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xl/drawings/drawing6.xml" ContentType="application/vnd.openxmlformats-officedocument.drawing+xml"/>
  <Override PartName="/xl/embeddings/oleObject2.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never" codeName="EstaPasta_de_trabalho" defaultThemeVersion="124226"/>
  <mc:AlternateContent xmlns:mc="http://schemas.openxmlformats.org/markup-compatibility/2006">
    <mc:Choice Requires="x15">
      <x15ac:absPath xmlns:x15ac="http://schemas.microsoft.com/office/spreadsheetml/2010/11/ac" url="C:\Users\14343258\Desktop\Projeto Matrix 2.0\"/>
    </mc:Choice>
  </mc:AlternateContent>
  <bookViews>
    <workbookView xWindow="0" yWindow="0" windowWidth="20490" windowHeight="9630" tabRatio="923" activeTab="10"/>
  </bookViews>
  <sheets>
    <sheet name="Controle" sheetId="20" r:id="rId1"/>
    <sheet name="Plan1" sheetId="36" state="hidden" r:id="rId2"/>
    <sheet name="Mapa" sheetId="1" r:id="rId3"/>
    <sheet name="Cot.A" sheetId="13" r:id="rId4"/>
    <sheet name="Cot.F" sheetId="12" r:id="rId5"/>
    <sheet name="Cot.M" sheetId="14" r:id="rId6"/>
    <sheet name="Cot.Eng" sheetId="19" r:id="rId7"/>
    <sheet name="Adjudicação" sheetId="3" r:id="rId8"/>
    <sheet name="Ordem" sheetId="18" r:id="rId9"/>
    <sheet name="PAGAMENTO" sheetId="24" r:id="rId10"/>
    <sheet name="produtos_escape2" sheetId="2" r:id="rId11"/>
    <sheet name="Instruções" sheetId="28" r:id="rId12"/>
    <sheet name="EmailsForn" sheetId="34" r:id="rId13"/>
    <sheet name="fornecedores" sheetId="10" r:id="rId14"/>
    <sheet name="Financeiro" sheetId="21" r:id="rId15"/>
    <sheet name="Atrasado" sheetId="31" state="hidden" r:id="rId16"/>
    <sheet name="Prest. Contas" sheetId="35" state="hidden" r:id="rId17"/>
    <sheet name="Fonte" sheetId="11" state="hidden" r:id="rId18"/>
    <sheet name="Validação" sheetId="23" state="hidden" r:id="rId19"/>
  </sheets>
  <externalReferences>
    <externalReference r:id="rId20"/>
    <externalReference r:id="rId21"/>
    <externalReference r:id="rId22"/>
  </externalReferences>
  <definedNames>
    <definedName name="_xlnm._FilterDatabase" localSheetId="15" hidden="1">Atrasado!$A$1:$J$24</definedName>
    <definedName name="_xlnm._FilterDatabase" localSheetId="0" hidden="1">Controle!$A$2:$AF$3041</definedName>
    <definedName name="_xlnm._FilterDatabase" localSheetId="12" hidden="1">EmailsForn!$A$1:$S$671</definedName>
    <definedName name="_xlnm._FilterDatabase" localSheetId="14" hidden="1">Financeiro!$A$1:$D$18</definedName>
    <definedName name="_xlnm._FilterDatabase" localSheetId="13" hidden="1">fornecedores!$A$1:$Q$482</definedName>
    <definedName name="_xlnm._FilterDatabase" localSheetId="2" hidden="1">Mapa!$A$1:$S$17</definedName>
    <definedName name="_xlnm._FilterDatabase" localSheetId="9" hidden="1">PAGAMENTO!$G$976:$J$1063</definedName>
    <definedName name="_xlnm._FilterDatabase" localSheetId="16" hidden="1">'Prest. Contas'!$A$3:$D$119</definedName>
    <definedName name="_xlnm._FilterDatabase" localSheetId="10" hidden="1">produtos_escape2!$A$1:$M$2795</definedName>
    <definedName name="A64S593">[1]Controle!#REF!</definedName>
    <definedName name="ADJUDICADO" localSheetId="16">[1]Validação!$E$2:$E$3</definedName>
    <definedName name="adjudicado">Validação!$E$2:$E$3</definedName>
    <definedName name="_xlnm.Print_Area" localSheetId="7">Adjudicação!$A$1:$J$93</definedName>
    <definedName name="_xlnm.Print_Area" localSheetId="15">Atrasado!$A$1:$I$22</definedName>
    <definedName name="_xlnm.Print_Area" localSheetId="3">'Cot.A'!$A$1:$L$51</definedName>
    <definedName name="_xlnm.Print_Area" localSheetId="6">'Cot.Eng'!$A$1:$L$51</definedName>
    <definedName name="_xlnm.Print_Area" localSheetId="4">'Cot.F'!$A$1:$L$51</definedName>
    <definedName name="_xlnm.Print_Area" localSheetId="5">'Cot.M'!$A$1:$L$51</definedName>
    <definedName name="_xlnm.Print_Area" localSheetId="8">Ordem!$A$1:$I$52</definedName>
    <definedName name="_xlnm.Print_Area" localSheetId="10">produtos_escape2!$A$1:$E$2794</definedName>
    <definedName name="bimestres" localSheetId="16">[1]Validação!$B$2:$B$8</definedName>
    <definedName name="bimestres">Validação!$B$2:$B$8</definedName>
    <definedName name="EMPR">[2]Fornecedores!$A$2:$A$307</definedName>
    <definedName name="empresas" localSheetId="16">[1]Fornecedores!$A$2:$A$349</definedName>
    <definedName name="empresas">fornecedores!$A$1:$A$417</definedName>
    <definedName name="FANTASIA" localSheetId="16">[1]Fornecedores!$A$2:$A$349</definedName>
    <definedName name="FANTASIA">fornecedores!$A$1:$A$417</definedName>
    <definedName name="FANTASIA1">fornecedores!$A$1:$A$417</definedName>
    <definedName name="FORNECEDOR" localSheetId="16">[1]Fornecedores!$B$2:$B$349</definedName>
    <definedName name="FORNECEDOR">fornecedores!$B$1:$B$415</definedName>
    <definedName name="FORNECEDORES" localSheetId="16">[1]Fornecedores!$B$2:$D$339</definedName>
    <definedName name="FORNECEDORES">fornecedores!$B$1:$E$407</definedName>
    <definedName name="LISTA" localSheetId="6">#REF!</definedName>
    <definedName name="LISTA" localSheetId="8">Ordem!$D$12</definedName>
    <definedName name="LISTA" localSheetId="16">#REF!</definedName>
    <definedName name="responsa" localSheetId="16">[1]Validação!$D$2:$D$11</definedName>
    <definedName name="responsáveis" localSheetId="16">[1]Validação!$D$2:$D$9</definedName>
    <definedName name="responsáveis">Validação!$D$2:$D$8</definedName>
    <definedName name="Responsável" localSheetId="16">[1]Fonte!$A$18:$A$23</definedName>
    <definedName name="Responsável">Fonte!$A$18:$A$23</definedName>
    <definedName name="Resposável">Fonte!$A$17:$A$23</definedName>
    <definedName name="SETOR">Fonte!$C$17:$C$20</definedName>
    <definedName name="setores" localSheetId="16">[1]Validação!$A$2:$A$5</definedName>
    <definedName name="setores">Validação!$A$2:$A$5</definedName>
    <definedName name="SETORX">Fonte!$D$16:$D$20</definedName>
    <definedName name="SIS" localSheetId="16">[1]Fonte!$F$16:$F$46</definedName>
    <definedName name="SISG" localSheetId="16">[3]Fonte!$F$16:$F$46</definedName>
    <definedName name="SISG">Fonte!$F$16:$F$46</definedName>
    <definedName name="status" localSheetId="16">[1]Validação!$C$2:$C$5</definedName>
    <definedName name="status">Validação!$C$2:$C$5</definedName>
  </definedNames>
  <calcPr calcId="152511"/>
</workbook>
</file>

<file path=xl/calcChain.xml><?xml version="1.0" encoding="utf-8"?>
<calcChain xmlns="http://schemas.openxmlformats.org/spreadsheetml/2006/main">
  <c r="L191" i="20" l="1"/>
  <c r="L192" i="20"/>
  <c r="AF4" i="20" l="1"/>
  <c r="AF5" i="20"/>
  <c r="AF6" i="20"/>
  <c r="AF7" i="20"/>
  <c r="AF8" i="20"/>
  <c r="AF9" i="20"/>
  <c r="AF10" i="20"/>
  <c r="AF11" i="20"/>
  <c r="AF12" i="20"/>
  <c r="AF13" i="20"/>
  <c r="AF14" i="20"/>
  <c r="AF15" i="20"/>
  <c r="AF16" i="20"/>
  <c r="AF17" i="20"/>
  <c r="AF18" i="20"/>
  <c r="AF19" i="20"/>
  <c r="AF20" i="20"/>
  <c r="AF21" i="20"/>
  <c r="AF22" i="20"/>
  <c r="AF23" i="20"/>
  <c r="AF24" i="20"/>
  <c r="AF25" i="20"/>
  <c r="AF26" i="20"/>
  <c r="AF27" i="20"/>
  <c r="AF28" i="20"/>
  <c r="AF29" i="20"/>
  <c r="AF30" i="20"/>
  <c r="AF31" i="20"/>
  <c r="AF32" i="20"/>
  <c r="AF33" i="20"/>
  <c r="AF34" i="20"/>
  <c r="AF35" i="20"/>
  <c r="AF36" i="20"/>
  <c r="AF37" i="20"/>
  <c r="AF38" i="20"/>
  <c r="AF39" i="20"/>
  <c r="AF40" i="20"/>
  <c r="AF41" i="20"/>
  <c r="AF42" i="20"/>
  <c r="AF43" i="20"/>
  <c r="AF44" i="20"/>
  <c r="AF45" i="20"/>
  <c r="AF46" i="20"/>
  <c r="AF47" i="20"/>
  <c r="AF48" i="20"/>
  <c r="AF49" i="20"/>
  <c r="AF50" i="20"/>
  <c r="AF51" i="20"/>
  <c r="AF52" i="20"/>
  <c r="AF53" i="20"/>
  <c r="AF54" i="20"/>
  <c r="AF55" i="20"/>
  <c r="AF56" i="20"/>
  <c r="AF57" i="20"/>
  <c r="AF58" i="20"/>
  <c r="AF59" i="20"/>
  <c r="AF60" i="20"/>
  <c r="AF61" i="20"/>
  <c r="AF62" i="20"/>
  <c r="AF63" i="20"/>
  <c r="AF64" i="20"/>
  <c r="AF65" i="20"/>
  <c r="AF66" i="20"/>
  <c r="AF67" i="20"/>
  <c r="AF68" i="20"/>
  <c r="AF69" i="20"/>
  <c r="AF70" i="20"/>
  <c r="AF71" i="20"/>
  <c r="AF72" i="20"/>
  <c r="AF73" i="20"/>
  <c r="AF74" i="20"/>
  <c r="AF75" i="20"/>
  <c r="AF76" i="20"/>
  <c r="AF77" i="20"/>
  <c r="AF78" i="20"/>
  <c r="AF79" i="20"/>
  <c r="AF80" i="20"/>
  <c r="AF81" i="20"/>
  <c r="AF82" i="20"/>
  <c r="AF83" i="20"/>
  <c r="AF84" i="20"/>
  <c r="AF85" i="20"/>
  <c r="AF86" i="20"/>
  <c r="AF87" i="20"/>
  <c r="AF88" i="20"/>
  <c r="AF89" i="20"/>
  <c r="AF90" i="20"/>
  <c r="AF91" i="20"/>
  <c r="AF92" i="20"/>
  <c r="AF93" i="20"/>
  <c r="AF94" i="20"/>
  <c r="AF95" i="20"/>
  <c r="AF96" i="20"/>
  <c r="AF97" i="20"/>
  <c r="AF98" i="20"/>
  <c r="AF99" i="20"/>
  <c r="AF100" i="20"/>
  <c r="AF101" i="20"/>
  <c r="AF102" i="20"/>
  <c r="AF103" i="20"/>
  <c r="AF104" i="20"/>
  <c r="AF105" i="20"/>
  <c r="AF106" i="20"/>
  <c r="AF107" i="20"/>
  <c r="AF108" i="20"/>
  <c r="AF109" i="20"/>
  <c r="AF110" i="20"/>
  <c r="AF111" i="20"/>
  <c r="AF112" i="20"/>
  <c r="AF113" i="20"/>
  <c r="AF114" i="20"/>
  <c r="AF115" i="20"/>
  <c r="AF116" i="20"/>
  <c r="AF117" i="20"/>
  <c r="AF118" i="20"/>
  <c r="AF119" i="20"/>
  <c r="AF120" i="20"/>
  <c r="AF121" i="20"/>
  <c r="AF122" i="20"/>
  <c r="AF123" i="20"/>
  <c r="AF124" i="20"/>
  <c r="AF125" i="20"/>
  <c r="AF126" i="20"/>
  <c r="AF127" i="20"/>
  <c r="AF128" i="20"/>
  <c r="AF129" i="20"/>
  <c r="AF130" i="20"/>
  <c r="AF131" i="20"/>
  <c r="AF132" i="20"/>
  <c r="AF133" i="20"/>
  <c r="AF134" i="20"/>
  <c r="AF135" i="20"/>
  <c r="AF136" i="20"/>
  <c r="AF137" i="20"/>
  <c r="AF138" i="20"/>
  <c r="AF139" i="20"/>
  <c r="AF140" i="20"/>
  <c r="AF141" i="20"/>
  <c r="AF142" i="20"/>
  <c r="AF143" i="20"/>
  <c r="AF144" i="20"/>
  <c r="AF145" i="20"/>
  <c r="AF146" i="20"/>
  <c r="AF147" i="20"/>
  <c r="AF148" i="20"/>
  <c r="AF149" i="20"/>
  <c r="AF150" i="20"/>
  <c r="AF151" i="20"/>
  <c r="AF152" i="20"/>
  <c r="AF153" i="20"/>
  <c r="AF154" i="20"/>
  <c r="AF155" i="20"/>
  <c r="AF156" i="20"/>
  <c r="AF157" i="20"/>
  <c r="AF158" i="20"/>
  <c r="AF159" i="20"/>
  <c r="AF160" i="20"/>
  <c r="AF161" i="20"/>
  <c r="AF162" i="20"/>
  <c r="AF163" i="20"/>
  <c r="AF164" i="20"/>
  <c r="AF165" i="20"/>
  <c r="AF166" i="20"/>
  <c r="AF167" i="20"/>
  <c r="AF168" i="20"/>
  <c r="AF169" i="20"/>
  <c r="AF170" i="20"/>
  <c r="AF171" i="20"/>
  <c r="AF172" i="20"/>
  <c r="AF173" i="20"/>
  <c r="AF174" i="20"/>
  <c r="AF175" i="20"/>
  <c r="AF176" i="20"/>
  <c r="AF177" i="20"/>
  <c r="AF178" i="20"/>
  <c r="AF179" i="20"/>
  <c r="AF180" i="20"/>
  <c r="AF181" i="20"/>
  <c r="AF182" i="20"/>
  <c r="AF183" i="20"/>
  <c r="AF184" i="20"/>
  <c r="AF185" i="20"/>
  <c r="AF186" i="20"/>
  <c r="AF187" i="20"/>
  <c r="AF188" i="20"/>
  <c r="AF189" i="20"/>
  <c r="AF190" i="20"/>
  <c r="AF191" i="20"/>
  <c r="AF192" i="20"/>
  <c r="AF193" i="20"/>
  <c r="AF194" i="20"/>
  <c r="AF195" i="20"/>
  <c r="AF196" i="20"/>
  <c r="AF197" i="20"/>
  <c r="AF198" i="20"/>
  <c r="AF199" i="20"/>
  <c r="AF200" i="20"/>
  <c r="AF201" i="20"/>
  <c r="AF202" i="20"/>
  <c r="AF203" i="20"/>
  <c r="AF204" i="20"/>
  <c r="AF205" i="20"/>
  <c r="AF206" i="20"/>
  <c r="AF207" i="20"/>
  <c r="AF208" i="20"/>
  <c r="AF209" i="20"/>
  <c r="AF210" i="20"/>
  <c r="AF211" i="20"/>
  <c r="AF212" i="20"/>
  <c r="AF213" i="20"/>
  <c r="AF214" i="20"/>
  <c r="AF215" i="20"/>
  <c r="AF216" i="20"/>
  <c r="AF217" i="20"/>
  <c r="AF218" i="20"/>
  <c r="AF219" i="20"/>
  <c r="AF220" i="20"/>
  <c r="AF221" i="20"/>
  <c r="AF222" i="20"/>
  <c r="AF223" i="20"/>
  <c r="AF224" i="20"/>
  <c r="AF225" i="20"/>
  <c r="AF226" i="20"/>
  <c r="AF227" i="20"/>
  <c r="AF228" i="20"/>
  <c r="AF229" i="20"/>
  <c r="AF230" i="20"/>
  <c r="AF231" i="20"/>
  <c r="AF232" i="20"/>
  <c r="AF233" i="20"/>
  <c r="AF234" i="20"/>
  <c r="AF235" i="20"/>
  <c r="AF236" i="20"/>
  <c r="AF237" i="20"/>
  <c r="AF238" i="20"/>
  <c r="AF239" i="20"/>
  <c r="AF240" i="20"/>
  <c r="AF241" i="20"/>
  <c r="AF242" i="20"/>
  <c r="AF243" i="20"/>
  <c r="AF244" i="20"/>
  <c r="AF245" i="20"/>
  <c r="AF246" i="20"/>
  <c r="AF247" i="20"/>
  <c r="AF248" i="20"/>
  <c r="AF249" i="20"/>
  <c r="AF250" i="20"/>
  <c r="AF251" i="20"/>
  <c r="AF252" i="20"/>
  <c r="AF253" i="20"/>
  <c r="AF254" i="20"/>
  <c r="AF255" i="20"/>
  <c r="AF256" i="20"/>
  <c r="AF257" i="20"/>
  <c r="AF258" i="20"/>
  <c r="AF259" i="20"/>
  <c r="AF260" i="20"/>
  <c r="AF261" i="20"/>
  <c r="AF262" i="20"/>
  <c r="AF263" i="20"/>
  <c r="AF264" i="20"/>
  <c r="AF265" i="20"/>
  <c r="AF266" i="20"/>
  <c r="AF267" i="20"/>
  <c r="AF268" i="20"/>
  <c r="AF269" i="20"/>
  <c r="AF270" i="20"/>
  <c r="AF271" i="20"/>
  <c r="AF272" i="20"/>
  <c r="AF273" i="20"/>
  <c r="AF274" i="20"/>
  <c r="AF275" i="20"/>
  <c r="AF276" i="20"/>
  <c r="AF277" i="20"/>
  <c r="AF278" i="20"/>
  <c r="AF279" i="20"/>
  <c r="AF280" i="20"/>
  <c r="AF281" i="20"/>
  <c r="AF282" i="20"/>
  <c r="AF283" i="20"/>
  <c r="AF284" i="20"/>
  <c r="AF285" i="20"/>
  <c r="AF286" i="20"/>
  <c r="AF287" i="20"/>
  <c r="AF288" i="20"/>
  <c r="AF289" i="20"/>
  <c r="AF290" i="20"/>
  <c r="AF291" i="20"/>
  <c r="AF292" i="20"/>
  <c r="AF293" i="20"/>
  <c r="AF294" i="20"/>
  <c r="AF295" i="20"/>
  <c r="AF296" i="20"/>
  <c r="AF297" i="20"/>
  <c r="AF298" i="20"/>
  <c r="AF299" i="20"/>
  <c r="AF300" i="20"/>
  <c r="AF301" i="20"/>
  <c r="AF302" i="20"/>
  <c r="AF303" i="20"/>
  <c r="AF304" i="20"/>
  <c r="AF305" i="20"/>
  <c r="AF306" i="20"/>
  <c r="AF307" i="20"/>
  <c r="AF308" i="20"/>
  <c r="AF309" i="20"/>
  <c r="AF310" i="20"/>
  <c r="AF311" i="20"/>
  <c r="AF312" i="20"/>
  <c r="AF313" i="20"/>
  <c r="AF314" i="20"/>
  <c r="AF315" i="20"/>
  <c r="AF316" i="20"/>
  <c r="AF317" i="20"/>
  <c r="AF318" i="20"/>
  <c r="AF319" i="20"/>
  <c r="AF320" i="20"/>
  <c r="AF321" i="20"/>
  <c r="AF322" i="20"/>
  <c r="AF323" i="20"/>
  <c r="AF324" i="20"/>
  <c r="AF325" i="20"/>
  <c r="AF326" i="20"/>
  <c r="AF327" i="20"/>
  <c r="AF328" i="20"/>
  <c r="AF329" i="20"/>
  <c r="AF330" i="20"/>
  <c r="AF331" i="20"/>
  <c r="AF332" i="20"/>
  <c r="AF333" i="20"/>
  <c r="AF334" i="20"/>
  <c r="AF335" i="20"/>
  <c r="AF336" i="20"/>
  <c r="AF337" i="20"/>
  <c r="AF338" i="20"/>
  <c r="AF339" i="20"/>
  <c r="AF340" i="20"/>
  <c r="AF341" i="20"/>
  <c r="AF342" i="20"/>
  <c r="AF343" i="20"/>
  <c r="AF344" i="20"/>
  <c r="AF345" i="20"/>
  <c r="AF346" i="20"/>
  <c r="AF347" i="20"/>
  <c r="AF348" i="20"/>
  <c r="AF349" i="20"/>
  <c r="AF350" i="20"/>
  <c r="AF351" i="20"/>
  <c r="AF352" i="20"/>
  <c r="AF353" i="20"/>
  <c r="AF354" i="20"/>
  <c r="AF355" i="20"/>
  <c r="AF356" i="20"/>
  <c r="AF357" i="20"/>
  <c r="AF358" i="20"/>
  <c r="AF359" i="20"/>
  <c r="AF360" i="20"/>
  <c r="AF361" i="20"/>
  <c r="AF362" i="20"/>
  <c r="AF363" i="20"/>
  <c r="AF364" i="20"/>
  <c r="AF365" i="20"/>
  <c r="AF366" i="20"/>
  <c r="AF367" i="20"/>
  <c r="AF368" i="20"/>
  <c r="AF369" i="20"/>
  <c r="AF370" i="20"/>
  <c r="AF371" i="20"/>
  <c r="AF372" i="20"/>
  <c r="AF373" i="20"/>
  <c r="AF374" i="20"/>
  <c r="AF375" i="20"/>
  <c r="AF376" i="20"/>
  <c r="AF377" i="20"/>
  <c r="AF378" i="20"/>
  <c r="AF379" i="20"/>
  <c r="AF380" i="20"/>
  <c r="AF381" i="20"/>
  <c r="AF382" i="20"/>
  <c r="AF383" i="20"/>
  <c r="AF384" i="20"/>
  <c r="AF385" i="20"/>
  <c r="AF386" i="20"/>
  <c r="AF387" i="20"/>
  <c r="AF388" i="20"/>
  <c r="AF389" i="20"/>
  <c r="AF390" i="20"/>
  <c r="AF391" i="20"/>
  <c r="AF392" i="20"/>
  <c r="AF393" i="20"/>
  <c r="AF394" i="20"/>
  <c r="AF395" i="20"/>
  <c r="AF396" i="20"/>
  <c r="AF397" i="20"/>
  <c r="AF398" i="20"/>
  <c r="AF399" i="20"/>
  <c r="AF400" i="20"/>
  <c r="AF401" i="20"/>
  <c r="AF402" i="20"/>
  <c r="AF403" i="20"/>
  <c r="AF404" i="20"/>
  <c r="AF405" i="20"/>
  <c r="AF406" i="20"/>
  <c r="AF407" i="20"/>
  <c r="AF408" i="20"/>
  <c r="AF409" i="20"/>
  <c r="AF410" i="20"/>
  <c r="AF411" i="20"/>
  <c r="AF412" i="20"/>
  <c r="AF413" i="20"/>
  <c r="AF414" i="20"/>
  <c r="AF415" i="20"/>
  <c r="AF416" i="20"/>
  <c r="AF417" i="20"/>
  <c r="AF418" i="20"/>
  <c r="AF419" i="20"/>
  <c r="AF420" i="20"/>
  <c r="AF421" i="20"/>
  <c r="AF422" i="20"/>
  <c r="AF423" i="20"/>
  <c r="AF424" i="20"/>
  <c r="AF425" i="20"/>
  <c r="AF426" i="20"/>
  <c r="AF427" i="20"/>
  <c r="AF428" i="20"/>
  <c r="AF429" i="20"/>
  <c r="AF430" i="20"/>
  <c r="AF431" i="20"/>
  <c r="AF432" i="20"/>
  <c r="AF433" i="20"/>
  <c r="AF434" i="20"/>
  <c r="AF435" i="20"/>
  <c r="AF436" i="20"/>
  <c r="AF437" i="20"/>
  <c r="AF438" i="20"/>
  <c r="AF439" i="20"/>
  <c r="AF440" i="20"/>
  <c r="AF441" i="20"/>
  <c r="AF442" i="20"/>
  <c r="AF443" i="20"/>
  <c r="AF444" i="20"/>
  <c r="AF445" i="20"/>
  <c r="AF446" i="20"/>
  <c r="AF447" i="20"/>
  <c r="AF448" i="20"/>
  <c r="AF449" i="20"/>
  <c r="AF450" i="20"/>
  <c r="AF451" i="20"/>
  <c r="AF452" i="20"/>
  <c r="AF453" i="20"/>
  <c r="AF454" i="20"/>
  <c r="AF455" i="20"/>
  <c r="AF456" i="20"/>
  <c r="AF457" i="20"/>
  <c r="AF458" i="20"/>
  <c r="AF459" i="20"/>
  <c r="AF460" i="20"/>
  <c r="AF461" i="20"/>
  <c r="AF462" i="20"/>
  <c r="AF463" i="20"/>
  <c r="AF464" i="20"/>
  <c r="AF465" i="20"/>
  <c r="AF466" i="20"/>
  <c r="AF467" i="20"/>
  <c r="AF468" i="20"/>
  <c r="AF469" i="20"/>
  <c r="AF470" i="20"/>
  <c r="AF471" i="20"/>
  <c r="AF472" i="20"/>
  <c r="AF473" i="20"/>
  <c r="AF474" i="20"/>
  <c r="AF475" i="20"/>
  <c r="AF476" i="20"/>
  <c r="AF477" i="20"/>
  <c r="AF478" i="20"/>
  <c r="AF479" i="20"/>
  <c r="AF480" i="20"/>
  <c r="AF481" i="20"/>
  <c r="AF482" i="20"/>
  <c r="AF483" i="20"/>
  <c r="AF484" i="20"/>
  <c r="AF485" i="20"/>
  <c r="AF486" i="20"/>
  <c r="AF487" i="20"/>
  <c r="AF488" i="20"/>
  <c r="AF489" i="20"/>
  <c r="AF490" i="20"/>
  <c r="AF491" i="20"/>
  <c r="AF492" i="20"/>
  <c r="AF493" i="20"/>
  <c r="AF494" i="20"/>
  <c r="AF495" i="20"/>
  <c r="AF496" i="20"/>
  <c r="AF497" i="20"/>
  <c r="AF498" i="20"/>
  <c r="AF499" i="20"/>
  <c r="AF500" i="20"/>
  <c r="AF501" i="20"/>
  <c r="AF502" i="20"/>
  <c r="AF503" i="20"/>
  <c r="AF504" i="20"/>
  <c r="AF505" i="20"/>
  <c r="AF506" i="20"/>
  <c r="AF507" i="20"/>
  <c r="AF508" i="20"/>
  <c r="AF509" i="20"/>
  <c r="AF510" i="20"/>
  <c r="AF511" i="20"/>
  <c r="AF512" i="20"/>
  <c r="AF513" i="20"/>
  <c r="AF514" i="20"/>
  <c r="AF515" i="20"/>
  <c r="AF516" i="20"/>
  <c r="AF517" i="20"/>
  <c r="AF518" i="20"/>
  <c r="AF519" i="20"/>
  <c r="AF520" i="20"/>
  <c r="AF521" i="20"/>
  <c r="AF522" i="20"/>
  <c r="AF523" i="20"/>
  <c r="AF524" i="20"/>
  <c r="AF525" i="20"/>
  <c r="AF526" i="20"/>
  <c r="AF527" i="20"/>
  <c r="AF528" i="20"/>
  <c r="AF529" i="20"/>
  <c r="AF530" i="20"/>
  <c r="AF531" i="20"/>
  <c r="AF532" i="20"/>
  <c r="AF533" i="20"/>
  <c r="AF534" i="20"/>
  <c r="AF535" i="20"/>
  <c r="AF536" i="20"/>
  <c r="AF537" i="20"/>
  <c r="AF538" i="20"/>
  <c r="AF539" i="20"/>
  <c r="AF540" i="20"/>
  <c r="AF541" i="20"/>
  <c r="AF542" i="20"/>
  <c r="AF543" i="20"/>
  <c r="AF544" i="20"/>
  <c r="AF545" i="20"/>
  <c r="AF546" i="20"/>
  <c r="AF547" i="20"/>
  <c r="AF548" i="20"/>
  <c r="AF549" i="20"/>
  <c r="AF550" i="20"/>
  <c r="AF551" i="20"/>
  <c r="AF552" i="20"/>
  <c r="AF553" i="20"/>
  <c r="AF554" i="20"/>
  <c r="AF555" i="20"/>
  <c r="AF556" i="20"/>
  <c r="AF557" i="20"/>
  <c r="AF558" i="20"/>
  <c r="AF559" i="20"/>
  <c r="AF560" i="20"/>
  <c r="AF561" i="20"/>
  <c r="AF562" i="20"/>
  <c r="AF563" i="20"/>
  <c r="AF564" i="20"/>
  <c r="AF565" i="20"/>
  <c r="AF566" i="20"/>
  <c r="AF567" i="20"/>
  <c r="AF568" i="20"/>
  <c r="AF569" i="20"/>
  <c r="AF570" i="20"/>
  <c r="AF571" i="20"/>
  <c r="AF572" i="20"/>
  <c r="AF573" i="20"/>
  <c r="AF574" i="20"/>
  <c r="AF575" i="20"/>
  <c r="AF576" i="20"/>
  <c r="AF577" i="20"/>
  <c r="AF578" i="20"/>
  <c r="AF579" i="20"/>
  <c r="AF580" i="20"/>
  <c r="AF581" i="20"/>
  <c r="AF582" i="20"/>
  <c r="AF583" i="20"/>
  <c r="AF584" i="20"/>
  <c r="AF585" i="20"/>
  <c r="AF586" i="20"/>
  <c r="AF587" i="20"/>
  <c r="AF588" i="20"/>
  <c r="AF589" i="20"/>
  <c r="AF590" i="20"/>
  <c r="AF591" i="20"/>
  <c r="AF592" i="20"/>
  <c r="AF593" i="20"/>
  <c r="AF594" i="20"/>
  <c r="AF595" i="20"/>
  <c r="AF596" i="20"/>
  <c r="AF597" i="20"/>
  <c r="AF598" i="20"/>
  <c r="AF599" i="20"/>
  <c r="AF600" i="20"/>
  <c r="AF601" i="20"/>
  <c r="AF602" i="20"/>
  <c r="AF603" i="20"/>
  <c r="AF604" i="20"/>
  <c r="AF605" i="20"/>
  <c r="AF606" i="20"/>
  <c r="AF607" i="20"/>
  <c r="AF608" i="20"/>
  <c r="AF609" i="20"/>
  <c r="AF610" i="20"/>
  <c r="AF611" i="20"/>
  <c r="AF612" i="20"/>
  <c r="AF613" i="20"/>
  <c r="AF614" i="20"/>
  <c r="AF615" i="20"/>
  <c r="AF616" i="20"/>
  <c r="AF617" i="20"/>
  <c r="AF618" i="20"/>
  <c r="AF619" i="20"/>
  <c r="AF620" i="20"/>
  <c r="AF621" i="20"/>
  <c r="AF622" i="20"/>
  <c r="AF623" i="20"/>
  <c r="AF624" i="20"/>
  <c r="AF625" i="20"/>
  <c r="AF626" i="20"/>
  <c r="AF627" i="20"/>
  <c r="AF628" i="20"/>
  <c r="AF629" i="20"/>
  <c r="AF630" i="20"/>
  <c r="AF631" i="20"/>
  <c r="AF632" i="20"/>
  <c r="AF633" i="20"/>
  <c r="AF634" i="20"/>
  <c r="AF635" i="20"/>
  <c r="AF636" i="20"/>
  <c r="AF637" i="20"/>
  <c r="AF638" i="20"/>
  <c r="AF639" i="20"/>
  <c r="AF640" i="20"/>
  <c r="AF641" i="20"/>
  <c r="AF642" i="20"/>
  <c r="AF643" i="20"/>
  <c r="AF644" i="20"/>
  <c r="AF645" i="20"/>
  <c r="AF646" i="20"/>
  <c r="AF647" i="20"/>
  <c r="AF648" i="20"/>
  <c r="AF649" i="20"/>
  <c r="AF650" i="20"/>
  <c r="AF651" i="20"/>
  <c r="AF652" i="20"/>
  <c r="AF653" i="20"/>
  <c r="AF654" i="20"/>
  <c r="AF655" i="20"/>
  <c r="AF656" i="20"/>
  <c r="AF657" i="20"/>
  <c r="AF658" i="20"/>
  <c r="AF659" i="20"/>
  <c r="AF660" i="20"/>
  <c r="AF661" i="20"/>
  <c r="AF662" i="20"/>
  <c r="AF663" i="20"/>
  <c r="AF664" i="20"/>
  <c r="AF665" i="20"/>
  <c r="AF666" i="20"/>
  <c r="AF667" i="20"/>
  <c r="AF668" i="20"/>
  <c r="AF669" i="20"/>
  <c r="AF670" i="20"/>
  <c r="AF671" i="20"/>
  <c r="AF672" i="20"/>
  <c r="AF673" i="20"/>
  <c r="AF674" i="20"/>
  <c r="AF675" i="20"/>
  <c r="AF676" i="20"/>
  <c r="AF677" i="20"/>
  <c r="AF678" i="20"/>
  <c r="AF679" i="20"/>
  <c r="AF680" i="20"/>
  <c r="AF681" i="20"/>
  <c r="AF682" i="20"/>
  <c r="AF683" i="20"/>
  <c r="AF684" i="20"/>
  <c r="AF685" i="20"/>
  <c r="AF686" i="20"/>
  <c r="AF687" i="20"/>
  <c r="AF688" i="20"/>
  <c r="AF689" i="20"/>
  <c r="AF690" i="20"/>
  <c r="AF691" i="20"/>
  <c r="AF692" i="20"/>
  <c r="AF693" i="20"/>
  <c r="AF694" i="20"/>
  <c r="AF695" i="20"/>
  <c r="AF696" i="20"/>
  <c r="AF697" i="20"/>
  <c r="AF698" i="20"/>
  <c r="AF699" i="20"/>
  <c r="AF700" i="20"/>
  <c r="AF701" i="20"/>
  <c r="AF702" i="20"/>
  <c r="AF703" i="20"/>
  <c r="AF704" i="20"/>
  <c r="AF705" i="20"/>
  <c r="AF706" i="20"/>
  <c r="AF707" i="20"/>
  <c r="AF708" i="20"/>
  <c r="AF709" i="20"/>
  <c r="AF710" i="20"/>
  <c r="AF711" i="20"/>
  <c r="AF712" i="20"/>
  <c r="AF713" i="20"/>
  <c r="AF714" i="20"/>
  <c r="AF715" i="20"/>
  <c r="AF716" i="20"/>
  <c r="AF717" i="20"/>
  <c r="AF718" i="20"/>
  <c r="AF719" i="20"/>
  <c r="AF720" i="20"/>
  <c r="AF721" i="20"/>
  <c r="AF722" i="20"/>
  <c r="AF723" i="20"/>
  <c r="AF724" i="20"/>
  <c r="AF725" i="20"/>
  <c r="AF726" i="20"/>
  <c r="AF727" i="20"/>
  <c r="AF728" i="20"/>
  <c r="AF729" i="20"/>
  <c r="AF730" i="20"/>
  <c r="AF731" i="20"/>
  <c r="AF732" i="20"/>
  <c r="AF733" i="20"/>
  <c r="AF734" i="20"/>
  <c r="AF735" i="20"/>
  <c r="AF736" i="20"/>
  <c r="AF737" i="20"/>
  <c r="AF738" i="20"/>
  <c r="AF739" i="20"/>
  <c r="AF740" i="20"/>
  <c r="AF741" i="20"/>
  <c r="AF742" i="20"/>
  <c r="AF743" i="20"/>
  <c r="AF744" i="20"/>
  <c r="AF745" i="20"/>
  <c r="AF746" i="20"/>
  <c r="AF747" i="20"/>
  <c r="AF748" i="20"/>
  <c r="AF749" i="20"/>
  <c r="AF750" i="20"/>
  <c r="AF751" i="20"/>
  <c r="AF752" i="20"/>
  <c r="AF753" i="20"/>
  <c r="AF754" i="20"/>
  <c r="AF755" i="20"/>
  <c r="AF756" i="20"/>
  <c r="AF757" i="20"/>
  <c r="AF758" i="20"/>
  <c r="AF759" i="20"/>
  <c r="AF760" i="20"/>
  <c r="AF761" i="20"/>
  <c r="AF762" i="20"/>
  <c r="AF763" i="20"/>
  <c r="AF764" i="20"/>
  <c r="AF765" i="20"/>
  <c r="AF766" i="20"/>
  <c r="AF767" i="20"/>
  <c r="AF768" i="20"/>
  <c r="AF769" i="20"/>
  <c r="AF770" i="20"/>
  <c r="AF771" i="20"/>
  <c r="AF772" i="20"/>
  <c r="AF773" i="20"/>
  <c r="AF774" i="20"/>
  <c r="AF775" i="20"/>
  <c r="AF776" i="20"/>
  <c r="AF777" i="20"/>
  <c r="AF778" i="20"/>
  <c r="AF779" i="20"/>
  <c r="AF780" i="20"/>
  <c r="AF781" i="20"/>
  <c r="AF782" i="20"/>
  <c r="AF783" i="20"/>
  <c r="AF784" i="20"/>
  <c r="AF785" i="20"/>
  <c r="AF786" i="20"/>
  <c r="AF787" i="20"/>
  <c r="AF788" i="20"/>
  <c r="AF789" i="20"/>
  <c r="AF790" i="20"/>
  <c r="AF791" i="20"/>
  <c r="AF792" i="20"/>
  <c r="AF793" i="20"/>
  <c r="AF794" i="20"/>
  <c r="AF795" i="20"/>
  <c r="AF796" i="20"/>
  <c r="AF797" i="20"/>
  <c r="AF798" i="20"/>
  <c r="AF799" i="20"/>
  <c r="AF800" i="20"/>
  <c r="AF801" i="20"/>
  <c r="AF802" i="20"/>
  <c r="AF803" i="20"/>
  <c r="AF804" i="20"/>
  <c r="AF805" i="20"/>
  <c r="AF806" i="20"/>
  <c r="AF807" i="20"/>
  <c r="AF808" i="20"/>
  <c r="AF809" i="20"/>
  <c r="AF810" i="20"/>
  <c r="AF811" i="20"/>
  <c r="AF812" i="20"/>
  <c r="AF813" i="20"/>
  <c r="AF814" i="20"/>
  <c r="AF815" i="20"/>
  <c r="AF816" i="20"/>
  <c r="AF817" i="20"/>
  <c r="AF818" i="20"/>
  <c r="AF819" i="20"/>
  <c r="AF820" i="20"/>
  <c r="AF821" i="20"/>
  <c r="AF822" i="20"/>
  <c r="AF823" i="20"/>
  <c r="AF824" i="20"/>
  <c r="AF825" i="20"/>
  <c r="AF826" i="20"/>
  <c r="AF827" i="20"/>
  <c r="AF828" i="20"/>
  <c r="AF829" i="20"/>
  <c r="AF830" i="20"/>
  <c r="AF831" i="20"/>
  <c r="AF832" i="20"/>
  <c r="AF833" i="20"/>
  <c r="AF834" i="20"/>
  <c r="AF835" i="20"/>
  <c r="AF836" i="20"/>
  <c r="AF837" i="20"/>
  <c r="AF838" i="20"/>
  <c r="AF839" i="20"/>
  <c r="AF840" i="20"/>
  <c r="AF841" i="20"/>
  <c r="AF842" i="20"/>
  <c r="AF843" i="20"/>
  <c r="AF844" i="20"/>
  <c r="AF845" i="20"/>
  <c r="AF846" i="20"/>
  <c r="AF847" i="20"/>
  <c r="AF848" i="20"/>
  <c r="AF849" i="20"/>
  <c r="AF850" i="20"/>
  <c r="AF851" i="20"/>
  <c r="AF852" i="20"/>
  <c r="AF853" i="20"/>
  <c r="AF854" i="20"/>
  <c r="AF855" i="20"/>
  <c r="AF856" i="20"/>
  <c r="AF857" i="20"/>
  <c r="AF858" i="20"/>
  <c r="AF859" i="20"/>
  <c r="AF860" i="20"/>
  <c r="AF861" i="20"/>
  <c r="AF862" i="20"/>
  <c r="AF863" i="20"/>
  <c r="AF864" i="20"/>
  <c r="AF865" i="20"/>
  <c r="AF866" i="20"/>
  <c r="AF867" i="20"/>
  <c r="AF868" i="20"/>
  <c r="AF869" i="20"/>
  <c r="AF870" i="20"/>
  <c r="AF871" i="20"/>
  <c r="AF872" i="20"/>
  <c r="AF873" i="20"/>
  <c r="AF874" i="20"/>
  <c r="AF875" i="20"/>
  <c r="AF876" i="20"/>
  <c r="AF877" i="20"/>
  <c r="AF878" i="20"/>
  <c r="AF879" i="20"/>
  <c r="AF880" i="20"/>
  <c r="AF881" i="20"/>
  <c r="AF882" i="20"/>
  <c r="AF883" i="20"/>
  <c r="AF884" i="20"/>
  <c r="AF885" i="20"/>
  <c r="AF886" i="20"/>
  <c r="AF887" i="20"/>
  <c r="AF888" i="20"/>
  <c r="AF889" i="20"/>
  <c r="AF890" i="20"/>
  <c r="AF891" i="20"/>
  <c r="AF892" i="20"/>
  <c r="AF893" i="20"/>
  <c r="AF894" i="20"/>
  <c r="AF895" i="20"/>
  <c r="AF896" i="20"/>
  <c r="AF897" i="20"/>
  <c r="AF898" i="20"/>
  <c r="AF899" i="20"/>
  <c r="AF900" i="20"/>
  <c r="AF901" i="20"/>
  <c r="AF902" i="20"/>
  <c r="AF903" i="20"/>
  <c r="AF904" i="20"/>
  <c r="AF905" i="20"/>
  <c r="AF906" i="20"/>
  <c r="AF907" i="20"/>
  <c r="AF908" i="20"/>
  <c r="AF909" i="20"/>
  <c r="AF910" i="20"/>
  <c r="AF911" i="20"/>
  <c r="AF912" i="20"/>
  <c r="AF913" i="20"/>
  <c r="AF914" i="20"/>
  <c r="AF915" i="20"/>
  <c r="AF916" i="20"/>
  <c r="AF917" i="20"/>
  <c r="AF918" i="20"/>
  <c r="AF919" i="20"/>
  <c r="AF920" i="20"/>
  <c r="AF921" i="20"/>
  <c r="AF922" i="20"/>
  <c r="AF923" i="20"/>
  <c r="AF924" i="20"/>
  <c r="AF925" i="20"/>
  <c r="AF926" i="20"/>
  <c r="AF927" i="20"/>
  <c r="AF928" i="20"/>
  <c r="AF929" i="20"/>
  <c r="AF930" i="20"/>
  <c r="AF931" i="20"/>
  <c r="AF932" i="20"/>
  <c r="AF933" i="20"/>
  <c r="AF934" i="20"/>
  <c r="AF935" i="20"/>
  <c r="AF936" i="20"/>
  <c r="AF937" i="20"/>
  <c r="AF938" i="20"/>
  <c r="AF939" i="20"/>
  <c r="AF940" i="20"/>
  <c r="AF941" i="20"/>
  <c r="AF942" i="20"/>
  <c r="AF943" i="20"/>
  <c r="AF944" i="20"/>
  <c r="AF945" i="20"/>
  <c r="AF946" i="20"/>
  <c r="AF947" i="20"/>
  <c r="AF948" i="20"/>
  <c r="AF949" i="20"/>
  <c r="AF950" i="20"/>
  <c r="AF951" i="20"/>
  <c r="AF952" i="20"/>
  <c r="AF953" i="20"/>
  <c r="AF954" i="20"/>
  <c r="AF955" i="20"/>
  <c r="AF956" i="20"/>
  <c r="AF957" i="20"/>
  <c r="AF958" i="20"/>
  <c r="AF959" i="20"/>
  <c r="AF960" i="20"/>
  <c r="AF961" i="20"/>
  <c r="AF962" i="20"/>
  <c r="AF963" i="20"/>
  <c r="AF964" i="20"/>
  <c r="AF965" i="20"/>
  <c r="AF966" i="20"/>
  <c r="AF967" i="20"/>
  <c r="AF968" i="20"/>
  <c r="AF969" i="20"/>
  <c r="AF970" i="20"/>
  <c r="AF971" i="20"/>
  <c r="AF972" i="20"/>
  <c r="AF973" i="20"/>
  <c r="AF974" i="20"/>
  <c r="AF975" i="20"/>
  <c r="AF976" i="20"/>
  <c r="AF977" i="20"/>
  <c r="AF978" i="20"/>
  <c r="AF979" i="20"/>
  <c r="AF980" i="20"/>
  <c r="AF981" i="20"/>
  <c r="AF982" i="20"/>
  <c r="AF983" i="20"/>
  <c r="AF984" i="20"/>
  <c r="AF985" i="20"/>
  <c r="AF986" i="20"/>
  <c r="AF987" i="20"/>
  <c r="AF988" i="20"/>
  <c r="AF989" i="20"/>
  <c r="AF990" i="20"/>
  <c r="AF991" i="20"/>
  <c r="AF992" i="20"/>
  <c r="AF993" i="20"/>
  <c r="AF994" i="20"/>
  <c r="AF995" i="20"/>
  <c r="AF996" i="20"/>
  <c r="AF997" i="20"/>
  <c r="AF998" i="20"/>
  <c r="AF999" i="20"/>
  <c r="AF1000" i="20"/>
  <c r="AF1001" i="20"/>
  <c r="AF1002" i="20"/>
  <c r="AF1003" i="20"/>
  <c r="AF1004" i="20"/>
  <c r="AF1005" i="20"/>
  <c r="AF1006" i="20"/>
  <c r="AF1007" i="20"/>
  <c r="AF1008" i="20"/>
  <c r="AF1009" i="20"/>
  <c r="AF1010" i="20"/>
  <c r="AF1011" i="20"/>
  <c r="AF1012" i="20"/>
  <c r="AF1013" i="20"/>
  <c r="AF1014" i="20"/>
  <c r="AF1015" i="20"/>
  <c r="AF1016" i="20"/>
  <c r="AF1017" i="20"/>
  <c r="AF1018" i="20"/>
  <c r="AF1019" i="20"/>
  <c r="AF1020" i="20"/>
  <c r="AF1021" i="20"/>
  <c r="AF1022" i="20"/>
  <c r="AF1023" i="20"/>
  <c r="AF1024" i="20"/>
  <c r="AF1025" i="20"/>
  <c r="AF1026" i="20"/>
  <c r="AF1027" i="20"/>
  <c r="AF1028" i="20"/>
  <c r="AF1029" i="20"/>
  <c r="AF1030" i="20"/>
  <c r="AF1031" i="20"/>
  <c r="AF1032" i="20"/>
  <c r="AF1033" i="20"/>
  <c r="AF1034" i="20"/>
  <c r="AF1035" i="20"/>
  <c r="AF1036" i="20"/>
  <c r="AF1037" i="20"/>
  <c r="AF1038" i="20"/>
  <c r="AF1039" i="20"/>
  <c r="AF1040" i="20"/>
  <c r="AF1041" i="20"/>
  <c r="AF1042" i="20"/>
  <c r="AF1043" i="20"/>
  <c r="AF1044" i="20"/>
  <c r="AF1045" i="20"/>
  <c r="AF1046" i="20"/>
  <c r="AF1047" i="20"/>
  <c r="AF1048" i="20"/>
  <c r="AF1049" i="20"/>
  <c r="AF1050" i="20"/>
  <c r="AF1051" i="20"/>
  <c r="AF1052" i="20"/>
  <c r="AF1053" i="20"/>
  <c r="AF1054" i="20"/>
  <c r="AF1055" i="20"/>
  <c r="AF1056" i="20"/>
  <c r="AF1057" i="20"/>
  <c r="AF1058" i="20"/>
  <c r="AF1059" i="20"/>
  <c r="AF1060" i="20"/>
  <c r="AF1061" i="20"/>
  <c r="AF1062" i="20"/>
  <c r="AF1063" i="20"/>
  <c r="AF1064" i="20"/>
  <c r="AF1065" i="20"/>
  <c r="AF1066" i="20"/>
  <c r="AF1067" i="20"/>
  <c r="AF1068" i="20"/>
  <c r="AF1069" i="20"/>
  <c r="AF1070" i="20"/>
  <c r="AF1071" i="20"/>
  <c r="AF1072" i="20"/>
  <c r="AF1073" i="20"/>
  <c r="AF1074" i="20"/>
  <c r="AF1075" i="20"/>
  <c r="AF1076" i="20"/>
  <c r="AF1077" i="20"/>
  <c r="AF1078" i="20"/>
  <c r="AF1079" i="20"/>
  <c r="AF1080" i="20"/>
  <c r="AF1081" i="20"/>
  <c r="AF1082" i="20"/>
  <c r="AF1083" i="20"/>
  <c r="AF1084" i="20"/>
  <c r="AF1085" i="20"/>
  <c r="AF1086" i="20"/>
  <c r="AF1087" i="20"/>
  <c r="AF1088" i="20"/>
  <c r="AF1089" i="20"/>
  <c r="AF1090" i="20"/>
  <c r="AF1091" i="20"/>
  <c r="AF1092" i="20"/>
  <c r="AF1093" i="20"/>
  <c r="AF1094" i="20"/>
  <c r="AF1095" i="20"/>
  <c r="AF1096" i="20"/>
  <c r="AF1097" i="20"/>
  <c r="AF1098" i="20"/>
  <c r="AF1099" i="20"/>
  <c r="AF1100" i="20"/>
  <c r="AF1101" i="20"/>
  <c r="AF1102" i="20"/>
  <c r="AF1103" i="20"/>
  <c r="AF1104" i="20"/>
  <c r="AF1105" i="20"/>
  <c r="AF1106" i="20"/>
  <c r="AF1107" i="20"/>
  <c r="AF1108" i="20"/>
  <c r="AF1109" i="20"/>
  <c r="AF1110" i="20"/>
  <c r="AF1111" i="20"/>
  <c r="AF1112" i="20"/>
  <c r="AF1113" i="20"/>
  <c r="AF1114" i="20"/>
  <c r="AF1115" i="20"/>
  <c r="AF1116" i="20"/>
  <c r="AF1117" i="20"/>
  <c r="AF1118" i="20"/>
  <c r="AF1119" i="20"/>
  <c r="AF1120" i="20"/>
  <c r="AF1121" i="20"/>
  <c r="AF1122" i="20"/>
  <c r="AF1123" i="20"/>
  <c r="AF1124" i="20"/>
  <c r="AF1125" i="20"/>
  <c r="AF1126" i="20"/>
  <c r="AF1127" i="20"/>
  <c r="AF1128" i="20"/>
  <c r="AF1129" i="20"/>
  <c r="AF1130" i="20"/>
  <c r="AF1131" i="20"/>
  <c r="AF1132" i="20"/>
  <c r="AF1133" i="20"/>
  <c r="AF1134" i="20"/>
  <c r="AF1135" i="20"/>
  <c r="AF1136" i="20"/>
  <c r="AF1137" i="20"/>
  <c r="AF1138" i="20"/>
  <c r="AF1139" i="20"/>
  <c r="AF1140" i="20"/>
  <c r="AF1141" i="20"/>
  <c r="AF1142" i="20"/>
  <c r="AF1143" i="20"/>
  <c r="AF1144" i="20"/>
  <c r="AF1145" i="20"/>
  <c r="AF1146" i="20"/>
  <c r="AF1147" i="20"/>
  <c r="AF1148" i="20"/>
  <c r="AF1149" i="20"/>
  <c r="AF1150" i="20"/>
  <c r="AF1151" i="20"/>
  <c r="AF1152" i="20"/>
  <c r="AF1153" i="20"/>
  <c r="AF1154" i="20"/>
  <c r="AF1155" i="20"/>
  <c r="AF1156" i="20"/>
  <c r="AF1157" i="20"/>
  <c r="AF1158" i="20"/>
  <c r="AF1159" i="20"/>
  <c r="AF1160" i="20"/>
  <c r="AF1161" i="20"/>
  <c r="AF1162" i="20"/>
  <c r="AF1163" i="20"/>
  <c r="AF1164" i="20"/>
  <c r="AF1165" i="20"/>
  <c r="AF1166" i="20"/>
  <c r="AF1167" i="20"/>
  <c r="AF1168" i="20"/>
  <c r="AF1169" i="20"/>
  <c r="AF1170" i="20"/>
  <c r="AF1171" i="20"/>
  <c r="AF1172" i="20"/>
  <c r="AF1173" i="20"/>
  <c r="AF1174" i="20"/>
  <c r="AF1175" i="20"/>
  <c r="AF1176" i="20"/>
  <c r="AF1177" i="20"/>
  <c r="AF1178" i="20"/>
  <c r="AF1179" i="20"/>
  <c r="AF1180" i="20"/>
  <c r="AF1181" i="20"/>
  <c r="AF1182" i="20"/>
  <c r="AF1183" i="20"/>
  <c r="AF1184" i="20"/>
  <c r="AF1185" i="20"/>
  <c r="AF1186" i="20"/>
  <c r="AF1187" i="20"/>
  <c r="AF1188" i="20"/>
  <c r="AF1189" i="20"/>
  <c r="AF1190" i="20"/>
  <c r="AF1191" i="20"/>
  <c r="AF1192" i="20"/>
  <c r="AF1193" i="20"/>
  <c r="AF1194" i="20"/>
  <c r="AF1195" i="20"/>
  <c r="AF1196" i="20"/>
  <c r="AF1197" i="20"/>
  <c r="AF1198" i="20"/>
  <c r="AF1199" i="20"/>
  <c r="AF1200" i="20"/>
  <c r="AF1201" i="20"/>
  <c r="AF1202" i="20"/>
  <c r="AF1203" i="20"/>
  <c r="AF1204" i="20"/>
  <c r="AF1205" i="20"/>
  <c r="AF1206" i="20"/>
  <c r="AF1207" i="20"/>
  <c r="AF1208" i="20"/>
  <c r="AF1209" i="20"/>
  <c r="AF1210" i="20"/>
  <c r="AF1211" i="20"/>
  <c r="AF1212" i="20"/>
  <c r="AF1213" i="20"/>
  <c r="AF1214" i="20"/>
  <c r="AF1215" i="20"/>
  <c r="AF1216" i="20"/>
  <c r="AF1217" i="20"/>
  <c r="AF1218" i="20"/>
  <c r="AF1219" i="20"/>
  <c r="AF1220" i="20"/>
  <c r="AF1221" i="20"/>
  <c r="AF1222" i="20"/>
  <c r="AF1223" i="20"/>
  <c r="AF1224" i="20"/>
  <c r="AF1225" i="20"/>
  <c r="AF1226" i="20"/>
  <c r="AF1227" i="20"/>
  <c r="AF1228" i="20"/>
  <c r="AF1229" i="20"/>
  <c r="AF1230" i="20"/>
  <c r="AF1231" i="20"/>
  <c r="AF1232" i="20"/>
  <c r="AF1233" i="20"/>
  <c r="AF1234" i="20"/>
  <c r="AF1235" i="20"/>
  <c r="AF1236" i="20"/>
  <c r="AF1237" i="20"/>
  <c r="AF1238" i="20"/>
  <c r="AF1239" i="20"/>
  <c r="AF1240" i="20"/>
  <c r="AF1241" i="20"/>
  <c r="AF1242" i="20"/>
  <c r="AF1243" i="20"/>
  <c r="AF1244" i="20"/>
  <c r="AF1245" i="20"/>
  <c r="AF1246" i="20"/>
  <c r="AF1247" i="20"/>
  <c r="AF1248" i="20"/>
  <c r="AF1249" i="20"/>
  <c r="AF1250" i="20"/>
  <c r="AF1251" i="20"/>
  <c r="AF1252" i="20"/>
  <c r="AF1253" i="20"/>
  <c r="AF1254" i="20"/>
  <c r="AF1255" i="20"/>
  <c r="AF1256" i="20"/>
  <c r="AF1257" i="20"/>
  <c r="AF1258" i="20"/>
  <c r="AF1259" i="20"/>
  <c r="AF1260" i="20"/>
  <c r="AF1261" i="20"/>
  <c r="AF1262" i="20"/>
  <c r="AF1263" i="20"/>
  <c r="AF1264" i="20"/>
  <c r="AF1265" i="20"/>
  <c r="AF1266" i="20"/>
  <c r="AF1267" i="20"/>
  <c r="AF1268" i="20"/>
  <c r="AF1269" i="20"/>
  <c r="AF1270" i="20"/>
  <c r="AF1271" i="20"/>
  <c r="AF1272" i="20"/>
  <c r="AF1273" i="20"/>
  <c r="AF1274" i="20"/>
  <c r="AF1275" i="20"/>
  <c r="AF1276" i="20"/>
  <c r="AF1277" i="20"/>
  <c r="AF1278" i="20"/>
  <c r="AF1279" i="20"/>
  <c r="AF1280" i="20"/>
  <c r="AF1281" i="20"/>
  <c r="AF1282" i="20"/>
  <c r="AF1283" i="20"/>
  <c r="AF1284" i="20"/>
  <c r="AF1285" i="20"/>
  <c r="AF1286" i="20"/>
  <c r="AF1287" i="20"/>
  <c r="AF1288" i="20"/>
  <c r="AF1289" i="20"/>
  <c r="AF1290" i="20"/>
  <c r="AF1291" i="20"/>
  <c r="AF1292" i="20"/>
  <c r="AF1293" i="20"/>
  <c r="AF1294" i="20"/>
  <c r="AF1295" i="20"/>
  <c r="AF1296" i="20"/>
  <c r="AF1297" i="20"/>
  <c r="AF1298" i="20"/>
  <c r="AF1299" i="20"/>
  <c r="AF1300" i="20"/>
  <c r="AF1301" i="20"/>
  <c r="AF1302" i="20"/>
  <c r="AF1303" i="20"/>
  <c r="AF1304" i="20"/>
  <c r="AF1305" i="20"/>
  <c r="AF1306" i="20"/>
  <c r="AF1307" i="20"/>
  <c r="AF1308" i="20"/>
  <c r="AF1309" i="20"/>
  <c r="AF1310" i="20"/>
  <c r="AF1311" i="20"/>
  <c r="AF1312" i="20"/>
  <c r="AF1313" i="20"/>
  <c r="AF1314" i="20"/>
  <c r="AF1315" i="20"/>
  <c r="AF1316" i="20"/>
  <c r="AF1317" i="20"/>
  <c r="AF1318" i="20"/>
  <c r="AF1319" i="20"/>
  <c r="AF1320" i="20"/>
  <c r="AF1321" i="20"/>
  <c r="AF1322" i="20"/>
  <c r="AF1323" i="20"/>
  <c r="AF1324" i="20"/>
  <c r="AF1325" i="20"/>
  <c r="AF1326" i="20"/>
  <c r="AF1327" i="20"/>
  <c r="AF1328" i="20"/>
  <c r="AF1329" i="20"/>
  <c r="AF1330" i="20"/>
  <c r="AF1331" i="20"/>
  <c r="AF1332" i="20"/>
  <c r="AF1333" i="20"/>
  <c r="AF1334" i="20"/>
  <c r="AF1335" i="20"/>
  <c r="AF1336" i="20"/>
  <c r="AF1337" i="20"/>
  <c r="AF1338" i="20"/>
  <c r="AF1339" i="20"/>
  <c r="AF1340" i="20"/>
  <c r="AF1341" i="20"/>
  <c r="AF1342" i="20"/>
  <c r="AF1343" i="20"/>
  <c r="AF1344" i="20"/>
  <c r="AF1345" i="20"/>
  <c r="AF1346" i="20"/>
  <c r="AF1347" i="20"/>
  <c r="AF1348" i="20"/>
  <c r="AF1349" i="20"/>
  <c r="AF1350" i="20"/>
  <c r="AF1351" i="20"/>
  <c r="AF1352" i="20"/>
  <c r="AF1353" i="20"/>
  <c r="AF1354" i="20"/>
  <c r="AF1355" i="20"/>
  <c r="AF1356" i="20"/>
  <c r="AF1357" i="20"/>
  <c r="AF1358" i="20"/>
  <c r="AF1359" i="20"/>
  <c r="AF1360" i="20"/>
  <c r="AF1361" i="20"/>
  <c r="AF1362" i="20"/>
  <c r="AF1363" i="20"/>
  <c r="AF1364" i="20"/>
  <c r="AF1365" i="20"/>
  <c r="AF1366" i="20"/>
  <c r="AF1367" i="20"/>
  <c r="AF1368" i="20"/>
  <c r="AF1369" i="20"/>
  <c r="AF1370" i="20"/>
  <c r="AF1371" i="20"/>
  <c r="AF1372" i="20"/>
  <c r="AF1373" i="20"/>
  <c r="AF1374" i="20"/>
  <c r="AF1375" i="20"/>
  <c r="AF1376" i="20"/>
  <c r="AF1377" i="20"/>
  <c r="AF1378" i="20"/>
  <c r="AF1379" i="20"/>
  <c r="AF1380" i="20"/>
  <c r="AF1381" i="20"/>
  <c r="AF1382" i="20"/>
  <c r="AF1383" i="20"/>
  <c r="AF1384" i="20"/>
  <c r="AF1385" i="20"/>
  <c r="AF1386" i="20"/>
  <c r="AF1387" i="20"/>
  <c r="AF1388" i="20"/>
  <c r="AF1389" i="20"/>
  <c r="AF1390" i="20"/>
  <c r="AF1391" i="20"/>
  <c r="AF1392" i="20"/>
  <c r="AF1393" i="20"/>
  <c r="AF1394" i="20"/>
  <c r="AF1395" i="20"/>
  <c r="AF1396" i="20"/>
  <c r="AF1397" i="20"/>
  <c r="AF1398" i="20"/>
  <c r="AF1399" i="20"/>
  <c r="AF1400" i="20"/>
  <c r="AF1401" i="20"/>
  <c r="AF1402" i="20"/>
  <c r="AF1403" i="20"/>
  <c r="AF1404" i="20"/>
  <c r="AF1405" i="20"/>
  <c r="AF1406" i="20"/>
  <c r="AF1407" i="20"/>
  <c r="AF1408" i="20"/>
  <c r="AF1409" i="20"/>
  <c r="AF1410" i="20"/>
  <c r="AF1411" i="20"/>
  <c r="AF1412" i="20"/>
  <c r="AF1413" i="20"/>
  <c r="AF1414" i="20"/>
  <c r="AF1415" i="20"/>
  <c r="AF1416" i="20"/>
  <c r="AF1417" i="20"/>
  <c r="AF1418" i="20"/>
  <c r="AF1419" i="20"/>
  <c r="AF1420" i="20"/>
  <c r="AF1421" i="20"/>
  <c r="AF1422" i="20"/>
  <c r="AF1423" i="20"/>
  <c r="AF1424" i="20"/>
  <c r="AF1425" i="20"/>
  <c r="AF1426" i="20"/>
  <c r="AF1427" i="20"/>
  <c r="AF1428" i="20"/>
  <c r="AF1429" i="20"/>
  <c r="AF1430" i="20"/>
  <c r="AF1431" i="20"/>
  <c r="AF1432" i="20"/>
  <c r="AF1433" i="20"/>
  <c r="AF1434" i="20"/>
  <c r="AF1435" i="20"/>
  <c r="AF1436" i="20"/>
  <c r="AF1437" i="20"/>
  <c r="AF1438" i="20"/>
  <c r="AF1439" i="20"/>
  <c r="AF1440" i="20"/>
  <c r="AF1441" i="20"/>
  <c r="AF1442" i="20"/>
  <c r="AF1443" i="20"/>
  <c r="AF1444" i="20"/>
  <c r="AF1445" i="20"/>
  <c r="AF1446" i="20"/>
  <c r="AF1447" i="20"/>
  <c r="AF1448" i="20"/>
  <c r="AF1449" i="20"/>
  <c r="AF1450" i="20"/>
  <c r="AF1451" i="20"/>
  <c r="AF1452" i="20"/>
  <c r="AF1453" i="20"/>
  <c r="AF1454" i="20"/>
  <c r="AF1455" i="20"/>
  <c r="AF1456" i="20"/>
  <c r="AF1457" i="20"/>
  <c r="AF1458" i="20"/>
  <c r="AF1459" i="20"/>
  <c r="AF1460" i="20"/>
  <c r="AF1461" i="20"/>
  <c r="AF1462" i="20"/>
  <c r="AF1463" i="20"/>
  <c r="AF1464" i="20"/>
  <c r="AF1465" i="20"/>
  <c r="AF1466" i="20"/>
  <c r="AF1467" i="20"/>
  <c r="AF1468" i="20"/>
  <c r="AF1469" i="20"/>
  <c r="AF1470" i="20"/>
  <c r="AF1471" i="20"/>
  <c r="AF1472" i="20"/>
  <c r="AF1473" i="20"/>
  <c r="AF1474" i="20"/>
  <c r="AF1475" i="20"/>
  <c r="AF1476" i="20"/>
  <c r="AF1477" i="20"/>
  <c r="AF1478" i="20"/>
  <c r="AF1479" i="20"/>
  <c r="AF1480" i="20"/>
  <c r="AF1481" i="20"/>
  <c r="AF1482" i="20"/>
  <c r="AF1483" i="20"/>
  <c r="AF1484" i="20"/>
  <c r="AF1485" i="20"/>
  <c r="AF1486" i="20"/>
  <c r="AF1487" i="20"/>
  <c r="AF1488" i="20"/>
  <c r="AF1489" i="20"/>
  <c r="AF1490" i="20"/>
  <c r="AF1491" i="20"/>
  <c r="AF1492" i="20"/>
  <c r="AF1493" i="20"/>
  <c r="AF1494" i="20"/>
  <c r="AF1495" i="20"/>
  <c r="AF1496" i="20"/>
  <c r="AF1497" i="20"/>
  <c r="AF1498" i="20"/>
  <c r="AF1499" i="20"/>
  <c r="AF1500" i="20"/>
  <c r="A11" i="21" l="1"/>
  <c r="G26" i="21"/>
  <c r="D1076" i="24" l="1"/>
  <c r="J1030" i="24" l="1"/>
  <c r="J1015" i="24"/>
  <c r="J996" i="24"/>
  <c r="J1016" i="24"/>
  <c r="J1028" i="24"/>
  <c r="J1021" i="24"/>
  <c r="J1018" i="24"/>
  <c r="J1013" i="24"/>
  <c r="J1044" i="24"/>
  <c r="J1046" i="24"/>
  <c r="J1032" i="24"/>
  <c r="J1027" i="24"/>
  <c r="J1008" i="24"/>
  <c r="J1045" i="24"/>
  <c r="J1043" i="24"/>
  <c r="J981" i="24"/>
  <c r="J992" i="24"/>
  <c r="J984" i="24"/>
  <c r="J1014" i="24"/>
  <c r="J985" i="24"/>
  <c r="J1035" i="24"/>
  <c r="J1036" i="24"/>
  <c r="J1050" i="24"/>
  <c r="J979" i="24"/>
  <c r="J1026" i="24"/>
  <c r="J1048" i="24"/>
  <c r="J1054" i="24"/>
  <c r="J1049" i="24"/>
  <c r="J1004" i="24"/>
  <c r="J1041" i="24"/>
  <c r="J978" i="24"/>
  <c r="J998" i="24"/>
  <c r="J1022" i="24"/>
  <c r="J1005" i="24"/>
  <c r="J1012" i="24"/>
  <c r="J989" i="24"/>
  <c r="J993" i="24"/>
  <c r="J1029" i="24"/>
  <c r="J1042" i="24"/>
  <c r="J1000" i="24"/>
  <c r="J999" i="24"/>
  <c r="J1023" i="24"/>
  <c r="J1031" i="24"/>
  <c r="J1047" i="24"/>
  <c r="J1057" i="24"/>
  <c r="J1051" i="24"/>
  <c r="J1007" i="24"/>
  <c r="J1025" i="24"/>
  <c r="J982" i="24"/>
  <c r="J1055" i="24"/>
  <c r="J1039" i="24"/>
  <c r="J980" i="24"/>
  <c r="J995" i="24"/>
  <c r="J1011" i="24"/>
  <c r="J987" i="24"/>
  <c r="J997" i="24"/>
  <c r="J977" i="24"/>
  <c r="J1060" i="24"/>
  <c r="J1002" i="24"/>
  <c r="J986" i="24"/>
  <c r="J1003" i="24"/>
  <c r="J1024" i="24"/>
  <c r="J990" i="24"/>
  <c r="J991" i="24"/>
  <c r="J988" i="24"/>
  <c r="J983" i="24"/>
  <c r="J1056" i="24"/>
  <c r="J1037" i="24"/>
  <c r="J1038" i="24"/>
  <c r="J1034" i="24"/>
  <c r="J1010" i="24"/>
  <c r="J1052" i="24"/>
  <c r="J1006" i="24"/>
  <c r="J994" i="24"/>
  <c r="J1053" i="24"/>
  <c r="J1059" i="24"/>
  <c r="J1009" i="24"/>
  <c r="J1020" i="24"/>
  <c r="J1017" i="24"/>
  <c r="J1058" i="24"/>
  <c r="J1019" i="24"/>
  <c r="J1001" i="24"/>
  <c r="J1061" i="24"/>
  <c r="J1040" i="24"/>
  <c r="J1033" i="24"/>
  <c r="J1067" i="24" l="1"/>
  <c r="AD1268" i="20"/>
  <c r="AE1268" i="20" s="1"/>
  <c r="R1268" i="20"/>
  <c r="M1268" i="20"/>
  <c r="L1268" i="20"/>
  <c r="I1268" i="20"/>
  <c r="I1269" i="20"/>
  <c r="L1269" i="20"/>
  <c r="M1269" i="20"/>
  <c r="R1269" i="20"/>
  <c r="AD1269" i="20"/>
  <c r="AE1269" i="20" s="1"/>
  <c r="AD1241" i="20" l="1"/>
  <c r="AE1241" i="20" s="1"/>
  <c r="R1241" i="20"/>
  <c r="M1241" i="20"/>
  <c r="L1241" i="20"/>
  <c r="I1241" i="20"/>
  <c r="AF1501" i="20" l="1"/>
  <c r="AF1502" i="20"/>
  <c r="AD1331" i="20" l="1"/>
  <c r="AE1331" i="20" s="1"/>
  <c r="R1331" i="20"/>
  <c r="M1331" i="20"/>
  <c r="L1331" i="20"/>
  <c r="I1331" i="20"/>
  <c r="AD1334" i="20" l="1"/>
  <c r="AE1334" i="20" s="1"/>
  <c r="R1334" i="20"/>
  <c r="M1334" i="20"/>
  <c r="L1334" i="20"/>
  <c r="I1334" i="20"/>
  <c r="AF1503" i="20" l="1"/>
  <c r="AF1504" i="20"/>
  <c r="AD785" i="20" l="1"/>
  <c r="AE785" i="20" s="1"/>
  <c r="R1189" i="20" l="1"/>
  <c r="AD1189" i="20"/>
  <c r="AE1189" i="20" s="1"/>
  <c r="M1189" i="20"/>
  <c r="L1189" i="20"/>
  <c r="I1189" i="20"/>
  <c r="AF1505" i="20" l="1"/>
  <c r="I1248" i="20" l="1"/>
  <c r="D973" i="24" l="1"/>
  <c r="J970" i="24" l="1"/>
  <c r="AD1177" i="20" l="1"/>
  <c r="AE1177" i="20" s="1"/>
  <c r="R1177" i="20"/>
  <c r="M1177" i="20"/>
  <c r="L1177" i="20"/>
  <c r="I1177" i="20"/>
  <c r="M1219" i="20" l="1"/>
  <c r="M1220" i="20"/>
  <c r="M1221" i="20"/>
  <c r="L1219" i="20"/>
  <c r="L1220" i="20"/>
  <c r="L1221" i="20"/>
  <c r="AD1221" i="20"/>
  <c r="AE1221" i="20" s="1"/>
  <c r="R1221" i="20"/>
  <c r="I1221" i="20"/>
  <c r="AD1219" i="20"/>
  <c r="AE1219" i="20" s="1"/>
  <c r="R1219" i="20"/>
  <c r="I1219" i="20"/>
  <c r="D15" i="18" l="1"/>
  <c r="AD1210" i="20" l="1"/>
  <c r="AE1210" i="20" s="1"/>
  <c r="R1210" i="20"/>
  <c r="M1210" i="20"/>
  <c r="L1210" i="20"/>
  <c r="I1210" i="20"/>
  <c r="AD1209" i="20"/>
  <c r="AE1209" i="20" s="1"/>
  <c r="R1209" i="20"/>
  <c r="M1209" i="20"/>
  <c r="L1209" i="20"/>
  <c r="I1209" i="20"/>
  <c r="AD1208" i="20"/>
  <c r="AE1208" i="20" s="1"/>
  <c r="R1208" i="20"/>
  <c r="M1208" i="20"/>
  <c r="L1208" i="20"/>
  <c r="I1208" i="20"/>
  <c r="AD1207" i="20"/>
  <c r="AE1207" i="20" s="1"/>
  <c r="R1207" i="20"/>
  <c r="M1207" i="20"/>
  <c r="L1207" i="20"/>
  <c r="I1207" i="20"/>
  <c r="AD1211" i="20"/>
  <c r="AE1211" i="20" s="1"/>
  <c r="R1211" i="20"/>
  <c r="M1211" i="20"/>
  <c r="L1211" i="20"/>
  <c r="I1211" i="20"/>
  <c r="J917" i="24" l="1"/>
  <c r="D930" i="24" l="1"/>
  <c r="I24" i="21" l="1"/>
  <c r="I25" i="21"/>
  <c r="R955" i="20"/>
  <c r="AD1139" i="20" l="1"/>
  <c r="AE1139" i="20" s="1"/>
  <c r="R4" i="20" l="1"/>
  <c r="R5" i="20"/>
  <c r="R6" i="20"/>
  <c r="R7" i="20"/>
  <c r="R8" i="20"/>
  <c r="R9" i="20"/>
  <c r="R10" i="20"/>
  <c r="R11" i="20"/>
  <c r="R12" i="20"/>
  <c r="R13" i="20"/>
  <c r="R14" i="20"/>
  <c r="R15" i="20"/>
  <c r="R16" i="20"/>
  <c r="R17" i="20"/>
  <c r="R18"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30" i="20"/>
  <c r="R131"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272" i="20"/>
  <c r="R273" i="20"/>
  <c r="R274" i="20"/>
  <c r="R275" i="20"/>
  <c r="R276" i="20"/>
  <c r="R277" i="20"/>
  <c r="R278" i="20"/>
  <c r="R279" i="20"/>
  <c r="R280" i="20"/>
  <c r="R281" i="20"/>
  <c r="R282" i="20"/>
  <c r="R283" i="20"/>
  <c r="R284" i="20"/>
  <c r="R285" i="20"/>
  <c r="R286" i="20"/>
  <c r="R287" i="20"/>
  <c r="R288" i="20"/>
  <c r="R289" i="20"/>
  <c r="R290" i="20"/>
  <c r="R291" i="20"/>
  <c r="R292" i="20"/>
  <c r="R293" i="20"/>
  <c r="R294" i="20"/>
  <c r="R295" i="20"/>
  <c r="R296" i="20"/>
  <c r="R297" i="20"/>
  <c r="R298" i="20"/>
  <c r="R299" i="20"/>
  <c r="R300" i="20"/>
  <c r="R301" i="20"/>
  <c r="R302" i="20"/>
  <c r="R303" i="20"/>
  <c r="R304" i="20"/>
  <c r="R305" i="20"/>
  <c r="R306" i="20"/>
  <c r="R307" i="20"/>
  <c r="R308" i="20"/>
  <c r="R309" i="20"/>
  <c r="R310" i="20"/>
  <c r="R311" i="20"/>
  <c r="R312" i="20"/>
  <c r="R313" i="20"/>
  <c r="R314" i="20"/>
  <c r="R315" i="20"/>
  <c r="R316" i="20"/>
  <c r="R317" i="20"/>
  <c r="R318" i="20"/>
  <c r="R319" i="20"/>
  <c r="R320" i="20"/>
  <c r="R321" i="20"/>
  <c r="R322" i="20"/>
  <c r="R323" i="20"/>
  <c r="R324" i="20"/>
  <c r="R325" i="20"/>
  <c r="R326" i="20"/>
  <c r="R327" i="20"/>
  <c r="R328" i="20"/>
  <c r="R329" i="20"/>
  <c r="R330" i="20"/>
  <c r="R331" i="20"/>
  <c r="R332" i="20"/>
  <c r="R333" i="20"/>
  <c r="R334" i="20"/>
  <c r="R335" i="20"/>
  <c r="R336" i="20"/>
  <c r="R337" i="20"/>
  <c r="R338" i="20"/>
  <c r="R339" i="20"/>
  <c r="R340" i="20"/>
  <c r="R341" i="20"/>
  <c r="R342" i="20"/>
  <c r="R343" i="20"/>
  <c r="R344" i="20"/>
  <c r="R345" i="20"/>
  <c r="R346" i="20"/>
  <c r="R347" i="20"/>
  <c r="R348" i="20"/>
  <c r="R349" i="20"/>
  <c r="R350" i="20"/>
  <c r="R351" i="20"/>
  <c r="R352" i="20"/>
  <c r="R353" i="20"/>
  <c r="R354" i="20"/>
  <c r="R355" i="20"/>
  <c r="R356" i="20"/>
  <c r="R357" i="20"/>
  <c r="R358" i="20"/>
  <c r="R359" i="20"/>
  <c r="R360" i="20"/>
  <c r="R361" i="20"/>
  <c r="R362" i="20"/>
  <c r="R363" i="20"/>
  <c r="R364" i="20"/>
  <c r="R365" i="20"/>
  <c r="R366" i="20"/>
  <c r="R367" i="20"/>
  <c r="R368" i="20"/>
  <c r="R369" i="20"/>
  <c r="R370" i="20"/>
  <c r="R371" i="20"/>
  <c r="R372" i="20"/>
  <c r="R373" i="20"/>
  <c r="R374" i="20"/>
  <c r="R375" i="20"/>
  <c r="R376" i="20"/>
  <c r="R378" i="20"/>
  <c r="R379" i="20"/>
  <c r="R380" i="20"/>
  <c r="R381" i="20"/>
  <c r="R382" i="20"/>
  <c r="R383" i="20"/>
  <c r="R384" i="20"/>
  <c r="R385" i="20"/>
  <c r="R386" i="20"/>
  <c r="R387" i="20"/>
  <c r="R388" i="20"/>
  <c r="R389" i="20"/>
  <c r="R390" i="20"/>
  <c r="R391" i="20"/>
  <c r="R392" i="20"/>
  <c r="R393" i="20"/>
  <c r="R394" i="20"/>
  <c r="R395" i="20"/>
  <c r="R396" i="20"/>
  <c r="R397" i="20"/>
  <c r="R398" i="20"/>
  <c r="R399" i="20"/>
  <c r="R400" i="20"/>
  <c r="R401" i="20"/>
  <c r="R402" i="20"/>
  <c r="R403" i="20"/>
  <c r="R404" i="20"/>
  <c r="R405" i="20"/>
  <c r="R406" i="20"/>
  <c r="R407" i="20"/>
  <c r="R408" i="20"/>
  <c r="R409" i="20"/>
  <c r="R410" i="20"/>
  <c r="R411" i="20"/>
  <c r="R412" i="20"/>
  <c r="R413" i="20"/>
  <c r="R414" i="20"/>
  <c r="R415" i="20"/>
  <c r="R416" i="20"/>
  <c r="R417" i="20"/>
  <c r="R418" i="20"/>
  <c r="R419" i="20"/>
  <c r="R420" i="20"/>
  <c r="R421" i="20"/>
  <c r="R422" i="20"/>
  <c r="R423" i="20"/>
  <c r="R424" i="20"/>
  <c r="R425" i="20"/>
  <c r="R426" i="20"/>
  <c r="R427" i="20"/>
  <c r="R428" i="20"/>
  <c r="R429" i="20"/>
  <c r="R430" i="20"/>
  <c r="R431" i="20"/>
  <c r="R432" i="20"/>
  <c r="R433" i="20"/>
  <c r="R434" i="20"/>
  <c r="R435" i="20"/>
  <c r="R436" i="20"/>
  <c r="R437" i="20"/>
  <c r="R438" i="20"/>
  <c r="R439" i="20"/>
  <c r="R440" i="20"/>
  <c r="R441" i="20"/>
  <c r="R442" i="20"/>
  <c r="R443" i="20"/>
  <c r="R444" i="20"/>
  <c r="R445" i="20"/>
  <c r="R446" i="20"/>
  <c r="R447" i="20"/>
  <c r="R448" i="20"/>
  <c r="R449" i="20"/>
  <c r="R450" i="20"/>
  <c r="R451" i="20"/>
  <c r="R452" i="20"/>
  <c r="R453" i="20"/>
  <c r="R454" i="20"/>
  <c r="R455" i="20"/>
  <c r="R456" i="20"/>
  <c r="R457" i="20"/>
  <c r="R458" i="20"/>
  <c r="R459" i="20"/>
  <c r="R460" i="20"/>
  <c r="R461" i="20"/>
  <c r="R462" i="20"/>
  <c r="R463" i="20"/>
  <c r="R464" i="20"/>
  <c r="R465" i="20"/>
  <c r="R466" i="20"/>
  <c r="R467" i="20"/>
  <c r="R468" i="20"/>
  <c r="R469" i="20"/>
  <c r="R470" i="20"/>
  <c r="R471" i="20"/>
  <c r="R473" i="20"/>
  <c r="R474" i="20"/>
  <c r="R476" i="20"/>
  <c r="R477" i="20"/>
  <c r="R478" i="20"/>
  <c r="R479" i="20"/>
  <c r="R480" i="20"/>
  <c r="R481" i="20"/>
  <c r="R482" i="20"/>
  <c r="R483" i="20"/>
  <c r="R484" i="20"/>
  <c r="R485" i="20"/>
  <c r="R486" i="20"/>
  <c r="R487" i="20"/>
  <c r="R488" i="20"/>
  <c r="R489" i="20"/>
  <c r="R490" i="20"/>
  <c r="R491" i="20"/>
  <c r="R492" i="20"/>
  <c r="R493" i="20"/>
  <c r="R494" i="20"/>
  <c r="R495" i="20"/>
  <c r="R496" i="20"/>
  <c r="R497" i="20"/>
  <c r="R498" i="20"/>
  <c r="R499" i="20"/>
  <c r="R500" i="20"/>
  <c r="R501" i="20"/>
  <c r="R502" i="20"/>
  <c r="R503" i="20"/>
  <c r="R504" i="20"/>
  <c r="R505" i="20"/>
  <c r="R506" i="20"/>
  <c r="R507" i="20"/>
  <c r="R508" i="20"/>
  <c r="R509" i="20"/>
  <c r="R510" i="20"/>
  <c r="R511" i="20"/>
  <c r="R512" i="20"/>
  <c r="R513" i="20"/>
  <c r="R514" i="20"/>
  <c r="R515" i="20"/>
  <c r="R516" i="20"/>
  <c r="R517" i="20"/>
  <c r="R518" i="20"/>
  <c r="R519" i="20"/>
  <c r="R520" i="20"/>
  <c r="R521" i="20"/>
  <c r="R522" i="20"/>
  <c r="R523" i="20"/>
  <c r="R525" i="20"/>
  <c r="R526" i="20"/>
  <c r="R527" i="20"/>
  <c r="R528" i="20"/>
  <c r="R529" i="20"/>
  <c r="R530" i="20"/>
  <c r="R531" i="20"/>
  <c r="R532" i="20"/>
  <c r="R533" i="20"/>
  <c r="R534" i="20"/>
  <c r="R535" i="20"/>
  <c r="R536" i="20"/>
  <c r="R537" i="20"/>
  <c r="R538" i="20"/>
  <c r="R539" i="20"/>
  <c r="R540" i="20"/>
  <c r="R541" i="20"/>
  <c r="R542" i="20"/>
  <c r="R543" i="20"/>
  <c r="R544" i="20"/>
  <c r="R546" i="20"/>
  <c r="Q545" i="20" s="1"/>
  <c r="R545" i="20" s="1"/>
  <c r="R547" i="20"/>
  <c r="R548" i="20"/>
  <c r="R549" i="20"/>
  <c r="R550" i="20"/>
  <c r="R551" i="20"/>
  <c r="R552" i="20"/>
  <c r="R554" i="20"/>
  <c r="R555" i="20"/>
  <c r="R556" i="20"/>
  <c r="R557" i="20"/>
  <c r="R558" i="20"/>
  <c r="R565" i="20"/>
  <c r="R566" i="20"/>
  <c r="R567" i="20"/>
  <c r="R568" i="20"/>
  <c r="R569" i="20"/>
  <c r="R570" i="20"/>
  <c r="R571" i="20"/>
  <c r="R572" i="20"/>
  <c r="R573" i="20"/>
  <c r="R574" i="20"/>
  <c r="R575" i="20"/>
  <c r="R576" i="20"/>
  <c r="R577" i="20"/>
  <c r="R578" i="20"/>
  <c r="R579" i="20"/>
  <c r="R580" i="20"/>
  <c r="R581" i="20"/>
  <c r="R582" i="20"/>
  <c r="R583" i="20"/>
  <c r="R584" i="20"/>
  <c r="R585" i="20"/>
  <c r="R586" i="20"/>
  <c r="R587" i="20"/>
  <c r="R588" i="20"/>
  <c r="R589" i="20"/>
  <c r="R590" i="20"/>
  <c r="R591" i="20"/>
  <c r="R592" i="20"/>
  <c r="R593" i="20"/>
  <c r="R594" i="20"/>
  <c r="R595" i="20"/>
  <c r="R596" i="20"/>
  <c r="R597" i="20"/>
  <c r="R598" i="20"/>
  <c r="R599" i="20"/>
  <c r="R600" i="20"/>
  <c r="R601" i="20"/>
  <c r="R602" i="20"/>
  <c r="R603" i="20"/>
  <c r="R604" i="20"/>
  <c r="R605" i="20"/>
  <c r="R606" i="20"/>
  <c r="R607" i="20"/>
  <c r="R608" i="20"/>
  <c r="R609" i="20"/>
  <c r="R610" i="20"/>
  <c r="R611" i="20"/>
  <c r="R612" i="20"/>
  <c r="R613" i="20"/>
  <c r="R614" i="20"/>
  <c r="R615" i="20"/>
  <c r="R616" i="20"/>
  <c r="R617" i="20"/>
  <c r="R618" i="20"/>
  <c r="R619" i="20"/>
  <c r="R620" i="20"/>
  <c r="R621" i="20"/>
  <c r="R622" i="20"/>
  <c r="R623" i="20"/>
  <c r="R624" i="20"/>
  <c r="R625" i="20"/>
  <c r="R626" i="20"/>
  <c r="R627" i="20"/>
  <c r="R628" i="20"/>
  <c r="R629" i="20"/>
  <c r="R630" i="20"/>
  <c r="R631" i="20"/>
  <c r="R632" i="20"/>
  <c r="R633" i="20"/>
  <c r="R634" i="20"/>
  <c r="R635" i="20"/>
  <c r="R636" i="20"/>
  <c r="R637" i="20"/>
  <c r="R638" i="20"/>
  <c r="R639" i="20"/>
  <c r="R640" i="20"/>
  <c r="R641" i="20"/>
  <c r="R642" i="20"/>
  <c r="R643" i="20"/>
  <c r="R644" i="20"/>
  <c r="R645" i="20"/>
  <c r="R646" i="20"/>
  <c r="R647" i="20"/>
  <c r="R648" i="20"/>
  <c r="R649" i="20"/>
  <c r="R650" i="20"/>
  <c r="R651" i="20"/>
  <c r="R652" i="20"/>
  <c r="R653" i="20"/>
  <c r="R654" i="20"/>
  <c r="R655" i="20"/>
  <c r="R656" i="20"/>
  <c r="R657" i="20"/>
  <c r="R658" i="20"/>
  <c r="R659" i="20"/>
  <c r="R660" i="20"/>
  <c r="R661" i="20"/>
  <c r="R662" i="20"/>
  <c r="R663" i="20"/>
  <c r="R664" i="20"/>
  <c r="R665" i="20"/>
  <c r="R666" i="20"/>
  <c r="R667" i="20"/>
  <c r="R668" i="20"/>
  <c r="R669" i="20"/>
  <c r="R670" i="20"/>
  <c r="R671" i="20"/>
  <c r="R672" i="20"/>
  <c r="R673" i="20"/>
  <c r="R674" i="20"/>
  <c r="R675" i="20"/>
  <c r="R676" i="20"/>
  <c r="R677" i="20"/>
  <c r="R678" i="20"/>
  <c r="R679" i="20"/>
  <c r="R680" i="20"/>
  <c r="R681" i="20"/>
  <c r="R682" i="20"/>
  <c r="R683" i="20"/>
  <c r="R684" i="20"/>
  <c r="R685" i="20"/>
  <c r="R686" i="20"/>
  <c r="R687" i="20"/>
  <c r="R688" i="20"/>
  <c r="R689" i="20"/>
  <c r="R690" i="20"/>
  <c r="R691" i="20"/>
  <c r="R692" i="20"/>
  <c r="R693" i="20"/>
  <c r="R694" i="20"/>
  <c r="R695" i="20"/>
  <c r="R696" i="20"/>
  <c r="R697" i="20"/>
  <c r="R698" i="20"/>
  <c r="R699" i="20"/>
  <c r="R700" i="20"/>
  <c r="R701" i="20"/>
  <c r="R702" i="20"/>
  <c r="R703" i="20"/>
  <c r="R704" i="20"/>
  <c r="R705" i="20"/>
  <c r="R706" i="20"/>
  <c r="R707" i="20"/>
  <c r="R708" i="20"/>
  <c r="R709" i="20"/>
  <c r="R710" i="20"/>
  <c r="R711" i="20"/>
  <c r="R712" i="20"/>
  <c r="R713" i="20"/>
  <c r="R714" i="20"/>
  <c r="R715" i="20"/>
  <c r="R716" i="20"/>
  <c r="R717" i="20"/>
  <c r="R718" i="20"/>
  <c r="R719" i="20"/>
  <c r="R720" i="20"/>
  <c r="R721" i="20"/>
  <c r="R722" i="20"/>
  <c r="R723" i="20"/>
  <c r="R724" i="20"/>
  <c r="R725" i="20"/>
  <c r="R726" i="20"/>
  <c r="R727" i="20"/>
  <c r="R728" i="20"/>
  <c r="R729" i="20"/>
  <c r="R730" i="20"/>
  <c r="R731" i="20"/>
  <c r="R732" i="20"/>
  <c r="R733" i="20"/>
  <c r="R734" i="20"/>
  <c r="R735" i="20"/>
  <c r="R736" i="20"/>
  <c r="R737" i="20"/>
  <c r="R738" i="20"/>
  <c r="R739" i="20"/>
  <c r="R740" i="20"/>
  <c r="R741" i="20"/>
  <c r="R742" i="20"/>
  <c r="R743" i="20"/>
  <c r="R744" i="20"/>
  <c r="R745" i="20"/>
  <c r="R746" i="20"/>
  <c r="R747" i="20"/>
  <c r="R748" i="20"/>
  <c r="R749" i="20"/>
  <c r="R750" i="20"/>
  <c r="R751" i="20"/>
  <c r="R752" i="20"/>
  <c r="R753" i="20"/>
  <c r="R754" i="20"/>
  <c r="R755" i="20"/>
  <c r="R756" i="20"/>
  <c r="R757" i="20"/>
  <c r="R759" i="20"/>
  <c r="R760" i="20"/>
  <c r="R761" i="20"/>
  <c r="R762" i="20"/>
  <c r="R763" i="20"/>
  <c r="R764" i="20"/>
  <c r="R765" i="20"/>
  <c r="R766" i="20"/>
  <c r="R767" i="20"/>
  <c r="R768" i="20"/>
  <c r="R769" i="20"/>
  <c r="R770" i="20"/>
  <c r="R771" i="20"/>
  <c r="R772" i="20"/>
  <c r="R773" i="20"/>
  <c r="R774" i="20"/>
  <c r="R775" i="20"/>
  <c r="R776" i="20"/>
  <c r="R777" i="20"/>
  <c r="R778" i="20"/>
  <c r="R779" i="20"/>
  <c r="R780" i="20"/>
  <c r="R781" i="20"/>
  <c r="R782" i="20"/>
  <c r="R783" i="20"/>
  <c r="R784" i="20"/>
  <c r="R816" i="20"/>
  <c r="R817" i="20"/>
  <c r="R818" i="20"/>
  <c r="R819" i="20"/>
  <c r="R820" i="20"/>
  <c r="R821" i="20"/>
  <c r="R822" i="20"/>
  <c r="R823" i="20"/>
  <c r="R824" i="20"/>
  <c r="R825" i="20"/>
  <c r="R826" i="20"/>
  <c r="R827" i="20"/>
  <c r="R828" i="20"/>
  <c r="R829" i="20"/>
  <c r="R830" i="20"/>
  <c r="R831" i="20"/>
  <c r="R832" i="20"/>
  <c r="R833" i="20"/>
  <c r="R834" i="20"/>
  <c r="R835" i="20"/>
  <c r="R836" i="20"/>
  <c r="R837" i="20"/>
  <c r="R838" i="20"/>
  <c r="R839" i="20"/>
  <c r="R840" i="20"/>
  <c r="R841" i="20"/>
  <c r="R842" i="20"/>
  <c r="R843" i="20"/>
  <c r="R844" i="20"/>
  <c r="R846" i="20"/>
  <c r="R847" i="20"/>
  <c r="R848" i="20"/>
  <c r="R849" i="20"/>
  <c r="R850" i="20"/>
  <c r="R851" i="20"/>
  <c r="R852" i="20"/>
  <c r="R853" i="20"/>
  <c r="R854" i="20"/>
  <c r="R855" i="20"/>
  <c r="R856" i="20"/>
  <c r="R857" i="20"/>
  <c r="R858" i="20"/>
  <c r="R859" i="20"/>
  <c r="R860" i="20"/>
  <c r="R861" i="20"/>
  <c r="R862" i="20"/>
  <c r="R863" i="20"/>
  <c r="R864" i="20"/>
  <c r="R865" i="20"/>
  <c r="R866" i="20"/>
  <c r="R867" i="20"/>
  <c r="R868" i="20"/>
  <c r="R869" i="20"/>
  <c r="R870" i="20"/>
  <c r="R871" i="20"/>
  <c r="R872" i="20"/>
  <c r="R873" i="20"/>
  <c r="R874" i="20"/>
  <c r="R875" i="20"/>
  <c r="R876" i="20"/>
  <c r="R877" i="20"/>
  <c r="R878" i="20"/>
  <c r="R879" i="20"/>
  <c r="R880" i="20"/>
  <c r="R881" i="20"/>
  <c r="R882" i="20"/>
  <c r="R883" i="20"/>
  <c r="R884" i="20"/>
  <c r="R885" i="20"/>
  <c r="R886" i="20"/>
  <c r="R887" i="20"/>
  <c r="R888" i="20"/>
  <c r="R889" i="20"/>
  <c r="R890" i="20"/>
  <c r="R891" i="20"/>
  <c r="R892" i="20"/>
  <c r="R893" i="20"/>
  <c r="R894" i="20"/>
  <c r="R895" i="20"/>
  <c r="R896" i="20"/>
  <c r="R897" i="20"/>
  <c r="R898" i="20"/>
  <c r="R899" i="20"/>
  <c r="R900" i="20"/>
  <c r="R901" i="20"/>
  <c r="R902" i="20"/>
  <c r="R903" i="20"/>
  <c r="R904" i="20"/>
  <c r="R905" i="20"/>
  <c r="R906" i="20"/>
  <c r="R907" i="20"/>
  <c r="R908" i="20"/>
  <c r="R909" i="20"/>
  <c r="R910" i="20"/>
  <c r="R911" i="20"/>
  <c r="R912" i="20"/>
  <c r="R913" i="20"/>
  <c r="R914" i="20"/>
  <c r="R915" i="20"/>
  <c r="R916" i="20"/>
  <c r="R917" i="20"/>
  <c r="R918" i="20"/>
  <c r="R919" i="20"/>
  <c r="R920" i="20"/>
  <c r="R921" i="20"/>
  <c r="R922" i="20"/>
  <c r="R923" i="20"/>
  <c r="R924" i="20"/>
  <c r="R925" i="20"/>
  <c r="R926" i="20"/>
  <c r="R927" i="20"/>
  <c r="R928" i="20"/>
  <c r="R929" i="20"/>
  <c r="R930" i="20"/>
  <c r="R931" i="20"/>
  <c r="R932" i="20"/>
  <c r="R933" i="20"/>
  <c r="R934" i="20"/>
  <c r="R935" i="20"/>
  <c r="R936" i="20"/>
  <c r="R937" i="20"/>
  <c r="R938" i="20"/>
  <c r="R939" i="20"/>
  <c r="R940" i="20"/>
  <c r="R941" i="20"/>
  <c r="R942" i="20"/>
  <c r="R943" i="20"/>
  <c r="R944" i="20"/>
  <c r="R945" i="20"/>
  <c r="R946" i="20"/>
  <c r="R947" i="20"/>
  <c r="R948" i="20"/>
  <c r="R949" i="20"/>
  <c r="R950" i="20"/>
  <c r="R951" i="20"/>
  <c r="R952" i="20"/>
  <c r="R953" i="20"/>
  <c r="R954" i="20"/>
  <c r="G25" i="21"/>
  <c r="AD537" i="20" l="1"/>
  <c r="AE537" i="20" s="1"/>
  <c r="M537" i="20"/>
  <c r="L537" i="20"/>
  <c r="I537" i="20"/>
  <c r="G24" i="21" l="1"/>
  <c r="M1127" i="20" l="1"/>
  <c r="H25" i="31" l="1"/>
  <c r="R1140" i="20" l="1"/>
  <c r="L1140" i="20"/>
  <c r="AF1506" i="20" l="1"/>
  <c r="R1138" i="20" l="1"/>
  <c r="R1139" i="20"/>
  <c r="R1180" i="20"/>
  <c r="L1139" i="20" l="1"/>
  <c r="L1180" i="20"/>
  <c r="J836" i="24" l="1"/>
  <c r="AF1507" i="20" l="1"/>
  <c r="I1058" i="20" l="1"/>
  <c r="I1059" i="20"/>
  <c r="I1060" i="20"/>
  <c r="I1061" i="20"/>
  <c r="I1062" i="20"/>
  <c r="I1063" i="20"/>
  <c r="I1064" i="20"/>
  <c r="I1065" i="20"/>
  <c r="I1066" i="20"/>
  <c r="I1067" i="20"/>
  <c r="I1068" i="20"/>
  <c r="I1069" i="20"/>
  <c r="I1070" i="20"/>
  <c r="I1071" i="20"/>
  <c r="I1072" i="20"/>
  <c r="I1073" i="20"/>
  <c r="I1074" i="20"/>
  <c r="I1075" i="20"/>
  <c r="I1076" i="20"/>
  <c r="I1077" i="20"/>
  <c r="I1078" i="20"/>
  <c r="I1079" i="20"/>
  <c r="I1080" i="20"/>
  <c r="I1081" i="20"/>
  <c r="I1082" i="20"/>
  <c r="I1083" i="20"/>
  <c r="I1084" i="20"/>
  <c r="I1085" i="20"/>
  <c r="I1086" i="20"/>
  <c r="I1087" i="20"/>
  <c r="I1088" i="20"/>
  <c r="I1089" i="20"/>
  <c r="I1090" i="20"/>
  <c r="I1091" i="20"/>
  <c r="I1092" i="20"/>
  <c r="I1093" i="20"/>
  <c r="I1094" i="20"/>
  <c r="I1095" i="20"/>
  <c r="I1096" i="20"/>
  <c r="I1097" i="20"/>
  <c r="I1098" i="20"/>
  <c r="I1099" i="20"/>
  <c r="I1100" i="20"/>
  <c r="I1101" i="20"/>
  <c r="I1102" i="20"/>
  <c r="I1103" i="20"/>
  <c r="I1104" i="20"/>
  <c r="I1105" i="20"/>
  <c r="I1106" i="20"/>
  <c r="I1107" i="20"/>
  <c r="I1108" i="20"/>
  <c r="I1109" i="20"/>
  <c r="I1110" i="20"/>
  <c r="I1111" i="20"/>
  <c r="I1112" i="20"/>
  <c r="I1113" i="20"/>
  <c r="I1114" i="20"/>
  <c r="I1115" i="20"/>
  <c r="I1116" i="20"/>
  <c r="I1117" i="20"/>
  <c r="I1118" i="20"/>
  <c r="I1119" i="20"/>
  <c r="I1120" i="20"/>
  <c r="I1121" i="20"/>
  <c r="I1122" i="20"/>
  <c r="I1123" i="20"/>
  <c r="I1124" i="20"/>
  <c r="I1125" i="20"/>
  <c r="I1126" i="20"/>
  <c r="I1127" i="20"/>
  <c r="I1128" i="20"/>
  <c r="I1129" i="20"/>
  <c r="I1130" i="20"/>
  <c r="I1131" i="20"/>
  <c r="I1132" i="20"/>
  <c r="I1133" i="20"/>
  <c r="I1134" i="20"/>
  <c r="I1135" i="20"/>
  <c r="I1136" i="20"/>
  <c r="I1137" i="20"/>
  <c r="I1180" i="20"/>
  <c r="I1181" i="20"/>
  <c r="I1182" i="20"/>
  <c r="I1183" i="20"/>
  <c r="I1184" i="20"/>
  <c r="I1185" i="20"/>
  <c r="I1138" i="20"/>
  <c r="I1161" i="20"/>
  <c r="I1141" i="20"/>
  <c r="I1142" i="20"/>
  <c r="I1143" i="20"/>
  <c r="I1144" i="20"/>
  <c r="I1145" i="20"/>
  <c r="I1186" i="20"/>
  <c r="I1187" i="20"/>
  <c r="I1173" i="20"/>
  <c r="I1188" i="20"/>
  <c r="I1190" i="20"/>
  <c r="I1168" i="20"/>
  <c r="I1169" i="20"/>
  <c r="I1191" i="20"/>
  <c r="I1192" i="20"/>
  <c r="I1193" i="20"/>
  <c r="I1194" i="20"/>
  <c r="I1146" i="20"/>
  <c r="I1147" i="20"/>
  <c r="I1148" i="20"/>
  <c r="I1149" i="20"/>
  <c r="I1150" i="20"/>
  <c r="I1151" i="20"/>
  <c r="I1152" i="20"/>
  <c r="I1199" i="20"/>
  <c r="I1195" i="20"/>
  <c r="I1153" i="20"/>
  <c r="I1154" i="20"/>
  <c r="I1155" i="20"/>
  <c r="I1156" i="20"/>
  <c r="I1200" i="20"/>
  <c r="I1201" i="20"/>
  <c r="I1157" i="20"/>
  <c r="I1202" i="20"/>
  <c r="I1203" i="20"/>
  <c r="I1204" i="20"/>
  <c r="I1158" i="20"/>
  <c r="I1170" i="20"/>
  <c r="I1174" i="20"/>
  <c r="I1206" i="20"/>
  <c r="I1160" i="20"/>
  <c r="I1159" i="20"/>
  <c r="I1171" i="20"/>
  <c r="I1205" i="20"/>
  <c r="I1162" i="20"/>
  <c r="I1163" i="20"/>
  <c r="I1164" i="20"/>
  <c r="I1165" i="20"/>
  <c r="I1166" i="20"/>
  <c r="I1167" i="20"/>
  <c r="I1212" i="20"/>
  <c r="I1213" i="20"/>
  <c r="I1214" i="20"/>
  <c r="I1176" i="20"/>
  <c r="I1179" i="20"/>
  <c r="I1178" i="20"/>
  <c r="I1175" i="20"/>
  <c r="I1172" i="20"/>
  <c r="I1196" i="20"/>
  <c r="I1197" i="20"/>
  <c r="I1215" i="20"/>
  <c r="I1216" i="20"/>
  <c r="I1217" i="20"/>
  <c r="I1218" i="20"/>
  <c r="I1198" i="20"/>
  <c r="I1220" i="20"/>
  <c r="I1222" i="20"/>
  <c r="I1223" i="20"/>
  <c r="I1224" i="20"/>
  <c r="I1225" i="20"/>
  <c r="I1226" i="20"/>
  <c r="I1227" i="20"/>
  <c r="I1228" i="20"/>
  <c r="I1229" i="20"/>
  <c r="I1230" i="20"/>
  <c r="I1231" i="20"/>
  <c r="I1232" i="20"/>
  <c r="I1233" i="20"/>
  <c r="I1234" i="20"/>
  <c r="I1235" i="20"/>
  <c r="I1236" i="20"/>
  <c r="I1237" i="20"/>
  <c r="I1238" i="20"/>
  <c r="I1239" i="20"/>
  <c r="I1240" i="20"/>
  <c r="I1242" i="20"/>
  <c r="I1243" i="20"/>
  <c r="I1244" i="20"/>
  <c r="I1245" i="20"/>
  <c r="I1246" i="20"/>
  <c r="I1247" i="20"/>
  <c r="I1250" i="20"/>
  <c r="I1249" i="20"/>
  <c r="I1251" i="20"/>
  <c r="I1252" i="20"/>
  <c r="I1253" i="20"/>
  <c r="I1254" i="20"/>
  <c r="I1255" i="20"/>
  <c r="I1256" i="20"/>
  <c r="I1257" i="20"/>
  <c r="I1258" i="20"/>
  <c r="I1259" i="20"/>
  <c r="I1260" i="20"/>
  <c r="I1261" i="20"/>
  <c r="I1262" i="20"/>
  <c r="I1263" i="20"/>
  <c r="I1264" i="20"/>
  <c r="I1265" i="20"/>
  <c r="I1266" i="20"/>
  <c r="I1267" i="20"/>
  <c r="I1270" i="20"/>
  <c r="I1271" i="20"/>
  <c r="I1272" i="20"/>
  <c r="I1273" i="20"/>
  <c r="I1274" i="20"/>
  <c r="I1275" i="20"/>
  <c r="I1276" i="20"/>
  <c r="I1277" i="20"/>
  <c r="I1278" i="20"/>
  <c r="I1279" i="20"/>
  <c r="I1280" i="20"/>
  <c r="I1281" i="20"/>
  <c r="I1282" i="20"/>
  <c r="I1283" i="20"/>
  <c r="I1284" i="20"/>
  <c r="I1285" i="20"/>
  <c r="I1286" i="20"/>
  <c r="I1287" i="20"/>
  <c r="I1288" i="20"/>
  <c r="I1289" i="20"/>
  <c r="I1290" i="20"/>
  <c r="I1291" i="20"/>
  <c r="I1292" i="20"/>
  <c r="I1293" i="20"/>
  <c r="I1294" i="20"/>
  <c r="I1295" i="20"/>
  <c r="I1296" i="20"/>
  <c r="I1297" i="20"/>
  <c r="I1298" i="20"/>
  <c r="I1299" i="20"/>
  <c r="I1300" i="20"/>
  <c r="I1301" i="20"/>
  <c r="I1302" i="20"/>
  <c r="I1303" i="20"/>
  <c r="I1304" i="20"/>
  <c r="I1305" i="20"/>
  <c r="I1306" i="20"/>
  <c r="I1307" i="20"/>
  <c r="I1308" i="20"/>
  <c r="I1309" i="20"/>
  <c r="I1310" i="20"/>
  <c r="I1311" i="20"/>
  <c r="I1312" i="20"/>
  <c r="I1313" i="20"/>
  <c r="I1314" i="20"/>
  <c r="I1315" i="20"/>
  <c r="I1316" i="20"/>
  <c r="I1317" i="20"/>
  <c r="I1318" i="20"/>
  <c r="I1319" i="20"/>
  <c r="I1320" i="20"/>
  <c r="I1321" i="20"/>
  <c r="I1322" i="20"/>
  <c r="I1323" i="20"/>
  <c r="I1324" i="20"/>
  <c r="I1325" i="20"/>
  <c r="I1326" i="20"/>
  <c r="I1327" i="20"/>
  <c r="I1328" i="20"/>
  <c r="I1329" i="20"/>
  <c r="I1330" i="20"/>
  <c r="I1332" i="20"/>
  <c r="I1333" i="20"/>
  <c r="I1335" i="20"/>
  <c r="I1336" i="20"/>
  <c r="I1337" i="20"/>
  <c r="I1338" i="20"/>
  <c r="I1339" i="20"/>
  <c r="I1340" i="20"/>
  <c r="I1341" i="20"/>
  <c r="I1342" i="20"/>
  <c r="I1343" i="20"/>
  <c r="I1344" i="20"/>
  <c r="I1345" i="20"/>
  <c r="I1346" i="20"/>
  <c r="I1347" i="20"/>
  <c r="I1348" i="20"/>
  <c r="I1349" i="20"/>
  <c r="I1350" i="20"/>
  <c r="I1351" i="20"/>
  <c r="I1352" i="20"/>
  <c r="I1353" i="20"/>
  <c r="I1354" i="20"/>
  <c r="I1355" i="20"/>
  <c r="I1356" i="20"/>
  <c r="I1357" i="20"/>
  <c r="I1358" i="20"/>
  <c r="I1359" i="20"/>
  <c r="I1360" i="20"/>
  <c r="I1361" i="20"/>
  <c r="I1362" i="20"/>
  <c r="I1363" i="20"/>
  <c r="I1364" i="20"/>
  <c r="I1365" i="20"/>
  <c r="I1366" i="20"/>
  <c r="I1367" i="20"/>
  <c r="I1368" i="20"/>
  <c r="I1369" i="20"/>
  <c r="I1370" i="20"/>
  <c r="I1371" i="20"/>
  <c r="I1372" i="20"/>
  <c r="I1373" i="20"/>
  <c r="I1374" i="20"/>
  <c r="I1375" i="20"/>
  <c r="I1376" i="20"/>
  <c r="I1377" i="20"/>
  <c r="I1378" i="20"/>
  <c r="I1379" i="20"/>
  <c r="I1380" i="20"/>
  <c r="I1381" i="20"/>
  <c r="I1382" i="20"/>
  <c r="I1383" i="20"/>
  <c r="I1384" i="20"/>
  <c r="I1385" i="20"/>
  <c r="I1386" i="20"/>
  <c r="I1387" i="20"/>
  <c r="I1388" i="20"/>
  <c r="I1389" i="20"/>
  <c r="I1390" i="20"/>
  <c r="I1391" i="20"/>
  <c r="I1392" i="20"/>
  <c r="I1393" i="20"/>
  <c r="I1394" i="20"/>
  <c r="I1395" i="20"/>
  <c r="I1396" i="20"/>
  <c r="I1397" i="20"/>
  <c r="I1398" i="20"/>
  <c r="I1399" i="20"/>
  <c r="I1400" i="20"/>
  <c r="I1401" i="20"/>
  <c r="I1402" i="20"/>
  <c r="I1403" i="20"/>
  <c r="I1404" i="20"/>
  <c r="I1405" i="20"/>
  <c r="I1406" i="20"/>
  <c r="I1407" i="20"/>
  <c r="I1408" i="20"/>
  <c r="I1409" i="20"/>
  <c r="I1410" i="20"/>
  <c r="I1411" i="20"/>
  <c r="I1412" i="20"/>
  <c r="I1413" i="20"/>
  <c r="I1414" i="20"/>
  <c r="I1415" i="20"/>
  <c r="I1416" i="20"/>
  <c r="I1417" i="20"/>
  <c r="I1418" i="20"/>
  <c r="I1419" i="20"/>
  <c r="I1420" i="20"/>
  <c r="I1421" i="20"/>
  <c r="I1422" i="20"/>
  <c r="I1423" i="20"/>
  <c r="I1424" i="20"/>
  <c r="I1425" i="20"/>
  <c r="I1426" i="20"/>
  <c r="I1427" i="20"/>
  <c r="I1428" i="20"/>
  <c r="I1429" i="20"/>
  <c r="I1430" i="20"/>
  <c r="I1431" i="20"/>
  <c r="I1432" i="20"/>
  <c r="I1433" i="20"/>
  <c r="I1434" i="20"/>
  <c r="I1435" i="20"/>
  <c r="I1436" i="20"/>
  <c r="I1437" i="20"/>
  <c r="I1438" i="20"/>
  <c r="I1439" i="20"/>
  <c r="I1440" i="20"/>
  <c r="I1441" i="20"/>
  <c r="I1442" i="20"/>
  <c r="I1443" i="20"/>
  <c r="I1444" i="20"/>
  <c r="I1445" i="20"/>
  <c r="I1446" i="20"/>
  <c r="I1447" i="20"/>
  <c r="I1448" i="20"/>
  <c r="I1449" i="20"/>
  <c r="I1450" i="20"/>
  <c r="I1451" i="20"/>
  <c r="I1452" i="20"/>
  <c r="I1453" i="20"/>
  <c r="I1454" i="20"/>
  <c r="I1455" i="20"/>
  <c r="I1456" i="20"/>
  <c r="I1457" i="20"/>
  <c r="I1458" i="20"/>
  <c r="I1459" i="20"/>
  <c r="I1460" i="20"/>
  <c r="I1461" i="20"/>
  <c r="I1462" i="20"/>
  <c r="I1463" i="20"/>
  <c r="I1464" i="20"/>
  <c r="I1465" i="20"/>
  <c r="I1466" i="20"/>
  <c r="I1467" i="20"/>
  <c r="I1468" i="20"/>
  <c r="I1469" i="20"/>
  <c r="I1470" i="20"/>
  <c r="I1471" i="20"/>
  <c r="I1472" i="20"/>
  <c r="I1473" i="20"/>
  <c r="I1474" i="20"/>
  <c r="I1475" i="20"/>
  <c r="I1476" i="20"/>
  <c r="I1477" i="20"/>
  <c r="I1478" i="20"/>
  <c r="I1479" i="20"/>
  <c r="I1480" i="20"/>
  <c r="I1481" i="20"/>
  <c r="I1482" i="20"/>
  <c r="I1483" i="20"/>
  <c r="I1484" i="20"/>
  <c r="I1485" i="20"/>
  <c r="I1486" i="20"/>
  <c r="I1487" i="20"/>
  <c r="I1488" i="20"/>
  <c r="I1489" i="20"/>
  <c r="I1490" i="20"/>
  <c r="I1491" i="20"/>
  <c r="I1492" i="20"/>
  <c r="I1493" i="20"/>
  <c r="I1494" i="20"/>
  <c r="I1495" i="20"/>
  <c r="I1496" i="20"/>
  <c r="I1497" i="20"/>
  <c r="I1498" i="20"/>
  <c r="I1499" i="20"/>
  <c r="I1500" i="20"/>
  <c r="I1501" i="20"/>
  <c r="I1502" i="20"/>
  <c r="I1503" i="20"/>
  <c r="I1504" i="20"/>
  <c r="I1505" i="20"/>
  <c r="I1506" i="20"/>
  <c r="I1507" i="20"/>
  <c r="I1508" i="20"/>
  <c r="I1509" i="20"/>
  <c r="I1510" i="20"/>
  <c r="I1511" i="20"/>
  <c r="I1512" i="20"/>
  <c r="I1513" i="20"/>
  <c r="I1514" i="20"/>
  <c r="I1515" i="20"/>
  <c r="I1516" i="20"/>
  <c r="I1517" i="20"/>
  <c r="I1518" i="20"/>
  <c r="I1519" i="20"/>
  <c r="I1520" i="20"/>
  <c r="I1521" i="20"/>
  <c r="I1522" i="20"/>
  <c r="I1523" i="20"/>
  <c r="I1524" i="20"/>
  <c r="I1525" i="20"/>
  <c r="I1526" i="20"/>
  <c r="I1527" i="20"/>
  <c r="I1528" i="20"/>
  <c r="I1529" i="20"/>
  <c r="I1530" i="20"/>
  <c r="I1531" i="20"/>
  <c r="I1532" i="20"/>
  <c r="I1533" i="20"/>
  <c r="I1534" i="20"/>
  <c r="I1535" i="20"/>
  <c r="I1536" i="20"/>
  <c r="I1537" i="20"/>
  <c r="I1538" i="20"/>
  <c r="I1539" i="20"/>
  <c r="I1540" i="20"/>
  <c r="I1541" i="20"/>
  <c r="I1542" i="20"/>
  <c r="I1543" i="20"/>
  <c r="I1544" i="20"/>
  <c r="I1545" i="20"/>
  <c r="I1546" i="20"/>
  <c r="I1547" i="20"/>
  <c r="I1548" i="20"/>
  <c r="I1549" i="20"/>
  <c r="I1550" i="20"/>
  <c r="I1551" i="20"/>
  <c r="I1552" i="20"/>
  <c r="I1553" i="20"/>
  <c r="I1554" i="20"/>
  <c r="I1555" i="20"/>
  <c r="I1556" i="20"/>
  <c r="I1557" i="20"/>
  <c r="I1558" i="20"/>
  <c r="I1559" i="20"/>
  <c r="I1560" i="20"/>
  <c r="I1561" i="20"/>
  <c r="I1562" i="20"/>
  <c r="I1563" i="20"/>
  <c r="I1564" i="20"/>
  <c r="I1565" i="20"/>
  <c r="I1566" i="20"/>
  <c r="I1567" i="20"/>
  <c r="I1568" i="20"/>
  <c r="I1569" i="20"/>
  <c r="I1570" i="20"/>
  <c r="I1571" i="20"/>
  <c r="I1572" i="20"/>
  <c r="I1573" i="20"/>
  <c r="I1574" i="20"/>
  <c r="I1575" i="20"/>
  <c r="I1576" i="20"/>
  <c r="I1577" i="20"/>
  <c r="I1578" i="20"/>
  <c r="I1579" i="20"/>
  <c r="I1580" i="20"/>
  <c r="I1581" i="20"/>
  <c r="I1582" i="20"/>
  <c r="I1583" i="20"/>
  <c r="I1584" i="20"/>
  <c r="I1585" i="20"/>
  <c r="I1586" i="20"/>
  <c r="I1587" i="20"/>
  <c r="I1588" i="20"/>
  <c r="I1589" i="20"/>
  <c r="I1590" i="20"/>
  <c r="I1591" i="20"/>
  <c r="I1592" i="20"/>
  <c r="I1593" i="20"/>
  <c r="I1594" i="20"/>
  <c r="I1595" i="20"/>
  <c r="I1596" i="20"/>
  <c r="I1597" i="20"/>
  <c r="I1598" i="20"/>
  <c r="I1599" i="20"/>
  <c r="I1600" i="20"/>
  <c r="I1601" i="20"/>
  <c r="I1602" i="20"/>
  <c r="I1603" i="20"/>
  <c r="I1604" i="20"/>
  <c r="I1605" i="20"/>
  <c r="I1606" i="20"/>
  <c r="I1607" i="20"/>
  <c r="I1608" i="20"/>
  <c r="I1609" i="20"/>
  <c r="I1610" i="20"/>
  <c r="I1611" i="20"/>
  <c r="I1612" i="20"/>
  <c r="I1613" i="20"/>
  <c r="I1614" i="20"/>
  <c r="I1615" i="20"/>
  <c r="I1616" i="20"/>
  <c r="I1617" i="20"/>
  <c r="I1618" i="20"/>
  <c r="I1619" i="20"/>
  <c r="I1620" i="20"/>
  <c r="I1621" i="20"/>
  <c r="I1622" i="20"/>
  <c r="I1623" i="20"/>
  <c r="I1624" i="20"/>
  <c r="I1625" i="20"/>
  <c r="I1626" i="20"/>
  <c r="I1627" i="20"/>
  <c r="I1628" i="20"/>
  <c r="I1629" i="20"/>
  <c r="I1630" i="20"/>
  <c r="I1631" i="20"/>
  <c r="I1632" i="20"/>
  <c r="I1633" i="20"/>
  <c r="I1634" i="20"/>
  <c r="I1635" i="20"/>
  <c r="I1636" i="20"/>
  <c r="I1637" i="20"/>
  <c r="I1638" i="20"/>
  <c r="I1639" i="20"/>
  <c r="I1640" i="20"/>
  <c r="I1641" i="20"/>
  <c r="I1642" i="20"/>
  <c r="I1643" i="20"/>
  <c r="I1644" i="20"/>
  <c r="I1645" i="20"/>
  <c r="I1646" i="20"/>
  <c r="I1647" i="20"/>
  <c r="I1648" i="20"/>
  <c r="I1649" i="20"/>
  <c r="I1650" i="20"/>
  <c r="I1651" i="20"/>
  <c r="I1652" i="20"/>
  <c r="I1653" i="20"/>
  <c r="I1654" i="20"/>
  <c r="I1655" i="20"/>
  <c r="I1656" i="20"/>
  <c r="I1657" i="20"/>
  <c r="I1658" i="20"/>
  <c r="I1659" i="20"/>
  <c r="I1660" i="20"/>
  <c r="I1661" i="20"/>
  <c r="I1662" i="20"/>
  <c r="I1663" i="20"/>
  <c r="I1664" i="20"/>
  <c r="I1665" i="20"/>
  <c r="I1666" i="20"/>
  <c r="I1667" i="20"/>
  <c r="I1668" i="20"/>
  <c r="I1669" i="20"/>
  <c r="I1670" i="20"/>
  <c r="I1671" i="20"/>
  <c r="I1672" i="20"/>
  <c r="I1673" i="20"/>
  <c r="I1674" i="20"/>
  <c r="I1675" i="20"/>
  <c r="I1676" i="20"/>
  <c r="I1677" i="20"/>
  <c r="I1678" i="20"/>
  <c r="I1679" i="20"/>
  <c r="I1680" i="20"/>
  <c r="I1681" i="20"/>
  <c r="I1682" i="20"/>
  <c r="I1683" i="20"/>
  <c r="I1684" i="20"/>
  <c r="I1685" i="20"/>
  <c r="I1686" i="20"/>
  <c r="I1687" i="20"/>
  <c r="I1688" i="20"/>
  <c r="I1689" i="20"/>
  <c r="I1690" i="20"/>
  <c r="I1691" i="20"/>
  <c r="I1692" i="20"/>
  <c r="I1693" i="20"/>
  <c r="I1694" i="20"/>
  <c r="I1695" i="20"/>
  <c r="I1696" i="20"/>
  <c r="I1697" i="20"/>
  <c r="I1698" i="20"/>
  <c r="I1699" i="20"/>
  <c r="I1700" i="20"/>
  <c r="I1701" i="20"/>
  <c r="I1702" i="20"/>
  <c r="I1703" i="20"/>
  <c r="I1704" i="20"/>
  <c r="I1705" i="20"/>
  <c r="I1706" i="20"/>
  <c r="I1707" i="20"/>
  <c r="I1708" i="20"/>
  <c r="I1709" i="20"/>
  <c r="I1710" i="20"/>
  <c r="I1711" i="20"/>
  <c r="I1712" i="20"/>
  <c r="I1713" i="20"/>
  <c r="I1714" i="20"/>
  <c r="I1715" i="20"/>
  <c r="I1716" i="20"/>
  <c r="I1717" i="20"/>
  <c r="I1718" i="20"/>
  <c r="I1719" i="20"/>
  <c r="I1720" i="20"/>
  <c r="I1721" i="20"/>
  <c r="I1722" i="20"/>
  <c r="I1723" i="20"/>
  <c r="I1724" i="20"/>
  <c r="I1725" i="20"/>
  <c r="I1726" i="20"/>
  <c r="I1727" i="20"/>
  <c r="I1728" i="20"/>
  <c r="I1729" i="20"/>
  <c r="I1730" i="20"/>
  <c r="I1731" i="20"/>
  <c r="I1732" i="20"/>
  <c r="I1733" i="20"/>
  <c r="I1734" i="20"/>
  <c r="I1735" i="20"/>
  <c r="I1736" i="20"/>
  <c r="I1737" i="20"/>
  <c r="I1738" i="20"/>
  <c r="I1739" i="20"/>
  <c r="I1740" i="20"/>
  <c r="I1741" i="20"/>
  <c r="I1742" i="20"/>
  <c r="I1743" i="20"/>
  <c r="I1744" i="20"/>
  <c r="I1745" i="20"/>
  <c r="I1746" i="20"/>
  <c r="I1747" i="20"/>
  <c r="I1748" i="20"/>
  <c r="I1749" i="20"/>
  <c r="I1750" i="20"/>
  <c r="I1751" i="20"/>
  <c r="I1752" i="20"/>
  <c r="I1753" i="20"/>
  <c r="I1754" i="20"/>
  <c r="I1755" i="20"/>
  <c r="I1756" i="20"/>
  <c r="I1757" i="20"/>
  <c r="I1758" i="20"/>
  <c r="I1759" i="20"/>
  <c r="I1760" i="20"/>
  <c r="I1761" i="20"/>
  <c r="I1762" i="20"/>
  <c r="I1763" i="20"/>
  <c r="I1764" i="20"/>
  <c r="I1765" i="20"/>
  <c r="I1766" i="20"/>
  <c r="I1767" i="20"/>
  <c r="I1768" i="20"/>
  <c r="I1769" i="20"/>
  <c r="I1770" i="20"/>
  <c r="I1771" i="20"/>
  <c r="I1772" i="20"/>
  <c r="I1773" i="20"/>
  <c r="I1774" i="20"/>
  <c r="I1775" i="20"/>
  <c r="I1776" i="20"/>
  <c r="I1777" i="20"/>
  <c r="I1778" i="20"/>
  <c r="I1779" i="20"/>
  <c r="I1780" i="20"/>
  <c r="I1781" i="20"/>
  <c r="I1782" i="20"/>
  <c r="I1783" i="20"/>
  <c r="I1784" i="20"/>
  <c r="I1785" i="20"/>
  <c r="I1786" i="20"/>
  <c r="I1787" i="20"/>
  <c r="I1788" i="20"/>
  <c r="I1789" i="20"/>
  <c r="I1790" i="20"/>
  <c r="I1791" i="20"/>
  <c r="I1792" i="20"/>
  <c r="I1793" i="20"/>
  <c r="I1794" i="20"/>
  <c r="I1795" i="20"/>
  <c r="I1796" i="20"/>
  <c r="I1797" i="20"/>
  <c r="I1798" i="20"/>
  <c r="I1799" i="20"/>
  <c r="I1800" i="20"/>
  <c r="I1801" i="20"/>
  <c r="I1802" i="20"/>
  <c r="I1803" i="20"/>
  <c r="I1804" i="20"/>
  <c r="I1805" i="20"/>
  <c r="I1806" i="20"/>
  <c r="I1807" i="20"/>
  <c r="I1808" i="20"/>
  <c r="I1809" i="20"/>
  <c r="I1810" i="20"/>
  <c r="I1811" i="20"/>
  <c r="I1812" i="20"/>
  <c r="I1813" i="20"/>
  <c r="I1814" i="20"/>
  <c r="I1815" i="20"/>
  <c r="I1816" i="20"/>
  <c r="I1817" i="20"/>
  <c r="I1818" i="20"/>
  <c r="I1819" i="20"/>
  <c r="I1820" i="20"/>
  <c r="I1821" i="20"/>
  <c r="I1822" i="20"/>
  <c r="I1823" i="20"/>
  <c r="I1824" i="20"/>
  <c r="I1825" i="20"/>
  <c r="I1826" i="20"/>
  <c r="I1827" i="20"/>
  <c r="I1828" i="20"/>
  <c r="I1829" i="20"/>
  <c r="I1830" i="20"/>
  <c r="I1831" i="20"/>
  <c r="I1832" i="20"/>
  <c r="I1833" i="20"/>
  <c r="I1834" i="20"/>
  <c r="I1835" i="20"/>
  <c r="I1836" i="20"/>
  <c r="I1837" i="20"/>
  <c r="I1838" i="20"/>
  <c r="I1839" i="20"/>
  <c r="I1840" i="20"/>
  <c r="I1841" i="20"/>
  <c r="I1842" i="20"/>
  <c r="I1843" i="20"/>
  <c r="I1844" i="20"/>
  <c r="I1845" i="20"/>
  <c r="I1846" i="20"/>
  <c r="I1847" i="20"/>
  <c r="I1848" i="20"/>
  <c r="I1849" i="20"/>
  <c r="I1850" i="20"/>
  <c r="I1851" i="20"/>
  <c r="I1852" i="20"/>
  <c r="I1853" i="20"/>
  <c r="I1854" i="20"/>
  <c r="I1855" i="20"/>
  <c r="I1856" i="20"/>
  <c r="I1857" i="20"/>
  <c r="I1858" i="20"/>
  <c r="I1859" i="20"/>
  <c r="I1860" i="20"/>
  <c r="I1861" i="20"/>
  <c r="I1862" i="20"/>
  <c r="I1863" i="20"/>
  <c r="I1864" i="20"/>
  <c r="I1865" i="20"/>
  <c r="I1866" i="20"/>
  <c r="I1867" i="20"/>
  <c r="I1868" i="20"/>
  <c r="I1869" i="20"/>
  <c r="I1870" i="20"/>
  <c r="I1871" i="20"/>
  <c r="I1872" i="20"/>
  <c r="I1873" i="20"/>
  <c r="I1874" i="20"/>
  <c r="I1875" i="20"/>
  <c r="I1876" i="20"/>
  <c r="I1877" i="20"/>
  <c r="I1878" i="20"/>
  <c r="I1879" i="20"/>
  <c r="I1880" i="20"/>
  <c r="I1881" i="20"/>
  <c r="I1882" i="20"/>
  <c r="I1883" i="20"/>
  <c r="I1884" i="20"/>
  <c r="I1885" i="20"/>
  <c r="I1886" i="20"/>
  <c r="I1887" i="20"/>
  <c r="I1888" i="20"/>
  <c r="I1889" i="20"/>
  <c r="I1890" i="20"/>
  <c r="I1891" i="20"/>
  <c r="I1892" i="20"/>
  <c r="I1893" i="20"/>
  <c r="I1894" i="20"/>
  <c r="I1895" i="20"/>
  <c r="I1896" i="20"/>
  <c r="I1897" i="20"/>
  <c r="I1898" i="20"/>
  <c r="I1899" i="20"/>
  <c r="I1900" i="20"/>
  <c r="I1901" i="20"/>
  <c r="I1902" i="20"/>
  <c r="I1903" i="20"/>
  <c r="I1904" i="20"/>
  <c r="I1905" i="20"/>
  <c r="I1906" i="20"/>
  <c r="I1907" i="20"/>
  <c r="I1908" i="20"/>
  <c r="I1909" i="20"/>
  <c r="I1910" i="20"/>
  <c r="I1911" i="20"/>
  <c r="I1912" i="20"/>
  <c r="I1913" i="20"/>
  <c r="I1914" i="20"/>
  <c r="I1915" i="20"/>
  <c r="I1916" i="20"/>
  <c r="I1917" i="20"/>
  <c r="I1918" i="20"/>
  <c r="I1919" i="20"/>
  <c r="I1920" i="20"/>
  <c r="I1921" i="20"/>
  <c r="I1922" i="20"/>
  <c r="I1923" i="20"/>
  <c r="I1924" i="20"/>
  <c r="I1925" i="20"/>
  <c r="I1926" i="20"/>
  <c r="I1927" i="20"/>
  <c r="I1928" i="20"/>
  <c r="I1929" i="20"/>
  <c r="I1930" i="20"/>
  <c r="I1931" i="20"/>
  <c r="I1932" i="20"/>
  <c r="I1933" i="20"/>
  <c r="I1934" i="20"/>
  <c r="I1935" i="20"/>
  <c r="I1936" i="20"/>
  <c r="I1937" i="20"/>
  <c r="I1938" i="20"/>
  <c r="I1939" i="20"/>
  <c r="I1940" i="20"/>
  <c r="I1941" i="20"/>
  <c r="I1942" i="20"/>
  <c r="I1943" i="20"/>
  <c r="I1944" i="20"/>
  <c r="I1945" i="20"/>
  <c r="I1946" i="20"/>
  <c r="I1947" i="20"/>
  <c r="I1948" i="20"/>
  <c r="I1949" i="20"/>
  <c r="I1950" i="20"/>
  <c r="I1951" i="20"/>
  <c r="I1952" i="20"/>
  <c r="I1953" i="20"/>
  <c r="I1954" i="20"/>
  <c r="I1955" i="20"/>
  <c r="I1956" i="20"/>
  <c r="I1957" i="20"/>
  <c r="I1958" i="20"/>
  <c r="I1959" i="20"/>
  <c r="I1960" i="20"/>
  <c r="I1961" i="20"/>
  <c r="I1962" i="20"/>
  <c r="I1963" i="20"/>
  <c r="I1964" i="20"/>
  <c r="I1965" i="20"/>
  <c r="I1966" i="20"/>
  <c r="I1967" i="20"/>
  <c r="I1968" i="20"/>
  <c r="I1969" i="20"/>
  <c r="I1970" i="20"/>
  <c r="I1971" i="20"/>
  <c r="I1972" i="20"/>
  <c r="I1973" i="20"/>
  <c r="I1974" i="20"/>
  <c r="I1975" i="20"/>
  <c r="I1976" i="20"/>
  <c r="I1977" i="20"/>
  <c r="I1978" i="20"/>
  <c r="I1979" i="20"/>
  <c r="I1980" i="20"/>
  <c r="I1981" i="20"/>
  <c r="I1982" i="20"/>
  <c r="I1983" i="20"/>
  <c r="I1984" i="20"/>
  <c r="I1985" i="20"/>
  <c r="I1986" i="20"/>
  <c r="I1987" i="20"/>
  <c r="I1988" i="20"/>
  <c r="I1989" i="20"/>
  <c r="I1990" i="20"/>
  <c r="I1991" i="20"/>
  <c r="I1992" i="20"/>
  <c r="I1993" i="20"/>
  <c r="I1994" i="20"/>
  <c r="I1995" i="20"/>
  <c r="I1996" i="20"/>
  <c r="I1997" i="20"/>
  <c r="I1998" i="20"/>
  <c r="I1999" i="20"/>
  <c r="I2000" i="20"/>
  <c r="I2001" i="20"/>
  <c r="I2002" i="20"/>
  <c r="I2003" i="20"/>
  <c r="I2004" i="20"/>
  <c r="I2005" i="20"/>
  <c r="I2006" i="20"/>
  <c r="I2007" i="20"/>
  <c r="I2008" i="20"/>
  <c r="I2009" i="20"/>
  <c r="I2010" i="20"/>
  <c r="I2011" i="20"/>
  <c r="I2012" i="20"/>
  <c r="I2013" i="20"/>
  <c r="I2014" i="20"/>
  <c r="I2015" i="20"/>
  <c r="I2016" i="20"/>
  <c r="I2017" i="20"/>
  <c r="I2018" i="20"/>
  <c r="I2019" i="20"/>
  <c r="I2020" i="20"/>
  <c r="I2021" i="20"/>
  <c r="I2022" i="20"/>
  <c r="I2023" i="20"/>
  <c r="I2024" i="20"/>
  <c r="I2025" i="20"/>
  <c r="I2026" i="20"/>
  <c r="I2027" i="20"/>
  <c r="I2028" i="20"/>
  <c r="I2029" i="20"/>
  <c r="I2030" i="20"/>
  <c r="I2031" i="20"/>
  <c r="I2032" i="20"/>
  <c r="I2033" i="20"/>
  <c r="I2034" i="20"/>
  <c r="I2035" i="20"/>
  <c r="I2036" i="20"/>
  <c r="I2037" i="20"/>
  <c r="I2038" i="20"/>
  <c r="I2039" i="20"/>
  <c r="I2040" i="20"/>
  <c r="I2041" i="20"/>
  <c r="I2042" i="20"/>
  <c r="I2043" i="20"/>
  <c r="I2044" i="20"/>
  <c r="I2045" i="20"/>
  <c r="I2046" i="20"/>
  <c r="I2047" i="20"/>
  <c r="I2048" i="20"/>
  <c r="I2049" i="20"/>
  <c r="I2050" i="20"/>
  <c r="I2051" i="20"/>
  <c r="I2052" i="20"/>
  <c r="I2053" i="20"/>
  <c r="I2054" i="20"/>
  <c r="I2055" i="20"/>
  <c r="I2056" i="20"/>
  <c r="I2057" i="20"/>
  <c r="I2058" i="20"/>
  <c r="I2059" i="20"/>
  <c r="I2060" i="20"/>
  <c r="I2061" i="20"/>
  <c r="I2062" i="20"/>
  <c r="I2063" i="20"/>
  <c r="I2064" i="20"/>
  <c r="I2065" i="20"/>
  <c r="I2066" i="20"/>
  <c r="I2067" i="20"/>
  <c r="I2068" i="20"/>
  <c r="I2069" i="20"/>
  <c r="I2070" i="20"/>
  <c r="I2071" i="20"/>
  <c r="I2072" i="20"/>
  <c r="I2073" i="20"/>
  <c r="I2074" i="20"/>
  <c r="I2075" i="20"/>
  <c r="I2076" i="20"/>
  <c r="I2077" i="20"/>
  <c r="I2078" i="20"/>
  <c r="I2079" i="20"/>
  <c r="I2080" i="20"/>
  <c r="I2081" i="20"/>
  <c r="I2082" i="20"/>
  <c r="I2083" i="20"/>
  <c r="I2084" i="20"/>
  <c r="I2085" i="20"/>
  <c r="I2086" i="20"/>
  <c r="I2087" i="20"/>
  <c r="I2088" i="20"/>
  <c r="I2089" i="20"/>
  <c r="I2090" i="20"/>
  <c r="I2091" i="20"/>
  <c r="I2092" i="20"/>
  <c r="I2093" i="20"/>
  <c r="I2094" i="20"/>
  <c r="I2095" i="20"/>
  <c r="I2096" i="20"/>
  <c r="I2097" i="20"/>
  <c r="I2098" i="20"/>
  <c r="I2099" i="20"/>
  <c r="I2100" i="20"/>
  <c r="I2101" i="20"/>
  <c r="I2102" i="20"/>
  <c r="I2103" i="20"/>
  <c r="I2104" i="20"/>
  <c r="I2105" i="20"/>
  <c r="I2106" i="20"/>
  <c r="I2107" i="20"/>
  <c r="I2108" i="20"/>
  <c r="I2109" i="20"/>
  <c r="I2110" i="20"/>
  <c r="I2111" i="20"/>
  <c r="I2112" i="20"/>
  <c r="I2113" i="20"/>
  <c r="I2114" i="20"/>
  <c r="I2115" i="20"/>
  <c r="I2116" i="20"/>
  <c r="I2117" i="20"/>
  <c r="I2118" i="20"/>
  <c r="I2119" i="20"/>
  <c r="I2120" i="20"/>
  <c r="I2121" i="20"/>
  <c r="I2122" i="20"/>
  <c r="I2123" i="20"/>
  <c r="I2124" i="20"/>
  <c r="I2125" i="20"/>
  <c r="I2126" i="20"/>
  <c r="I2127" i="20"/>
  <c r="I2128" i="20"/>
  <c r="I2129" i="20"/>
  <c r="I2130" i="20"/>
  <c r="I2131" i="20"/>
  <c r="I2132" i="20"/>
  <c r="I2133" i="20"/>
  <c r="I2134" i="20"/>
  <c r="I2135" i="20"/>
  <c r="I2136" i="20"/>
  <c r="I2137" i="20"/>
  <c r="I2138" i="20"/>
  <c r="I2139" i="20"/>
  <c r="I2140" i="20"/>
  <c r="I2141" i="20"/>
  <c r="I2142" i="20"/>
  <c r="I2143" i="20"/>
  <c r="I2144" i="20"/>
  <c r="I2145" i="20"/>
  <c r="I2146" i="20"/>
  <c r="I2147" i="20"/>
  <c r="I2148" i="20"/>
  <c r="I2149" i="20"/>
  <c r="I2150" i="20"/>
  <c r="I2151" i="20"/>
  <c r="I2152" i="20"/>
  <c r="I2153" i="20"/>
  <c r="I2154" i="20"/>
  <c r="I2155" i="20"/>
  <c r="I2156" i="20"/>
  <c r="I2157" i="20"/>
  <c r="I2158" i="20"/>
  <c r="I2159" i="20"/>
  <c r="I2160" i="20"/>
  <c r="I2161" i="20"/>
  <c r="I2162" i="20"/>
  <c r="I2163" i="20"/>
  <c r="I2164" i="20"/>
  <c r="I2165" i="20"/>
  <c r="I2166" i="20"/>
  <c r="I2167" i="20"/>
  <c r="I2168" i="20"/>
  <c r="I2169" i="20"/>
  <c r="I2170" i="20"/>
  <c r="I2171" i="20"/>
  <c r="I2172" i="20"/>
  <c r="I2173" i="20"/>
  <c r="I2174" i="20"/>
  <c r="I2175" i="20"/>
  <c r="I2176" i="20"/>
  <c r="I2177" i="20"/>
  <c r="I2178" i="20"/>
  <c r="I2179" i="20"/>
  <c r="I2180" i="20"/>
  <c r="I2181" i="20"/>
  <c r="I2182" i="20"/>
  <c r="I2183" i="20"/>
  <c r="I2184" i="20"/>
  <c r="I2185" i="20"/>
  <c r="I2186" i="20"/>
  <c r="I2187" i="20"/>
  <c r="I2188" i="20"/>
  <c r="I2189" i="20"/>
  <c r="I2190" i="20"/>
  <c r="I2191" i="20"/>
  <c r="I2192" i="20"/>
  <c r="I2193" i="20"/>
  <c r="I2194" i="20"/>
  <c r="I2195" i="20"/>
  <c r="I2196" i="20"/>
  <c r="I2197" i="20"/>
  <c r="I2198" i="20"/>
  <c r="I2199" i="20"/>
  <c r="I2200" i="20"/>
  <c r="I2201" i="20"/>
  <c r="I2202" i="20"/>
  <c r="I2203" i="20"/>
  <c r="I2204" i="20"/>
  <c r="I2205" i="20"/>
  <c r="I2206" i="20"/>
  <c r="I2207" i="20"/>
  <c r="I2208" i="20"/>
  <c r="I2209" i="20"/>
  <c r="I2210" i="20"/>
  <c r="I2211" i="20"/>
  <c r="I2212" i="20"/>
  <c r="I2213" i="20"/>
  <c r="I2214" i="20"/>
  <c r="I2215" i="20"/>
  <c r="I2216" i="20"/>
  <c r="I2217" i="20"/>
  <c r="I2218" i="20"/>
  <c r="I2219" i="20"/>
  <c r="I2220" i="20"/>
  <c r="I2221" i="20"/>
  <c r="I2222" i="20"/>
  <c r="I2223" i="20"/>
  <c r="I2224" i="20"/>
  <c r="I2225" i="20"/>
  <c r="I2226" i="20"/>
  <c r="I2227" i="20"/>
  <c r="I2228" i="20"/>
  <c r="I2229" i="20"/>
  <c r="I2230" i="20"/>
  <c r="I2231" i="20"/>
  <c r="I2232" i="20"/>
  <c r="I2233" i="20"/>
  <c r="I2234" i="20"/>
  <c r="I2235" i="20"/>
  <c r="I2236" i="20"/>
  <c r="I2237" i="20"/>
  <c r="I2238" i="20"/>
  <c r="I2239" i="20"/>
  <c r="I2240" i="20"/>
  <c r="I2241" i="20"/>
  <c r="I2242" i="20"/>
  <c r="I2243" i="20"/>
  <c r="I2244" i="20"/>
  <c r="I2245" i="20"/>
  <c r="I2246" i="20"/>
  <c r="I2247" i="20"/>
  <c r="I2248" i="20"/>
  <c r="I2249" i="20"/>
  <c r="I2250" i="20"/>
  <c r="I2251" i="20"/>
  <c r="I2252" i="20"/>
  <c r="I2253" i="20"/>
  <c r="I2254" i="20"/>
  <c r="I2255" i="20"/>
  <c r="I2256" i="20"/>
  <c r="I2257" i="20"/>
  <c r="I2258" i="20"/>
  <c r="I2259" i="20"/>
  <c r="I2260" i="20"/>
  <c r="I2261" i="20"/>
  <c r="I2262" i="20"/>
  <c r="I2263" i="20"/>
  <c r="I2264" i="20"/>
  <c r="I2265" i="20"/>
  <c r="I2266" i="20"/>
  <c r="I2267" i="20"/>
  <c r="I2268" i="20"/>
  <c r="I2269" i="20"/>
  <c r="I2270" i="20"/>
  <c r="I2271" i="20"/>
  <c r="I2272" i="20"/>
  <c r="I2273" i="20"/>
  <c r="I2274" i="20"/>
  <c r="I2275" i="20"/>
  <c r="I2276" i="20"/>
  <c r="I2277" i="20"/>
  <c r="I2278" i="20"/>
  <c r="I2279" i="20"/>
  <c r="I2280" i="20"/>
  <c r="I2281" i="20"/>
  <c r="I2282" i="20"/>
  <c r="I2283" i="20"/>
  <c r="I2284" i="20"/>
  <c r="I2285" i="20"/>
  <c r="I2286" i="20"/>
  <c r="I2287" i="20"/>
  <c r="I2288" i="20"/>
  <c r="I2289" i="20"/>
  <c r="I2290" i="20"/>
  <c r="I2291" i="20"/>
  <c r="I2292" i="20"/>
  <c r="I2293" i="20"/>
  <c r="I2294" i="20"/>
  <c r="I2295" i="20"/>
  <c r="I2296" i="20"/>
  <c r="I2297" i="20"/>
  <c r="I2298" i="20"/>
  <c r="I2299" i="20"/>
  <c r="I2300" i="20"/>
  <c r="I2301" i="20"/>
  <c r="I2302" i="20"/>
  <c r="I2303" i="20"/>
  <c r="I2304" i="20"/>
  <c r="I2305" i="20"/>
  <c r="I2306" i="20"/>
  <c r="I2307" i="20"/>
  <c r="I2308" i="20"/>
  <c r="I2309" i="20"/>
  <c r="I2310" i="20"/>
  <c r="I2311" i="20"/>
  <c r="I2312" i="20"/>
  <c r="I2313" i="20"/>
  <c r="I2314" i="20"/>
  <c r="I2315" i="20"/>
  <c r="I2316" i="20"/>
  <c r="I2317" i="20"/>
  <c r="I2318" i="20"/>
  <c r="I2319" i="20"/>
  <c r="I2320" i="20"/>
  <c r="I2321" i="20"/>
  <c r="I2322" i="20"/>
  <c r="I2323" i="20"/>
  <c r="I2324" i="20"/>
  <c r="I2325" i="20"/>
  <c r="I2326" i="20"/>
  <c r="I2327" i="20"/>
  <c r="I2328" i="20"/>
  <c r="I2329" i="20"/>
  <c r="I2330" i="20"/>
  <c r="I2331" i="20"/>
  <c r="I2332" i="20"/>
  <c r="I2333" i="20"/>
  <c r="I2334" i="20"/>
  <c r="I2335" i="20"/>
  <c r="I2336" i="20"/>
  <c r="I2337" i="20"/>
  <c r="I2338" i="20"/>
  <c r="I2339" i="20"/>
  <c r="I2340" i="20"/>
  <c r="I2341" i="20"/>
  <c r="I2342" i="20"/>
  <c r="I2343" i="20"/>
  <c r="I2344" i="20"/>
  <c r="I2345" i="20"/>
  <c r="I2346" i="20"/>
  <c r="I2347" i="20"/>
  <c r="I2348" i="20"/>
  <c r="I2349" i="20"/>
  <c r="I2350" i="20"/>
  <c r="I2351" i="20"/>
  <c r="I2352" i="20"/>
  <c r="I2353" i="20"/>
  <c r="I2354" i="20"/>
  <c r="I2355" i="20"/>
  <c r="I2356" i="20"/>
  <c r="I2357" i="20"/>
  <c r="I2358" i="20"/>
  <c r="I2359" i="20"/>
  <c r="I2360" i="20"/>
  <c r="I2361" i="20"/>
  <c r="I2362" i="20"/>
  <c r="I2363" i="20"/>
  <c r="I2364" i="20"/>
  <c r="I2365" i="20"/>
  <c r="I2366" i="20"/>
  <c r="I2367" i="20"/>
  <c r="I2368" i="20"/>
  <c r="I2369" i="20"/>
  <c r="I2370" i="20"/>
  <c r="I2371" i="20"/>
  <c r="I2372" i="20"/>
  <c r="I2373" i="20"/>
  <c r="I2374" i="20"/>
  <c r="I2375" i="20"/>
  <c r="I2376" i="20"/>
  <c r="I2377" i="20"/>
  <c r="I2378" i="20"/>
  <c r="I2379" i="20"/>
  <c r="I2380" i="20"/>
  <c r="I2381" i="20"/>
  <c r="I2382" i="20"/>
  <c r="I2383" i="20"/>
  <c r="I2384" i="20"/>
  <c r="I2385" i="20"/>
  <c r="I2386" i="20"/>
  <c r="I2387" i="20"/>
  <c r="I2388" i="20"/>
  <c r="I2389" i="20"/>
  <c r="I2390" i="20"/>
  <c r="I2391" i="20"/>
  <c r="I2392" i="20"/>
  <c r="I2393" i="20"/>
  <c r="I2394" i="20"/>
  <c r="I2395" i="20"/>
  <c r="I2396" i="20"/>
  <c r="I2397" i="20"/>
  <c r="I2398" i="20"/>
  <c r="I2399" i="20"/>
  <c r="I2400" i="20"/>
  <c r="I2401" i="20"/>
  <c r="I2402" i="20"/>
  <c r="I2403" i="20"/>
  <c r="I2404" i="20"/>
  <c r="I2405" i="20"/>
  <c r="I2406" i="20"/>
  <c r="I2407" i="20"/>
  <c r="I2408" i="20"/>
  <c r="I2409" i="20"/>
  <c r="I2410" i="20"/>
  <c r="I2411" i="20"/>
  <c r="I2412" i="20"/>
  <c r="I2413" i="20"/>
  <c r="I2414" i="20"/>
  <c r="I2415" i="20"/>
  <c r="I2416" i="20"/>
  <c r="I2417" i="20"/>
  <c r="I2418" i="20"/>
  <c r="I2419" i="20"/>
  <c r="I2420" i="20"/>
  <c r="I2421" i="20"/>
  <c r="I2422" i="20"/>
  <c r="I2423" i="20"/>
  <c r="I2424" i="20"/>
  <c r="I2425" i="20"/>
  <c r="I2426" i="20"/>
  <c r="I2427" i="20"/>
  <c r="I2428" i="20"/>
  <c r="I2429" i="20"/>
  <c r="I2430" i="20"/>
  <c r="I2431" i="20"/>
  <c r="I2432" i="20"/>
  <c r="I2433" i="20"/>
  <c r="I2434" i="20"/>
  <c r="I2435" i="20"/>
  <c r="I2436" i="20"/>
  <c r="I2437" i="20"/>
  <c r="I2438" i="20"/>
  <c r="I2439" i="20"/>
  <c r="I2440" i="20"/>
  <c r="I2441" i="20"/>
  <c r="I2442" i="20"/>
  <c r="I2443" i="20"/>
  <c r="I2444" i="20"/>
  <c r="I2445" i="20"/>
  <c r="I2446" i="20"/>
  <c r="I2447" i="20"/>
  <c r="I2448" i="20"/>
  <c r="I2449" i="20"/>
  <c r="I2450" i="20"/>
  <c r="I2451" i="20"/>
  <c r="I2452" i="20"/>
  <c r="I2453" i="20"/>
  <c r="I2454" i="20"/>
  <c r="I2455" i="20"/>
  <c r="I2456" i="20"/>
  <c r="I2457" i="20"/>
  <c r="I2458" i="20"/>
  <c r="I2459" i="20"/>
  <c r="I2460" i="20"/>
  <c r="I2461" i="20"/>
  <c r="I2462" i="20"/>
  <c r="I2463" i="20"/>
  <c r="I2464" i="20"/>
  <c r="I2465" i="20"/>
  <c r="I2466" i="20"/>
  <c r="I2467" i="20"/>
  <c r="I2468" i="20"/>
  <c r="I2469" i="20"/>
  <c r="I2470" i="20"/>
  <c r="I2471" i="20"/>
  <c r="I2472" i="20"/>
  <c r="I2473" i="20"/>
  <c r="I2474" i="20"/>
  <c r="I2475" i="20"/>
  <c r="I2476" i="20"/>
  <c r="I2477" i="20"/>
  <c r="I2478" i="20"/>
  <c r="I2479" i="20"/>
  <c r="I2480" i="20"/>
  <c r="I2481" i="20"/>
  <c r="I2482" i="20"/>
  <c r="I2483" i="20"/>
  <c r="I2484" i="20"/>
  <c r="I2485" i="20"/>
  <c r="I2486" i="20"/>
  <c r="I2487" i="20"/>
  <c r="I2488" i="20"/>
  <c r="I2489" i="20"/>
  <c r="I2490" i="20"/>
  <c r="I2491" i="20"/>
  <c r="I2492" i="20"/>
  <c r="I2493" i="20"/>
  <c r="I2494" i="20"/>
  <c r="I2495" i="20"/>
  <c r="I2496" i="20"/>
  <c r="I2497" i="20"/>
  <c r="I2498" i="20"/>
  <c r="I2499" i="20"/>
  <c r="I2500" i="20"/>
  <c r="I2501" i="20"/>
  <c r="I2502" i="20"/>
  <c r="I2503" i="20"/>
  <c r="I2504" i="20"/>
  <c r="I2505" i="20"/>
  <c r="I2506" i="20"/>
  <c r="I2507" i="20"/>
  <c r="I2508" i="20"/>
  <c r="I2509" i="20"/>
  <c r="I2510" i="20"/>
  <c r="I2511" i="20"/>
  <c r="I2512" i="20"/>
  <c r="I2513" i="20"/>
  <c r="I2514" i="20"/>
  <c r="I2515" i="20"/>
  <c r="I2516" i="20"/>
  <c r="I2517" i="20"/>
  <c r="I2518" i="20"/>
  <c r="I2519" i="20"/>
  <c r="I2520" i="20"/>
  <c r="I2521" i="20"/>
  <c r="I2522" i="20"/>
  <c r="I2523" i="20"/>
  <c r="I2524" i="20"/>
  <c r="I2525" i="20"/>
  <c r="I2526" i="20"/>
  <c r="I2527" i="20"/>
  <c r="I2528" i="20"/>
  <c r="I2529" i="20"/>
  <c r="I2530" i="20"/>
  <c r="I2531" i="20"/>
  <c r="I2532" i="20"/>
  <c r="I2533" i="20"/>
  <c r="I2534" i="20"/>
  <c r="I2535" i="20"/>
  <c r="I2536" i="20"/>
  <c r="I2537" i="20"/>
  <c r="I2538" i="20"/>
  <c r="I2539" i="20"/>
  <c r="I2540" i="20"/>
  <c r="I2541" i="20"/>
  <c r="I2542" i="20"/>
  <c r="I2543" i="20"/>
  <c r="I2544" i="20"/>
  <c r="I2545" i="20"/>
  <c r="I2546" i="20"/>
  <c r="I2547" i="20"/>
  <c r="I2548" i="20"/>
  <c r="I2549" i="20"/>
  <c r="I2550" i="20"/>
  <c r="I2551" i="20"/>
  <c r="I2552" i="20"/>
  <c r="I2553" i="20"/>
  <c r="I2554" i="20"/>
  <c r="I2555" i="20"/>
  <c r="I2556" i="20"/>
  <c r="I2557" i="20"/>
  <c r="I2558" i="20"/>
  <c r="I2559" i="20"/>
  <c r="I2560" i="20"/>
  <c r="I2561" i="20"/>
  <c r="I2562" i="20"/>
  <c r="I2563" i="20"/>
  <c r="I2564" i="20"/>
  <c r="I2565" i="20"/>
  <c r="I2566" i="20"/>
  <c r="I2567" i="20"/>
  <c r="I2568" i="20"/>
  <c r="I2569" i="20"/>
  <c r="I2570" i="20"/>
  <c r="I2571" i="20"/>
  <c r="I2572" i="20"/>
  <c r="I2573" i="20"/>
  <c r="I2574" i="20"/>
  <c r="I2575" i="20"/>
  <c r="I2576" i="20"/>
  <c r="I2577" i="20"/>
  <c r="I2578" i="20"/>
  <c r="I2579" i="20"/>
  <c r="I2580" i="20"/>
  <c r="I2581" i="20"/>
  <c r="I2582" i="20"/>
  <c r="I2583" i="20"/>
  <c r="I2584" i="20"/>
  <c r="I2585" i="20"/>
  <c r="I2586" i="20"/>
  <c r="I2587" i="20"/>
  <c r="I2588" i="20"/>
  <c r="I2589" i="20"/>
  <c r="I2590" i="20"/>
  <c r="I2591" i="20"/>
  <c r="I2592" i="20"/>
  <c r="I2593" i="20"/>
  <c r="I2594" i="20"/>
  <c r="I2595" i="20"/>
  <c r="I2596" i="20"/>
  <c r="I2597" i="20"/>
  <c r="I2598" i="20"/>
  <c r="I2599" i="20"/>
  <c r="I2600" i="20"/>
  <c r="I2601" i="20"/>
  <c r="I2602" i="20"/>
  <c r="I2603" i="20"/>
  <c r="I2604" i="20"/>
  <c r="I2605" i="20"/>
  <c r="I2606" i="20"/>
  <c r="I2607" i="20"/>
  <c r="I2608" i="20"/>
  <c r="I2609" i="20"/>
  <c r="I2610" i="20"/>
  <c r="I2611" i="20"/>
  <c r="I2612" i="20"/>
  <c r="I2613" i="20"/>
  <c r="I2614" i="20"/>
  <c r="I2615" i="20"/>
  <c r="I2616" i="20"/>
  <c r="I2617" i="20"/>
  <c r="I2618" i="20"/>
  <c r="I2619" i="20"/>
  <c r="I2620" i="20"/>
  <c r="I2621" i="20"/>
  <c r="I2622" i="20"/>
  <c r="I2623" i="20"/>
  <c r="I2624" i="20"/>
  <c r="I2625" i="20"/>
  <c r="I2626" i="20"/>
  <c r="I2627" i="20"/>
  <c r="I2628" i="20"/>
  <c r="I2629" i="20"/>
  <c r="I2630" i="20"/>
  <c r="I2631" i="20"/>
  <c r="I2632" i="20"/>
  <c r="I2633" i="20"/>
  <c r="I2634" i="20"/>
  <c r="I2635" i="20"/>
  <c r="I2636" i="20"/>
  <c r="I2637" i="20"/>
  <c r="I2638" i="20"/>
  <c r="I2639" i="20"/>
  <c r="I2640" i="20"/>
  <c r="I2641" i="20"/>
  <c r="I2642" i="20"/>
  <c r="I2643" i="20"/>
  <c r="I2644" i="20"/>
  <c r="I2645" i="20"/>
  <c r="I2646" i="20"/>
  <c r="I2647" i="20"/>
  <c r="I2648" i="20"/>
  <c r="I2649" i="20"/>
  <c r="I2650" i="20"/>
  <c r="I2651" i="20"/>
  <c r="I2652" i="20"/>
  <c r="I2653" i="20"/>
  <c r="I2654" i="20"/>
  <c r="I2655" i="20"/>
  <c r="I2656" i="20"/>
  <c r="I2657" i="20"/>
  <c r="I2658" i="20"/>
  <c r="I2659" i="20"/>
  <c r="I2660" i="20"/>
  <c r="I2661" i="20"/>
  <c r="I2662" i="20"/>
  <c r="I2663" i="20"/>
  <c r="I2664" i="20"/>
  <c r="I2665" i="20"/>
  <c r="I2666" i="20"/>
  <c r="I2667" i="20"/>
  <c r="I2668" i="20"/>
  <c r="I2669" i="20"/>
  <c r="I2670" i="20"/>
  <c r="I2671" i="20"/>
  <c r="I2672" i="20"/>
  <c r="I2673" i="20"/>
  <c r="I2674" i="20"/>
  <c r="I2675" i="20"/>
  <c r="I2676" i="20"/>
  <c r="I2677" i="20"/>
  <c r="I2678" i="20"/>
  <c r="I2679" i="20"/>
  <c r="I2680" i="20"/>
  <c r="I2681" i="20"/>
  <c r="I2682" i="20"/>
  <c r="I2683" i="20"/>
  <c r="I2684" i="20"/>
  <c r="I2685" i="20"/>
  <c r="I2686" i="20"/>
  <c r="I2687" i="20"/>
  <c r="I2688" i="20"/>
  <c r="I2689" i="20"/>
  <c r="I2690" i="20"/>
  <c r="I2691" i="20"/>
  <c r="I2692" i="20"/>
  <c r="I2693" i="20"/>
  <c r="I2694" i="20"/>
  <c r="I2695" i="20"/>
  <c r="I2696" i="20"/>
  <c r="I2697" i="20"/>
  <c r="I2698" i="20"/>
  <c r="I2699" i="20"/>
  <c r="I2700" i="20"/>
  <c r="I2701" i="20"/>
  <c r="I2702" i="20"/>
  <c r="I2703" i="20"/>
  <c r="I2704" i="20"/>
  <c r="I2705" i="20"/>
  <c r="I2706" i="20"/>
  <c r="I2707" i="20"/>
  <c r="I2708" i="20"/>
  <c r="I2709" i="20"/>
  <c r="I2710" i="20"/>
  <c r="I2711" i="20"/>
  <c r="I2712" i="20"/>
  <c r="I2713" i="20"/>
  <c r="I2714" i="20"/>
  <c r="I2715" i="20"/>
  <c r="I2716" i="20"/>
  <c r="I2717" i="20"/>
  <c r="I2718" i="20"/>
  <c r="I2719" i="20"/>
  <c r="I2720" i="20"/>
  <c r="I2721" i="20"/>
  <c r="I2722" i="20"/>
  <c r="I2723" i="20"/>
  <c r="I2724" i="20"/>
  <c r="I2725" i="20"/>
  <c r="I2726" i="20"/>
  <c r="I2727" i="20"/>
  <c r="I2728" i="20"/>
  <c r="I2729" i="20"/>
  <c r="I2730" i="20"/>
  <c r="I2731" i="20"/>
  <c r="I2732" i="20"/>
  <c r="I2733" i="20"/>
  <c r="I2734" i="20"/>
  <c r="I2735" i="20"/>
  <c r="I2736" i="20"/>
  <c r="I2737" i="20"/>
  <c r="I2738" i="20"/>
  <c r="I2739" i="20"/>
  <c r="I2740" i="20"/>
  <c r="I2741" i="20"/>
  <c r="I2742" i="20"/>
  <c r="I2743" i="20"/>
  <c r="I2744" i="20"/>
  <c r="I2745" i="20"/>
  <c r="I2746" i="20"/>
  <c r="I2747" i="20"/>
  <c r="I2748" i="20"/>
  <c r="I2749" i="20"/>
  <c r="I2750" i="20"/>
  <c r="I2751" i="20"/>
  <c r="I2752" i="20"/>
  <c r="I2753" i="20"/>
  <c r="I2754" i="20"/>
  <c r="I2755" i="20"/>
  <c r="I2756" i="20"/>
  <c r="I2757" i="20"/>
  <c r="I2758" i="20"/>
  <c r="I2759" i="20"/>
  <c r="I2760" i="20"/>
  <c r="I2761" i="20"/>
  <c r="I2762" i="20"/>
  <c r="I2763" i="20"/>
  <c r="I2764" i="20"/>
  <c r="I2765" i="20"/>
  <c r="I2766" i="20"/>
  <c r="I2767" i="20"/>
  <c r="I2768" i="20"/>
  <c r="I2769" i="20"/>
  <c r="I2770" i="20"/>
  <c r="I2771" i="20"/>
  <c r="I2772" i="20"/>
  <c r="I2773" i="20"/>
  <c r="I2774" i="20"/>
  <c r="I2775" i="20"/>
  <c r="I2776" i="20"/>
  <c r="I2777" i="20"/>
  <c r="I2778" i="20"/>
  <c r="I2779" i="20"/>
  <c r="I2780" i="20"/>
  <c r="I2781" i="20"/>
  <c r="I2782" i="20"/>
  <c r="I2783" i="20"/>
  <c r="I2784" i="20"/>
  <c r="I2785" i="20"/>
  <c r="I2786" i="20"/>
  <c r="I2787" i="20"/>
  <c r="I2788" i="20"/>
  <c r="I2789" i="20"/>
  <c r="I2790" i="20"/>
  <c r="I2791" i="20"/>
  <c r="I2792" i="20"/>
  <c r="I2793" i="20"/>
  <c r="I2794" i="20"/>
  <c r="I2795" i="20"/>
  <c r="I2796" i="20"/>
  <c r="I2797" i="20"/>
  <c r="I2798" i="20"/>
  <c r="I2799" i="20"/>
  <c r="I2800" i="20"/>
  <c r="I2801" i="20"/>
  <c r="I2802" i="20"/>
  <c r="I2803" i="20"/>
  <c r="I2804" i="20"/>
  <c r="I2805" i="20"/>
  <c r="I2806" i="20"/>
  <c r="I2807" i="20"/>
  <c r="I2808" i="20"/>
  <c r="I2809" i="20"/>
  <c r="I2810" i="20"/>
  <c r="I2811" i="20"/>
  <c r="I2812" i="20"/>
  <c r="I2813" i="20"/>
  <c r="I2814" i="20"/>
  <c r="I2815" i="20"/>
  <c r="I2816" i="20"/>
  <c r="I2817" i="20"/>
  <c r="I2818" i="20"/>
  <c r="I2819" i="20"/>
  <c r="I2820" i="20"/>
  <c r="I2821" i="20"/>
  <c r="I2822" i="20"/>
  <c r="I2823" i="20"/>
  <c r="I2824" i="20"/>
  <c r="I2825" i="20"/>
  <c r="I2826" i="20"/>
  <c r="I2827" i="20"/>
  <c r="I2828" i="20"/>
  <c r="I2829" i="20"/>
  <c r="I2830" i="20"/>
  <c r="I2831" i="20"/>
  <c r="I2832" i="20"/>
  <c r="I2833" i="20"/>
  <c r="I2834" i="20"/>
  <c r="I2835" i="20"/>
  <c r="I2836" i="20"/>
  <c r="I2837" i="20"/>
  <c r="I2838" i="20"/>
  <c r="I2839" i="20"/>
  <c r="I2840" i="20"/>
  <c r="I2841" i="20"/>
  <c r="I2842" i="20"/>
  <c r="I2843" i="20"/>
  <c r="I2844" i="20"/>
  <c r="I2845" i="20"/>
  <c r="I2846" i="20"/>
  <c r="I2847" i="20"/>
  <c r="I2848" i="20"/>
  <c r="I2849" i="20"/>
  <c r="I2850" i="20"/>
  <c r="I2851" i="20"/>
  <c r="I2852" i="20"/>
  <c r="I2853" i="20"/>
  <c r="I2854" i="20"/>
  <c r="I2855" i="20"/>
  <c r="I2856" i="20"/>
  <c r="I2857" i="20"/>
  <c r="I2858" i="20"/>
  <c r="I2859" i="20"/>
  <c r="I2860" i="20"/>
  <c r="I2861" i="20"/>
  <c r="I2862" i="20"/>
  <c r="I2863" i="20"/>
  <c r="I2864" i="20"/>
  <c r="I2865" i="20"/>
  <c r="I2866" i="20"/>
  <c r="I2867" i="20"/>
  <c r="I2868" i="20"/>
  <c r="I2869" i="20"/>
  <c r="I2870" i="20"/>
  <c r="I2871" i="20"/>
  <c r="I2872" i="20"/>
  <c r="I2873" i="20"/>
  <c r="I2874" i="20"/>
  <c r="I2875" i="20"/>
  <c r="I2876" i="20"/>
  <c r="I2877" i="20"/>
  <c r="I2878" i="20"/>
  <c r="I2879" i="20"/>
  <c r="I2880" i="20"/>
  <c r="I2881" i="20"/>
  <c r="I2882" i="20"/>
  <c r="I2883" i="20"/>
  <c r="I2884" i="20"/>
  <c r="I2885" i="20"/>
  <c r="I2886" i="20"/>
  <c r="I2887" i="20"/>
  <c r="I2888" i="20"/>
  <c r="I2889" i="20"/>
  <c r="I2890" i="20"/>
  <c r="I2891" i="20"/>
  <c r="I2892" i="20"/>
  <c r="I2893" i="20"/>
  <c r="I2894" i="20"/>
  <c r="I2895" i="20"/>
  <c r="I2896" i="20"/>
  <c r="I2897" i="20"/>
  <c r="I2898" i="20"/>
  <c r="I2899" i="20"/>
  <c r="I2900" i="20"/>
  <c r="I2901" i="20"/>
  <c r="I2902" i="20"/>
  <c r="I2903" i="20"/>
  <c r="I2904" i="20"/>
  <c r="I2905" i="20"/>
  <c r="I2906" i="20"/>
  <c r="I2907" i="20"/>
  <c r="I2908" i="20"/>
  <c r="I2909" i="20"/>
  <c r="I2910" i="20"/>
  <c r="I2911" i="20"/>
  <c r="I2912" i="20"/>
  <c r="I2913" i="20"/>
  <c r="I2914" i="20"/>
  <c r="I2915" i="20"/>
  <c r="I2916" i="20"/>
  <c r="I2917" i="20"/>
  <c r="I2918" i="20"/>
  <c r="I2919" i="20"/>
  <c r="I2920" i="20"/>
  <c r="I2921" i="20"/>
  <c r="I2922" i="20"/>
  <c r="I2923" i="20"/>
  <c r="I2924" i="20"/>
  <c r="I2925" i="20"/>
  <c r="I2926" i="20"/>
  <c r="I2927" i="20"/>
  <c r="I2928" i="20"/>
  <c r="I2929" i="20"/>
  <c r="I2930" i="20"/>
  <c r="I2931" i="20"/>
  <c r="I2932" i="20"/>
  <c r="I2933" i="20"/>
  <c r="I2934" i="20"/>
  <c r="I2935" i="20"/>
  <c r="I2936" i="20"/>
  <c r="I2937" i="20"/>
  <c r="I2938" i="20"/>
  <c r="I2939" i="20"/>
  <c r="I2940" i="20"/>
  <c r="I2941" i="20"/>
  <c r="I2942" i="20"/>
  <c r="I2943" i="20"/>
  <c r="I2944" i="20"/>
  <c r="I2945" i="20"/>
  <c r="I2946" i="20"/>
  <c r="I2947" i="20"/>
  <c r="I2948" i="20"/>
  <c r="I2949" i="20"/>
  <c r="I2950" i="20"/>
  <c r="I2951" i="20"/>
  <c r="I2952" i="20"/>
  <c r="I2953" i="20"/>
  <c r="I2954" i="20"/>
  <c r="I2955" i="20"/>
  <c r="I2956" i="20"/>
  <c r="I2957" i="20"/>
  <c r="I2958" i="20"/>
  <c r="I2959" i="20"/>
  <c r="I2960" i="20"/>
  <c r="I2961" i="20"/>
  <c r="I2962" i="20"/>
  <c r="I2963" i="20"/>
  <c r="I2964" i="20"/>
  <c r="I2965" i="20"/>
  <c r="I2966" i="20"/>
  <c r="I2967" i="20"/>
  <c r="I2968" i="20"/>
  <c r="I2969" i="20"/>
  <c r="I2970" i="20"/>
  <c r="I2971" i="20"/>
  <c r="I2972" i="20"/>
  <c r="I2973" i="20"/>
  <c r="I2974" i="20"/>
  <c r="I2975" i="20"/>
  <c r="I2976" i="20"/>
  <c r="I2977" i="20"/>
  <c r="I2978" i="20"/>
  <c r="I2979" i="20"/>
  <c r="I2980" i="20"/>
  <c r="I2981" i="20"/>
  <c r="I2982" i="20"/>
  <c r="I2983" i="20"/>
  <c r="I2984" i="20"/>
  <c r="I2985" i="20"/>
  <c r="I2986" i="20"/>
  <c r="I2987" i="20"/>
  <c r="I2988" i="20"/>
  <c r="I2989" i="20"/>
  <c r="I2990" i="20"/>
  <c r="I2991" i="20"/>
  <c r="I2992" i="20"/>
  <c r="I2993" i="20"/>
  <c r="I2994" i="20"/>
  <c r="I2995" i="20"/>
  <c r="I2996" i="20"/>
  <c r="I2997" i="20"/>
  <c r="I2998" i="20"/>
  <c r="I2999" i="20"/>
  <c r="I3000" i="20"/>
  <c r="I3001" i="20"/>
  <c r="I3002" i="20"/>
  <c r="I3003" i="20"/>
  <c r="I3004" i="20"/>
  <c r="I3005" i="20"/>
  <c r="I3006" i="20"/>
  <c r="I3007" i="20"/>
  <c r="I3008" i="20"/>
  <c r="I3009" i="20"/>
  <c r="I3010" i="20"/>
  <c r="I3011" i="20"/>
  <c r="I3012" i="20"/>
  <c r="I3013" i="20"/>
  <c r="I3014" i="20"/>
  <c r="I3015" i="20"/>
  <c r="I3016" i="20"/>
  <c r="I3017" i="20"/>
  <c r="I3018" i="20"/>
  <c r="I3019" i="20"/>
  <c r="I3020" i="20"/>
  <c r="I3021" i="20"/>
  <c r="I3022" i="20"/>
  <c r="I3023" i="20"/>
  <c r="I3024" i="20"/>
  <c r="I3025" i="20"/>
  <c r="I3026" i="20"/>
  <c r="I3027" i="20"/>
  <c r="I3028" i="20"/>
  <c r="I3029" i="20"/>
  <c r="I3030" i="20"/>
  <c r="I3031" i="20"/>
  <c r="I3032" i="20"/>
  <c r="I3033" i="20"/>
  <c r="I3034" i="20"/>
  <c r="I3035" i="20"/>
  <c r="I3036" i="20"/>
  <c r="I3037" i="20"/>
  <c r="I3038" i="20"/>
  <c r="I3039" i="20"/>
  <c r="I3040" i="20"/>
  <c r="I3041" i="20"/>
  <c r="AD1134" i="20" l="1"/>
  <c r="AE1134" i="20" s="1"/>
  <c r="R1134" i="20"/>
  <c r="M1134" i="20"/>
  <c r="L1134" i="20"/>
  <c r="M4" i="20" l="1"/>
  <c r="M5" i="20"/>
  <c r="M6" i="20"/>
  <c r="M7" i="20"/>
  <c r="M8" i="20"/>
  <c r="M9" i="20"/>
  <c r="M10" i="20"/>
  <c r="M11" i="20"/>
  <c r="M12" i="20"/>
  <c r="M13" i="20"/>
  <c r="M14" i="20"/>
  <c r="M15" i="20"/>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230" i="20"/>
  <c r="M231" i="20"/>
  <c r="M232" i="20"/>
  <c r="M233" i="20"/>
  <c r="M234" i="20"/>
  <c r="M235" i="20"/>
  <c r="M236" i="20"/>
  <c r="M237" i="20"/>
  <c r="M238" i="20"/>
  <c r="M239" i="20"/>
  <c r="M240" i="20"/>
  <c r="M241" i="20"/>
  <c r="M242" i="20"/>
  <c r="M243" i="20"/>
  <c r="M244" i="20"/>
  <c r="M245" i="20"/>
  <c r="M246" i="20"/>
  <c r="M247" i="20"/>
  <c r="M248" i="20"/>
  <c r="M249" i="20"/>
  <c r="M250" i="20"/>
  <c r="M251" i="20"/>
  <c r="M252" i="20"/>
  <c r="M253" i="20"/>
  <c r="M254" i="20"/>
  <c r="M255" i="20"/>
  <c r="M256" i="20"/>
  <c r="M257" i="20"/>
  <c r="M258" i="20"/>
  <c r="M259" i="20"/>
  <c r="M260"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4" i="20"/>
  <c r="M585" i="20"/>
  <c r="M586" i="20"/>
  <c r="M587" i="20"/>
  <c r="M588" i="20"/>
  <c r="M589" i="20"/>
  <c r="M590" i="20"/>
  <c r="M591" i="20"/>
  <c r="M592" i="20"/>
  <c r="M593" i="20"/>
  <c r="M594" i="20"/>
  <c r="M595" i="20"/>
  <c r="M596" i="20"/>
  <c r="M597" i="20"/>
  <c r="M598" i="20"/>
  <c r="M599" i="20"/>
  <c r="M600" i="20"/>
  <c r="M601" i="20"/>
  <c r="M602" i="20"/>
  <c r="M603" i="20"/>
  <c r="M604" i="20"/>
  <c r="M605" i="20"/>
  <c r="M606" i="20"/>
  <c r="M607" i="20"/>
  <c r="M608" i="20"/>
  <c r="M609" i="20"/>
  <c r="M610" i="20"/>
  <c r="M611" i="20"/>
  <c r="M612" i="20"/>
  <c r="M613" i="20"/>
  <c r="M614" i="20"/>
  <c r="M615" i="20"/>
  <c r="M616" i="20"/>
  <c r="M617" i="20"/>
  <c r="M618" i="20"/>
  <c r="M619" i="20"/>
  <c r="M620" i="20"/>
  <c r="M621" i="20"/>
  <c r="M622" i="20"/>
  <c r="M623" i="20"/>
  <c r="M624" i="20"/>
  <c r="M625" i="20"/>
  <c r="M626" i="20"/>
  <c r="M627" i="20"/>
  <c r="M628" i="20"/>
  <c r="M629" i="20"/>
  <c r="M630" i="20"/>
  <c r="M631" i="20"/>
  <c r="M632" i="20"/>
  <c r="M633" i="20"/>
  <c r="M634" i="20"/>
  <c r="M635" i="20"/>
  <c r="M636" i="20"/>
  <c r="M637" i="20"/>
  <c r="M638" i="20"/>
  <c r="M639" i="20"/>
  <c r="M640" i="20"/>
  <c r="M641" i="20"/>
  <c r="M642" i="20"/>
  <c r="M643" i="20"/>
  <c r="M644" i="20"/>
  <c r="M645" i="20"/>
  <c r="M646" i="20"/>
  <c r="M647" i="20"/>
  <c r="M648" i="20"/>
  <c r="M649" i="20"/>
  <c r="M650" i="20"/>
  <c r="M651" i="20"/>
  <c r="M652" i="20"/>
  <c r="M653" i="20"/>
  <c r="M654" i="20"/>
  <c r="M655" i="20"/>
  <c r="M656" i="20"/>
  <c r="M657" i="20"/>
  <c r="M658" i="20"/>
  <c r="M659" i="20"/>
  <c r="M660" i="20"/>
  <c r="M661" i="20"/>
  <c r="M662" i="20"/>
  <c r="M663" i="20"/>
  <c r="M664" i="20"/>
  <c r="M665" i="20"/>
  <c r="M666" i="20"/>
  <c r="M667" i="20"/>
  <c r="M668" i="20"/>
  <c r="M669" i="20"/>
  <c r="M670" i="20"/>
  <c r="M671" i="20"/>
  <c r="M672" i="20"/>
  <c r="M673" i="20"/>
  <c r="M674" i="20"/>
  <c r="M675" i="20"/>
  <c r="M676" i="20"/>
  <c r="M677" i="20"/>
  <c r="M678" i="20"/>
  <c r="M679" i="20"/>
  <c r="M680" i="20"/>
  <c r="M681" i="20"/>
  <c r="M682" i="20"/>
  <c r="M683" i="20"/>
  <c r="M684" i="20"/>
  <c r="M685" i="20"/>
  <c r="M686" i="20"/>
  <c r="M687" i="20"/>
  <c r="M688" i="20"/>
  <c r="M689" i="20"/>
  <c r="M690" i="20"/>
  <c r="M691" i="20"/>
  <c r="M692" i="20"/>
  <c r="M693" i="20"/>
  <c r="M694" i="20"/>
  <c r="M695" i="20"/>
  <c r="M696" i="20"/>
  <c r="M697" i="20"/>
  <c r="M698" i="20"/>
  <c r="M699" i="20"/>
  <c r="M700" i="20"/>
  <c r="M701" i="20"/>
  <c r="M702" i="20"/>
  <c r="M703" i="20"/>
  <c r="M704" i="20"/>
  <c r="M705" i="20"/>
  <c r="M706" i="20"/>
  <c r="M707" i="20"/>
  <c r="M708" i="20"/>
  <c r="M709" i="20"/>
  <c r="M710" i="20"/>
  <c r="M711" i="20"/>
  <c r="M712" i="20"/>
  <c r="M713" i="20"/>
  <c r="M714" i="20"/>
  <c r="M715" i="20"/>
  <c r="M716" i="20"/>
  <c r="M717" i="20"/>
  <c r="M718" i="20"/>
  <c r="M719" i="20"/>
  <c r="M720" i="20"/>
  <c r="M721" i="20"/>
  <c r="M722" i="20"/>
  <c r="M723" i="20"/>
  <c r="M724" i="20"/>
  <c r="M725" i="20"/>
  <c r="M726" i="20"/>
  <c r="M727" i="20"/>
  <c r="M728" i="20"/>
  <c r="M729" i="20"/>
  <c r="M730" i="20"/>
  <c r="M731" i="20"/>
  <c r="M732" i="20"/>
  <c r="M733" i="20"/>
  <c r="M734" i="20"/>
  <c r="M735" i="20"/>
  <c r="M736" i="20"/>
  <c r="M737" i="20"/>
  <c r="M738" i="20"/>
  <c r="M739" i="20"/>
  <c r="M740" i="20"/>
  <c r="M741" i="20"/>
  <c r="M742" i="20"/>
  <c r="M743" i="20"/>
  <c r="M744" i="20"/>
  <c r="M745" i="20"/>
  <c r="M746" i="20"/>
  <c r="M747" i="20"/>
  <c r="M748" i="20"/>
  <c r="M749" i="20"/>
  <c r="M750" i="20"/>
  <c r="M751" i="20"/>
  <c r="M752" i="20"/>
  <c r="M753" i="20"/>
  <c r="M754" i="20"/>
  <c r="M755" i="20"/>
  <c r="M756" i="20"/>
  <c r="M757" i="20"/>
  <c r="M758" i="20"/>
  <c r="M759" i="20"/>
  <c r="M760" i="20"/>
  <c r="M761" i="20"/>
  <c r="M762" i="20"/>
  <c r="M763" i="20"/>
  <c r="M764" i="20"/>
  <c r="M765" i="20"/>
  <c r="M766" i="20"/>
  <c r="M767" i="20"/>
  <c r="M768" i="20"/>
  <c r="M769" i="20"/>
  <c r="M770" i="20"/>
  <c r="M771" i="20"/>
  <c r="M772" i="20"/>
  <c r="M773" i="20"/>
  <c r="M774" i="20"/>
  <c r="M775" i="20"/>
  <c r="M776" i="20"/>
  <c r="M777" i="20"/>
  <c r="M778" i="20"/>
  <c r="M779" i="20"/>
  <c r="M780" i="20"/>
  <c r="M781" i="20"/>
  <c r="M782" i="20"/>
  <c r="M783" i="20"/>
  <c r="M784" i="20"/>
  <c r="M785" i="20"/>
  <c r="M786" i="20"/>
  <c r="M787" i="20"/>
  <c r="M788" i="20"/>
  <c r="M789" i="20"/>
  <c r="M790" i="20"/>
  <c r="M791" i="20"/>
  <c r="M792" i="20"/>
  <c r="M793" i="20"/>
  <c r="M794" i="20"/>
  <c r="M795" i="20"/>
  <c r="M796" i="20"/>
  <c r="M797" i="20"/>
  <c r="M798" i="20"/>
  <c r="M799" i="20"/>
  <c r="M800" i="20"/>
  <c r="M801" i="20"/>
  <c r="M802" i="20"/>
  <c r="M803" i="20"/>
  <c r="M804" i="20"/>
  <c r="M805" i="20"/>
  <c r="M806" i="20"/>
  <c r="M807" i="20"/>
  <c r="M808" i="20"/>
  <c r="M809" i="20"/>
  <c r="M810" i="20"/>
  <c r="M811" i="20"/>
  <c r="M812" i="20"/>
  <c r="M813" i="20"/>
  <c r="M814" i="20"/>
  <c r="M815" i="20"/>
  <c r="M816" i="20"/>
  <c r="M817" i="20"/>
  <c r="M818" i="20"/>
  <c r="M819" i="20"/>
  <c r="M820" i="20"/>
  <c r="M821" i="20"/>
  <c r="M822" i="20"/>
  <c r="M823" i="20"/>
  <c r="M824" i="20"/>
  <c r="M825" i="20"/>
  <c r="M826" i="20"/>
  <c r="M827" i="20"/>
  <c r="M828" i="20"/>
  <c r="M829" i="20"/>
  <c r="M830" i="20"/>
  <c r="M831" i="20"/>
  <c r="M832" i="20"/>
  <c r="M833" i="20"/>
  <c r="M834" i="20"/>
  <c r="M835" i="20"/>
  <c r="M836" i="20"/>
  <c r="M837" i="20"/>
  <c r="M838" i="20"/>
  <c r="M839" i="20"/>
  <c r="M840" i="20"/>
  <c r="M841" i="20"/>
  <c r="M842" i="20"/>
  <c r="M843" i="20"/>
  <c r="M844" i="20"/>
  <c r="M845" i="20"/>
  <c r="M846" i="20"/>
  <c r="M847" i="20"/>
  <c r="M848" i="20"/>
  <c r="M849" i="20"/>
  <c r="M850" i="20"/>
  <c r="M851" i="20"/>
  <c r="M852" i="20"/>
  <c r="M853" i="20"/>
  <c r="M854" i="20"/>
  <c r="M855" i="20"/>
  <c r="M856" i="20"/>
  <c r="M857" i="20"/>
  <c r="M858" i="20"/>
  <c r="M859" i="20"/>
  <c r="M860" i="20"/>
  <c r="M861" i="20"/>
  <c r="M862" i="20"/>
  <c r="M863" i="20"/>
  <c r="M864" i="20"/>
  <c r="M865" i="20"/>
  <c r="M866" i="20"/>
  <c r="M867" i="20"/>
  <c r="M868" i="20"/>
  <c r="M869" i="20"/>
  <c r="M870" i="20"/>
  <c r="M871" i="20"/>
  <c r="M872" i="20"/>
  <c r="M873" i="20"/>
  <c r="M874" i="20"/>
  <c r="M875" i="20"/>
  <c r="M876" i="20"/>
  <c r="M877" i="20"/>
  <c r="M878" i="20"/>
  <c r="M879" i="20"/>
  <c r="M880" i="20"/>
  <c r="M881" i="20"/>
  <c r="M882" i="20"/>
  <c r="M883" i="20"/>
  <c r="M884" i="20"/>
  <c r="M885" i="20"/>
  <c r="M886" i="20"/>
  <c r="M887" i="20"/>
  <c r="M888" i="20"/>
  <c r="M889" i="20"/>
  <c r="M890" i="20"/>
  <c r="M891" i="20"/>
  <c r="M892" i="20"/>
  <c r="M893" i="20"/>
  <c r="M894" i="20"/>
  <c r="M895" i="20"/>
  <c r="M896" i="20"/>
  <c r="M897" i="20"/>
  <c r="M898" i="20"/>
  <c r="M899" i="20"/>
  <c r="M900" i="20"/>
  <c r="M901" i="20"/>
  <c r="M902" i="20"/>
  <c r="M903" i="20"/>
  <c r="M904" i="20"/>
  <c r="M905" i="20"/>
  <c r="M906" i="20"/>
  <c r="M907" i="20"/>
  <c r="M908" i="20"/>
  <c r="M909" i="20"/>
  <c r="M910" i="20"/>
  <c r="M911" i="20"/>
  <c r="M912" i="20"/>
  <c r="M913" i="20"/>
  <c r="M914" i="20"/>
  <c r="M915" i="20"/>
  <c r="M916" i="20"/>
  <c r="M917" i="20"/>
  <c r="M918" i="20"/>
  <c r="M919" i="20"/>
  <c r="M920" i="20"/>
  <c r="M921" i="20"/>
  <c r="M922" i="20"/>
  <c r="M923" i="20"/>
  <c r="M924" i="20"/>
  <c r="M925" i="20"/>
  <c r="M926" i="20"/>
  <c r="M927" i="20"/>
  <c r="M928" i="20"/>
  <c r="M929" i="20"/>
  <c r="M930" i="20"/>
  <c r="M931" i="20"/>
  <c r="M932" i="20"/>
  <c r="M933" i="20"/>
  <c r="M934" i="20"/>
  <c r="M935" i="20"/>
  <c r="M936" i="20"/>
  <c r="M937" i="20"/>
  <c r="M938" i="20"/>
  <c r="M939" i="20"/>
  <c r="M940" i="20"/>
  <c r="M941" i="20"/>
  <c r="M942" i="20"/>
  <c r="M943" i="20"/>
  <c r="M944" i="20"/>
  <c r="M945" i="20"/>
  <c r="M946" i="20"/>
  <c r="M947" i="20"/>
  <c r="M948" i="20"/>
  <c r="M949" i="20"/>
  <c r="M950" i="20"/>
  <c r="M951" i="20"/>
  <c r="M952" i="20"/>
  <c r="M953" i="20"/>
  <c r="M954" i="20"/>
  <c r="M955" i="20"/>
  <c r="M956" i="20"/>
  <c r="M957" i="20"/>
  <c r="M958" i="20"/>
  <c r="M959" i="20"/>
  <c r="M960" i="20"/>
  <c r="M961" i="20"/>
  <c r="M962" i="20"/>
  <c r="M963" i="20"/>
  <c r="M964" i="20"/>
  <c r="M965" i="20"/>
  <c r="M966" i="20"/>
  <c r="M967" i="20"/>
  <c r="M968" i="20"/>
  <c r="M969" i="20"/>
  <c r="M970" i="20"/>
  <c r="M971" i="20"/>
  <c r="M972" i="20"/>
  <c r="M973" i="20"/>
  <c r="M974" i="20"/>
  <c r="M975" i="20"/>
  <c r="M976" i="20"/>
  <c r="M977" i="20"/>
  <c r="M978" i="20"/>
  <c r="M979" i="20"/>
  <c r="M980" i="20"/>
  <c r="M981" i="20"/>
  <c r="M982" i="20"/>
  <c r="M983" i="20"/>
  <c r="M984" i="20"/>
  <c r="M985" i="20"/>
  <c r="M986" i="20"/>
  <c r="M987" i="20"/>
  <c r="M988" i="20"/>
  <c r="M989" i="20"/>
  <c r="M990" i="20"/>
  <c r="M991" i="20"/>
  <c r="M992" i="20"/>
  <c r="M993" i="20"/>
  <c r="M994" i="20"/>
  <c r="M995" i="20"/>
  <c r="M996" i="20"/>
  <c r="M997" i="20"/>
  <c r="M998" i="20"/>
  <c r="M999" i="20"/>
  <c r="M1000" i="20"/>
  <c r="M1001" i="20"/>
  <c r="M1002" i="20"/>
  <c r="M1003" i="20"/>
  <c r="M1004" i="20"/>
  <c r="M1005" i="20"/>
  <c r="M1006" i="20"/>
  <c r="M1007" i="20"/>
  <c r="M1008" i="20"/>
  <c r="M1009" i="20"/>
  <c r="M1010" i="20"/>
  <c r="M1011" i="20"/>
  <c r="M1012" i="20"/>
  <c r="M1013" i="20"/>
  <c r="M1014" i="20"/>
  <c r="M1015" i="20"/>
  <c r="M1016" i="20"/>
  <c r="M1017" i="20"/>
  <c r="M1018" i="20"/>
  <c r="M1019" i="20"/>
  <c r="M1020" i="20"/>
  <c r="M1021" i="20"/>
  <c r="M1022" i="20"/>
  <c r="M1023" i="20"/>
  <c r="M1024" i="20"/>
  <c r="M1025" i="20"/>
  <c r="M1026" i="20"/>
  <c r="M1027" i="20"/>
  <c r="M1028" i="20"/>
  <c r="M1029" i="20"/>
  <c r="M1030" i="20"/>
  <c r="M1031" i="20"/>
  <c r="M1032" i="20"/>
  <c r="M1033" i="20"/>
  <c r="M1034" i="20"/>
  <c r="M1035" i="20"/>
  <c r="M1036" i="20"/>
  <c r="M1037" i="20"/>
  <c r="M1038" i="20"/>
  <c r="M1039" i="20"/>
  <c r="M1040" i="20"/>
  <c r="M1041" i="20"/>
  <c r="M1042" i="20"/>
  <c r="M1043" i="20"/>
  <c r="M1044" i="20"/>
  <c r="M1045" i="20"/>
  <c r="M1046" i="20"/>
  <c r="M1047" i="20"/>
  <c r="M1048" i="20"/>
  <c r="M1049" i="20"/>
  <c r="M1050" i="20"/>
  <c r="M1051" i="20"/>
  <c r="M1052" i="20"/>
  <c r="M1053" i="20"/>
  <c r="M1054" i="20"/>
  <c r="M1055" i="20"/>
  <c r="M1056" i="20"/>
  <c r="M1057" i="20"/>
  <c r="M1058" i="20"/>
  <c r="M1059" i="20"/>
  <c r="M1060" i="20"/>
  <c r="M1061" i="20"/>
  <c r="M1062" i="20"/>
  <c r="M1063" i="20"/>
  <c r="M1064" i="20"/>
  <c r="M1065" i="20"/>
  <c r="M1066" i="20"/>
  <c r="M1067" i="20"/>
  <c r="M1068" i="20"/>
  <c r="M1069" i="20"/>
  <c r="M1070" i="20"/>
  <c r="M1071" i="20"/>
  <c r="M1072" i="20"/>
  <c r="M1073" i="20"/>
  <c r="M1074" i="20"/>
  <c r="M1075" i="20"/>
  <c r="M1076" i="20"/>
  <c r="M1077" i="20"/>
  <c r="M1078" i="20"/>
  <c r="M1079" i="20"/>
  <c r="M1080" i="20"/>
  <c r="M1081" i="20"/>
  <c r="M1082" i="20"/>
  <c r="M1083" i="20"/>
  <c r="M1084" i="20"/>
  <c r="M1085" i="20"/>
  <c r="M1086" i="20"/>
  <c r="M1087" i="20"/>
  <c r="M1088" i="20"/>
  <c r="M1089" i="20"/>
  <c r="M1090" i="20"/>
  <c r="M1091" i="20"/>
  <c r="M1092" i="20"/>
  <c r="M1093" i="20"/>
  <c r="M1094" i="20"/>
  <c r="M1095" i="20"/>
  <c r="M1096" i="20"/>
  <c r="M1097" i="20"/>
  <c r="M1098" i="20"/>
  <c r="M1099" i="20"/>
  <c r="M1100" i="20"/>
  <c r="M1101" i="20"/>
  <c r="M1102" i="20"/>
  <c r="M1103" i="20"/>
  <c r="M1104" i="20"/>
  <c r="M1105" i="20"/>
  <c r="M1106" i="20"/>
  <c r="M1107" i="20"/>
  <c r="M1108" i="20"/>
  <c r="M1109" i="20"/>
  <c r="M1110" i="20"/>
  <c r="M1111" i="20"/>
  <c r="M1112" i="20"/>
  <c r="M1113" i="20"/>
  <c r="M1114" i="20"/>
  <c r="M1115" i="20"/>
  <c r="M1116" i="20"/>
  <c r="M1117" i="20"/>
  <c r="M1118" i="20"/>
  <c r="M1119" i="20"/>
  <c r="M1120" i="20"/>
  <c r="M1121" i="20"/>
  <c r="M1122" i="20"/>
  <c r="M1123" i="20"/>
  <c r="M1124" i="20"/>
  <c r="M1125" i="20"/>
  <c r="M1126" i="20"/>
  <c r="M1128" i="20"/>
  <c r="M1129" i="20"/>
  <c r="M1130" i="20"/>
  <c r="M1131" i="20"/>
  <c r="M1132" i="20"/>
  <c r="M1133" i="20"/>
  <c r="M1135" i="20"/>
  <c r="M1136" i="20"/>
  <c r="M1137" i="20"/>
  <c r="M1180" i="20"/>
  <c r="M1181" i="20"/>
  <c r="M1182" i="20"/>
  <c r="M1183" i="20"/>
  <c r="M1184" i="20"/>
  <c r="M1185" i="20"/>
  <c r="M1138" i="20"/>
  <c r="M1161" i="20"/>
  <c r="M1141" i="20"/>
  <c r="M1142" i="20"/>
  <c r="M1143" i="20"/>
  <c r="M1144" i="20"/>
  <c r="M1145" i="20"/>
  <c r="M1186" i="20"/>
  <c r="M1187" i="20"/>
  <c r="M1173" i="20"/>
  <c r="M1188" i="20"/>
  <c r="M1190" i="20"/>
  <c r="M1168" i="20"/>
  <c r="M1169" i="20"/>
  <c r="M1191" i="20"/>
  <c r="M1192" i="20"/>
  <c r="M1193" i="20"/>
  <c r="M1194" i="20"/>
  <c r="M1146" i="20"/>
  <c r="M1147" i="20"/>
  <c r="M1148" i="20"/>
  <c r="M1149" i="20"/>
  <c r="M1150" i="20"/>
  <c r="M1151" i="20"/>
  <c r="M1152" i="20"/>
  <c r="M1199" i="20"/>
  <c r="M1195" i="20"/>
  <c r="M1153" i="20"/>
  <c r="M1154" i="20"/>
  <c r="M1155" i="20"/>
  <c r="M1156" i="20"/>
  <c r="M1200" i="20"/>
  <c r="M1201" i="20"/>
  <c r="M1157" i="20"/>
  <c r="M1202" i="20"/>
  <c r="M1203" i="20"/>
  <c r="M1204" i="20"/>
  <c r="M1158" i="20"/>
  <c r="M1170" i="20"/>
  <c r="M1174" i="20"/>
  <c r="M1206" i="20"/>
  <c r="M1160" i="20"/>
  <c r="M1159" i="20"/>
  <c r="M1171" i="20"/>
  <c r="M1205" i="20"/>
  <c r="M1162" i="20"/>
  <c r="M1163" i="20"/>
  <c r="M1164" i="20"/>
  <c r="M1165" i="20"/>
  <c r="M1166" i="20"/>
  <c r="M1167" i="20"/>
  <c r="M1212" i="20"/>
  <c r="M1213" i="20"/>
  <c r="M1214" i="20"/>
  <c r="M1176" i="20"/>
  <c r="M1179" i="20"/>
  <c r="M1178" i="20"/>
  <c r="M1175" i="20"/>
  <c r="M1172" i="20"/>
  <c r="M1196" i="20"/>
  <c r="M1197" i="20"/>
  <c r="M1215" i="20"/>
  <c r="M1216" i="20"/>
  <c r="M1217" i="20"/>
  <c r="M1218" i="20"/>
  <c r="M1198" i="20"/>
  <c r="M1222" i="20"/>
  <c r="M1223" i="20"/>
  <c r="M1224" i="20"/>
  <c r="M1225" i="20"/>
  <c r="M1226" i="20"/>
  <c r="M1227" i="20"/>
  <c r="M1228" i="20"/>
  <c r="M1229" i="20"/>
  <c r="M1230" i="20"/>
  <c r="M1231" i="20"/>
  <c r="M1232" i="20"/>
  <c r="M1233" i="20"/>
  <c r="M1234" i="20"/>
  <c r="M1235" i="20"/>
  <c r="M1236" i="20"/>
  <c r="M1237" i="20"/>
  <c r="M1238" i="20"/>
  <c r="M1239" i="20"/>
  <c r="M1240" i="20"/>
  <c r="M1242" i="20"/>
  <c r="M1243" i="20"/>
  <c r="M1244" i="20"/>
  <c r="M1245" i="20"/>
  <c r="M1246" i="20"/>
  <c r="M1247" i="20"/>
  <c r="M1248" i="20"/>
  <c r="M1250" i="20"/>
  <c r="M1249" i="20"/>
  <c r="M1251" i="20"/>
  <c r="M1252" i="20"/>
  <c r="M1253" i="20"/>
  <c r="M1254" i="20"/>
  <c r="M1255" i="20"/>
  <c r="M1256" i="20"/>
  <c r="M1257" i="20"/>
  <c r="M1258" i="20"/>
  <c r="M1259" i="20"/>
  <c r="M1260" i="20"/>
  <c r="M1261" i="20"/>
  <c r="M1262" i="20"/>
  <c r="M1263" i="20"/>
  <c r="M1264" i="20"/>
  <c r="M1265" i="20"/>
  <c r="M1266" i="20"/>
  <c r="M1267" i="20"/>
  <c r="M1270" i="20"/>
  <c r="M1271" i="20"/>
  <c r="M1272" i="20"/>
  <c r="M1273" i="20"/>
  <c r="M1274" i="20"/>
  <c r="M1275" i="20"/>
  <c r="M1276" i="20"/>
  <c r="M1277" i="20"/>
  <c r="M1278" i="20"/>
  <c r="M1279" i="20"/>
  <c r="M1280" i="20"/>
  <c r="M1281" i="20"/>
  <c r="M1282" i="20"/>
  <c r="M1283" i="20"/>
  <c r="M1284" i="20"/>
  <c r="M1285" i="20"/>
  <c r="M1286" i="20"/>
  <c r="M1287" i="20"/>
  <c r="M1288" i="20"/>
  <c r="M1289" i="20"/>
  <c r="M1290" i="20"/>
  <c r="M1291" i="20"/>
  <c r="M1292" i="20"/>
  <c r="M1293" i="20"/>
  <c r="M1294" i="20"/>
  <c r="M1295" i="20"/>
  <c r="M1296" i="20"/>
  <c r="M1297" i="20"/>
  <c r="M1298" i="20"/>
  <c r="M1299" i="20"/>
  <c r="M1300" i="20"/>
  <c r="M1301" i="20"/>
  <c r="M1302" i="20"/>
  <c r="M1303" i="20"/>
  <c r="M1304" i="20"/>
  <c r="M1305" i="20"/>
  <c r="M1306" i="20"/>
  <c r="M1307" i="20"/>
  <c r="M1308" i="20"/>
  <c r="M1309" i="20"/>
  <c r="M1310" i="20"/>
  <c r="M1311" i="20"/>
  <c r="M1312" i="20"/>
  <c r="M1313" i="20"/>
  <c r="M1314" i="20"/>
  <c r="M1315" i="20"/>
  <c r="M1316" i="20"/>
  <c r="M1317" i="20"/>
  <c r="M1318" i="20"/>
  <c r="M1319" i="20"/>
  <c r="M1320" i="20"/>
  <c r="M1321" i="20"/>
  <c r="M1322" i="20"/>
  <c r="M1323" i="20"/>
  <c r="M1324" i="20"/>
  <c r="M1325" i="20"/>
  <c r="M1326" i="20"/>
  <c r="M1327" i="20"/>
  <c r="M1328" i="20"/>
  <c r="M1329" i="20"/>
  <c r="M1330" i="20"/>
  <c r="M1332" i="20"/>
  <c r="M1333" i="20"/>
  <c r="M1335" i="20"/>
  <c r="M1336" i="20"/>
  <c r="M1337" i="20"/>
  <c r="M1338" i="20"/>
  <c r="M1339" i="20"/>
  <c r="M1340" i="20"/>
  <c r="M1341" i="20"/>
  <c r="M1342" i="20"/>
  <c r="M1343" i="20"/>
  <c r="M1344" i="20"/>
  <c r="M1345" i="20"/>
  <c r="M1346" i="20"/>
  <c r="M1347" i="20"/>
  <c r="M1348" i="20"/>
  <c r="M1349" i="20"/>
  <c r="M1350" i="20"/>
  <c r="M1351" i="20"/>
  <c r="M1352" i="20"/>
  <c r="M1353" i="20"/>
  <c r="M1354" i="20"/>
  <c r="M1355" i="20"/>
  <c r="M1356" i="20"/>
  <c r="M1357" i="20"/>
  <c r="M1358" i="20"/>
  <c r="M1359" i="20"/>
  <c r="M1360" i="20"/>
  <c r="M1361" i="20"/>
  <c r="M1362" i="20"/>
  <c r="M1363" i="20"/>
  <c r="M1364" i="20"/>
  <c r="M1365" i="20"/>
  <c r="M1366" i="20"/>
  <c r="M1367" i="20"/>
  <c r="M1368" i="20"/>
  <c r="M1369" i="20"/>
  <c r="M1370" i="20"/>
  <c r="M1371" i="20"/>
  <c r="M1372" i="20"/>
  <c r="M1373" i="20"/>
  <c r="M1374" i="20"/>
  <c r="M1375" i="20"/>
  <c r="M1376" i="20"/>
  <c r="M1377" i="20"/>
  <c r="M1378" i="20"/>
  <c r="M1379" i="20"/>
  <c r="M1380" i="20"/>
  <c r="M1381" i="20"/>
  <c r="M1382" i="20"/>
  <c r="M1383" i="20"/>
  <c r="M1384" i="20"/>
  <c r="M1385" i="20"/>
  <c r="M1386" i="20"/>
  <c r="M1387" i="20"/>
  <c r="M1388" i="20"/>
  <c r="M1389" i="20"/>
  <c r="M1390" i="20"/>
  <c r="M1391" i="20"/>
  <c r="M1392" i="20"/>
  <c r="M1393" i="20"/>
  <c r="M1394" i="20"/>
  <c r="M1395" i="20"/>
  <c r="M1396" i="20"/>
  <c r="M1397" i="20"/>
  <c r="M1398" i="20"/>
  <c r="M1399" i="20"/>
  <c r="M1400" i="20"/>
  <c r="M1401" i="20"/>
  <c r="M1402" i="20"/>
  <c r="M1403" i="20"/>
  <c r="M1404" i="20"/>
  <c r="M1405" i="20"/>
  <c r="M1406" i="20"/>
  <c r="M1407" i="20"/>
  <c r="M1408" i="20"/>
  <c r="M1409" i="20"/>
  <c r="M1410" i="20"/>
  <c r="M1411" i="20"/>
  <c r="M1412" i="20"/>
  <c r="M1413" i="20"/>
  <c r="M1414" i="20"/>
  <c r="M1415" i="20"/>
  <c r="M1416" i="20"/>
  <c r="M1417" i="20"/>
  <c r="M1418" i="20"/>
  <c r="M1419" i="20"/>
  <c r="M1420" i="20"/>
  <c r="M1421" i="20"/>
  <c r="M1422" i="20"/>
  <c r="M1423" i="20"/>
  <c r="M1424" i="20"/>
  <c r="M1425" i="20"/>
  <c r="M1426" i="20"/>
  <c r="M1427" i="20"/>
  <c r="M1428" i="20"/>
  <c r="M1429" i="20"/>
  <c r="M1430" i="20"/>
  <c r="M1431" i="20"/>
  <c r="M1432" i="20"/>
  <c r="M1433" i="20"/>
  <c r="M1434" i="20"/>
  <c r="M1435" i="20"/>
  <c r="M1436" i="20"/>
  <c r="M1437" i="20"/>
  <c r="M1438" i="20"/>
  <c r="M1439" i="20"/>
  <c r="M1440" i="20"/>
  <c r="M1441" i="20"/>
  <c r="M1442" i="20"/>
  <c r="M1443" i="20"/>
  <c r="M1444" i="20"/>
  <c r="M1445" i="20"/>
  <c r="M1446" i="20"/>
  <c r="M1447" i="20"/>
  <c r="M1448" i="20"/>
  <c r="M1449" i="20"/>
  <c r="M1450" i="20"/>
  <c r="M1451" i="20"/>
  <c r="M1452" i="20"/>
  <c r="M1453" i="20"/>
  <c r="M1454" i="20"/>
  <c r="M1455" i="20"/>
  <c r="M1456" i="20"/>
  <c r="M1457" i="20"/>
  <c r="M1458" i="20"/>
  <c r="M1459" i="20"/>
  <c r="M1460" i="20"/>
  <c r="M1461" i="20"/>
  <c r="M1462" i="20"/>
  <c r="M1463" i="20"/>
  <c r="M1464" i="20"/>
  <c r="M1465" i="20"/>
  <c r="M1466" i="20"/>
  <c r="M1467" i="20"/>
  <c r="M1468" i="20"/>
  <c r="M1469" i="20"/>
  <c r="M1470" i="20"/>
  <c r="M1471" i="20"/>
  <c r="M1472" i="20"/>
  <c r="M1473" i="20"/>
  <c r="M1474" i="20"/>
  <c r="M1475" i="20"/>
  <c r="M1476" i="20"/>
  <c r="M1477" i="20"/>
  <c r="M1478" i="20"/>
  <c r="M1479" i="20"/>
  <c r="M1480" i="20"/>
  <c r="M1481" i="20"/>
  <c r="M1482" i="20"/>
  <c r="M1483" i="20"/>
  <c r="M1484" i="20"/>
  <c r="M1485" i="20"/>
  <c r="M1486" i="20"/>
  <c r="M1487" i="20"/>
  <c r="M1488" i="20"/>
  <c r="M1489" i="20"/>
  <c r="M1490" i="20"/>
  <c r="M1491" i="20"/>
  <c r="M1492" i="20"/>
  <c r="M1493" i="20"/>
  <c r="M1494" i="20"/>
  <c r="M1495" i="20"/>
  <c r="M1496" i="20"/>
  <c r="M1497" i="20"/>
  <c r="M1498" i="20"/>
  <c r="M1499" i="20"/>
  <c r="M1500" i="20"/>
  <c r="M1501" i="20"/>
  <c r="M1502" i="20"/>
  <c r="M1503" i="20"/>
  <c r="M1504" i="20"/>
  <c r="M1505" i="20"/>
  <c r="M1506" i="20"/>
  <c r="M1507" i="20"/>
  <c r="M1508" i="20"/>
  <c r="M1509" i="20"/>
  <c r="M1510" i="20"/>
  <c r="M1511" i="20"/>
  <c r="M1512" i="20"/>
  <c r="M1513" i="20"/>
  <c r="M1514" i="20"/>
  <c r="M1515" i="20"/>
  <c r="M1516" i="20"/>
  <c r="M1517" i="20"/>
  <c r="M1518" i="20"/>
  <c r="M1519" i="20"/>
  <c r="M1520" i="20"/>
  <c r="M1521" i="20"/>
  <c r="M1522" i="20"/>
  <c r="M1523" i="20"/>
  <c r="M1524" i="20"/>
  <c r="M1525" i="20"/>
  <c r="M1526" i="20"/>
  <c r="M1527" i="20"/>
  <c r="M1528" i="20"/>
  <c r="M1529" i="20"/>
  <c r="M1530" i="20"/>
  <c r="M1531" i="20"/>
  <c r="M1532" i="20"/>
  <c r="M1533" i="20"/>
  <c r="M1534" i="20"/>
  <c r="M1535" i="20"/>
  <c r="M1536" i="20"/>
  <c r="M1537" i="20"/>
  <c r="M1538" i="20"/>
  <c r="M1539" i="20"/>
  <c r="M1540" i="20"/>
  <c r="M1541" i="20"/>
  <c r="M1542" i="20"/>
  <c r="M1543" i="20"/>
  <c r="M1544" i="20"/>
  <c r="M1545" i="20"/>
  <c r="M1546" i="20"/>
  <c r="M1547" i="20"/>
  <c r="M1548" i="20"/>
  <c r="M1549" i="20"/>
  <c r="M1550" i="20"/>
  <c r="M1551" i="20"/>
  <c r="M1552" i="20"/>
  <c r="M1553" i="20"/>
  <c r="M1554" i="20"/>
  <c r="M1555" i="20"/>
  <c r="M1556" i="20"/>
  <c r="M1557" i="20"/>
  <c r="M1558" i="20"/>
  <c r="M1559" i="20"/>
  <c r="M1560" i="20"/>
  <c r="M1561" i="20"/>
  <c r="M1562" i="20"/>
  <c r="M1563" i="20"/>
  <c r="M1564" i="20"/>
  <c r="M1565" i="20"/>
  <c r="M1566" i="20"/>
  <c r="M1567" i="20"/>
  <c r="M1568" i="20"/>
  <c r="M1569" i="20"/>
  <c r="M1570" i="20"/>
  <c r="M1571" i="20"/>
  <c r="M1572" i="20"/>
  <c r="M1573" i="20"/>
  <c r="M1574" i="20"/>
  <c r="M1575" i="20"/>
  <c r="M1576" i="20"/>
  <c r="M1577" i="20"/>
  <c r="M1578" i="20"/>
  <c r="M1579" i="20"/>
  <c r="M1580" i="20"/>
  <c r="M1581" i="20"/>
  <c r="M1582" i="20"/>
  <c r="M1583" i="20"/>
  <c r="M1584" i="20"/>
  <c r="M1585" i="20"/>
  <c r="M1586" i="20"/>
  <c r="M1587" i="20"/>
  <c r="M1588" i="20"/>
  <c r="M1589" i="20"/>
  <c r="M1590" i="20"/>
  <c r="M1591" i="20"/>
  <c r="M1592" i="20"/>
  <c r="M1593" i="20"/>
  <c r="M1594" i="20"/>
  <c r="M1595" i="20"/>
  <c r="M1596" i="20"/>
  <c r="M1597" i="20"/>
  <c r="M1598" i="20"/>
  <c r="M1599" i="20"/>
  <c r="M1600" i="20"/>
  <c r="M1601" i="20"/>
  <c r="M1602" i="20"/>
  <c r="M1603" i="20"/>
  <c r="M1604" i="20"/>
  <c r="M1605" i="20"/>
  <c r="M1606" i="20"/>
  <c r="M1607" i="20"/>
  <c r="M1608" i="20"/>
  <c r="M1609" i="20"/>
  <c r="M1610" i="20"/>
  <c r="M1611" i="20"/>
  <c r="M1612" i="20"/>
  <c r="M1613" i="20"/>
  <c r="M1614" i="20"/>
  <c r="M1615" i="20"/>
  <c r="M1616" i="20"/>
  <c r="M1617" i="20"/>
  <c r="M1618" i="20"/>
  <c r="M1619" i="20"/>
  <c r="M1620" i="20"/>
  <c r="M1621" i="20"/>
  <c r="M1622" i="20"/>
  <c r="M1623" i="20"/>
  <c r="M1624" i="20"/>
  <c r="M1625" i="20"/>
  <c r="M1626" i="20"/>
  <c r="M1627" i="20"/>
  <c r="M1628" i="20"/>
  <c r="M1629" i="20"/>
  <c r="M1630" i="20"/>
  <c r="M1631" i="20"/>
  <c r="M1632" i="20"/>
  <c r="M1633" i="20"/>
  <c r="M1634" i="20"/>
  <c r="M1635" i="20"/>
  <c r="M1636" i="20"/>
  <c r="M1637" i="20"/>
  <c r="M1638" i="20"/>
  <c r="M1639" i="20"/>
  <c r="M1640" i="20"/>
  <c r="M1641" i="20"/>
  <c r="M1642" i="20"/>
  <c r="M1643" i="20"/>
  <c r="M1644" i="20"/>
  <c r="M1645" i="20"/>
  <c r="M1646" i="20"/>
  <c r="M1647" i="20"/>
  <c r="M1648" i="20"/>
  <c r="M1649" i="20"/>
  <c r="M1650" i="20"/>
  <c r="M1651" i="20"/>
  <c r="M1652" i="20"/>
  <c r="M1653" i="20"/>
  <c r="M1654" i="20"/>
  <c r="M1655" i="20"/>
  <c r="M1656" i="20"/>
  <c r="M1657" i="20"/>
  <c r="M1658" i="20"/>
  <c r="M1659" i="20"/>
  <c r="M1660" i="20"/>
  <c r="M1661" i="20"/>
  <c r="M1662" i="20"/>
  <c r="M1663" i="20"/>
  <c r="M1664" i="20"/>
  <c r="M1665" i="20"/>
  <c r="M1666" i="20"/>
  <c r="M1667" i="20"/>
  <c r="M1668" i="20"/>
  <c r="M1669" i="20"/>
  <c r="M1670" i="20"/>
  <c r="M1671" i="20"/>
  <c r="M1672" i="20"/>
  <c r="M1673" i="20"/>
  <c r="M1674" i="20"/>
  <c r="M1675" i="20"/>
  <c r="M1676" i="20"/>
  <c r="M1677" i="20"/>
  <c r="M1678" i="20"/>
  <c r="M1679" i="20"/>
  <c r="M1680" i="20"/>
  <c r="M1681" i="20"/>
  <c r="M1682" i="20"/>
  <c r="M1683" i="20"/>
  <c r="M1684" i="20"/>
  <c r="M1685" i="20"/>
  <c r="M1686" i="20"/>
  <c r="M1687" i="20"/>
  <c r="M1688" i="20"/>
  <c r="M1689" i="20"/>
  <c r="M1690" i="20"/>
  <c r="M1691" i="20"/>
  <c r="M1692" i="20"/>
  <c r="M1693" i="20"/>
  <c r="M1694" i="20"/>
  <c r="M1695" i="20"/>
  <c r="M1696" i="20"/>
  <c r="M1697" i="20"/>
  <c r="M1698" i="20"/>
  <c r="M1699" i="20"/>
  <c r="M1700" i="20"/>
  <c r="M1701" i="20"/>
  <c r="M1702" i="20"/>
  <c r="M1703" i="20"/>
  <c r="M1704" i="20"/>
  <c r="M1705" i="20"/>
  <c r="M1706" i="20"/>
  <c r="M1707" i="20"/>
  <c r="M1708" i="20"/>
  <c r="M1709" i="20"/>
  <c r="M1710" i="20"/>
  <c r="M1711" i="20"/>
  <c r="M1712" i="20"/>
  <c r="M1713" i="20"/>
  <c r="M1714" i="20"/>
  <c r="M1715" i="20"/>
  <c r="M1716" i="20"/>
  <c r="M1717" i="20"/>
  <c r="M1718" i="20"/>
  <c r="M1719" i="20"/>
  <c r="M1720" i="20"/>
  <c r="M1721" i="20"/>
  <c r="M1722" i="20"/>
  <c r="M1723" i="20"/>
  <c r="M1724" i="20"/>
  <c r="M1725" i="20"/>
  <c r="M1726" i="20"/>
  <c r="M1727" i="20"/>
  <c r="M1728" i="20"/>
  <c r="M1729" i="20"/>
  <c r="M1730" i="20"/>
  <c r="M1731" i="20"/>
  <c r="M1732" i="20"/>
  <c r="M1733" i="20"/>
  <c r="M1734" i="20"/>
  <c r="M1735" i="20"/>
  <c r="M1736" i="20"/>
  <c r="M1737" i="20"/>
  <c r="M1738" i="20"/>
  <c r="M1739" i="20"/>
  <c r="M1740" i="20"/>
  <c r="M1741" i="20"/>
  <c r="M1742" i="20"/>
  <c r="M1743" i="20"/>
  <c r="M1744" i="20"/>
  <c r="M1745" i="20"/>
  <c r="M1746" i="20"/>
  <c r="M1747" i="20"/>
  <c r="M1748" i="20"/>
  <c r="M1749" i="20"/>
  <c r="M1750" i="20"/>
  <c r="M1751" i="20"/>
  <c r="M1752" i="20"/>
  <c r="M1753" i="20"/>
  <c r="M1754" i="20"/>
  <c r="M1755" i="20"/>
  <c r="M1756" i="20"/>
  <c r="M1757" i="20"/>
  <c r="M1758" i="20"/>
  <c r="M1759" i="20"/>
  <c r="M1760" i="20"/>
  <c r="M1761" i="20"/>
  <c r="M1762" i="20"/>
  <c r="M1763" i="20"/>
  <c r="M1764" i="20"/>
  <c r="M1765" i="20"/>
  <c r="M1766" i="20"/>
  <c r="M1767" i="20"/>
  <c r="M1768" i="20"/>
  <c r="M1769" i="20"/>
  <c r="M1770" i="20"/>
  <c r="M1771" i="20"/>
  <c r="M1772" i="20"/>
  <c r="M1773" i="20"/>
  <c r="M1774" i="20"/>
  <c r="M1775" i="20"/>
  <c r="M1776" i="20"/>
  <c r="M1777" i="20"/>
  <c r="M1778" i="20"/>
  <c r="M1779" i="20"/>
  <c r="M1780" i="20"/>
  <c r="M1781" i="20"/>
  <c r="M1782" i="20"/>
  <c r="M1783" i="20"/>
  <c r="M1784" i="20"/>
  <c r="M1785" i="20"/>
  <c r="M1786" i="20"/>
  <c r="M1787" i="20"/>
  <c r="M1788" i="20"/>
  <c r="M1789" i="20"/>
  <c r="M1790" i="20"/>
  <c r="M1791" i="20"/>
  <c r="M1792" i="20"/>
  <c r="M1793" i="20"/>
  <c r="M1794" i="20"/>
  <c r="M1795" i="20"/>
  <c r="M1796" i="20"/>
  <c r="M1797" i="20"/>
  <c r="M1798" i="20"/>
  <c r="M1799" i="20"/>
  <c r="M1800" i="20"/>
  <c r="M1801" i="20"/>
  <c r="M1802" i="20"/>
  <c r="M1803" i="20"/>
  <c r="M1804" i="20"/>
  <c r="M1805" i="20"/>
  <c r="M1806" i="20"/>
  <c r="M1807" i="20"/>
  <c r="M1808" i="20"/>
  <c r="M1809" i="20"/>
  <c r="M1810" i="20"/>
  <c r="M1811" i="20"/>
  <c r="M1812" i="20"/>
  <c r="M1813" i="20"/>
  <c r="M1814" i="20"/>
  <c r="M1815" i="20"/>
  <c r="M1816" i="20"/>
  <c r="M1817" i="20"/>
  <c r="M1818" i="20"/>
  <c r="M1819" i="20"/>
  <c r="M1820" i="20"/>
  <c r="M1821" i="20"/>
  <c r="M1822" i="20"/>
  <c r="M1823" i="20"/>
  <c r="M1824" i="20"/>
  <c r="M1825" i="20"/>
  <c r="M1826" i="20"/>
  <c r="M1827" i="20"/>
  <c r="M1828" i="20"/>
  <c r="M1829" i="20"/>
  <c r="M1830" i="20"/>
  <c r="M1831" i="20"/>
  <c r="M1832" i="20"/>
  <c r="M1833" i="20"/>
  <c r="M1834" i="20"/>
  <c r="M1835" i="20"/>
  <c r="M1836" i="20"/>
  <c r="M1837" i="20"/>
  <c r="M1838" i="20"/>
  <c r="M1839" i="20"/>
  <c r="M1840" i="20"/>
  <c r="M1841" i="20"/>
  <c r="M1842" i="20"/>
  <c r="M1843" i="20"/>
  <c r="M1844" i="20"/>
  <c r="M1845" i="20"/>
  <c r="M1846" i="20"/>
  <c r="M1847" i="20"/>
  <c r="M1848" i="20"/>
  <c r="M1849" i="20"/>
  <c r="M1850" i="20"/>
  <c r="M1851" i="20"/>
  <c r="M1852" i="20"/>
  <c r="M1853" i="20"/>
  <c r="M1854" i="20"/>
  <c r="M1855" i="20"/>
  <c r="M1856" i="20"/>
  <c r="M1857" i="20"/>
  <c r="M1858" i="20"/>
  <c r="M1859" i="20"/>
  <c r="M1860" i="20"/>
  <c r="M1861" i="20"/>
  <c r="M1862" i="20"/>
  <c r="M1863" i="20"/>
  <c r="M1864" i="20"/>
  <c r="M1865" i="20"/>
  <c r="M1866" i="20"/>
  <c r="M1867" i="20"/>
  <c r="M1868" i="20"/>
  <c r="M1869" i="20"/>
  <c r="M1870" i="20"/>
  <c r="M1871" i="20"/>
  <c r="M1872" i="20"/>
  <c r="M1873" i="20"/>
  <c r="M1874" i="20"/>
  <c r="M1875" i="20"/>
  <c r="M1876" i="20"/>
  <c r="M1877" i="20"/>
  <c r="M1878" i="20"/>
  <c r="M1879" i="20"/>
  <c r="M1880" i="20"/>
  <c r="M1881" i="20"/>
  <c r="M1882" i="20"/>
  <c r="M1883" i="20"/>
  <c r="M1884" i="20"/>
  <c r="M1885" i="20"/>
  <c r="M1886" i="20"/>
  <c r="M1887" i="20"/>
  <c r="M1888" i="20"/>
  <c r="M1889" i="20"/>
  <c r="M1890" i="20"/>
  <c r="M1891" i="20"/>
  <c r="M1892" i="20"/>
  <c r="M1893" i="20"/>
  <c r="M1894" i="20"/>
  <c r="M1895" i="20"/>
  <c r="M1896" i="20"/>
  <c r="M1897" i="20"/>
  <c r="M1898" i="20"/>
  <c r="M1899" i="20"/>
  <c r="M1900" i="20"/>
  <c r="M1901" i="20"/>
  <c r="M1902" i="20"/>
  <c r="M1903" i="20"/>
  <c r="M1904" i="20"/>
  <c r="M1905" i="20"/>
  <c r="M1906" i="20"/>
  <c r="M1907" i="20"/>
  <c r="M1908" i="20"/>
  <c r="M1909" i="20"/>
  <c r="M1910" i="20"/>
  <c r="M1911" i="20"/>
  <c r="M1912" i="20"/>
  <c r="M1913" i="20"/>
  <c r="M1914" i="20"/>
  <c r="M1915" i="20"/>
  <c r="M1916" i="20"/>
  <c r="M1917" i="20"/>
  <c r="M1918" i="20"/>
  <c r="M1919" i="20"/>
  <c r="M1920" i="20"/>
  <c r="M1921" i="20"/>
  <c r="M1922" i="20"/>
  <c r="M1923" i="20"/>
  <c r="M1924" i="20"/>
  <c r="M1925" i="20"/>
  <c r="M1926" i="20"/>
  <c r="M1927" i="20"/>
  <c r="M1928" i="20"/>
  <c r="M1929" i="20"/>
  <c r="M1930" i="20"/>
  <c r="M1931" i="20"/>
  <c r="M1932" i="20"/>
  <c r="M1933" i="20"/>
  <c r="M1934" i="20"/>
  <c r="M1935" i="20"/>
  <c r="M1936" i="20"/>
  <c r="M1937" i="20"/>
  <c r="M1938" i="20"/>
  <c r="M1939" i="20"/>
  <c r="M1940" i="20"/>
  <c r="M1941" i="20"/>
  <c r="M1942" i="20"/>
  <c r="M1943" i="20"/>
  <c r="M1944" i="20"/>
  <c r="M1945" i="20"/>
  <c r="M1946" i="20"/>
  <c r="M1947" i="20"/>
  <c r="M1948" i="20"/>
  <c r="M1949" i="20"/>
  <c r="M1950" i="20"/>
  <c r="M1951" i="20"/>
  <c r="M1952" i="20"/>
  <c r="M1953" i="20"/>
  <c r="M1954" i="20"/>
  <c r="M1955" i="20"/>
  <c r="M1956" i="20"/>
  <c r="M1957" i="20"/>
  <c r="M1958" i="20"/>
  <c r="M1959" i="20"/>
  <c r="M1960" i="20"/>
  <c r="M1961" i="20"/>
  <c r="M1962" i="20"/>
  <c r="M1963" i="20"/>
  <c r="M1964" i="20"/>
  <c r="M1965" i="20"/>
  <c r="M1966" i="20"/>
  <c r="M1967" i="20"/>
  <c r="M1968" i="20"/>
  <c r="M1969" i="20"/>
  <c r="M1970" i="20"/>
  <c r="M1971" i="20"/>
  <c r="M1972" i="20"/>
  <c r="M1973" i="20"/>
  <c r="M1974" i="20"/>
  <c r="M1975" i="20"/>
  <c r="M1976" i="20"/>
  <c r="M1977" i="20"/>
  <c r="M1978" i="20"/>
  <c r="M1979" i="20"/>
  <c r="M1980" i="20"/>
  <c r="M1981" i="20"/>
  <c r="M1982" i="20"/>
  <c r="M1983" i="20"/>
  <c r="M1984" i="20"/>
  <c r="M1985" i="20"/>
  <c r="M1986" i="20"/>
  <c r="M1987" i="20"/>
  <c r="M1988" i="20"/>
  <c r="M1989" i="20"/>
  <c r="M1990" i="20"/>
  <c r="M1991" i="20"/>
  <c r="M1992" i="20"/>
  <c r="M1993" i="20"/>
  <c r="M1994" i="20"/>
  <c r="M1995" i="20"/>
  <c r="M1996" i="20"/>
  <c r="M1997" i="20"/>
  <c r="M1998" i="20"/>
  <c r="M1999" i="20"/>
  <c r="M2000" i="20"/>
  <c r="M2001" i="20"/>
  <c r="M2002" i="20"/>
  <c r="M2003" i="20"/>
  <c r="M2004" i="20"/>
  <c r="M2005" i="20"/>
  <c r="M2006" i="20"/>
  <c r="M2007" i="20"/>
  <c r="M2008" i="20"/>
  <c r="M2009" i="20"/>
  <c r="M2010" i="20"/>
  <c r="M2011" i="20"/>
  <c r="M2012" i="20"/>
  <c r="M2013" i="20"/>
  <c r="M2014" i="20"/>
  <c r="M2015" i="20"/>
  <c r="M2016" i="20"/>
  <c r="M2017" i="20"/>
  <c r="M2018" i="20"/>
  <c r="M2019" i="20"/>
  <c r="M2020" i="20"/>
  <c r="M2021" i="20"/>
  <c r="M2022" i="20"/>
  <c r="M2023" i="20"/>
  <c r="M2024" i="20"/>
  <c r="M2025" i="20"/>
  <c r="M2026" i="20"/>
  <c r="M2027" i="20"/>
  <c r="M2028" i="20"/>
  <c r="M2029" i="20"/>
  <c r="M2030" i="20"/>
  <c r="M2031" i="20"/>
  <c r="M2032" i="20"/>
  <c r="M2033" i="20"/>
  <c r="M2034" i="20"/>
  <c r="M2035" i="20"/>
  <c r="M2036" i="20"/>
  <c r="M2037" i="20"/>
  <c r="M2038" i="20"/>
  <c r="M2039" i="20"/>
  <c r="M2040" i="20"/>
  <c r="M2041" i="20"/>
  <c r="M2042" i="20"/>
  <c r="M2043" i="20"/>
  <c r="M2044" i="20"/>
  <c r="M2045" i="20"/>
  <c r="M2046" i="20"/>
  <c r="M2047" i="20"/>
  <c r="M2048" i="20"/>
  <c r="M2049" i="20"/>
  <c r="M2050" i="20"/>
  <c r="M2051" i="20"/>
  <c r="M2052" i="20"/>
  <c r="M2053" i="20"/>
  <c r="M2054" i="20"/>
  <c r="M2055" i="20"/>
  <c r="M2056" i="20"/>
  <c r="M2057" i="20"/>
  <c r="M2058" i="20"/>
  <c r="M2059" i="20"/>
  <c r="M2060" i="20"/>
  <c r="M2061" i="20"/>
  <c r="M2062" i="20"/>
  <c r="M2063" i="20"/>
  <c r="M2064" i="20"/>
  <c r="M2065" i="20"/>
  <c r="M2066" i="20"/>
  <c r="M2067" i="20"/>
  <c r="M2068" i="20"/>
  <c r="M2069" i="20"/>
  <c r="M2070" i="20"/>
  <c r="M2071" i="20"/>
  <c r="M2072" i="20"/>
  <c r="M2073" i="20"/>
  <c r="M2074" i="20"/>
  <c r="M2075" i="20"/>
  <c r="M2076" i="20"/>
  <c r="M2077" i="20"/>
  <c r="M2078" i="20"/>
  <c r="M2079" i="20"/>
  <c r="M2080" i="20"/>
  <c r="M2081" i="20"/>
  <c r="M2082" i="20"/>
  <c r="M2083" i="20"/>
  <c r="M2084" i="20"/>
  <c r="M2085" i="20"/>
  <c r="M2086" i="20"/>
  <c r="M2087" i="20"/>
  <c r="M2088" i="20"/>
  <c r="M2089" i="20"/>
  <c r="M2090" i="20"/>
  <c r="M2091" i="20"/>
  <c r="M2092" i="20"/>
  <c r="M2093" i="20"/>
  <c r="M2094" i="20"/>
  <c r="M2095" i="20"/>
  <c r="M2096" i="20"/>
  <c r="M2097" i="20"/>
  <c r="M2098" i="20"/>
  <c r="M2099" i="20"/>
  <c r="M2100" i="20"/>
  <c r="M2101" i="20"/>
  <c r="M2102" i="20"/>
  <c r="M2103" i="20"/>
  <c r="M2104" i="20"/>
  <c r="M2105" i="20"/>
  <c r="M2106" i="20"/>
  <c r="M2107" i="20"/>
  <c r="M2108" i="20"/>
  <c r="M2109" i="20"/>
  <c r="M2110" i="20"/>
  <c r="M2111" i="20"/>
  <c r="M2112" i="20"/>
  <c r="M2113" i="20"/>
  <c r="M2114" i="20"/>
  <c r="M2115" i="20"/>
  <c r="M2116" i="20"/>
  <c r="M2117" i="20"/>
  <c r="M2118" i="20"/>
  <c r="M2119" i="20"/>
  <c r="M2120" i="20"/>
  <c r="M2121" i="20"/>
  <c r="M2122" i="20"/>
  <c r="M2123" i="20"/>
  <c r="M2124" i="20"/>
  <c r="M2125" i="20"/>
  <c r="M2126" i="20"/>
  <c r="M2127" i="20"/>
  <c r="M2128" i="20"/>
  <c r="M2129" i="20"/>
  <c r="M2130" i="20"/>
  <c r="M2131" i="20"/>
  <c r="M2132" i="20"/>
  <c r="M2133" i="20"/>
  <c r="M2134" i="20"/>
  <c r="M2135" i="20"/>
  <c r="M2136" i="20"/>
  <c r="M2137" i="20"/>
  <c r="M2138" i="20"/>
  <c r="M2139" i="20"/>
  <c r="M2140" i="20"/>
  <c r="M2141" i="20"/>
  <c r="M2142" i="20"/>
  <c r="M2143" i="20"/>
  <c r="M2144" i="20"/>
  <c r="M2145" i="20"/>
  <c r="M2146" i="20"/>
  <c r="M2147" i="20"/>
  <c r="M2148" i="20"/>
  <c r="M2149" i="20"/>
  <c r="M2150" i="20"/>
  <c r="M2151" i="20"/>
  <c r="M2152" i="20"/>
  <c r="M2153" i="20"/>
  <c r="M2154" i="20"/>
  <c r="M2155" i="20"/>
  <c r="M2156" i="20"/>
  <c r="M2157" i="20"/>
  <c r="M2158" i="20"/>
  <c r="M2159" i="20"/>
  <c r="M2160" i="20"/>
  <c r="M2161" i="20"/>
  <c r="M2162" i="20"/>
  <c r="M2163" i="20"/>
  <c r="M2164" i="20"/>
  <c r="M2165" i="20"/>
  <c r="M2166" i="20"/>
  <c r="M2167" i="20"/>
  <c r="M2168" i="20"/>
  <c r="M2169" i="20"/>
  <c r="M2170" i="20"/>
  <c r="M2171" i="20"/>
  <c r="M2172" i="20"/>
  <c r="M2173" i="20"/>
  <c r="M2174" i="20"/>
  <c r="M2175" i="20"/>
  <c r="M2176" i="20"/>
  <c r="M2177" i="20"/>
  <c r="M2178" i="20"/>
  <c r="M2179" i="20"/>
  <c r="M2180" i="20"/>
  <c r="M2181" i="20"/>
  <c r="M2182" i="20"/>
  <c r="M2183" i="20"/>
  <c r="M2184" i="20"/>
  <c r="M2185" i="20"/>
  <c r="M2186" i="20"/>
  <c r="M2187" i="20"/>
  <c r="M2188" i="20"/>
  <c r="M2189" i="20"/>
  <c r="M2190" i="20"/>
  <c r="M2191" i="20"/>
  <c r="M2192" i="20"/>
  <c r="M2193" i="20"/>
  <c r="M2194" i="20"/>
  <c r="M2195" i="20"/>
  <c r="M2196" i="20"/>
  <c r="M2197" i="20"/>
  <c r="M2198" i="20"/>
  <c r="M2199" i="20"/>
  <c r="M2200" i="20"/>
  <c r="M2201" i="20"/>
  <c r="M2202" i="20"/>
  <c r="M2203" i="20"/>
  <c r="M2204" i="20"/>
  <c r="M2205" i="20"/>
  <c r="M2206" i="20"/>
  <c r="M2207" i="20"/>
  <c r="M2208" i="20"/>
  <c r="M2209" i="20"/>
  <c r="M2210" i="20"/>
  <c r="M2211" i="20"/>
  <c r="M2212" i="20"/>
  <c r="M2213" i="20"/>
  <c r="M2214" i="20"/>
  <c r="M2215" i="20"/>
  <c r="M2216" i="20"/>
  <c r="M2217" i="20"/>
  <c r="M2218" i="20"/>
  <c r="M2219" i="20"/>
  <c r="M2220" i="20"/>
  <c r="M2221" i="20"/>
  <c r="M2222" i="20"/>
  <c r="M2223" i="20"/>
  <c r="M2224" i="20"/>
  <c r="M2225" i="20"/>
  <c r="M2226" i="20"/>
  <c r="M2227" i="20"/>
  <c r="M2228" i="20"/>
  <c r="M2229" i="20"/>
  <c r="M2230" i="20"/>
  <c r="M2231" i="20"/>
  <c r="M2232" i="20"/>
  <c r="M2233" i="20"/>
  <c r="M2234" i="20"/>
  <c r="M2235" i="20"/>
  <c r="M2236" i="20"/>
  <c r="M2237" i="20"/>
  <c r="M2238" i="20"/>
  <c r="M2239" i="20"/>
  <c r="M2240" i="20"/>
  <c r="M2241" i="20"/>
  <c r="M2242" i="20"/>
  <c r="M2243" i="20"/>
  <c r="M2244" i="20"/>
  <c r="M2245" i="20"/>
  <c r="M2246" i="20"/>
  <c r="M2247" i="20"/>
  <c r="M2248" i="20"/>
  <c r="M2249" i="20"/>
  <c r="M2250" i="20"/>
  <c r="M2251" i="20"/>
  <c r="M2252" i="20"/>
  <c r="M2253" i="20"/>
  <c r="M2254" i="20"/>
  <c r="M2255" i="20"/>
  <c r="M2256" i="20"/>
  <c r="M2257" i="20"/>
  <c r="M2258" i="20"/>
  <c r="M2259" i="20"/>
  <c r="M2260" i="20"/>
  <c r="M2261" i="20"/>
  <c r="M2262" i="20"/>
  <c r="M2263" i="20"/>
  <c r="M2264" i="20"/>
  <c r="M2265" i="20"/>
  <c r="M2266" i="20"/>
  <c r="M2267" i="20"/>
  <c r="M2268" i="20"/>
  <c r="M2269" i="20"/>
  <c r="M2270" i="20"/>
  <c r="M2271" i="20"/>
  <c r="M2272" i="20"/>
  <c r="M2273" i="20"/>
  <c r="M2274" i="20"/>
  <c r="M2275" i="20"/>
  <c r="M2276" i="20"/>
  <c r="M2277" i="20"/>
  <c r="M2278" i="20"/>
  <c r="M2279" i="20"/>
  <c r="M2280" i="20"/>
  <c r="M2281" i="20"/>
  <c r="M2282" i="20"/>
  <c r="M2283" i="20"/>
  <c r="M2284" i="20"/>
  <c r="M2285" i="20"/>
  <c r="M2286" i="20"/>
  <c r="M2287" i="20"/>
  <c r="M2288" i="20"/>
  <c r="M2289" i="20"/>
  <c r="M2290" i="20"/>
  <c r="M2291" i="20"/>
  <c r="M2292" i="20"/>
  <c r="M2293" i="20"/>
  <c r="M2294" i="20"/>
  <c r="M2295" i="20"/>
  <c r="M2296" i="20"/>
  <c r="M2297" i="20"/>
  <c r="M2298" i="20"/>
  <c r="M2299" i="20"/>
  <c r="M2300" i="20"/>
  <c r="M2301" i="20"/>
  <c r="M2302" i="20"/>
  <c r="M2303" i="20"/>
  <c r="M2304" i="20"/>
  <c r="M2305" i="20"/>
  <c r="M2306" i="20"/>
  <c r="M2307" i="20"/>
  <c r="M2308" i="20"/>
  <c r="M2309" i="20"/>
  <c r="M2310" i="20"/>
  <c r="M2311" i="20"/>
  <c r="M2312" i="20"/>
  <c r="M2313" i="20"/>
  <c r="M2314" i="20"/>
  <c r="M2315" i="20"/>
  <c r="M2316" i="20"/>
  <c r="M2317" i="20"/>
  <c r="M2318" i="20"/>
  <c r="M2319" i="20"/>
  <c r="M2320" i="20"/>
  <c r="M2321" i="20"/>
  <c r="M2322" i="20"/>
  <c r="M2323" i="20"/>
  <c r="M2324" i="20"/>
  <c r="M2325" i="20"/>
  <c r="M2326" i="20"/>
  <c r="M2327" i="20"/>
  <c r="M2328" i="20"/>
  <c r="M2329" i="20"/>
  <c r="M2330" i="20"/>
  <c r="M2331" i="20"/>
  <c r="M2332" i="20"/>
  <c r="M2333" i="20"/>
  <c r="M2334" i="20"/>
  <c r="M2335" i="20"/>
  <c r="M2336" i="20"/>
  <c r="M2337" i="20"/>
  <c r="M2338" i="20"/>
  <c r="M2339" i="20"/>
  <c r="M2340" i="20"/>
  <c r="M2341" i="20"/>
  <c r="M2342" i="20"/>
  <c r="M2343" i="20"/>
  <c r="M2344" i="20"/>
  <c r="M2345" i="20"/>
  <c r="M2346" i="20"/>
  <c r="M2347" i="20"/>
  <c r="M2348" i="20"/>
  <c r="M2349" i="20"/>
  <c r="M2350" i="20"/>
  <c r="M2351" i="20"/>
  <c r="M2352" i="20"/>
  <c r="M2353" i="20"/>
  <c r="M2354" i="20"/>
  <c r="M2355" i="20"/>
  <c r="M2356" i="20"/>
  <c r="M2357" i="20"/>
  <c r="M2358" i="20"/>
  <c r="M2359" i="20"/>
  <c r="M2360" i="20"/>
  <c r="M2361" i="20"/>
  <c r="M2362" i="20"/>
  <c r="M2363" i="20"/>
  <c r="M2364" i="20"/>
  <c r="M2365" i="20"/>
  <c r="M2366" i="20"/>
  <c r="M2367" i="20"/>
  <c r="M2368" i="20"/>
  <c r="M2369" i="20"/>
  <c r="M2370" i="20"/>
  <c r="M2371" i="20"/>
  <c r="M2372" i="20"/>
  <c r="M2373" i="20"/>
  <c r="M2374" i="20"/>
  <c r="M2375" i="20"/>
  <c r="M2376" i="20"/>
  <c r="M2377" i="20"/>
  <c r="M2378" i="20"/>
  <c r="M2379" i="20"/>
  <c r="M2380" i="20"/>
  <c r="M2381" i="20"/>
  <c r="M2382" i="20"/>
  <c r="M2383" i="20"/>
  <c r="M2384" i="20"/>
  <c r="M2385" i="20"/>
  <c r="M2386" i="20"/>
  <c r="M2387" i="20"/>
  <c r="M2388" i="20"/>
  <c r="M2389" i="20"/>
  <c r="M2390" i="20"/>
  <c r="M2391" i="20"/>
  <c r="M2392" i="20"/>
  <c r="M2393" i="20"/>
  <c r="M2394" i="20"/>
  <c r="M2395" i="20"/>
  <c r="M2396" i="20"/>
  <c r="M2397" i="20"/>
  <c r="M2398" i="20"/>
  <c r="M2399" i="20"/>
  <c r="M2400" i="20"/>
  <c r="M2401" i="20"/>
  <c r="M2402" i="20"/>
  <c r="M2403" i="20"/>
  <c r="M2404" i="20"/>
  <c r="M2405" i="20"/>
  <c r="M2406" i="20"/>
  <c r="M2407" i="20"/>
  <c r="M2408" i="20"/>
  <c r="M2409" i="20"/>
  <c r="M2410" i="20"/>
  <c r="M2411" i="20"/>
  <c r="M2412" i="20"/>
  <c r="M2413" i="20"/>
  <c r="M2414" i="20"/>
  <c r="M2415" i="20"/>
  <c r="M2416" i="20"/>
  <c r="M2417" i="20"/>
  <c r="M2418" i="20"/>
  <c r="M2419" i="20"/>
  <c r="M2420" i="20"/>
  <c r="M2421" i="20"/>
  <c r="M2422" i="20"/>
  <c r="M2423" i="20"/>
  <c r="M2424" i="20"/>
  <c r="M2425" i="20"/>
  <c r="M2426" i="20"/>
  <c r="M2427" i="20"/>
  <c r="M2428" i="20"/>
  <c r="M2429" i="20"/>
  <c r="M2430" i="20"/>
  <c r="M2431" i="20"/>
  <c r="M2432" i="20"/>
  <c r="M2433" i="20"/>
  <c r="M2434" i="20"/>
  <c r="M2435" i="20"/>
  <c r="M2436" i="20"/>
  <c r="M2437" i="20"/>
  <c r="M2438" i="20"/>
  <c r="M2439" i="20"/>
  <c r="M2440" i="20"/>
  <c r="M2441" i="20"/>
  <c r="M2442" i="20"/>
  <c r="M2443" i="20"/>
  <c r="M2444" i="20"/>
  <c r="M2445" i="20"/>
  <c r="M2446" i="20"/>
  <c r="M2447" i="20"/>
  <c r="M2448" i="20"/>
  <c r="M2449" i="20"/>
  <c r="M2450" i="20"/>
  <c r="M2451" i="20"/>
  <c r="M2452" i="20"/>
  <c r="M2453" i="20"/>
  <c r="M2454" i="20"/>
  <c r="M2455" i="20"/>
  <c r="M2456" i="20"/>
  <c r="M2457" i="20"/>
  <c r="M2458" i="20"/>
  <c r="M2459" i="20"/>
  <c r="M2460" i="20"/>
  <c r="M2461" i="20"/>
  <c r="M2462" i="20"/>
  <c r="M2463" i="20"/>
  <c r="M2464" i="20"/>
  <c r="M2465" i="20"/>
  <c r="M2466" i="20"/>
  <c r="M2467" i="20"/>
  <c r="M2468" i="20"/>
  <c r="M2469" i="20"/>
  <c r="M2470" i="20"/>
  <c r="M2471" i="20"/>
  <c r="M2472" i="20"/>
  <c r="M2473" i="20"/>
  <c r="M2474" i="20"/>
  <c r="M2475" i="20"/>
  <c r="M2476" i="20"/>
  <c r="M2477" i="20"/>
  <c r="M2478" i="20"/>
  <c r="M2479" i="20"/>
  <c r="M2480" i="20"/>
  <c r="M2481" i="20"/>
  <c r="M2482" i="20"/>
  <c r="M2483" i="20"/>
  <c r="M2484" i="20"/>
  <c r="M2485" i="20"/>
  <c r="M2486" i="20"/>
  <c r="M2487" i="20"/>
  <c r="M2488" i="20"/>
  <c r="M2489" i="20"/>
  <c r="M2490" i="20"/>
  <c r="M2491" i="20"/>
  <c r="M2492" i="20"/>
  <c r="M2493" i="20"/>
  <c r="M2494" i="20"/>
  <c r="M2495" i="20"/>
  <c r="M2496" i="20"/>
  <c r="M2497" i="20"/>
  <c r="M2498" i="20"/>
  <c r="M2499" i="20"/>
  <c r="M2500" i="20"/>
  <c r="M2501" i="20"/>
  <c r="M2502" i="20"/>
  <c r="M2503" i="20"/>
  <c r="M2504" i="20"/>
  <c r="M2505" i="20"/>
  <c r="M2506" i="20"/>
  <c r="M2507" i="20"/>
  <c r="M2508" i="20"/>
  <c r="M2509" i="20"/>
  <c r="M2510" i="20"/>
  <c r="M2511" i="20"/>
  <c r="M2512" i="20"/>
  <c r="M2513" i="20"/>
  <c r="M2514" i="20"/>
  <c r="M2515" i="20"/>
  <c r="M2516" i="20"/>
  <c r="M2517" i="20"/>
  <c r="M2518" i="20"/>
  <c r="M2519" i="20"/>
  <c r="M2520" i="20"/>
  <c r="M2521" i="20"/>
  <c r="M2522" i="20"/>
  <c r="M2523" i="20"/>
  <c r="M2524" i="20"/>
  <c r="M2525" i="20"/>
  <c r="M2526" i="20"/>
  <c r="M2527" i="20"/>
  <c r="M2528" i="20"/>
  <c r="M2529" i="20"/>
  <c r="M2530" i="20"/>
  <c r="M2531" i="20"/>
  <c r="M2532" i="20"/>
  <c r="M2533" i="20"/>
  <c r="M2534" i="20"/>
  <c r="M2535" i="20"/>
  <c r="M2536" i="20"/>
  <c r="M2537" i="20"/>
  <c r="M2538" i="20"/>
  <c r="M2539" i="20"/>
  <c r="M2540" i="20"/>
  <c r="M2541" i="20"/>
  <c r="M2542" i="20"/>
  <c r="M2543" i="20"/>
  <c r="M2544" i="20"/>
  <c r="M2545" i="20"/>
  <c r="M2546" i="20"/>
  <c r="M2547" i="20"/>
  <c r="M2548" i="20"/>
  <c r="M2549" i="20"/>
  <c r="M2550" i="20"/>
  <c r="M2551" i="20"/>
  <c r="M2552" i="20"/>
  <c r="M2553" i="20"/>
  <c r="M2554" i="20"/>
  <c r="M2555" i="20"/>
  <c r="M2556" i="20"/>
  <c r="M2557" i="20"/>
  <c r="M2558" i="20"/>
  <c r="M2559" i="20"/>
  <c r="M2560" i="20"/>
  <c r="M2561" i="20"/>
  <c r="M2562" i="20"/>
  <c r="M2563" i="20"/>
  <c r="M2564" i="20"/>
  <c r="M2565" i="20"/>
  <c r="M2566" i="20"/>
  <c r="M2567" i="20"/>
  <c r="M2568" i="20"/>
  <c r="M2569" i="20"/>
  <c r="M2570" i="20"/>
  <c r="M2571" i="20"/>
  <c r="M2572" i="20"/>
  <c r="M2573" i="20"/>
  <c r="M2574" i="20"/>
  <c r="M2575" i="20"/>
  <c r="M2576" i="20"/>
  <c r="M2577" i="20"/>
  <c r="M2578" i="20"/>
  <c r="M2579" i="20"/>
  <c r="M2580" i="20"/>
  <c r="M2581" i="20"/>
  <c r="M2582" i="20"/>
  <c r="M2583" i="20"/>
  <c r="M2584" i="20"/>
  <c r="M2585" i="20"/>
  <c r="M2586" i="20"/>
  <c r="M2587" i="20"/>
  <c r="M2588" i="20"/>
  <c r="M2589" i="20"/>
  <c r="M2590" i="20"/>
  <c r="M2591" i="20"/>
  <c r="M2592" i="20"/>
  <c r="M2593" i="20"/>
  <c r="M2594" i="20"/>
  <c r="M2595" i="20"/>
  <c r="M2596" i="20"/>
  <c r="M2597" i="20"/>
  <c r="M2598" i="20"/>
  <c r="M2599" i="20"/>
  <c r="M2600" i="20"/>
  <c r="M2601" i="20"/>
  <c r="M2602" i="20"/>
  <c r="M2603" i="20"/>
  <c r="M2604" i="20"/>
  <c r="M2605" i="20"/>
  <c r="M2606" i="20"/>
  <c r="M2607" i="20"/>
  <c r="M2608" i="20"/>
  <c r="M2609" i="20"/>
  <c r="M2610" i="20"/>
  <c r="M2611" i="20"/>
  <c r="M2612" i="20"/>
  <c r="M2613" i="20"/>
  <c r="M2614" i="20"/>
  <c r="M2615" i="20"/>
  <c r="M2616" i="20"/>
  <c r="M2617" i="20"/>
  <c r="M2618" i="20"/>
  <c r="M2619" i="20"/>
  <c r="M2620" i="20"/>
  <c r="M2621" i="20"/>
  <c r="M2622" i="20"/>
  <c r="M2623" i="20"/>
  <c r="M2624" i="20"/>
  <c r="M2625" i="20"/>
  <c r="M2626" i="20"/>
  <c r="M2627" i="20"/>
  <c r="M2628" i="20"/>
  <c r="M2629" i="20"/>
  <c r="M2630" i="20"/>
  <c r="M2631" i="20"/>
  <c r="M2632" i="20"/>
  <c r="M2633" i="20"/>
  <c r="M2634" i="20"/>
  <c r="M2635" i="20"/>
  <c r="M2636" i="20"/>
  <c r="M2637" i="20"/>
  <c r="M2638" i="20"/>
  <c r="M2639" i="20"/>
  <c r="M2640" i="20"/>
  <c r="M2641" i="20"/>
  <c r="M2642" i="20"/>
  <c r="M2643" i="20"/>
  <c r="M2644" i="20"/>
  <c r="M2645" i="20"/>
  <c r="M2646" i="20"/>
  <c r="M2647" i="20"/>
  <c r="M2648" i="20"/>
  <c r="M2649" i="20"/>
  <c r="M2650" i="20"/>
  <c r="M2651" i="20"/>
  <c r="M2652" i="20"/>
  <c r="M2653" i="20"/>
  <c r="M2654" i="20"/>
  <c r="M2655" i="20"/>
  <c r="M2656" i="20"/>
  <c r="M2657" i="20"/>
  <c r="M2658" i="20"/>
  <c r="M2659" i="20"/>
  <c r="M2660" i="20"/>
  <c r="M2661" i="20"/>
  <c r="M2662" i="20"/>
  <c r="M2663" i="20"/>
  <c r="M2664" i="20"/>
  <c r="M2665" i="20"/>
  <c r="M2666" i="20"/>
  <c r="M2667" i="20"/>
  <c r="M2668" i="20"/>
  <c r="M2669" i="20"/>
  <c r="M2670" i="20"/>
  <c r="M2671" i="20"/>
  <c r="M2672" i="20"/>
  <c r="M2673" i="20"/>
  <c r="M2674" i="20"/>
  <c r="M2675" i="20"/>
  <c r="M2676" i="20"/>
  <c r="M2677" i="20"/>
  <c r="M2678" i="20"/>
  <c r="M2679" i="20"/>
  <c r="M2680" i="20"/>
  <c r="M2681" i="20"/>
  <c r="M2682" i="20"/>
  <c r="M2683" i="20"/>
  <c r="M2684" i="20"/>
  <c r="M2685" i="20"/>
  <c r="M2686" i="20"/>
  <c r="M2687" i="20"/>
  <c r="M2688" i="20"/>
  <c r="M2689" i="20"/>
  <c r="M2690" i="20"/>
  <c r="M2691" i="20"/>
  <c r="M2692" i="20"/>
  <c r="M2693" i="20"/>
  <c r="M2694" i="20"/>
  <c r="M2695" i="20"/>
  <c r="M2696" i="20"/>
  <c r="M2697" i="20"/>
  <c r="M2698" i="20"/>
  <c r="M2699" i="20"/>
  <c r="M2700" i="20"/>
  <c r="M2701" i="20"/>
  <c r="M2702" i="20"/>
  <c r="M2703" i="20"/>
  <c r="M2704" i="20"/>
  <c r="M2705" i="20"/>
  <c r="M2706" i="20"/>
  <c r="M2707" i="20"/>
  <c r="M2708" i="20"/>
  <c r="M2709" i="20"/>
  <c r="M2710" i="20"/>
  <c r="M2711" i="20"/>
  <c r="M2712" i="20"/>
  <c r="M2713" i="20"/>
  <c r="M2714" i="20"/>
  <c r="M2715" i="20"/>
  <c r="M2716" i="20"/>
  <c r="M2717" i="20"/>
  <c r="M2718" i="20"/>
  <c r="M2719" i="20"/>
  <c r="M2720" i="20"/>
  <c r="M2721" i="20"/>
  <c r="M2722" i="20"/>
  <c r="M2723" i="20"/>
  <c r="M2724" i="20"/>
  <c r="M2725" i="20"/>
  <c r="M2726" i="20"/>
  <c r="M2727" i="20"/>
  <c r="M2728" i="20"/>
  <c r="M2729" i="20"/>
  <c r="M2730" i="20"/>
  <c r="M2731" i="20"/>
  <c r="M2732" i="20"/>
  <c r="M2733" i="20"/>
  <c r="M2734" i="20"/>
  <c r="M2735" i="20"/>
  <c r="M2736" i="20"/>
  <c r="M2737" i="20"/>
  <c r="M2738" i="20"/>
  <c r="M2739" i="20"/>
  <c r="M2740" i="20"/>
  <c r="M2741" i="20"/>
  <c r="M2742" i="20"/>
  <c r="M2743" i="20"/>
  <c r="M2744" i="20"/>
  <c r="M2745" i="20"/>
  <c r="M2746" i="20"/>
  <c r="M2747" i="20"/>
  <c r="M2748" i="20"/>
  <c r="M2749" i="20"/>
  <c r="M2750" i="20"/>
  <c r="M2751" i="20"/>
  <c r="M2752" i="20"/>
  <c r="M2753" i="20"/>
  <c r="M2754" i="20"/>
  <c r="M2755" i="20"/>
  <c r="M2756" i="20"/>
  <c r="M2757" i="20"/>
  <c r="M2758" i="20"/>
  <c r="M2759" i="20"/>
  <c r="M2760" i="20"/>
  <c r="M2761" i="20"/>
  <c r="M2762" i="20"/>
  <c r="M2763" i="20"/>
  <c r="M2764" i="20"/>
  <c r="M2765" i="20"/>
  <c r="M2766" i="20"/>
  <c r="M2767" i="20"/>
  <c r="M2768" i="20"/>
  <c r="M2769" i="20"/>
  <c r="M2770" i="20"/>
  <c r="M2771" i="20"/>
  <c r="M2772" i="20"/>
  <c r="M2773" i="20"/>
  <c r="M2774" i="20"/>
  <c r="M2775" i="20"/>
  <c r="M2776" i="20"/>
  <c r="M2777" i="20"/>
  <c r="M2778" i="20"/>
  <c r="M2779" i="20"/>
  <c r="M2780" i="20"/>
  <c r="M2781" i="20"/>
  <c r="M2782" i="20"/>
  <c r="M2783" i="20"/>
  <c r="M2784" i="20"/>
  <c r="M2785" i="20"/>
  <c r="M2786" i="20"/>
  <c r="M2787" i="20"/>
  <c r="M2788" i="20"/>
  <c r="M2789" i="20"/>
  <c r="M2790" i="20"/>
  <c r="M2791" i="20"/>
  <c r="M2792" i="20"/>
  <c r="M2793" i="20"/>
  <c r="M2794" i="20"/>
  <c r="M2795" i="20"/>
  <c r="M2796" i="20"/>
  <c r="M2797" i="20"/>
  <c r="M2798" i="20"/>
  <c r="M2799" i="20"/>
  <c r="M2800" i="20"/>
  <c r="M2801" i="20"/>
  <c r="M2802" i="20"/>
  <c r="M2803" i="20"/>
  <c r="M2804" i="20"/>
  <c r="M2805" i="20"/>
  <c r="M2806" i="20"/>
  <c r="M2807" i="20"/>
  <c r="M2808" i="20"/>
  <c r="M2809" i="20"/>
  <c r="M2810" i="20"/>
  <c r="M2811" i="20"/>
  <c r="M2812" i="20"/>
  <c r="M2813" i="20"/>
  <c r="M2814" i="20"/>
  <c r="M2815" i="20"/>
  <c r="M2816" i="20"/>
  <c r="M2817" i="20"/>
  <c r="M2818" i="20"/>
  <c r="M2819" i="20"/>
  <c r="M2820" i="20"/>
  <c r="M2821" i="20"/>
  <c r="M2822" i="20"/>
  <c r="M2823" i="20"/>
  <c r="M2824" i="20"/>
  <c r="M2825" i="20"/>
  <c r="M2826" i="20"/>
  <c r="M2827" i="20"/>
  <c r="M2828" i="20"/>
  <c r="M2829" i="20"/>
  <c r="M2830" i="20"/>
  <c r="M2831" i="20"/>
  <c r="M2832" i="20"/>
  <c r="M2833" i="20"/>
  <c r="M2834" i="20"/>
  <c r="M2835" i="20"/>
  <c r="M2836" i="20"/>
  <c r="M2837" i="20"/>
  <c r="M2838" i="20"/>
  <c r="M2839" i="20"/>
  <c r="M2840" i="20"/>
  <c r="M2841" i="20"/>
  <c r="M2842" i="20"/>
  <c r="M2843" i="20"/>
  <c r="M2844" i="20"/>
  <c r="M2845" i="20"/>
  <c r="M2846" i="20"/>
  <c r="M2847" i="20"/>
  <c r="M2848" i="20"/>
  <c r="M2849" i="20"/>
  <c r="M2850" i="20"/>
  <c r="M2851" i="20"/>
  <c r="M2852" i="20"/>
  <c r="M2853" i="20"/>
  <c r="M2854" i="20"/>
  <c r="M2855" i="20"/>
  <c r="M2856" i="20"/>
  <c r="M2857" i="20"/>
  <c r="M2858" i="20"/>
  <c r="M2859" i="20"/>
  <c r="M2860" i="20"/>
  <c r="M2861" i="20"/>
  <c r="M2862" i="20"/>
  <c r="M2863" i="20"/>
  <c r="M2864" i="20"/>
  <c r="M2865" i="20"/>
  <c r="M2866" i="20"/>
  <c r="M2867" i="20"/>
  <c r="M2868" i="20"/>
  <c r="M2869" i="20"/>
  <c r="M2870" i="20"/>
  <c r="M2871" i="20"/>
  <c r="M2872" i="20"/>
  <c r="M2873" i="20"/>
  <c r="M2874" i="20"/>
  <c r="M2875" i="20"/>
  <c r="M2876" i="20"/>
  <c r="M2877" i="20"/>
  <c r="M2878" i="20"/>
  <c r="M2879" i="20"/>
  <c r="M2880" i="20"/>
  <c r="M2881" i="20"/>
  <c r="M2882" i="20"/>
  <c r="M2883" i="20"/>
  <c r="M2884" i="20"/>
  <c r="M2885" i="20"/>
  <c r="M2886" i="20"/>
  <c r="M2887" i="20"/>
  <c r="M2888" i="20"/>
  <c r="M2889" i="20"/>
  <c r="M2890" i="20"/>
  <c r="M2891" i="20"/>
  <c r="M2892" i="20"/>
  <c r="M2893" i="20"/>
  <c r="M2894" i="20"/>
  <c r="M2895" i="20"/>
  <c r="M2896" i="20"/>
  <c r="M2897" i="20"/>
  <c r="M2898" i="20"/>
  <c r="M2899" i="20"/>
  <c r="M2900" i="20"/>
  <c r="M2901" i="20"/>
  <c r="M2902" i="20"/>
  <c r="M2903" i="20"/>
  <c r="M2904" i="20"/>
  <c r="M2905" i="20"/>
  <c r="M2906" i="20"/>
  <c r="M2907" i="20"/>
  <c r="M2908" i="20"/>
  <c r="M2909" i="20"/>
  <c r="M2910" i="20"/>
  <c r="M2911" i="20"/>
  <c r="M2912" i="20"/>
  <c r="M2913" i="20"/>
  <c r="M2914" i="20"/>
  <c r="M2915" i="20"/>
  <c r="M2916" i="20"/>
  <c r="M2917" i="20"/>
  <c r="M2918" i="20"/>
  <c r="M2919" i="20"/>
  <c r="M2920" i="20"/>
  <c r="M2921" i="20"/>
  <c r="M2922" i="20"/>
  <c r="M2923" i="20"/>
  <c r="M2924" i="20"/>
  <c r="M2925" i="20"/>
  <c r="M2926" i="20"/>
  <c r="M2927" i="20"/>
  <c r="M2928" i="20"/>
  <c r="M2929" i="20"/>
  <c r="M2930" i="20"/>
  <c r="M2931" i="20"/>
  <c r="M2932" i="20"/>
  <c r="M2933" i="20"/>
  <c r="M2934" i="20"/>
  <c r="M2935" i="20"/>
  <c r="M2936" i="20"/>
  <c r="M2937" i="20"/>
  <c r="M2938" i="20"/>
  <c r="M2939" i="20"/>
  <c r="M2940" i="20"/>
  <c r="M2941" i="20"/>
  <c r="M2942" i="20"/>
  <c r="M2943" i="20"/>
  <c r="M2944" i="20"/>
  <c r="M2945" i="20"/>
  <c r="M2946" i="20"/>
  <c r="M2947" i="20"/>
  <c r="M2948" i="20"/>
  <c r="M2949" i="20"/>
  <c r="M2950" i="20"/>
  <c r="M2951" i="20"/>
  <c r="M2952" i="20"/>
  <c r="M2953" i="20"/>
  <c r="M2954" i="20"/>
  <c r="M2955" i="20"/>
  <c r="M2956" i="20"/>
  <c r="M2957" i="20"/>
  <c r="M2958" i="20"/>
  <c r="M2959" i="20"/>
  <c r="M2960" i="20"/>
  <c r="M2961" i="20"/>
  <c r="M2962" i="20"/>
  <c r="M2963" i="20"/>
  <c r="M2964" i="20"/>
  <c r="M2965" i="20"/>
  <c r="M2966" i="20"/>
  <c r="M2967" i="20"/>
  <c r="M2968" i="20"/>
  <c r="M2969" i="20"/>
  <c r="M2970" i="20"/>
  <c r="M2971" i="20"/>
  <c r="M2972" i="20"/>
  <c r="M2973" i="20"/>
  <c r="M2974" i="20"/>
  <c r="M2975" i="20"/>
  <c r="M2976" i="20"/>
  <c r="M2977" i="20"/>
  <c r="M2978" i="20"/>
  <c r="M2979" i="20"/>
  <c r="M2980" i="20"/>
  <c r="M2981" i="20"/>
  <c r="M2982" i="20"/>
  <c r="M2983" i="20"/>
  <c r="M2984" i="20"/>
  <c r="M2985" i="20"/>
  <c r="M2986" i="20"/>
  <c r="M2987" i="20"/>
  <c r="M2988" i="20"/>
  <c r="M2989" i="20"/>
  <c r="M2990" i="20"/>
  <c r="M2991" i="20"/>
  <c r="M2992" i="20"/>
  <c r="M2993" i="20"/>
  <c r="M2994" i="20"/>
  <c r="M2995" i="20"/>
  <c r="M2996" i="20"/>
  <c r="M2997" i="20"/>
  <c r="M2998" i="20"/>
  <c r="M2999" i="20"/>
  <c r="M3000" i="20"/>
  <c r="M3001" i="20"/>
  <c r="M3002" i="20"/>
  <c r="M3003" i="20"/>
  <c r="M3004" i="20"/>
  <c r="M3005" i="20"/>
  <c r="M3006" i="20"/>
  <c r="M3007" i="20"/>
  <c r="M3008" i="20"/>
  <c r="M3009" i="20"/>
  <c r="M3010" i="20"/>
  <c r="M3011" i="20"/>
  <c r="M3012" i="20"/>
  <c r="M3013" i="20"/>
  <c r="M3014" i="20"/>
  <c r="M3015" i="20"/>
  <c r="M3016" i="20"/>
  <c r="M3017" i="20"/>
  <c r="M3018" i="20"/>
  <c r="M3019" i="20"/>
  <c r="M3020" i="20"/>
  <c r="M3021" i="20"/>
  <c r="M3022" i="20"/>
  <c r="M3023" i="20"/>
  <c r="M3024" i="20"/>
  <c r="M3025" i="20"/>
  <c r="M3026" i="20"/>
  <c r="M3027" i="20"/>
  <c r="M3028" i="20"/>
  <c r="M3029" i="20"/>
  <c r="M3030" i="20"/>
  <c r="M3031" i="20"/>
  <c r="M3032" i="20"/>
  <c r="M3033" i="20"/>
  <c r="M3034" i="20"/>
  <c r="M3035" i="20"/>
  <c r="M3036" i="20"/>
  <c r="M3037" i="20"/>
  <c r="M3038" i="20"/>
  <c r="M3039" i="20"/>
  <c r="M3040" i="20"/>
  <c r="M3041"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L611" i="20"/>
  <c r="L612" i="20"/>
  <c r="L613" i="20"/>
  <c r="L614" i="20"/>
  <c r="L615" i="20"/>
  <c r="L616" i="20"/>
  <c r="L617" i="20"/>
  <c r="L618" i="20"/>
  <c r="L619" i="20"/>
  <c r="L620" i="20"/>
  <c r="L621" i="20"/>
  <c r="L622" i="20"/>
  <c r="L623" i="20"/>
  <c r="L624" i="20"/>
  <c r="L625" i="20"/>
  <c r="L626" i="20"/>
  <c r="L627" i="20"/>
  <c r="L628" i="20"/>
  <c r="L629" i="20"/>
  <c r="L630" i="20"/>
  <c r="L631" i="20"/>
  <c r="L632" i="20"/>
  <c r="L633" i="20"/>
  <c r="L634" i="20"/>
  <c r="L635" i="20"/>
  <c r="L636" i="20"/>
  <c r="L637" i="20"/>
  <c r="L638" i="20"/>
  <c r="L639" i="20"/>
  <c r="L640" i="20"/>
  <c r="L641" i="20"/>
  <c r="L642" i="20"/>
  <c r="L643" i="20"/>
  <c r="L644" i="20"/>
  <c r="L645" i="20"/>
  <c r="L646" i="20"/>
  <c r="L647" i="20"/>
  <c r="L648" i="20"/>
  <c r="L649" i="20"/>
  <c r="L650" i="20"/>
  <c r="L651" i="20"/>
  <c r="L652" i="20"/>
  <c r="L653" i="20"/>
  <c r="L654" i="20"/>
  <c r="L655" i="20"/>
  <c r="L656" i="20"/>
  <c r="L657" i="20"/>
  <c r="L658" i="20"/>
  <c r="L659" i="20"/>
  <c r="L660" i="20"/>
  <c r="L661" i="20"/>
  <c r="L662" i="20"/>
  <c r="L663" i="20"/>
  <c r="L664" i="20"/>
  <c r="L665" i="20"/>
  <c r="L666" i="20"/>
  <c r="L667" i="20"/>
  <c r="L668" i="20"/>
  <c r="L669" i="20"/>
  <c r="L670" i="20"/>
  <c r="L671" i="20"/>
  <c r="L672" i="20"/>
  <c r="L673" i="20"/>
  <c r="L674" i="20"/>
  <c r="L675" i="20"/>
  <c r="L676" i="20"/>
  <c r="L677" i="20"/>
  <c r="L678" i="20"/>
  <c r="L679" i="20"/>
  <c r="L680" i="20"/>
  <c r="L681" i="20"/>
  <c r="L682" i="20"/>
  <c r="L683" i="20"/>
  <c r="L684" i="20"/>
  <c r="L685" i="20"/>
  <c r="L686" i="20"/>
  <c r="L687" i="20"/>
  <c r="L688" i="20"/>
  <c r="L689" i="20"/>
  <c r="L690" i="20"/>
  <c r="L691" i="20"/>
  <c r="L692" i="20"/>
  <c r="L693" i="20"/>
  <c r="L694" i="20"/>
  <c r="L695" i="20"/>
  <c r="L696" i="20"/>
  <c r="L697" i="20"/>
  <c r="L698" i="20"/>
  <c r="L699" i="20"/>
  <c r="L700" i="20"/>
  <c r="L701" i="20"/>
  <c r="L702" i="20"/>
  <c r="L703" i="20"/>
  <c r="L704" i="20"/>
  <c r="L705" i="20"/>
  <c r="L706" i="20"/>
  <c r="L707" i="20"/>
  <c r="L708" i="20"/>
  <c r="L709" i="20"/>
  <c r="L710" i="20"/>
  <c r="L711" i="20"/>
  <c r="L712" i="20"/>
  <c r="L713" i="20"/>
  <c r="L714" i="20"/>
  <c r="L715" i="20"/>
  <c r="L716" i="20"/>
  <c r="L717" i="20"/>
  <c r="L718" i="20"/>
  <c r="L719" i="20"/>
  <c r="L720" i="20"/>
  <c r="L721" i="20"/>
  <c r="L722" i="20"/>
  <c r="L723" i="20"/>
  <c r="L724" i="20"/>
  <c r="L725" i="20"/>
  <c r="L726" i="20"/>
  <c r="L727" i="20"/>
  <c r="L728" i="20"/>
  <c r="L729" i="20"/>
  <c r="L730" i="20"/>
  <c r="L731" i="20"/>
  <c r="L732" i="20"/>
  <c r="L733" i="20"/>
  <c r="L734" i="20"/>
  <c r="L735" i="20"/>
  <c r="L736" i="20"/>
  <c r="L737" i="20"/>
  <c r="L738" i="20"/>
  <c r="L739" i="20"/>
  <c r="L740" i="20"/>
  <c r="L741" i="20"/>
  <c r="L742" i="20"/>
  <c r="L743" i="20"/>
  <c r="L744" i="20"/>
  <c r="L745" i="20"/>
  <c r="L746" i="20"/>
  <c r="L747" i="20"/>
  <c r="L748" i="20"/>
  <c r="L749" i="20"/>
  <c r="L750" i="20"/>
  <c r="L751" i="20"/>
  <c r="L752" i="20"/>
  <c r="L753" i="20"/>
  <c r="L754" i="20"/>
  <c r="L755" i="20"/>
  <c r="L756" i="20"/>
  <c r="L757" i="20"/>
  <c r="L758" i="20"/>
  <c r="L759" i="20"/>
  <c r="L760" i="20"/>
  <c r="L761" i="20"/>
  <c r="L762" i="20"/>
  <c r="L763" i="20"/>
  <c r="L764" i="20"/>
  <c r="L765" i="20"/>
  <c r="L766" i="20"/>
  <c r="L767" i="20"/>
  <c r="L768" i="20"/>
  <c r="L769" i="20"/>
  <c r="L770" i="20"/>
  <c r="L771" i="20"/>
  <c r="L772" i="20"/>
  <c r="L773" i="20"/>
  <c r="L774" i="20"/>
  <c r="L775" i="20"/>
  <c r="L776" i="20"/>
  <c r="L777" i="20"/>
  <c r="L778" i="20"/>
  <c r="L779" i="20"/>
  <c r="L780" i="20"/>
  <c r="L781" i="20"/>
  <c r="L782" i="20"/>
  <c r="L783" i="20"/>
  <c r="L784" i="20"/>
  <c r="L785" i="20"/>
  <c r="L786" i="20"/>
  <c r="L787" i="20"/>
  <c r="L788" i="20"/>
  <c r="L789" i="20"/>
  <c r="L790" i="20"/>
  <c r="L791" i="20"/>
  <c r="L792" i="20"/>
  <c r="L793" i="20"/>
  <c r="L794" i="20"/>
  <c r="L795" i="20"/>
  <c r="L796" i="20"/>
  <c r="L797" i="20"/>
  <c r="L798" i="20"/>
  <c r="L799" i="20"/>
  <c r="L800" i="20"/>
  <c r="L801" i="20"/>
  <c r="L802" i="20"/>
  <c r="L803" i="20"/>
  <c r="L804" i="20"/>
  <c r="L805" i="20"/>
  <c r="L806" i="20"/>
  <c r="L807" i="20"/>
  <c r="L808" i="20"/>
  <c r="L809" i="20"/>
  <c r="L810" i="20"/>
  <c r="L811" i="20"/>
  <c r="L812" i="20"/>
  <c r="L813" i="20"/>
  <c r="L814" i="20"/>
  <c r="L815" i="20"/>
  <c r="L816" i="20"/>
  <c r="L817" i="20"/>
  <c r="L818" i="20"/>
  <c r="L819" i="20"/>
  <c r="L820" i="20"/>
  <c r="L821" i="20"/>
  <c r="L822" i="20"/>
  <c r="L823" i="20"/>
  <c r="L824" i="20"/>
  <c r="L825" i="20"/>
  <c r="L826" i="20"/>
  <c r="L827" i="20"/>
  <c r="L828" i="20"/>
  <c r="L829" i="20"/>
  <c r="L830" i="20"/>
  <c r="L831" i="20"/>
  <c r="L832" i="20"/>
  <c r="L833" i="20"/>
  <c r="L834" i="20"/>
  <c r="L835" i="20"/>
  <c r="L836" i="20"/>
  <c r="L837" i="20"/>
  <c r="L838" i="20"/>
  <c r="L839" i="20"/>
  <c r="L840" i="20"/>
  <c r="L841" i="20"/>
  <c r="L842" i="20"/>
  <c r="L843" i="20"/>
  <c r="L844" i="20"/>
  <c r="L845" i="20"/>
  <c r="L846" i="20"/>
  <c r="L847" i="20"/>
  <c r="L848" i="20"/>
  <c r="L849" i="20"/>
  <c r="L850" i="20"/>
  <c r="L851" i="20"/>
  <c r="L852" i="20"/>
  <c r="L853" i="20"/>
  <c r="L854" i="20"/>
  <c r="L855" i="20"/>
  <c r="L856" i="20"/>
  <c r="L857" i="20"/>
  <c r="L858" i="20"/>
  <c r="L859" i="20"/>
  <c r="L860" i="20"/>
  <c r="L861" i="20"/>
  <c r="L862" i="20"/>
  <c r="L863" i="20"/>
  <c r="L864" i="20"/>
  <c r="L865" i="20"/>
  <c r="L866" i="20"/>
  <c r="L867" i="20"/>
  <c r="L868" i="20"/>
  <c r="L869" i="20"/>
  <c r="L870" i="20"/>
  <c r="L871" i="20"/>
  <c r="L872" i="20"/>
  <c r="L873" i="20"/>
  <c r="L874" i="20"/>
  <c r="L875" i="20"/>
  <c r="L876" i="20"/>
  <c r="L877" i="20"/>
  <c r="L878" i="20"/>
  <c r="L879" i="20"/>
  <c r="L880" i="20"/>
  <c r="L881" i="20"/>
  <c r="L882" i="20"/>
  <c r="L883" i="20"/>
  <c r="L884" i="20"/>
  <c r="L885" i="20"/>
  <c r="L886" i="20"/>
  <c r="L887" i="20"/>
  <c r="L888" i="20"/>
  <c r="L889" i="20"/>
  <c r="L890" i="20"/>
  <c r="L891" i="20"/>
  <c r="L892" i="20"/>
  <c r="L893" i="20"/>
  <c r="L894" i="20"/>
  <c r="L895" i="20"/>
  <c r="L896" i="20"/>
  <c r="L897" i="20"/>
  <c r="L898" i="20"/>
  <c r="L899" i="20"/>
  <c r="L900" i="20"/>
  <c r="L901" i="20"/>
  <c r="L902" i="20"/>
  <c r="L903" i="20"/>
  <c r="L904" i="20"/>
  <c r="L905" i="20"/>
  <c r="L906" i="20"/>
  <c r="L907" i="20"/>
  <c r="L908" i="20"/>
  <c r="L909" i="20"/>
  <c r="L910" i="20"/>
  <c r="L911" i="20"/>
  <c r="L912" i="20"/>
  <c r="L913" i="20"/>
  <c r="L914" i="20"/>
  <c r="L915" i="20"/>
  <c r="L916" i="20"/>
  <c r="L917" i="20"/>
  <c r="L918" i="20"/>
  <c r="L919" i="20"/>
  <c r="L920" i="20"/>
  <c r="L921" i="20"/>
  <c r="L922" i="20"/>
  <c r="L923" i="20"/>
  <c r="L924" i="20"/>
  <c r="L925" i="20"/>
  <c r="L926" i="20"/>
  <c r="L927" i="20"/>
  <c r="L928" i="20"/>
  <c r="L929" i="20"/>
  <c r="L930" i="20"/>
  <c r="L931" i="20"/>
  <c r="L932" i="20"/>
  <c r="L933" i="20"/>
  <c r="L934" i="20"/>
  <c r="L935" i="20"/>
  <c r="L936" i="20"/>
  <c r="L937" i="20"/>
  <c r="L938" i="20"/>
  <c r="L939" i="20"/>
  <c r="L940" i="20"/>
  <c r="L941" i="20"/>
  <c r="L942" i="20"/>
  <c r="L943" i="20"/>
  <c r="L944" i="20"/>
  <c r="L945" i="20"/>
  <c r="L946" i="20"/>
  <c r="L947" i="20"/>
  <c r="L948" i="20"/>
  <c r="L949" i="20"/>
  <c r="L950" i="20"/>
  <c r="L951" i="20"/>
  <c r="L952" i="20"/>
  <c r="L953" i="20"/>
  <c r="L954" i="20"/>
  <c r="L955" i="20"/>
  <c r="L956" i="20"/>
  <c r="L957" i="20"/>
  <c r="L958" i="20"/>
  <c r="L959" i="20"/>
  <c r="L960" i="20"/>
  <c r="L961" i="20"/>
  <c r="L962" i="20"/>
  <c r="L963" i="20"/>
  <c r="L964" i="20"/>
  <c r="L965" i="20"/>
  <c r="L966" i="20"/>
  <c r="L967" i="20"/>
  <c r="L968" i="20"/>
  <c r="L969" i="20"/>
  <c r="L970" i="20"/>
  <c r="L971" i="20"/>
  <c r="L972" i="20"/>
  <c r="L973" i="20"/>
  <c r="L974" i="20"/>
  <c r="L975" i="20"/>
  <c r="L976" i="20"/>
  <c r="L977" i="20"/>
  <c r="L978" i="20"/>
  <c r="L979" i="20"/>
  <c r="L980" i="20"/>
  <c r="L981" i="20"/>
  <c r="L982" i="20"/>
  <c r="L983" i="20"/>
  <c r="L984" i="20"/>
  <c r="L985" i="20"/>
  <c r="L986" i="20"/>
  <c r="L987" i="20"/>
  <c r="L988" i="20"/>
  <c r="L989" i="20"/>
  <c r="L990" i="20"/>
  <c r="L991" i="20"/>
  <c r="L992" i="20"/>
  <c r="L993" i="20"/>
  <c r="L994" i="20"/>
  <c r="L995" i="20"/>
  <c r="L996" i="20"/>
  <c r="L997" i="20"/>
  <c r="L998" i="20"/>
  <c r="L999" i="20"/>
  <c r="L1000" i="20"/>
  <c r="L1001" i="20"/>
  <c r="L1002" i="20"/>
  <c r="L1003" i="20"/>
  <c r="L1004" i="20"/>
  <c r="L1005" i="20"/>
  <c r="L1006" i="20"/>
  <c r="L1007" i="20"/>
  <c r="L1008" i="20"/>
  <c r="L1009" i="20"/>
  <c r="L1010" i="20"/>
  <c r="L1011" i="20"/>
  <c r="L1012" i="20"/>
  <c r="L1013" i="20"/>
  <c r="L1014" i="20"/>
  <c r="L1015" i="20"/>
  <c r="L1016" i="20"/>
  <c r="L1017" i="20"/>
  <c r="L1018" i="20"/>
  <c r="L1019" i="20"/>
  <c r="L1020" i="20"/>
  <c r="L1021" i="20"/>
  <c r="L1022" i="20"/>
  <c r="L1023" i="20"/>
  <c r="L1024" i="20"/>
  <c r="L1025" i="20"/>
  <c r="L1026" i="20"/>
  <c r="L1027" i="20"/>
  <c r="L1028" i="20"/>
  <c r="L1029" i="20"/>
  <c r="L1030" i="20"/>
  <c r="L1031" i="20"/>
  <c r="L1032" i="20"/>
  <c r="L1033" i="20"/>
  <c r="L1034" i="20"/>
  <c r="L1035" i="20"/>
  <c r="L1036" i="20"/>
  <c r="L1037" i="20"/>
  <c r="L1038" i="20"/>
  <c r="L1039" i="20"/>
  <c r="L1040" i="20"/>
  <c r="L1041" i="20"/>
  <c r="L1042" i="20"/>
  <c r="L1043" i="20"/>
  <c r="L1044" i="20"/>
  <c r="L1045" i="20"/>
  <c r="L1046" i="20"/>
  <c r="L1047" i="20"/>
  <c r="L1048" i="20"/>
  <c r="L1049" i="20"/>
  <c r="L1050" i="20"/>
  <c r="L1051" i="20"/>
  <c r="L1052" i="20"/>
  <c r="L1053" i="20"/>
  <c r="L1054" i="20"/>
  <c r="L1055" i="20"/>
  <c r="L1056" i="20"/>
  <c r="L1057" i="20"/>
  <c r="L1058" i="20"/>
  <c r="L1059" i="20"/>
  <c r="L1060" i="20"/>
  <c r="L1061" i="20"/>
  <c r="L1062" i="20"/>
  <c r="L1063" i="20"/>
  <c r="L1064" i="20"/>
  <c r="L1065" i="20"/>
  <c r="L1066" i="20"/>
  <c r="L1067" i="20"/>
  <c r="L1068" i="20"/>
  <c r="L1069" i="20"/>
  <c r="L1070" i="20"/>
  <c r="L1071" i="20"/>
  <c r="L1072" i="20"/>
  <c r="L1073" i="20"/>
  <c r="L1074" i="20"/>
  <c r="L1075" i="20"/>
  <c r="L1076" i="20"/>
  <c r="L1077" i="20"/>
  <c r="L1078" i="20"/>
  <c r="L1079" i="20"/>
  <c r="L1080" i="20"/>
  <c r="L1081" i="20"/>
  <c r="L1082" i="20"/>
  <c r="L1083" i="20"/>
  <c r="L1084" i="20"/>
  <c r="L1085" i="20"/>
  <c r="L1086" i="20"/>
  <c r="L1087" i="20"/>
  <c r="L1088" i="20"/>
  <c r="L1089" i="20"/>
  <c r="L1090" i="20"/>
  <c r="L1091" i="20"/>
  <c r="L1092" i="20"/>
  <c r="L1093" i="20"/>
  <c r="L1094" i="20"/>
  <c r="L1095" i="20"/>
  <c r="L1096" i="20"/>
  <c r="L1097" i="20"/>
  <c r="L1098" i="20"/>
  <c r="L1099" i="20"/>
  <c r="L1100" i="20"/>
  <c r="L1101" i="20"/>
  <c r="L1102" i="20"/>
  <c r="L1103" i="20"/>
  <c r="L1104" i="20"/>
  <c r="L1105" i="20"/>
  <c r="L1106" i="20"/>
  <c r="L1107" i="20"/>
  <c r="L1108" i="20"/>
  <c r="L1109" i="20"/>
  <c r="L1110" i="20"/>
  <c r="L1111" i="20"/>
  <c r="L1112" i="20"/>
  <c r="L1113" i="20"/>
  <c r="L1114" i="20"/>
  <c r="L1115" i="20"/>
  <c r="L1116" i="20"/>
  <c r="L1117" i="20"/>
  <c r="L1118" i="20"/>
  <c r="L1119" i="20"/>
  <c r="L1120" i="20"/>
  <c r="L1121" i="20"/>
  <c r="L1122" i="20"/>
  <c r="L1123" i="20"/>
  <c r="L1124" i="20"/>
  <c r="L1125" i="20"/>
  <c r="L1126" i="20"/>
  <c r="L1127" i="20"/>
  <c r="L1128" i="20"/>
  <c r="L1129" i="20"/>
  <c r="L1130" i="20"/>
  <c r="L1131" i="20"/>
  <c r="L1132" i="20"/>
  <c r="L1133" i="20"/>
  <c r="L1135" i="20"/>
  <c r="L1136" i="20"/>
  <c r="L1137" i="20"/>
  <c r="L1181" i="20"/>
  <c r="L1182" i="20"/>
  <c r="L1183" i="20"/>
  <c r="L1184" i="20"/>
  <c r="L1185" i="20"/>
  <c r="L1138" i="20"/>
  <c r="L1161" i="20"/>
  <c r="L1141" i="20"/>
  <c r="L1142" i="20"/>
  <c r="L1143" i="20"/>
  <c r="L1144" i="20"/>
  <c r="L1145" i="20"/>
  <c r="L1186" i="20"/>
  <c r="L1187" i="20"/>
  <c r="L1173" i="20"/>
  <c r="L1188" i="20"/>
  <c r="L1190" i="20"/>
  <c r="L1168" i="20"/>
  <c r="L1169" i="20"/>
  <c r="L1191" i="20"/>
  <c r="L1192" i="20"/>
  <c r="L1193" i="20"/>
  <c r="L1194" i="20"/>
  <c r="L1146" i="20"/>
  <c r="L1147" i="20"/>
  <c r="L1148" i="20"/>
  <c r="L1149" i="20"/>
  <c r="L1150" i="20"/>
  <c r="L1151" i="20"/>
  <c r="L1152" i="20"/>
  <c r="L1199" i="20"/>
  <c r="L1195" i="20"/>
  <c r="L1153" i="20"/>
  <c r="L1154" i="20"/>
  <c r="L1155" i="20"/>
  <c r="L1156" i="20"/>
  <c r="L1200" i="20"/>
  <c r="L1201" i="20"/>
  <c r="L1157" i="20"/>
  <c r="L1202" i="20"/>
  <c r="L1203" i="20"/>
  <c r="L1204" i="20"/>
  <c r="L1158" i="20"/>
  <c r="L1170" i="20"/>
  <c r="L1174" i="20"/>
  <c r="L1206" i="20"/>
  <c r="L1160" i="20"/>
  <c r="L1171" i="20"/>
  <c r="L1205" i="20"/>
  <c r="L1162" i="20"/>
  <c r="L1163" i="20"/>
  <c r="L1164" i="20"/>
  <c r="L1165" i="20"/>
  <c r="L1166" i="20"/>
  <c r="L1167" i="20"/>
  <c r="L1212" i="20"/>
  <c r="L1213" i="20"/>
  <c r="L1214" i="20"/>
  <c r="L1176" i="20"/>
  <c r="L1179" i="20"/>
  <c r="L1178" i="20"/>
  <c r="L1175" i="20"/>
  <c r="L1172" i="20"/>
  <c r="L1196" i="20"/>
  <c r="L1197" i="20"/>
  <c r="L1215" i="20"/>
  <c r="L1216" i="20"/>
  <c r="L1217" i="20"/>
  <c r="L1218" i="20"/>
  <c r="L1198" i="20"/>
  <c r="L1222" i="20"/>
  <c r="L1223" i="20"/>
  <c r="L1224" i="20"/>
  <c r="L1225" i="20"/>
  <c r="L1226" i="20"/>
  <c r="L1227" i="20"/>
  <c r="L1228" i="20"/>
  <c r="L1229" i="20"/>
  <c r="L1230" i="20"/>
  <c r="L1231" i="20"/>
  <c r="L1232" i="20"/>
  <c r="L1233" i="20"/>
  <c r="L1234" i="20"/>
  <c r="L1235" i="20"/>
  <c r="L1236" i="20"/>
  <c r="L1237" i="20"/>
  <c r="L1238" i="20"/>
  <c r="L1239" i="20"/>
  <c r="L1240" i="20"/>
  <c r="L1242" i="20"/>
  <c r="L1243" i="20"/>
  <c r="L1244" i="20"/>
  <c r="L1245" i="20"/>
  <c r="L1246" i="20"/>
  <c r="L1247" i="20"/>
  <c r="L1248" i="20"/>
  <c r="L1250" i="20"/>
  <c r="L1249" i="20"/>
  <c r="L1251" i="20"/>
  <c r="L1252" i="20"/>
  <c r="L1253" i="20"/>
  <c r="L1254" i="20"/>
  <c r="L1255" i="20"/>
  <c r="L1256" i="20"/>
  <c r="L1257" i="20"/>
  <c r="L1258" i="20"/>
  <c r="L1259" i="20"/>
  <c r="L1260" i="20"/>
  <c r="L1261" i="20"/>
  <c r="L1262" i="20"/>
  <c r="L1263" i="20"/>
  <c r="L1264" i="20"/>
  <c r="L1265" i="20"/>
  <c r="L1266" i="20"/>
  <c r="L1267" i="20"/>
  <c r="L1270" i="20"/>
  <c r="L1271" i="20"/>
  <c r="L1272" i="20"/>
  <c r="L1273" i="20"/>
  <c r="L1274" i="20"/>
  <c r="L1275" i="20"/>
  <c r="L1276" i="20"/>
  <c r="L1277" i="20"/>
  <c r="L1278" i="20"/>
  <c r="L1279" i="20"/>
  <c r="L1280" i="20"/>
  <c r="L1281" i="20"/>
  <c r="L1282" i="20"/>
  <c r="L1283" i="20"/>
  <c r="L1284" i="20"/>
  <c r="L1285" i="20"/>
  <c r="L1286" i="20"/>
  <c r="L1287" i="20"/>
  <c r="L1288" i="20"/>
  <c r="L1289" i="20"/>
  <c r="L1290" i="20"/>
  <c r="L1291" i="20"/>
  <c r="L1292" i="20"/>
  <c r="L1293" i="20"/>
  <c r="L1294" i="20"/>
  <c r="L1295" i="20"/>
  <c r="L1296" i="20"/>
  <c r="L1297" i="20"/>
  <c r="L1298" i="20"/>
  <c r="L1299" i="20"/>
  <c r="L1300" i="20"/>
  <c r="L1301" i="20"/>
  <c r="L1302" i="20"/>
  <c r="L1303" i="20"/>
  <c r="L1304" i="20"/>
  <c r="L1305" i="20"/>
  <c r="L1306" i="20"/>
  <c r="L1307" i="20"/>
  <c r="L1308" i="20"/>
  <c r="L1309" i="20"/>
  <c r="L1310" i="20"/>
  <c r="L1311" i="20"/>
  <c r="L1312" i="20"/>
  <c r="L1313" i="20"/>
  <c r="L1314" i="20"/>
  <c r="L1315" i="20"/>
  <c r="L1316" i="20"/>
  <c r="L1317" i="20"/>
  <c r="L1318" i="20"/>
  <c r="L1319" i="20"/>
  <c r="L1320" i="20"/>
  <c r="L1321" i="20"/>
  <c r="L1322" i="20"/>
  <c r="L1323" i="20"/>
  <c r="L1324" i="20"/>
  <c r="L1325" i="20"/>
  <c r="L1326" i="20"/>
  <c r="L1327" i="20"/>
  <c r="L1328" i="20"/>
  <c r="L1329" i="20"/>
  <c r="L1330" i="20"/>
  <c r="L1332" i="20"/>
  <c r="L1333" i="20"/>
  <c r="L1335" i="20"/>
  <c r="L1336" i="20"/>
  <c r="L1337" i="20"/>
  <c r="L1338" i="20"/>
  <c r="L1339" i="20"/>
  <c r="L1340" i="20"/>
  <c r="L1341" i="20"/>
  <c r="L1342" i="20"/>
  <c r="L1343" i="20"/>
  <c r="L1344" i="20"/>
  <c r="L1345" i="20"/>
  <c r="L1346" i="20"/>
  <c r="L1347" i="20"/>
  <c r="L1348" i="20"/>
  <c r="L1349" i="20"/>
  <c r="L1350" i="20"/>
  <c r="L1351" i="20"/>
  <c r="L1352" i="20"/>
  <c r="L1353" i="20"/>
  <c r="L1354" i="20"/>
  <c r="L1355" i="20"/>
  <c r="L1356" i="20"/>
  <c r="L1357" i="20"/>
  <c r="L1358" i="20"/>
  <c r="L1359" i="20"/>
  <c r="L1360" i="20"/>
  <c r="L1361" i="20"/>
  <c r="L1362" i="20"/>
  <c r="L1363" i="20"/>
  <c r="L1364" i="20"/>
  <c r="L1365" i="20"/>
  <c r="L1366" i="20"/>
  <c r="L1367" i="20"/>
  <c r="L1368" i="20"/>
  <c r="L1369" i="20"/>
  <c r="L1370" i="20"/>
  <c r="L1371" i="20"/>
  <c r="L1372" i="20"/>
  <c r="L1373" i="20"/>
  <c r="L1374" i="20"/>
  <c r="L1375" i="20"/>
  <c r="L1376" i="20"/>
  <c r="L1377" i="20"/>
  <c r="L1378" i="20"/>
  <c r="L1379" i="20"/>
  <c r="L1380" i="20"/>
  <c r="L1381" i="20"/>
  <c r="L1382" i="20"/>
  <c r="L1383" i="20"/>
  <c r="L1384" i="20"/>
  <c r="L1385" i="20"/>
  <c r="L1386" i="20"/>
  <c r="L1387" i="20"/>
  <c r="L1388" i="20"/>
  <c r="L1389" i="20"/>
  <c r="L1390" i="20"/>
  <c r="L1391" i="20"/>
  <c r="L1392" i="20"/>
  <c r="L1393" i="20"/>
  <c r="L1394" i="20"/>
  <c r="L1395" i="20"/>
  <c r="L1396" i="20"/>
  <c r="L1397" i="20"/>
  <c r="L1398" i="20"/>
  <c r="L1399" i="20"/>
  <c r="L1400" i="20"/>
  <c r="L1401" i="20"/>
  <c r="L1402" i="20"/>
  <c r="L1403" i="20"/>
  <c r="L1404" i="20"/>
  <c r="L1405" i="20"/>
  <c r="L1406" i="20"/>
  <c r="L1407" i="20"/>
  <c r="L1408" i="20"/>
  <c r="L1409" i="20"/>
  <c r="L1410" i="20"/>
  <c r="L1411" i="20"/>
  <c r="L1412" i="20"/>
  <c r="L1413" i="20"/>
  <c r="L1414" i="20"/>
  <c r="L1415" i="20"/>
  <c r="L1416" i="20"/>
  <c r="L1417" i="20"/>
  <c r="L1418" i="20"/>
  <c r="L1419" i="20"/>
  <c r="L1420" i="20"/>
  <c r="L1421" i="20"/>
  <c r="L1422" i="20"/>
  <c r="L1423" i="20"/>
  <c r="L1424" i="20"/>
  <c r="L1425" i="20"/>
  <c r="L1426" i="20"/>
  <c r="L1427" i="20"/>
  <c r="L1428" i="20"/>
  <c r="L1429" i="20"/>
  <c r="L1430" i="20"/>
  <c r="L1431" i="20"/>
  <c r="L1432" i="20"/>
  <c r="L1433" i="20"/>
  <c r="L1434" i="20"/>
  <c r="L1435" i="20"/>
  <c r="L1436" i="20"/>
  <c r="L1437" i="20"/>
  <c r="L1438" i="20"/>
  <c r="L1439" i="20"/>
  <c r="L1440" i="20"/>
  <c r="L1441" i="20"/>
  <c r="L1442" i="20"/>
  <c r="L1443" i="20"/>
  <c r="L1444" i="20"/>
  <c r="L1445" i="20"/>
  <c r="L1446" i="20"/>
  <c r="L1447" i="20"/>
  <c r="L1448" i="20"/>
  <c r="L1449" i="20"/>
  <c r="L1450" i="20"/>
  <c r="L1451" i="20"/>
  <c r="L1452" i="20"/>
  <c r="L1453" i="20"/>
  <c r="L1454" i="20"/>
  <c r="L1455" i="20"/>
  <c r="L1456" i="20"/>
  <c r="L1457" i="20"/>
  <c r="L1458" i="20"/>
  <c r="L1459" i="20"/>
  <c r="L1460" i="20"/>
  <c r="L1461" i="20"/>
  <c r="L1462" i="20"/>
  <c r="L1463" i="20"/>
  <c r="L1464" i="20"/>
  <c r="L1465" i="20"/>
  <c r="L1466" i="20"/>
  <c r="L1467" i="20"/>
  <c r="L1468" i="20"/>
  <c r="L1469" i="20"/>
  <c r="L1470" i="20"/>
  <c r="L1471" i="20"/>
  <c r="L1472" i="20"/>
  <c r="L1473" i="20"/>
  <c r="L1474" i="20"/>
  <c r="L1475" i="20"/>
  <c r="L1476" i="20"/>
  <c r="L1477" i="20"/>
  <c r="L1478" i="20"/>
  <c r="L1479" i="20"/>
  <c r="L1480" i="20"/>
  <c r="L1481" i="20"/>
  <c r="L1482" i="20"/>
  <c r="L1483" i="20"/>
  <c r="L1484" i="20"/>
  <c r="L1485" i="20"/>
  <c r="L1486" i="20"/>
  <c r="L1487" i="20"/>
  <c r="L1488" i="20"/>
  <c r="L1489" i="20"/>
  <c r="L1490" i="20"/>
  <c r="L1491" i="20"/>
  <c r="L1492" i="20"/>
  <c r="L1493" i="20"/>
  <c r="L1494" i="20"/>
  <c r="L1495" i="20"/>
  <c r="L1496" i="20"/>
  <c r="L1497" i="20"/>
  <c r="L1498" i="20"/>
  <c r="L1499" i="20"/>
  <c r="L1500" i="20"/>
  <c r="L1501" i="20"/>
  <c r="L1502" i="20"/>
  <c r="L1503" i="20"/>
  <c r="L1504" i="20"/>
  <c r="L1505" i="20"/>
  <c r="L1506" i="20"/>
  <c r="L1507" i="20"/>
  <c r="L1508" i="20"/>
  <c r="L1509" i="20"/>
  <c r="L1510" i="20"/>
  <c r="L1511" i="20"/>
  <c r="L1512" i="20"/>
  <c r="L1513" i="20"/>
  <c r="L1514" i="20"/>
  <c r="L1515" i="20"/>
  <c r="L1516" i="20"/>
  <c r="L1517" i="20"/>
  <c r="L1518" i="20"/>
  <c r="L1519" i="20"/>
  <c r="L1520" i="20"/>
  <c r="L1521" i="20"/>
  <c r="L1522" i="20"/>
  <c r="L1523" i="20"/>
  <c r="L1524" i="20"/>
  <c r="L1525" i="20"/>
  <c r="L1526" i="20"/>
  <c r="L1527" i="20"/>
  <c r="L1528" i="20"/>
  <c r="L1529" i="20"/>
  <c r="L1530" i="20"/>
  <c r="L1531" i="20"/>
  <c r="L1532" i="20"/>
  <c r="L1533" i="20"/>
  <c r="L1534" i="20"/>
  <c r="L1535" i="20"/>
  <c r="L1536" i="20"/>
  <c r="L1537" i="20"/>
  <c r="L1538" i="20"/>
  <c r="L1539" i="20"/>
  <c r="L1540" i="20"/>
  <c r="L1541" i="20"/>
  <c r="L1542" i="20"/>
  <c r="L1543" i="20"/>
  <c r="L1544" i="20"/>
  <c r="L1545" i="20"/>
  <c r="L1546" i="20"/>
  <c r="L1547" i="20"/>
  <c r="L1548" i="20"/>
  <c r="L1549" i="20"/>
  <c r="L1550" i="20"/>
  <c r="L1551" i="20"/>
  <c r="L1552" i="20"/>
  <c r="L1553" i="20"/>
  <c r="L1554" i="20"/>
  <c r="L1555" i="20"/>
  <c r="L1556" i="20"/>
  <c r="L1557" i="20"/>
  <c r="L1558" i="20"/>
  <c r="L1559" i="20"/>
  <c r="L1560" i="20"/>
  <c r="L1561" i="20"/>
  <c r="L1562" i="20"/>
  <c r="L1563" i="20"/>
  <c r="L1564" i="20"/>
  <c r="L1565" i="20"/>
  <c r="L1566" i="20"/>
  <c r="L1567" i="20"/>
  <c r="L1568" i="20"/>
  <c r="L1569" i="20"/>
  <c r="L1570" i="20"/>
  <c r="L1571" i="20"/>
  <c r="L1572" i="20"/>
  <c r="L1573" i="20"/>
  <c r="L1574" i="20"/>
  <c r="L1575" i="20"/>
  <c r="L1576" i="20"/>
  <c r="L1577" i="20"/>
  <c r="L1578" i="20"/>
  <c r="L1579" i="20"/>
  <c r="L1580" i="20"/>
  <c r="L1581" i="20"/>
  <c r="L1582" i="20"/>
  <c r="L1583" i="20"/>
  <c r="L1584" i="20"/>
  <c r="L1585" i="20"/>
  <c r="L1586" i="20"/>
  <c r="L1587" i="20"/>
  <c r="L1588" i="20"/>
  <c r="L1589" i="20"/>
  <c r="L1590" i="20"/>
  <c r="L1591" i="20"/>
  <c r="L1592" i="20"/>
  <c r="L1593" i="20"/>
  <c r="L1594" i="20"/>
  <c r="L1595" i="20"/>
  <c r="L1596" i="20"/>
  <c r="L1597" i="20"/>
  <c r="L1598" i="20"/>
  <c r="L1599" i="20"/>
  <c r="L1600" i="20"/>
  <c r="L1601" i="20"/>
  <c r="L1602" i="20"/>
  <c r="L1603" i="20"/>
  <c r="L1604" i="20"/>
  <c r="L1605" i="20"/>
  <c r="L1606" i="20"/>
  <c r="L1607" i="20"/>
  <c r="L1608" i="20"/>
  <c r="L1609" i="20"/>
  <c r="L1610" i="20"/>
  <c r="L1611" i="20"/>
  <c r="L1612" i="20"/>
  <c r="L1613" i="20"/>
  <c r="L1614" i="20"/>
  <c r="L1615" i="20"/>
  <c r="L1616" i="20"/>
  <c r="L1617" i="20"/>
  <c r="L1618" i="20"/>
  <c r="L1619" i="20"/>
  <c r="L1620" i="20"/>
  <c r="L1621" i="20"/>
  <c r="L1622" i="20"/>
  <c r="L1623" i="20"/>
  <c r="L1624" i="20"/>
  <c r="L1625" i="20"/>
  <c r="L1626" i="20"/>
  <c r="L1627" i="20"/>
  <c r="L1628" i="20"/>
  <c r="L1629" i="20"/>
  <c r="L1630" i="20"/>
  <c r="L1631" i="20"/>
  <c r="L1632" i="20"/>
  <c r="L1633" i="20"/>
  <c r="L1634" i="20"/>
  <c r="L1635" i="20"/>
  <c r="L1636" i="20"/>
  <c r="L1637" i="20"/>
  <c r="L1638" i="20"/>
  <c r="L1639" i="20"/>
  <c r="L1640" i="20"/>
  <c r="L1641" i="20"/>
  <c r="L1642" i="20"/>
  <c r="L1643" i="20"/>
  <c r="L1644" i="20"/>
  <c r="L1645" i="20"/>
  <c r="L1646" i="20"/>
  <c r="L1647" i="20"/>
  <c r="L1648" i="20"/>
  <c r="L1649" i="20"/>
  <c r="L1650" i="20"/>
  <c r="L1651" i="20"/>
  <c r="L1652" i="20"/>
  <c r="L1653" i="20"/>
  <c r="L1654" i="20"/>
  <c r="L1655" i="20"/>
  <c r="L1656" i="20"/>
  <c r="L1657" i="20"/>
  <c r="L1658" i="20"/>
  <c r="L1659" i="20"/>
  <c r="L1660" i="20"/>
  <c r="L1661" i="20"/>
  <c r="L1662" i="20"/>
  <c r="L1663" i="20"/>
  <c r="L1664" i="20"/>
  <c r="L1665" i="20"/>
  <c r="L1666" i="20"/>
  <c r="L1667" i="20"/>
  <c r="L1668" i="20"/>
  <c r="L1669" i="20"/>
  <c r="L1670" i="20"/>
  <c r="L1671" i="20"/>
  <c r="L1672" i="20"/>
  <c r="L1673" i="20"/>
  <c r="L1674" i="20"/>
  <c r="L1675" i="20"/>
  <c r="L1676" i="20"/>
  <c r="L1677" i="20"/>
  <c r="L1678" i="20"/>
  <c r="L1679" i="20"/>
  <c r="L1680" i="20"/>
  <c r="L1681" i="20"/>
  <c r="L1682" i="20"/>
  <c r="L1683" i="20"/>
  <c r="L1684" i="20"/>
  <c r="L1685" i="20"/>
  <c r="L1686" i="20"/>
  <c r="L1687" i="20"/>
  <c r="L1688" i="20"/>
  <c r="L1689" i="20"/>
  <c r="L1690" i="20"/>
  <c r="L1691" i="20"/>
  <c r="L1692" i="20"/>
  <c r="L1693" i="20"/>
  <c r="L1694" i="20"/>
  <c r="L1695" i="20"/>
  <c r="L1696" i="20"/>
  <c r="L1697" i="20"/>
  <c r="L1698" i="20"/>
  <c r="L1699" i="20"/>
  <c r="L1700" i="20"/>
  <c r="L1701" i="20"/>
  <c r="L1702" i="20"/>
  <c r="L1703" i="20"/>
  <c r="L1704" i="20"/>
  <c r="L1705" i="20"/>
  <c r="L1706" i="20"/>
  <c r="L1707" i="20"/>
  <c r="L1708" i="20"/>
  <c r="L1709" i="20"/>
  <c r="L1710" i="20"/>
  <c r="L1711" i="20"/>
  <c r="L1712" i="20"/>
  <c r="L1713" i="20"/>
  <c r="L1714" i="20"/>
  <c r="L1715" i="20"/>
  <c r="L1716" i="20"/>
  <c r="L1717" i="20"/>
  <c r="L1718" i="20"/>
  <c r="L1719" i="20"/>
  <c r="L1720" i="20"/>
  <c r="L1721" i="20"/>
  <c r="L1722" i="20"/>
  <c r="L1723" i="20"/>
  <c r="L1724" i="20"/>
  <c r="L1725" i="20"/>
  <c r="L1726" i="20"/>
  <c r="L1727" i="20"/>
  <c r="L1728" i="20"/>
  <c r="L1729" i="20"/>
  <c r="L1730" i="20"/>
  <c r="L1731" i="20"/>
  <c r="L1732" i="20"/>
  <c r="L1733" i="20"/>
  <c r="L1734" i="20"/>
  <c r="L1735" i="20"/>
  <c r="L1736" i="20"/>
  <c r="L1737" i="20"/>
  <c r="L1738" i="20"/>
  <c r="L1739" i="20"/>
  <c r="L1740" i="20"/>
  <c r="L1741" i="20"/>
  <c r="L1742" i="20"/>
  <c r="L1743" i="20"/>
  <c r="L1744" i="20"/>
  <c r="L1745" i="20"/>
  <c r="L1746" i="20"/>
  <c r="L1747" i="20"/>
  <c r="L1748" i="20"/>
  <c r="L1749" i="20"/>
  <c r="L1750" i="20"/>
  <c r="L1751" i="20"/>
  <c r="L1752" i="20"/>
  <c r="L1753" i="20"/>
  <c r="L1754" i="20"/>
  <c r="L1755" i="20"/>
  <c r="L1756" i="20"/>
  <c r="L1757" i="20"/>
  <c r="L1758" i="20"/>
  <c r="L1759" i="20"/>
  <c r="L1760" i="20"/>
  <c r="L1761" i="20"/>
  <c r="L1762" i="20"/>
  <c r="L1763" i="20"/>
  <c r="L1764" i="20"/>
  <c r="L1765" i="20"/>
  <c r="L1766" i="20"/>
  <c r="L1767" i="20"/>
  <c r="L1768" i="20"/>
  <c r="L1769" i="20"/>
  <c r="L1770" i="20"/>
  <c r="L1771" i="20"/>
  <c r="L1772" i="20"/>
  <c r="L1773" i="20"/>
  <c r="L1774" i="20"/>
  <c r="L1775" i="20"/>
  <c r="L1776" i="20"/>
  <c r="L1777" i="20"/>
  <c r="L1778" i="20"/>
  <c r="L1779" i="20"/>
  <c r="L1780" i="20"/>
  <c r="L1781" i="20"/>
  <c r="L1782" i="20"/>
  <c r="L1783" i="20"/>
  <c r="L1784" i="20"/>
  <c r="L1785" i="20"/>
  <c r="L1786" i="20"/>
  <c r="L1787" i="20"/>
  <c r="L1788" i="20"/>
  <c r="L1789" i="20"/>
  <c r="L1790" i="20"/>
  <c r="L1791" i="20"/>
  <c r="L1792" i="20"/>
  <c r="L1793" i="20"/>
  <c r="L1794" i="20"/>
  <c r="L1795" i="20"/>
  <c r="L1796" i="20"/>
  <c r="L1797" i="20"/>
  <c r="L1798" i="20"/>
  <c r="L1799" i="20"/>
  <c r="L1800" i="20"/>
  <c r="L1801" i="20"/>
  <c r="L1802" i="20"/>
  <c r="L1803" i="20"/>
  <c r="L1804" i="20"/>
  <c r="L1805" i="20"/>
  <c r="L1806" i="20"/>
  <c r="L1807" i="20"/>
  <c r="L1808" i="20"/>
  <c r="L1809" i="20"/>
  <c r="L1810" i="20"/>
  <c r="L1811" i="20"/>
  <c r="L1812" i="20"/>
  <c r="L1813" i="20"/>
  <c r="L1814" i="20"/>
  <c r="L1815" i="20"/>
  <c r="L1816" i="20"/>
  <c r="L1817" i="20"/>
  <c r="L1818" i="20"/>
  <c r="L1819" i="20"/>
  <c r="L1820" i="20"/>
  <c r="L1821" i="20"/>
  <c r="L1822" i="20"/>
  <c r="L1823" i="20"/>
  <c r="L1824" i="20"/>
  <c r="L1825" i="20"/>
  <c r="L1826" i="20"/>
  <c r="L1827" i="20"/>
  <c r="L1828" i="20"/>
  <c r="L1829" i="20"/>
  <c r="L1830" i="20"/>
  <c r="L1831" i="20"/>
  <c r="L1832" i="20"/>
  <c r="L1833" i="20"/>
  <c r="L1834" i="20"/>
  <c r="L1835" i="20"/>
  <c r="L1836" i="20"/>
  <c r="L1837" i="20"/>
  <c r="L1838" i="20"/>
  <c r="L1839" i="20"/>
  <c r="L1840" i="20"/>
  <c r="L1841" i="20"/>
  <c r="L1842" i="20"/>
  <c r="L1843" i="20"/>
  <c r="L1844" i="20"/>
  <c r="L1845" i="20"/>
  <c r="L1846" i="20"/>
  <c r="L1847" i="20"/>
  <c r="L1848" i="20"/>
  <c r="L1849" i="20"/>
  <c r="L1850" i="20"/>
  <c r="L1851" i="20"/>
  <c r="L1852" i="20"/>
  <c r="L1853" i="20"/>
  <c r="L1854" i="20"/>
  <c r="L1855" i="20"/>
  <c r="L1856" i="20"/>
  <c r="L1857" i="20"/>
  <c r="L1858" i="20"/>
  <c r="L1859" i="20"/>
  <c r="L1860" i="20"/>
  <c r="L1861" i="20"/>
  <c r="L1862" i="20"/>
  <c r="L1863" i="20"/>
  <c r="L1864" i="20"/>
  <c r="L1865" i="20"/>
  <c r="L1866" i="20"/>
  <c r="L1867" i="20"/>
  <c r="L1868" i="20"/>
  <c r="L1869" i="20"/>
  <c r="L1870" i="20"/>
  <c r="L1871" i="20"/>
  <c r="L1872" i="20"/>
  <c r="L1873" i="20"/>
  <c r="L1874" i="20"/>
  <c r="L1875" i="20"/>
  <c r="L1876" i="20"/>
  <c r="L1877" i="20"/>
  <c r="L1878" i="20"/>
  <c r="L1879" i="20"/>
  <c r="L1880" i="20"/>
  <c r="L1881" i="20"/>
  <c r="L1882" i="20"/>
  <c r="L1883" i="20"/>
  <c r="L1884" i="20"/>
  <c r="L1885" i="20"/>
  <c r="L1886" i="20"/>
  <c r="L1887" i="20"/>
  <c r="L1888" i="20"/>
  <c r="L1889" i="20"/>
  <c r="L1890" i="20"/>
  <c r="L1891" i="20"/>
  <c r="L1892" i="20"/>
  <c r="L1893" i="20"/>
  <c r="L1894" i="20"/>
  <c r="L1895" i="20"/>
  <c r="L1896" i="20"/>
  <c r="L1897" i="20"/>
  <c r="L1898" i="20"/>
  <c r="L1899" i="20"/>
  <c r="L1900" i="20"/>
  <c r="L1901" i="20"/>
  <c r="L1902" i="20"/>
  <c r="L1903" i="20"/>
  <c r="L1904" i="20"/>
  <c r="L1905" i="20"/>
  <c r="L1906" i="20"/>
  <c r="L1907" i="20"/>
  <c r="L1908" i="20"/>
  <c r="L1909" i="20"/>
  <c r="L1910" i="20"/>
  <c r="L1911" i="20"/>
  <c r="L1912" i="20"/>
  <c r="L1913" i="20"/>
  <c r="L1914" i="20"/>
  <c r="L1915" i="20"/>
  <c r="L1916" i="20"/>
  <c r="L1917" i="20"/>
  <c r="L1918" i="20"/>
  <c r="L1919" i="20"/>
  <c r="L1920" i="20"/>
  <c r="L1921" i="20"/>
  <c r="L1922" i="20"/>
  <c r="L1923" i="20"/>
  <c r="L1924" i="20"/>
  <c r="L1925" i="20"/>
  <c r="L1926" i="20"/>
  <c r="L1927" i="20"/>
  <c r="L1928" i="20"/>
  <c r="L1929" i="20"/>
  <c r="L1930" i="20"/>
  <c r="L1931" i="20"/>
  <c r="L1932" i="20"/>
  <c r="L1933" i="20"/>
  <c r="L1934" i="20"/>
  <c r="L1935" i="20"/>
  <c r="L1936" i="20"/>
  <c r="L1937" i="20"/>
  <c r="L1938" i="20"/>
  <c r="L1939" i="20"/>
  <c r="L1940" i="20"/>
  <c r="L1941" i="20"/>
  <c r="L1942" i="20"/>
  <c r="L1943" i="20"/>
  <c r="L1944" i="20"/>
  <c r="L1945" i="20"/>
  <c r="L1946" i="20"/>
  <c r="L1947" i="20"/>
  <c r="L1948" i="20"/>
  <c r="L1949" i="20"/>
  <c r="L1950" i="20"/>
  <c r="L1951" i="20"/>
  <c r="L1952" i="20"/>
  <c r="L1953" i="20"/>
  <c r="L1954" i="20"/>
  <c r="L1955" i="20"/>
  <c r="L1956" i="20"/>
  <c r="L1957" i="20"/>
  <c r="L1958" i="20"/>
  <c r="L1959" i="20"/>
  <c r="L1960" i="20"/>
  <c r="L1961" i="20"/>
  <c r="L1962" i="20"/>
  <c r="L1963" i="20"/>
  <c r="L1964" i="20"/>
  <c r="L1965" i="20"/>
  <c r="L1966" i="20"/>
  <c r="L1967" i="20"/>
  <c r="L1968" i="20"/>
  <c r="L1969" i="20"/>
  <c r="L1970" i="20"/>
  <c r="L1971" i="20"/>
  <c r="L1972" i="20"/>
  <c r="L1973" i="20"/>
  <c r="L1974" i="20"/>
  <c r="L1975" i="20"/>
  <c r="L1976" i="20"/>
  <c r="L1977" i="20"/>
  <c r="L1978" i="20"/>
  <c r="L1979" i="20"/>
  <c r="L1980" i="20"/>
  <c r="L1981" i="20"/>
  <c r="L1982" i="20"/>
  <c r="L1983" i="20"/>
  <c r="L1984" i="20"/>
  <c r="L1985" i="20"/>
  <c r="L1986" i="20"/>
  <c r="L1987" i="20"/>
  <c r="L1988" i="20"/>
  <c r="L1989" i="20"/>
  <c r="L1990" i="20"/>
  <c r="L1991" i="20"/>
  <c r="L1992" i="20"/>
  <c r="L1993" i="20"/>
  <c r="L1994" i="20"/>
  <c r="L1995" i="20"/>
  <c r="L1996" i="20"/>
  <c r="L1997" i="20"/>
  <c r="L1998" i="20"/>
  <c r="L1999" i="20"/>
  <c r="L2000" i="20"/>
  <c r="L2001" i="20"/>
  <c r="L2002" i="20"/>
  <c r="L2003" i="20"/>
  <c r="L2004" i="20"/>
  <c r="L2005" i="20"/>
  <c r="L2006" i="20"/>
  <c r="L2007" i="20"/>
  <c r="L2008" i="20"/>
  <c r="L2009" i="20"/>
  <c r="L2010" i="20"/>
  <c r="L2011" i="20"/>
  <c r="L2012" i="20"/>
  <c r="L2013" i="20"/>
  <c r="L2014" i="20"/>
  <c r="L2015" i="20"/>
  <c r="L2016" i="20"/>
  <c r="L2017" i="20"/>
  <c r="L2018" i="20"/>
  <c r="L2019" i="20"/>
  <c r="L2020" i="20"/>
  <c r="L2021" i="20"/>
  <c r="L2022" i="20"/>
  <c r="L2023" i="20"/>
  <c r="L2024" i="20"/>
  <c r="L2025" i="20"/>
  <c r="L2026" i="20"/>
  <c r="L2027" i="20"/>
  <c r="L2028" i="20"/>
  <c r="L2029" i="20"/>
  <c r="L2030" i="20"/>
  <c r="L2031" i="20"/>
  <c r="L2032" i="20"/>
  <c r="L2033" i="20"/>
  <c r="L2034" i="20"/>
  <c r="L2035" i="20"/>
  <c r="L2036" i="20"/>
  <c r="L2037" i="20"/>
  <c r="L2038" i="20"/>
  <c r="L2039" i="20"/>
  <c r="L2040" i="20"/>
  <c r="L2041" i="20"/>
  <c r="L2042" i="20"/>
  <c r="L2043" i="20"/>
  <c r="L2044" i="20"/>
  <c r="L2045" i="20"/>
  <c r="L2046" i="20"/>
  <c r="L2047" i="20"/>
  <c r="L2048" i="20"/>
  <c r="L2049" i="20"/>
  <c r="L2050" i="20"/>
  <c r="L2051" i="20"/>
  <c r="L2052" i="20"/>
  <c r="L2053" i="20"/>
  <c r="L2054" i="20"/>
  <c r="L2055" i="20"/>
  <c r="L2056" i="20"/>
  <c r="L2057" i="20"/>
  <c r="L2058" i="20"/>
  <c r="L2059" i="20"/>
  <c r="L2060" i="20"/>
  <c r="L2061" i="20"/>
  <c r="L2062" i="20"/>
  <c r="L2063" i="20"/>
  <c r="L2064" i="20"/>
  <c r="L2065" i="20"/>
  <c r="L2066" i="20"/>
  <c r="L2067" i="20"/>
  <c r="L2068" i="20"/>
  <c r="L2069" i="20"/>
  <c r="L2070" i="20"/>
  <c r="L2071" i="20"/>
  <c r="L2072" i="20"/>
  <c r="L2073" i="20"/>
  <c r="L2074" i="20"/>
  <c r="L2075" i="20"/>
  <c r="L2076" i="20"/>
  <c r="L2077" i="20"/>
  <c r="L2078" i="20"/>
  <c r="L2079" i="20"/>
  <c r="L2080" i="20"/>
  <c r="L2081" i="20"/>
  <c r="L2082" i="20"/>
  <c r="L2083" i="20"/>
  <c r="L2084" i="20"/>
  <c r="L2085" i="20"/>
  <c r="L2086" i="20"/>
  <c r="L2087" i="20"/>
  <c r="L2088" i="20"/>
  <c r="L2089" i="20"/>
  <c r="L2090" i="20"/>
  <c r="L2091" i="20"/>
  <c r="L2092" i="20"/>
  <c r="L2093" i="20"/>
  <c r="L2094" i="20"/>
  <c r="L2095" i="20"/>
  <c r="L2096" i="20"/>
  <c r="L2097" i="20"/>
  <c r="L2098" i="20"/>
  <c r="L2099" i="20"/>
  <c r="L2100" i="20"/>
  <c r="L2101" i="20"/>
  <c r="L2102" i="20"/>
  <c r="L2103" i="20"/>
  <c r="L2104" i="20"/>
  <c r="L2105" i="20"/>
  <c r="L2106" i="20"/>
  <c r="L2107" i="20"/>
  <c r="L2108" i="20"/>
  <c r="L2109" i="20"/>
  <c r="L2110" i="20"/>
  <c r="L2111" i="20"/>
  <c r="L2112" i="20"/>
  <c r="L2113" i="20"/>
  <c r="L2114" i="20"/>
  <c r="L2115" i="20"/>
  <c r="L2116" i="20"/>
  <c r="L2117" i="20"/>
  <c r="L2118" i="20"/>
  <c r="L2119" i="20"/>
  <c r="L2120" i="20"/>
  <c r="L2121" i="20"/>
  <c r="L2122" i="20"/>
  <c r="L2123" i="20"/>
  <c r="L2124" i="20"/>
  <c r="L2125" i="20"/>
  <c r="L2126" i="20"/>
  <c r="L2127" i="20"/>
  <c r="L2128" i="20"/>
  <c r="L2129" i="20"/>
  <c r="L2130" i="20"/>
  <c r="L2131" i="20"/>
  <c r="L2132" i="20"/>
  <c r="L2133" i="20"/>
  <c r="L2134" i="20"/>
  <c r="L2135" i="20"/>
  <c r="L2136" i="20"/>
  <c r="L2137" i="20"/>
  <c r="L2138" i="20"/>
  <c r="L2139" i="20"/>
  <c r="L2140" i="20"/>
  <c r="L2141" i="20"/>
  <c r="L2142" i="20"/>
  <c r="L2143" i="20"/>
  <c r="L2144" i="20"/>
  <c r="L2145" i="20"/>
  <c r="L2146" i="20"/>
  <c r="L2147" i="20"/>
  <c r="L2148" i="20"/>
  <c r="L2149" i="20"/>
  <c r="L2150" i="20"/>
  <c r="L2151" i="20"/>
  <c r="L2152" i="20"/>
  <c r="L2153" i="20"/>
  <c r="L2154" i="20"/>
  <c r="L2155" i="20"/>
  <c r="L2156" i="20"/>
  <c r="L2157" i="20"/>
  <c r="L2158" i="20"/>
  <c r="L2159" i="20"/>
  <c r="L2160" i="20"/>
  <c r="L2161" i="20"/>
  <c r="L2162" i="20"/>
  <c r="L2163" i="20"/>
  <c r="L2164" i="20"/>
  <c r="L2165" i="20"/>
  <c r="L2166" i="20"/>
  <c r="L2167" i="20"/>
  <c r="L2168" i="20"/>
  <c r="L2169" i="20"/>
  <c r="L2170" i="20"/>
  <c r="L2171" i="20"/>
  <c r="L2172" i="20"/>
  <c r="L2173" i="20"/>
  <c r="L2174" i="20"/>
  <c r="L2175" i="20"/>
  <c r="L2176" i="20"/>
  <c r="L2177" i="20"/>
  <c r="L2178" i="20"/>
  <c r="L2179" i="20"/>
  <c r="L2180" i="20"/>
  <c r="L2181" i="20"/>
  <c r="L2182" i="20"/>
  <c r="L2183" i="20"/>
  <c r="L2184" i="20"/>
  <c r="L2185" i="20"/>
  <c r="L2186" i="20"/>
  <c r="L2187" i="20"/>
  <c r="L2188" i="20"/>
  <c r="L2189" i="20"/>
  <c r="L2190" i="20"/>
  <c r="L2191" i="20"/>
  <c r="L2192" i="20"/>
  <c r="L2193" i="20"/>
  <c r="L2194" i="20"/>
  <c r="L2195" i="20"/>
  <c r="L2196" i="20"/>
  <c r="L2197" i="20"/>
  <c r="L2198" i="20"/>
  <c r="L2199" i="20"/>
  <c r="L2200" i="20"/>
  <c r="L2201" i="20"/>
  <c r="L2202" i="20"/>
  <c r="L2203" i="20"/>
  <c r="L2204" i="20"/>
  <c r="L2205" i="20"/>
  <c r="L2206" i="20"/>
  <c r="L2207" i="20"/>
  <c r="L2208" i="20"/>
  <c r="L2209" i="20"/>
  <c r="L2210" i="20"/>
  <c r="L2211" i="20"/>
  <c r="L2212" i="20"/>
  <c r="L2213" i="20"/>
  <c r="L2214" i="20"/>
  <c r="L2215" i="20"/>
  <c r="L2216" i="20"/>
  <c r="L2217" i="20"/>
  <c r="L2218" i="20"/>
  <c r="L2219" i="20"/>
  <c r="L2220" i="20"/>
  <c r="L2221" i="20"/>
  <c r="L2222" i="20"/>
  <c r="L2223" i="20"/>
  <c r="L2224" i="20"/>
  <c r="L2225" i="20"/>
  <c r="L2226" i="20"/>
  <c r="L2227" i="20"/>
  <c r="L2228" i="20"/>
  <c r="L2229" i="20"/>
  <c r="L2230" i="20"/>
  <c r="L2231" i="20"/>
  <c r="L2232" i="20"/>
  <c r="L2233" i="20"/>
  <c r="L2234" i="20"/>
  <c r="L2235" i="20"/>
  <c r="L2236" i="20"/>
  <c r="L2237" i="20"/>
  <c r="L2238" i="20"/>
  <c r="L2239" i="20"/>
  <c r="L2240" i="20"/>
  <c r="L2241" i="20"/>
  <c r="L2242" i="20"/>
  <c r="L2243" i="20"/>
  <c r="L2244" i="20"/>
  <c r="L2245" i="20"/>
  <c r="L2246" i="20"/>
  <c r="L2247" i="20"/>
  <c r="L2248" i="20"/>
  <c r="L2249" i="20"/>
  <c r="L2250" i="20"/>
  <c r="L2251" i="20"/>
  <c r="L2252" i="20"/>
  <c r="L2253" i="20"/>
  <c r="L2254" i="20"/>
  <c r="L2255" i="20"/>
  <c r="L2256" i="20"/>
  <c r="L2257" i="20"/>
  <c r="L2258" i="20"/>
  <c r="L2259" i="20"/>
  <c r="L2260" i="20"/>
  <c r="L2261" i="20"/>
  <c r="L2262" i="20"/>
  <c r="L2263" i="20"/>
  <c r="L2264" i="20"/>
  <c r="L2265" i="20"/>
  <c r="L2266" i="20"/>
  <c r="L2267" i="20"/>
  <c r="L2268" i="20"/>
  <c r="L2269" i="20"/>
  <c r="L2270" i="20"/>
  <c r="L2271" i="20"/>
  <c r="L2272" i="20"/>
  <c r="L2273" i="20"/>
  <c r="L2274" i="20"/>
  <c r="L2275" i="20"/>
  <c r="L2276" i="20"/>
  <c r="L2277" i="20"/>
  <c r="L2278" i="20"/>
  <c r="L2279" i="20"/>
  <c r="L2280" i="20"/>
  <c r="L2281" i="20"/>
  <c r="L2282" i="20"/>
  <c r="L2283" i="20"/>
  <c r="L2284" i="20"/>
  <c r="L2285" i="20"/>
  <c r="L2286" i="20"/>
  <c r="L2287" i="20"/>
  <c r="L2288" i="20"/>
  <c r="L2289" i="20"/>
  <c r="L2290" i="20"/>
  <c r="L2291" i="20"/>
  <c r="L2292" i="20"/>
  <c r="L2293" i="20"/>
  <c r="L2294" i="20"/>
  <c r="L2295" i="20"/>
  <c r="L2296" i="20"/>
  <c r="L2297" i="20"/>
  <c r="L2298" i="20"/>
  <c r="L2299" i="20"/>
  <c r="L2300" i="20"/>
  <c r="L2301" i="20"/>
  <c r="L2302" i="20"/>
  <c r="L2303" i="20"/>
  <c r="L2304" i="20"/>
  <c r="L2305" i="20"/>
  <c r="L2306" i="20"/>
  <c r="L2307" i="20"/>
  <c r="L2308" i="20"/>
  <c r="L2309" i="20"/>
  <c r="L2310" i="20"/>
  <c r="L2311" i="20"/>
  <c r="L2312" i="20"/>
  <c r="L2313" i="20"/>
  <c r="L2314" i="20"/>
  <c r="L2315" i="20"/>
  <c r="L2316" i="20"/>
  <c r="L2317" i="20"/>
  <c r="L2318" i="20"/>
  <c r="L2319" i="20"/>
  <c r="L2320" i="20"/>
  <c r="L2321" i="20"/>
  <c r="L2322" i="20"/>
  <c r="L2323" i="20"/>
  <c r="L2324" i="20"/>
  <c r="L2325" i="20"/>
  <c r="L2326" i="20"/>
  <c r="L2327" i="20"/>
  <c r="L2328" i="20"/>
  <c r="L2329" i="20"/>
  <c r="L2330" i="20"/>
  <c r="L2331" i="20"/>
  <c r="L2332" i="20"/>
  <c r="L2333" i="20"/>
  <c r="L2334" i="20"/>
  <c r="L2335" i="20"/>
  <c r="L2336" i="20"/>
  <c r="L2337" i="20"/>
  <c r="L2338" i="20"/>
  <c r="L2339" i="20"/>
  <c r="L2340" i="20"/>
  <c r="L2341" i="20"/>
  <c r="L2342" i="20"/>
  <c r="L2343" i="20"/>
  <c r="L2344" i="20"/>
  <c r="L2345" i="20"/>
  <c r="L2346" i="20"/>
  <c r="L2347" i="20"/>
  <c r="L2348" i="20"/>
  <c r="L2349" i="20"/>
  <c r="L2350" i="20"/>
  <c r="L2351" i="20"/>
  <c r="L2352" i="20"/>
  <c r="L2353" i="20"/>
  <c r="L2354" i="20"/>
  <c r="L2355" i="20"/>
  <c r="L2356" i="20"/>
  <c r="L2357" i="20"/>
  <c r="L2358" i="20"/>
  <c r="L2359" i="20"/>
  <c r="L2360" i="20"/>
  <c r="L2361" i="20"/>
  <c r="L2362" i="20"/>
  <c r="L2363" i="20"/>
  <c r="L2364" i="20"/>
  <c r="L2365" i="20"/>
  <c r="L2366" i="20"/>
  <c r="L2367" i="20"/>
  <c r="L2368" i="20"/>
  <c r="L2369" i="20"/>
  <c r="L2370" i="20"/>
  <c r="L2371" i="20"/>
  <c r="L2372" i="20"/>
  <c r="L2373" i="20"/>
  <c r="L2374" i="20"/>
  <c r="L2375" i="20"/>
  <c r="L2376" i="20"/>
  <c r="L2377" i="20"/>
  <c r="L2378" i="20"/>
  <c r="L2379" i="20"/>
  <c r="L2380" i="20"/>
  <c r="L2381" i="20"/>
  <c r="L2382" i="20"/>
  <c r="L2383" i="20"/>
  <c r="L2384" i="20"/>
  <c r="L2385" i="20"/>
  <c r="L2386" i="20"/>
  <c r="L2387" i="20"/>
  <c r="L2388" i="20"/>
  <c r="L2389" i="20"/>
  <c r="L2390" i="20"/>
  <c r="L2391" i="20"/>
  <c r="L2392" i="20"/>
  <c r="L2393" i="20"/>
  <c r="L2394" i="20"/>
  <c r="L2395" i="20"/>
  <c r="L2396" i="20"/>
  <c r="L2397" i="20"/>
  <c r="L2398" i="20"/>
  <c r="L2399" i="20"/>
  <c r="L2400" i="20"/>
  <c r="L2401" i="20"/>
  <c r="L2402" i="20"/>
  <c r="L2403" i="20"/>
  <c r="L2404" i="20"/>
  <c r="L2405" i="20"/>
  <c r="L2406" i="20"/>
  <c r="L2407" i="20"/>
  <c r="L2408" i="20"/>
  <c r="L2409" i="20"/>
  <c r="L2410" i="20"/>
  <c r="L2411" i="20"/>
  <c r="L2412" i="20"/>
  <c r="L2413" i="20"/>
  <c r="L2414" i="20"/>
  <c r="L2415" i="20"/>
  <c r="L2416" i="20"/>
  <c r="L2417" i="20"/>
  <c r="L2418" i="20"/>
  <c r="L2419" i="20"/>
  <c r="L2420" i="20"/>
  <c r="L2421" i="20"/>
  <c r="L2422" i="20"/>
  <c r="L2423" i="20"/>
  <c r="L2424" i="20"/>
  <c r="L2425" i="20"/>
  <c r="L2426" i="20"/>
  <c r="L2427" i="20"/>
  <c r="L2428" i="20"/>
  <c r="L2429" i="20"/>
  <c r="L2430" i="20"/>
  <c r="L2431" i="20"/>
  <c r="L2432" i="20"/>
  <c r="L2433" i="20"/>
  <c r="L2434" i="20"/>
  <c r="L2435" i="20"/>
  <c r="L2436" i="20"/>
  <c r="L2437" i="20"/>
  <c r="L2438" i="20"/>
  <c r="L2439" i="20"/>
  <c r="L2440" i="20"/>
  <c r="L2441" i="20"/>
  <c r="L2442" i="20"/>
  <c r="L2443" i="20"/>
  <c r="L2444" i="20"/>
  <c r="L2445" i="20"/>
  <c r="L2446" i="20"/>
  <c r="L2447" i="20"/>
  <c r="L2448" i="20"/>
  <c r="L2449" i="20"/>
  <c r="L2450" i="20"/>
  <c r="L2451" i="20"/>
  <c r="L2452" i="20"/>
  <c r="L2453" i="20"/>
  <c r="L2454" i="20"/>
  <c r="L2455" i="20"/>
  <c r="L2456" i="20"/>
  <c r="L2457" i="20"/>
  <c r="L2458" i="20"/>
  <c r="L2459" i="20"/>
  <c r="L2460" i="20"/>
  <c r="L2461" i="20"/>
  <c r="L2462" i="20"/>
  <c r="L2463" i="20"/>
  <c r="L2464" i="20"/>
  <c r="L2465" i="20"/>
  <c r="L2466" i="20"/>
  <c r="L2467" i="20"/>
  <c r="L2468" i="20"/>
  <c r="L2469" i="20"/>
  <c r="L2470" i="20"/>
  <c r="L2471" i="20"/>
  <c r="L2472" i="20"/>
  <c r="L2473" i="20"/>
  <c r="L2474" i="20"/>
  <c r="L2475" i="20"/>
  <c r="L2476" i="20"/>
  <c r="L2477" i="20"/>
  <c r="L2478" i="20"/>
  <c r="L2479" i="20"/>
  <c r="L2480" i="20"/>
  <c r="L2481" i="20"/>
  <c r="L2482" i="20"/>
  <c r="L2483" i="20"/>
  <c r="L2484" i="20"/>
  <c r="L2485" i="20"/>
  <c r="L2486" i="20"/>
  <c r="L2487" i="20"/>
  <c r="L2488" i="20"/>
  <c r="L2489" i="20"/>
  <c r="L2490" i="20"/>
  <c r="L2491" i="20"/>
  <c r="L2492" i="20"/>
  <c r="L2493" i="20"/>
  <c r="L2494" i="20"/>
  <c r="L2495" i="20"/>
  <c r="L2496" i="20"/>
  <c r="L2497" i="20"/>
  <c r="L2498" i="20"/>
  <c r="L2499" i="20"/>
  <c r="L2500" i="20"/>
  <c r="L2501" i="20"/>
  <c r="L2502" i="20"/>
  <c r="L2503" i="20"/>
  <c r="L2504" i="20"/>
  <c r="L2505" i="20"/>
  <c r="L2506" i="20"/>
  <c r="L2507" i="20"/>
  <c r="L2508" i="20"/>
  <c r="L2509" i="20"/>
  <c r="L2510" i="20"/>
  <c r="L2511" i="20"/>
  <c r="L2512" i="20"/>
  <c r="L2513" i="20"/>
  <c r="L2514" i="20"/>
  <c r="L2515" i="20"/>
  <c r="L2516" i="20"/>
  <c r="L2517" i="20"/>
  <c r="L2518" i="20"/>
  <c r="L2519" i="20"/>
  <c r="L2520" i="20"/>
  <c r="L2521" i="20"/>
  <c r="L2522" i="20"/>
  <c r="L2523" i="20"/>
  <c r="L2524" i="20"/>
  <c r="L2525" i="20"/>
  <c r="L2526" i="20"/>
  <c r="L2527" i="20"/>
  <c r="L2528" i="20"/>
  <c r="L2529" i="20"/>
  <c r="L2530" i="20"/>
  <c r="L2531" i="20"/>
  <c r="L2532" i="20"/>
  <c r="L2533" i="20"/>
  <c r="L2534" i="20"/>
  <c r="L2535" i="20"/>
  <c r="L2536" i="20"/>
  <c r="L2537" i="20"/>
  <c r="L2538" i="20"/>
  <c r="L2539" i="20"/>
  <c r="L2540" i="20"/>
  <c r="L2541" i="20"/>
  <c r="L2542" i="20"/>
  <c r="L2543" i="20"/>
  <c r="L2544" i="20"/>
  <c r="L2545" i="20"/>
  <c r="L2546" i="20"/>
  <c r="L2547" i="20"/>
  <c r="L2548" i="20"/>
  <c r="L2549" i="20"/>
  <c r="L2550" i="20"/>
  <c r="L2551" i="20"/>
  <c r="L2552" i="20"/>
  <c r="L2553" i="20"/>
  <c r="L2554" i="20"/>
  <c r="L2555" i="20"/>
  <c r="L2556" i="20"/>
  <c r="L2557" i="20"/>
  <c r="L2558" i="20"/>
  <c r="L2559" i="20"/>
  <c r="L2560" i="20"/>
  <c r="L2561" i="20"/>
  <c r="L2562" i="20"/>
  <c r="L2563" i="20"/>
  <c r="L2564" i="20"/>
  <c r="L2565" i="20"/>
  <c r="L2566" i="20"/>
  <c r="L2567" i="20"/>
  <c r="L2568" i="20"/>
  <c r="L2569" i="20"/>
  <c r="L2570" i="20"/>
  <c r="L2571" i="20"/>
  <c r="L2572" i="20"/>
  <c r="L2573" i="20"/>
  <c r="L2574" i="20"/>
  <c r="L2575" i="20"/>
  <c r="L2576" i="20"/>
  <c r="L2577" i="20"/>
  <c r="L2578" i="20"/>
  <c r="L2579" i="20"/>
  <c r="L2580" i="20"/>
  <c r="L2581" i="20"/>
  <c r="L2582" i="20"/>
  <c r="L2583" i="20"/>
  <c r="L2584" i="20"/>
  <c r="L2585" i="20"/>
  <c r="L2586" i="20"/>
  <c r="L2587" i="20"/>
  <c r="L2588" i="20"/>
  <c r="L2589" i="20"/>
  <c r="L2590" i="20"/>
  <c r="L2591" i="20"/>
  <c r="L2592" i="20"/>
  <c r="L2593" i="20"/>
  <c r="L2594" i="20"/>
  <c r="L2595" i="20"/>
  <c r="L2596" i="20"/>
  <c r="L2597" i="20"/>
  <c r="L2598" i="20"/>
  <c r="L2599" i="20"/>
  <c r="L2600" i="20"/>
  <c r="L2601" i="20"/>
  <c r="L2602" i="20"/>
  <c r="L2603" i="20"/>
  <c r="L2604" i="20"/>
  <c r="L2605" i="20"/>
  <c r="L2606" i="20"/>
  <c r="L2607" i="20"/>
  <c r="L2608" i="20"/>
  <c r="L2609" i="20"/>
  <c r="L2610" i="20"/>
  <c r="L2611" i="20"/>
  <c r="L2612" i="20"/>
  <c r="L2613" i="20"/>
  <c r="L2614" i="20"/>
  <c r="L2615" i="20"/>
  <c r="L2616" i="20"/>
  <c r="L2617" i="20"/>
  <c r="L2618" i="20"/>
  <c r="L2619" i="20"/>
  <c r="L2620" i="20"/>
  <c r="L2621" i="20"/>
  <c r="L2622" i="20"/>
  <c r="L2623" i="20"/>
  <c r="L2624" i="20"/>
  <c r="L2625" i="20"/>
  <c r="L2626" i="20"/>
  <c r="L2627" i="20"/>
  <c r="L2628" i="20"/>
  <c r="L2629" i="20"/>
  <c r="L2630" i="20"/>
  <c r="L2631" i="20"/>
  <c r="L2632" i="20"/>
  <c r="L2633" i="20"/>
  <c r="L2634" i="20"/>
  <c r="L2635" i="20"/>
  <c r="L2636" i="20"/>
  <c r="L2637" i="20"/>
  <c r="L2638" i="20"/>
  <c r="L2639" i="20"/>
  <c r="L2640" i="20"/>
  <c r="L2641" i="20"/>
  <c r="L2642" i="20"/>
  <c r="L2643" i="20"/>
  <c r="L2644" i="20"/>
  <c r="L2645" i="20"/>
  <c r="L2646" i="20"/>
  <c r="L2647" i="20"/>
  <c r="L2648" i="20"/>
  <c r="L2649" i="20"/>
  <c r="L2650" i="20"/>
  <c r="L2651" i="20"/>
  <c r="L2652" i="20"/>
  <c r="L2653" i="20"/>
  <c r="L2654" i="20"/>
  <c r="L2655" i="20"/>
  <c r="L2656" i="20"/>
  <c r="L2657" i="20"/>
  <c r="L2658" i="20"/>
  <c r="L2659" i="20"/>
  <c r="L2660" i="20"/>
  <c r="L2661" i="20"/>
  <c r="L2662" i="20"/>
  <c r="L2663" i="20"/>
  <c r="L2664" i="20"/>
  <c r="L2665" i="20"/>
  <c r="L2666" i="20"/>
  <c r="L2667" i="20"/>
  <c r="L2668" i="20"/>
  <c r="L2669" i="20"/>
  <c r="L2670" i="20"/>
  <c r="L2671" i="20"/>
  <c r="L2672" i="20"/>
  <c r="L2673" i="20"/>
  <c r="L2674" i="20"/>
  <c r="L2675" i="20"/>
  <c r="L2676" i="20"/>
  <c r="L2677" i="20"/>
  <c r="L2678" i="20"/>
  <c r="L2679" i="20"/>
  <c r="L2680" i="20"/>
  <c r="L2681" i="20"/>
  <c r="L2682" i="20"/>
  <c r="L2683" i="20"/>
  <c r="L2684" i="20"/>
  <c r="L2685" i="20"/>
  <c r="L2686" i="20"/>
  <c r="L2687" i="20"/>
  <c r="L2688" i="20"/>
  <c r="L2689" i="20"/>
  <c r="L2690" i="20"/>
  <c r="L2691" i="20"/>
  <c r="L2692" i="20"/>
  <c r="L2693" i="20"/>
  <c r="L2694" i="20"/>
  <c r="L2695" i="20"/>
  <c r="L2696" i="20"/>
  <c r="L2697" i="20"/>
  <c r="L2698" i="20"/>
  <c r="L2699" i="20"/>
  <c r="L2700" i="20"/>
  <c r="L2701" i="20"/>
  <c r="L2702" i="20"/>
  <c r="L2703" i="20"/>
  <c r="L2704" i="20"/>
  <c r="L2705" i="20"/>
  <c r="L2706" i="20"/>
  <c r="L2707" i="20"/>
  <c r="L2708" i="20"/>
  <c r="L2709" i="20"/>
  <c r="L2710" i="20"/>
  <c r="L2711" i="20"/>
  <c r="L2712" i="20"/>
  <c r="L2713" i="20"/>
  <c r="L2714" i="20"/>
  <c r="L2715" i="20"/>
  <c r="L2716" i="20"/>
  <c r="L2717" i="20"/>
  <c r="L2718" i="20"/>
  <c r="L2719" i="20"/>
  <c r="L2720" i="20"/>
  <c r="L2721" i="20"/>
  <c r="L2722" i="20"/>
  <c r="L2723" i="20"/>
  <c r="L2724" i="20"/>
  <c r="L2725" i="20"/>
  <c r="L2726" i="20"/>
  <c r="L2727" i="20"/>
  <c r="L2728" i="20"/>
  <c r="L2729" i="20"/>
  <c r="L2730" i="20"/>
  <c r="L2731" i="20"/>
  <c r="L2732" i="20"/>
  <c r="L2733" i="20"/>
  <c r="L2734" i="20"/>
  <c r="L2735" i="20"/>
  <c r="L2736" i="20"/>
  <c r="L2737" i="20"/>
  <c r="L2738" i="20"/>
  <c r="L2739" i="20"/>
  <c r="L2740" i="20"/>
  <c r="L2741" i="20"/>
  <c r="L2742" i="20"/>
  <c r="L2743" i="20"/>
  <c r="L2744" i="20"/>
  <c r="L2745" i="20"/>
  <c r="L2746" i="20"/>
  <c r="L2747" i="20"/>
  <c r="L2748" i="20"/>
  <c r="L2749" i="20"/>
  <c r="L2750" i="20"/>
  <c r="L2751" i="20"/>
  <c r="L2752" i="20"/>
  <c r="L2753" i="20"/>
  <c r="L2754" i="20"/>
  <c r="L2755" i="20"/>
  <c r="L2756" i="20"/>
  <c r="L2757" i="20"/>
  <c r="L2758" i="20"/>
  <c r="L2759" i="20"/>
  <c r="L2760" i="20"/>
  <c r="L2761" i="20"/>
  <c r="L2762" i="20"/>
  <c r="L2763" i="20"/>
  <c r="L2764" i="20"/>
  <c r="L2765" i="20"/>
  <c r="L2766" i="20"/>
  <c r="L2767" i="20"/>
  <c r="L2768" i="20"/>
  <c r="L2769" i="20"/>
  <c r="L2770" i="20"/>
  <c r="L2771" i="20"/>
  <c r="L2772" i="20"/>
  <c r="L2773" i="20"/>
  <c r="L2774" i="20"/>
  <c r="L2775" i="20"/>
  <c r="L2776" i="20"/>
  <c r="L2777" i="20"/>
  <c r="L2778" i="20"/>
  <c r="L2779" i="20"/>
  <c r="L2780" i="20"/>
  <c r="L2781" i="20"/>
  <c r="L2782" i="20"/>
  <c r="L2783" i="20"/>
  <c r="L2784" i="20"/>
  <c r="L2785" i="20"/>
  <c r="L2786" i="20"/>
  <c r="L2787" i="20"/>
  <c r="L2788" i="20"/>
  <c r="L2789" i="20"/>
  <c r="L2790" i="20"/>
  <c r="L2791" i="20"/>
  <c r="L2792" i="20"/>
  <c r="L2793" i="20"/>
  <c r="L2794" i="20"/>
  <c r="L2795" i="20"/>
  <c r="L2796" i="20"/>
  <c r="L2797" i="20"/>
  <c r="L2798" i="20"/>
  <c r="L2799" i="20"/>
  <c r="L2800" i="20"/>
  <c r="L2801" i="20"/>
  <c r="L2802" i="20"/>
  <c r="L2803" i="20"/>
  <c r="L2804" i="20"/>
  <c r="L2805" i="20"/>
  <c r="L2806" i="20"/>
  <c r="L2807" i="20"/>
  <c r="L2808" i="20"/>
  <c r="L2809" i="20"/>
  <c r="L2810" i="20"/>
  <c r="L2811" i="20"/>
  <c r="L2812" i="20"/>
  <c r="L2813" i="20"/>
  <c r="L2814" i="20"/>
  <c r="L2815" i="20"/>
  <c r="L2816" i="20"/>
  <c r="L2817" i="20"/>
  <c r="L2818" i="20"/>
  <c r="L2819" i="20"/>
  <c r="L2820" i="20"/>
  <c r="L2821" i="20"/>
  <c r="L2822" i="20"/>
  <c r="L2823" i="20"/>
  <c r="L2824" i="20"/>
  <c r="L2825" i="20"/>
  <c r="L2826" i="20"/>
  <c r="L2827" i="20"/>
  <c r="L2828" i="20"/>
  <c r="L2829" i="20"/>
  <c r="L2830" i="20"/>
  <c r="L2831" i="20"/>
  <c r="L2832" i="20"/>
  <c r="L2833" i="20"/>
  <c r="L2834" i="20"/>
  <c r="L2835" i="20"/>
  <c r="L2836" i="20"/>
  <c r="L2837" i="20"/>
  <c r="L2838" i="20"/>
  <c r="L2839" i="20"/>
  <c r="L2840" i="20"/>
  <c r="L2841" i="20"/>
  <c r="L2842" i="20"/>
  <c r="L2843" i="20"/>
  <c r="L2844" i="20"/>
  <c r="L2845" i="20"/>
  <c r="L2846" i="20"/>
  <c r="L2847" i="20"/>
  <c r="L2848" i="20"/>
  <c r="L2849" i="20"/>
  <c r="L2850" i="20"/>
  <c r="L2851" i="20"/>
  <c r="L2852" i="20"/>
  <c r="L2853" i="20"/>
  <c r="L2854" i="20"/>
  <c r="L2855" i="20"/>
  <c r="L2856" i="20"/>
  <c r="L2857" i="20"/>
  <c r="L2858" i="20"/>
  <c r="L2859" i="20"/>
  <c r="L2860" i="20"/>
  <c r="L2861" i="20"/>
  <c r="L2862" i="20"/>
  <c r="L2863" i="20"/>
  <c r="L2864" i="20"/>
  <c r="L2865" i="20"/>
  <c r="L2866" i="20"/>
  <c r="L2867" i="20"/>
  <c r="L2868" i="20"/>
  <c r="L2869" i="20"/>
  <c r="L2870" i="20"/>
  <c r="L2871" i="20"/>
  <c r="L2872" i="20"/>
  <c r="L2873" i="20"/>
  <c r="L2874" i="20"/>
  <c r="L2875" i="20"/>
  <c r="L2876" i="20"/>
  <c r="L2877" i="20"/>
  <c r="L2878" i="20"/>
  <c r="L2879" i="20"/>
  <c r="L2880" i="20"/>
  <c r="L2881" i="20"/>
  <c r="L2882" i="20"/>
  <c r="L2883" i="20"/>
  <c r="L2884" i="20"/>
  <c r="L2885" i="20"/>
  <c r="L2886" i="20"/>
  <c r="L2887" i="20"/>
  <c r="L2888" i="20"/>
  <c r="L2889" i="20"/>
  <c r="L2890" i="20"/>
  <c r="L2891" i="20"/>
  <c r="L2892" i="20"/>
  <c r="L2893" i="20"/>
  <c r="L2894" i="20"/>
  <c r="L2895" i="20"/>
  <c r="L2896" i="20"/>
  <c r="L2897" i="20"/>
  <c r="L2898" i="20"/>
  <c r="L2899" i="20"/>
  <c r="L2900" i="20"/>
  <c r="L2901" i="20"/>
  <c r="L2902" i="20"/>
  <c r="L2903" i="20"/>
  <c r="L2904" i="20"/>
  <c r="L2905" i="20"/>
  <c r="L2906" i="20"/>
  <c r="L2907" i="20"/>
  <c r="L2908" i="20"/>
  <c r="L2909" i="20"/>
  <c r="L2910" i="20"/>
  <c r="L2911" i="20"/>
  <c r="L2912" i="20"/>
  <c r="L2913" i="20"/>
  <c r="L2914" i="20"/>
  <c r="L2915" i="20"/>
  <c r="L2916" i="20"/>
  <c r="L2917" i="20"/>
  <c r="L2918" i="20"/>
  <c r="L2919" i="20"/>
  <c r="L2920" i="20"/>
  <c r="L2921" i="20"/>
  <c r="L2922" i="20"/>
  <c r="L2923" i="20"/>
  <c r="L2924" i="20"/>
  <c r="L2925" i="20"/>
  <c r="L2926" i="20"/>
  <c r="L2927" i="20"/>
  <c r="L2928" i="20"/>
  <c r="L2929" i="20"/>
  <c r="L2930" i="20"/>
  <c r="L2931" i="20"/>
  <c r="L2932" i="20"/>
  <c r="L2933" i="20"/>
  <c r="L2934" i="20"/>
  <c r="L2935" i="20"/>
  <c r="L2936" i="20"/>
  <c r="L2937" i="20"/>
  <c r="L2938" i="20"/>
  <c r="L2939" i="20"/>
  <c r="L2940" i="20"/>
  <c r="L2941" i="20"/>
  <c r="L2942" i="20"/>
  <c r="L2943" i="20"/>
  <c r="L2944" i="20"/>
  <c r="L2945" i="20"/>
  <c r="L2946" i="20"/>
  <c r="L2947" i="20"/>
  <c r="L2948" i="20"/>
  <c r="L2949" i="20"/>
  <c r="L2950" i="20"/>
  <c r="L2951" i="20"/>
  <c r="L2952" i="20"/>
  <c r="L2953" i="20"/>
  <c r="L2954" i="20"/>
  <c r="L2955" i="20"/>
  <c r="L2956" i="20"/>
  <c r="L2957" i="20"/>
  <c r="L2958" i="20"/>
  <c r="L2959" i="20"/>
  <c r="L2960" i="20"/>
  <c r="L2961" i="20"/>
  <c r="L2962" i="20"/>
  <c r="L2963" i="20"/>
  <c r="L2964" i="20"/>
  <c r="L2965" i="20"/>
  <c r="L2966" i="20"/>
  <c r="L2967" i="20"/>
  <c r="L2968" i="20"/>
  <c r="L2969" i="20"/>
  <c r="L2970" i="20"/>
  <c r="L2971" i="20"/>
  <c r="L2972" i="20"/>
  <c r="L2973" i="20"/>
  <c r="L2974" i="20"/>
  <c r="L2975" i="20"/>
  <c r="L2976" i="20"/>
  <c r="L2977" i="20"/>
  <c r="L2978" i="20"/>
  <c r="L2979" i="20"/>
  <c r="L2980" i="20"/>
  <c r="L2981" i="20"/>
  <c r="L2982" i="20"/>
  <c r="L2983" i="20"/>
  <c r="L2984" i="20"/>
  <c r="L2985" i="20"/>
  <c r="L2986" i="20"/>
  <c r="L2987" i="20"/>
  <c r="L2988" i="20"/>
  <c r="L2989" i="20"/>
  <c r="L2990" i="20"/>
  <c r="L2991" i="20"/>
  <c r="L2992" i="20"/>
  <c r="L2993" i="20"/>
  <c r="L2994" i="20"/>
  <c r="L2995" i="20"/>
  <c r="L2996" i="20"/>
  <c r="L2997" i="20"/>
  <c r="L2998" i="20"/>
  <c r="L2999" i="20"/>
  <c r="L3000" i="20"/>
  <c r="L3001" i="20"/>
  <c r="L3002" i="20"/>
  <c r="L3003" i="20"/>
  <c r="L3004" i="20"/>
  <c r="L3005" i="20"/>
  <c r="L3006" i="20"/>
  <c r="L3007" i="20"/>
  <c r="L3008" i="20"/>
  <c r="L3009" i="20"/>
  <c r="L3010" i="20"/>
  <c r="L3011" i="20"/>
  <c r="L3012" i="20"/>
  <c r="L3013" i="20"/>
  <c r="L3014" i="20"/>
  <c r="L3015" i="20"/>
  <c r="L3016" i="20"/>
  <c r="L3017" i="20"/>
  <c r="L3018" i="20"/>
  <c r="L3019" i="20"/>
  <c r="L3020" i="20"/>
  <c r="L3021" i="20"/>
  <c r="L3022" i="20"/>
  <c r="L3023" i="20"/>
  <c r="L3024" i="20"/>
  <c r="L3025" i="20"/>
  <c r="L3026" i="20"/>
  <c r="L3027" i="20"/>
  <c r="L3028" i="20"/>
  <c r="L3029" i="20"/>
  <c r="L3030" i="20"/>
  <c r="L3031" i="20"/>
  <c r="L3032" i="20"/>
  <c r="L3033" i="20"/>
  <c r="L3034" i="20"/>
  <c r="L3035" i="20"/>
  <c r="L3036" i="20"/>
  <c r="L3037" i="20"/>
  <c r="L3038" i="20"/>
  <c r="L3039" i="20"/>
  <c r="L3040" i="20"/>
  <c r="L3041" i="20"/>
  <c r="I4" i="20"/>
  <c r="I5" i="20"/>
  <c r="I6" i="20"/>
  <c r="I7" i="20"/>
  <c r="I8" i="20"/>
  <c r="I9" i="20"/>
  <c r="I10" i="20"/>
  <c r="I11" i="20"/>
  <c r="I12" i="20"/>
  <c r="I13" i="20"/>
  <c r="I14" i="20"/>
  <c r="I15" i="20"/>
  <c r="I16" i="20"/>
  <c r="I17" i="20"/>
  <c r="I18" i="20"/>
  <c r="I19" i="20"/>
  <c r="I20" i="20"/>
  <c r="I21" i="20"/>
  <c r="I22" i="20"/>
  <c r="I23" i="20"/>
  <c r="I24" i="20"/>
  <c r="I25" i="20"/>
  <c r="I26" i="20"/>
  <c r="I27" i="20"/>
  <c r="I28" i="20"/>
  <c r="I29" i="20"/>
  <c r="I30" i="20"/>
  <c r="I31" i="20"/>
  <c r="I32" i="20"/>
  <c r="I33" i="20"/>
  <c r="I34" i="20"/>
  <c r="I35" i="20"/>
  <c r="I36" i="20"/>
  <c r="I37" i="20"/>
  <c r="I38" i="20"/>
  <c r="I39" i="20"/>
  <c r="I40" i="20"/>
  <c r="I41" i="20"/>
  <c r="I42" i="20"/>
  <c r="I43" i="20"/>
  <c r="I44" i="20"/>
  <c r="I45" i="20"/>
  <c r="I46" i="20"/>
  <c r="I47" i="20"/>
  <c r="I48" i="20"/>
  <c r="I49" i="20"/>
  <c r="I50" i="20"/>
  <c r="I51" i="20"/>
  <c r="I52" i="20"/>
  <c r="I53" i="20"/>
  <c r="I54" i="20"/>
  <c r="I55" i="20"/>
  <c r="I56" i="20"/>
  <c r="I57" i="20"/>
  <c r="I58" i="20"/>
  <c r="I59" i="20"/>
  <c r="I60" i="20"/>
  <c r="I61" i="20"/>
  <c r="I62" i="20"/>
  <c r="I63" i="20"/>
  <c r="I64" i="20"/>
  <c r="I65" i="20"/>
  <c r="I66" i="20"/>
  <c r="I67" i="20"/>
  <c r="I68" i="20"/>
  <c r="I69" i="20"/>
  <c r="I70" i="20"/>
  <c r="I71" i="20"/>
  <c r="I72" i="20"/>
  <c r="I73" i="20"/>
  <c r="I74" i="20"/>
  <c r="I75" i="20"/>
  <c r="I76" i="20"/>
  <c r="I77" i="20"/>
  <c r="I78" i="20"/>
  <c r="I79" i="20"/>
  <c r="I80" i="20"/>
  <c r="I81" i="20"/>
  <c r="I82" i="20"/>
  <c r="I83" i="20"/>
  <c r="I84" i="20"/>
  <c r="I85" i="20"/>
  <c r="I86" i="20"/>
  <c r="I87" i="20"/>
  <c r="I88" i="20"/>
  <c r="I89" i="20"/>
  <c r="I90" i="20"/>
  <c r="I91" i="20"/>
  <c r="I92" i="20"/>
  <c r="I93" i="20"/>
  <c r="I94" i="20"/>
  <c r="I95" i="20"/>
  <c r="I96" i="20"/>
  <c r="I97" i="20"/>
  <c r="I98" i="20"/>
  <c r="I99" i="20"/>
  <c r="I100" i="20"/>
  <c r="I101" i="20"/>
  <c r="I102" i="20"/>
  <c r="I103" i="20"/>
  <c r="I104" i="20"/>
  <c r="I105" i="20"/>
  <c r="I106" i="20"/>
  <c r="I107" i="20"/>
  <c r="I108" i="20"/>
  <c r="I109" i="20"/>
  <c r="I110" i="20"/>
  <c r="I111" i="20"/>
  <c r="I112" i="20"/>
  <c r="I113" i="20"/>
  <c r="I114" i="20"/>
  <c r="I115" i="20"/>
  <c r="I116" i="20"/>
  <c r="I117" i="20"/>
  <c r="I118" i="20"/>
  <c r="I119" i="20"/>
  <c r="I120" i="20"/>
  <c r="I121" i="20"/>
  <c r="I122" i="20"/>
  <c r="I123" i="20"/>
  <c r="I124" i="20"/>
  <c r="I125" i="20"/>
  <c r="I126" i="20"/>
  <c r="I127" i="20"/>
  <c r="I128" i="20"/>
  <c r="I129" i="20"/>
  <c r="I130" i="20"/>
  <c r="I131" i="20"/>
  <c r="I132" i="20"/>
  <c r="I133" i="20"/>
  <c r="I134" i="20"/>
  <c r="I135" i="20"/>
  <c r="I136" i="20"/>
  <c r="I137" i="20"/>
  <c r="I138" i="20"/>
  <c r="I139" i="20"/>
  <c r="I140" i="20"/>
  <c r="I141" i="20"/>
  <c r="I142" i="20"/>
  <c r="I143" i="20"/>
  <c r="I144" i="20"/>
  <c r="I145" i="20"/>
  <c r="I146" i="20"/>
  <c r="I147" i="20"/>
  <c r="I148" i="20"/>
  <c r="I149" i="20"/>
  <c r="I150" i="20"/>
  <c r="I151" i="20"/>
  <c r="I152" i="20"/>
  <c r="I153" i="20"/>
  <c r="I154" i="20"/>
  <c r="I155" i="20"/>
  <c r="I156" i="20"/>
  <c r="I157" i="20"/>
  <c r="I158" i="20"/>
  <c r="I159" i="20"/>
  <c r="I160" i="20"/>
  <c r="I161" i="20"/>
  <c r="I162" i="20"/>
  <c r="I163" i="20"/>
  <c r="I164" i="20"/>
  <c r="I165" i="20"/>
  <c r="I166" i="20"/>
  <c r="I167" i="20"/>
  <c r="I168" i="20"/>
  <c r="I169" i="20"/>
  <c r="I170" i="20"/>
  <c r="I171" i="20"/>
  <c r="I172" i="20"/>
  <c r="I173" i="20"/>
  <c r="I174" i="20"/>
  <c r="I175" i="20"/>
  <c r="I176" i="20"/>
  <c r="I177" i="20"/>
  <c r="I178" i="20"/>
  <c r="I179" i="20"/>
  <c r="I180" i="20"/>
  <c r="I181" i="20"/>
  <c r="I182" i="20"/>
  <c r="I183" i="20"/>
  <c r="I184" i="20"/>
  <c r="I185" i="20"/>
  <c r="I186" i="20"/>
  <c r="I187" i="20"/>
  <c r="I188" i="20"/>
  <c r="I189" i="20"/>
  <c r="I190" i="20"/>
  <c r="I191" i="20"/>
  <c r="I192" i="20"/>
  <c r="I193" i="20"/>
  <c r="I194" i="20"/>
  <c r="I195" i="20"/>
  <c r="I196" i="20"/>
  <c r="I197" i="20"/>
  <c r="I198" i="20"/>
  <c r="I199" i="20"/>
  <c r="I200" i="20"/>
  <c r="I201" i="20"/>
  <c r="I202" i="20"/>
  <c r="I203" i="20"/>
  <c r="I204" i="20"/>
  <c r="I205" i="20"/>
  <c r="I206" i="20"/>
  <c r="I207" i="20"/>
  <c r="I208" i="20"/>
  <c r="I209" i="20"/>
  <c r="I210" i="20"/>
  <c r="I211" i="20"/>
  <c r="I212" i="20"/>
  <c r="I213" i="20"/>
  <c r="I214" i="20"/>
  <c r="I215" i="20"/>
  <c r="I216" i="20"/>
  <c r="I217" i="20"/>
  <c r="I218" i="20"/>
  <c r="I219" i="20"/>
  <c r="I220" i="20"/>
  <c r="I221" i="20"/>
  <c r="I222" i="20"/>
  <c r="I223" i="20"/>
  <c r="I224" i="20"/>
  <c r="I225" i="20"/>
  <c r="I226" i="20"/>
  <c r="I227" i="20"/>
  <c r="I228" i="20"/>
  <c r="I229" i="20"/>
  <c r="I230" i="20"/>
  <c r="I231" i="20"/>
  <c r="I232" i="20"/>
  <c r="I233" i="20"/>
  <c r="I234" i="20"/>
  <c r="I235" i="20"/>
  <c r="I236" i="20"/>
  <c r="I237" i="20"/>
  <c r="I238" i="20"/>
  <c r="I239" i="20"/>
  <c r="I240" i="20"/>
  <c r="I241" i="20"/>
  <c r="I242" i="20"/>
  <c r="I243" i="20"/>
  <c r="I244" i="20"/>
  <c r="I245" i="20"/>
  <c r="I246" i="20"/>
  <c r="I247" i="20"/>
  <c r="I248" i="20"/>
  <c r="I249" i="20"/>
  <c r="I250" i="20"/>
  <c r="I251" i="20"/>
  <c r="I252" i="20"/>
  <c r="I253" i="20"/>
  <c r="I254" i="20"/>
  <c r="I255" i="20"/>
  <c r="I256" i="20"/>
  <c r="I257" i="20"/>
  <c r="I258" i="20"/>
  <c r="I259" i="20"/>
  <c r="I260" i="20"/>
  <c r="I261" i="20"/>
  <c r="I262" i="20"/>
  <c r="I263" i="20"/>
  <c r="I264" i="20"/>
  <c r="I265" i="20"/>
  <c r="I266" i="20"/>
  <c r="I267" i="20"/>
  <c r="I268" i="20"/>
  <c r="I269" i="20"/>
  <c r="I270" i="20"/>
  <c r="I271" i="20"/>
  <c r="I272" i="20"/>
  <c r="I273" i="20"/>
  <c r="I274" i="20"/>
  <c r="I275" i="20"/>
  <c r="I276" i="20"/>
  <c r="I277" i="20"/>
  <c r="I278" i="20"/>
  <c r="I279" i="20"/>
  <c r="I280" i="20"/>
  <c r="I281" i="20"/>
  <c r="I282" i="20"/>
  <c r="I283" i="20"/>
  <c r="I284" i="20"/>
  <c r="I285" i="20"/>
  <c r="I286" i="20"/>
  <c r="I287" i="20"/>
  <c r="I288" i="20"/>
  <c r="I289" i="20"/>
  <c r="I290" i="20"/>
  <c r="I291" i="20"/>
  <c r="I292" i="20"/>
  <c r="I293" i="20"/>
  <c r="I294" i="20"/>
  <c r="I295" i="20"/>
  <c r="I296" i="20"/>
  <c r="I297" i="20"/>
  <c r="I298" i="20"/>
  <c r="I299" i="20"/>
  <c r="I300" i="20"/>
  <c r="I301" i="20"/>
  <c r="I302" i="20"/>
  <c r="I303" i="20"/>
  <c r="I304" i="20"/>
  <c r="I305" i="20"/>
  <c r="I306" i="20"/>
  <c r="I307" i="20"/>
  <c r="I308" i="20"/>
  <c r="I309" i="20"/>
  <c r="I310" i="20"/>
  <c r="I311" i="20"/>
  <c r="I312" i="20"/>
  <c r="I313" i="20"/>
  <c r="I314" i="20"/>
  <c r="I315" i="20"/>
  <c r="I316" i="20"/>
  <c r="I317" i="20"/>
  <c r="I318" i="20"/>
  <c r="I319" i="20"/>
  <c r="I320" i="20"/>
  <c r="I321" i="20"/>
  <c r="I322" i="20"/>
  <c r="I323" i="20"/>
  <c r="I324" i="20"/>
  <c r="I325" i="20"/>
  <c r="I326" i="20"/>
  <c r="I327" i="20"/>
  <c r="I328" i="20"/>
  <c r="I329" i="20"/>
  <c r="I330" i="20"/>
  <c r="I331" i="20"/>
  <c r="I332" i="20"/>
  <c r="I333" i="20"/>
  <c r="I334" i="20"/>
  <c r="I335" i="20"/>
  <c r="I336" i="20"/>
  <c r="I337" i="20"/>
  <c r="I338" i="20"/>
  <c r="I339" i="20"/>
  <c r="I340" i="20"/>
  <c r="I341" i="20"/>
  <c r="I342" i="20"/>
  <c r="I343" i="20"/>
  <c r="I344" i="20"/>
  <c r="I345" i="20"/>
  <c r="I346" i="20"/>
  <c r="I347" i="20"/>
  <c r="I348" i="20"/>
  <c r="I349" i="20"/>
  <c r="I350" i="20"/>
  <c r="I351" i="20"/>
  <c r="I352" i="20"/>
  <c r="I353" i="20"/>
  <c r="I354" i="20"/>
  <c r="I355" i="20"/>
  <c r="I356" i="20"/>
  <c r="I357" i="20"/>
  <c r="I358" i="20"/>
  <c r="I359" i="20"/>
  <c r="I360" i="20"/>
  <c r="I361" i="20"/>
  <c r="I362" i="20"/>
  <c r="I363" i="20"/>
  <c r="I364" i="20"/>
  <c r="I365" i="20"/>
  <c r="I366" i="20"/>
  <c r="I367" i="20"/>
  <c r="I368" i="20"/>
  <c r="I369" i="20"/>
  <c r="I370" i="20"/>
  <c r="I371" i="20"/>
  <c r="I372" i="20"/>
  <c r="I373" i="20"/>
  <c r="I374" i="20"/>
  <c r="I375" i="20"/>
  <c r="I376" i="20"/>
  <c r="I377" i="20"/>
  <c r="I378" i="20"/>
  <c r="I379" i="20"/>
  <c r="I380" i="20"/>
  <c r="I381" i="20"/>
  <c r="I382" i="20"/>
  <c r="I383" i="20"/>
  <c r="I384" i="20"/>
  <c r="I385" i="20"/>
  <c r="I386" i="20"/>
  <c r="I387" i="20"/>
  <c r="I388" i="20"/>
  <c r="I389" i="20"/>
  <c r="I390" i="20"/>
  <c r="I391" i="20"/>
  <c r="I392" i="20"/>
  <c r="I393" i="20"/>
  <c r="I394" i="20"/>
  <c r="I395" i="20"/>
  <c r="I396" i="20"/>
  <c r="I397" i="20"/>
  <c r="I398" i="20"/>
  <c r="I399" i="20"/>
  <c r="I400" i="20"/>
  <c r="I401" i="20"/>
  <c r="I402" i="20"/>
  <c r="I403" i="20"/>
  <c r="I404" i="20"/>
  <c r="I405" i="20"/>
  <c r="I406" i="20"/>
  <c r="I407" i="20"/>
  <c r="I408" i="20"/>
  <c r="I409" i="20"/>
  <c r="I410" i="20"/>
  <c r="I411" i="20"/>
  <c r="I412" i="20"/>
  <c r="I413" i="20"/>
  <c r="I414" i="20"/>
  <c r="I415" i="20"/>
  <c r="I416" i="20"/>
  <c r="I417" i="20"/>
  <c r="I418" i="20"/>
  <c r="I419" i="20"/>
  <c r="I420" i="20"/>
  <c r="I421" i="20"/>
  <c r="I422" i="20"/>
  <c r="I423" i="20"/>
  <c r="I424" i="20"/>
  <c r="I425" i="20"/>
  <c r="I426" i="20"/>
  <c r="I427" i="20"/>
  <c r="I428" i="20"/>
  <c r="I429" i="20"/>
  <c r="I430" i="20"/>
  <c r="I431" i="20"/>
  <c r="I432" i="20"/>
  <c r="I433" i="20"/>
  <c r="I434" i="20"/>
  <c r="I435" i="20"/>
  <c r="I436" i="20"/>
  <c r="I437" i="20"/>
  <c r="I438" i="20"/>
  <c r="I439" i="20"/>
  <c r="I440" i="20"/>
  <c r="I441" i="20"/>
  <c r="I442" i="20"/>
  <c r="I443" i="20"/>
  <c r="I444" i="20"/>
  <c r="I445" i="20"/>
  <c r="I446" i="20"/>
  <c r="I447" i="20"/>
  <c r="I448" i="20"/>
  <c r="I449" i="20"/>
  <c r="I450" i="20"/>
  <c r="I451" i="20"/>
  <c r="I452" i="20"/>
  <c r="I453" i="20"/>
  <c r="I454" i="20"/>
  <c r="I455" i="20"/>
  <c r="I456" i="20"/>
  <c r="I457" i="20"/>
  <c r="I458" i="20"/>
  <c r="I459" i="20"/>
  <c r="I460" i="20"/>
  <c r="I461" i="20"/>
  <c r="I462" i="20"/>
  <c r="I463" i="20"/>
  <c r="I464" i="20"/>
  <c r="I465" i="20"/>
  <c r="I466" i="20"/>
  <c r="I467" i="20"/>
  <c r="I468" i="20"/>
  <c r="I469" i="20"/>
  <c r="I470" i="20"/>
  <c r="I471" i="20"/>
  <c r="I472" i="20"/>
  <c r="I473" i="20"/>
  <c r="I474" i="20"/>
  <c r="I475" i="20"/>
  <c r="I476" i="20"/>
  <c r="I477" i="20"/>
  <c r="I478" i="20"/>
  <c r="I479" i="20"/>
  <c r="I480" i="20"/>
  <c r="I481" i="20"/>
  <c r="I482" i="20"/>
  <c r="I483" i="20"/>
  <c r="I484" i="20"/>
  <c r="I485" i="20"/>
  <c r="I486" i="20"/>
  <c r="I487" i="20"/>
  <c r="I488" i="20"/>
  <c r="I489" i="20"/>
  <c r="I490" i="20"/>
  <c r="I491" i="20"/>
  <c r="I492" i="20"/>
  <c r="I493" i="20"/>
  <c r="I494" i="20"/>
  <c r="I495" i="20"/>
  <c r="I496" i="20"/>
  <c r="I497" i="20"/>
  <c r="I498" i="20"/>
  <c r="I499" i="20"/>
  <c r="I500" i="20"/>
  <c r="I501" i="20"/>
  <c r="I502" i="20"/>
  <c r="I503" i="20"/>
  <c r="I504" i="20"/>
  <c r="I505" i="20"/>
  <c r="I506" i="20"/>
  <c r="I507" i="20"/>
  <c r="I508" i="20"/>
  <c r="I509" i="20"/>
  <c r="I510" i="20"/>
  <c r="I511" i="20"/>
  <c r="I512" i="20"/>
  <c r="I513" i="20"/>
  <c r="I514" i="20"/>
  <c r="I515" i="20"/>
  <c r="I516" i="20"/>
  <c r="I517" i="20"/>
  <c r="I518" i="20"/>
  <c r="I519" i="20"/>
  <c r="I520" i="20"/>
  <c r="I521" i="20"/>
  <c r="I522" i="20"/>
  <c r="I523" i="20"/>
  <c r="I524" i="20"/>
  <c r="I525" i="20"/>
  <c r="I526" i="20"/>
  <c r="I527" i="20"/>
  <c r="I528" i="20"/>
  <c r="I529" i="20"/>
  <c r="I530" i="20"/>
  <c r="I531" i="20"/>
  <c r="I532" i="20"/>
  <c r="I533" i="20"/>
  <c r="I534" i="20"/>
  <c r="I535" i="20"/>
  <c r="I536" i="20"/>
  <c r="I538" i="20"/>
  <c r="I539" i="20"/>
  <c r="I540" i="20"/>
  <c r="I541" i="20"/>
  <c r="I542" i="20"/>
  <c r="I543" i="20"/>
  <c r="I544" i="20"/>
  <c r="I545" i="20"/>
  <c r="I546" i="20"/>
  <c r="I547" i="20"/>
  <c r="I548" i="20"/>
  <c r="I549" i="20"/>
  <c r="I550" i="20"/>
  <c r="I551" i="20"/>
  <c r="I552" i="20"/>
  <c r="I553" i="20"/>
  <c r="I554" i="20"/>
  <c r="I555" i="20"/>
  <c r="I556" i="20"/>
  <c r="I557" i="20"/>
  <c r="I558" i="20"/>
  <c r="I559" i="20"/>
  <c r="I560" i="20"/>
  <c r="I561" i="20"/>
  <c r="I562" i="20"/>
  <c r="I563" i="20"/>
  <c r="I564" i="20"/>
  <c r="I565" i="20"/>
  <c r="I566" i="20"/>
  <c r="I567" i="20"/>
  <c r="I568" i="20"/>
  <c r="I569" i="20"/>
  <c r="I570" i="20"/>
  <c r="I571" i="20"/>
  <c r="I572" i="20"/>
  <c r="I573" i="20"/>
  <c r="I574" i="20"/>
  <c r="I575" i="20"/>
  <c r="I576" i="20"/>
  <c r="I577" i="20"/>
  <c r="I578" i="20"/>
  <c r="I579" i="20"/>
  <c r="I580" i="20"/>
  <c r="I581" i="20"/>
  <c r="I582" i="20"/>
  <c r="I583" i="20"/>
  <c r="I584" i="20"/>
  <c r="I585" i="20"/>
  <c r="I586" i="20"/>
  <c r="I587" i="20"/>
  <c r="I588" i="20"/>
  <c r="I589" i="20"/>
  <c r="I590" i="20"/>
  <c r="I591" i="20"/>
  <c r="I592" i="20"/>
  <c r="I593" i="20"/>
  <c r="I594" i="20"/>
  <c r="I595" i="20"/>
  <c r="I596" i="20"/>
  <c r="I597" i="20"/>
  <c r="I598" i="20"/>
  <c r="I599" i="20"/>
  <c r="I600" i="20"/>
  <c r="I601" i="20"/>
  <c r="I602" i="20"/>
  <c r="I603" i="20"/>
  <c r="I604" i="20"/>
  <c r="I605" i="20"/>
  <c r="I606" i="20"/>
  <c r="I607" i="20"/>
  <c r="I608" i="20"/>
  <c r="I609" i="20"/>
  <c r="I610" i="20"/>
  <c r="I611" i="20"/>
  <c r="I612" i="20"/>
  <c r="I613" i="20"/>
  <c r="I614" i="20"/>
  <c r="I615" i="20"/>
  <c r="I616" i="20"/>
  <c r="I617" i="20"/>
  <c r="I618" i="20"/>
  <c r="I619" i="20"/>
  <c r="I620" i="20"/>
  <c r="I621" i="20"/>
  <c r="I622" i="20"/>
  <c r="I623" i="20"/>
  <c r="I624" i="20"/>
  <c r="I625" i="20"/>
  <c r="I626" i="20"/>
  <c r="I627" i="20"/>
  <c r="I628" i="20"/>
  <c r="I629" i="20"/>
  <c r="I630" i="20"/>
  <c r="I631" i="20"/>
  <c r="I632" i="20"/>
  <c r="I633" i="20"/>
  <c r="I634" i="20"/>
  <c r="I635" i="20"/>
  <c r="I636" i="20"/>
  <c r="I637" i="20"/>
  <c r="I638" i="20"/>
  <c r="I639" i="20"/>
  <c r="I640" i="20"/>
  <c r="I641" i="20"/>
  <c r="I642" i="20"/>
  <c r="I643" i="20"/>
  <c r="I644" i="20"/>
  <c r="I645" i="20"/>
  <c r="I646" i="20"/>
  <c r="I647" i="20"/>
  <c r="I648" i="20"/>
  <c r="I649" i="20"/>
  <c r="I650" i="20"/>
  <c r="I651" i="20"/>
  <c r="I652" i="20"/>
  <c r="I653" i="20"/>
  <c r="I654" i="20"/>
  <c r="I655" i="20"/>
  <c r="I656" i="20"/>
  <c r="I657" i="20"/>
  <c r="I658" i="20"/>
  <c r="I659" i="20"/>
  <c r="I660" i="20"/>
  <c r="I661" i="20"/>
  <c r="I662" i="20"/>
  <c r="I663" i="20"/>
  <c r="I664" i="20"/>
  <c r="I665" i="20"/>
  <c r="I666" i="20"/>
  <c r="I667" i="20"/>
  <c r="I668" i="20"/>
  <c r="I669" i="20"/>
  <c r="I670" i="20"/>
  <c r="I671" i="20"/>
  <c r="I672" i="20"/>
  <c r="I673" i="20"/>
  <c r="I674" i="20"/>
  <c r="I675" i="20"/>
  <c r="I676" i="20"/>
  <c r="I677" i="20"/>
  <c r="I678" i="20"/>
  <c r="I679" i="20"/>
  <c r="I680" i="20"/>
  <c r="I681" i="20"/>
  <c r="I682" i="20"/>
  <c r="I683" i="20"/>
  <c r="I684" i="20"/>
  <c r="I685" i="20"/>
  <c r="I686" i="20"/>
  <c r="I687" i="20"/>
  <c r="I688" i="20"/>
  <c r="I689" i="20"/>
  <c r="I690" i="20"/>
  <c r="I691" i="20"/>
  <c r="I692" i="20"/>
  <c r="I693" i="20"/>
  <c r="I694" i="20"/>
  <c r="I695" i="20"/>
  <c r="I696" i="20"/>
  <c r="I697" i="20"/>
  <c r="I698" i="20"/>
  <c r="I699" i="20"/>
  <c r="I700" i="20"/>
  <c r="I701" i="20"/>
  <c r="I702" i="20"/>
  <c r="I703" i="20"/>
  <c r="I704" i="20"/>
  <c r="I705" i="20"/>
  <c r="I706" i="20"/>
  <c r="I707" i="20"/>
  <c r="I708" i="20"/>
  <c r="I709" i="20"/>
  <c r="I710" i="20"/>
  <c r="I711" i="20"/>
  <c r="I712" i="20"/>
  <c r="I713" i="20"/>
  <c r="I714" i="20"/>
  <c r="I715" i="20"/>
  <c r="I716" i="20"/>
  <c r="I717" i="20"/>
  <c r="I718" i="20"/>
  <c r="I719" i="20"/>
  <c r="I720" i="20"/>
  <c r="I721" i="20"/>
  <c r="I722" i="20"/>
  <c r="I723" i="20"/>
  <c r="I724" i="20"/>
  <c r="I725" i="20"/>
  <c r="I726" i="20"/>
  <c r="I727" i="20"/>
  <c r="I728" i="20"/>
  <c r="I729" i="20"/>
  <c r="I730" i="20"/>
  <c r="I731" i="20"/>
  <c r="I732" i="20"/>
  <c r="I733" i="20"/>
  <c r="I734" i="20"/>
  <c r="I735" i="20"/>
  <c r="I736" i="20"/>
  <c r="I737" i="20"/>
  <c r="I738" i="20"/>
  <c r="I739" i="20"/>
  <c r="I740" i="20"/>
  <c r="I741" i="20"/>
  <c r="I742" i="20"/>
  <c r="I743" i="20"/>
  <c r="I744" i="20"/>
  <c r="I745" i="20"/>
  <c r="I746" i="20"/>
  <c r="I747" i="20"/>
  <c r="I748" i="20"/>
  <c r="I749" i="20"/>
  <c r="I750" i="20"/>
  <c r="I751" i="20"/>
  <c r="I752" i="20"/>
  <c r="I753" i="20"/>
  <c r="I754" i="20"/>
  <c r="I755" i="20"/>
  <c r="I756" i="20"/>
  <c r="I757" i="20"/>
  <c r="I758" i="20"/>
  <c r="I759" i="20"/>
  <c r="I760" i="20"/>
  <c r="I761" i="20"/>
  <c r="I762" i="20"/>
  <c r="I763" i="20"/>
  <c r="I764" i="20"/>
  <c r="I765" i="20"/>
  <c r="I766" i="20"/>
  <c r="I767" i="20"/>
  <c r="I768" i="20"/>
  <c r="I769" i="20"/>
  <c r="I770" i="20"/>
  <c r="I771" i="20"/>
  <c r="I772" i="20"/>
  <c r="I773" i="20"/>
  <c r="I774" i="20"/>
  <c r="I775" i="20"/>
  <c r="I776" i="20"/>
  <c r="I777" i="20"/>
  <c r="I778" i="20"/>
  <c r="I779" i="20"/>
  <c r="I780" i="20"/>
  <c r="I781" i="20"/>
  <c r="I782" i="20"/>
  <c r="I783" i="20"/>
  <c r="I784" i="20"/>
  <c r="I785" i="20"/>
  <c r="I786" i="20"/>
  <c r="I787" i="20"/>
  <c r="I788" i="20"/>
  <c r="I789" i="20"/>
  <c r="I790" i="20"/>
  <c r="I791" i="20"/>
  <c r="I792" i="20"/>
  <c r="I793" i="20"/>
  <c r="I794" i="20"/>
  <c r="I795" i="20"/>
  <c r="I796" i="20"/>
  <c r="I797" i="20"/>
  <c r="I798" i="20"/>
  <c r="I799" i="20"/>
  <c r="I800" i="20"/>
  <c r="I801" i="20"/>
  <c r="I802" i="20"/>
  <c r="I803" i="20"/>
  <c r="I804" i="20"/>
  <c r="I805" i="20"/>
  <c r="I806" i="20"/>
  <c r="I807" i="20"/>
  <c r="I808" i="20"/>
  <c r="I809" i="20"/>
  <c r="I810" i="20"/>
  <c r="I811" i="20"/>
  <c r="I812" i="20"/>
  <c r="I813" i="20"/>
  <c r="I814" i="20"/>
  <c r="I815" i="20"/>
  <c r="I816" i="20"/>
  <c r="I817" i="20"/>
  <c r="I818" i="20"/>
  <c r="I819" i="20"/>
  <c r="I820" i="20"/>
  <c r="I821" i="20"/>
  <c r="I822" i="20"/>
  <c r="I823" i="20"/>
  <c r="I824" i="20"/>
  <c r="I825" i="20"/>
  <c r="I826" i="20"/>
  <c r="I827" i="20"/>
  <c r="I828" i="20"/>
  <c r="I829" i="20"/>
  <c r="I830" i="20"/>
  <c r="I831" i="20"/>
  <c r="I832" i="20"/>
  <c r="I833" i="20"/>
  <c r="I834" i="20"/>
  <c r="I835" i="20"/>
  <c r="I836" i="20"/>
  <c r="I837" i="20"/>
  <c r="I838" i="20"/>
  <c r="I839" i="20"/>
  <c r="I840" i="20"/>
  <c r="I841" i="20"/>
  <c r="I842" i="20"/>
  <c r="I843" i="20"/>
  <c r="I844" i="20"/>
  <c r="I845" i="20"/>
  <c r="I846" i="20"/>
  <c r="I847" i="20"/>
  <c r="I848" i="20"/>
  <c r="I849" i="20"/>
  <c r="I850" i="20"/>
  <c r="I851" i="20"/>
  <c r="I852" i="20"/>
  <c r="I853" i="20"/>
  <c r="I854" i="20"/>
  <c r="I855" i="20"/>
  <c r="I856" i="20"/>
  <c r="I857" i="20"/>
  <c r="I858" i="20"/>
  <c r="I859" i="20"/>
  <c r="I860" i="20"/>
  <c r="I861" i="20"/>
  <c r="I862" i="20"/>
  <c r="I863" i="20"/>
  <c r="I864" i="20"/>
  <c r="I865" i="20"/>
  <c r="I866" i="20"/>
  <c r="I867" i="20"/>
  <c r="I868" i="20"/>
  <c r="I869" i="20"/>
  <c r="I870" i="20"/>
  <c r="I871" i="20"/>
  <c r="I872" i="20"/>
  <c r="I873" i="20"/>
  <c r="I874" i="20"/>
  <c r="I875" i="20"/>
  <c r="I876" i="20"/>
  <c r="I877" i="20"/>
  <c r="I878" i="20"/>
  <c r="I879" i="20"/>
  <c r="I880" i="20"/>
  <c r="I881" i="20"/>
  <c r="I882" i="20"/>
  <c r="I883" i="20"/>
  <c r="I884" i="20"/>
  <c r="I885" i="20"/>
  <c r="I886" i="20"/>
  <c r="I887" i="20"/>
  <c r="I888" i="20"/>
  <c r="I889" i="20"/>
  <c r="I890" i="20"/>
  <c r="I891" i="20"/>
  <c r="I892" i="20"/>
  <c r="I893" i="20"/>
  <c r="I894" i="20"/>
  <c r="I895" i="20"/>
  <c r="I896" i="20"/>
  <c r="I897" i="20"/>
  <c r="I898" i="20"/>
  <c r="I899" i="20"/>
  <c r="I900" i="20"/>
  <c r="I901" i="20"/>
  <c r="I902" i="20"/>
  <c r="I903" i="20"/>
  <c r="I904" i="20"/>
  <c r="I905" i="20"/>
  <c r="I906" i="20"/>
  <c r="I907" i="20"/>
  <c r="I908" i="20"/>
  <c r="I909" i="20"/>
  <c r="I910" i="20"/>
  <c r="I911" i="20"/>
  <c r="I912" i="20"/>
  <c r="I913" i="20"/>
  <c r="I914" i="20"/>
  <c r="I915" i="20"/>
  <c r="I916" i="20"/>
  <c r="I917" i="20"/>
  <c r="I918" i="20"/>
  <c r="I919" i="20"/>
  <c r="I920" i="20"/>
  <c r="I921" i="20"/>
  <c r="I922" i="20"/>
  <c r="I923" i="20"/>
  <c r="I924" i="20"/>
  <c r="I925" i="20"/>
  <c r="I926" i="20"/>
  <c r="I927" i="20"/>
  <c r="I928" i="20"/>
  <c r="I929" i="20"/>
  <c r="I930" i="20"/>
  <c r="I931" i="20"/>
  <c r="I932" i="20"/>
  <c r="I933" i="20"/>
  <c r="I934" i="20"/>
  <c r="I935" i="20"/>
  <c r="I936" i="20"/>
  <c r="I937" i="20"/>
  <c r="I938" i="20"/>
  <c r="I939" i="20"/>
  <c r="I940" i="20"/>
  <c r="I941" i="20"/>
  <c r="I942" i="20"/>
  <c r="I943" i="20"/>
  <c r="I944" i="20"/>
  <c r="I945" i="20"/>
  <c r="I946" i="20"/>
  <c r="I947" i="20"/>
  <c r="I948" i="20"/>
  <c r="I949" i="20"/>
  <c r="I950" i="20"/>
  <c r="I951" i="20"/>
  <c r="I952" i="20"/>
  <c r="I953" i="20"/>
  <c r="I954" i="20"/>
  <c r="I955" i="20"/>
  <c r="I956" i="20"/>
  <c r="I957" i="20"/>
  <c r="I958" i="20"/>
  <c r="I959" i="20"/>
  <c r="I960" i="20"/>
  <c r="I961" i="20"/>
  <c r="I962" i="20"/>
  <c r="I963" i="20"/>
  <c r="I964" i="20"/>
  <c r="I965" i="20"/>
  <c r="I966" i="20"/>
  <c r="I967" i="20"/>
  <c r="I968" i="20"/>
  <c r="I969" i="20"/>
  <c r="I970" i="20"/>
  <c r="I971" i="20"/>
  <c r="I972" i="20"/>
  <c r="I973" i="20"/>
  <c r="I974" i="20"/>
  <c r="I975" i="20"/>
  <c r="I976" i="20"/>
  <c r="I977" i="20"/>
  <c r="I978" i="20"/>
  <c r="I979" i="20"/>
  <c r="I980" i="20"/>
  <c r="I981" i="20"/>
  <c r="I982" i="20"/>
  <c r="I983" i="20"/>
  <c r="I984" i="20"/>
  <c r="I985" i="20"/>
  <c r="I986" i="20"/>
  <c r="I987" i="20"/>
  <c r="I988" i="20"/>
  <c r="I989" i="20"/>
  <c r="I990" i="20"/>
  <c r="I991" i="20"/>
  <c r="I992" i="20"/>
  <c r="I993" i="20"/>
  <c r="I994" i="20"/>
  <c r="I995" i="20"/>
  <c r="I996" i="20"/>
  <c r="I997" i="20"/>
  <c r="I998" i="20"/>
  <c r="I999" i="20"/>
  <c r="I1000" i="20"/>
  <c r="I1001" i="20"/>
  <c r="I1002" i="20"/>
  <c r="I1003" i="20"/>
  <c r="I1004" i="20"/>
  <c r="I1005" i="20"/>
  <c r="I1006" i="20"/>
  <c r="I1007" i="20"/>
  <c r="I1008" i="20"/>
  <c r="I1009" i="20"/>
  <c r="I1010" i="20"/>
  <c r="I1011" i="20"/>
  <c r="I1012" i="20"/>
  <c r="I1013" i="20"/>
  <c r="I1014" i="20"/>
  <c r="I1015" i="20"/>
  <c r="I1016" i="20"/>
  <c r="I1017" i="20"/>
  <c r="I1018" i="20"/>
  <c r="I1019" i="20"/>
  <c r="I1020" i="20"/>
  <c r="I1021" i="20"/>
  <c r="I1022" i="20"/>
  <c r="I1023" i="20"/>
  <c r="I1024" i="20"/>
  <c r="I1025" i="20"/>
  <c r="I1026" i="20"/>
  <c r="I1027" i="20"/>
  <c r="I1028" i="20"/>
  <c r="I1029" i="20"/>
  <c r="I1030" i="20"/>
  <c r="I1031" i="20"/>
  <c r="I1032" i="20"/>
  <c r="I1033" i="20"/>
  <c r="I1034" i="20"/>
  <c r="I1035" i="20"/>
  <c r="I1036" i="20"/>
  <c r="I1037" i="20"/>
  <c r="I1038" i="20"/>
  <c r="I1039" i="20"/>
  <c r="I1040" i="20"/>
  <c r="I1041" i="20"/>
  <c r="I1042" i="20"/>
  <c r="I1043" i="20"/>
  <c r="I1044" i="20"/>
  <c r="I1045" i="20"/>
  <c r="I1046" i="20"/>
  <c r="I1047" i="20"/>
  <c r="I1048" i="20"/>
  <c r="I1049" i="20"/>
  <c r="I1050" i="20"/>
  <c r="I1051" i="20"/>
  <c r="I1052" i="20"/>
  <c r="I1053" i="20"/>
  <c r="I1054" i="20"/>
  <c r="I1055" i="20"/>
  <c r="I1056" i="20"/>
  <c r="I1057" i="20"/>
  <c r="AF1508" i="20" l="1"/>
  <c r="AD1132" i="20" l="1"/>
  <c r="AE1132" i="20" s="1"/>
  <c r="R1132" i="20"/>
  <c r="AD1121" i="20" l="1"/>
  <c r="AE1121" i="20" s="1"/>
  <c r="R1121" i="20"/>
  <c r="AD1111" i="20" l="1"/>
  <c r="AE1111" i="20" s="1"/>
  <c r="R1111" i="20"/>
  <c r="AD1110" i="20"/>
  <c r="AE1110" i="20" s="1"/>
  <c r="R1110" i="20"/>
  <c r="D842" i="24" l="1"/>
  <c r="AF1509" i="20" l="1"/>
  <c r="Q560" i="20" l="1"/>
  <c r="R560" i="20" s="1"/>
  <c r="R559" i="20" s="1"/>
  <c r="AD559" i="20"/>
  <c r="AE559" i="20" s="1"/>
  <c r="Q562" i="20"/>
  <c r="R562" i="20" s="1"/>
  <c r="R561" i="20" s="1"/>
  <c r="AD561" i="20"/>
  <c r="AE561" i="20" s="1"/>
  <c r="AA561" i="20"/>
  <c r="Q564" i="20"/>
  <c r="R564" i="20" s="1"/>
  <c r="R563" i="20" s="1"/>
  <c r="AD563" i="20"/>
  <c r="AE563" i="20" s="1"/>
  <c r="Q845" i="20" l="1"/>
  <c r="R845" i="20" s="1"/>
  <c r="AD844" i="20"/>
  <c r="AE844" i="20" s="1"/>
  <c r="AD517" i="20" l="1"/>
  <c r="AE517" i="20" s="1"/>
  <c r="AD836" i="20" l="1"/>
  <c r="AE836" i="20" s="1"/>
  <c r="AD959" i="20"/>
  <c r="AE959" i="20" s="1"/>
  <c r="R959" i="20"/>
  <c r="D788" i="24" l="1"/>
  <c r="J788" i="24" l="1"/>
  <c r="AD653" i="20" l="1"/>
  <c r="AE653" i="20" s="1"/>
  <c r="I753" i="24" l="1"/>
  <c r="D757" i="24" l="1"/>
  <c r="J744" i="24" l="1"/>
  <c r="J745" i="24" s="1"/>
  <c r="AD546" i="20" l="1"/>
  <c r="AE546" i="20" s="1"/>
  <c r="AA546" i="20"/>
  <c r="P758" i="20" l="1"/>
  <c r="R758" i="20" s="1"/>
  <c r="P524" i="20"/>
  <c r="R524" i="20" s="1"/>
  <c r="AD523" i="20"/>
  <c r="AE523" i="20" s="1"/>
  <c r="AD757" i="20" l="1"/>
  <c r="AE757" i="20" s="1"/>
  <c r="AD573" i="20" l="1"/>
  <c r="AE573" i="20" s="1"/>
  <c r="R961" i="20" l="1"/>
  <c r="J676" i="24" l="1"/>
  <c r="AD944" i="20" l="1"/>
  <c r="AE944" i="20" s="1"/>
  <c r="J688" i="24" l="1"/>
  <c r="D689" i="24"/>
  <c r="AD860" i="20" l="1"/>
  <c r="AE860" i="20" s="1"/>
  <c r="J601" i="24" l="1"/>
  <c r="AD908" i="20" l="1"/>
  <c r="AE908" i="20" s="1"/>
  <c r="D562" i="24" l="1"/>
  <c r="AD904" i="20"/>
  <c r="AE904" i="20" s="1"/>
  <c r="AD905" i="20"/>
  <c r="AE905" i="20" s="1"/>
  <c r="AD906" i="20"/>
  <c r="AE906" i="20" s="1"/>
  <c r="AD707" i="20"/>
  <c r="AE707" i="20" s="1"/>
  <c r="AD758" i="20"/>
  <c r="AE758" i="20" s="1"/>
  <c r="AD491" i="20"/>
  <c r="AE491" i="20" s="1"/>
  <c r="AD897" i="20"/>
  <c r="AE897" i="20" s="1"/>
  <c r="AD896" i="20"/>
  <c r="AE896" i="20" s="1"/>
  <c r="AD895" i="20"/>
  <c r="AE895" i="20" s="1"/>
  <c r="AD894" i="20"/>
  <c r="AE894" i="20" s="1"/>
  <c r="AD893" i="20"/>
  <c r="AE893" i="20" s="1"/>
  <c r="AD892" i="20"/>
  <c r="AE892" i="20" s="1"/>
  <c r="AF1510" i="20" l="1"/>
  <c r="AF1511" i="20"/>
  <c r="AF1512" i="20"/>
  <c r="AF1513" i="20"/>
  <c r="D629" i="24" l="1"/>
  <c r="Q553" i="20" l="1"/>
  <c r="R553" i="20" s="1"/>
  <c r="AA562" i="20"/>
  <c r="AA545" i="20"/>
  <c r="AD516" i="20" l="1"/>
  <c r="AE516" i="20" s="1"/>
  <c r="I3" i="20" l="1"/>
  <c r="AD838" i="20" l="1"/>
  <c r="AE838" i="20" s="1"/>
  <c r="J490" i="24" l="1"/>
  <c r="AD829" i="20" l="1"/>
  <c r="AE829" i="20" s="1"/>
  <c r="AD828" i="20"/>
  <c r="AE828" i="20" s="1"/>
  <c r="AD826" i="20"/>
  <c r="AE826" i="20" s="1"/>
  <c r="B2" i="36" l="1"/>
  <c r="B3" i="36"/>
  <c r="B4" i="36"/>
  <c r="B1" i="36"/>
  <c r="AD824" i="20" l="1"/>
  <c r="AE824" i="20" s="1"/>
  <c r="AD820" i="20"/>
  <c r="AE820" i="20" s="1"/>
  <c r="AD822" i="20"/>
  <c r="AE822" i="20" s="1"/>
  <c r="AD819" i="20"/>
  <c r="AE819" i="20" s="1"/>
  <c r="AD817" i="20"/>
  <c r="AE817" i="20" s="1"/>
  <c r="AD818" i="20"/>
  <c r="AE818" i="20" s="1"/>
  <c r="AD784" i="20"/>
  <c r="AE784" i="20" s="1"/>
  <c r="AD783" i="20"/>
  <c r="AE783" i="20" s="1"/>
  <c r="AF1514" i="20" l="1"/>
  <c r="AF1515" i="20"/>
  <c r="AF1516" i="20"/>
  <c r="AF1517" i="20"/>
  <c r="AF1518" i="20"/>
  <c r="AF1519" i="20"/>
  <c r="AF1520" i="20"/>
  <c r="AF1521" i="20"/>
  <c r="AF1522" i="20"/>
  <c r="AF1523" i="20"/>
  <c r="AF1524" i="20"/>
  <c r="AF1525" i="20"/>
  <c r="AF1526" i="20"/>
  <c r="AF1527" i="20"/>
  <c r="AF1528" i="20"/>
  <c r="J550" i="24" l="1"/>
  <c r="D550" i="24" l="1"/>
  <c r="D495" i="24" l="1"/>
  <c r="AD743" i="20" l="1"/>
  <c r="AE743" i="20" s="1"/>
  <c r="AD744" i="20"/>
  <c r="AE744" i="20" s="1"/>
  <c r="AD745" i="20"/>
  <c r="AE745" i="20" s="1"/>
  <c r="AD741" i="20"/>
  <c r="AE741" i="20" s="1"/>
  <c r="AD727" i="20"/>
  <c r="AE727" i="20" s="1"/>
  <c r="AD726" i="20"/>
  <c r="AE726" i="20" s="1"/>
  <c r="AD725" i="20"/>
  <c r="AE725" i="20" s="1"/>
  <c r="AD724" i="20"/>
  <c r="AE724" i="20" s="1"/>
  <c r="AD716" i="20"/>
  <c r="AE716" i="20" s="1"/>
  <c r="AD718" i="20"/>
  <c r="AE718" i="20" s="1"/>
  <c r="AD715" i="20"/>
  <c r="AE715" i="20" s="1"/>
  <c r="AD714" i="20"/>
  <c r="AE714" i="20" s="1"/>
  <c r="AD712" i="20"/>
  <c r="AE712" i="20" s="1"/>
  <c r="AD722" i="20"/>
  <c r="AE722" i="20" s="1"/>
  <c r="AD721" i="20"/>
  <c r="AE721" i="20" s="1"/>
  <c r="AD719" i="20"/>
  <c r="AE719" i="20" s="1"/>
  <c r="AD717" i="20"/>
  <c r="AE717" i="20" s="1"/>
  <c r="AD711" i="20"/>
  <c r="AE711" i="20" s="1"/>
  <c r="AD713" i="20"/>
  <c r="AE713" i="20" s="1"/>
  <c r="M3" i="1" l="1" a="1"/>
  <c r="M3" i="1" s="1"/>
  <c r="G3" i="1" a="1"/>
  <c r="G3" i="1" s="1"/>
  <c r="B4" i="1" s="1"/>
  <c r="R3038" i="20"/>
  <c r="AD3038" i="20"/>
  <c r="AE3038" i="20" s="1"/>
  <c r="R3039" i="20"/>
  <c r="AD3039" i="20"/>
  <c r="AE3039" i="20" s="1"/>
  <c r="R3040" i="20"/>
  <c r="AD3040" i="20"/>
  <c r="AE3040" i="20" s="1"/>
  <c r="R3041" i="20"/>
  <c r="AD3041" i="20"/>
  <c r="AE3041" i="20" s="1"/>
  <c r="P55" i="1" a="1"/>
  <c r="P55" i="1" s="1"/>
  <c r="J55" i="1" a="1"/>
  <c r="J55" i="1" s="1"/>
  <c r="D55" i="1" a="1"/>
  <c r="D55" i="1" s="1"/>
  <c r="S54" i="1" a="1"/>
  <c r="S54" i="1" s="1"/>
  <c r="M54" i="1" a="1"/>
  <c r="M54" i="1" s="1"/>
  <c r="G54" i="1" a="1"/>
  <c r="G54" i="1" s="1"/>
  <c r="P38" i="1" a="1"/>
  <c r="P38" i="1" s="1"/>
  <c r="J38" i="1" a="1"/>
  <c r="J38" i="1" s="1"/>
  <c r="D38" i="1" a="1"/>
  <c r="D38" i="1" s="1"/>
  <c r="S37" i="1" a="1"/>
  <c r="S37" i="1" s="1"/>
  <c r="M37" i="1" a="1"/>
  <c r="M37" i="1" s="1"/>
  <c r="G37" i="1" a="1"/>
  <c r="G37" i="1" s="1"/>
  <c r="P21" i="1" a="1"/>
  <c r="P21" i="1" s="1"/>
  <c r="J21" i="1" a="1"/>
  <c r="J21" i="1" s="1"/>
  <c r="D21" i="1" a="1"/>
  <c r="D21" i="1" s="1"/>
  <c r="S20" i="1" a="1"/>
  <c r="S20" i="1" s="1"/>
  <c r="M20" i="1" a="1"/>
  <c r="M20" i="1" s="1"/>
  <c r="G20" i="1" a="1"/>
  <c r="G20" i="1" s="1"/>
  <c r="P4" i="1" a="1"/>
  <c r="P4" i="1" s="1"/>
  <c r="J4" i="1" a="1"/>
  <c r="J4" i="1" s="1"/>
  <c r="D4" i="1" a="1"/>
  <c r="D4" i="1" s="1"/>
  <c r="S3" i="1" a="1"/>
  <c r="S3" i="1" s="1"/>
  <c r="Q1" i="1"/>
  <c r="O1" i="1"/>
  <c r="AD821" i="20"/>
  <c r="AE821" i="20" s="1"/>
  <c r="AD823" i="20"/>
  <c r="AE823" i="20" s="1"/>
  <c r="AD827" i="20"/>
  <c r="AE827" i="20" s="1"/>
  <c r="AD830" i="20"/>
  <c r="AE830" i="20" s="1"/>
  <c r="AD779" i="20"/>
  <c r="AE779" i="20" s="1"/>
  <c r="AD831" i="20"/>
  <c r="AE831" i="20" s="1"/>
  <c r="AD832" i="20"/>
  <c r="AE832" i="20" s="1"/>
  <c r="AD833" i="20"/>
  <c r="AE833" i="20" s="1"/>
  <c r="AD834" i="20"/>
  <c r="AE834" i="20" s="1"/>
  <c r="AD835" i="20"/>
  <c r="AE835" i="20" s="1"/>
  <c r="AD837" i="20"/>
  <c r="AE837" i="20" s="1"/>
  <c r="AD839" i="20"/>
  <c r="AE839" i="20" s="1"/>
  <c r="AD840" i="20"/>
  <c r="AE840" i="20" s="1"/>
  <c r="AD841" i="20"/>
  <c r="AE841" i="20" s="1"/>
  <c r="AD842" i="20"/>
  <c r="AE842" i="20" s="1"/>
  <c r="AD843" i="20"/>
  <c r="AE843" i="20" s="1"/>
  <c r="AD845" i="20"/>
  <c r="AE845" i="20" s="1"/>
  <c r="AD846" i="20"/>
  <c r="AE846" i="20" s="1"/>
  <c r="AD847" i="20"/>
  <c r="AE847" i="20" s="1"/>
  <c r="AD848" i="20"/>
  <c r="AE848" i="20" s="1"/>
  <c r="AD849" i="20"/>
  <c r="AE849" i="20" s="1"/>
  <c r="AD850" i="20"/>
  <c r="AE850" i="20" s="1"/>
  <c r="AD851" i="20"/>
  <c r="AE851" i="20" s="1"/>
  <c r="AD852" i="20"/>
  <c r="AE852" i="20" s="1"/>
  <c r="AD853" i="20"/>
  <c r="AE853" i="20" s="1"/>
  <c r="AD854" i="20"/>
  <c r="AE854" i="20" s="1"/>
  <c r="AD856" i="20"/>
  <c r="AE856" i="20" s="1"/>
  <c r="AD855" i="20"/>
  <c r="AE855" i="20" s="1"/>
  <c r="AD857" i="20"/>
  <c r="AE857" i="20" s="1"/>
  <c r="AD858" i="20"/>
  <c r="AE858" i="20" s="1"/>
  <c r="AD859" i="20"/>
  <c r="AE859" i="20" s="1"/>
  <c r="AD861" i="20"/>
  <c r="AE861" i="20" s="1"/>
  <c r="AD862" i="20"/>
  <c r="AE862" i="20" s="1"/>
  <c r="AD864" i="20"/>
  <c r="AE864" i="20" s="1"/>
  <c r="AD863" i="20"/>
  <c r="AE863" i="20" s="1"/>
  <c r="AD865" i="20"/>
  <c r="AE865" i="20" s="1"/>
  <c r="AD868" i="20"/>
  <c r="AE868" i="20" s="1"/>
  <c r="AD869" i="20"/>
  <c r="AE869" i="20" s="1"/>
  <c r="AD867" i="20"/>
  <c r="AE867" i="20" s="1"/>
  <c r="AD866" i="20"/>
  <c r="AE866" i="20" s="1"/>
  <c r="AD870" i="20"/>
  <c r="AE870" i="20" s="1"/>
  <c r="AD876" i="20"/>
  <c r="AE876" i="20" s="1"/>
  <c r="AD877" i="20"/>
  <c r="AE877" i="20" s="1"/>
  <c r="AD872" i="20"/>
  <c r="AE872" i="20" s="1"/>
  <c r="AD871" i="20"/>
  <c r="AE871" i="20" s="1"/>
  <c r="AD873" i="20"/>
  <c r="AE873" i="20" s="1"/>
  <c r="AD874" i="20"/>
  <c r="AE874" i="20" s="1"/>
  <c r="AD875" i="20"/>
  <c r="AE875" i="20" s="1"/>
  <c r="AD878" i="20"/>
  <c r="AE878" i="20" s="1"/>
  <c r="AD879" i="20"/>
  <c r="AE879" i="20" s="1"/>
  <c r="AD880" i="20"/>
  <c r="AE880" i="20" s="1"/>
  <c r="AD881" i="20"/>
  <c r="AE881" i="20" s="1"/>
  <c r="AD882" i="20"/>
  <c r="AE882" i="20" s="1"/>
  <c r="AD883" i="20"/>
  <c r="AE883" i="20" s="1"/>
  <c r="AD884" i="20"/>
  <c r="AE884" i="20" s="1"/>
  <c r="AD885" i="20"/>
  <c r="AE885" i="20" s="1"/>
  <c r="AD886" i="20"/>
  <c r="AE886" i="20" s="1"/>
  <c r="AD887" i="20"/>
  <c r="AE887" i="20" s="1"/>
  <c r="AD888" i="20"/>
  <c r="AE888" i="20" s="1"/>
  <c r="AD889" i="20"/>
  <c r="AE889" i="20" s="1"/>
  <c r="AD890" i="20"/>
  <c r="AE890" i="20" s="1"/>
  <c r="AD891" i="20"/>
  <c r="AE891" i="20" s="1"/>
  <c r="AD898" i="20"/>
  <c r="AE898" i="20" s="1"/>
  <c r="AD899" i="20"/>
  <c r="AE899" i="20" s="1"/>
  <c r="AD900" i="20"/>
  <c r="AE900" i="20" s="1"/>
  <c r="AD901" i="20"/>
  <c r="AE901" i="20" s="1"/>
  <c r="AD902" i="20"/>
  <c r="AE902" i="20" s="1"/>
  <c r="AD903" i="20"/>
  <c r="AE903" i="20" s="1"/>
  <c r="AD907" i="20"/>
  <c r="AE907" i="20" s="1"/>
  <c r="AD909" i="20"/>
  <c r="AE909" i="20" s="1"/>
  <c r="AD910" i="20"/>
  <c r="AE910" i="20" s="1"/>
  <c r="AD911" i="20"/>
  <c r="AE911" i="20" s="1"/>
  <c r="AD912" i="20"/>
  <c r="AE912" i="20" s="1"/>
  <c r="AD913" i="20"/>
  <c r="AE913" i="20" s="1"/>
  <c r="AD914" i="20"/>
  <c r="AE914" i="20" s="1"/>
  <c r="AD915" i="20"/>
  <c r="AE915" i="20" s="1"/>
  <c r="AD918" i="20"/>
  <c r="AE918" i="20" s="1"/>
  <c r="AD916" i="20"/>
  <c r="AE916" i="20" s="1"/>
  <c r="AD917" i="20"/>
  <c r="AE917" i="20" s="1"/>
  <c r="AD919" i="20"/>
  <c r="AE919" i="20" s="1"/>
  <c r="AD920" i="20"/>
  <c r="AE920" i="20" s="1"/>
  <c r="AD921" i="20"/>
  <c r="AE921" i="20" s="1"/>
  <c r="AD922" i="20"/>
  <c r="AE922" i="20" s="1"/>
  <c r="AD923" i="20"/>
  <c r="AE923" i="20" s="1"/>
  <c r="AD924" i="20"/>
  <c r="AE924" i="20" s="1"/>
  <c r="AD925" i="20"/>
  <c r="AE925" i="20" s="1"/>
  <c r="AD926" i="20"/>
  <c r="AE926" i="20" s="1"/>
  <c r="AD927" i="20"/>
  <c r="AE927" i="20" s="1"/>
  <c r="AD928" i="20"/>
  <c r="AE928" i="20" s="1"/>
  <c r="AD929" i="20"/>
  <c r="AE929" i="20" s="1"/>
  <c r="AD930" i="20"/>
  <c r="AE930" i="20" s="1"/>
  <c r="AD931" i="20"/>
  <c r="AE931" i="20" s="1"/>
  <c r="AD932" i="20"/>
  <c r="AE932" i="20" s="1"/>
  <c r="AD933" i="20"/>
  <c r="AE933" i="20" s="1"/>
  <c r="AD934" i="20"/>
  <c r="AE934" i="20" s="1"/>
  <c r="AD935" i="20"/>
  <c r="AE935" i="20" s="1"/>
  <c r="AD937" i="20"/>
  <c r="AE937" i="20" s="1"/>
  <c r="AD938" i="20"/>
  <c r="AE938" i="20" s="1"/>
  <c r="AD936" i="20"/>
  <c r="AE936" i="20" s="1"/>
  <c r="AD939" i="20"/>
  <c r="AE939" i="20" s="1"/>
  <c r="AD940" i="20"/>
  <c r="AE940" i="20" s="1"/>
  <c r="AD941" i="20"/>
  <c r="AE941" i="20" s="1"/>
  <c r="AD942" i="20"/>
  <c r="AE942" i="20" s="1"/>
  <c r="AD943" i="20"/>
  <c r="AE943" i="20" s="1"/>
  <c r="AD945" i="20"/>
  <c r="AE945" i="20" s="1"/>
  <c r="AD946" i="20"/>
  <c r="AE946" i="20" s="1"/>
  <c r="AD947" i="20"/>
  <c r="AE947" i="20" s="1"/>
  <c r="AD948" i="20"/>
  <c r="AE948" i="20" s="1"/>
  <c r="AD949" i="20"/>
  <c r="AE949" i="20" s="1"/>
  <c r="AD951" i="20"/>
  <c r="AE951" i="20" s="1"/>
  <c r="AD950" i="20"/>
  <c r="AE950" i="20" s="1"/>
  <c r="AD952" i="20"/>
  <c r="AE952" i="20" s="1"/>
  <c r="AD953" i="20"/>
  <c r="AE953" i="20" s="1"/>
  <c r="AD954" i="20"/>
  <c r="AE954" i="20" s="1"/>
  <c r="AD955" i="20"/>
  <c r="AE955" i="20" s="1"/>
  <c r="R956" i="20"/>
  <c r="AD956" i="20"/>
  <c r="AE956" i="20" s="1"/>
  <c r="R957" i="20"/>
  <c r="AD957" i="20"/>
  <c r="AE957" i="20" s="1"/>
  <c r="R958" i="20"/>
  <c r="AD958" i="20"/>
  <c r="AE958" i="20" s="1"/>
  <c r="R960" i="20"/>
  <c r="AD960" i="20"/>
  <c r="AE960" i="20" s="1"/>
  <c r="AD961" i="20"/>
  <c r="AE961" i="20" s="1"/>
  <c r="R962" i="20"/>
  <c r="AD962" i="20"/>
  <c r="AE962" i="20" s="1"/>
  <c r="R963" i="20"/>
  <c r="AD963" i="20"/>
  <c r="AE963" i="20" s="1"/>
  <c r="R964" i="20"/>
  <c r="AD964" i="20"/>
  <c r="AE964" i="20" s="1"/>
  <c r="R965" i="20"/>
  <c r="AD965" i="20"/>
  <c r="AE965" i="20" s="1"/>
  <c r="R966" i="20"/>
  <c r="AD966" i="20"/>
  <c r="AE966" i="20" s="1"/>
  <c r="R967" i="20"/>
  <c r="AD967" i="20"/>
  <c r="AE967" i="20" s="1"/>
  <c r="R968" i="20"/>
  <c r="AD968" i="20"/>
  <c r="AE968" i="20" s="1"/>
  <c r="R969" i="20"/>
  <c r="AD969" i="20"/>
  <c r="AE969" i="20" s="1"/>
  <c r="R970" i="20"/>
  <c r="AD970" i="20"/>
  <c r="AE970" i="20" s="1"/>
  <c r="R971" i="20"/>
  <c r="AD971" i="20"/>
  <c r="AE971" i="20" s="1"/>
  <c r="R972" i="20"/>
  <c r="AD972" i="20"/>
  <c r="AE972" i="20" s="1"/>
  <c r="R973" i="20"/>
  <c r="AD973" i="20"/>
  <c r="AE973" i="20" s="1"/>
  <c r="R974" i="20"/>
  <c r="AD974" i="20"/>
  <c r="AE974" i="20" s="1"/>
  <c r="R975" i="20"/>
  <c r="AD975" i="20"/>
  <c r="AE975" i="20" s="1"/>
  <c r="R976" i="20"/>
  <c r="AD976" i="20"/>
  <c r="AE976" i="20" s="1"/>
  <c r="R977" i="20"/>
  <c r="AD977" i="20"/>
  <c r="AE977" i="20" s="1"/>
  <c r="R978" i="20"/>
  <c r="AD978" i="20"/>
  <c r="AE978" i="20" s="1"/>
  <c r="R979" i="20"/>
  <c r="AD979" i="20"/>
  <c r="AE979" i="20" s="1"/>
  <c r="R980" i="20"/>
  <c r="AD980" i="20"/>
  <c r="AE980" i="20" s="1"/>
  <c r="R981" i="20"/>
  <c r="AD981" i="20"/>
  <c r="AE981" i="20" s="1"/>
  <c r="R982" i="20"/>
  <c r="AD982" i="20"/>
  <c r="AE982" i="20" s="1"/>
  <c r="R983" i="20"/>
  <c r="AD983" i="20"/>
  <c r="AE983" i="20" s="1"/>
  <c r="R984" i="20"/>
  <c r="AD984" i="20"/>
  <c r="AE984" i="20" s="1"/>
  <c r="R985" i="20"/>
  <c r="AD985" i="20"/>
  <c r="AE985" i="20" s="1"/>
  <c r="R986" i="20"/>
  <c r="AD986" i="20"/>
  <c r="AE986" i="20" s="1"/>
  <c r="R987" i="20"/>
  <c r="AD987" i="20"/>
  <c r="AE987" i="20" s="1"/>
  <c r="R988" i="20"/>
  <c r="AD988" i="20"/>
  <c r="AE988" i="20" s="1"/>
  <c r="R989" i="20"/>
  <c r="AD989" i="20"/>
  <c r="AE989" i="20" s="1"/>
  <c r="R990" i="20"/>
  <c r="AD990" i="20"/>
  <c r="AE990" i="20" s="1"/>
  <c r="R991" i="20"/>
  <c r="AD991" i="20"/>
  <c r="AE991" i="20" s="1"/>
  <c r="R992" i="20"/>
  <c r="AD992" i="20"/>
  <c r="AE992" i="20" s="1"/>
  <c r="R993" i="20"/>
  <c r="AD993" i="20"/>
  <c r="AE993" i="20" s="1"/>
  <c r="R994" i="20"/>
  <c r="AD994" i="20"/>
  <c r="AE994" i="20" s="1"/>
  <c r="R995" i="20"/>
  <c r="AD995" i="20"/>
  <c r="AE995" i="20" s="1"/>
  <c r="R996" i="20"/>
  <c r="AD996" i="20"/>
  <c r="AE996" i="20" s="1"/>
  <c r="R997" i="20"/>
  <c r="AD997" i="20"/>
  <c r="AE997" i="20" s="1"/>
  <c r="R998" i="20"/>
  <c r="AD998" i="20"/>
  <c r="AE998" i="20" s="1"/>
  <c r="R999" i="20"/>
  <c r="AD999" i="20"/>
  <c r="AE999" i="20" s="1"/>
  <c r="R1000" i="20"/>
  <c r="AD1000" i="20"/>
  <c r="AE1000" i="20" s="1"/>
  <c r="R1001" i="20"/>
  <c r="AD1001" i="20"/>
  <c r="AE1001" i="20" s="1"/>
  <c r="R1002" i="20"/>
  <c r="AD1002" i="20"/>
  <c r="AE1002" i="20" s="1"/>
  <c r="R1004" i="20"/>
  <c r="AD1004" i="20"/>
  <c r="AE1004" i="20" s="1"/>
  <c r="R1005" i="20"/>
  <c r="AD1005" i="20"/>
  <c r="AE1005" i="20" s="1"/>
  <c r="R1006" i="20"/>
  <c r="AD1006" i="20"/>
  <c r="AE1006" i="20" s="1"/>
  <c r="R1007" i="20"/>
  <c r="AD1007" i="20"/>
  <c r="AE1007" i="20" s="1"/>
  <c r="R1008" i="20"/>
  <c r="AD1008" i="20"/>
  <c r="AE1008" i="20" s="1"/>
  <c r="R1009" i="20"/>
  <c r="AD1009" i="20"/>
  <c r="AE1009" i="20" s="1"/>
  <c r="R1010" i="20"/>
  <c r="AD1010" i="20"/>
  <c r="AE1010" i="20" s="1"/>
  <c r="R1011" i="20"/>
  <c r="AD1011" i="20"/>
  <c r="AE1011" i="20" s="1"/>
  <c r="R1012" i="20"/>
  <c r="AD1012" i="20"/>
  <c r="AE1012" i="20" s="1"/>
  <c r="R1013" i="20"/>
  <c r="AD1013" i="20"/>
  <c r="AE1013" i="20" s="1"/>
  <c r="R1014" i="20"/>
  <c r="AD1014" i="20"/>
  <c r="AE1014" i="20" s="1"/>
  <c r="R1015" i="20"/>
  <c r="AD1015" i="20"/>
  <c r="AE1015" i="20" s="1"/>
  <c r="R1016" i="20"/>
  <c r="AD1016" i="20"/>
  <c r="AE1016" i="20" s="1"/>
  <c r="R1017" i="20"/>
  <c r="AD1017" i="20"/>
  <c r="AE1017" i="20" s="1"/>
  <c r="R1025" i="20"/>
  <c r="AD1025" i="20"/>
  <c r="AE1025" i="20" s="1"/>
  <c r="R1018" i="20"/>
  <c r="AD1018" i="20"/>
  <c r="AE1018" i="20" s="1"/>
  <c r="R1019" i="20"/>
  <c r="AD1019" i="20"/>
  <c r="AE1019" i="20" s="1"/>
  <c r="R1020" i="20"/>
  <c r="AD1020" i="20"/>
  <c r="AE1020" i="20" s="1"/>
  <c r="R1021" i="20"/>
  <c r="AD1021" i="20"/>
  <c r="AE1021" i="20" s="1"/>
  <c r="R1022" i="20"/>
  <c r="AD1022" i="20"/>
  <c r="AE1022" i="20" s="1"/>
  <c r="R1023" i="20"/>
  <c r="AD1023" i="20"/>
  <c r="AE1023" i="20" s="1"/>
  <c r="R1024" i="20"/>
  <c r="AD1024" i="20"/>
  <c r="AE1024" i="20" s="1"/>
  <c r="R1026" i="20"/>
  <c r="AD1026" i="20"/>
  <c r="AE1026" i="20" s="1"/>
  <c r="R1027" i="20"/>
  <c r="AD1027" i="20"/>
  <c r="AE1027" i="20" s="1"/>
  <c r="R1028" i="20"/>
  <c r="AD1028" i="20"/>
  <c r="AE1028" i="20" s="1"/>
  <c r="R1029" i="20"/>
  <c r="AD1029" i="20"/>
  <c r="AE1029" i="20" s="1"/>
  <c r="R1030" i="20"/>
  <c r="AD1030" i="20"/>
  <c r="AE1030" i="20" s="1"/>
  <c r="R1031" i="20"/>
  <c r="AD1031" i="20"/>
  <c r="AE1031" i="20" s="1"/>
  <c r="R1032" i="20"/>
  <c r="AD1032" i="20"/>
  <c r="AE1032" i="20" s="1"/>
  <c r="R1033" i="20"/>
  <c r="AD1033" i="20"/>
  <c r="AE1033" i="20" s="1"/>
  <c r="R1034" i="20"/>
  <c r="AD1034" i="20"/>
  <c r="AE1034" i="20" s="1"/>
  <c r="R1035" i="20"/>
  <c r="AD1035" i="20"/>
  <c r="AE1035" i="20" s="1"/>
  <c r="R1036" i="20"/>
  <c r="AD1036" i="20"/>
  <c r="AE1036" i="20" s="1"/>
  <c r="R1037" i="20"/>
  <c r="AD1037" i="20"/>
  <c r="AE1037" i="20" s="1"/>
  <c r="R1038" i="20"/>
  <c r="AD1038" i="20"/>
  <c r="AE1038" i="20" s="1"/>
  <c r="R1039" i="20"/>
  <c r="AD1039" i="20"/>
  <c r="AE1039" i="20" s="1"/>
  <c r="R1040" i="20"/>
  <c r="AD1040" i="20"/>
  <c r="AE1040" i="20" s="1"/>
  <c r="R1041" i="20"/>
  <c r="AD1041" i="20"/>
  <c r="AE1041" i="20" s="1"/>
  <c r="R1042" i="20"/>
  <c r="AD1042" i="20"/>
  <c r="AE1042" i="20" s="1"/>
  <c r="R1043" i="20"/>
  <c r="AD1043" i="20"/>
  <c r="AE1043" i="20" s="1"/>
  <c r="R1044" i="20"/>
  <c r="AD1044" i="20"/>
  <c r="AE1044" i="20" s="1"/>
  <c r="R1045" i="20"/>
  <c r="AD1045" i="20"/>
  <c r="AE1045" i="20" s="1"/>
  <c r="R1046" i="20"/>
  <c r="AD1046" i="20"/>
  <c r="AE1046" i="20" s="1"/>
  <c r="R1047" i="20"/>
  <c r="AD1047" i="20"/>
  <c r="AE1047" i="20" s="1"/>
  <c r="R1048" i="20"/>
  <c r="AD1048" i="20"/>
  <c r="AE1048" i="20" s="1"/>
  <c r="R1049" i="20"/>
  <c r="AD1049" i="20"/>
  <c r="AE1049" i="20" s="1"/>
  <c r="R1050" i="20"/>
  <c r="AD1050" i="20"/>
  <c r="AE1050" i="20" s="1"/>
  <c r="R1051" i="20"/>
  <c r="AD1051" i="20"/>
  <c r="AE1051" i="20" s="1"/>
  <c r="R1052" i="20"/>
  <c r="AD1052" i="20"/>
  <c r="AE1052" i="20" s="1"/>
  <c r="R1053" i="20"/>
  <c r="AD1053" i="20"/>
  <c r="AE1053" i="20" s="1"/>
  <c r="R1054" i="20"/>
  <c r="AD1054" i="20"/>
  <c r="AE1054" i="20" s="1"/>
  <c r="R1055" i="20"/>
  <c r="AD1055" i="20"/>
  <c r="AE1055" i="20" s="1"/>
  <c r="R1056" i="20"/>
  <c r="AD1056" i="20"/>
  <c r="AE1056" i="20" s="1"/>
  <c r="R1057" i="20"/>
  <c r="AD1057" i="20"/>
  <c r="AE1057" i="20" s="1"/>
  <c r="R1058" i="20"/>
  <c r="AD1058" i="20"/>
  <c r="AE1058" i="20" s="1"/>
  <c r="R1059" i="20"/>
  <c r="AD1059" i="20"/>
  <c r="AE1059" i="20" s="1"/>
  <c r="R1060" i="20"/>
  <c r="AD1060" i="20"/>
  <c r="AE1060" i="20" s="1"/>
  <c r="R1061" i="20"/>
  <c r="AD1061" i="20"/>
  <c r="AE1061" i="20" s="1"/>
  <c r="R1062" i="20"/>
  <c r="AD1062" i="20"/>
  <c r="AE1062" i="20" s="1"/>
  <c r="R1063" i="20"/>
  <c r="AD1063" i="20"/>
  <c r="AE1063" i="20" s="1"/>
  <c r="AD1064" i="20"/>
  <c r="AE1064" i="20" s="1"/>
  <c r="R1065" i="20"/>
  <c r="AD1065" i="20"/>
  <c r="AE1065" i="20" s="1"/>
  <c r="R1066" i="20"/>
  <c r="AD1066" i="20"/>
  <c r="AE1066" i="20" s="1"/>
  <c r="R1067" i="20"/>
  <c r="AD1067" i="20"/>
  <c r="AE1067" i="20" s="1"/>
  <c r="R1068" i="20"/>
  <c r="AD1068" i="20"/>
  <c r="AE1068" i="20" s="1"/>
  <c r="R1069" i="20"/>
  <c r="AD1069" i="20"/>
  <c r="AE1069" i="20" s="1"/>
  <c r="R1070" i="20"/>
  <c r="AD1070" i="20"/>
  <c r="AE1070" i="20" s="1"/>
  <c r="R1071" i="20"/>
  <c r="AD1071" i="20"/>
  <c r="AE1071" i="20" s="1"/>
  <c r="R1072" i="20"/>
  <c r="AD1072" i="20"/>
  <c r="AE1072" i="20" s="1"/>
  <c r="R1073" i="20"/>
  <c r="AD1073" i="20"/>
  <c r="AE1073" i="20" s="1"/>
  <c r="R1074" i="20"/>
  <c r="AD1074" i="20"/>
  <c r="AE1074" i="20" s="1"/>
  <c r="R1075" i="20"/>
  <c r="AD1075" i="20"/>
  <c r="AE1075" i="20" s="1"/>
  <c r="R1076" i="20"/>
  <c r="AD1076" i="20"/>
  <c r="AE1076" i="20" s="1"/>
  <c r="R1077" i="20"/>
  <c r="AD1077" i="20"/>
  <c r="AE1077" i="20" s="1"/>
  <c r="R1078" i="20"/>
  <c r="AD1078" i="20"/>
  <c r="AE1078" i="20" s="1"/>
  <c r="R1079" i="20"/>
  <c r="AD1079" i="20"/>
  <c r="AE1079" i="20" s="1"/>
  <c r="R1080" i="20"/>
  <c r="AD1080" i="20"/>
  <c r="AE1080" i="20" s="1"/>
  <c r="R1081" i="20"/>
  <c r="AD1081" i="20"/>
  <c r="AE1081" i="20" s="1"/>
  <c r="R1082" i="20"/>
  <c r="AD1082" i="20"/>
  <c r="AE1082" i="20" s="1"/>
  <c r="R1083" i="20"/>
  <c r="AD1083" i="20"/>
  <c r="AE1083" i="20" s="1"/>
  <c r="R1084" i="20"/>
  <c r="AD1084" i="20"/>
  <c r="AE1084" i="20" s="1"/>
  <c r="R1085" i="20"/>
  <c r="AD1085" i="20"/>
  <c r="AE1085" i="20" s="1"/>
  <c r="R1086" i="20"/>
  <c r="AD1086" i="20"/>
  <c r="AE1086" i="20" s="1"/>
  <c r="R1087" i="20"/>
  <c r="AD1087" i="20"/>
  <c r="AE1087" i="20" s="1"/>
  <c r="R1088" i="20"/>
  <c r="AD1088" i="20"/>
  <c r="AE1088" i="20" s="1"/>
  <c r="R1089" i="20"/>
  <c r="AD1089" i="20"/>
  <c r="AE1089" i="20" s="1"/>
  <c r="R1090" i="20"/>
  <c r="AD1090" i="20"/>
  <c r="AE1090" i="20" s="1"/>
  <c r="R1091" i="20"/>
  <c r="AD1091" i="20"/>
  <c r="AE1091" i="20" s="1"/>
  <c r="R1092" i="20"/>
  <c r="AD1092" i="20"/>
  <c r="AE1092" i="20" s="1"/>
  <c r="R1093" i="20"/>
  <c r="AD1093" i="20"/>
  <c r="AE1093" i="20" s="1"/>
  <c r="R1094" i="20"/>
  <c r="AD1094" i="20"/>
  <c r="AE1094" i="20" s="1"/>
  <c r="R1095" i="20"/>
  <c r="AD1095" i="20"/>
  <c r="AE1095" i="20" s="1"/>
  <c r="R1096" i="20"/>
  <c r="AD1096" i="20"/>
  <c r="AE1096" i="20" s="1"/>
  <c r="R1097" i="20"/>
  <c r="AD1097" i="20"/>
  <c r="AE1097" i="20" s="1"/>
  <c r="R1098" i="20"/>
  <c r="AD1098" i="20"/>
  <c r="AE1098" i="20" s="1"/>
  <c r="R1099" i="20"/>
  <c r="AD1099" i="20"/>
  <c r="AE1099" i="20" s="1"/>
  <c r="R1100" i="20"/>
  <c r="AD1100" i="20"/>
  <c r="AE1100" i="20" s="1"/>
  <c r="R1101" i="20"/>
  <c r="AD1101" i="20"/>
  <c r="AE1101" i="20" s="1"/>
  <c r="R1102" i="20"/>
  <c r="AD1102" i="20"/>
  <c r="AE1102" i="20" s="1"/>
  <c r="R1103" i="20"/>
  <c r="AD1103" i="20"/>
  <c r="AE1103" i="20" s="1"/>
  <c r="R1104" i="20"/>
  <c r="AD1104" i="20"/>
  <c r="AE1104" i="20" s="1"/>
  <c r="R1105" i="20"/>
  <c r="AD1105" i="20"/>
  <c r="AE1105" i="20" s="1"/>
  <c r="R1106" i="20"/>
  <c r="AD1106" i="20"/>
  <c r="AE1106" i="20" s="1"/>
  <c r="R1107" i="20"/>
  <c r="AD1107" i="20"/>
  <c r="AE1107" i="20" s="1"/>
  <c r="R1108" i="20"/>
  <c r="AD1108" i="20"/>
  <c r="AE1108" i="20" s="1"/>
  <c r="R1109" i="20"/>
  <c r="AD1109" i="20"/>
  <c r="AE1109" i="20" s="1"/>
  <c r="R1112" i="20"/>
  <c r="AD1112" i="20"/>
  <c r="AE1112" i="20" s="1"/>
  <c r="R1113" i="20"/>
  <c r="AD1113" i="20"/>
  <c r="AE1113" i="20" s="1"/>
  <c r="R1114" i="20"/>
  <c r="AD1114" i="20"/>
  <c r="AE1114" i="20" s="1"/>
  <c r="R1115" i="20"/>
  <c r="AD1115" i="20"/>
  <c r="AE1115" i="20" s="1"/>
  <c r="R1122" i="20"/>
  <c r="AD1122" i="20"/>
  <c r="AE1122" i="20" s="1"/>
  <c r="R1116" i="20"/>
  <c r="AD1116" i="20"/>
  <c r="AE1116" i="20" s="1"/>
  <c r="R1117" i="20"/>
  <c r="AD1117" i="20"/>
  <c r="AE1117" i="20" s="1"/>
  <c r="R1118" i="20"/>
  <c r="AD1118" i="20"/>
  <c r="AE1118" i="20" s="1"/>
  <c r="R1119" i="20"/>
  <c r="AD1119" i="20"/>
  <c r="AE1119" i="20" s="1"/>
  <c r="R1120" i="20"/>
  <c r="AD1120" i="20"/>
  <c r="AE1120" i="20" s="1"/>
  <c r="R1123" i="20"/>
  <c r="AD1123" i="20"/>
  <c r="AE1123" i="20" s="1"/>
  <c r="R1124" i="20"/>
  <c r="AD1124" i="20"/>
  <c r="AE1124" i="20" s="1"/>
  <c r="R1125" i="20"/>
  <c r="AD1125" i="20"/>
  <c r="AE1125" i="20" s="1"/>
  <c r="R1126" i="20"/>
  <c r="AD1126" i="20"/>
  <c r="AE1126" i="20" s="1"/>
  <c r="R1127" i="20"/>
  <c r="AD1127" i="20"/>
  <c r="AE1127" i="20" s="1"/>
  <c r="R1128" i="20"/>
  <c r="AD1128" i="20"/>
  <c r="AE1128" i="20" s="1"/>
  <c r="R1129" i="20"/>
  <c r="AD1129" i="20"/>
  <c r="AE1129" i="20" s="1"/>
  <c r="R1130" i="20"/>
  <c r="AD1130" i="20"/>
  <c r="AE1130" i="20" s="1"/>
  <c r="R1131" i="20"/>
  <c r="AD1131" i="20"/>
  <c r="AE1131" i="20" s="1"/>
  <c r="R1133" i="20"/>
  <c r="AD1133" i="20"/>
  <c r="AE1133" i="20" s="1"/>
  <c r="R1135" i="20"/>
  <c r="AD1135" i="20"/>
  <c r="AE1135" i="20" s="1"/>
  <c r="R1136" i="20"/>
  <c r="AD1136" i="20"/>
  <c r="AE1136" i="20" s="1"/>
  <c r="R1137" i="20"/>
  <c r="AD1137" i="20"/>
  <c r="AE1137" i="20" s="1"/>
  <c r="AD1180" i="20"/>
  <c r="AE1180" i="20" s="1"/>
  <c r="R1181" i="20"/>
  <c r="AD1181" i="20"/>
  <c r="AE1181" i="20" s="1"/>
  <c r="R1182" i="20"/>
  <c r="AD1182" i="20"/>
  <c r="AE1182" i="20" s="1"/>
  <c r="R1183" i="20"/>
  <c r="AD1183" i="20"/>
  <c r="AE1183" i="20" s="1"/>
  <c r="R1184" i="20"/>
  <c r="AD1184" i="20"/>
  <c r="AE1184" i="20" s="1"/>
  <c r="R1185" i="20"/>
  <c r="AD1185" i="20"/>
  <c r="AE1185" i="20" s="1"/>
  <c r="AD1138" i="20"/>
  <c r="AE1138" i="20" s="1"/>
  <c r="R1161" i="20"/>
  <c r="AD1161" i="20"/>
  <c r="AE1161" i="20" s="1"/>
  <c r="R1141" i="20"/>
  <c r="AD1141" i="20"/>
  <c r="AE1141" i="20" s="1"/>
  <c r="R1142" i="20"/>
  <c r="AD1142" i="20"/>
  <c r="AE1142" i="20" s="1"/>
  <c r="R1143" i="20"/>
  <c r="AD1143" i="20"/>
  <c r="AE1143" i="20" s="1"/>
  <c r="R1144" i="20"/>
  <c r="AD1144" i="20"/>
  <c r="AE1144" i="20" s="1"/>
  <c r="R1145" i="20"/>
  <c r="AD1145" i="20"/>
  <c r="AE1145" i="20" s="1"/>
  <c r="R1186" i="20"/>
  <c r="AD1186" i="20"/>
  <c r="AE1186" i="20" s="1"/>
  <c r="R1187" i="20"/>
  <c r="AD1187" i="20"/>
  <c r="AE1187" i="20" s="1"/>
  <c r="R1173" i="20"/>
  <c r="AD1173" i="20"/>
  <c r="AE1173" i="20" s="1"/>
  <c r="R1188" i="20"/>
  <c r="AD1188" i="20"/>
  <c r="AE1188" i="20" s="1"/>
  <c r="R1190" i="20"/>
  <c r="AD1190" i="20"/>
  <c r="AE1190" i="20" s="1"/>
  <c r="R1168" i="20"/>
  <c r="AD1168" i="20"/>
  <c r="AE1168" i="20" s="1"/>
  <c r="R1169" i="20"/>
  <c r="AD1169" i="20"/>
  <c r="AE1169" i="20" s="1"/>
  <c r="R1191" i="20"/>
  <c r="AD1191" i="20"/>
  <c r="AE1191" i="20" s="1"/>
  <c r="R1192" i="20"/>
  <c r="AD1192" i="20"/>
  <c r="AE1192" i="20" s="1"/>
  <c r="R1193" i="20"/>
  <c r="AD1193" i="20"/>
  <c r="AE1193" i="20" s="1"/>
  <c r="R1194" i="20"/>
  <c r="AD1194" i="20"/>
  <c r="AE1194" i="20" s="1"/>
  <c r="R1146" i="20"/>
  <c r="AD1146" i="20"/>
  <c r="AE1146" i="20" s="1"/>
  <c r="R1147" i="20"/>
  <c r="AD1147" i="20"/>
  <c r="AE1147" i="20" s="1"/>
  <c r="R1148" i="20"/>
  <c r="AD1148" i="20"/>
  <c r="AE1148" i="20" s="1"/>
  <c r="R1149" i="20"/>
  <c r="AD1149" i="20"/>
  <c r="AE1149" i="20" s="1"/>
  <c r="R1150" i="20"/>
  <c r="AD1150" i="20"/>
  <c r="AE1150" i="20" s="1"/>
  <c r="R1151" i="20"/>
  <c r="AD1151" i="20"/>
  <c r="AE1151" i="20" s="1"/>
  <c r="R1152" i="20"/>
  <c r="AD1152" i="20"/>
  <c r="AE1152" i="20" s="1"/>
  <c r="R1199" i="20"/>
  <c r="AD1199" i="20"/>
  <c r="AE1199" i="20" s="1"/>
  <c r="R1195" i="20"/>
  <c r="AD1195" i="20"/>
  <c r="AE1195" i="20" s="1"/>
  <c r="R1153" i="20"/>
  <c r="AD1153" i="20"/>
  <c r="AE1153" i="20" s="1"/>
  <c r="R1154" i="20"/>
  <c r="AD1154" i="20"/>
  <c r="AE1154" i="20" s="1"/>
  <c r="R1155" i="20"/>
  <c r="AD1155" i="20"/>
  <c r="AE1155" i="20" s="1"/>
  <c r="R1156" i="20"/>
  <c r="AD1156" i="20"/>
  <c r="AE1156" i="20" s="1"/>
  <c r="R1200" i="20"/>
  <c r="AD1200" i="20"/>
  <c r="AE1200" i="20" s="1"/>
  <c r="R1201" i="20"/>
  <c r="AD1201" i="20"/>
  <c r="AE1201" i="20" s="1"/>
  <c r="R1157" i="20"/>
  <c r="AD1157" i="20"/>
  <c r="AE1157" i="20" s="1"/>
  <c r="R1202" i="20"/>
  <c r="AD1202" i="20"/>
  <c r="AE1202" i="20" s="1"/>
  <c r="R1203" i="20"/>
  <c r="AD1203" i="20"/>
  <c r="AE1203" i="20" s="1"/>
  <c r="R1204" i="20"/>
  <c r="AD1204" i="20"/>
  <c r="AE1204" i="20" s="1"/>
  <c r="R1158" i="20"/>
  <c r="AD1158" i="20"/>
  <c r="AE1158" i="20" s="1"/>
  <c r="R1170" i="20"/>
  <c r="AD1170" i="20"/>
  <c r="AE1170" i="20" s="1"/>
  <c r="R1174" i="20"/>
  <c r="AD1174" i="20"/>
  <c r="AE1174" i="20" s="1"/>
  <c r="R1206" i="20"/>
  <c r="AD1206" i="20"/>
  <c r="AE1206" i="20" s="1"/>
  <c r="R1160" i="20"/>
  <c r="AD1160" i="20"/>
  <c r="AE1160" i="20" s="1"/>
  <c r="AD1159" i="20"/>
  <c r="AE1159" i="20" s="1"/>
  <c r="R1171" i="20"/>
  <c r="AD1171" i="20"/>
  <c r="AE1171" i="20" s="1"/>
  <c r="R1205" i="20"/>
  <c r="AD1205" i="20"/>
  <c r="AE1205" i="20" s="1"/>
  <c r="R1162" i="20"/>
  <c r="AD1162" i="20"/>
  <c r="AE1162" i="20" s="1"/>
  <c r="R1163" i="20"/>
  <c r="AD1163" i="20"/>
  <c r="AE1163" i="20" s="1"/>
  <c r="R1164" i="20"/>
  <c r="AD1164" i="20"/>
  <c r="AE1164" i="20" s="1"/>
  <c r="R1165" i="20"/>
  <c r="AD1165" i="20"/>
  <c r="AE1165" i="20" s="1"/>
  <c r="R1166" i="20"/>
  <c r="AD1166" i="20"/>
  <c r="AE1166" i="20" s="1"/>
  <c r="R1167" i="20"/>
  <c r="AD1167" i="20"/>
  <c r="AE1167" i="20" s="1"/>
  <c r="R1212" i="20"/>
  <c r="AD1212" i="20"/>
  <c r="AE1212" i="20" s="1"/>
  <c r="R1213" i="20"/>
  <c r="AD1213" i="20"/>
  <c r="AE1213" i="20" s="1"/>
  <c r="R1214" i="20"/>
  <c r="AD1214" i="20"/>
  <c r="AE1214" i="20" s="1"/>
  <c r="R1176" i="20"/>
  <c r="AD1176" i="20"/>
  <c r="AE1176" i="20" s="1"/>
  <c r="R1179" i="20"/>
  <c r="AD1179" i="20"/>
  <c r="AE1179" i="20" s="1"/>
  <c r="R1178" i="20"/>
  <c r="AD1178" i="20"/>
  <c r="AE1178" i="20" s="1"/>
  <c r="R1175" i="20"/>
  <c r="AD1175" i="20"/>
  <c r="AE1175" i="20" s="1"/>
  <c r="R1172" i="20"/>
  <c r="AD1172" i="20"/>
  <c r="AE1172" i="20" s="1"/>
  <c r="R1196" i="20"/>
  <c r="AD1196" i="20"/>
  <c r="AE1196" i="20" s="1"/>
  <c r="R1197" i="20"/>
  <c r="AD1197" i="20"/>
  <c r="AE1197" i="20" s="1"/>
  <c r="R1215" i="20"/>
  <c r="AD1215" i="20"/>
  <c r="AE1215" i="20" s="1"/>
  <c r="R1216" i="20"/>
  <c r="AD1216" i="20"/>
  <c r="AE1216" i="20" s="1"/>
  <c r="R1217" i="20"/>
  <c r="AD1217" i="20"/>
  <c r="AE1217" i="20" s="1"/>
  <c r="R1218" i="20"/>
  <c r="AD1218" i="20"/>
  <c r="AE1218" i="20" s="1"/>
  <c r="R1198" i="20"/>
  <c r="AD1198" i="20"/>
  <c r="AE1198" i="20" s="1"/>
  <c r="R1220" i="20"/>
  <c r="AD1220" i="20"/>
  <c r="AE1220" i="20" s="1"/>
  <c r="R1222" i="20"/>
  <c r="AD1222" i="20"/>
  <c r="AE1222" i="20" s="1"/>
  <c r="R1223" i="20"/>
  <c r="AD1223" i="20"/>
  <c r="AE1223" i="20" s="1"/>
  <c r="R1224" i="20"/>
  <c r="AD1224" i="20"/>
  <c r="AE1224" i="20" s="1"/>
  <c r="R1225" i="20"/>
  <c r="AD1225" i="20"/>
  <c r="AE1225" i="20" s="1"/>
  <c r="R1226" i="20"/>
  <c r="AD1226" i="20"/>
  <c r="AE1226" i="20" s="1"/>
  <c r="R1227" i="20"/>
  <c r="AD1227" i="20"/>
  <c r="AE1227" i="20" s="1"/>
  <c r="R1228" i="20"/>
  <c r="AD1228" i="20"/>
  <c r="AE1228" i="20" s="1"/>
  <c r="R1229" i="20"/>
  <c r="AD1229" i="20"/>
  <c r="AE1229" i="20" s="1"/>
  <c r="R1230" i="20"/>
  <c r="AD1230" i="20"/>
  <c r="AE1230" i="20" s="1"/>
  <c r="R1231" i="20"/>
  <c r="AD1231" i="20"/>
  <c r="AE1231" i="20" s="1"/>
  <c r="R1232" i="20"/>
  <c r="AD1232" i="20"/>
  <c r="AE1232" i="20" s="1"/>
  <c r="R1233" i="20"/>
  <c r="AD1233" i="20"/>
  <c r="AE1233" i="20" s="1"/>
  <c r="R1234" i="20"/>
  <c r="AD1234" i="20"/>
  <c r="AE1234" i="20" s="1"/>
  <c r="R1235" i="20"/>
  <c r="AD1235" i="20"/>
  <c r="AE1235" i="20" s="1"/>
  <c r="R1236" i="20"/>
  <c r="AD1236" i="20"/>
  <c r="AE1236" i="20" s="1"/>
  <c r="R1237" i="20"/>
  <c r="AD1237" i="20"/>
  <c r="AE1237" i="20" s="1"/>
  <c r="R1238" i="20"/>
  <c r="AD1238" i="20"/>
  <c r="AE1238" i="20" s="1"/>
  <c r="R1239" i="20"/>
  <c r="AD1239" i="20"/>
  <c r="AE1239" i="20" s="1"/>
  <c r="R1240" i="20"/>
  <c r="AD1240" i="20"/>
  <c r="AE1240" i="20" s="1"/>
  <c r="R1242" i="20"/>
  <c r="AD1242" i="20"/>
  <c r="AE1242" i="20" s="1"/>
  <c r="R1243" i="20"/>
  <c r="AD1243" i="20"/>
  <c r="AE1243" i="20" s="1"/>
  <c r="R1244" i="20"/>
  <c r="AD1244" i="20"/>
  <c r="AE1244" i="20" s="1"/>
  <c r="R1245" i="20"/>
  <c r="AD1245" i="20"/>
  <c r="AE1245" i="20" s="1"/>
  <c r="R1246" i="20"/>
  <c r="AD1246" i="20"/>
  <c r="AE1246" i="20" s="1"/>
  <c r="R1247" i="20"/>
  <c r="AD1247" i="20"/>
  <c r="AE1247" i="20" s="1"/>
  <c r="R1248" i="20"/>
  <c r="AD1248" i="20"/>
  <c r="AE1248" i="20" s="1"/>
  <c r="R1250" i="20"/>
  <c r="AD1250" i="20"/>
  <c r="AE1250" i="20" s="1"/>
  <c r="R1249" i="20"/>
  <c r="AD1249" i="20"/>
  <c r="AE1249" i="20" s="1"/>
  <c r="R1251" i="20"/>
  <c r="AD1251" i="20"/>
  <c r="AE1251" i="20" s="1"/>
  <c r="R1252" i="20"/>
  <c r="AD1252" i="20"/>
  <c r="AE1252" i="20" s="1"/>
  <c r="R1253" i="20"/>
  <c r="AD1253" i="20"/>
  <c r="AE1253" i="20" s="1"/>
  <c r="R1254" i="20"/>
  <c r="AD1254" i="20"/>
  <c r="AE1254" i="20" s="1"/>
  <c r="R1255" i="20"/>
  <c r="AD1255" i="20"/>
  <c r="AE1255" i="20" s="1"/>
  <c r="R1256" i="20"/>
  <c r="AD1256" i="20"/>
  <c r="AE1256" i="20" s="1"/>
  <c r="R1257" i="20"/>
  <c r="AD1257" i="20"/>
  <c r="AE1257" i="20" s="1"/>
  <c r="R1258" i="20"/>
  <c r="AD1258" i="20"/>
  <c r="AE1258" i="20" s="1"/>
  <c r="R1259" i="20"/>
  <c r="AD1259" i="20"/>
  <c r="AE1259" i="20" s="1"/>
  <c r="R1260" i="20"/>
  <c r="AD1260" i="20"/>
  <c r="AE1260" i="20" s="1"/>
  <c r="R1261" i="20"/>
  <c r="AD1261" i="20"/>
  <c r="AE1261" i="20" s="1"/>
  <c r="R1262" i="20"/>
  <c r="AD1262" i="20"/>
  <c r="AE1262" i="20" s="1"/>
  <c r="R1263" i="20"/>
  <c r="AD1263" i="20"/>
  <c r="AE1263" i="20" s="1"/>
  <c r="R1264" i="20"/>
  <c r="AD1264" i="20"/>
  <c r="AE1264" i="20" s="1"/>
  <c r="R1265" i="20"/>
  <c r="AD1265" i="20"/>
  <c r="AE1265" i="20" s="1"/>
  <c r="R1266" i="20"/>
  <c r="AD1266" i="20"/>
  <c r="AE1266" i="20" s="1"/>
  <c r="R1267" i="20"/>
  <c r="AD1267" i="20"/>
  <c r="AE1267" i="20" s="1"/>
  <c r="R1270" i="20"/>
  <c r="AD1270" i="20"/>
  <c r="AE1270" i="20" s="1"/>
  <c r="R1271" i="20"/>
  <c r="AD1271" i="20"/>
  <c r="AE1271" i="20" s="1"/>
  <c r="R1272" i="20"/>
  <c r="AD1272" i="20"/>
  <c r="AE1272" i="20" s="1"/>
  <c r="R1273" i="20"/>
  <c r="AD1273" i="20"/>
  <c r="AE1273" i="20" s="1"/>
  <c r="R1274" i="20"/>
  <c r="AD1274" i="20"/>
  <c r="AE1274" i="20" s="1"/>
  <c r="R1275" i="20"/>
  <c r="AD1275" i="20"/>
  <c r="AE1275" i="20" s="1"/>
  <c r="R1276" i="20"/>
  <c r="AD1276" i="20"/>
  <c r="AE1276" i="20" s="1"/>
  <c r="R1277" i="20"/>
  <c r="AD1277" i="20"/>
  <c r="AE1277" i="20" s="1"/>
  <c r="R1278" i="20"/>
  <c r="AD1278" i="20"/>
  <c r="AE1278" i="20" s="1"/>
  <c r="R1279" i="20"/>
  <c r="AD1279" i="20"/>
  <c r="AE1279" i="20" s="1"/>
  <c r="R1280" i="20"/>
  <c r="AD1280" i="20"/>
  <c r="AE1280" i="20" s="1"/>
  <c r="R1281" i="20"/>
  <c r="AD1281" i="20"/>
  <c r="AE1281" i="20" s="1"/>
  <c r="R1282" i="20"/>
  <c r="AD1282" i="20"/>
  <c r="AE1282" i="20" s="1"/>
  <c r="R1283" i="20"/>
  <c r="AD1283" i="20"/>
  <c r="AE1283" i="20" s="1"/>
  <c r="R1284" i="20"/>
  <c r="AD1284" i="20"/>
  <c r="AE1284" i="20" s="1"/>
  <c r="R1285" i="20"/>
  <c r="AD1285" i="20"/>
  <c r="AE1285" i="20" s="1"/>
  <c r="R1286" i="20"/>
  <c r="AD1286" i="20"/>
  <c r="AE1286" i="20" s="1"/>
  <c r="R1287" i="20"/>
  <c r="AD1287" i="20"/>
  <c r="AE1287" i="20" s="1"/>
  <c r="R1288" i="20"/>
  <c r="AD1288" i="20"/>
  <c r="AE1288" i="20" s="1"/>
  <c r="R1289" i="20"/>
  <c r="AD1289" i="20"/>
  <c r="AE1289" i="20" s="1"/>
  <c r="R1290" i="20"/>
  <c r="AD1290" i="20"/>
  <c r="AE1290" i="20" s="1"/>
  <c r="R1291" i="20"/>
  <c r="AD1291" i="20"/>
  <c r="AE1291" i="20" s="1"/>
  <c r="R1292" i="20"/>
  <c r="AD1292" i="20"/>
  <c r="AE1292" i="20" s="1"/>
  <c r="R1293" i="20"/>
  <c r="AD1293" i="20"/>
  <c r="AE1293" i="20" s="1"/>
  <c r="R1294" i="20"/>
  <c r="AD1294" i="20"/>
  <c r="AE1294" i="20" s="1"/>
  <c r="R1295" i="20"/>
  <c r="AD1295" i="20"/>
  <c r="AE1295" i="20" s="1"/>
  <c r="R1296" i="20"/>
  <c r="AD1296" i="20"/>
  <c r="AE1296" i="20" s="1"/>
  <c r="R1297" i="20"/>
  <c r="AD1297" i="20"/>
  <c r="AE1297" i="20" s="1"/>
  <c r="R1298" i="20"/>
  <c r="AD1298" i="20"/>
  <c r="AE1298" i="20" s="1"/>
  <c r="R1299" i="20"/>
  <c r="AD1299" i="20"/>
  <c r="AE1299" i="20" s="1"/>
  <c r="R1300" i="20"/>
  <c r="AD1300" i="20"/>
  <c r="AE1300" i="20" s="1"/>
  <c r="R1301" i="20"/>
  <c r="AD1301" i="20"/>
  <c r="AE1301" i="20" s="1"/>
  <c r="R1302" i="20"/>
  <c r="AD1302" i="20"/>
  <c r="AE1302" i="20" s="1"/>
  <c r="R1303" i="20"/>
  <c r="AD1303" i="20"/>
  <c r="AE1303" i="20" s="1"/>
  <c r="R1304" i="20"/>
  <c r="AD1304" i="20"/>
  <c r="AE1304" i="20" s="1"/>
  <c r="R1305" i="20"/>
  <c r="AD1305" i="20"/>
  <c r="AE1305" i="20" s="1"/>
  <c r="R1306" i="20"/>
  <c r="AD1306" i="20"/>
  <c r="AE1306" i="20" s="1"/>
  <c r="R1307" i="20"/>
  <c r="AD1307" i="20"/>
  <c r="AE1307" i="20" s="1"/>
  <c r="R1308" i="20"/>
  <c r="AD1308" i="20"/>
  <c r="AE1308" i="20" s="1"/>
  <c r="R1309" i="20"/>
  <c r="AD1309" i="20"/>
  <c r="AE1309" i="20" s="1"/>
  <c r="R1310" i="20"/>
  <c r="AD1310" i="20"/>
  <c r="AE1310" i="20" s="1"/>
  <c r="R1311" i="20"/>
  <c r="AD1311" i="20"/>
  <c r="AE1311" i="20" s="1"/>
  <c r="R1312" i="20"/>
  <c r="AD1312" i="20"/>
  <c r="AE1312" i="20" s="1"/>
  <c r="R1313" i="20"/>
  <c r="AD1313" i="20"/>
  <c r="AE1313" i="20" s="1"/>
  <c r="R1314" i="20"/>
  <c r="AD1314" i="20"/>
  <c r="AE1314" i="20" s="1"/>
  <c r="R1315" i="20"/>
  <c r="AD1315" i="20"/>
  <c r="AE1315" i="20" s="1"/>
  <c r="R1316" i="20"/>
  <c r="AD1316" i="20"/>
  <c r="AE1316" i="20" s="1"/>
  <c r="R1317" i="20"/>
  <c r="AD1317" i="20"/>
  <c r="AE1317" i="20" s="1"/>
  <c r="R1318" i="20"/>
  <c r="AD1318" i="20"/>
  <c r="AE1318" i="20" s="1"/>
  <c r="R1319" i="20"/>
  <c r="AD1319" i="20"/>
  <c r="AE1319" i="20" s="1"/>
  <c r="R1320" i="20"/>
  <c r="AD1320" i="20"/>
  <c r="AE1320" i="20" s="1"/>
  <c r="R1321" i="20"/>
  <c r="AD1321" i="20"/>
  <c r="AE1321" i="20" s="1"/>
  <c r="R1322" i="20"/>
  <c r="AD1322" i="20"/>
  <c r="AE1322" i="20" s="1"/>
  <c r="R1323" i="20"/>
  <c r="AD1323" i="20"/>
  <c r="AE1323" i="20" s="1"/>
  <c r="R1324" i="20"/>
  <c r="AD1324" i="20"/>
  <c r="AE1324" i="20" s="1"/>
  <c r="R1325" i="20"/>
  <c r="AD1325" i="20"/>
  <c r="AE1325" i="20" s="1"/>
  <c r="R1326" i="20"/>
  <c r="AD1326" i="20"/>
  <c r="AE1326" i="20" s="1"/>
  <c r="R1327" i="20"/>
  <c r="AD1327" i="20"/>
  <c r="AE1327" i="20" s="1"/>
  <c r="R1328" i="20"/>
  <c r="AD1328" i="20"/>
  <c r="AE1328" i="20" s="1"/>
  <c r="R1329" i="20"/>
  <c r="AD1329" i="20"/>
  <c r="AE1329" i="20" s="1"/>
  <c r="R1330" i="20"/>
  <c r="AD1330" i="20"/>
  <c r="AE1330" i="20" s="1"/>
  <c r="R1332" i="20"/>
  <c r="AD1332" i="20"/>
  <c r="AE1332" i="20" s="1"/>
  <c r="R1333" i="20"/>
  <c r="AD1333" i="20"/>
  <c r="AE1333" i="20" s="1"/>
  <c r="R1335" i="20"/>
  <c r="AD1335" i="20"/>
  <c r="AE1335" i="20" s="1"/>
  <c r="R1336" i="20"/>
  <c r="AD1336" i="20"/>
  <c r="AE1336" i="20" s="1"/>
  <c r="R1337" i="20"/>
  <c r="AD1337" i="20"/>
  <c r="AE1337" i="20" s="1"/>
  <c r="R1338" i="20"/>
  <c r="AD1338" i="20"/>
  <c r="AE1338" i="20" s="1"/>
  <c r="R1339" i="20"/>
  <c r="AD1339" i="20"/>
  <c r="AE1339" i="20" s="1"/>
  <c r="R1340" i="20"/>
  <c r="AD1340" i="20"/>
  <c r="AE1340" i="20" s="1"/>
  <c r="R1341" i="20"/>
  <c r="AD1341" i="20"/>
  <c r="AE1341" i="20" s="1"/>
  <c r="R1342" i="20"/>
  <c r="AD1342" i="20"/>
  <c r="AE1342" i="20" s="1"/>
  <c r="R1343" i="20"/>
  <c r="AD1343" i="20"/>
  <c r="AE1343" i="20" s="1"/>
  <c r="R1344" i="20"/>
  <c r="AD1344" i="20"/>
  <c r="AE1344" i="20" s="1"/>
  <c r="R1345" i="20"/>
  <c r="AD1345" i="20"/>
  <c r="AE1345" i="20" s="1"/>
  <c r="R1346" i="20"/>
  <c r="AD1346" i="20"/>
  <c r="AE1346" i="20" s="1"/>
  <c r="R1347" i="20"/>
  <c r="AD1347" i="20"/>
  <c r="AE1347" i="20" s="1"/>
  <c r="R1348" i="20"/>
  <c r="AD1348" i="20"/>
  <c r="AE1348" i="20" s="1"/>
  <c r="R1349" i="20"/>
  <c r="AD1349" i="20"/>
  <c r="AE1349" i="20" s="1"/>
  <c r="R1350" i="20"/>
  <c r="AD1350" i="20"/>
  <c r="AE1350" i="20" s="1"/>
  <c r="R1351" i="20"/>
  <c r="AD1351" i="20"/>
  <c r="AE1351" i="20" s="1"/>
  <c r="R1352" i="20"/>
  <c r="AD1352" i="20"/>
  <c r="AE1352" i="20" s="1"/>
  <c r="R1353" i="20"/>
  <c r="AD1353" i="20"/>
  <c r="AE1353" i="20" s="1"/>
  <c r="R1354" i="20"/>
  <c r="AD1354" i="20"/>
  <c r="AE1354" i="20" s="1"/>
  <c r="R1355" i="20"/>
  <c r="AD1355" i="20"/>
  <c r="AE1355" i="20" s="1"/>
  <c r="R1356" i="20"/>
  <c r="AD1356" i="20"/>
  <c r="AE1356" i="20" s="1"/>
  <c r="R1357" i="20"/>
  <c r="AD1357" i="20"/>
  <c r="AE1357" i="20" s="1"/>
  <c r="R1358" i="20"/>
  <c r="AD1358" i="20"/>
  <c r="AE1358" i="20" s="1"/>
  <c r="R1359" i="20"/>
  <c r="AD1359" i="20"/>
  <c r="AE1359" i="20" s="1"/>
  <c r="R1360" i="20"/>
  <c r="AD1360" i="20"/>
  <c r="AE1360" i="20" s="1"/>
  <c r="R1361" i="20"/>
  <c r="AD1361" i="20"/>
  <c r="AE1361" i="20" s="1"/>
  <c r="R1362" i="20"/>
  <c r="AD1362" i="20"/>
  <c r="AE1362" i="20" s="1"/>
  <c r="R1363" i="20"/>
  <c r="AD1363" i="20"/>
  <c r="AE1363" i="20" s="1"/>
  <c r="R1364" i="20"/>
  <c r="AD1364" i="20"/>
  <c r="AE1364" i="20" s="1"/>
  <c r="R1365" i="20"/>
  <c r="AD1365" i="20"/>
  <c r="AE1365" i="20" s="1"/>
  <c r="R1366" i="20"/>
  <c r="AD1366" i="20"/>
  <c r="AE1366" i="20" s="1"/>
  <c r="R1367" i="20"/>
  <c r="AD1367" i="20"/>
  <c r="AE1367" i="20" s="1"/>
  <c r="R1368" i="20"/>
  <c r="AD1368" i="20"/>
  <c r="AE1368" i="20" s="1"/>
  <c r="R1369" i="20"/>
  <c r="AD1369" i="20"/>
  <c r="AE1369" i="20" s="1"/>
  <c r="R1370" i="20"/>
  <c r="AD1370" i="20"/>
  <c r="AE1370" i="20" s="1"/>
  <c r="R1371" i="20"/>
  <c r="AD1371" i="20"/>
  <c r="AE1371" i="20" s="1"/>
  <c r="R1372" i="20"/>
  <c r="AD1372" i="20"/>
  <c r="AE1372" i="20" s="1"/>
  <c r="R1373" i="20"/>
  <c r="AD1373" i="20"/>
  <c r="AE1373" i="20" s="1"/>
  <c r="R1374" i="20"/>
  <c r="AD1374" i="20"/>
  <c r="AE1374" i="20" s="1"/>
  <c r="R1375" i="20"/>
  <c r="AD1375" i="20"/>
  <c r="AE1375" i="20" s="1"/>
  <c r="R1376" i="20"/>
  <c r="AD1376" i="20"/>
  <c r="AE1376" i="20" s="1"/>
  <c r="R1377" i="20"/>
  <c r="AD1377" i="20"/>
  <c r="AE1377" i="20" s="1"/>
  <c r="R1378" i="20"/>
  <c r="AD1378" i="20"/>
  <c r="AE1378" i="20" s="1"/>
  <c r="R1379" i="20"/>
  <c r="AD1379" i="20"/>
  <c r="AE1379" i="20" s="1"/>
  <c r="R1380" i="20"/>
  <c r="AD1380" i="20"/>
  <c r="AE1380" i="20" s="1"/>
  <c r="R1381" i="20"/>
  <c r="AD1381" i="20"/>
  <c r="AE1381" i="20" s="1"/>
  <c r="R1382" i="20"/>
  <c r="AD1382" i="20"/>
  <c r="AE1382" i="20" s="1"/>
  <c r="R1383" i="20"/>
  <c r="AD1383" i="20"/>
  <c r="AE1383" i="20" s="1"/>
  <c r="R1384" i="20"/>
  <c r="AD1384" i="20"/>
  <c r="AE1384" i="20" s="1"/>
  <c r="R1385" i="20"/>
  <c r="AD1385" i="20"/>
  <c r="AE1385" i="20" s="1"/>
  <c r="R1386" i="20"/>
  <c r="AD1386" i="20"/>
  <c r="AE1386" i="20" s="1"/>
  <c r="R1387" i="20"/>
  <c r="AD1387" i="20"/>
  <c r="AE1387" i="20" s="1"/>
  <c r="R1388" i="20"/>
  <c r="AD1388" i="20"/>
  <c r="AE1388" i="20" s="1"/>
  <c r="R1389" i="20"/>
  <c r="AD1389" i="20"/>
  <c r="AE1389" i="20" s="1"/>
  <c r="R1390" i="20"/>
  <c r="AD1390" i="20"/>
  <c r="AE1390" i="20" s="1"/>
  <c r="R1391" i="20"/>
  <c r="AD1391" i="20"/>
  <c r="AE1391" i="20" s="1"/>
  <c r="R1392" i="20"/>
  <c r="AD1392" i="20"/>
  <c r="AE1392" i="20" s="1"/>
  <c r="R1393" i="20"/>
  <c r="AD1393" i="20"/>
  <c r="AE1393" i="20" s="1"/>
  <c r="R1394" i="20"/>
  <c r="AD1394" i="20"/>
  <c r="AE1394" i="20" s="1"/>
  <c r="R1395" i="20"/>
  <c r="AD1395" i="20"/>
  <c r="AE1395" i="20" s="1"/>
  <c r="R1396" i="20"/>
  <c r="AD1396" i="20"/>
  <c r="AE1396" i="20" s="1"/>
  <c r="R1397" i="20"/>
  <c r="AD1397" i="20"/>
  <c r="AE1397" i="20" s="1"/>
  <c r="R1398" i="20"/>
  <c r="AD1398" i="20"/>
  <c r="AE1398" i="20" s="1"/>
  <c r="R1399" i="20"/>
  <c r="AD1399" i="20"/>
  <c r="AE1399" i="20" s="1"/>
  <c r="R1400" i="20"/>
  <c r="AD1400" i="20"/>
  <c r="AE1400" i="20" s="1"/>
  <c r="R1401" i="20"/>
  <c r="AD1401" i="20"/>
  <c r="AE1401" i="20" s="1"/>
  <c r="R1402" i="20"/>
  <c r="AD1402" i="20"/>
  <c r="AE1402" i="20" s="1"/>
  <c r="R1403" i="20"/>
  <c r="AD1403" i="20"/>
  <c r="AE1403" i="20" s="1"/>
  <c r="R1404" i="20"/>
  <c r="AD1404" i="20"/>
  <c r="AE1404" i="20" s="1"/>
  <c r="R1405" i="20"/>
  <c r="AD1405" i="20"/>
  <c r="AE1405" i="20" s="1"/>
  <c r="R1406" i="20"/>
  <c r="AD1406" i="20"/>
  <c r="AE1406" i="20" s="1"/>
  <c r="R1407" i="20"/>
  <c r="AD1407" i="20"/>
  <c r="AE1407" i="20" s="1"/>
  <c r="R1408" i="20"/>
  <c r="AD1408" i="20"/>
  <c r="AE1408" i="20" s="1"/>
  <c r="R1409" i="20"/>
  <c r="AD1409" i="20"/>
  <c r="AE1409" i="20" s="1"/>
  <c r="R1410" i="20"/>
  <c r="AD1410" i="20"/>
  <c r="AE1410" i="20" s="1"/>
  <c r="R1411" i="20"/>
  <c r="AD1411" i="20"/>
  <c r="AE1411" i="20" s="1"/>
  <c r="R1412" i="20"/>
  <c r="AD1412" i="20"/>
  <c r="AE1412" i="20" s="1"/>
  <c r="R1413" i="20"/>
  <c r="AD1413" i="20"/>
  <c r="AE1413" i="20" s="1"/>
  <c r="R1414" i="20"/>
  <c r="AD1414" i="20"/>
  <c r="AE1414" i="20" s="1"/>
  <c r="R1415" i="20"/>
  <c r="AD1415" i="20"/>
  <c r="AE1415" i="20" s="1"/>
  <c r="R1416" i="20"/>
  <c r="AD1416" i="20"/>
  <c r="AE1416" i="20" s="1"/>
  <c r="R1417" i="20"/>
  <c r="AD1417" i="20"/>
  <c r="AE1417" i="20" s="1"/>
  <c r="R1418" i="20"/>
  <c r="AD1418" i="20"/>
  <c r="AE1418" i="20" s="1"/>
  <c r="R1419" i="20"/>
  <c r="AD1419" i="20"/>
  <c r="AE1419" i="20" s="1"/>
  <c r="R1420" i="20"/>
  <c r="AD1420" i="20"/>
  <c r="AE1420" i="20" s="1"/>
  <c r="R1421" i="20"/>
  <c r="AD1421" i="20"/>
  <c r="AE1421" i="20" s="1"/>
  <c r="R1422" i="20"/>
  <c r="AD1422" i="20"/>
  <c r="AE1422" i="20" s="1"/>
  <c r="R1423" i="20"/>
  <c r="AD1423" i="20"/>
  <c r="AE1423" i="20" s="1"/>
  <c r="R1424" i="20"/>
  <c r="AD1424" i="20"/>
  <c r="AE1424" i="20" s="1"/>
  <c r="R1425" i="20"/>
  <c r="AD1425" i="20"/>
  <c r="AE1425" i="20" s="1"/>
  <c r="R1426" i="20"/>
  <c r="AD1426" i="20"/>
  <c r="AE1426" i="20" s="1"/>
  <c r="R1427" i="20"/>
  <c r="AD1427" i="20"/>
  <c r="AE1427" i="20" s="1"/>
  <c r="R1428" i="20"/>
  <c r="AD1428" i="20"/>
  <c r="AE1428" i="20" s="1"/>
  <c r="R1429" i="20"/>
  <c r="AD1429" i="20"/>
  <c r="AE1429" i="20" s="1"/>
  <c r="R1430" i="20"/>
  <c r="AD1430" i="20"/>
  <c r="AE1430" i="20" s="1"/>
  <c r="R1431" i="20"/>
  <c r="AD1431" i="20"/>
  <c r="AE1431" i="20" s="1"/>
  <c r="R1432" i="20"/>
  <c r="AD1432" i="20"/>
  <c r="AE1432" i="20" s="1"/>
  <c r="R1433" i="20"/>
  <c r="AD1433" i="20"/>
  <c r="AE1433" i="20" s="1"/>
  <c r="R1434" i="20"/>
  <c r="AD1434" i="20"/>
  <c r="AE1434" i="20" s="1"/>
  <c r="R1435" i="20"/>
  <c r="AD1435" i="20"/>
  <c r="AE1435" i="20" s="1"/>
  <c r="R1436" i="20"/>
  <c r="AD1436" i="20"/>
  <c r="AE1436" i="20" s="1"/>
  <c r="R1437" i="20"/>
  <c r="AD1437" i="20"/>
  <c r="AE1437" i="20" s="1"/>
  <c r="R1438" i="20"/>
  <c r="AD1438" i="20"/>
  <c r="AE1438" i="20" s="1"/>
  <c r="R1439" i="20"/>
  <c r="AD1439" i="20"/>
  <c r="AE1439" i="20" s="1"/>
  <c r="R1440" i="20"/>
  <c r="AD1440" i="20"/>
  <c r="AE1440" i="20" s="1"/>
  <c r="R1441" i="20"/>
  <c r="AD1441" i="20"/>
  <c r="AE1441" i="20" s="1"/>
  <c r="R1442" i="20"/>
  <c r="AD1442" i="20"/>
  <c r="AE1442" i="20" s="1"/>
  <c r="R1443" i="20"/>
  <c r="AD1443" i="20"/>
  <c r="AE1443" i="20" s="1"/>
  <c r="R1444" i="20"/>
  <c r="AD1444" i="20"/>
  <c r="AE1444" i="20" s="1"/>
  <c r="R1445" i="20"/>
  <c r="AD1445" i="20"/>
  <c r="AE1445" i="20" s="1"/>
  <c r="R1446" i="20"/>
  <c r="AD1446" i="20"/>
  <c r="AE1446" i="20" s="1"/>
  <c r="R1447" i="20"/>
  <c r="AD1447" i="20"/>
  <c r="AE1447" i="20" s="1"/>
  <c r="R1448" i="20"/>
  <c r="AD1448" i="20"/>
  <c r="AE1448" i="20" s="1"/>
  <c r="R1449" i="20"/>
  <c r="AD1449" i="20"/>
  <c r="AE1449" i="20" s="1"/>
  <c r="R1450" i="20"/>
  <c r="AD1450" i="20"/>
  <c r="AE1450" i="20" s="1"/>
  <c r="R1451" i="20"/>
  <c r="AD1451" i="20"/>
  <c r="AE1451" i="20" s="1"/>
  <c r="R1452" i="20"/>
  <c r="AD1452" i="20"/>
  <c r="AE1452" i="20" s="1"/>
  <c r="R1453" i="20"/>
  <c r="AD1453" i="20"/>
  <c r="AE1453" i="20" s="1"/>
  <c r="R1454" i="20"/>
  <c r="AD1454" i="20"/>
  <c r="AE1454" i="20" s="1"/>
  <c r="R1455" i="20"/>
  <c r="AD1455" i="20"/>
  <c r="AE1455" i="20" s="1"/>
  <c r="R1456" i="20"/>
  <c r="AD1456" i="20"/>
  <c r="AE1456" i="20" s="1"/>
  <c r="R1457" i="20"/>
  <c r="AD1457" i="20"/>
  <c r="AE1457" i="20" s="1"/>
  <c r="R1458" i="20"/>
  <c r="AD1458" i="20"/>
  <c r="AE1458" i="20" s="1"/>
  <c r="R1459" i="20"/>
  <c r="AD1459" i="20"/>
  <c r="AE1459" i="20" s="1"/>
  <c r="R1460" i="20"/>
  <c r="AD1460" i="20"/>
  <c r="AE1460" i="20" s="1"/>
  <c r="R1461" i="20"/>
  <c r="AD1461" i="20"/>
  <c r="AE1461" i="20" s="1"/>
  <c r="R1462" i="20"/>
  <c r="AD1462" i="20"/>
  <c r="AE1462" i="20" s="1"/>
  <c r="R1463" i="20"/>
  <c r="AD1463" i="20"/>
  <c r="AE1463" i="20" s="1"/>
  <c r="R1464" i="20"/>
  <c r="AD1464" i="20"/>
  <c r="AE1464" i="20" s="1"/>
  <c r="R1465" i="20"/>
  <c r="AD1465" i="20"/>
  <c r="AE1465" i="20" s="1"/>
  <c r="R1466" i="20"/>
  <c r="AD1466" i="20"/>
  <c r="AE1466" i="20" s="1"/>
  <c r="R1467" i="20"/>
  <c r="AD1467" i="20"/>
  <c r="AE1467" i="20" s="1"/>
  <c r="R1468" i="20"/>
  <c r="AD1468" i="20"/>
  <c r="AE1468" i="20" s="1"/>
  <c r="R1469" i="20"/>
  <c r="AD1469" i="20"/>
  <c r="AE1469" i="20" s="1"/>
  <c r="R1470" i="20"/>
  <c r="AD1470" i="20"/>
  <c r="AE1470" i="20" s="1"/>
  <c r="R1471" i="20"/>
  <c r="AD1471" i="20"/>
  <c r="AE1471" i="20" s="1"/>
  <c r="R1472" i="20"/>
  <c r="AD1472" i="20"/>
  <c r="AE1472" i="20" s="1"/>
  <c r="R1473" i="20"/>
  <c r="AD1473" i="20"/>
  <c r="AE1473" i="20" s="1"/>
  <c r="R1474" i="20"/>
  <c r="AD1474" i="20"/>
  <c r="AE1474" i="20" s="1"/>
  <c r="R1475" i="20"/>
  <c r="AD1475" i="20"/>
  <c r="AE1475" i="20" s="1"/>
  <c r="R1476" i="20"/>
  <c r="AD1476" i="20"/>
  <c r="AE1476" i="20" s="1"/>
  <c r="R1477" i="20"/>
  <c r="AD1477" i="20"/>
  <c r="AE1477" i="20" s="1"/>
  <c r="R1478" i="20"/>
  <c r="AD1478" i="20"/>
  <c r="AE1478" i="20" s="1"/>
  <c r="R1479" i="20"/>
  <c r="AD1479" i="20"/>
  <c r="AE1479" i="20" s="1"/>
  <c r="R1480" i="20"/>
  <c r="AD1480" i="20"/>
  <c r="AE1480" i="20" s="1"/>
  <c r="R1481" i="20"/>
  <c r="AD1481" i="20"/>
  <c r="AE1481" i="20" s="1"/>
  <c r="R1482" i="20"/>
  <c r="AD1482" i="20"/>
  <c r="AE1482" i="20" s="1"/>
  <c r="R1483" i="20"/>
  <c r="AD1483" i="20"/>
  <c r="AE1483" i="20" s="1"/>
  <c r="R1484" i="20"/>
  <c r="AD1484" i="20"/>
  <c r="AE1484" i="20" s="1"/>
  <c r="R1485" i="20"/>
  <c r="AD1485" i="20"/>
  <c r="AE1485" i="20" s="1"/>
  <c r="R1486" i="20"/>
  <c r="AD1486" i="20"/>
  <c r="AE1486" i="20" s="1"/>
  <c r="R1487" i="20"/>
  <c r="AD1487" i="20"/>
  <c r="AE1487" i="20" s="1"/>
  <c r="R1488" i="20"/>
  <c r="AD1488" i="20"/>
  <c r="AE1488" i="20" s="1"/>
  <c r="R1489" i="20"/>
  <c r="AD1489" i="20"/>
  <c r="AE1489" i="20" s="1"/>
  <c r="R1490" i="20"/>
  <c r="AD1490" i="20"/>
  <c r="AE1490" i="20" s="1"/>
  <c r="R1491" i="20"/>
  <c r="AD1491" i="20"/>
  <c r="AE1491" i="20" s="1"/>
  <c r="R1492" i="20"/>
  <c r="AD1492" i="20"/>
  <c r="AE1492" i="20" s="1"/>
  <c r="R1493" i="20"/>
  <c r="AD1493" i="20"/>
  <c r="AE1493" i="20" s="1"/>
  <c r="R1494" i="20"/>
  <c r="AD1494" i="20"/>
  <c r="AE1494" i="20" s="1"/>
  <c r="R1495" i="20"/>
  <c r="AD1495" i="20"/>
  <c r="AE1495" i="20" s="1"/>
  <c r="R1496" i="20"/>
  <c r="AD1496" i="20"/>
  <c r="AE1496" i="20" s="1"/>
  <c r="R1497" i="20"/>
  <c r="AD1497" i="20"/>
  <c r="AE1497" i="20" s="1"/>
  <c r="R1498" i="20"/>
  <c r="AD1498" i="20"/>
  <c r="AE1498" i="20" s="1"/>
  <c r="R1499" i="20"/>
  <c r="AD1499" i="20"/>
  <c r="AE1499" i="20" s="1"/>
  <c r="R1500" i="20"/>
  <c r="AD1500" i="20"/>
  <c r="AE1500" i="20" s="1"/>
  <c r="R1501" i="20"/>
  <c r="AD1501" i="20"/>
  <c r="AE1501" i="20" s="1"/>
  <c r="R1502" i="20"/>
  <c r="AD1502" i="20"/>
  <c r="AE1502" i="20" s="1"/>
  <c r="R1503" i="20"/>
  <c r="AD1503" i="20"/>
  <c r="AE1503" i="20" s="1"/>
  <c r="R1504" i="20"/>
  <c r="AD1504" i="20"/>
  <c r="AE1504" i="20" s="1"/>
  <c r="R1505" i="20"/>
  <c r="AD1505" i="20"/>
  <c r="AE1505" i="20" s="1"/>
  <c r="R1506" i="20"/>
  <c r="AD1506" i="20"/>
  <c r="AE1506" i="20" s="1"/>
  <c r="R1507" i="20"/>
  <c r="AD1507" i="20"/>
  <c r="AE1507" i="20" s="1"/>
  <c r="R1508" i="20"/>
  <c r="AD1508" i="20"/>
  <c r="AE1508" i="20" s="1"/>
  <c r="R1509" i="20"/>
  <c r="AD1509" i="20"/>
  <c r="AE1509" i="20" s="1"/>
  <c r="R1510" i="20"/>
  <c r="AD1510" i="20"/>
  <c r="AE1510" i="20" s="1"/>
  <c r="R1511" i="20"/>
  <c r="AD1511" i="20"/>
  <c r="AE1511" i="20" s="1"/>
  <c r="R1512" i="20"/>
  <c r="AD1512" i="20"/>
  <c r="AE1512" i="20" s="1"/>
  <c r="R1513" i="20"/>
  <c r="AD1513" i="20"/>
  <c r="AE1513" i="20" s="1"/>
  <c r="R1514" i="20"/>
  <c r="AD1514" i="20"/>
  <c r="AE1514" i="20" s="1"/>
  <c r="R1515" i="20"/>
  <c r="AD1515" i="20"/>
  <c r="AE1515" i="20" s="1"/>
  <c r="R1516" i="20"/>
  <c r="AD1516" i="20"/>
  <c r="AE1516" i="20" s="1"/>
  <c r="R1517" i="20"/>
  <c r="AD1517" i="20"/>
  <c r="AE1517" i="20" s="1"/>
  <c r="R1518" i="20"/>
  <c r="AD1518" i="20"/>
  <c r="AE1518" i="20" s="1"/>
  <c r="R1519" i="20"/>
  <c r="AD1519" i="20"/>
  <c r="AE1519" i="20" s="1"/>
  <c r="R1520" i="20"/>
  <c r="AD1520" i="20"/>
  <c r="AE1520" i="20" s="1"/>
  <c r="R1521" i="20"/>
  <c r="AD1521" i="20"/>
  <c r="AE1521" i="20" s="1"/>
  <c r="R1522" i="20"/>
  <c r="AD1522" i="20"/>
  <c r="AE1522" i="20" s="1"/>
  <c r="R1523" i="20"/>
  <c r="AD1523" i="20"/>
  <c r="AE1523" i="20" s="1"/>
  <c r="R1524" i="20"/>
  <c r="AD1524" i="20"/>
  <c r="AE1524" i="20" s="1"/>
  <c r="R1525" i="20"/>
  <c r="AD1525" i="20"/>
  <c r="AE1525" i="20" s="1"/>
  <c r="R1526" i="20"/>
  <c r="AD1526" i="20"/>
  <c r="AE1526" i="20" s="1"/>
  <c r="R1527" i="20"/>
  <c r="AD1527" i="20"/>
  <c r="AE1527" i="20" s="1"/>
  <c r="R1528" i="20"/>
  <c r="AD1528" i="20"/>
  <c r="AE1528" i="20" s="1"/>
  <c r="R1529" i="20"/>
  <c r="AD1529" i="20"/>
  <c r="AE1529" i="20" s="1"/>
  <c r="R1530" i="20"/>
  <c r="AD1530" i="20"/>
  <c r="AE1530" i="20" s="1"/>
  <c r="R1531" i="20"/>
  <c r="AD1531" i="20"/>
  <c r="AE1531" i="20" s="1"/>
  <c r="R1532" i="20"/>
  <c r="AD1532" i="20"/>
  <c r="AE1532" i="20" s="1"/>
  <c r="R1533" i="20"/>
  <c r="AD1533" i="20"/>
  <c r="AE1533" i="20" s="1"/>
  <c r="R1534" i="20"/>
  <c r="AD1534" i="20"/>
  <c r="AE1534" i="20" s="1"/>
  <c r="R1535" i="20"/>
  <c r="AD1535" i="20"/>
  <c r="AE1535" i="20" s="1"/>
  <c r="R1536" i="20"/>
  <c r="AD1536" i="20"/>
  <c r="AE1536" i="20" s="1"/>
  <c r="R1537" i="20"/>
  <c r="AD1537" i="20"/>
  <c r="AE1537" i="20" s="1"/>
  <c r="R1538" i="20"/>
  <c r="AD1538" i="20"/>
  <c r="AE1538" i="20" s="1"/>
  <c r="R1539" i="20"/>
  <c r="AD1539" i="20"/>
  <c r="AE1539" i="20" s="1"/>
  <c r="R1540" i="20"/>
  <c r="AD1540" i="20"/>
  <c r="AE1540" i="20" s="1"/>
  <c r="R1541" i="20"/>
  <c r="AD1541" i="20"/>
  <c r="AE1541" i="20" s="1"/>
  <c r="R1542" i="20"/>
  <c r="AD1542" i="20"/>
  <c r="AE1542" i="20" s="1"/>
  <c r="R1543" i="20"/>
  <c r="AD1543" i="20"/>
  <c r="AE1543" i="20" s="1"/>
  <c r="R1544" i="20"/>
  <c r="AD1544" i="20"/>
  <c r="AE1544" i="20" s="1"/>
  <c r="R1545" i="20"/>
  <c r="AD1545" i="20"/>
  <c r="AE1545" i="20" s="1"/>
  <c r="R1546" i="20"/>
  <c r="AD1546" i="20"/>
  <c r="AE1546" i="20" s="1"/>
  <c r="R1547" i="20"/>
  <c r="AD1547" i="20"/>
  <c r="AE1547" i="20" s="1"/>
  <c r="R1548" i="20"/>
  <c r="AD1548" i="20"/>
  <c r="AE1548" i="20" s="1"/>
  <c r="R1549" i="20"/>
  <c r="AD1549" i="20"/>
  <c r="AE1549" i="20" s="1"/>
  <c r="R1550" i="20"/>
  <c r="AD1550" i="20"/>
  <c r="AE1550" i="20" s="1"/>
  <c r="R1551" i="20"/>
  <c r="AD1551" i="20"/>
  <c r="AE1551" i="20" s="1"/>
  <c r="R1552" i="20"/>
  <c r="AD1552" i="20"/>
  <c r="AE1552" i="20" s="1"/>
  <c r="R1553" i="20"/>
  <c r="AD1553" i="20"/>
  <c r="AE1553" i="20" s="1"/>
  <c r="R1554" i="20"/>
  <c r="AD1554" i="20"/>
  <c r="AE1554" i="20" s="1"/>
  <c r="R1555" i="20"/>
  <c r="AD1555" i="20"/>
  <c r="AE1555" i="20" s="1"/>
  <c r="R1556" i="20"/>
  <c r="AD1556" i="20"/>
  <c r="AE1556" i="20" s="1"/>
  <c r="R1557" i="20"/>
  <c r="AD1557" i="20"/>
  <c r="AE1557" i="20" s="1"/>
  <c r="R1558" i="20"/>
  <c r="AD1558" i="20"/>
  <c r="AE1558" i="20" s="1"/>
  <c r="R1559" i="20"/>
  <c r="AD1559" i="20"/>
  <c r="AE1559" i="20" s="1"/>
  <c r="R1560" i="20"/>
  <c r="AD1560" i="20"/>
  <c r="AE1560" i="20" s="1"/>
  <c r="R1561" i="20"/>
  <c r="AD1561" i="20"/>
  <c r="AE1561" i="20" s="1"/>
  <c r="R1562" i="20"/>
  <c r="AD1562" i="20"/>
  <c r="AE1562" i="20" s="1"/>
  <c r="R1563" i="20"/>
  <c r="AD1563" i="20"/>
  <c r="AE1563" i="20" s="1"/>
  <c r="R1564" i="20"/>
  <c r="AD1564" i="20"/>
  <c r="AE1564" i="20" s="1"/>
  <c r="R1565" i="20"/>
  <c r="AD1565" i="20"/>
  <c r="AE1565" i="20" s="1"/>
  <c r="R1566" i="20"/>
  <c r="AD1566" i="20"/>
  <c r="AE1566" i="20" s="1"/>
  <c r="R1567" i="20"/>
  <c r="AD1567" i="20"/>
  <c r="AE1567" i="20" s="1"/>
  <c r="R1568" i="20"/>
  <c r="AD1568" i="20"/>
  <c r="AE1568" i="20" s="1"/>
  <c r="R1569" i="20"/>
  <c r="AD1569" i="20"/>
  <c r="AE1569" i="20" s="1"/>
  <c r="R1570" i="20"/>
  <c r="AD1570" i="20"/>
  <c r="AE1570" i="20" s="1"/>
  <c r="R1571" i="20"/>
  <c r="AD1571" i="20"/>
  <c r="AE1571" i="20" s="1"/>
  <c r="R1572" i="20"/>
  <c r="AD1572" i="20"/>
  <c r="AE1572" i="20" s="1"/>
  <c r="R1573" i="20"/>
  <c r="AD1573" i="20"/>
  <c r="AE1573" i="20" s="1"/>
  <c r="R1574" i="20"/>
  <c r="AD1574" i="20"/>
  <c r="AE1574" i="20" s="1"/>
  <c r="R1575" i="20"/>
  <c r="AD1575" i="20"/>
  <c r="AE1575" i="20" s="1"/>
  <c r="R1576" i="20"/>
  <c r="AD1576" i="20"/>
  <c r="AE1576" i="20" s="1"/>
  <c r="R1577" i="20"/>
  <c r="AD1577" i="20"/>
  <c r="AE1577" i="20" s="1"/>
  <c r="R1578" i="20"/>
  <c r="AD1578" i="20"/>
  <c r="AE1578" i="20" s="1"/>
  <c r="R1579" i="20"/>
  <c r="AD1579" i="20"/>
  <c r="AE1579" i="20" s="1"/>
  <c r="R1580" i="20"/>
  <c r="AD1580" i="20"/>
  <c r="AE1580" i="20" s="1"/>
  <c r="R1581" i="20"/>
  <c r="AD1581" i="20"/>
  <c r="AE1581" i="20" s="1"/>
  <c r="R1582" i="20"/>
  <c r="AD1582" i="20"/>
  <c r="AE1582" i="20" s="1"/>
  <c r="R1583" i="20"/>
  <c r="AD1583" i="20"/>
  <c r="AE1583" i="20" s="1"/>
  <c r="R1584" i="20"/>
  <c r="AD1584" i="20"/>
  <c r="AE1584" i="20" s="1"/>
  <c r="R1585" i="20"/>
  <c r="AD1585" i="20"/>
  <c r="AE1585" i="20" s="1"/>
  <c r="R1586" i="20"/>
  <c r="AD1586" i="20"/>
  <c r="AE1586" i="20" s="1"/>
  <c r="R1587" i="20"/>
  <c r="AD1587" i="20"/>
  <c r="AE1587" i="20" s="1"/>
  <c r="R1588" i="20"/>
  <c r="AD1588" i="20"/>
  <c r="AE1588" i="20" s="1"/>
  <c r="R1589" i="20"/>
  <c r="AD1589" i="20"/>
  <c r="AE1589" i="20" s="1"/>
  <c r="R1590" i="20"/>
  <c r="AD1590" i="20"/>
  <c r="AE1590" i="20" s="1"/>
  <c r="R1591" i="20"/>
  <c r="AD1591" i="20"/>
  <c r="AE1591" i="20" s="1"/>
  <c r="R1592" i="20"/>
  <c r="AD1592" i="20"/>
  <c r="AE1592" i="20" s="1"/>
  <c r="R1593" i="20"/>
  <c r="AD1593" i="20"/>
  <c r="AE1593" i="20" s="1"/>
  <c r="R1594" i="20"/>
  <c r="AD1594" i="20"/>
  <c r="AE1594" i="20" s="1"/>
  <c r="R1595" i="20"/>
  <c r="AD1595" i="20"/>
  <c r="AE1595" i="20" s="1"/>
  <c r="R1596" i="20"/>
  <c r="AD1596" i="20"/>
  <c r="AE1596" i="20" s="1"/>
  <c r="R1597" i="20"/>
  <c r="AD1597" i="20"/>
  <c r="AE1597" i="20" s="1"/>
  <c r="R1598" i="20"/>
  <c r="AD1598" i="20"/>
  <c r="AE1598" i="20" s="1"/>
  <c r="R1599" i="20"/>
  <c r="AD1599" i="20"/>
  <c r="AE1599" i="20" s="1"/>
  <c r="R1600" i="20"/>
  <c r="AD1600" i="20"/>
  <c r="AE1600" i="20" s="1"/>
  <c r="R1601" i="20"/>
  <c r="AD1601" i="20"/>
  <c r="AE1601" i="20" s="1"/>
  <c r="R1602" i="20"/>
  <c r="AD1602" i="20"/>
  <c r="AE1602" i="20" s="1"/>
  <c r="R1603" i="20"/>
  <c r="AD1603" i="20"/>
  <c r="AE1603" i="20" s="1"/>
  <c r="R1604" i="20"/>
  <c r="AD1604" i="20"/>
  <c r="AE1604" i="20" s="1"/>
  <c r="R1605" i="20"/>
  <c r="AD1605" i="20"/>
  <c r="AE1605" i="20" s="1"/>
  <c r="R1606" i="20"/>
  <c r="AD1606" i="20"/>
  <c r="AE1606" i="20" s="1"/>
  <c r="R1607" i="20"/>
  <c r="AD1607" i="20"/>
  <c r="AE1607" i="20" s="1"/>
  <c r="R1608" i="20"/>
  <c r="AD1608" i="20"/>
  <c r="AE1608" i="20" s="1"/>
  <c r="R1609" i="20"/>
  <c r="AD1609" i="20"/>
  <c r="AE1609" i="20" s="1"/>
  <c r="R1610" i="20"/>
  <c r="AD1610" i="20"/>
  <c r="AE1610" i="20" s="1"/>
  <c r="R1611" i="20"/>
  <c r="AD1611" i="20"/>
  <c r="AE1611" i="20" s="1"/>
  <c r="R1612" i="20"/>
  <c r="AD1612" i="20"/>
  <c r="AE1612" i="20" s="1"/>
  <c r="R1613" i="20"/>
  <c r="AD1613" i="20"/>
  <c r="AE1613" i="20" s="1"/>
  <c r="R1614" i="20"/>
  <c r="AD1614" i="20"/>
  <c r="AE1614" i="20" s="1"/>
  <c r="R1615" i="20"/>
  <c r="AD1615" i="20"/>
  <c r="AE1615" i="20" s="1"/>
  <c r="R1616" i="20"/>
  <c r="AD1616" i="20"/>
  <c r="AE1616" i="20" s="1"/>
  <c r="R1617" i="20"/>
  <c r="AD1617" i="20"/>
  <c r="AE1617" i="20" s="1"/>
  <c r="R1618" i="20"/>
  <c r="AD1618" i="20"/>
  <c r="AE1618" i="20" s="1"/>
  <c r="R1619" i="20"/>
  <c r="AD1619" i="20"/>
  <c r="AE1619" i="20" s="1"/>
  <c r="R1620" i="20"/>
  <c r="AD1620" i="20"/>
  <c r="AE1620" i="20" s="1"/>
  <c r="R1621" i="20"/>
  <c r="AD1621" i="20"/>
  <c r="AE1621" i="20" s="1"/>
  <c r="R1622" i="20"/>
  <c r="AD1622" i="20"/>
  <c r="AE1622" i="20" s="1"/>
  <c r="R1623" i="20"/>
  <c r="AD1623" i="20"/>
  <c r="AE1623" i="20" s="1"/>
  <c r="R1624" i="20"/>
  <c r="AD1624" i="20"/>
  <c r="AE1624" i="20" s="1"/>
  <c r="R1625" i="20"/>
  <c r="AD1625" i="20"/>
  <c r="AE1625" i="20" s="1"/>
  <c r="R1626" i="20"/>
  <c r="AD1626" i="20"/>
  <c r="AE1626" i="20" s="1"/>
  <c r="R1627" i="20"/>
  <c r="AD1627" i="20"/>
  <c r="AE1627" i="20" s="1"/>
  <c r="R1628" i="20"/>
  <c r="AD1628" i="20"/>
  <c r="AE1628" i="20" s="1"/>
  <c r="R1629" i="20"/>
  <c r="AD1629" i="20"/>
  <c r="AE1629" i="20" s="1"/>
  <c r="R1630" i="20"/>
  <c r="AD1630" i="20"/>
  <c r="AE1630" i="20" s="1"/>
  <c r="R1631" i="20"/>
  <c r="AD1631" i="20"/>
  <c r="AE1631" i="20" s="1"/>
  <c r="R1632" i="20"/>
  <c r="AD1632" i="20"/>
  <c r="AE1632" i="20" s="1"/>
  <c r="R1633" i="20"/>
  <c r="AD1633" i="20"/>
  <c r="AE1633" i="20" s="1"/>
  <c r="R1634" i="20"/>
  <c r="AD1634" i="20"/>
  <c r="AE1634" i="20" s="1"/>
  <c r="R1635" i="20"/>
  <c r="AD1635" i="20"/>
  <c r="AE1635" i="20" s="1"/>
  <c r="R1636" i="20"/>
  <c r="AD1636" i="20"/>
  <c r="AE1636" i="20" s="1"/>
  <c r="R1637" i="20"/>
  <c r="AD1637" i="20"/>
  <c r="AE1637" i="20" s="1"/>
  <c r="R1638" i="20"/>
  <c r="AD1638" i="20"/>
  <c r="AE1638" i="20" s="1"/>
  <c r="R1639" i="20"/>
  <c r="AD1639" i="20"/>
  <c r="AE1639" i="20" s="1"/>
  <c r="R1640" i="20"/>
  <c r="AD1640" i="20"/>
  <c r="AE1640" i="20" s="1"/>
  <c r="R1641" i="20"/>
  <c r="AD1641" i="20"/>
  <c r="AE1641" i="20" s="1"/>
  <c r="R1642" i="20"/>
  <c r="AD1642" i="20"/>
  <c r="AE1642" i="20" s="1"/>
  <c r="R1643" i="20"/>
  <c r="AD1643" i="20"/>
  <c r="AE1643" i="20" s="1"/>
  <c r="R1644" i="20"/>
  <c r="AD1644" i="20"/>
  <c r="AE1644" i="20" s="1"/>
  <c r="R1645" i="20"/>
  <c r="AD1645" i="20"/>
  <c r="AE1645" i="20" s="1"/>
  <c r="R1646" i="20"/>
  <c r="AD1646" i="20"/>
  <c r="AE1646" i="20" s="1"/>
  <c r="R1647" i="20"/>
  <c r="AD1647" i="20"/>
  <c r="AE1647" i="20" s="1"/>
  <c r="R1648" i="20"/>
  <c r="AD1648" i="20"/>
  <c r="AE1648" i="20" s="1"/>
  <c r="R1649" i="20"/>
  <c r="AD1649" i="20"/>
  <c r="AE1649" i="20" s="1"/>
  <c r="R1650" i="20"/>
  <c r="AD1650" i="20"/>
  <c r="AE1650" i="20" s="1"/>
  <c r="R1651" i="20"/>
  <c r="AD1651" i="20"/>
  <c r="AE1651" i="20" s="1"/>
  <c r="R1652" i="20"/>
  <c r="AD1652" i="20"/>
  <c r="AE1652" i="20" s="1"/>
  <c r="R1653" i="20"/>
  <c r="AD1653" i="20"/>
  <c r="AE1653" i="20" s="1"/>
  <c r="R1654" i="20"/>
  <c r="AD1654" i="20"/>
  <c r="AE1654" i="20" s="1"/>
  <c r="R1655" i="20"/>
  <c r="AD1655" i="20"/>
  <c r="AE1655" i="20" s="1"/>
  <c r="R1656" i="20"/>
  <c r="AD1656" i="20"/>
  <c r="AE1656" i="20" s="1"/>
  <c r="R1657" i="20"/>
  <c r="AD1657" i="20"/>
  <c r="AE1657" i="20" s="1"/>
  <c r="R1658" i="20"/>
  <c r="AD1658" i="20"/>
  <c r="AE1658" i="20" s="1"/>
  <c r="R1659" i="20"/>
  <c r="AD1659" i="20"/>
  <c r="AE1659" i="20" s="1"/>
  <c r="R1660" i="20"/>
  <c r="AD1660" i="20"/>
  <c r="AE1660" i="20" s="1"/>
  <c r="R1661" i="20"/>
  <c r="AD1661" i="20"/>
  <c r="AE1661" i="20" s="1"/>
  <c r="R1662" i="20"/>
  <c r="AD1662" i="20"/>
  <c r="AE1662" i="20" s="1"/>
  <c r="R1663" i="20"/>
  <c r="AD1663" i="20"/>
  <c r="AE1663" i="20" s="1"/>
  <c r="R1664" i="20"/>
  <c r="AD1664" i="20"/>
  <c r="AE1664" i="20" s="1"/>
  <c r="R1665" i="20"/>
  <c r="AD1665" i="20"/>
  <c r="AE1665" i="20" s="1"/>
  <c r="R1666" i="20"/>
  <c r="AD1666" i="20"/>
  <c r="AE1666" i="20" s="1"/>
  <c r="R1667" i="20"/>
  <c r="AD1667" i="20"/>
  <c r="AE1667" i="20" s="1"/>
  <c r="R1668" i="20"/>
  <c r="AD1668" i="20"/>
  <c r="AE1668" i="20" s="1"/>
  <c r="R1669" i="20"/>
  <c r="AD1669" i="20"/>
  <c r="AE1669" i="20" s="1"/>
  <c r="R1670" i="20"/>
  <c r="AD1670" i="20"/>
  <c r="AE1670" i="20" s="1"/>
  <c r="R1671" i="20"/>
  <c r="AD1671" i="20"/>
  <c r="AE1671" i="20" s="1"/>
  <c r="R1672" i="20"/>
  <c r="AD1672" i="20"/>
  <c r="AE1672" i="20" s="1"/>
  <c r="R1673" i="20"/>
  <c r="AD1673" i="20"/>
  <c r="AE1673" i="20" s="1"/>
  <c r="R1674" i="20"/>
  <c r="AD1674" i="20"/>
  <c r="AE1674" i="20" s="1"/>
  <c r="R1675" i="20"/>
  <c r="AD1675" i="20"/>
  <c r="AE1675" i="20" s="1"/>
  <c r="R1676" i="20"/>
  <c r="AD1676" i="20"/>
  <c r="AE1676" i="20" s="1"/>
  <c r="R1677" i="20"/>
  <c r="AD1677" i="20"/>
  <c r="AE1677" i="20" s="1"/>
  <c r="R1678" i="20"/>
  <c r="AD1678" i="20"/>
  <c r="AE1678" i="20" s="1"/>
  <c r="R1679" i="20"/>
  <c r="AD1679" i="20"/>
  <c r="AE1679" i="20" s="1"/>
  <c r="R1680" i="20"/>
  <c r="AD1680" i="20"/>
  <c r="AE1680" i="20" s="1"/>
  <c r="R1681" i="20"/>
  <c r="AD1681" i="20"/>
  <c r="AE1681" i="20" s="1"/>
  <c r="R1682" i="20"/>
  <c r="AD1682" i="20"/>
  <c r="AE1682" i="20" s="1"/>
  <c r="R1683" i="20"/>
  <c r="AD1683" i="20"/>
  <c r="AE1683" i="20" s="1"/>
  <c r="R1684" i="20"/>
  <c r="AD1684" i="20"/>
  <c r="AE1684" i="20" s="1"/>
  <c r="R1685" i="20"/>
  <c r="AD1685" i="20"/>
  <c r="AE1685" i="20" s="1"/>
  <c r="R1686" i="20"/>
  <c r="AD1686" i="20"/>
  <c r="AE1686" i="20" s="1"/>
  <c r="R1687" i="20"/>
  <c r="AD1687" i="20"/>
  <c r="AE1687" i="20" s="1"/>
  <c r="R1688" i="20"/>
  <c r="AD1688" i="20"/>
  <c r="AE1688" i="20" s="1"/>
  <c r="R1689" i="20"/>
  <c r="AD1689" i="20"/>
  <c r="AE1689" i="20" s="1"/>
  <c r="R1690" i="20"/>
  <c r="AD1690" i="20"/>
  <c r="AE1690" i="20" s="1"/>
  <c r="R1691" i="20"/>
  <c r="AD1691" i="20"/>
  <c r="AE1691" i="20" s="1"/>
  <c r="R1692" i="20"/>
  <c r="AD1692" i="20"/>
  <c r="AE1692" i="20" s="1"/>
  <c r="R1693" i="20"/>
  <c r="AD1693" i="20"/>
  <c r="AE1693" i="20" s="1"/>
  <c r="R1694" i="20"/>
  <c r="AD1694" i="20"/>
  <c r="AE1694" i="20" s="1"/>
  <c r="R1695" i="20"/>
  <c r="AD1695" i="20"/>
  <c r="AE1695" i="20" s="1"/>
  <c r="R1696" i="20"/>
  <c r="AD1696" i="20"/>
  <c r="AE1696" i="20" s="1"/>
  <c r="R1697" i="20"/>
  <c r="AD1697" i="20"/>
  <c r="AE1697" i="20" s="1"/>
  <c r="R1698" i="20"/>
  <c r="AD1698" i="20"/>
  <c r="AE1698" i="20" s="1"/>
  <c r="R1699" i="20"/>
  <c r="AD1699" i="20"/>
  <c r="AE1699" i="20" s="1"/>
  <c r="R1700" i="20"/>
  <c r="AD1700" i="20"/>
  <c r="AE1700" i="20" s="1"/>
  <c r="R1701" i="20"/>
  <c r="AD1701" i="20"/>
  <c r="AE1701" i="20" s="1"/>
  <c r="R1702" i="20"/>
  <c r="AD1702" i="20"/>
  <c r="AE1702" i="20" s="1"/>
  <c r="R1703" i="20"/>
  <c r="AD1703" i="20"/>
  <c r="AE1703" i="20" s="1"/>
  <c r="R1704" i="20"/>
  <c r="AD1704" i="20"/>
  <c r="AE1704" i="20" s="1"/>
  <c r="R1705" i="20"/>
  <c r="AD1705" i="20"/>
  <c r="AE1705" i="20" s="1"/>
  <c r="R1706" i="20"/>
  <c r="AD1706" i="20"/>
  <c r="AE1706" i="20" s="1"/>
  <c r="R1707" i="20"/>
  <c r="AD1707" i="20"/>
  <c r="AE1707" i="20" s="1"/>
  <c r="R1708" i="20"/>
  <c r="AD1708" i="20"/>
  <c r="AE1708" i="20" s="1"/>
  <c r="R1709" i="20"/>
  <c r="AD1709" i="20"/>
  <c r="AE1709" i="20" s="1"/>
  <c r="R1710" i="20"/>
  <c r="AD1710" i="20"/>
  <c r="AE1710" i="20" s="1"/>
  <c r="R1711" i="20"/>
  <c r="AD1711" i="20"/>
  <c r="AE1711" i="20" s="1"/>
  <c r="R1712" i="20"/>
  <c r="AD1712" i="20"/>
  <c r="AE1712" i="20" s="1"/>
  <c r="R1713" i="20"/>
  <c r="AD1713" i="20"/>
  <c r="AE1713" i="20" s="1"/>
  <c r="R1714" i="20"/>
  <c r="AD1714" i="20"/>
  <c r="AE1714" i="20" s="1"/>
  <c r="R1715" i="20"/>
  <c r="AD1715" i="20"/>
  <c r="AE1715" i="20" s="1"/>
  <c r="R1716" i="20"/>
  <c r="AD1716" i="20"/>
  <c r="AE1716" i="20" s="1"/>
  <c r="R1717" i="20"/>
  <c r="AD1717" i="20"/>
  <c r="AE1717" i="20" s="1"/>
  <c r="R1718" i="20"/>
  <c r="AD1718" i="20"/>
  <c r="AE1718" i="20" s="1"/>
  <c r="R1719" i="20"/>
  <c r="AD1719" i="20"/>
  <c r="AE1719" i="20" s="1"/>
  <c r="R1720" i="20"/>
  <c r="AD1720" i="20"/>
  <c r="AE1720" i="20" s="1"/>
  <c r="R1721" i="20"/>
  <c r="AD1721" i="20"/>
  <c r="AE1721" i="20" s="1"/>
  <c r="R1722" i="20"/>
  <c r="AD1722" i="20"/>
  <c r="AE1722" i="20" s="1"/>
  <c r="R1723" i="20"/>
  <c r="AD1723" i="20"/>
  <c r="AE1723" i="20" s="1"/>
  <c r="R1724" i="20"/>
  <c r="AD1724" i="20"/>
  <c r="AE1724" i="20" s="1"/>
  <c r="R1725" i="20"/>
  <c r="AD1725" i="20"/>
  <c r="AE1725" i="20" s="1"/>
  <c r="R1726" i="20"/>
  <c r="AD1726" i="20"/>
  <c r="AE1726" i="20" s="1"/>
  <c r="R1727" i="20"/>
  <c r="AD1727" i="20"/>
  <c r="AE1727" i="20" s="1"/>
  <c r="R1728" i="20"/>
  <c r="AD1728" i="20"/>
  <c r="AE1728" i="20" s="1"/>
  <c r="R1729" i="20"/>
  <c r="AD1729" i="20"/>
  <c r="AE1729" i="20" s="1"/>
  <c r="R1730" i="20"/>
  <c r="AD1730" i="20"/>
  <c r="AE1730" i="20" s="1"/>
  <c r="R1731" i="20"/>
  <c r="AD1731" i="20"/>
  <c r="AE1731" i="20" s="1"/>
  <c r="R1732" i="20"/>
  <c r="AD1732" i="20"/>
  <c r="AE1732" i="20" s="1"/>
  <c r="R1733" i="20"/>
  <c r="AD1733" i="20"/>
  <c r="AE1733" i="20" s="1"/>
  <c r="R1734" i="20"/>
  <c r="AD1734" i="20"/>
  <c r="AE1734" i="20" s="1"/>
  <c r="R1735" i="20"/>
  <c r="AD1735" i="20"/>
  <c r="AE1735" i="20" s="1"/>
  <c r="R1736" i="20"/>
  <c r="AD1736" i="20"/>
  <c r="AE1736" i="20" s="1"/>
  <c r="R1737" i="20"/>
  <c r="AD1737" i="20"/>
  <c r="AE1737" i="20" s="1"/>
  <c r="R1738" i="20"/>
  <c r="AD1738" i="20"/>
  <c r="AE1738" i="20" s="1"/>
  <c r="R1739" i="20"/>
  <c r="AD1739" i="20"/>
  <c r="AE1739" i="20" s="1"/>
  <c r="R1740" i="20"/>
  <c r="AD1740" i="20"/>
  <c r="AE1740" i="20" s="1"/>
  <c r="R1741" i="20"/>
  <c r="AD1741" i="20"/>
  <c r="AE1741" i="20" s="1"/>
  <c r="R1742" i="20"/>
  <c r="AD1742" i="20"/>
  <c r="AE1742" i="20" s="1"/>
  <c r="R1743" i="20"/>
  <c r="AD1743" i="20"/>
  <c r="AE1743" i="20" s="1"/>
  <c r="R1744" i="20"/>
  <c r="AD1744" i="20"/>
  <c r="AE1744" i="20" s="1"/>
  <c r="R1745" i="20"/>
  <c r="AD1745" i="20"/>
  <c r="AE1745" i="20" s="1"/>
  <c r="R1746" i="20"/>
  <c r="AD1746" i="20"/>
  <c r="AE1746" i="20" s="1"/>
  <c r="R1747" i="20"/>
  <c r="AD1747" i="20"/>
  <c r="AE1747" i="20" s="1"/>
  <c r="R1748" i="20"/>
  <c r="AD1748" i="20"/>
  <c r="AE1748" i="20" s="1"/>
  <c r="R1749" i="20"/>
  <c r="AD1749" i="20"/>
  <c r="AE1749" i="20" s="1"/>
  <c r="R1750" i="20"/>
  <c r="AD1750" i="20"/>
  <c r="AE1750" i="20" s="1"/>
  <c r="R1751" i="20"/>
  <c r="AD1751" i="20"/>
  <c r="AE1751" i="20" s="1"/>
  <c r="R1752" i="20"/>
  <c r="AD1752" i="20"/>
  <c r="AE1752" i="20" s="1"/>
  <c r="R1753" i="20"/>
  <c r="AD1753" i="20"/>
  <c r="AE1753" i="20" s="1"/>
  <c r="R1754" i="20"/>
  <c r="AD1754" i="20"/>
  <c r="AE1754" i="20" s="1"/>
  <c r="R1755" i="20"/>
  <c r="AD1755" i="20"/>
  <c r="AE1755" i="20" s="1"/>
  <c r="R1756" i="20"/>
  <c r="AD1756" i="20"/>
  <c r="AE1756" i="20" s="1"/>
  <c r="R1757" i="20"/>
  <c r="AD1757" i="20"/>
  <c r="AE1757" i="20" s="1"/>
  <c r="R1758" i="20"/>
  <c r="AD1758" i="20"/>
  <c r="AE1758" i="20" s="1"/>
  <c r="R1759" i="20"/>
  <c r="AD1759" i="20"/>
  <c r="AE1759" i="20" s="1"/>
  <c r="R1760" i="20"/>
  <c r="AD1760" i="20"/>
  <c r="AE1760" i="20" s="1"/>
  <c r="R1761" i="20"/>
  <c r="AD1761" i="20"/>
  <c r="AE1761" i="20" s="1"/>
  <c r="R1762" i="20"/>
  <c r="AD1762" i="20"/>
  <c r="AE1762" i="20" s="1"/>
  <c r="R1763" i="20"/>
  <c r="AD1763" i="20"/>
  <c r="AE1763" i="20" s="1"/>
  <c r="R1764" i="20"/>
  <c r="AD1764" i="20"/>
  <c r="AE1764" i="20" s="1"/>
  <c r="R1765" i="20"/>
  <c r="AD1765" i="20"/>
  <c r="AE1765" i="20" s="1"/>
  <c r="R1766" i="20"/>
  <c r="AD1766" i="20"/>
  <c r="AE1766" i="20" s="1"/>
  <c r="R1767" i="20"/>
  <c r="AD1767" i="20"/>
  <c r="AE1767" i="20" s="1"/>
  <c r="R1768" i="20"/>
  <c r="AD1768" i="20"/>
  <c r="AE1768" i="20" s="1"/>
  <c r="R1769" i="20"/>
  <c r="AD1769" i="20"/>
  <c r="AE1769" i="20" s="1"/>
  <c r="R1770" i="20"/>
  <c r="AD1770" i="20"/>
  <c r="AE1770" i="20" s="1"/>
  <c r="R1771" i="20"/>
  <c r="AD1771" i="20"/>
  <c r="AE1771" i="20" s="1"/>
  <c r="R1772" i="20"/>
  <c r="AD1772" i="20"/>
  <c r="AE1772" i="20" s="1"/>
  <c r="R1773" i="20"/>
  <c r="AD1773" i="20"/>
  <c r="AE1773" i="20" s="1"/>
  <c r="R1774" i="20"/>
  <c r="AD1774" i="20"/>
  <c r="AE1774" i="20" s="1"/>
  <c r="R1775" i="20"/>
  <c r="AD1775" i="20"/>
  <c r="AE1775" i="20" s="1"/>
  <c r="R1776" i="20"/>
  <c r="AD1776" i="20"/>
  <c r="AE1776" i="20" s="1"/>
  <c r="R1777" i="20"/>
  <c r="AD1777" i="20"/>
  <c r="AE1777" i="20" s="1"/>
  <c r="R1778" i="20"/>
  <c r="AD1778" i="20"/>
  <c r="AE1778" i="20" s="1"/>
  <c r="R1779" i="20"/>
  <c r="AD1779" i="20"/>
  <c r="AE1779" i="20" s="1"/>
  <c r="R1780" i="20"/>
  <c r="AD1780" i="20"/>
  <c r="AE1780" i="20" s="1"/>
  <c r="R1781" i="20"/>
  <c r="AD1781" i="20"/>
  <c r="AE1781" i="20" s="1"/>
  <c r="R1782" i="20"/>
  <c r="AD1782" i="20"/>
  <c r="AE1782" i="20" s="1"/>
  <c r="R1783" i="20"/>
  <c r="AD1783" i="20"/>
  <c r="AE1783" i="20" s="1"/>
  <c r="R1784" i="20"/>
  <c r="AD1784" i="20"/>
  <c r="AE1784" i="20" s="1"/>
  <c r="R1785" i="20"/>
  <c r="AD1785" i="20"/>
  <c r="AE1785" i="20" s="1"/>
  <c r="R1786" i="20"/>
  <c r="AD1786" i="20"/>
  <c r="AE1786" i="20" s="1"/>
  <c r="R1787" i="20"/>
  <c r="AD1787" i="20"/>
  <c r="AE1787" i="20" s="1"/>
  <c r="R1788" i="20"/>
  <c r="AD1788" i="20"/>
  <c r="AE1788" i="20" s="1"/>
  <c r="R1789" i="20"/>
  <c r="AD1789" i="20"/>
  <c r="AE1789" i="20" s="1"/>
  <c r="R1790" i="20"/>
  <c r="AD1790" i="20"/>
  <c r="AE1790" i="20" s="1"/>
  <c r="R1791" i="20"/>
  <c r="AD1791" i="20"/>
  <c r="AE1791" i="20" s="1"/>
  <c r="R1792" i="20"/>
  <c r="AD1792" i="20"/>
  <c r="AE1792" i="20" s="1"/>
  <c r="R1793" i="20"/>
  <c r="AD1793" i="20"/>
  <c r="AE1793" i="20" s="1"/>
  <c r="R1794" i="20"/>
  <c r="AD1794" i="20"/>
  <c r="AE1794" i="20" s="1"/>
  <c r="R1795" i="20"/>
  <c r="AD1795" i="20"/>
  <c r="AE1795" i="20" s="1"/>
  <c r="R1796" i="20"/>
  <c r="AD1796" i="20"/>
  <c r="AE1796" i="20" s="1"/>
  <c r="R1797" i="20"/>
  <c r="AD1797" i="20"/>
  <c r="AE1797" i="20" s="1"/>
  <c r="R1798" i="20"/>
  <c r="AD1798" i="20"/>
  <c r="AE1798" i="20" s="1"/>
  <c r="R1799" i="20"/>
  <c r="AD1799" i="20"/>
  <c r="AE1799" i="20" s="1"/>
  <c r="R1800" i="20"/>
  <c r="AD1800" i="20"/>
  <c r="AE1800" i="20" s="1"/>
  <c r="R1801" i="20"/>
  <c r="AD1801" i="20"/>
  <c r="AE1801" i="20" s="1"/>
  <c r="R1802" i="20"/>
  <c r="AD1802" i="20"/>
  <c r="AE1802" i="20" s="1"/>
  <c r="R1803" i="20"/>
  <c r="AD1803" i="20"/>
  <c r="AE1803" i="20" s="1"/>
  <c r="R1804" i="20"/>
  <c r="AD1804" i="20"/>
  <c r="AE1804" i="20" s="1"/>
  <c r="R1805" i="20"/>
  <c r="AD1805" i="20"/>
  <c r="AE1805" i="20" s="1"/>
  <c r="R1806" i="20"/>
  <c r="AD1806" i="20"/>
  <c r="AE1806" i="20" s="1"/>
  <c r="R1807" i="20"/>
  <c r="AD1807" i="20"/>
  <c r="AE1807" i="20" s="1"/>
  <c r="R1808" i="20"/>
  <c r="AD1808" i="20"/>
  <c r="AE1808" i="20" s="1"/>
  <c r="R1809" i="20"/>
  <c r="AD1809" i="20"/>
  <c r="AE1809" i="20" s="1"/>
  <c r="R1810" i="20"/>
  <c r="AD1810" i="20"/>
  <c r="AE1810" i="20" s="1"/>
  <c r="R1811" i="20"/>
  <c r="AD1811" i="20"/>
  <c r="AE1811" i="20" s="1"/>
  <c r="R1812" i="20"/>
  <c r="AD1812" i="20"/>
  <c r="AE1812" i="20" s="1"/>
  <c r="R1813" i="20"/>
  <c r="AD1813" i="20"/>
  <c r="AE1813" i="20" s="1"/>
  <c r="R1814" i="20"/>
  <c r="AD1814" i="20"/>
  <c r="AE1814" i="20" s="1"/>
  <c r="R1815" i="20"/>
  <c r="AD1815" i="20"/>
  <c r="AE1815" i="20" s="1"/>
  <c r="R1816" i="20"/>
  <c r="AD1816" i="20"/>
  <c r="AE1816" i="20" s="1"/>
  <c r="R1817" i="20"/>
  <c r="AD1817" i="20"/>
  <c r="AE1817" i="20" s="1"/>
  <c r="R1818" i="20"/>
  <c r="AD1818" i="20"/>
  <c r="AE1818" i="20" s="1"/>
  <c r="R1819" i="20"/>
  <c r="AD1819" i="20"/>
  <c r="AE1819" i="20" s="1"/>
  <c r="R1820" i="20"/>
  <c r="AD1820" i="20"/>
  <c r="AE1820" i="20" s="1"/>
  <c r="R1821" i="20"/>
  <c r="AD1821" i="20"/>
  <c r="AE1821" i="20" s="1"/>
  <c r="R1822" i="20"/>
  <c r="AD1822" i="20"/>
  <c r="AE1822" i="20" s="1"/>
  <c r="R1823" i="20"/>
  <c r="AD1823" i="20"/>
  <c r="AE1823" i="20" s="1"/>
  <c r="R1824" i="20"/>
  <c r="AD1824" i="20"/>
  <c r="AE1824" i="20" s="1"/>
  <c r="R1825" i="20"/>
  <c r="AD1825" i="20"/>
  <c r="AE1825" i="20" s="1"/>
  <c r="R1826" i="20"/>
  <c r="AD1826" i="20"/>
  <c r="AE1826" i="20" s="1"/>
  <c r="R1827" i="20"/>
  <c r="AD1827" i="20"/>
  <c r="AE1827" i="20" s="1"/>
  <c r="R1828" i="20"/>
  <c r="AD1828" i="20"/>
  <c r="AE1828" i="20" s="1"/>
  <c r="R1829" i="20"/>
  <c r="AD1829" i="20"/>
  <c r="AE1829" i="20" s="1"/>
  <c r="R1830" i="20"/>
  <c r="AD1830" i="20"/>
  <c r="AE1830" i="20" s="1"/>
  <c r="R1831" i="20"/>
  <c r="AD1831" i="20"/>
  <c r="AE1831" i="20" s="1"/>
  <c r="R1832" i="20"/>
  <c r="AD1832" i="20"/>
  <c r="AE1832" i="20" s="1"/>
  <c r="R1833" i="20"/>
  <c r="AD1833" i="20"/>
  <c r="AE1833" i="20" s="1"/>
  <c r="R1834" i="20"/>
  <c r="AD1834" i="20"/>
  <c r="AE1834" i="20" s="1"/>
  <c r="R1835" i="20"/>
  <c r="AD1835" i="20"/>
  <c r="AE1835" i="20" s="1"/>
  <c r="R1836" i="20"/>
  <c r="AD1836" i="20"/>
  <c r="AE1836" i="20" s="1"/>
  <c r="R1837" i="20"/>
  <c r="AD1837" i="20"/>
  <c r="AE1837" i="20" s="1"/>
  <c r="R1838" i="20"/>
  <c r="AD1838" i="20"/>
  <c r="AE1838" i="20" s="1"/>
  <c r="R1839" i="20"/>
  <c r="AD1839" i="20"/>
  <c r="AE1839" i="20" s="1"/>
  <c r="R1840" i="20"/>
  <c r="AD1840" i="20"/>
  <c r="AE1840" i="20" s="1"/>
  <c r="R1841" i="20"/>
  <c r="AD1841" i="20"/>
  <c r="AE1841" i="20" s="1"/>
  <c r="R1842" i="20"/>
  <c r="AD1842" i="20"/>
  <c r="AE1842" i="20" s="1"/>
  <c r="R1843" i="20"/>
  <c r="AD1843" i="20"/>
  <c r="AE1843" i="20" s="1"/>
  <c r="R1844" i="20"/>
  <c r="AD1844" i="20"/>
  <c r="AE1844" i="20" s="1"/>
  <c r="R1845" i="20"/>
  <c r="AD1845" i="20"/>
  <c r="AE1845" i="20" s="1"/>
  <c r="R1846" i="20"/>
  <c r="AD1846" i="20"/>
  <c r="AE1846" i="20" s="1"/>
  <c r="R1847" i="20"/>
  <c r="AD1847" i="20"/>
  <c r="AE1847" i="20" s="1"/>
  <c r="R1848" i="20"/>
  <c r="AD1848" i="20"/>
  <c r="AE1848" i="20" s="1"/>
  <c r="R1849" i="20"/>
  <c r="AD1849" i="20"/>
  <c r="AE1849" i="20" s="1"/>
  <c r="R1850" i="20"/>
  <c r="AD1850" i="20"/>
  <c r="AE1850" i="20" s="1"/>
  <c r="R1851" i="20"/>
  <c r="AD1851" i="20"/>
  <c r="AE1851" i="20" s="1"/>
  <c r="R1852" i="20"/>
  <c r="AD1852" i="20"/>
  <c r="AE1852" i="20" s="1"/>
  <c r="R1853" i="20"/>
  <c r="AD1853" i="20"/>
  <c r="AE1853" i="20" s="1"/>
  <c r="R1854" i="20"/>
  <c r="AD1854" i="20"/>
  <c r="AE1854" i="20" s="1"/>
  <c r="R1855" i="20"/>
  <c r="AD1855" i="20"/>
  <c r="AE1855" i="20" s="1"/>
  <c r="R1856" i="20"/>
  <c r="AD1856" i="20"/>
  <c r="AE1856" i="20" s="1"/>
  <c r="R1857" i="20"/>
  <c r="AD1857" i="20"/>
  <c r="AE1857" i="20" s="1"/>
  <c r="R1858" i="20"/>
  <c r="AD1858" i="20"/>
  <c r="AE1858" i="20" s="1"/>
  <c r="R1859" i="20"/>
  <c r="AD1859" i="20"/>
  <c r="AE1859" i="20" s="1"/>
  <c r="R1860" i="20"/>
  <c r="AD1860" i="20"/>
  <c r="AE1860" i="20" s="1"/>
  <c r="R1861" i="20"/>
  <c r="AD1861" i="20"/>
  <c r="AE1861" i="20" s="1"/>
  <c r="R1862" i="20"/>
  <c r="AD1862" i="20"/>
  <c r="AE1862" i="20" s="1"/>
  <c r="R1863" i="20"/>
  <c r="AD1863" i="20"/>
  <c r="AE1863" i="20" s="1"/>
  <c r="R1864" i="20"/>
  <c r="AD1864" i="20"/>
  <c r="AE1864" i="20" s="1"/>
  <c r="R1865" i="20"/>
  <c r="AD1865" i="20"/>
  <c r="AE1865" i="20" s="1"/>
  <c r="R1866" i="20"/>
  <c r="AD1866" i="20"/>
  <c r="AE1866" i="20" s="1"/>
  <c r="R1867" i="20"/>
  <c r="AD1867" i="20"/>
  <c r="AE1867" i="20" s="1"/>
  <c r="R1868" i="20"/>
  <c r="AD1868" i="20"/>
  <c r="AE1868" i="20" s="1"/>
  <c r="R1869" i="20"/>
  <c r="AD1869" i="20"/>
  <c r="AE1869" i="20" s="1"/>
  <c r="R1870" i="20"/>
  <c r="AD1870" i="20"/>
  <c r="AE1870" i="20" s="1"/>
  <c r="R1871" i="20"/>
  <c r="AD1871" i="20"/>
  <c r="AE1871" i="20" s="1"/>
  <c r="R1872" i="20"/>
  <c r="AD1872" i="20"/>
  <c r="AE1872" i="20" s="1"/>
  <c r="R1873" i="20"/>
  <c r="AD1873" i="20"/>
  <c r="AE1873" i="20" s="1"/>
  <c r="R1874" i="20"/>
  <c r="AD1874" i="20"/>
  <c r="AE1874" i="20" s="1"/>
  <c r="R1875" i="20"/>
  <c r="AD1875" i="20"/>
  <c r="AE1875" i="20" s="1"/>
  <c r="R1876" i="20"/>
  <c r="AD1876" i="20"/>
  <c r="AE1876" i="20" s="1"/>
  <c r="R1877" i="20"/>
  <c r="AD1877" i="20"/>
  <c r="AE1877" i="20" s="1"/>
  <c r="R1878" i="20"/>
  <c r="AD1878" i="20"/>
  <c r="AE1878" i="20" s="1"/>
  <c r="R1879" i="20"/>
  <c r="AD1879" i="20"/>
  <c r="AE1879" i="20" s="1"/>
  <c r="R1880" i="20"/>
  <c r="AD1880" i="20"/>
  <c r="AE1880" i="20" s="1"/>
  <c r="R1881" i="20"/>
  <c r="AD1881" i="20"/>
  <c r="AE1881" i="20" s="1"/>
  <c r="R1882" i="20"/>
  <c r="AD1882" i="20"/>
  <c r="AE1882" i="20" s="1"/>
  <c r="R1883" i="20"/>
  <c r="AD1883" i="20"/>
  <c r="AE1883" i="20" s="1"/>
  <c r="R1884" i="20"/>
  <c r="AD1884" i="20"/>
  <c r="AE1884" i="20" s="1"/>
  <c r="R1885" i="20"/>
  <c r="AD1885" i="20"/>
  <c r="AE1885" i="20" s="1"/>
  <c r="R1886" i="20"/>
  <c r="AD1886" i="20"/>
  <c r="AE1886" i="20" s="1"/>
  <c r="R1887" i="20"/>
  <c r="AD1887" i="20"/>
  <c r="AE1887" i="20" s="1"/>
  <c r="R1888" i="20"/>
  <c r="AD1888" i="20"/>
  <c r="AE1888" i="20" s="1"/>
  <c r="R1889" i="20"/>
  <c r="AD1889" i="20"/>
  <c r="AE1889" i="20" s="1"/>
  <c r="R1890" i="20"/>
  <c r="AD1890" i="20"/>
  <c r="AE1890" i="20" s="1"/>
  <c r="R1891" i="20"/>
  <c r="AD1891" i="20"/>
  <c r="AE1891" i="20" s="1"/>
  <c r="R1892" i="20"/>
  <c r="AD1892" i="20"/>
  <c r="AE1892" i="20" s="1"/>
  <c r="R1893" i="20"/>
  <c r="AD1893" i="20"/>
  <c r="AE1893" i="20" s="1"/>
  <c r="R1894" i="20"/>
  <c r="AD1894" i="20"/>
  <c r="AE1894" i="20" s="1"/>
  <c r="R1895" i="20"/>
  <c r="AD1895" i="20"/>
  <c r="AE1895" i="20" s="1"/>
  <c r="R1896" i="20"/>
  <c r="AD1896" i="20"/>
  <c r="AE1896" i="20" s="1"/>
  <c r="R1897" i="20"/>
  <c r="AD1897" i="20"/>
  <c r="AE1897" i="20" s="1"/>
  <c r="R1898" i="20"/>
  <c r="AD1898" i="20"/>
  <c r="AE1898" i="20" s="1"/>
  <c r="R1899" i="20"/>
  <c r="AD1899" i="20"/>
  <c r="AE1899" i="20" s="1"/>
  <c r="R1900" i="20"/>
  <c r="AD1900" i="20"/>
  <c r="AE1900" i="20" s="1"/>
  <c r="R1901" i="20"/>
  <c r="AD1901" i="20"/>
  <c r="AE1901" i="20" s="1"/>
  <c r="R1902" i="20"/>
  <c r="AD1902" i="20"/>
  <c r="AE1902" i="20" s="1"/>
  <c r="R1903" i="20"/>
  <c r="AD1903" i="20"/>
  <c r="AE1903" i="20" s="1"/>
  <c r="R1904" i="20"/>
  <c r="AD1904" i="20"/>
  <c r="AE1904" i="20" s="1"/>
  <c r="R1905" i="20"/>
  <c r="AD1905" i="20"/>
  <c r="AE1905" i="20" s="1"/>
  <c r="R1906" i="20"/>
  <c r="AD1906" i="20"/>
  <c r="AE1906" i="20" s="1"/>
  <c r="R1907" i="20"/>
  <c r="AD1907" i="20"/>
  <c r="AE1907" i="20" s="1"/>
  <c r="R1908" i="20"/>
  <c r="AD1908" i="20"/>
  <c r="AE1908" i="20" s="1"/>
  <c r="R1909" i="20"/>
  <c r="AD1909" i="20"/>
  <c r="AE1909" i="20" s="1"/>
  <c r="R1910" i="20"/>
  <c r="AD1910" i="20"/>
  <c r="AE1910" i="20" s="1"/>
  <c r="R1911" i="20"/>
  <c r="AD1911" i="20"/>
  <c r="AE1911" i="20" s="1"/>
  <c r="R1912" i="20"/>
  <c r="AD1912" i="20"/>
  <c r="AE1912" i="20" s="1"/>
  <c r="R1913" i="20"/>
  <c r="AD1913" i="20"/>
  <c r="AE1913" i="20" s="1"/>
  <c r="R1914" i="20"/>
  <c r="AD1914" i="20"/>
  <c r="AE1914" i="20" s="1"/>
  <c r="R1915" i="20"/>
  <c r="AD1915" i="20"/>
  <c r="AE1915" i="20" s="1"/>
  <c r="R1916" i="20"/>
  <c r="AD1916" i="20"/>
  <c r="AE1916" i="20" s="1"/>
  <c r="R1917" i="20"/>
  <c r="AD1917" i="20"/>
  <c r="AE1917" i="20" s="1"/>
  <c r="R1918" i="20"/>
  <c r="AD1918" i="20"/>
  <c r="AE1918" i="20" s="1"/>
  <c r="R1919" i="20"/>
  <c r="AD1919" i="20"/>
  <c r="AE1919" i="20" s="1"/>
  <c r="R1920" i="20"/>
  <c r="AD1920" i="20"/>
  <c r="AE1920" i="20" s="1"/>
  <c r="R1921" i="20"/>
  <c r="AD1921" i="20"/>
  <c r="AE1921" i="20" s="1"/>
  <c r="R1922" i="20"/>
  <c r="AD1922" i="20"/>
  <c r="AE1922" i="20" s="1"/>
  <c r="R1923" i="20"/>
  <c r="AD1923" i="20"/>
  <c r="AE1923" i="20" s="1"/>
  <c r="R1924" i="20"/>
  <c r="AD1924" i="20"/>
  <c r="AE1924" i="20" s="1"/>
  <c r="R1925" i="20"/>
  <c r="AD1925" i="20"/>
  <c r="AE1925" i="20" s="1"/>
  <c r="R1926" i="20"/>
  <c r="AD1926" i="20"/>
  <c r="AE1926" i="20" s="1"/>
  <c r="R1927" i="20"/>
  <c r="AD1927" i="20"/>
  <c r="AE1927" i="20" s="1"/>
  <c r="R1928" i="20"/>
  <c r="AD1928" i="20"/>
  <c r="AE1928" i="20" s="1"/>
  <c r="R1929" i="20"/>
  <c r="AD1929" i="20"/>
  <c r="AE1929" i="20" s="1"/>
  <c r="R1930" i="20"/>
  <c r="AD1930" i="20"/>
  <c r="AE1930" i="20" s="1"/>
  <c r="R1931" i="20"/>
  <c r="AD1931" i="20"/>
  <c r="AE1931" i="20" s="1"/>
  <c r="R1932" i="20"/>
  <c r="AD1932" i="20"/>
  <c r="AE1932" i="20" s="1"/>
  <c r="R1933" i="20"/>
  <c r="AD1933" i="20"/>
  <c r="AE1933" i="20" s="1"/>
  <c r="R1934" i="20"/>
  <c r="AD1934" i="20"/>
  <c r="AE1934" i="20" s="1"/>
  <c r="R1935" i="20"/>
  <c r="AD1935" i="20"/>
  <c r="AE1935" i="20" s="1"/>
  <c r="R1936" i="20"/>
  <c r="AD1936" i="20"/>
  <c r="AE1936" i="20" s="1"/>
  <c r="R1937" i="20"/>
  <c r="AD1937" i="20"/>
  <c r="AE1937" i="20" s="1"/>
  <c r="R1938" i="20"/>
  <c r="AD1938" i="20"/>
  <c r="AE1938" i="20" s="1"/>
  <c r="R1939" i="20"/>
  <c r="AD1939" i="20"/>
  <c r="AE1939" i="20" s="1"/>
  <c r="R1940" i="20"/>
  <c r="AD1940" i="20"/>
  <c r="AE1940" i="20" s="1"/>
  <c r="R1941" i="20"/>
  <c r="AD1941" i="20"/>
  <c r="AE1941" i="20" s="1"/>
  <c r="R1942" i="20"/>
  <c r="AD1942" i="20"/>
  <c r="AE1942" i="20" s="1"/>
  <c r="R1943" i="20"/>
  <c r="AD1943" i="20"/>
  <c r="AE1943" i="20" s="1"/>
  <c r="R1944" i="20"/>
  <c r="AD1944" i="20"/>
  <c r="AE1944" i="20" s="1"/>
  <c r="R1945" i="20"/>
  <c r="AD1945" i="20"/>
  <c r="AE1945" i="20" s="1"/>
  <c r="R1946" i="20"/>
  <c r="AD1946" i="20"/>
  <c r="AE1946" i="20" s="1"/>
  <c r="R1947" i="20"/>
  <c r="AD1947" i="20"/>
  <c r="AE1947" i="20" s="1"/>
  <c r="R1948" i="20"/>
  <c r="AD1948" i="20"/>
  <c r="AE1948" i="20" s="1"/>
  <c r="R1949" i="20"/>
  <c r="AD1949" i="20"/>
  <c r="AE1949" i="20" s="1"/>
  <c r="R1950" i="20"/>
  <c r="AD1950" i="20"/>
  <c r="AE1950" i="20" s="1"/>
  <c r="R1951" i="20"/>
  <c r="AD1951" i="20"/>
  <c r="AE1951" i="20" s="1"/>
  <c r="R1952" i="20"/>
  <c r="AD1952" i="20"/>
  <c r="AE1952" i="20" s="1"/>
  <c r="R1953" i="20"/>
  <c r="AD1953" i="20"/>
  <c r="AE1953" i="20" s="1"/>
  <c r="R1954" i="20"/>
  <c r="AD1954" i="20"/>
  <c r="AE1954" i="20" s="1"/>
  <c r="R1955" i="20"/>
  <c r="AD1955" i="20"/>
  <c r="AE1955" i="20" s="1"/>
  <c r="R1956" i="20"/>
  <c r="AD1956" i="20"/>
  <c r="AE1956" i="20" s="1"/>
  <c r="R1957" i="20"/>
  <c r="AD1957" i="20"/>
  <c r="AE1957" i="20" s="1"/>
  <c r="R1958" i="20"/>
  <c r="AD1958" i="20"/>
  <c r="AE1958" i="20" s="1"/>
  <c r="R1959" i="20"/>
  <c r="AD1959" i="20"/>
  <c r="AE1959" i="20" s="1"/>
  <c r="R1960" i="20"/>
  <c r="AD1960" i="20"/>
  <c r="AE1960" i="20" s="1"/>
  <c r="R1961" i="20"/>
  <c r="AD1961" i="20"/>
  <c r="AE1961" i="20" s="1"/>
  <c r="R1962" i="20"/>
  <c r="AD1962" i="20"/>
  <c r="AE1962" i="20" s="1"/>
  <c r="R1963" i="20"/>
  <c r="AD1963" i="20"/>
  <c r="AE1963" i="20" s="1"/>
  <c r="R1964" i="20"/>
  <c r="AD1964" i="20"/>
  <c r="AE1964" i="20" s="1"/>
  <c r="R1965" i="20"/>
  <c r="AD1965" i="20"/>
  <c r="AE1965" i="20" s="1"/>
  <c r="R1966" i="20"/>
  <c r="AD1966" i="20"/>
  <c r="AE1966" i="20" s="1"/>
  <c r="R1967" i="20"/>
  <c r="AD1967" i="20"/>
  <c r="AE1967" i="20" s="1"/>
  <c r="R1968" i="20"/>
  <c r="AD1968" i="20"/>
  <c r="AE1968" i="20" s="1"/>
  <c r="R1969" i="20"/>
  <c r="AD1969" i="20"/>
  <c r="AE1969" i="20" s="1"/>
  <c r="R1970" i="20"/>
  <c r="AD1970" i="20"/>
  <c r="AE1970" i="20" s="1"/>
  <c r="R1971" i="20"/>
  <c r="AD1971" i="20"/>
  <c r="AE1971" i="20" s="1"/>
  <c r="R1972" i="20"/>
  <c r="AD1972" i="20"/>
  <c r="AE1972" i="20" s="1"/>
  <c r="R1973" i="20"/>
  <c r="AD1973" i="20"/>
  <c r="AE1973" i="20" s="1"/>
  <c r="R1974" i="20"/>
  <c r="AD1974" i="20"/>
  <c r="AE1974" i="20" s="1"/>
  <c r="R1975" i="20"/>
  <c r="AD1975" i="20"/>
  <c r="AE1975" i="20" s="1"/>
  <c r="R1976" i="20"/>
  <c r="AD1976" i="20"/>
  <c r="AE1976" i="20" s="1"/>
  <c r="R1977" i="20"/>
  <c r="AD1977" i="20"/>
  <c r="AE1977" i="20" s="1"/>
  <c r="R1978" i="20"/>
  <c r="AD1978" i="20"/>
  <c r="AE1978" i="20" s="1"/>
  <c r="R1979" i="20"/>
  <c r="AD1979" i="20"/>
  <c r="AE1979" i="20" s="1"/>
  <c r="R1980" i="20"/>
  <c r="AD1980" i="20"/>
  <c r="AE1980" i="20" s="1"/>
  <c r="R1981" i="20"/>
  <c r="AD1981" i="20"/>
  <c r="AE1981" i="20" s="1"/>
  <c r="R1982" i="20"/>
  <c r="AD1982" i="20"/>
  <c r="AE1982" i="20" s="1"/>
  <c r="R1983" i="20"/>
  <c r="AD1983" i="20"/>
  <c r="AE1983" i="20" s="1"/>
  <c r="R1984" i="20"/>
  <c r="AD1984" i="20"/>
  <c r="AE1984" i="20" s="1"/>
  <c r="R1985" i="20"/>
  <c r="AD1985" i="20"/>
  <c r="AE1985" i="20" s="1"/>
  <c r="R1986" i="20"/>
  <c r="AD1986" i="20"/>
  <c r="AE1986" i="20" s="1"/>
  <c r="R1987" i="20"/>
  <c r="AD1987" i="20"/>
  <c r="AE1987" i="20" s="1"/>
  <c r="R1988" i="20"/>
  <c r="AD1988" i="20"/>
  <c r="AE1988" i="20" s="1"/>
  <c r="R1989" i="20"/>
  <c r="AD1989" i="20"/>
  <c r="AE1989" i="20" s="1"/>
  <c r="R1990" i="20"/>
  <c r="AD1990" i="20"/>
  <c r="AE1990" i="20" s="1"/>
  <c r="R1991" i="20"/>
  <c r="AD1991" i="20"/>
  <c r="AE1991" i="20" s="1"/>
  <c r="R1992" i="20"/>
  <c r="AD1992" i="20"/>
  <c r="AE1992" i="20" s="1"/>
  <c r="R1993" i="20"/>
  <c r="AD1993" i="20"/>
  <c r="AE1993" i="20" s="1"/>
  <c r="R1994" i="20"/>
  <c r="AD1994" i="20"/>
  <c r="AE1994" i="20" s="1"/>
  <c r="R1995" i="20"/>
  <c r="AD1995" i="20"/>
  <c r="AE1995" i="20" s="1"/>
  <c r="R1996" i="20"/>
  <c r="AD1996" i="20"/>
  <c r="AE1996" i="20" s="1"/>
  <c r="R1997" i="20"/>
  <c r="AD1997" i="20"/>
  <c r="AE1997" i="20" s="1"/>
  <c r="R1998" i="20"/>
  <c r="AD1998" i="20"/>
  <c r="AE1998" i="20" s="1"/>
  <c r="R1999" i="20"/>
  <c r="AD1999" i="20"/>
  <c r="AE1999" i="20" s="1"/>
  <c r="R2000" i="20"/>
  <c r="AD2000" i="20"/>
  <c r="AE2000" i="20" s="1"/>
  <c r="R2001" i="20"/>
  <c r="AD2001" i="20"/>
  <c r="AE2001" i="20" s="1"/>
  <c r="R2002" i="20"/>
  <c r="AD2002" i="20"/>
  <c r="AE2002" i="20" s="1"/>
  <c r="R2003" i="20"/>
  <c r="AD2003" i="20"/>
  <c r="AE2003" i="20" s="1"/>
  <c r="R2004" i="20"/>
  <c r="AD2004" i="20"/>
  <c r="AE2004" i="20" s="1"/>
  <c r="R2005" i="20"/>
  <c r="AD2005" i="20"/>
  <c r="AE2005" i="20" s="1"/>
  <c r="R2006" i="20"/>
  <c r="AD2006" i="20"/>
  <c r="AE2006" i="20" s="1"/>
  <c r="R2007" i="20"/>
  <c r="AD2007" i="20"/>
  <c r="AE2007" i="20" s="1"/>
  <c r="R2008" i="20"/>
  <c r="AD2008" i="20"/>
  <c r="AE2008" i="20" s="1"/>
  <c r="R2009" i="20"/>
  <c r="AD2009" i="20"/>
  <c r="AE2009" i="20" s="1"/>
  <c r="R2010" i="20"/>
  <c r="AD2010" i="20"/>
  <c r="AE2010" i="20" s="1"/>
  <c r="R2011" i="20"/>
  <c r="AD2011" i="20"/>
  <c r="AE2011" i="20" s="1"/>
  <c r="R2012" i="20"/>
  <c r="AD2012" i="20"/>
  <c r="AE2012" i="20" s="1"/>
  <c r="R2013" i="20"/>
  <c r="AD2013" i="20"/>
  <c r="AE2013" i="20" s="1"/>
  <c r="R2014" i="20"/>
  <c r="AD2014" i="20"/>
  <c r="AE2014" i="20" s="1"/>
  <c r="R2015" i="20"/>
  <c r="AD2015" i="20"/>
  <c r="AE2015" i="20" s="1"/>
  <c r="R2016" i="20"/>
  <c r="AD2016" i="20"/>
  <c r="AE2016" i="20" s="1"/>
  <c r="R2017" i="20"/>
  <c r="AD2017" i="20"/>
  <c r="AE2017" i="20" s="1"/>
  <c r="R2018" i="20"/>
  <c r="AD2018" i="20"/>
  <c r="AE2018" i="20" s="1"/>
  <c r="R2019" i="20"/>
  <c r="AD2019" i="20"/>
  <c r="AE2019" i="20" s="1"/>
  <c r="R2020" i="20"/>
  <c r="AD2020" i="20"/>
  <c r="AE2020" i="20" s="1"/>
  <c r="R2021" i="20"/>
  <c r="AD2021" i="20"/>
  <c r="AE2021" i="20" s="1"/>
  <c r="R2022" i="20"/>
  <c r="AD2022" i="20"/>
  <c r="AE2022" i="20" s="1"/>
  <c r="R2023" i="20"/>
  <c r="AD2023" i="20"/>
  <c r="AE2023" i="20" s="1"/>
  <c r="R2024" i="20"/>
  <c r="AD2024" i="20"/>
  <c r="AE2024" i="20" s="1"/>
  <c r="R2025" i="20"/>
  <c r="AD2025" i="20"/>
  <c r="AE2025" i="20" s="1"/>
  <c r="R2026" i="20"/>
  <c r="AD2026" i="20"/>
  <c r="AE2026" i="20" s="1"/>
  <c r="R2027" i="20"/>
  <c r="AD2027" i="20"/>
  <c r="AE2027" i="20" s="1"/>
  <c r="R2028" i="20"/>
  <c r="AD2028" i="20"/>
  <c r="AE2028" i="20" s="1"/>
  <c r="R2029" i="20"/>
  <c r="AD2029" i="20"/>
  <c r="AE2029" i="20" s="1"/>
  <c r="R2030" i="20"/>
  <c r="AD2030" i="20"/>
  <c r="AE2030" i="20" s="1"/>
  <c r="R2031" i="20"/>
  <c r="AD2031" i="20"/>
  <c r="AE2031" i="20" s="1"/>
  <c r="R2032" i="20"/>
  <c r="AD2032" i="20"/>
  <c r="AE2032" i="20" s="1"/>
  <c r="R2033" i="20"/>
  <c r="AD2033" i="20"/>
  <c r="AE2033" i="20" s="1"/>
  <c r="R2034" i="20"/>
  <c r="AD2034" i="20"/>
  <c r="AE2034" i="20" s="1"/>
  <c r="R2035" i="20"/>
  <c r="AD2035" i="20"/>
  <c r="AE2035" i="20" s="1"/>
  <c r="R2036" i="20"/>
  <c r="AD2036" i="20"/>
  <c r="AE2036" i="20" s="1"/>
  <c r="R2037" i="20"/>
  <c r="AD2037" i="20"/>
  <c r="AE2037" i="20" s="1"/>
  <c r="R2038" i="20"/>
  <c r="AD2038" i="20"/>
  <c r="AE2038" i="20" s="1"/>
  <c r="R2039" i="20"/>
  <c r="AD2039" i="20"/>
  <c r="AE2039" i="20" s="1"/>
  <c r="R2040" i="20"/>
  <c r="AD2040" i="20"/>
  <c r="AE2040" i="20" s="1"/>
  <c r="R2041" i="20"/>
  <c r="AD2041" i="20"/>
  <c r="AE2041" i="20" s="1"/>
  <c r="R2042" i="20"/>
  <c r="AD2042" i="20"/>
  <c r="AE2042" i="20" s="1"/>
  <c r="R2043" i="20"/>
  <c r="AD2043" i="20"/>
  <c r="AE2043" i="20" s="1"/>
  <c r="R2044" i="20"/>
  <c r="AD2044" i="20"/>
  <c r="AE2044" i="20" s="1"/>
  <c r="R2045" i="20"/>
  <c r="AD2045" i="20"/>
  <c r="AE2045" i="20" s="1"/>
  <c r="R2046" i="20"/>
  <c r="AD2046" i="20"/>
  <c r="AE2046" i="20" s="1"/>
  <c r="R2047" i="20"/>
  <c r="AD2047" i="20"/>
  <c r="AE2047" i="20" s="1"/>
  <c r="R2048" i="20"/>
  <c r="AD2048" i="20"/>
  <c r="AE2048" i="20" s="1"/>
  <c r="R2049" i="20"/>
  <c r="AD2049" i="20"/>
  <c r="AE2049" i="20" s="1"/>
  <c r="R2050" i="20"/>
  <c r="AD2050" i="20"/>
  <c r="AE2050" i="20" s="1"/>
  <c r="R2051" i="20"/>
  <c r="AD2051" i="20"/>
  <c r="AE2051" i="20" s="1"/>
  <c r="R2052" i="20"/>
  <c r="AD2052" i="20"/>
  <c r="AE2052" i="20" s="1"/>
  <c r="R2053" i="20"/>
  <c r="AD2053" i="20"/>
  <c r="AE2053" i="20" s="1"/>
  <c r="R2054" i="20"/>
  <c r="AD2054" i="20"/>
  <c r="AE2054" i="20" s="1"/>
  <c r="R2055" i="20"/>
  <c r="AD2055" i="20"/>
  <c r="AE2055" i="20" s="1"/>
  <c r="R2056" i="20"/>
  <c r="AD2056" i="20"/>
  <c r="AE2056" i="20" s="1"/>
  <c r="R2057" i="20"/>
  <c r="AD2057" i="20"/>
  <c r="AE2057" i="20" s="1"/>
  <c r="R2058" i="20"/>
  <c r="AD2058" i="20"/>
  <c r="AE2058" i="20" s="1"/>
  <c r="R2059" i="20"/>
  <c r="AD2059" i="20"/>
  <c r="AE2059" i="20" s="1"/>
  <c r="R2060" i="20"/>
  <c r="AD2060" i="20"/>
  <c r="AE2060" i="20" s="1"/>
  <c r="R2061" i="20"/>
  <c r="AD2061" i="20"/>
  <c r="AE2061" i="20" s="1"/>
  <c r="R2062" i="20"/>
  <c r="AD2062" i="20"/>
  <c r="AE2062" i="20" s="1"/>
  <c r="R2063" i="20"/>
  <c r="AD2063" i="20"/>
  <c r="AE2063" i="20" s="1"/>
  <c r="R2064" i="20"/>
  <c r="AD2064" i="20"/>
  <c r="AE2064" i="20" s="1"/>
  <c r="R2065" i="20"/>
  <c r="AD2065" i="20"/>
  <c r="AE2065" i="20" s="1"/>
  <c r="R2066" i="20"/>
  <c r="AD2066" i="20"/>
  <c r="AE2066" i="20" s="1"/>
  <c r="R2067" i="20"/>
  <c r="AD2067" i="20"/>
  <c r="AE2067" i="20" s="1"/>
  <c r="R2068" i="20"/>
  <c r="AD2068" i="20"/>
  <c r="AE2068" i="20" s="1"/>
  <c r="R2069" i="20"/>
  <c r="AD2069" i="20"/>
  <c r="AE2069" i="20" s="1"/>
  <c r="R2070" i="20"/>
  <c r="AD2070" i="20"/>
  <c r="AE2070" i="20" s="1"/>
  <c r="R2071" i="20"/>
  <c r="AD2071" i="20"/>
  <c r="AE2071" i="20" s="1"/>
  <c r="R2072" i="20"/>
  <c r="AD2072" i="20"/>
  <c r="AE2072" i="20" s="1"/>
  <c r="R2073" i="20"/>
  <c r="AD2073" i="20"/>
  <c r="AE2073" i="20" s="1"/>
  <c r="R2074" i="20"/>
  <c r="AD2074" i="20"/>
  <c r="AE2074" i="20" s="1"/>
  <c r="R2075" i="20"/>
  <c r="AD2075" i="20"/>
  <c r="AE2075" i="20" s="1"/>
  <c r="R2076" i="20"/>
  <c r="AD2076" i="20"/>
  <c r="AE2076" i="20" s="1"/>
  <c r="R2077" i="20"/>
  <c r="AD2077" i="20"/>
  <c r="AE2077" i="20" s="1"/>
  <c r="R2078" i="20"/>
  <c r="AD2078" i="20"/>
  <c r="AE2078" i="20" s="1"/>
  <c r="R2079" i="20"/>
  <c r="AD2079" i="20"/>
  <c r="AE2079" i="20" s="1"/>
  <c r="R2080" i="20"/>
  <c r="AD2080" i="20"/>
  <c r="AE2080" i="20" s="1"/>
  <c r="R2081" i="20"/>
  <c r="AD2081" i="20"/>
  <c r="AE2081" i="20" s="1"/>
  <c r="R2082" i="20"/>
  <c r="AD2082" i="20"/>
  <c r="AE2082" i="20" s="1"/>
  <c r="R2083" i="20"/>
  <c r="AD2083" i="20"/>
  <c r="AE2083" i="20" s="1"/>
  <c r="R2084" i="20"/>
  <c r="AD2084" i="20"/>
  <c r="AE2084" i="20" s="1"/>
  <c r="R2085" i="20"/>
  <c r="AD2085" i="20"/>
  <c r="AE2085" i="20" s="1"/>
  <c r="R2086" i="20"/>
  <c r="AD2086" i="20"/>
  <c r="AE2086" i="20" s="1"/>
  <c r="R2087" i="20"/>
  <c r="AD2087" i="20"/>
  <c r="AE2087" i="20" s="1"/>
  <c r="R2088" i="20"/>
  <c r="AD2088" i="20"/>
  <c r="AE2088" i="20" s="1"/>
  <c r="R2089" i="20"/>
  <c r="AD2089" i="20"/>
  <c r="AE2089" i="20" s="1"/>
  <c r="R2090" i="20"/>
  <c r="AD2090" i="20"/>
  <c r="AE2090" i="20" s="1"/>
  <c r="R2091" i="20"/>
  <c r="AD2091" i="20"/>
  <c r="AE2091" i="20" s="1"/>
  <c r="R2092" i="20"/>
  <c r="AD2092" i="20"/>
  <c r="AE2092" i="20" s="1"/>
  <c r="R2093" i="20"/>
  <c r="AD2093" i="20"/>
  <c r="AE2093" i="20" s="1"/>
  <c r="R2094" i="20"/>
  <c r="AD2094" i="20"/>
  <c r="AE2094" i="20" s="1"/>
  <c r="R2095" i="20"/>
  <c r="AD2095" i="20"/>
  <c r="AE2095" i="20" s="1"/>
  <c r="R2096" i="20"/>
  <c r="AD2096" i="20"/>
  <c r="AE2096" i="20" s="1"/>
  <c r="R2097" i="20"/>
  <c r="AD2097" i="20"/>
  <c r="AE2097" i="20" s="1"/>
  <c r="R2098" i="20"/>
  <c r="AD2098" i="20"/>
  <c r="AE2098" i="20" s="1"/>
  <c r="R2099" i="20"/>
  <c r="AD2099" i="20"/>
  <c r="AE2099" i="20" s="1"/>
  <c r="R2100" i="20"/>
  <c r="AD2100" i="20"/>
  <c r="AE2100" i="20" s="1"/>
  <c r="R2101" i="20"/>
  <c r="AD2101" i="20"/>
  <c r="AE2101" i="20" s="1"/>
  <c r="R2102" i="20"/>
  <c r="AD2102" i="20"/>
  <c r="AE2102" i="20" s="1"/>
  <c r="R2103" i="20"/>
  <c r="AD2103" i="20"/>
  <c r="AE2103" i="20" s="1"/>
  <c r="R2104" i="20"/>
  <c r="AD2104" i="20"/>
  <c r="AE2104" i="20" s="1"/>
  <c r="R2105" i="20"/>
  <c r="AD2105" i="20"/>
  <c r="AE2105" i="20" s="1"/>
  <c r="R2106" i="20"/>
  <c r="AD2106" i="20"/>
  <c r="AE2106" i="20" s="1"/>
  <c r="R2107" i="20"/>
  <c r="AD2107" i="20"/>
  <c r="AE2107" i="20" s="1"/>
  <c r="R2108" i="20"/>
  <c r="AD2108" i="20"/>
  <c r="AE2108" i="20" s="1"/>
  <c r="R2109" i="20"/>
  <c r="AD2109" i="20"/>
  <c r="AE2109" i="20" s="1"/>
  <c r="R2110" i="20"/>
  <c r="AD2110" i="20"/>
  <c r="AE2110" i="20" s="1"/>
  <c r="R2111" i="20"/>
  <c r="AD2111" i="20"/>
  <c r="AE2111" i="20" s="1"/>
  <c r="R2112" i="20"/>
  <c r="AD2112" i="20"/>
  <c r="AE2112" i="20" s="1"/>
  <c r="R2113" i="20"/>
  <c r="AD2113" i="20"/>
  <c r="AE2113" i="20" s="1"/>
  <c r="R2114" i="20"/>
  <c r="AD2114" i="20"/>
  <c r="AE2114" i="20" s="1"/>
  <c r="R2115" i="20"/>
  <c r="AD2115" i="20"/>
  <c r="AE2115" i="20" s="1"/>
  <c r="R2116" i="20"/>
  <c r="AD2116" i="20"/>
  <c r="AE2116" i="20" s="1"/>
  <c r="R2117" i="20"/>
  <c r="AD2117" i="20"/>
  <c r="AE2117" i="20" s="1"/>
  <c r="R2118" i="20"/>
  <c r="AD2118" i="20"/>
  <c r="AE2118" i="20" s="1"/>
  <c r="R2119" i="20"/>
  <c r="AD2119" i="20"/>
  <c r="AE2119" i="20" s="1"/>
  <c r="R2120" i="20"/>
  <c r="AD2120" i="20"/>
  <c r="AE2120" i="20" s="1"/>
  <c r="R2121" i="20"/>
  <c r="AD2121" i="20"/>
  <c r="AE2121" i="20" s="1"/>
  <c r="R2122" i="20"/>
  <c r="AD2122" i="20"/>
  <c r="AE2122" i="20" s="1"/>
  <c r="R2123" i="20"/>
  <c r="AD2123" i="20"/>
  <c r="AE2123" i="20" s="1"/>
  <c r="R2124" i="20"/>
  <c r="AD2124" i="20"/>
  <c r="AE2124" i="20" s="1"/>
  <c r="R2125" i="20"/>
  <c r="AD2125" i="20"/>
  <c r="AE2125" i="20" s="1"/>
  <c r="R2126" i="20"/>
  <c r="AD2126" i="20"/>
  <c r="AE2126" i="20" s="1"/>
  <c r="R2127" i="20"/>
  <c r="AD2127" i="20"/>
  <c r="AE2127" i="20" s="1"/>
  <c r="R2128" i="20"/>
  <c r="AD2128" i="20"/>
  <c r="AE2128" i="20" s="1"/>
  <c r="R2129" i="20"/>
  <c r="AD2129" i="20"/>
  <c r="AE2129" i="20" s="1"/>
  <c r="R2130" i="20"/>
  <c r="AD2130" i="20"/>
  <c r="AE2130" i="20" s="1"/>
  <c r="R2131" i="20"/>
  <c r="AD2131" i="20"/>
  <c r="AE2131" i="20" s="1"/>
  <c r="R2132" i="20"/>
  <c r="AD2132" i="20"/>
  <c r="AE2132" i="20" s="1"/>
  <c r="R2133" i="20"/>
  <c r="AD2133" i="20"/>
  <c r="AE2133" i="20" s="1"/>
  <c r="R2134" i="20"/>
  <c r="AD2134" i="20"/>
  <c r="AE2134" i="20" s="1"/>
  <c r="R2135" i="20"/>
  <c r="AD2135" i="20"/>
  <c r="AE2135" i="20" s="1"/>
  <c r="R2136" i="20"/>
  <c r="AD2136" i="20"/>
  <c r="AE2136" i="20" s="1"/>
  <c r="R2137" i="20"/>
  <c r="AD2137" i="20"/>
  <c r="AE2137" i="20" s="1"/>
  <c r="R2138" i="20"/>
  <c r="AD2138" i="20"/>
  <c r="AE2138" i="20" s="1"/>
  <c r="R2139" i="20"/>
  <c r="AD2139" i="20"/>
  <c r="AE2139" i="20" s="1"/>
  <c r="R2140" i="20"/>
  <c r="AD2140" i="20"/>
  <c r="AE2140" i="20" s="1"/>
  <c r="R2141" i="20"/>
  <c r="AD2141" i="20"/>
  <c r="AE2141" i="20" s="1"/>
  <c r="R2142" i="20"/>
  <c r="AD2142" i="20"/>
  <c r="AE2142" i="20" s="1"/>
  <c r="R2143" i="20"/>
  <c r="AD2143" i="20"/>
  <c r="AE2143" i="20" s="1"/>
  <c r="R2144" i="20"/>
  <c r="AD2144" i="20"/>
  <c r="AE2144" i="20" s="1"/>
  <c r="R2145" i="20"/>
  <c r="AD2145" i="20"/>
  <c r="AE2145" i="20" s="1"/>
  <c r="R2146" i="20"/>
  <c r="AD2146" i="20"/>
  <c r="AE2146" i="20" s="1"/>
  <c r="R2147" i="20"/>
  <c r="AD2147" i="20"/>
  <c r="AE2147" i="20" s="1"/>
  <c r="R2148" i="20"/>
  <c r="AD2148" i="20"/>
  <c r="AE2148" i="20" s="1"/>
  <c r="R2149" i="20"/>
  <c r="AD2149" i="20"/>
  <c r="AE2149" i="20" s="1"/>
  <c r="R2150" i="20"/>
  <c r="AD2150" i="20"/>
  <c r="AE2150" i="20" s="1"/>
  <c r="R2151" i="20"/>
  <c r="AD2151" i="20"/>
  <c r="AE2151" i="20" s="1"/>
  <c r="R2152" i="20"/>
  <c r="AD2152" i="20"/>
  <c r="AE2152" i="20" s="1"/>
  <c r="R2153" i="20"/>
  <c r="AD2153" i="20"/>
  <c r="AE2153" i="20" s="1"/>
  <c r="R2154" i="20"/>
  <c r="AD2154" i="20"/>
  <c r="AE2154" i="20" s="1"/>
  <c r="R2155" i="20"/>
  <c r="AD2155" i="20"/>
  <c r="AE2155" i="20" s="1"/>
  <c r="R2156" i="20"/>
  <c r="AD2156" i="20"/>
  <c r="AE2156" i="20" s="1"/>
  <c r="R2157" i="20"/>
  <c r="AD2157" i="20"/>
  <c r="AE2157" i="20" s="1"/>
  <c r="R2158" i="20"/>
  <c r="AD2158" i="20"/>
  <c r="AE2158" i="20" s="1"/>
  <c r="R2159" i="20"/>
  <c r="AD2159" i="20"/>
  <c r="AE2159" i="20" s="1"/>
  <c r="R2160" i="20"/>
  <c r="AD2160" i="20"/>
  <c r="AE2160" i="20" s="1"/>
  <c r="R2161" i="20"/>
  <c r="AD2161" i="20"/>
  <c r="AE2161" i="20" s="1"/>
  <c r="R2162" i="20"/>
  <c r="AD2162" i="20"/>
  <c r="AE2162" i="20" s="1"/>
  <c r="R2163" i="20"/>
  <c r="AD2163" i="20"/>
  <c r="AE2163" i="20" s="1"/>
  <c r="R2164" i="20"/>
  <c r="AD2164" i="20"/>
  <c r="AE2164" i="20" s="1"/>
  <c r="R2165" i="20"/>
  <c r="AD2165" i="20"/>
  <c r="AE2165" i="20" s="1"/>
  <c r="R2166" i="20"/>
  <c r="AD2166" i="20"/>
  <c r="AE2166" i="20" s="1"/>
  <c r="R2167" i="20"/>
  <c r="AD2167" i="20"/>
  <c r="AE2167" i="20" s="1"/>
  <c r="R2168" i="20"/>
  <c r="AD2168" i="20"/>
  <c r="AE2168" i="20" s="1"/>
  <c r="R2169" i="20"/>
  <c r="AD2169" i="20"/>
  <c r="AE2169" i="20" s="1"/>
  <c r="R2170" i="20"/>
  <c r="AD2170" i="20"/>
  <c r="AE2170" i="20" s="1"/>
  <c r="R2171" i="20"/>
  <c r="AD2171" i="20"/>
  <c r="AE2171" i="20" s="1"/>
  <c r="R2172" i="20"/>
  <c r="AD2172" i="20"/>
  <c r="AE2172" i="20" s="1"/>
  <c r="R2173" i="20"/>
  <c r="AD2173" i="20"/>
  <c r="AE2173" i="20" s="1"/>
  <c r="R2174" i="20"/>
  <c r="AD2174" i="20"/>
  <c r="AE2174" i="20" s="1"/>
  <c r="R2175" i="20"/>
  <c r="AD2175" i="20"/>
  <c r="AE2175" i="20" s="1"/>
  <c r="R2176" i="20"/>
  <c r="AD2176" i="20"/>
  <c r="AE2176" i="20" s="1"/>
  <c r="R2177" i="20"/>
  <c r="AD2177" i="20"/>
  <c r="AE2177" i="20" s="1"/>
  <c r="R2178" i="20"/>
  <c r="AD2178" i="20"/>
  <c r="AE2178" i="20" s="1"/>
  <c r="R2179" i="20"/>
  <c r="AD2179" i="20"/>
  <c r="AE2179" i="20" s="1"/>
  <c r="R2180" i="20"/>
  <c r="AD2180" i="20"/>
  <c r="AE2180" i="20" s="1"/>
  <c r="R2181" i="20"/>
  <c r="AD2181" i="20"/>
  <c r="AE2181" i="20" s="1"/>
  <c r="R2182" i="20"/>
  <c r="AD2182" i="20"/>
  <c r="AE2182" i="20" s="1"/>
  <c r="R2183" i="20"/>
  <c r="AD2183" i="20"/>
  <c r="AE2183" i="20" s="1"/>
  <c r="R2184" i="20"/>
  <c r="AD2184" i="20"/>
  <c r="AE2184" i="20" s="1"/>
  <c r="R2185" i="20"/>
  <c r="AD2185" i="20"/>
  <c r="AE2185" i="20" s="1"/>
  <c r="R2186" i="20"/>
  <c r="AD2186" i="20"/>
  <c r="AE2186" i="20" s="1"/>
  <c r="R2187" i="20"/>
  <c r="AD2187" i="20"/>
  <c r="AE2187" i="20" s="1"/>
  <c r="R2188" i="20"/>
  <c r="AD2188" i="20"/>
  <c r="AE2188" i="20" s="1"/>
  <c r="R2189" i="20"/>
  <c r="AD2189" i="20"/>
  <c r="AE2189" i="20" s="1"/>
  <c r="R2190" i="20"/>
  <c r="AD2190" i="20"/>
  <c r="AE2190" i="20" s="1"/>
  <c r="R2191" i="20"/>
  <c r="AD2191" i="20"/>
  <c r="AE2191" i="20" s="1"/>
  <c r="R2192" i="20"/>
  <c r="AD2192" i="20"/>
  <c r="AE2192" i="20" s="1"/>
  <c r="R2193" i="20"/>
  <c r="AD2193" i="20"/>
  <c r="AE2193" i="20" s="1"/>
  <c r="R2194" i="20"/>
  <c r="AD2194" i="20"/>
  <c r="AE2194" i="20" s="1"/>
  <c r="R2195" i="20"/>
  <c r="AD2195" i="20"/>
  <c r="AE2195" i="20" s="1"/>
  <c r="R2196" i="20"/>
  <c r="AD2196" i="20"/>
  <c r="AE2196" i="20" s="1"/>
  <c r="R2197" i="20"/>
  <c r="AD2197" i="20"/>
  <c r="AE2197" i="20" s="1"/>
  <c r="R2198" i="20"/>
  <c r="AD2198" i="20"/>
  <c r="AE2198" i="20" s="1"/>
  <c r="R2199" i="20"/>
  <c r="AD2199" i="20"/>
  <c r="AE2199" i="20" s="1"/>
  <c r="R2200" i="20"/>
  <c r="AD2200" i="20"/>
  <c r="AE2200" i="20" s="1"/>
  <c r="R2201" i="20"/>
  <c r="AD2201" i="20"/>
  <c r="AE2201" i="20" s="1"/>
  <c r="R2202" i="20"/>
  <c r="AD2202" i="20"/>
  <c r="AE2202" i="20" s="1"/>
  <c r="R2203" i="20"/>
  <c r="AD2203" i="20"/>
  <c r="AE2203" i="20" s="1"/>
  <c r="R2204" i="20"/>
  <c r="AD2204" i="20"/>
  <c r="AE2204" i="20" s="1"/>
  <c r="R2205" i="20"/>
  <c r="AD2205" i="20"/>
  <c r="AE2205" i="20" s="1"/>
  <c r="R2206" i="20"/>
  <c r="AD2206" i="20"/>
  <c r="AE2206" i="20" s="1"/>
  <c r="R2207" i="20"/>
  <c r="AD2207" i="20"/>
  <c r="AE2207" i="20" s="1"/>
  <c r="R2208" i="20"/>
  <c r="AD2208" i="20"/>
  <c r="AE2208" i="20" s="1"/>
  <c r="R2209" i="20"/>
  <c r="AD2209" i="20"/>
  <c r="AE2209" i="20" s="1"/>
  <c r="R2210" i="20"/>
  <c r="AD2210" i="20"/>
  <c r="AE2210" i="20" s="1"/>
  <c r="R2211" i="20"/>
  <c r="AD2211" i="20"/>
  <c r="AE2211" i="20" s="1"/>
  <c r="R2212" i="20"/>
  <c r="AD2212" i="20"/>
  <c r="AE2212" i="20" s="1"/>
  <c r="R2213" i="20"/>
  <c r="AD2213" i="20"/>
  <c r="AE2213" i="20" s="1"/>
  <c r="R2214" i="20"/>
  <c r="AD2214" i="20"/>
  <c r="AE2214" i="20" s="1"/>
  <c r="R2215" i="20"/>
  <c r="AD2215" i="20"/>
  <c r="AE2215" i="20" s="1"/>
  <c r="R2216" i="20"/>
  <c r="AD2216" i="20"/>
  <c r="AE2216" i="20" s="1"/>
  <c r="R2217" i="20"/>
  <c r="AD2217" i="20"/>
  <c r="AE2217" i="20" s="1"/>
  <c r="R2218" i="20"/>
  <c r="AD2218" i="20"/>
  <c r="AE2218" i="20" s="1"/>
  <c r="R2219" i="20"/>
  <c r="AD2219" i="20"/>
  <c r="AE2219" i="20" s="1"/>
  <c r="R2220" i="20"/>
  <c r="AD2220" i="20"/>
  <c r="AE2220" i="20" s="1"/>
  <c r="R2221" i="20"/>
  <c r="AD2221" i="20"/>
  <c r="AE2221" i="20" s="1"/>
  <c r="R2222" i="20"/>
  <c r="AD2222" i="20"/>
  <c r="AE2222" i="20" s="1"/>
  <c r="R2223" i="20"/>
  <c r="AD2223" i="20"/>
  <c r="AE2223" i="20" s="1"/>
  <c r="R2224" i="20"/>
  <c r="AD2224" i="20"/>
  <c r="AE2224" i="20" s="1"/>
  <c r="R2225" i="20"/>
  <c r="AD2225" i="20"/>
  <c r="AE2225" i="20" s="1"/>
  <c r="R2226" i="20"/>
  <c r="AD2226" i="20"/>
  <c r="AE2226" i="20" s="1"/>
  <c r="R2227" i="20"/>
  <c r="AD2227" i="20"/>
  <c r="AE2227" i="20" s="1"/>
  <c r="R2228" i="20"/>
  <c r="AD2228" i="20"/>
  <c r="AE2228" i="20" s="1"/>
  <c r="R2229" i="20"/>
  <c r="AD2229" i="20"/>
  <c r="AE2229" i="20" s="1"/>
  <c r="R2230" i="20"/>
  <c r="AD2230" i="20"/>
  <c r="AE2230" i="20" s="1"/>
  <c r="R2231" i="20"/>
  <c r="AD2231" i="20"/>
  <c r="AE2231" i="20" s="1"/>
  <c r="R2232" i="20"/>
  <c r="AD2232" i="20"/>
  <c r="AE2232" i="20" s="1"/>
  <c r="R2233" i="20"/>
  <c r="AD2233" i="20"/>
  <c r="AE2233" i="20" s="1"/>
  <c r="R2234" i="20"/>
  <c r="AD2234" i="20"/>
  <c r="AE2234" i="20" s="1"/>
  <c r="R2235" i="20"/>
  <c r="AD2235" i="20"/>
  <c r="AE2235" i="20" s="1"/>
  <c r="R2236" i="20"/>
  <c r="AD2236" i="20"/>
  <c r="AE2236" i="20" s="1"/>
  <c r="R2237" i="20"/>
  <c r="AD2237" i="20"/>
  <c r="AE2237" i="20" s="1"/>
  <c r="R2238" i="20"/>
  <c r="AD2238" i="20"/>
  <c r="AE2238" i="20" s="1"/>
  <c r="R2239" i="20"/>
  <c r="AD2239" i="20"/>
  <c r="AE2239" i="20" s="1"/>
  <c r="R2240" i="20"/>
  <c r="AD2240" i="20"/>
  <c r="AE2240" i="20" s="1"/>
  <c r="R2241" i="20"/>
  <c r="AD2241" i="20"/>
  <c r="AE2241" i="20" s="1"/>
  <c r="R2242" i="20"/>
  <c r="AD2242" i="20"/>
  <c r="AE2242" i="20" s="1"/>
  <c r="R2243" i="20"/>
  <c r="AD2243" i="20"/>
  <c r="AE2243" i="20" s="1"/>
  <c r="R2244" i="20"/>
  <c r="AD2244" i="20"/>
  <c r="AE2244" i="20" s="1"/>
  <c r="R2245" i="20"/>
  <c r="AD2245" i="20"/>
  <c r="AE2245" i="20" s="1"/>
  <c r="R2246" i="20"/>
  <c r="AD2246" i="20"/>
  <c r="AE2246" i="20" s="1"/>
  <c r="R2247" i="20"/>
  <c r="AD2247" i="20"/>
  <c r="AE2247" i="20" s="1"/>
  <c r="R2248" i="20"/>
  <c r="AD2248" i="20"/>
  <c r="AE2248" i="20" s="1"/>
  <c r="R2249" i="20"/>
  <c r="AD2249" i="20"/>
  <c r="AE2249" i="20" s="1"/>
  <c r="R2250" i="20"/>
  <c r="AD2250" i="20"/>
  <c r="AE2250" i="20" s="1"/>
  <c r="R2251" i="20"/>
  <c r="AD2251" i="20"/>
  <c r="AE2251" i="20" s="1"/>
  <c r="R2252" i="20"/>
  <c r="AD2252" i="20"/>
  <c r="AE2252" i="20" s="1"/>
  <c r="R2253" i="20"/>
  <c r="AD2253" i="20"/>
  <c r="AE2253" i="20" s="1"/>
  <c r="R2254" i="20"/>
  <c r="AD2254" i="20"/>
  <c r="AE2254" i="20" s="1"/>
  <c r="R2255" i="20"/>
  <c r="AD2255" i="20"/>
  <c r="AE2255" i="20" s="1"/>
  <c r="R2256" i="20"/>
  <c r="AD2256" i="20"/>
  <c r="AE2256" i="20" s="1"/>
  <c r="R2257" i="20"/>
  <c r="AD2257" i="20"/>
  <c r="AE2257" i="20" s="1"/>
  <c r="R2258" i="20"/>
  <c r="AD2258" i="20"/>
  <c r="AE2258" i="20" s="1"/>
  <c r="R2259" i="20"/>
  <c r="AD2259" i="20"/>
  <c r="AE2259" i="20" s="1"/>
  <c r="R2260" i="20"/>
  <c r="AD2260" i="20"/>
  <c r="AE2260" i="20" s="1"/>
  <c r="R2261" i="20"/>
  <c r="AD2261" i="20"/>
  <c r="AE2261" i="20" s="1"/>
  <c r="R2262" i="20"/>
  <c r="AD2262" i="20"/>
  <c r="AE2262" i="20" s="1"/>
  <c r="R2263" i="20"/>
  <c r="AD2263" i="20"/>
  <c r="AE2263" i="20" s="1"/>
  <c r="R2264" i="20"/>
  <c r="AD2264" i="20"/>
  <c r="AE2264" i="20" s="1"/>
  <c r="R2265" i="20"/>
  <c r="AD2265" i="20"/>
  <c r="AE2265" i="20" s="1"/>
  <c r="R2266" i="20"/>
  <c r="AD2266" i="20"/>
  <c r="AE2266" i="20" s="1"/>
  <c r="R2267" i="20"/>
  <c r="AD2267" i="20"/>
  <c r="AE2267" i="20" s="1"/>
  <c r="R2268" i="20"/>
  <c r="AD2268" i="20"/>
  <c r="AE2268" i="20" s="1"/>
  <c r="R2269" i="20"/>
  <c r="AD2269" i="20"/>
  <c r="AE2269" i="20" s="1"/>
  <c r="R2270" i="20"/>
  <c r="AD2270" i="20"/>
  <c r="AE2270" i="20" s="1"/>
  <c r="R2271" i="20"/>
  <c r="AD2271" i="20"/>
  <c r="AE2271" i="20" s="1"/>
  <c r="R2272" i="20"/>
  <c r="AD2272" i="20"/>
  <c r="AE2272" i="20" s="1"/>
  <c r="R2273" i="20"/>
  <c r="AD2273" i="20"/>
  <c r="AE2273" i="20" s="1"/>
  <c r="R2274" i="20"/>
  <c r="AD2274" i="20"/>
  <c r="AE2274" i="20" s="1"/>
  <c r="R2275" i="20"/>
  <c r="AD2275" i="20"/>
  <c r="AE2275" i="20" s="1"/>
  <c r="R2276" i="20"/>
  <c r="AD2276" i="20"/>
  <c r="AE2276" i="20" s="1"/>
  <c r="R2277" i="20"/>
  <c r="AD2277" i="20"/>
  <c r="AE2277" i="20" s="1"/>
  <c r="R2278" i="20"/>
  <c r="AD2278" i="20"/>
  <c r="AE2278" i="20" s="1"/>
  <c r="R2279" i="20"/>
  <c r="AD2279" i="20"/>
  <c r="AE2279" i="20" s="1"/>
  <c r="R2280" i="20"/>
  <c r="AD2280" i="20"/>
  <c r="AE2280" i="20" s="1"/>
  <c r="R2281" i="20"/>
  <c r="AD2281" i="20"/>
  <c r="AE2281" i="20" s="1"/>
  <c r="R2282" i="20"/>
  <c r="AD2282" i="20"/>
  <c r="AE2282" i="20" s="1"/>
  <c r="R2283" i="20"/>
  <c r="AD2283" i="20"/>
  <c r="AE2283" i="20" s="1"/>
  <c r="R2284" i="20"/>
  <c r="AD2284" i="20"/>
  <c r="AE2284" i="20" s="1"/>
  <c r="R2285" i="20"/>
  <c r="AD2285" i="20"/>
  <c r="AE2285" i="20" s="1"/>
  <c r="R2286" i="20"/>
  <c r="AD2286" i="20"/>
  <c r="AE2286" i="20" s="1"/>
  <c r="R2287" i="20"/>
  <c r="AD2287" i="20"/>
  <c r="AE2287" i="20" s="1"/>
  <c r="R2288" i="20"/>
  <c r="AD2288" i="20"/>
  <c r="AE2288" i="20" s="1"/>
  <c r="R2289" i="20"/>
  <c r="AD2289" i="20"/>
  <c r="AE2289" i="20" s="1"/>
  <c r="R2290" i="20"/>
  <c r="AD2290" i="20"/>
  <c r="AE2290" i="20" s="1"/>
  <c r="R2291" i="20"/>
  <c r="AD2291" i="20"/>
  <c r="AE2291" i="20" s="1"/>
  <c r="R2292" i="20"/>
  <c r="AD2292" i="20"/>
  <c r="AE2292" i="20" s="1"/>
  <c r="R2293" i="20"/>
  <c r="AD2293" i="20"/>
  <c r="AE2293" i="20" s="1"/>
  <c r="R2294" i="20"/>
  <c r="AD2294" i="20"/>
  <c r="AE2294" i="20" s="1"/>
  <c r="R2295" i="20"/>
  <c r="AD2295" i="20"/>
  <c r="AE2295" i="20" s="1"/>
  <c r="R2296" i="20"/>
  <c r="AD2296" i="20"/>
  <c r="AE2296" i="20" s="1"/>
  <c r="R2297" i="20"/>
  <c r="AD2297" i="20"/>
  <c r="AE2297" i="20" s="1"/>
  <c r="R2298" i="20"/>
  <c r="AD2298" i="20"/>
  <c r="AE2298" i="20" s="1"/>
  <c r="R2299" i="20"/>
  <c r="AD2299" i="20"/>
  <c r="AE2299" i="20" s="1"/>
  <c r="R2300" i="20"/>
  <c r="AD2300" i="20"/>
  <c r="AE2300" i="20" s="1"/>
  <c r="R2301" i="20"/>
  <c r="AD2301" i="20"/>
  <c r="AE2301" i="20" s="1"/>
  <c r="R2302" i="20"/>
  <c r="AD2302" i="20"/>
  <c r="AE2302" i="20" s="1"/>
  <c r="R2303" i="20"/>
  <c r="AD2303" i="20"/>
  <c r="AE2303" i="20" s="1"/>
  <c r="R2304" i="20"/>
  <c r="AD2304" i="20"/>
  <c r="AE2304" i="20" s="1"/>
  <c r="R2305" i="20"/>
  <c r="AD2305" i="20"/>
  <c r="AE2305" i="20" s="1"/>
  <c r="R2306" i="20"/>
  <c r="AD2306" i="20"/>
  <c r="AE2306" i="20" s="1"/>
  <c r="R2307" i="20"/>
  <c r="AD2307" i="20"/>
  <c r="AE2307" i="20" s="1"/>
  <c r="R2308" i="20"/>
  <c r="AD2308" i="20"/>
  <c r="AE2308" i="20" s="1"/>
  <c r="R2309" i="20"/>
  <c r="AD2309" i="20"/>
  <c r="AE2309" i="20" s="1"/>
  <c r="R2310" i="20"/>
  <c r="AD2310" i="20"/>
  <c r="AE2310" i="20" s="1"/>
  <c r="R2311" i="20"/>
  <c r="AD2311" i="20"/>
  <c r="AE2311" i="20" s="1"/>
  <c r="R2312" i="20"/>
  <c r="AD2312" i="20"/>
  <c r="AE2312" i="20" s="1"/>
  <c r="R2313" i="20"/>
  <c r="AD2313" i="20"/>
  <c r="AE2313" i="20" s="1"/>
  <c r="R2314" i="20"/>
  <c r="AD2314" i="20"/>
  <c r="AE2314" i="20" s="1"/>
  <c r="R2315" i="20"/>
  <c r="AD2315" i="20"/>
  <c r="AE2315" i="20" s="1"/>
  <c r="R2316" i="20"/>
  <c r="AD2316" i="20"/>
  <c r="AE2316" i="20" s="1"/>
  <c r="R2317" i="20"/>
  <c r="AD2317" i="20"/>
  <c r="AE2317" i="20" s="1"/>
  <c r="R2318" i="20"/>
  <c r="AD2318" i="20"/>
  <c r="AE2318" i="20" s="1"/>
  <c r="R2319" i="20"/>
  <c r="AD2319" i="20"/>
  <c r="AE2319" i="20" s="1"/>
  <c r="R2320" i="20"/>
  <c r="AD2320" i="20"/>
  <c r="AE2320" i="20" s="1"/>
  <c r="R2321" i="20"/>
  <c r="AD2321" i="20"/>
  <c r="AE2321" i="20" s="1"/>
  <c r="R2322" i="20"/>
  <c r="AD2322" i="20"/>
  <c r="AE2322" i="20" s="1"/>
  <c r="R2323" i="20"/>
  <c r="AD2323" i="20"/>
  <c r="AE2323" i="20" s="1"/>
  <c r="R2324" i="20"/>
  <c r="AD2324" i="20"/>
  <c r="AE2324" i="20" s="1"/>
  <c r="R2325" i="20"/>
  <c r="AD2325" i="20"/>
  <c r="AE2325" i="20" s="1"/>
  <c r="R2326" i="20"/>
  <c r="AD2326" i="20"/>
  <c r="AE2326" i="20" s="1"/>
  <c r="R2327" i="20"/>
  <c r="AD2327" i="20"/>
  <c r="AE2327" i="20" s="1"/>
  <c r="R2328" i="20"/>
  <c r="AD2328" i="20"/>
  <c r="AE2328" i="20" s="1"/>
  <c r="R2329" i="20"/>
  <c r="AD2329" i="20"/>
  <c r="AE2329" i="20" s="1"/>
  <c r="R2330" i="20"/>
  <c r="AD2330" i="20"/>
  <c r="AE2330" i="20" s="1"/>
  <c r="R2331" i="20"/>
  <c r="AD2331" i="20"/>
  <c r="AE2331" i="20" s="1"/>
  <c r="R2332" i="20"/>
  <c r="AD2332" i="20"/>
  <c r="AE2332" i="20" s="1"/>
  <c r="R2333" i="20"/>
  <c r="AD2333" i="20"/>
  <c r="AE2333" i="20" s="1"/>
  <c r="R2334" i="20"/>
  <c r="AD2334" i="20"/>
  <c r="AE2334" i="20" s="1"/>
  <c r="R2335" i="20"/>
  <c r="AD2335" i="20"/>
  <c r="AE2335" i="20" s="1"/>
  <c r="R2336" i="20"/>
  <c r="AD2336" i="20"/>
  <c r="AE2336" i="20" s="1"/>
  <c r="R2337" i="20"/>
  <c r="AD2337" i="20"/>
  <c r="AE2337" i="20" s="1"/>
  <c r="R2338" i="20"/>
  <c r="AD2338" i="20"/>
  <c r="AE2338" i="20" s="1"/>
  <c r="R2339" i="20"/>
  <c r="AD2339" i="20"/>
  <c r="AE2339" i="20" s="1"/>
  <c r="R2340" i="20"/>
  <c r="AD2340" i="20"/>
  <c r="AE2340" i="20" s="1"/>
  <c r="R2341" i="20"/>
  <c r="AD2341" i="20"/>
  <c r="AE2341" i="20" s="1"/>
  <c r="R2342" i="20"/>
  <c r="AD2342" i="20"/>
  <c r="AE2342" i="20" s="1"/>
  <c r="R2343" i="20"/>
  <c r="AD2343" i="20"/>
  <c r="AE2343" i="20" s="1"/>
  <c r="R2344" i="20"/>
  <c r="AD2344" i="20"/>
  <c r="AE2344" i="20" s="1"/>
  <c r="R2345" i="20"/>
  <c r="AD2345" i="20"/>
  <c r="AE2345" i="20" s="1"/>
  <c r="R2346" i="20"/>
  <c r="AD2346" i="20"/>
  <c r="AE2346" i="20" s="1"/>
  <c r="R2347" i="20"/>
  <c r="AD2347" i="20"/>
  <c r="AE2347" i="20" s="1"/>
  <c r="R2348" i="20"/>
  <c r="AD2348" i="20"/>
  <c r="AE2348" i="20" s="1"/>
  <c r="R2349" i="20"/>
  <c r="AD2349" i="20"/>
  <c r="AE2349" i="20" s="1"/>
  <c r="R2350" i="20"/>
  <c r="AD2350" i="20"/>
  <c r="AE2350" i="20" s="1"/>
  <c r="R2351" i="20"/>
  <c r="AD2351" i="20"/>
  <c r="AE2351" i="20" s="1"/>
  <c r="R2352" i="20"/>
  <c r="AD2352" i="20"/>
  <c r="AE2352" i="20" s="1"/>
  <c r="R2353" i="20"/>
  <c r="AD2353" i="20"/>
  <c r="AE2353" i="20" s="1"/>
  <c r="R2354" i="20"/>
  <c r="AD2354" i="20"/>
  <c r="AE2354" i="20" s="1"/>
  <c r="R2355" i="20"/>
  <c r="AD2355" i="20"/>
  <c r="AE2355" i="20" s="1"/>
  <c r="R2356" i="20"/>
  <c r="AD2356" i="20"/>
  <c r="AE2356" i="20" s="1"/>
  <c r="R2357" i="20"/>
  <c r="AD2357" i="20"/>
  <c r="AE2357" i="20" s="1"/>
  <c r="R2358" i="20"/>
  <c r="AD2358" i="20"/>
  <c r="AE2358" i="20" s="1"/>
  <c r="R2359" i="20"/>
  <c r="AD2359" i="20"/>
  <c r="AE2359" i="20" s="1"/>
  <c r="R2360" i="20"/>
  <c r="AD2360" i="20"/>
  <c r="AE2360" i="20" s="1"/>
  <c r="R2361" i="20"/>
  <c r="AD2361" i="20"/>
  <c r="AE2361" i="20" s="1"/>
  <c r="R2362" i="20"/>
  <c r="AD2362" i="20"/>
  <c r="AE2362" i="20" s="1"/>
  <c r="R2363" i="20"/>
  <c r="AD2363" i="20"/>
  <c r="AE2363" i="20" s="1"/>
  <c r="R2364" i="20"/>
  <c r="AD2364" i="20"/>
  <c r="AE2364" i="20" s="1"/>
  <c r="R2365" i="20"/>
  <c r="AD2365" i="20"/>
  <c r="AE2365" i="20" s="1"/>
  <c r="R2366" i="20"/>
  <c r="AD2366" i="20"/>
  <c r="AE2366" i="20" s="1"/>
  <c r="R2367" i="20"/>
  <c r="AD2367" i="20"/>
  <c r="AE2367" i="20" s="1"/>
  <c r="R2368" i="20"/>
  <c r="AD2368" i="20"/>
  <c r="AE2368" i="20" s="1"/>
  <c r="R2369" i="20"/>
  <c r="AD2369" i="20"/>
  <c r="AE2369" i="20" s="1"/>
  <c r="R2370" i="20"/>
  <c r="AD2370" i="20"/>
  <c r="AE2370" i="20" s="1"/>
  <c r="R2371" i="20"/>
  <c r="AD2371" i="20"/>
  <c r="AE2371" i="20" s="1"/>
  <c r="R2372" i="20"/>
  <c r="AD2372" i="20"/>
  <c r="AE2372" i="20" s="1"/>
  <c r="R2373" i="20"/>
  <c r="AD2373" i="20"/>
  <c r="AE2373" i="20" s="1"/>
  <c r="R2374" i="20"/>
  <c r="AD2374" i="20"/>
  <c r="AE2374" i="20" s="1"/>
  <c r="R2375" i="20"/>
  <c r="AD2375" i="20"/>
  <c r="AE2375" i="20" s="1"/>
  <c r="R2376" i="20"/>
  <c r="AD2376" i="20"/>
  <c r="AE2376" i="20" s="1"/>
  <c r="R2377" i="20"/>
  <c r="AD2377" i="20"/>
  <c r="AE2377" i="20" s="1"/>
  <c r="R2378" i="20"/>
  <c r="AD2378" i="20"/>
  <c r="AE2378" i="20" s="1"/>
  <c r="R2379" i="20"/>
  <c r="AD2379" i="20"/>
  <c r="AE2379" i="20" s="1"/>
  <c r="R2380" i="20"/>
  <c r="AD2380" i="20"/>
  <c r="AE2380" i="20" s="1"/>
  <c r="R2381" i="20"/>
  <c r="AD2381" i="20"/>
  <c r="AE2381" i="20" s="1"/>
  <c r="R2382" i="20"/>
  <c r="AD2382" i="20"/>
  <c r="AE2382" i="20" s="1"/>
  <c r="R2383" i="20"/>
  <c r="AD2383" i="20"/>
  <c r="AE2383" i="20" s="1"/>
  <c r="R2384" i="20"/>
  <c r="AD2384" i="20"/>
  <c r="AE2384" i="20" s="1"/>
  <c r="R2385" i="20"/>
  <c r="AD2385" i="20"/>
  <c r="AE2385" i="20" s="1"/>
  <c r="R2386" i="20"/>
  <c r="AD2386" i="20"/>
  <c r="AE2386" i="20" s="1"/>
  <c r="R2387" i="20"/>
  <c r="AD2387" i="20"/>
  <c r="AE2387" i="20" s="1"/>
  <c r="R2388" i="20"/>
  <c r="AD2388" i="20"/>
  <c r="AE2388" i="20" s="1"/>
  <c r="R2389" i="20"/>
  <c r="AD2389" i="20"/>
  <c r="AE2389" i="20" s="1"/>
  <c r="R2390" i="20"/>
  <c r="AD2390" i="20"/>
  <c r="AE2390" i="20" s="1"/>
  <c r="R2391" i="20"/>
  <c r="AD2391" i="20"/>
  <c r="AE2391" i="20" s="1"/>
  <c r="R2392" i="20"/>
  <c r="AD2392" i="20"/>
  <c r="AE2392" i="20" s="1"/>
  <c r="R2393" i="20"/>
  <c r="AD2393" i="20"/>
  <c r="AE2393" i="20" s="1"/>
  <c r="R2394" i="20"/>
  <c r="AD2394" i="20"/>
  <c r="AE2394" i="20" s="1"/>
  <c r="R2395" i="20"/>
  <c r="AD2395" i="20"/>
  <c r="AE2395" i="20" s="1"/>
  <c r="R2396" i="20"/>
  <c r="AD2396" i="20"/>
  <c r="AE2396" i="20" s="1"/>
  <c r="R2397" i="20"/>
  <c r="AD2397" i="20"/>
  <c r="AE2397" i="20" s="1"/>
  <c r="R2398" i="20"/>
  <c r="AD2398" i="20"/>
  <c r="AE2398" i="20" s="1"/>
  <c r="R2399" i="20"/>
  <c r="AD2399" i="20"/>
  <c r="AE2399" i="20" s="1"/>
  <c r="R2400" i="20"/>
  <c r="AD2400" i="20"/>
  <c r="AE2400" i="20" s="1"/>
  <c r="R2401" i="20"/>
  <c r="AD2401" i="20"/>
  <c r="AE2401" i="20" s="1"/>
  <c r="R2402" i="20"/>
  <c r="AD2402" i="20"/>
  <c r="AE2402" i="20" s="1"/>
  <c r="R2403" i="20"/>
  <c r="AD2403" i="20"/>
  <c r="AE2403" i="20" s="1"/>
  <c r="R2404" i="20"/>
  <c r="AD2404" i="20"/>
  <c r="AE2404" i="20" s="1"/>
  <c r="R2405" i="20"/>
  <c r="AD2405" i="20"/>
  <c r="AE2405" i="20" s="1"/>
  <c r="R2406" i="20"/>
  <c r="AD2406" i="20"/>
  <c r="AE2406" i="20" s="1"/>
  <c r="R2407" i="20"/>
  <c r="AD2407" i="20"/>
  <c r="AE2407" i="20" s="1"/>
  <c r="R2408" i="20"/>
  <c r="AD2408" i="20"/>
  <c r="AE2408" i="20" s="1"/>
  <c r="R2409" i="20"/>
  <c r="AD2409" i="20"/>
  <c r="AE2409" i="20" s="1"/>
  <c r="R2410" i="20"/>
  <c r="AD2410" i="20"/>
  <c r="AE2410" i="20" s="1"/>
  <c r="R2411" i="20"/>
  <c r="AD2411" i="20"/>
  <c r="AE2411" i="20" s="1"/>
  <c r="R2412" i="20"/>
  <c r="AD2412" i="20"/>
  <c r="AE2412" i="20" s="1"/>
  <c r="R2413" i="20"/>
  <c r="AD2413" i="20"/>
  <c r="AE2413" i="20" s="1"/>
  <c r="R2414" i="20"/>
  <c r="AD2414" i="20"/>
  <c r="AE2414" i="20" s="1"/>
  <c r="R2415" i="20"/>
  <c r="AD2415" i="20"/>
  <c r="AE2415" i="20" s="1"/>
  <c r="R2416" i="20"/>
  <c r="AD2416" i="20"/>
  <c r="AE2416" i="20" s="1"/>
  <c r="R2417" i="20"/>
  <c r="AD2417" i="20"/>
  <c r="AE2417" i="20" s="1"/>
  <c r="R2418" i="20"/>
  <c r="AD2418" i="20"/>
  <c r="AE2418" i="20" s="1"/>
  <c r="R2419" i="20"/>
  <c r="AD2419" i="20"/>
  <c r="AE2419" i="20" s="1"/>
  <c r="R2420" i="20"/>
  <c r="AD2420" i="20"/>
  <c r="AE2420" i="20" s="1"/>
  <c r="R2421" i="20"/>
  <c r="AD2421" i="20"/>
  <c r="AE2421" i="20" s="1"/>
  <c r="R2422" i="20"/>
  <c r="AD2422" i="20"/>
  <c r="AE2422" i="20" s="1"/>
  <c r="R2423" i="20"/>
  <c r="AD2423" i="20"/>
  <c r="AE2423" i="20" s="1"/>
  <c r="R2424" i="20"/>
  <c r="AD2424" i="20"/>
  <c r="AE2424" i="20" s="1"/>
  <c r="R2425" i="20"/>
  <c r="AD2425" i="20"/>
  <c r="AE2425" i="20" s="1"/>
  <c r="R2426" i="20"/>
  <c r="AD2426" i="20"/>
  <c r="AE2426" i="20" s="1"/>
  <c r="R2427" i="20"/>
  <c r="AD2427" i="20"/>
  <c r="AE2427" i="20" s="1"/>
  <c r="R2428" i="20"/>
  <c r="AD2428" i="20"/>
  <c r="AE2428" i="20" s="1"/>
  <c r="R2429" i="20"/>
  <c r="AD2429" i="20"/>
  <c r="AE2429" i="20" s="1"/>
  <c r="R2430" i="20"/>
  <c r="AD2430" i="20"/>
  <c r="AE2430" i="20" s="1"/>
  <c r="R2431" i="20"/>
  <c r="AD2431" i="20"/>
  <c r="AE2431" i="20" s="1"/>
  <c r="R2432" i="20"/>
  <c r="AD2432" i="20"/>
  <c r="AE2432" i="20" s="1"/>
  <c r="R2433" i="20"/>
  <c r="AD2433" i="20"/>
  <c r="AE2433" i="20" s="1"/>
  <c r="R2434" i="20"/>
  <c r="AD2434" i="20"/>
  <c r="AE2434" i="20" s="1"/>
  <c r="R2435" i="20"/>
  <c r="AD2435" i="20"/>
  <c r="AE2435" i="20" s="1"/>
  <c r="R2436" i="20"/>
  <c r="AD2436" i="20"/>
  <c r="AE2436" i="20" s="1"/>
  <c r="R2437" i="20"/>
  <c r="AD2437" i="20"/>
  <c r="AE2437" i="20" s="1"/>
  <c r="R2438" i="20"/>
  <c r="AD2438" i="20"/>
  <c r="AE2438" i="20" s="1"/>
  <c r="R2439" i="20"/>
  <c r="AD2439" i="20"/>
  <c r="AE2439" i="20" s="1"/>
  <c r="R2440" i="20"/>
  <c r="AD2440" i="20"/>
  <c r="AE2440" i="20" s="1"/>
  <c r="R2441" i="20"/>
  <c r="AD2441" i="20"/>
  <c r="AE2441" i="20" s="1"/>
  <c r="R2442" i="20"/>
  <c r="AD2442" i="20"/>
  <c r="AE2442" i="20" s="1"/>
  <c r="R2443" i="20"/>
  <c r="AD2443" i="20"/>
  <c r="AE2443" i="20" s="1"/>
  <c r="R2444" i="20"/>
  <c r="AD2444" i="20"/>
  <c r="AE2444" i="20" s="1"/>
  <c r="R2445" i="20"/>
  <c r="AD2445" i="20"/>
  <c r="AE2445" i="20" s="1"/>
  <c r="R2446" i="20"/>
  <c r="AD2446" i="20"/>
  <c r="AE2446" i="20" s="1"/>
  <c r="R2447" i="20"/>
  <c r="AD2447" i="20"/>
  <c r="AE2447" i="20" s="1"/>
  <c r="R2448" i="20"/>
  <c r="AD2448" i="20"/>
  <c r="AE2448" i="20" s="1"/>
  <c r="R2449" i="20"/>
  <c r="AD2449" i="20"/>
  <c r="AE2449" i="20" s="1"/>
  <c r="R2450" i="20"/>
  <c r="AD2450" i="20"/>
  <c r="AE2450" i="20" s="1"/>
  <c r="R2451" i="20"/>
  <c r="AD2451" i="20"/>
  <c r="AE2451" i="20" s="1"/>
  <c r="R2452" i="20"/>
  <c r="AD2452" i="20"/>
  <c r="AE2452" i="20" s="1"/>
  <c r="R2453" i="20"/>
  <c r="AD2453" i="20"/>
  <c r="AE2453" i="20" s="1"/>
  <c r="R2454" i="20"/>
  <c r="AD2454" i="20"/>
  <c r="AE2454" i="20" s="1"/>
  <c r="R2455" i="20"/>
  <c r="AD2455" i="20"/>
  <c r="AE2455" i="20" s="1"/>
  <c r="R2456" i="20"/>
  <c r="AD2456" i="20"/>
  <c r="AE2456" i="20" s="1"/>
  <c r="R2457" i="20"/>
  <c r="AD2457" i="20"/>
  <c r="AE2457" i="20" s="1"/>
  <c r="R2458" i="20"/>
  <c r="AD2458" i="20"/>
  <c r="AE2458" i="20" s="1"/>
  <c r="R2459" i="20"/>
  <c r="AD2459" i="20"/>
  <c r="AE2459" i="20" s="1"/>
  <c r="R2460" i="20"/>
  <c r="AD2460" i="20"/>
  <c r="AE2460" i="20" s="1"/>
  <c r="R2461" i="20"/>
  <c r="AD2461" i="20"/>
  <c r="AE2461" i="20" s="1"/>
  <c r="R2462" i="20"/>
  <c r="AD2462" i="20"/>
  <c r="AE2462" i="20" s="1"/>
  <c r="R2463" i="20"/>
  <c r="AD2463" i="20"/>
  <c r="AE2463" i="20" s="1"/>
  <c r="R2464" i="20"/>
  <c r="AD2464" i="20"/>
  <c r="AE2464" i="20" s="1"/>
  <c r="R2465" i="20"/>
  <c r="AD2465" i="20"/>
  <c r="AE2465" i="20" s="1"/>
  <c r="R2466" i="20"/>
  <c r="AD2466" i="20"/>
  <c r="AE2466" i="20" s="1"/>
  <c r="R2467" i="20"/>
  <c r="AD2467" i="20"/>
  <c r="AE2467" i="20" s="1"/>
  <c r="R2468" i="20"/>
  <c r="AD2468" i="20"/>
  <c r="AE2468" i="20" s="1"/>
  <c r="R2469" i="20"/>
  <c r="AD2469" i="20"/>
  <c r="AE2469" i="20" s="1"/>
  <c r="R2470" i="20"/>
  <c r="AD2470" i="20"/>
  <c r="AE2470" i="20" s="1"/>
  <c r="R2471" i="20"/>
  <c r="AD2471" i="20"/>
  <c r="AE2471" i="20" s="1"/>
  <c r="R2472" i="20"/>
  <c r="AD2472" i="20"/>
  <c r="AE2472" i="20" s="1"/>
  <c r="R2473" i="20"/>
  <c r="AD2473" i="20"/>
  <c r="AE2473" i="20" s="1"/>
  <c r="R2474" i="20"/>
  <c r="AD2474" i="20"/>
  <c r="AE2474" i="20" s="1"/>
  <c r="R2475" i="20"/>
  <c r="AD2475" i="20"/>
  <c r="AE2475" i="20" s="1"/>
  <c r="R2476" i="20"/>
  <c r="AD2476" i="20"/>
  <c r="AE2476" i="20" s="1"/>
  <c r="R2477" i="20"/>
  <c r="AD2477" i="20"/>
  <c r="AE2477" i="20" s="1"/>
  <c r="R2478" i="20"/>
  <c r="AD2478" i="20"/>
  <c r="AE2478" i="20" s="1"/>
  <c r="R2479" i="20"/>
  <c r="AD2479" i="20"/>
  <c r="AE2479" i="20" s="1"/>
  <c r="R2480" i="20"/>
  <c r="AD2480" i="20"/>
  <c r="AE2480" i="20" s="1"/>
  <c r="R2481" i="20"/>
  <c r="AD2481" i="20"/>
  <c r="AE2481" i="20" s="1"/>
  <c r="R2482" i="20"/>
  <c r="AD2482" i="20"/>
  <c r="AE2482" i="20" s="1"/>
  <c r="R2483" i="20"/>
  <c r="AD2483" i="20"/>
  <c r="AE2483" i="20" s="1"/>
  <c r="R2484" i="20"/>
  <c r="AD2484" i="20"/>
  <c r="AE2484" i="20" s="1"/>
  <c r="R2485" i="20"/>
  <c r="AD2485" i="20"/>
  <c r="AE2485" i="20" s="1"/>
  <c r="R2486" i="20"/>
  <c r="AD2486" i="20"/>
  <c r="AE2486" i="20" s="1"/>
  <c r="R2487" i="20"/>
  <c r="AD2487" i="20"/>
  <c r="AE2487" i="20" s="1"/>
  <c r="R2488" i="20"/>
  <c r="AD2488" i="20"/>
  <c r="AE2488" i="20" s="1"/>
  <c r="R2489" i="20"/>
  <c r="AD2489" i="20"/>
  <c r="AE2489" i="20" s="1"/>
  <c r="R2490" i="20"/>
  <c r="AD2490" i="20"/>
  <c r="AE2490" i="20" s="1"/>
  <c r="R2491" i="20"/>
  <c r="AD2491" i="20"/>
  <c r="AE2491" i="20" s="1"/>
  <c r="R2492" i="20"/>
  <c r="AD2492" i="20"/>
  <c r="AE2492" i="20" s="1"/>
  <c r="R2493" i="20"/>
  <c r="AD2493" i="20"/>
  <c r="AE2493" i="20" s="1"/>
  <c r="R2494" i="20"/>
  <c r="AD2494" i="20"/>
  <c r="AE2494" i="20" s="1"/>
  <c r="R2495" i="20"/>
  <c r="AD2495" i="20"/>
  <c r="AE2495" i="20" s="1"/>
  <c r="R2496" i="20"/>
  <c r="AD2496" i="20"/>
  <c r="AE2496" i="20" s="1"/>
  <c r="R2497" i="20"/>
  <c r="AD2497" i="20"/>
  <c r="AE2497" i="20" s="1"/>
  <c r="R2498" i="20"/>
  <c r="AD2498" i="20"/>
  <c r="AE2498" i="20" s="1"/>
  <c r="R2499" i="20"/>
  <c r="AD2499" i="20"/>
  <c r="AE2499" i="20" s="1"/>
  <c r="R2500" i="20"/>
  <c r="AD2500" i="20"/>
  <c r="AE2500" i="20" s="1"/>
  <c r="R2501" i="20"/>
  <c r="AD2501" i="20"/>
  <c r="AE2501" i="20" s="1"/>
  <c r="R2502" i="20"/>
  <c r="AD2502" i="20"/>
  <c r="AE2502" i="20" s="1"/>
  <c r="R2503" i="20"/>
  <c r="AD2503" i="20"/>
  <c r="AE2503" i="20" s="1"/>
  <c r="R2504" i="20"/>
  <c r="AD2504" i="20"/>
  <c r="AE2504" i="20" s="1"/>
  <c r="R2505" i="20"/>
  <c r="AD2505" i="20"/>
  <c r="AE2505" i="20" s="1"/>
  <c r="R2506" i="20"/>
  <c r="AD2506" i="20"/>
  <c r="AE2506" i="20" s="1"/>
  <c r="R2507" i="20"/>
  <c r="AD2507" i="20"/>
  <c r="AE2507" i="20" s="1"/>
  <c r="R2508" i="20"/>
  <c r="AD2508" i="20"/>
  <c r="AE2508" i="20" s="1"/>
  <c r="R2509" i="20"/>
  <c r="AD2509" i="20"/>
  <c r="AE2509" i="20" s="1"/>
  <c r="R2510" i="20"/>
  <c r="AD2510" i="20"/>
  <c r="AE2510" i="20" s="1"/>
  <c r="R2511" i="20"/>
  <c r="AD2511" i="20"/>
  <c r="AE2511" i="20" s="1"/>
  <c r="R2512" i="20"/>
  <c r="AD2512" i="20"/>
  <c r="AE2512" i="20" s="1"/>
  <c r="R2513" i="20"/>
  <c r="AD2513" i="20"/>
  <c r="AE2513" i="20" s="1"/>
  <c r="R2514" i="20"/>
  <c r="AD2514" i="20"/>
  <c r="AE2514" i="20" s="1"/>
  <c r="R2515" i="20"/>
  <c r="AD2515" i="20"/>
  <c r="AE2515" i="20" s="1"/>
  <c r="R2516" i="20"/>
  <c r="AD2516" i="20"/>
  <c r="AE2516" i="20" s="1"/>
  <c r="R2517" i="20"/>
  <c r="AD2517" i="20"/>
  <c r="AE2517" i="20" s="1"/>
  <c r="R2518" i="20"/>
  <c r="AD2518" i="20"/>
  <c r="AE2518" i="20" s="1"/>
  <c r="R2519" i="20"/>
  <c r="AD2519" i="20"/>
  <c r="AE2519" i="20" s="1"/>
  <c r="R2520" i="20"/>
  <c r="AD2520" i="20"/>
  <c r="AE2520" i="20" s="1"/>
  <c r="R2521" i="20"/>
  <c r="AD2521" i="20"/>
  <c r="AE2521" i="20" s="1"/>
  <c r="R2522" i="20"/>
  <c r="AD2522" i="20"/>
  <c r="AE2522" i="20" s="1"/>
  <c r="R2523" i="20"/>
  <c r="AD2523" i="20"/>
  <c r="AE2523" i="20" s="1"/>
  <c r="R2524" i="20"/>
  <c r="AD2524" i="20"/>
  <c r="AE2524" i="20" s="1"/>
  <c r="R2525" i="20"/>
  <c r="AD2525" i="20"/>
  <c r="AE2525" i="20" s="1"/>
  <c r="R2526" i="20"/>
  <c r="AD2526" i="20"/>
  <c r="AE2526" i="20" s="1"/>
  <c r="R2527" i="20"/>
  <c r="AD2527" i="20"/>
  <c r="AE2527" i="20" s="1"/>
  <c r="R2528" i="20"/>
  <c r="AD2528" i="20"/>
  <c r="AE2528" i="20" s="1"/>
  <c r="R2529" i="20"/>
  <c r="AD2529" i="20"/>
  <c r="AE2529" i="20" s="1"/>
  <c r="R2530" i="20"/>
  <c r="AD2530" i="20"/>
  <c r="AE2530" i="20" s="1"/>
  <c r="R2531" i="20"/>
  <c r="AD2531" i="20"/>
  <c r="AE2531" i="20" s="1"/>
  <c r="R2532" i="20"/>
  <c r="AD2532" i="20"/>
  <c r="AE2532" i="20" s="1"/>
  <c r="R2533" i="20"/>
  <c r="AD2533" i="20"/>
  <c r="AE2533" i="20" s="1"/>
  <c r="R2534" i="20"/>
  <c r="AD2534" i="20"/>
  <c r="AE2534" i="20" s="1"/>
  <c r="R2535" i="20"/>
  <c r="AD2535" i="20"/>
  <c r="AE2535" i="20" s="1"/>
  <c r="R2536" i="20"/>
  <c r="AD2536" i="20"/>
  <c r="AE2536" i="20" s="1"/>
  <c r="R2537" i="20"/>
  <c r="AD2537" i="20"/>
  <c r="AE2537" i="20" s="1"/>
  <c r="R2538" i="20"/>
  <c r="AD2538" i="20"/>
  <c r="AE2538" i="20" s="1"/>
  <c r="R2539" i="20"/>
  <c r="AD2539" i="20"/>
  <c r="AE2539" i="20" s="1"/>
  <c r="R2540" i="20"/>
  <c r="AD2540" i="20"/>
  <c r="AE2540" i="20" s="1"/>
  <c r="R2541" i="20"/>
  <c r="AD2541" i="20"/>
  <c r="AE2541" i="20" s="1"/>
  <c r="R2542" i="20"/>
  <c r="AD2542" i="20"/>
  <c r="AE2542" i="20" s="1"/>
  <c r="R2543" i="20"/>
  <c r="AD2543" i="20"/>
  <c r="AE2543" i="20" s="1"/>
  <c r="R2544" i="20"/>
  <c r="AD2544" i="20"/>
  <c r="AE2544" i="20" s="1"/>
  <c r="R2545" i="20"/>
  <c r="AD2545" i="20"/>
  <c r="AE2545" i="20" s="1"/>
  <c r="R2546" i="20"/>
  <c r="AD2546" i="20"/>
  <c r="AE2546" i="20" s="1"/>
  <c r="R2547" i="20"/>
  <c r="AD2547" i="20"/>
  <c r="AE2547" i="20" s="1"/>
  <c r="R2548" i="20"/>
  <c r="AD2548" i="20"/>
  <c r="AE2548" i="20" s="1"/>
  <c r="R2549" i="20"/>
  <c r="AD2549" i="20"/>
  <c r="AE2549" i="20" s="1"/>
  <c r="R2550" i="20"/>
  <c r="AD2550" i="20"/>
  <c r="AE2550" i="20" s="1"/>
  <c r="R2551" i="20"/>
  <c r="AD2551" i="20"/>
  <c r="AE2551" i="20" s="1"/>
  <c r="R2552" i="20"/>
  <c r="AD2552" i="20"/>
  <c r="AE2552" i="20" s="1"/>
  <c r="R2553" i="20"/>
  <c r="AD2553" i="20"/>
  <c r="AE2553" i="20" s="1"/>
  <c r="R2554" i="20"/>
  <c r="AD2554" i="20"/>
  <c r="AE2554" i="20" s="1"/>
  <c r="R2555" i="20"/>
  <c r="AD2555" i="20"/>
  <c r="AE2555" i="20" s="1"/>
  <c r="R2556" i="20"/>
  <c r="AD2556" i="20"/>
  <c r="AE2556" i="20" s="1"/>
  <c r="R2557" i="20"/>
  <c r="AD2557" i="20"/>
  <c r="AE2557" i="20" s="1"/>
  <c r="R2558" i="20"/>
  <c r="AD2558" i="20"/>
  <c r="AE2558" i="20" s="1"/>
  <c r="R2559" i="20"/>
  <c r="AD2559" i="20"/>
  <c r="AE2559" i="20" s="1"/>
  <c r="R2560" i="20"/>
  <c r="AD2560" i="20"/>
  <c r="AE2560" i="20" s="1"/>
  <c r="R2561" i="20"/>
  <c r="AD2561" i="20"/>
  <c r="AE2561" i="20" s="1"/>
  <c r="R2562" i="20"/>
  <c r="AD2562" i="20"/>
  <c r="AE2562" i="20" s="1"/>
  <c r="R2563" i="20"/>
  <c r="AD2563" i="20"/>
  <c r="AE2563" i="20" s="1"/>
  <c r="R2564" i="20"/>
  <c r="AD2564" i="20"/>
  <c r="AE2564" i="20" s="1"/>
  <c r="R2565" i="20"/>
  <c r="AD2565" i="20"/>
  <c r="AE2565" i="20" s="1"/>
  <c r="R2566" i="20"/>
  <c r="AD2566" i="20"/>
  <c r="AE2566" i="20" s="1"/>
  <c r="R2567" i="20"/>
  <c r="AD2567" i="20"/>
  <c r="AE2567" i="20" s="1"/>
  <c r="R2568" i="20"/>
  <c r="AD2568" i="20"/>
  <c r="AE2568" i="20" s="1"/>
  <c r="R2569" i="20"/>
  <c r="AD2569" i="20"/>
  <c r="AE2569" i="20" s="1"/>
  <c r="R2570" i="20"/>
  <c r="AD2570" i="20"/>
  <c r="AE2570" i="20" s="1"/>
  <c r="R2571" i="20"/>
  <c r="AD2571" i="20"/>
  <c r="AE2571" i="20" s="1"/>
  <c r="R2572" i="20"/>
  <c r="AD2572" i="20"/>
  <c r="AE2572" i="20" s="1"/>
  <c r="R2573" i="20"/>
  <c r="AD2573" i="20"/>
  <c r="AE2573" i="20" s="1"/>
  <c r="R2574" i="20"/>
  <c r="AD2574" i="20"/>
  <c r="AE2574" i="20" s="1"/>
  <c r="R2575" i="20"/>
  <c r="AD2575" i="20"/>
  <c r="AE2575" i="20" s="1"/>
  <c r="R2576" i="20"/>
  <c r="AD2576" i="20"/>
  <c r="AE2576" i="20" s="1"/>
  <c r="R2577" i="20"/>
  <c r="AD2577" i="20"/>
  <c r="AE2577" i="20" s="1"/>
  <c r="R2578" i="20"/>
  <c r="AD2578" i="20"/>
  <c r="AE2578" i="20" s="1"/>
  <c r="R2579" i="20"/>
  <c r="AD2579" i="20"/>
  <c r="AE2579" i="20" s="1"/>
  <c r="R2580" i="20"/>
  <c r="AD2580" i="20"/>
  <c r="AE2580" i="20" s="1"/>
  <c r="R2581" i="20"/>
  <c r="AD2581" i="20"/>
  <c r="AE2581" i="20" s="1"/>
  <c r="R2582" i="20"/>
  <c r="AD2582" i="20"/>
  <c r="AE2582" i="20" s="1"/>
  <c r="R2583" i="20"/>
  <c r="AD2583" i="20"/>
  <c r="AE2583" i="20" s="1"/>
  <c r="R2584" i="20"/>
  <c r="AD2584" i="20"/>
  <c r="AE2584" i="20" s="1"/>
  <c r="R2585" i="20"/>
  <c r="AD2585" i="20"/>
  <c r="AE2585" i="20" s="1"/>
  <c r="R2586" i="20"/>
  <c r="AD2586" i="20"/>
  <c r="AE2586" i="20" s="1"/>
  <c r="R2587" i="20"/>
  <c r="AD2587" i="20"/>
  <c r="AE2587" i="20" s="1"/>
  <c r="R2588" i="20"/>
  <c r="AD2588" i="20"/>
  <c r="AE2588" i="20" s="1"/>
  <c r="R2589" i="20"/>
  <c r="AD2589" i="20"/>
  <c r="AE2589" i="20" s="1"/>
  <c r="R2590" i="20"/>
  <c r="AD2590" i="20"/>
  <c r="AE2590" i="20" s="1"/>
  <c r="R2591" i="20"/>
  <c r="AD2591" i="20"/>
  <c r="AE2591" i="20" s="1"/>
  <c r="R2592" i="20"/>
  <c r="AD2592" i="20"/>
  <c r="AE2592" i="20" s="1"/>
  <c r="R2593" i="20"/>
  <c r="AD2593" i="20"/>
  <c r="AE2593" i="20" s="1"/>
  <c r="R2594" i="20"/>
  <c r="AD2594" i="20"/>
  <c r="AE2594" i="20" s="1"/>
  <c r="R2595" i="20"/>
  <c r="AD2595" i="20"/>
  <c r="AE2595" i="20" s="1"/>
  <c r="R2596" i="20"/>
  <c r="AD2596" i="20"/>
  <c r="AE2596" i="20" s="1"/>
  <c r="R2597" i="20"/>
  <c r="AD2597" i="20"/>
  <c r="AE2597" i="20" s="1"/>
  <c r="R2598" i="20"/>
  <c r="AD2598" i="20"/>
  <c r="AE2598" i="20" s="1"/>
  <c r="R2599" i="20"/>
  <c r="AD2599" i="20"/>
  <c r="AE2599" i="20" s="1"/>
  <c r="R2600" i="20"/>
  <c r="AD2600" i="20"/>
  <c r="AE2600" i="20" s="1"/>
  <c r="R2601" i="20"/>
  <c r="AD2601" i="20"/>
  <c r="AE2601" i="20" s="1"/>
  <c r="R2602" i="20"/>
  <c r="AD2602" i="20"/>
  <c r="AE2602" i="20" s="1"/>
  <c r="R2603" i="20"/>
  <c r="AD2603" i="20"/>
  <c r="AE2603" i="20" s="1"/>
  <c r="R2604" i="20"/>
  <c r="AD2604" i="20"/>
  <c r="AE2604" i="20" s="1"/>
  <c r="R2605" i="20"/>
  <c r="AD2605" i="20"/>
  <c r="AE2605" i="20" s="1"/>
  <c r="R2606" i="20"/>
  <c r="AD2606" i="20"/>
  <c r="AE2606" i="20" s="1"/>
  <c r="R2607" i="20"/>
  <c r="AD2607" i="20"/>
  <c r="AE2607" i="20" s="1"/>
  <c r="R2608" i="20"/>
  <c r="AD2608" i="20"/>
  <c r="AE2608" i="20" s="1"/>
  <c r="R2609" i="20"/>
  <c r="AD2609" i="20"/>
  <c r="AE2609" i="20" s="1"/>
  <c r="R2610" i="20"/>
  <c r="AD2610" i="20"/>
  <c r="AE2610" i="20" s="1"/>
  <c r="R2611" i="20"/>
  <c r="AD2611" i="20"/>
  <c r="AE2611" i="20" s="1"/>
  <c r="R2612" i="20"/>
  <c r="AD2612" i="20"/>
  <c r="AE2612" i="20" s="1"/>
  <c r="R2613" i="20"/>
  <c r="AD2613" i="20"/>
  <c r="AE2613" i="20" s="1"/>
  <c r="R2614" i="20"/>
  <c r="AD2614" i="20"/>
  <c r="AE2614" i="20" s="1"/>
  <c r="R2615" i="20"/>
  <c r="AD2615" i="20"/>
  <c r="AE2615" i="20" s="1"/>
  <c r="R2616" i="20"/>
  <c r="AD2616" i="20"/>
  <c r="AE2616" i="20" s="1"/>
  <c r="R2617" i="20"/>
  <c r="AD2617" i="20"/>
  <c r="AE2617" i="20" s="1"/>
  <c r="R2618" i="20"/>
  <c r="AD2618" i="20"/>
  <c r="AE2618" i="20" s="1"/>
  <c r="R2619" i="20"/>
  <c r="AD2619" i="20"/>
  <c r="AE2619" i="20" s="1"/>
  <c r="R2620" i="20"/>
  <c r="AD2620" i="20"/>
  <c r="AE2620" i="20" s="1"/>
  <c r="R2621" i="20"/>
  <c r="AD2621" i="20"/>
  <c r="AE2621" i="20" s="1"/>
  <c r="R2622" i="20"/>
  <c r="AD2622" i="20"/>
  <c r="AE2622" i="20" s="1"/>
  <c r="R2623" i="20"/>
  <c r="AD2623" i="20"/>
  <c r="AE2623" i="20" s="1"/>
  <c r="R2624" i="20"/>
  <c r="AD2624" i="20"/>
  <c r="AE2624" i="20" s="1"/>
  <c r="R2625" i="20"/>
  <c r="AD2625" i="20"/>
  <c r="AE2625" i="20" s="1"/>
  <c r="R2626" i="20"/>
  <c r="AD2626" i="20"/>
  <c r="AE2626" i="20" s="1"/>
  <c r="R2627" i="20"/>
  <c r="AD2627" i="20"/>
  <c r="AE2627" i="20" s="1"/>
  <c r="R2628" i="20"/>
  <c r="AD2628" i="20"/>
  <c r="AE2628" i="20" s="1"/>
  <c r="R2629" i="20"/>
  <c r="AD2629" i="20"/>
  <c r="AE2629" i="20" s="1"/>
  <c r="R2630" i="20"/>
  <c r="AD2630" i="20"/>
  <c r="AE2630" i="20" s="1"/>
  <c r="R2631" i="20"/>
  <c r="AD2631" i="20"/>
  <c r="AE2631" i="20" s="1"/>
  <c r="R2632" i="20"/>
  <c r="AD2632" i="20"/>
  <c r="AE2632" i="20" s="1"/>
  <c r="R2633" i="20"/>
  <c r="AD2633" i="20"/>
  <c r="AE2633" i="20" s="1"/>
  <c r="R2634" i="20"/>
  <c r="AD2634" i="20"/>
  <c r="AE2634" i="20" s="1"/>
  <c r="R2635" i="20"/>
  <c r="AD2635" i="20"/>
  <c r="AE2635" i="20" s="1"/>
  <c r="R2636" i="20"/>
  <c r="AD2636" i="20"/>
  <c r="AE2636" i="20" s="1"/>
  <c r="R2637" i="20"/>
  <c r="AD2637" i="20"/>
  <c r="AE2637" i="20" s="1"/>
  <c r="R2638" i="20"/>
  <c r="AD2638" i="20"/>
  <c r="AE2638" i="20" s="1"/>
  <c r="R2639" i="20"/>
  <c r="AD2639" i="20"/>
  <c r="AE2639" i="20" s="1"/>
  <c r="R2640" i="20"/>
  <c r="AD2640" i="20"/>
  <c r="AE2640" i="20" s="1"/>
  <c r="R2641" i="20"/>
  <c r="AD2641" i="20"/>
  <c r="AE2641" i="20" s="1"/>
  <c r="R2642" i="20"/>
  <c r="AD2642" i="20"/>
  <c r="AE2642" i="20" s="1"/>
  <c r="R2643" i="20"/>
  <c r="AD2643" i="20"/>
  <c r="AE2643" i="20" s="1"/>
  <c r="R2644" i="20"/>
  <c r="AD2644" i="20"/>
  <c r="AE2644" i="20" s="1"/>
  <c r="R2645" i="20"/>
  <c r="AD2645" i="20"/>
  <c r="AE2645" i="20" s="1"/>
  <c r="R2646" i="20"/>
  <c r="AD2646" i="20"/>
  <c r="AE2646" i="20" s="1"/>
  <c r="R2647" i="20"/>
  <c r="AD2647" i="20"/>
  <c r="AE2647" i="20" s="1"/>
  <c r="R2648" i="20"/>
  <c r="AD2648" i="20"/>
  <c r="AE2648" i="20" s="1"/>
  <c r="R2649" i="20"/>
  <c r="AD2649" i="20"/>
  <c r="AE2649" i="20" s="1"/>
  <c r="R2650" i="20"/>
  <c r="AD2650" i="20"/>
  <c r="AE2650" i="20" s="1"/>
  <c r="R2651" i="20"/>
  <c r="AD2651" i="20"/>
  <c r="AE2651" i="20" s="1"/>
  <c r="R2652" i="20"/>
  <c r="AD2652" i="20"/>
  <c r="AE2652" i="20" s="1"/>
  <c r="R2653" i="20"/>
  <c r="AD2653" i="20"/>
  <c r="AE2653" i="20" s="1"/>
  <c r="R2654" i="20"/>
  <c r="AD2654" i="20"/>
  <c r="AE2654" i="20" s="1"/>
  <c r="R2655" i="20"/>
  <c r="AD2655" i="20"/>
  <c r="AE2655" i="20" s="1"/>
  <c r="R2656" i="20"/>
  <c r="AD2656" i="20"/>
  <c r="AE2656" i="20" s="1"/>
  <c r="R2657" i="20"/>
  <c r="AD2657" i="20"/>
  <c r="AE2657" i="20" s="1"/>
  <c r="R2658" i="20"/>
  <c r="AD2658" i="20"/>
  <c r="AE2658" i="20" s="1"/>
  <c r="R2659" i="20"/>
  <c r="AD2659" i="20"/>
  <c r="AE2659" i="20" s="1"/>
  <c r="R2660" i="20"/>
  <c r="AD2660" i="20"/>
  <c r="AE2660" i="20" s="1"/>
  <c r="R2661" i="20"/>
  <c r="AD2661" i="20"/>
  <c r="AE2661" i="20" s="1"/>
  <c r="R2662" i="20"/>
  <c r="AD2662" i="20"/>
  <c r="AE2662" i="20" s="1"/>
  <c r="R2663" i="20"/>
  <c r="AD2663" i="20"/>
  <c r="AE2663" i="20" s="1"/>
  <c r="R2664" i="20"/>
  <c r="AD2664" i="20"/>
  <c r="AE2664" i="20" s="1"/>
  <c r="R2665" i="20"/>
  <c r="AD2665" i="20"/>
  <c r="AE2665" i="20" s="1"/>
  <c r="R2666" i="20"/>
  <c r="AD2666" i="20"/>
  <c r="AE2666" i="20" s="1"/>
  <c r="R2667" i="20"/>
  <c r="AD2667" i="20"/>
  <c r="AE2667" i="20" s="1"/>
  <c r="R2668" i="20"/>
  <c r="AD2668" i="20"/>
  <c r="AE2668" i="20" s="1"/>
  <c r="R2669" i="20"/>
  <c r="AD2669" i="20"/>
  <c r="AE2669" i="20" s="1"/>
  <c r="R2670" i="20"/>
  <c r="AD2670" i="20"/>
  <c r="AE2670" i="20" s="1"/>
  <c r="R2671" i="20"/>
  <c r="AD2671" i="20"/>
  <c r="AE2671" i="20" s="1"/>
  <c r="R2672" i="20"/>
  <c r="AD2672" i="20"/>
  <c r="AE2672" i="20" s="1"/>
  <c r="R2673" i="20"/>
  <c r="AD2673" i="20"/>
  <c r="AE2673" i="20" s="1"/>
  <c r="R2674" i="20"/>
  <c r="AD2674" i="20"/>
  <c r="AE2674" i="20" s="1"/>
  <c r="R2675" i="20"/>
  <c r="AD2675" i="20"/>
  <c r="AE2675" i="20" s="1"/>
  <c r="R2676" i="20"/>
  <c r="AD2676" i="20"/>
  <c r="AE2676" i="20" s="1"/>
  <c r="R2677" i="20"/>
  <c r="AD2677" i="20"/>
  <c r="AE2677" i="20" s="1"/>
  <c r="R2678" i="20"/>
  <c r="AD2678" i="20"/>
  <c r="AE2678" i="20" s="1"/>
  <c r="R2679" i="20"/>
  <c r="AD2679" i="20"/>
  <c r="AE2679" i="20" s="1"/>
  <c r="R2680" i="20"/>
  <c r="AD2680" i="20"/>
  <c r="AE2680" i="20" s="1"/>
  <c r="R2681" i="20"/>
  <c r="AD2681" i="20"/>
  <c r="AE2681" i="20" s="1"/>
  <c r="R2682" i="20"/>
  <c r="AD2682" i="20"/>
  <c r="AE2682" i="20" s="1"/>
  <c r="R2683" i="20"/>
  <c r="AD2683" i="20"/>
  <c r="AE2683" i="20" s="1"/>
  <c r="R2684" i="20"/>
  <c r="AD2684" i="20"/>
  <c r="AE2684" i="20" s="1"/>
  <c r="R2685" i="20"/>
  <c r="AD2685" i="20"/>
  <c r="AE2685" i="20" s="1"/>
  <c r="R2686" i="20"/>
  <c r="AD2686" i="20"/>
  <c r="AE2686" i="20" s="1"/>
  <c r="R2687" i="20"/>
  <c r="AD2687" i="20"/>
  <c r="AE2687" i="20" s="1"/>
  <c r="R2688" i="20"/>
  <c r="AD2688" i="20"/>
  <c r="AE2688" i="20" s="1"/>
  <c r="R2689" i="20"/>
  <c r="AD2689" i="20"/>
  <c r="AE2689" i="20" s="1"/>
  <c r="R2690" i="20"/>
  <c r="AD2690" i="20"/>
  <c r="AE2690" i="20" s="1"/>
  <c r="R2691" i="20"/>
  <c r="AD2691" i="20"/>
  <c r="AE2691" i="20" s="1"/>
  <c r="R2692" i="20"/>
  <c r="AD2692" i="20"/>
  <c r="AE2692" i="20" s="1"/>
  <c r="R2693" i="20"/>
  <c r="AD2693" i="20"/>
  <c r="AE2693" i="20" s="1"/>
  <c r="R2694" i="20"/>
  <c r="AD2694" i="20"/>
  <c r="AE2694" i="20" s="1"/>
  <c r="R2695" i="20"/>
  <c r="AD2695" i="20"/>
  <c r="AE2695" i="20" s="1"/>
  <c r="R2696" i="20"/>
  <c r="AD2696" i="20"/>
  <c r="AE2696" i="20" s="1"/>
  <c r="R2697" i="20"/>
  <c r="AD2697" i="20"/>
  <c r="AE2697" i="20" s="1"/>
  <c r="R2698" i="20"/>
  <c r="AD2698" i="20"/>
  <c r="AE2698" i="20" s="1"/>
  <c r="R2699" i="20"/>
  <c r="AD2699" i="20"/>
  <c r="AE2699" i="20" s="1"/>
  <c r="R2700" i="20"/>
  <c r="AD2700" i="20"/>
  <c r="AE2700" i="20" s="1"/>
  <c r="R2701" i="20"/>
  <c r="AD2701" i="20"/>
  <c r="AE2701" i="20" s="1"/>
  <c r="R2702" i="20"/>
  <c r="AD2702" i="20"/>
  <c r="AE2702" i="20" s="1"/>
  <c r="R2703" i="20"/>
  <c r="AD2703" i="20"/>
  <c r="AE2703" i="20" s="1"/>
  <c r="R2704" i="20"/>
  <c r="AD2704" i="20"/>
  <c r="AE2704" i="20" s="1"/>
  <c r="R2705" i="20"/>
  <c r="AD2705" i="20"/>
  <c r="AE2705" i="20" s="1"/>
  <c r="R2706" i="20"/>
  <c r="AD2706" i="20"/>
  <c r="AE2706" i="20" s="1"/>
  <c r="R2707" i="20"/>
  <c r="AD2707" i="20"/>
  <c r="AE2707" i="20" s="1"/>
  <c r="R2708" i="20"/>
  <c r="AD2708" i="20"/>
  <c r="AE2708" i="20" s="1"/>
  <c r="R2709" i="20"/>
  <c r="AD2709" i="20"/>
  <c r="AE2709" i="20" s="1"/>
  <c r="R2710" i="20"/>
  <c r="AD2710" i="20"/>
  <c r="AE2710" i="20" s="1"/>
  <c r="R2711" i="20"/>
  <c r="AD2711" i="20"/>
  <c r="AE2711" i="20" s="1"/>
  <c r="R2712" i="20"/>
  <c r="AD2712" i="20"/>
  <c r="AE2712" i="20" s="1"/>
  <c r="R2713" i="20"/>
  <c r="AD2713" i="20"/>
  <c r="AE2713" i="20" s="1"/>
  <c r="R2714" i="20"/>
  <c r="AD2714" i="20"/>
  <c r="AE2714" i="20" s="1"/>
  <c r="R2715" i="20"/>
  <c r="AD2715" i="20"/>
  <c r="AE2715" i="20" s="1"/>
  <c r="R2716" i="20"/>
  <c r="AD2716" i="20"/>
  <c r="AE2716" i="20" s="1"/>
  <c r="R2717" i="20"/>
  <c r="AD2717" i="20"/>
  <c r="AE2717" i="20" s="1"/>
  <c r="R2718" i="20"/>
  <c r="AD2718" i="20"/>
  <c r="AE2718" i="20" s="1"/>
  <c r="R2719" i="20"/>
  <c r="AD2719" i="20"/>
  <c r="AE2719" i="20" s="1"/>
  <c r="R2720" i="20"/>
  <c r="AD2720" i="20"/>
  <c r="AE2720" i="20" s="1"/>
  <c r="R2721" i="20"/>
  <c r="AD2721" i="20"/>
  <c r="AE2721" i="20" s="1"/>
  <c r="R2722" i="20"/>
  <c r="AD2722" i="20"/>
  <c r="AE2722" i="20" s="1"/>
  <c r="R2723" i="20"/>
  <c r="AD2723" i="20"/>
  <c r="AE2723" i="20" s="1"/>
  <c r="R2724" i="20"/>
  <c r="AD2724" i="20"/>
  <c r="AE2724" i="20" s="1"/>
  <c r="R2725" i="20"/>
  <c r="AD2725" i="20"/>
  <c r="AE2725" i="20" s="1"/>
  <c r="R2726" i="20"/>
  <c r="AD2726" i="20"/>
  <c r="AE2726" i="20" s="1"/>
  <c r="R2727" i="20"/>
  <c r="AD2727" i="20"/>
  <c r="AE2727" i="20" s="1"/>
  <c r="R2728" i="20"/>
  <c r="AD2728" i="20"/>
  <c r="AE2728" i="20" s="1"/>
  <c r="R2729" i="20"/>
  <c r="AD2729" i="20"/>
  <c r="AE2729" i="20" s="1"/>
  <c r="R2730" i="20"/>
  <c r="AD2730" i="20"/>
  <c r="AE2730" i="20" s="1"/>
  <c r="R2731" i="20"/>
  <c r="AD2731" i="20"/>
  <c r="AE2731" i="20" s="1"/>
  <c r="R2732" i="20"/>
  <c r="AD2732" i="20"/>
  <c r="AE2732" i="20" s="1"/>
  <c r="R2733" i="20"/>
  <c r="AD2733" i="20"/>
  <c r="AE2733" i="20" s="1"/>
  <c r="R2734" i="20"/>
  <c r="AD2734" i="20"/>
  <c r="AE2734" i="20" s="1"/>
  <c r="R2735" i="20"/>
  <c r="AD2735" i="20"/>
  <c r="AE2735" i="20" s="1"/>
  <c r="R2736" i="20"/>
  <c r="AD2736" i="20"/>
  <c r="AE2736" i="20" s="1"/>
  <c r="R2737" i="20"/>
  <c r="AD2737" i="20"/>
  <c r="AE2737" i="20" s="1"/>
  <c r="R2738" i="20"/>
  <c r="AD2738" i="20"/>
  <c r="AE2738" i="20" s="1"/>
  <c r="R2739" i="20"/>
  <c r="AD2739" i="20"/>
  <c r="AE2739" i="20" s="1"/>
  <c r="R2740" i="20"/>
  <c r="AD2740" i="20"/>
  <c r="AE2740" i="20" s="1"/>
  <c r="R2741" i="20"/>
  <c r="AD2741" i="20"/>
  <c r="AE2741" i="20" s="1"/>
  <c r="R2742" i="20"/>
  <c r="AD2742" i="20"/>
  <c r="AE2742" i="20" s="1"/>
  <c r="R2743" i="20"/>
  <c r="AD2743" i="20"/>
  <c r="AE2743" i="20" s="1"/>
  <c r="R2744" i="20"/>
  <c r="AD2744" i="20"/>
  <c r="AE2744" i="20" s="1"/>
  <c r="R2745" i="20"/>
  <c r="AD2745" i="20"/>
  <c r="AE2745" i="20" s="1"/>
  <c r="R2746" i="20"/>
  <c r="AD2746" i="20"/>
  <c r="AE2746" i="20" s="1"/>
  <c r="R2747" i="20"/>
  <c r="AD2747" i="20"/>
  <c r="AE2747" i="20" s="1"/>
  <c r="R2748" i="20"/>
  <c r="AD2748" i="20"/>
  <c r="AE2748" i="20" s="1"/>
  <c r="R2749" i="20"/>
  <c r="AD2749" i="20"/>
  <c r="AE2749" i="20" s="1"/>
  <c r="R2750" i="20"/>
  <c r="AD2750" i="20"/>
  <c r="AE2750" i="20" s="1"/>
  <c r="R2751" i="20"/>
  <c r="AD2751" i="20"/>
  <c r="AE2751" i="20" s="1"/>
  <c r="R2752" i="20"/>
  <c r="AD2752" i="20"/>
  <c r="AE2752" i="20" s="1"/>
  <c r="R2753" i="20"/>
  <c r="AD2753" i="20"/>
  <c r="AE2753" i="20" s="1"/>
  <c r="R2754" i="20"/>
  <c r="AD2754" i="20"/>
  <c r="AE2754" i="20" s="1"/>
  <c r="R2755" i="20"/>
  <c r="AD2755" i="20"/>
  <c r="AE2755" i="20" s="1"/>
  <c r="R2756" i="20"/>
  <c r="AD2756" i="20"/>
  <c r="AE2756" i="20" s="1"/>
  <c r="R2757" i="20"/>
  <c r="AD2757" i="20"/>
  <c r="AE2757" i="20" s="1"/>
  <c r="R2758" i="20"/>
  <c r="AD2758" i="20"/>
  <c r="AE2758" i="20" s="1"/>
  <c r="R2759" i="20"/>
  <c r="AD2759" i="20"/>
  <c r="AE2759" i="20" s="1"/>
  <c r="R2760" i="20"/>
  <c r="AD2760" i="20"/>
  <c r="AE2760" i="20" s="1"/>
  <c r="R2761" i="20"/>
  <c r="AD2761" i="20"/>
  <c r="AE2761" i="20" s="1"/>
  <c r="R2762" i="20"/>
  <c r="AD2762" i="20"/>
  <c r="AE2762" i="20" s="1"/>
  <c r="R2763" i="20"/>
  <c r="AD2763" i="20"/>
  <c r="AE2763" i="20" s="1"/>
  <c r="R2764" i="20"/>
  <c r="AD2764" i="20"/>
  <c r="AE2764" i="20" s="1"/>
  <c r="R2765" i="20"/>
  <c r="AD2765" i="20"/>
  <c r="AE2765" i="20" s="1"/>
  <c r="R2766" i="20"/>
  <c r="AD2766" i="20"/>
  <c r="AE2766" i="20" s="1"/>
  <c r="R2767" i="20"/>
  <c r="AD2767" i="20"/>
  <c r="AE2767" i="20" s="1"/>
  <c r="R2768" i="20"/>
  <c r="AD2768" i="20"/>
  <c r="AE2768" i="20" s="1"/>
  <c r="R2769" i="20"/>
  <c r="AD2769" i="20"/>
  <c r="AE2769" i="20" s="1"/>
  <c r="R2770" i="20"/>
  <c r="AD2770" i="20"/>
  <c r="AE2770" i="20" s="1"/>
  <c r="R2771" i="20"/>
  <c r="AD2771" i="20"/>
  <c r="AE2771" i="20" s="1"/>
  <c r="R2772" i="20"/>
  <c r="AD2772" i="20"/>
  <c r="AE2772" i="20" s="1"/>
  <c r="R2773" i="20"/>
  <c r="AD2773" i="20"/>
  <c r="AE2773" i="20" s="1"/>
  <c r="R2774" i="20"/>
  <c r="AD2774" i="20"/>
  <c r="AE2774" i="20" s="1"/>
  <c r="R2775" i="20"/>
  <c r="AD2775" i="20"/>
  <c r="AE2775" i="20" s="1"/>
  <c r="R2776" i="20"/>
  <c r="AD2776" i="20"/>
  <c r="AE2776" i="20" s="1"/>
  <c r="R2777" i="20"/>
  <c r="AD2777" i="20"/>
  <c r="AE2777" i="20" s="1"/>
  <c r="R2778" i="20"/>
  <c r="AD2778" i="20"/>
  <c r="AE2778" i="20" s="1"/>
  <c r="R2779" i="20"/>
  <c r="AD2779" i="20"/>
  <c r="AE2779" i="20" s="1"/>
  <c r="R2780" i="20"/>
  <c r="AD2780" i="20"/>
  <c r="AE2780" i="20" s="1"/>
  <c r="R2781" i="20"/>
  <c r="AD2781" i="20"/>
  <c r="AE2781" i="20" s="1"/>
  <c r="R2782" i="20"/>
  <c r="AD2782" i="20"/>
  <c r="AE2782" i="20" s="1"/>
  <c r="R2783" i="20"/>
  <c r="AD2783" i="20"/>
  <c r="AE2783" i="20" s="1"/>
  <c r="R2784" i="20"/>
  <c r="AD2784" i="20"/>
  <c r="AE2784" i="20" s="1"/>
  <c r="R2785" i="20"/>
  <c r="AD2785" i="20"/>
  <c r="AE2785" i="20" s="1"/>
  <c r="R2786" i="20"/>
  <c r="AD2786" i="20"/>
  <c r="AE2786" i="20" s="1"/>
  <c r="R2787" i="20"/>
  <c r="AD2787" i="20"/>
  <c r="AE2787" i="20" s="1"/>
  <c r="R2788" i="20"/>
  <c r="AD2788" i="20"/>
  <c r="AE2788" i="20" s="1"/>
  <c r="R2789" i="20"/>
  <c r="AD2789" i="20"/>
  <c r="AE2789" i="20" s="1"/>
  <c r="R2790" i="20"/>
  <c r="AD2790" i="20"/>
  <c r="AE2790" i="20" s="1"/>
  <c r="R2791" i="20"/>
  <c r="AD2791" i="20"/>
  <c r="AE2791" i="20" s="1"/>
  <c r="R2792" i="20"/>
  <c r="AD2792" i="20"/>
  <c r="AE2792" i="20" s="1"/>
  <c r="R2793" i="20"/>
  <c r="AD2793" i="20"/>
  <c r="AE2793" i="20" s="1"/>
  <c r="R2794" i="20"/>
  <c r="AD2794" i="20"/>
  <c r="AE2794" i="20" s="1"/>
  <c r="R2795" i="20"/>
  <c r="AD2795" i="20"/>
  <c r="AE2795" i="20" s="1"/>
  <c r="R2796" i="20"/>
  <c r="AD2796" i="20"/>
  <c r="AE2796" i="20" s="1"/>
  <c r="R2797" i="20"/>
  <c r="AD2797" i="20"/>
  <c r="AE2797" i="20" s="1"/>
  <c r="R2798" i="20"/>
  <c r="AD2798" i="20"/>
  <c r="AE2798" i="20" s="1"/>
  <c r="R2799" i="20"/>
  <c r="AD2799" i="20"/>
  <c r="AE2799" i="20" s="1"/>
  <c r="R2800" i="20"/>
  <c r="AD2800" i="20"/>
  <c r="AE2800" i="20" s="1"/>
  <c r="R2801" i="20"/>
  <c r="AD2801" i="20"/>
  <c r="AE2801" i="20" s="1"/>
  <c r="R2802" i="20"/>
  <c r="AD2802" i="20"/>
  <c r="AE2802" i="20" s="1"/>
  <c r="R2803" i="20"/>
  <c r="AD2803" i="20"/>
  <c r="AE2803" i="20" s="1"/>
  <c r="R2804" i="20"/>
  <c r="AD2804" i="20"/>
  <c r="AE2804" i="20" s="1"/>
  <c r="R2805" i="20"/>
  <c r="AD2805" i="20"/>
  <c r="AE2805" i="20" s="1"/>
  <c r="R2806" i="20"/>
  <c r="AD2806" i="20"/>
  <c r="AE2806" i="20" s="1"/>
  <c r="R2807" i="20"/>
  <c r="AD2807" i="20"/>
  <c r="AE2807" i="20" s="1"/>
  <c r="R2808" i="20"/>
  <c r="AD2808" i="20"/>
  <c r="AE2808" i="20" s="1"/>
  <c r="R2809" i="20"/>
  <c r="AD2809" i="20"/>
  <c r="AE2809" i="20" s="1"/>
  <c r="R2810" i="20"/>
  <c r="AD2810" i="20"/>
  <c r="AE2810" i="20" s="1"/>
  <c r="R2811" i="20"/>
  <c r="AD2811" i="20"/>
  <c r="AE2811" i="20" s="1"/>
  <c r="R2812" i="20"/>
  <c r="AD2812" i="20"/>
  <c r="AE2812" i="20" s="1"/>
  <c r="R2813" i="20"/>
  <c r="AD2813" i="20"/>
  <c r="AE2813" i="20" s="1"/>
  <c r="R2814" i="20"/>
  <c r="AD2814" i="20"/>
  <c r="AE2814" i="20" s="1"/>
  <c r="R2815" i="20"/>
  <c r="AD2815" i="20"/>
  <c r="AE2815" i="20" s="1"/>
  <c r="R2816" i="20"/>
  <c r="AD2816" i="20"/>
  <c r="AE2816" i="20" s="1"/>
  <c r="R2817" i="20"/>
  <c r="AD2817" i="20"/>
  <c r="AE2817" i="20" s="1"/>
  <c r="R2818" i="20"/>
  <c r="AD2818" i="20"/>
  <c r="AE2818" i="20" s="1"/>
  <c r="R2819" i="20"/>
  <c r="AD2819" i="20"/>
  <c r="AE2819" i="20" s="1"/>
  <c r="R2820" i="20"/>
  <c r="AD2820" i="20"/>
  <c r="AE2820" i="20" s="1"/>
  <c r="R2821" i="20"/>
  <c r="AD2821" i="20"/>
  <c r="AE2821" i="20" s="1"/>
  <c r="R2822" i="20"/>
  <c r="AD2822" i="20"/>
  <c r="AE2822" i="20" s="1"/>
  <c r="R2823" i="20"/>
  <c r="AD2823" i="20"/>
  <c r="AE2823" i="20" s="1"/>
  <c r="R2824" i="20"/>
  <c r="AD2824" i="20"/>
  <c r="AE2824" i="20" s="1"/>
  <c r="R2825" i="20"/>
  <c r="AD2825" i="20"/>
  <c r="AE2825" i="20" s="1"/>
  <c r="R2826" i="20"/>
  <c r="AD2826" i="20"/>
  <c r="AE2826" i="20" s="1"/>
  <c r="R2827" i="20"/>
  <c r="AD2827" i="20"/>
  <c r="AE2827" i="20" s="1"/>
  <c r="R2828" i="20"/>
  <c r="AD2828" i="20"/>
  <c r="AE2828" i="20" s="1"/>
  <c r="R2829" i="20"/>
  <c r="AD2829" i="20"/>
  <c r="AE2829" i="20" s="1"/>
  <c r="R2830" i="20"/>
  <c r="AD2830" i="20"/>
  <c r="AE2830" i="20" s="1"/>
  <c r="R2831" i="20"/>
  <c r="AD2831" i="20"/>
  <c r="AE2831" i="20" s="1"/>
  <c r="R2832" i="20"/>
  <c r="AD2832" i="20"/>
  <c r="AE2832" i="20" s="1"/>
  <c r="R2833" i="20"/>
  <c r="AD2833" i="20"/>
  <c r="AE2833" i="20" s="1"/>
  <c r="R2834" i="20"/>
  <c r="AD2834" i="20"/>
  <c r="AE2834" i="20" s="1"/>
  <c r="R2835" i="20"/>
  <c r="AD2835" i="20"/>
  <c r="AE2835" i="20" s="1"/>
  <c r="R2836" i="20"/>
  <c r="AD2836" i="20"/>
  <c r="AE2836" i="20" s="1"/>
  <c r="R2837" i="20"/>
  <c r="AD2837" i="20"/>
  <c r="AE2837" i="20" s="1"/>
  <c r="R2838" i="20"/>
  <c r="AD2838" i="20"/>
  <c r="AE2838" i="20" s="1"/>
  <c r="R2839" i="20"/>
  <c r="AD2839" i="20"/>
  <c r="AE2839" i="20" s="1"/>
  <c r="R2840" i="20"/>
  <c r="AD2840" i="20"/>
  <c r="AE2840" i="20" s="1"/>
  <c r="R2841" i="20"/>
  <c r="AD2841" i="20"/>
  <c r="AE2841" i="20" s="1"/>
  <c r="R2842" i="20"/>
  <c r="AD2842" i="20"/>
  <c r="AE2842" i="20" s="1"/>
  <c r="R2843" i="20"/>
  <c r="AD2843" i="20"/>
  <c r="AE2843" i="20" s="1"/>
  <c r="R2844" i="20"/>
  <c r="AD2844" i="20"/>
  <c r="AE2844" i="20" s="1"/>
  <c r="R2845" i="20"/>
  <c r="AD2845" i="20"/>
  <c r="AE2845" i="20" s="1"/>
  <c r="R2846" i="20"/>
  <c r="AD2846" i="20"/>
  <c r="AE2846" i="20" s="1"/>
  <c r="R2847" i="20"/>
  <c r="AD2847" i="20"/>
  <c r="AE2847" i="20" s="1"/>
  <c r="R2848" i="20"/>
  <c r="AD2848" i="20"/>
  <c r="AE2848" i="20" s="1"/>
  <c r="R2849" i="20"/>
  <c r="AD2849" i="20"/>
  <c r="AE2849" i="20" s="1"/>
  <c r="R2850" i="20"/>
  <c r="AD2850" i="20"/>
  <c r="AE2850" i="20" s="1"/>
  <c r="R2851" i="20"/>
  <c r="AD2851" i="20"/>
  <c r="AE2851" i="20" s="1"/>
  <c r="R2852" i="20"/>
  <c r="AD2852" i="20"/>
  <c r="AE2852" i="20" s="1"/>
  <c r="R2853" i="20"/>
  <c r="AD2853" i="20"/>
  <c r="AE2853" i="20" s="1"/>
  <c r="R2854" i="20"/>
  <c r="AD2854" i="20"/>
  <c r="AE2854" i="20" s="1"/>
  <c r="R2855" i="20"/>
  <c r="AD2855" i="20"/>
  <c r="AE2855" i="20" s="1"/>
  <c r="R2856" i="20"/>
  <c r="AD2856" i="20"/>
  <c r="AE2856" i="20" s="1"/>
  <c r="R2857" i="20"/>
  <c r="AD2857" i="20"/>
  <c r="AE2857" i="20" s="1"/>
  <c r="R2858" i="20"/>
  <c r="AD2858" i="20"/>
  <c r="AE2858" i="20" s="1"/>
  <c r="R2859" i="20"/>
  <c r="AD2859" i="20"/>
  <c r="AE2859" i="20" s="1"/>
  <c r="R2860" i="20"/>
  <c r="AD2860" i="20"/>
  <c r="AE2860" i="20" s="1"/>
  <c r="R2861" i="20"/>
  <c r="AD2861" i="20"/>
  <c r="AE2861" i="20" s="1"/>
  <c r="R2862" i="20"/>
  <c r="AD2862" i="20"/>
  <c r="AE2862" i="20" s="1"/>
  <c r="R2863" i="20"/>
  <c r="AD2863" i="20"/>
  <c r="AE2863" i="20" s="1"/>
  <c r="R2864" i="20"/>
  <c r="AD2864" i="20"/>
  <c r="AE2864" i="20" s="1"/>
  <c r="R2865" i="20"/>
  <c r="AD2865" i="20"/>
  <c r="AE2865" i="20" s="1"/>
  <c r="R2866" i="20"/>
  <c r="AD2866" i="20"/>
  <c r="AE2866" i="20" s="1"/>
  <c r="R2867" i="20"/>
  <c r="AD2867" i="20"/>
  <c r="AE2867" i="20" s="1"/>
  <c r="R2868" i="20"/>
  <c r="AD2868" i="20"/>
  <c r="AE2868" i="20" s="1"/>
  <c r="R2869" i="20"/>
  <c r="AD2869" i="20"/>
  <c r="AE2869" i="20" s="1"/>
  <c r="R2870" i="20"/>
  <c r="AD2870" i="20"/>
  <c r="AE2870" i="20" s="1"/>
  <c r="R2871" i="20"/>
  <c r="AD2871" i="20"/>
  <c r="AE2871" i="20" s="1"/>
  <c r="R2872" i="20"/>
  <c r="AD2872" i="20"/>
  <c r="AE2872" i="20" s="1"/>
  <c r="R2873" i="20"/>
  <c r="AD2873" i="20"/>
  <c r="AE2873" i="20" s="1"/>
  <c r="R2874" i="20"/>
  <c r="AD2874" i="20"/>
  <c r="AE2874" i="20" s="1"/>
  <c r="R2875" i="20"/>
  <c r="AD2875" i="20"/>
  <c r="AE2875" i="20" s="1"/>
  <c r="R2876" i="20"/>
  <c r="AD2876" i="20"/>
  <c r="AE2876" i="20" s="1"/>
  <c r="R2877" i="20"/>
  <c r="AD2877" i="20"/>
  <c r="AE2877" i="20" s="1"/>
  <c r="R2878" i="20"/>
  <c r="AD2878" i="20"/>
  <c r="AE2878" i="20" s="1"/>
  <c r="R2879" i="20"/>
  <c r="AD2879" i="20"/>
  <c r="AE2879" i="20" s="1"/>
  <c r="R2880" i="20"/>
  <c r="AD2880" i="20"/>
  <c r="AE2880" i="20" s="1"/>
  <c r="R2881" i="20"/>
  <c r="AD2881" i="20"/>
  <c r="AE2881" i="20" s="1"/>
  <c r="R2882" i="20"/>
  <c r="AD2882" i="20"/>
  <c r="AE2882" i="20" s="1"/>
  <c r="R2883" i="20"/>
  <c r="AD2883" i="20"/>
  <c r="AE2883" i="20" s="1"/>
  <c r="R2884" i="20"/>
  <c r="AD2884" i="20"/>
  <c r="AE2884" i="20" s="1"/>
  <c r="R2885" i="20"/>
  <c r="AD2885" i="20"/>
  <c r="AE2885" i="20" s="1"/>
  <c r="R2886" i="20"/>
  <c r="AD2886" i="20"/>
  <c r="AE2886" i="20" s="1"/>
  <c r="R2887" i="20"/>
  <c r="AD2887" i="20"/>
  <c r="AE2887" i="20" s="1"/>
  <c r="R2888" i="20"/>
  <c r="AD2888" i="20"/>
  <c r="AE2888" i="20" s="1"/>
  <c r="R2889" i="20"/>
  <c r="AD2889" i="20"/>
  <c r="AE2889" i="20" s="1"/>
  <c r="R2890" i="20"/>
  <c r="AD2890" i="20"/>
  <c r="AE2890" i="20" s="1"/>
  <c r="R2891" i="20"/>
  <c r="AD2891" i="20"/>
  <c r="AE2891" i="20" s="1"/>
  <c r="R2892" i="20"/>
  <c r="AD2892" i="20"/>
  <c r="AE2892" i="20" s="1"/>
  <c r="R2893" i="20"/>
  <c r="AD2893" i="20"/>
  <c r="AE2893" i="20" s="1"/>
  <c r="R2894" i="20"/>
  <c r="AD2894" i="20"/>
  <c r="AE2894" i="20" s="1"/>
  <c r="R2895" i="20"/>
  <c r="AD2895" i="20"/>
  <c r="AE2895" i="20" s="1"/>
  <c r="R2896" i="20"/>
  <c r="AD2896" i="20"/>
  <c r="AE2896" i="20" s="1"/>
  <c r="R2897" i="20"/>
  <c r="AD2897" i="20"/>
  <c r="AE2897" i="20" s="1"/>
  <c r="R2898" i="20"/>
  <c r="AD2898" i="20"/>
  <c r="AE2898" i="20" s="1"/>
  <c r="R2899" i="20"/>
  <c r="AD2899" i="20"/>
  <c r="AE2899" i="20" s="1"/>
  <c r="R2900" i="20"/>
  <c r="AD2900" i="20"/>
  <c r="AE2900" i="20" s="1"/>
  <c r="R2901" i="20"/>
  <c r="AD2901" i="20"/>
  <c r="AE2901" i="20" s="1"/>
  <c r="R2902" i="20"/>
  <c r="AD2902" i="20"/>
  <c r="AE2902" i="20" s="1"/>
  <c r="R2903" i="20"/>
  <c r="AD2903" i="20"/>
  <c r="AE2903" i="20" s="1"/>
  <c r="R2904" i="20"/>
  <c r="AD2904" i="20"/>
  <c r="AE2904" i="20" s="1"/>
  <c r="R2905" i="20"/>
  <c r="AD2905" i="20"/>
  <c r="AE2905" i="20" s="1"/>
  <c r="R2906" i="20"/>
  <c r="AD2906" i="20"/>
  <c r="AE2906" i="20" s="1"/>
  <c r="R2907" i="20"/>
  <c r="AD2907" i="20"/>
  <c r="AE2907" i="20" s="1"/>
  <c r="R2908" i="20"/>
  <c r="AD2908" i="20"/>
  <c r="AE2908" i="20" s="1"/>
  <c r="R2909" i="20"/>
  <c r="AD2909" i="20"/>
  <c r="AE2909" i="20" s="1"/>
  <c r="R2910" i="20"/>
  <c r="AD2910" i="20"/>
  <c r="AE2910" i="20" s="1"/>
  <c r="R2911" i="20"/>
  <c r="AD2911" i="20"/>
  <c r="AE2911" i="20" s="1"/>
  <c r="R2912" i="20"/>
  <c r="AD2912" i="20"/>
  <c r="AE2912" i="20" s="1"/>
  <c r="R2913" i="20"/>
  <c r="AD2913" i="20"/>
  <c r="AE2913" i="20" s="1"/>
  <c r="R2914" i="20"/>
  <c r="AD2914" i="20"/>
  <c r="AE2914" i="20" s="1"/>
  <c r="R2915" i="20"/>
  <c r="AD2915" i="20"/>
  <c r="AE2915" i="20" s="1"/>
  <c r="R2916" i="20"/>
  <c r="AD2916" i="20"/>
  <c r="AE2916" i="20" s="1"/>
  <c r="R2917" i="20"/>
  <c r="AD2917" i="20"/>
  <c r="AE2917" i="20" s="1"/>
  <c r="R2918" i="20"/>
  <c r="AD2918" i="20"/>
  <c r="AE2918" i="20" s="1"/>
  <c r="R2919" i="20"/>
  <c r="AD2919" i="20"/>
  <c r="AE2919" i="20" s="1"/>
  <c r="R2920" i="20"/>
  <c r="AD2920" i="20"/>
  <c r="AE2920" i="20" s="1"/>
  <c r="R2921" i="20"/>
  <c r="AD2921" i="20"/>
  <c r="AE2921" i="20" s="1"/>
  <c r="R2922" i="20"/>
  <c r="AD2922" i="20"/>
  <c r="AE2922" i="20" s="1"/>
  <c r="R2923" i="20"/>
  <c r="AD2923" i="20"/>
  <c r="AE2923" i="20" s="1"/>
  <c r="R2924" i="20"/>
  <c r="AD2924" i="20"/>
  <c r="AE2924" i="20" s="1"/>
  <c r="R2925" i="20"/>
  <c r="AD2925" i="20"/>
  <c r="AE2925" i="20" s="1"/>
  <c r="R2926" i="20"/>
  <c r="AD2926" i="20"/>
  <c r="AE2926" i="20" s="1"/>
  <c r="R2927" i="20"/>
  <c r="AD2927" i="20"/>
  <c r="AE2927" i="20" s="1"/>
  <c r="R2928" i="20"/>
  <c r="AD2928" i="20"/>
  <c r="AE2928" i="20" s="1"/>
  <c r="R2929" i="20"/>
  <c r="AD2929" i="20"/>
  <c r="AE2929" i="20" s="1"/>
  <c r="R2930" i="20"/>
  <c r="AD2930" i="20"/>
  <c r="AE2930" i="20" s="1"/>
  <c r="R2931" i="20"/>
  <c r="AD2931" i="20"/>
  <c r="AE2931" i="20" s="1"/>
  <c r="R2932" i="20"/>
  <c r="AD2932" i="20"/>
  <c r="AE2932" i="20" s="1"/>
  <c r="R2933" i="20"/>
  <c r="AD2933" i="20"/>
  <c r="AE2933" i="20" s="1"/>
  <c r="R2934" i="20"/>
  <c r="AD2934" i="20"/>
  <c r="AE2934" i="20" s="1"/>
  <c r="R2935" i="20"/>
  <c r="AD2935" i="20"/>
  <c r="AE2935" i="20" s="1"/>
  <c r="R2936" i="20"/>
  <c r="AD2936" i="20"/>
  <c r="AE2936" i="20" s="1"/>
  <c r="R2937" i="20"/>
  <c r="AD2937" i="20"/>
  <c r="AE2937" i="20" s="1"/>
  <c r="R2938" i="20"/>
  <c r="AD2938" i="20"/>
  <c r="AE2938" i="20" s="1"/>
  <c r="R2939" i="20"/>
  <c r="AD2939" i="20"/>
  <c r="AE2939" i="20" s="1"/>
  <c r="R2940" i="20"/>
  <c r="AD2940" i="20"/>
  <c r="AE2940" i="20" s="1"/>
  <c r="R2941" i="20"/>
  <c r="AD2941" i="20"/>
  <c r="AE2941" i="20" s="1"/>
  <c r="R2942" i="20"/>
  <c r="AD2942" i="20"/>
  <c r="AE2942" i="20" s="1"/>
  <c r="R2943" i="20"/>
  <c r="AD2943" i="20"/>
  <c r="AE2943" i="20" s="1"/>
  <c r="R2944" i="20"/>
  <c r="AD2944" i="20"/>
  <c r="AE2944" i="20" s="1"/>
  <c r="R2945" i="20"/>
  <c r="AD2945" i="20"/>
  <c r="AE2945" i="20" s="1"/>
  <c r="R2946" i="20"/>
  <c r="AD2946" i="20"/>
  <c r="AE2946" i="20" s="1"/>
  <c r="R2947" i="20"/>
  <c r="AD2947" i="20"/>
  <c r="AE2947" i="20" s="1"/>
  <c r="R2948" i="20"/>
  <c r="AD2948" i="20"/>
  <c r="AE2948" i="20" s="1"/>
  <c r="R2949" i="20"/>
  <c r="AD2949" i="20"/>
  <c r="AE2949" i="20" s="1"/>
  <c r="R2950" i="20"/>
  <c r="AD2950" i="20"/>
  <c r="AE2950" i="20" s="1"/>
  <c r="R2951" i="20"/>
  <c r="AD2951" i="20"/>
  <c r="AE2951" i="20" s="1"/>
  <c r="R2952" i="20"/>
  <c r="AD2952" i="20"/>
  <c r="AE2952" i="20" s="1"/>
  <c r="R2953" i="20"/>
  <c r="AD2953" i="20"/>
  <c r="AE2953" i="20" s="1"/>
  <c r="R2954" i="20"/>
  <c r="AD2954" i="20"/>
  <c r="AE2954" i="20" s="1"/>
  <c r="R2955" i="20"/>
  <c r="AD2955" i="20"/>
  <c r="AE2955" i="20" s="1"/>
  <c r="R2956" i="20"/>
  <c r="AD2956" i="20"/>
  <c r="AE2956" i="20" s="1"/>
  <c r="R2957" i="20"/>
  <c r="AD2957" i="20"/>
  <c r="AE2957" i="20" s="1"/>
  <c r="R2958" i="20"/>
  <c r="AD2958" i="20"/>
  <c r="AE2958" i="20" s="1"/>
  <c r="R2959" i="20"/>
  <c r="AD2959" i="20"/>
  <c r="AE2959" i="20" s="1"/>
  <c r="R2960" i="20"/>
  <c r="AD2960" i="20"/>
  <c r="AE2960" i="20" s="1"/>
  <c r="R2961" i="20"/>
  <c r="AD2961" i="20"/>
  <c r="AE2961" i="20" s="1"/>
  <c r="R2962" i="20"/>
  <c r="AD2962" i="20"/>
  <c r="AE2962" i="20" s="1"/>
  <c r="R2963" i="20"/>
  <c r="AD2963" i="20"/>
  <c r="AE2963" i="20" s="1"/>
  <c r="R2964" i="20"/>
  <c r="AD2964" i="20"/>
  <c r="AE2964" i="20" s="1"/>
  <c r="R2965" i="20"/>
  <c r="AD2965" i="20"/>
  <c r="AE2965" i="20" s="1"/>
  <c r="R2966" i="20"/>
  <c r="AD2966" i="20"/>
  <c r="AE2966" i="20" s="1"/>
  <c r="R2967" i="20"/>
  <c r="AD2967" i="20"/>
  <c r="AE2967" i="20" s="1"/>
  <c r="R2968" i="20"/>
  <c r="AD2968" i="20"/>
  <c r="AE2968" i="20" s="1"/>
  <c r="R2969" i="20"/>
  <c r="AD2969" i="20"/>
  <c r="AE2969" i="20" s="1"/>
  <c r="R2970" i="20"/>
  <c r="AD2970" i="20"/>
  <c r="AE2970" i="20" s="1"/>
  <c r="R2971" i="20"/>
  <c r="AD2971" i="20"/>
  <c r="AE2971" i="20" s="1"/>
  <c r="R2972" i="20"/>
  <c r="AD2972" i="20"/>
  <c r="AE2972" i="20" s="1"/>
  <c r="R2973" i="20"/>
  <c r="AD2973" i="20"/>
  <c r="AE2973" i="20" s="1"/>
  <c r="R2974" i="20"/>
  <c r="AD2974" i="20"/>
  <c r="AE2974" i="20" s="1"/>
  <c r="R2975" i="20"/>
  <c r="AD2975" i="20"/>
  <c r="AE2975" i="20" s="1"/>
  <c r="R2976" i="20"/>
  <c r="AD2976" i="20"/>
  <c r="AE2976" i="20" s="1"/>
  <c r="R2977" i="20"/>
  <c r="AD2977" i="20"/>
  <c r="AE2977" i="20" s="1"/>
  <c r="R2978" i="20"/>
  <c r="AD2978" i="20"/>
  <c r="AE2978" i="20" s="1"/>
  <c r="R2979" i="20"/>
  <c r="AD2979" i="20"/>
  <c r="AE2979" i="20" s="1"/>
  <c r="R2980" i="20"/>
  <c r="AD2980" i="20"/>
  <c r="AE2980" i="20" s="1"/>
  <c r="R2981" i="20"/>
  <c r="AD2981" i="20"/>
  <c r="AE2981" i="20" s="1"/>
  <c r="R2982" i="20"/>
  <c r="AD2982" i="20"/>
  <c r="AE2982" i="20" s="1"/>
  <c r="R2983" i="20"/>
  <c r="AD2983" i="20"/>
  <c r="AE2983" i="20" s="1"/>
  <c r="R2984" i="20"/>
  <c r="AD2984" i="20"/>
  <c r="AE2984" i="20" s="1"/>
  <c r="R2985" i="20"/>
  <c r="AD2985" i="20"/>
  <c r="AE2985" i="20" s="1"/>
  <c r="R2986" i="20"/>
  <c r="AD2986" i="20"/>
  <c r="AE2986" i="20" s="1"/>
  <c r="R2987" i="20"/>
  <c r="AD2987" i="20"/>
  <c r="AE2987" i="20" s="1"/>
  <c r="R2988" i="20"/>
  <c r="AD2988" i="20"/>
  <c r="AE2988" i="20" s="1"/>
  <c r="R2989" i="20"/>
  <c r="AD2989" i="20"/>
  <c r="AE2989" i="20" s="1"/>
  <c r="R2990" i="20"/>
  <c r="AD2990" i="20"/>
  <c r="AE2990" i="20" s="1"/>
  <c r="R2991" i="20"/>
  <c r="AD2991" i="20"/>
  <c r="AE2991" i="20" s="1"/>
  <c r="R2992" i="20"/>
  <c r="AD2992" i="20"/>
  <c r="AE2992" i="20" s="1"/>
  <c r="R2993" i="20"/>
  <c r="AD2993" i="20"/>
  <c r="AE2993" i="20" s="1"/>
  <c r="R2994" i="20"/>
  <c r="AD2994" i="20"/>
  <c r="AE2994" i="20" s="1"/>
  <c r="R2995" i="20"/>
  <c r="AD2995" i="20"/>
  <c r="AE2995" i="20" s="1"/>
  <c r="R2996" i="20"/>
  <c r="AD2996" i="20"/>
  <c r="AE2996" i="20" s="1"/>
  <c r="R2997" i="20"/>
  <c r="AD2997" i="20"/>
  <c r="AE2997" i="20" s="1"/>
  <c r="R2998" i="20"/>
  <c r="AD2998" i="20"/>
  <c r="AE2998" i="20" s="1"/>
  <c r="R2999" i="20"/>
  <c r="AD2999" i="20"/>
  <c r="AE2999" i="20" s="1"/>
  <c r="R3000" i="20"/>
  <c r="AD3000" i="20"/>
  <c r="AE3000" i="20" s="1"/>
  <c r="R3001" i="20"/>
  <c r="AD3001" i="20"/>
  <c r="AE3001" i="20" s="1"/>
  <c r="R3002" i="20"/>
  <c r="AD3002" i="20"/>
  <c r="AE3002" i="20" s="1"/>
  <c r="R3003" i="20"/>
  <c r="AD3003" i="20"/>
  <c r="AE3003" i="20" s="1"/>
  <c r="R3004" i="20"/>
  <c r="AD3004" i="20"/>
  <c r="AE3004" i="20" s="1"/>
  <c r="R3005" i="20"/>
  <c r="AD3005" i="20"/>
  <c r="AE3005" i="20" s="1"/>
  <c r="R3006" i="20"/>
  <c r="AD3006" i="20"/>
  <c r="AE3006" i="20" s="1"/>
  <c r="R3007" i="20"/>
  <c r="AD3007" i="20"/>
  <c r="AE3007" i="20" s="1"/>
  <c r="R3008" i="20"/>
  <c r="AD3008" i="20"/>
  <c r="AE3008" i="20" s="1"/>
  <c r="R3009" i="20"/>
  <c r="AD3009" i="20"/>
  <c r="AE3009" i="20" s="1"/>
  <c r="R3010" i="20"/>
  <c r="AD3010" i="20"/>
  <c r="AE3010" i="20" s="1"/>
  <c r="R3011" i="20"/>
  <c r="AD3011" i="20"/>
  <c r="AE3011" i="20" s="1"/>
  <c r="R3012" i="20"/>
  <c r="AD3012" i="20"/>
  <c r="AE3012" i="20" s="1"/>
  <c r="R3013" i="20"/>
  <c r="AD3013" i="20"/>
  <c r="AE3013" i="20" s="1"/>
  <c r="R3014" i="20"/>
  <c r="AD3014" i="20"/>
  <c r="AE3014" i="20" s="1"/>
  <c r="R3015" i="20"/>
  <c r="AD3015" i="20"/>
  <c r="AE3015" i="20" s="1"/>
  <c r="R3016" i="20"/>
  <c r="AD3016" i="20"/>
  <c r="AE3016" i="20" s="1"/>
  <c r="R3017" i="20"/>
  <c r="AD3017" i="20"/>
  <c r="AE3017" i="20" s="1"/>
  <c r="R3018" i="20"/>
  <c r="AD3018" i="20"/>
  <c r="AE3018" i="20" s="1"/>
  <c r="R3019" i="20"/>
  <c r="AD3019" i="20"/>
  <c r="AE3019" i="20" s="1"/>
  <c r="R3020" i="20"/>
  <c r="AD3020" i="20"/>
  <c r="AE3020" i="20" s="1"/>
  <c r="R3021" i="20"/>
  <c r="AD3021" i="20"/>
  <c r="AE3021" i="20" s="1"/>
  <c r="R3022" i="20"/>
  <c r="AD3022" i="20"/>
  <c r="AE3022" i="20" s="1"/>
  <c r="R3023" i="20"/>
  <c r="AD3023" i="20"/>
  <c r="AE3023" i="20" s="1"/>
  <c r="R3024" i="20"/>
  <c r="AD3024" i="20"/>
  <c r="AE3024" i="20" s="1"/>
  <c r="R3025" i="20"/>
  <c r="AD3025" i="20"/>
  <c r="AE3025" i="20" s="1"/>
  <c r="R3026" i="20"/>
  <c r="AD3026" i="20"/>
  <c r="AE3026" i="20" s="1"/>
  <c r="R3027" i="20"/>
  <c r="AD3027" i="20"/>
  <c r="AE3027" i="20" s="1"/>
  <c r="R3028" i="20"/>
  <c r="AD3028" i="20"/>
  <c r="AE3028" i="20" s="1"/>
  <c r="R3029" i="20"/>
  <c r="AD3029" i="20"/>
  <c r="AE3029" i="20" s="1"/>
  <c r="R3030" i="20"/>
  <c r="AD3030" i="20"/>
  <c r="AE3030" i="20" s="1"/>
  <c r="R3031" i="20"/>
  <c r="AD3031" i="20"/>
  <c r="AE3031" i="20" s="1"/>
  <c r="R3032" i="20"/>
  <c r="AD3032" i="20"/>
  <c r="AE3032" i="20" s="1"/>
  <c r="R3033" i="20"/>
  <c r="AD3033" i="20"/>
  <c r="AE3033" i="20" s="1"/>
  <c r="R3034" i="20"/>
  <c r="AD3034" i="20"/>
  <c r="AE3034" i="20" s="1"/>
  <c r="R3035" i="20"/>
  <c r="AD3035" i="20"/>
  <c r="AE3035" i="20" s="1"/>
  <c r="R3036" i="20"/>
  <c r="AD3036" i="20"/>
  <c r="AE3036" i="20" s="1"/>
  <c r="R3037" i="20"/>
  <c r="AD3037" i="20"/>
  <c r="AE3037" i="20" s="1"/>
  <c r="R1064" i="20" l="1"/>
  <c r="AF1529" i="20"/>
  <c r="AF1530" i="20"/>
  <c r="AF1531" i="20"/>
  <c r="AF1532" i="20"/>
  <c r="AF1533" i="20"/>
  <c r="AF1534" i="20"/>
  <c r="AF1535" i="20"/>
  <c r="AF1536" i="20"/>
  <c r="AF1537" i="20"/>
  <c r="AF1538" i="20"/>
  <c r="AF1539" i="20"/>
  <c r="AF1540" i="20"/>
  <c r="AF1541" i="20"/>
  <c r="AF1542" i="20"/>
  <c r="AF1543" i="20"/>
  <c r="AF1544" i="20"/>
  <c r="AF1545" i="20"/>
  <c r="AD816" i="20" l="1"/>
  <c r="AE816" i="20" s="1"/>
  <c r="AD825" i="20"/>
  <c r="AE825" i="20" s="1"/>
  <c r="AD782" i="20"/>
  <c r="AE782" i="20" s="1"/>
  <c r="AD781" i="20"/>
  <c r="AE781" i="20" s="1"/>
  <c r="AD780" i="20"/>
  <c r="AE780" i="20" s="1"/>
  <c r="AD778" i="20"/>
  <c r="AE778" i="20" s="1"/>
  <c r="AD777" i="20"/>
  <c r="AE777" i="20" s="1"/>
  <c r="AD776" i="20"/>
  <c r="AE776" i="20" s="1"/>
  <c r="AD775" i="20"/>
  <c r="AE775" i="20" s="1"/>
  <c r="AD774" i="20"/>
  <c r="AE774" i="20" s="1"/>
  <c r="AD773" i="20"/>
  <c r="AE773" i="20" s="1"/>
  <c r="AD772" i="20"/>
  <c r="AE772" i="20" s="1"/>
  <c r="AD771" i="20"/>
  <c r="AE771" i="20" s="1"/>
  <c r="AD770" i="20"/>
  <c r="AE770" i="20" s="1"/>
  <c r="AD769" i="20"/>
  <c r="AE769" i="20" s="1"/>
  <c r="AD768" i="20"/>
  <c r="AE768" i="20" s="1"/>
  <c r="AD767" i="20"/>
  <c r="AE767" i="20" s="1"/>
  <c r="AD766" i="20"/>
  <c r="AE766" i="20" s="1"/>
  <c r="AD765" i="20"/>
  <c r="AE765" i="20" s="1"/>
  <c r="AD763" i="20"/>
  <c r="AE763" i="20" s="1"/>
  <c r="AD762" i="20"/>
  <c r="AE762" i="20" s="1"/>
  <c r="AD761" i="20"/>
  <c r="AE761" i="20" s="1"/>
  <c r="AD760" i="20"/>
  <c r="AE760" i="20" s="1"/>
  <c r="AD759" i="20"/>
  <c r="AE759" i="20" s="1"/>
  <c r="AD756" i="20"/>
  <c r="AE756" i="20" s="1"/>
  <c r="AD755" i="20"/>
  <c r="AE755" i="20" s="1"/>
  <c r="AD754" i="20"/>
  <c r="AE754" i="20" s="1"/>
  <c r="AD753" i="20"/>
  <c r="AE753" i="20" s="1"/>
  <c r="AD752" i="20"/>
  <c r="AE752" i="20" s="1"/>
  <c r="AD751" i="20"/>
  <c r="AE751" i="20" s="1"/>
  <c r="AD750" i="20"/>
  <c r="AE750" i="20" s="1"/>
  <c r="AD749" i="20"/>
  <c r="AE749" i="20" s="1"/>
  <c r="AF1546" i="20" l="1"/>
  <c r="AF1547" i="20"/>
  <c r="AF1548" i="20"/>
  <c r="AF1549" i="20"/>
  <c r="AF1550" i="20"/>
  <c r="AF1551" i="20"/>
  <c r="AF1552" i="20"/>
  <c r="AF1553" i="20"/>
  <c r="AF1554" i="20"/>
  <c r="AF1555" i="20"/>
  <c r="AF1556" i="20"/>
  <c r="AF1557" i="20"/>
  <c r="AF1558" i="20"/>
  <c r="AF1559" i="20"/>
  <c r="AF1560" i="20"/>
  <c r="AF1561" i="20"/>
  <c r="AF1562" i="20"/>
  <c r="AF1563" i="20"/>
  <c r="AF1564" i="20"/>
  <c r="AF1565" i="20"/>
  <c r="AF1566" i="20"/>
  <c r="AF1567" i="20"/>
  <c r="AF1568" i="20"/>
  <c r="AF1569" i="20"/>
  <c r="AF1570" i="20"/>
  <c r="AF1571" i="20"/>
  <c r="AF1572" i="20"/>
  <c r="AF1573" i="20"/>
  <c r="AF1574" i="20"/>
  <c r="AF1575" i="20"/>
  <c r="AF1576" i="20"/>
  <c r="AF1577" i="20"/>
  <c r="AF1578" i="20"/>
  <c r="AF1579" i="20"/>
  <c r="AF1580" i="20"/>
  <c r="AF1581" i="20"/>
  <c r="AF1582" i="20"/>
  <c r="AF1583" i="20"/>
  <c r="AF1584" i="20"/>
  <c r="AF1585" i="20"/>
  <c r="AF1586" i="20"/>
  <c r="AD729" i="20" l="1"/>
  <c r="AE729" i="20" s="1"/>
  <c r="AD728" i="20"/>
  <c r="AE728" i="20" s="1"/>
  <c r="AD723" i="20"/>
  <c r="AE723" i="20" s="1"/>
  <c r="AD720" i="20"/>
  <c r="AE720" i="20" s="1"/>
  <c r="AD710" i="20"/>
  <c r="AE710" i="20" s="1"/>
  <c r="AD702" i="20"/>
  <c r="AE702" i="20" s="1"/>
  <c r="AD703" i="20"/>
  <c r="AE703" i="20" s="1"/>
  <c r="AD709" i="20"/>
  <c r="AE709" i="20" s="1"/>
  <c r="AD708" i="20"/>
  <c r="AE708" i="20" s="1"/>
  <c r="AD706" i="20"/>
  <c r="AE706" i="20" s="1"/>
  <c r="AD700" i="20"/>
  <c r="AE700" i="20" s="1"/>
  <c r="AD701" i="20"/>
  <c r="AE701" i="20" s="1"/>
  <c r="AD699" i="20"/>
  <c r="AE699" i="20" s="1"/>
  <c r="AD705" i="20"/>
  <c r="AE705" i="20" s="1"/>
  <c r="AD704" i="20"/>
  <c r="AE704" i="20" s="1"/>
  <c r="AD691" i="20"/>
  <c r="AE691" i="20" s="1"/>
  <c r="AD692" i="20"/>
  <c r="AE692" i="20" s="1"/>
  <c r="AD693" i="20"/>
  <c r="AE693" i="20" s="1"/>
  <c r="AD695" i="20"/>
  <c r="AE695" i="20" s="1"/>
  <c r="AD694" i="20"/>
  <c r="AE694" i="20" s="1"/>
  <c r="AD697" i="20"/>
  <c r="AE697" i="20" s="1"/>
  <c r="AD696" i="20"/>
  <c r="AE696" i="20" s="1"/>
  <c r="AD698" i="20"/>
  <c r="AE698" i="20" s="1"/>
  <c r="AD674" i="20" l="1"/>
  <c r="AE674" i="20" s="1"/>
  <c r="AD676" i="20"/>
  <c r="AE676" i="20" s="1"/>
  <c r="AD675" i="20"/>
  <c r="AE675" i="20" s="1"/>
  <c r="AD638" i="20" l="1"/>
  <c r="AE638" i="20" s="1"/>
  <c r="AF1587" i="20" l="1"/>
  <c r="AF1588" i="20"/>
  <c r="AD608" i="20" l="1"/>
  <c r="AE608" i="20" s="1"/>
  <c r="AD652" i="20" l="1"/>
  <c r="AE652" i="20" s="1"/>
  <c r="AD651" i="20"/>
  <c r="AE651" i="20" s="1"/>
  <c r="AD659" i="20"/>
  <c r="AE659" i="20" s="1"/>
  <c r="AD660" i="20"/>
  <c r="AE660" i="20" s="1"/>
  <c r="AD658" i="20"/>
  <c r="AE658" i="20" s="1"/>
  <c r="AD657" i="20"/>
  <c r="AE657" i="20" s="1"/>
  <c r="AD656" i="20"/>
  <c r="AE656" i="20" s="1"/>
  <c r="AD655" i="20"/>
  <c r="AE655" i="20" s="1"/>
  <c r="AD654" i="20"/>
  <c r="AE654" i="20" s="1"/>
  <c r="AF1589" i="20" l="1"/>
  <c r="AF1590" i="20"/>
  <c r="AF1591" i="20"/>
  <c r="AF1592" i="20"/>
  <c r="AF1593" i="20"/>
  <c r="AF1594" i="20"/>
  <c r="AF1595" i="20"/>
  <c r="AF1596" i="20"/>
  <c r="AF1597" i="20"/>
  <c r="AF1598" i="20" l="1"/>
  <c r="AF1599" i="20"/>
  <c r="J412" i="24" l="1"/>
  <c r="AD538" i="20" l="1"/>
  <c r="AE538" i="20" s="1"/>
  <c r="AD515" i="20" l="1"/>
  <c r="AE515" i="20" s="1"/>
  <c r="AD522" i="20"/>
  <c r="AE522" i="20" s="1"/>
  <c r="AF1600" i="20" l="1"/>
  <c r="AF1601" i="20"/>
  <c r="AF1602" i="20"/>
  <c r="AF1603" i="20"/>
  <c r="AF1604" i="20"/>
  <c r="AD602" i="20" l="1"/>
  <c r="AE602" i="20" s="1"/>
  <c r="AD601" i="20"/>
  <c r="AE601" i="20" s="1"/>
  <c r="AD600" i="20"/>
  <c r="AE600" i="20" s="1"/>
  <c r="AD599" i="20"/>
  <c r="AE599" i="20" s="1"/>
  <c r="AD598" i="20"/>
  <c r="AE598" i="20" s="1"/>
  <c r="AD597" i="20"/>
  <c r="AE597" i="20" s="1"/>
  <c r="AD596" i="20"/>
  <c r="AE596" i="20" s="1"/>
  <c r="AD595" i="20"/>
  <c r="AE595" i="20" s="1"/>
  <c r="AD594" i="20"/>
  <c r="AE594" i="20" s="1"/>
  <c r="AD593" i="20"/>
  <c r="AE593" i="20" s="1"/>
  <c r="AD592" i="20"/>
  <c r="AE592" i="20" s="1"/>
  <c r="AD591" i="20"/>
  <c r="AE591" i="20" s="1"/>
  <c r="AF1605" i="20" l="1"/>
  <c r="AF1606" i="20"/>
  <c r="AF1607" i="20"/>
  <c r="AF1608" i="20"/>
  <c r="AF1609" i="20"/>
  <c r="AF1610" i="20"/>
  <c r="AF1611" i="20"/>
  <c r="AF1612" i="20"/>
  <c r="AF1613" i="20"/>
  <c r="AF1614" i="20"/>
  <c r="AF1615" i="20"/>
  <c r="AF1616" i="20"/>
  <c r="AD564" i="20" l="1"/>
  <c r="AE564" i="20" s="1"/>
  <c r="AD562" i="20"/>
  <c r="AE562" i="20" s="1"/>
  <c r="AD560" i="20"/>
  <c r="AE560" i="20" s="1"/>
  <c r="AD555" i="20"/>
  <c r="AE555" i="20" s="1"/>
  <c r="AD554" i="20"/>
  <c r="AE554" i="20" s="1"/>
  <c r="AD553" i="20"/>
  <c r="AE553" i="20" s="1"/>
  <c r="AD552" i="20"/>
  <c r="AE552" i="20" s="1"/>
  <c r="AD551" i="20"/>
  <c r="AE551" i="20" s="1"/>
  <c r="AF1617" i="20" l="1"/>
  <c r="AF1618" i="20"/>
  <c r="AF1619" i="20"/>
  <c r="AF1620" i="20"/>
  <c r="AF1621" i="20"/>
  <c r="AF1622" i="20"/>
  <c r="AF1623" i="20"/>
  <c r="AF1624" i="20"/>
  <c r="P472" i="20" l="1"/>
  <c r="R472" i="20" s="1"/>
  <c r="P475" i="20"/>
  <c r="R475" i="20" s="1"/>
  <c r="D417" i="24" l="1"/>
  <c r="AD527" i="20" l="1"/>
  <c r="AE527" i="20" s="1"/>
  <c r="AD485" i="20" l="1"/>
  <c r="AE485" i="20" s="1"/>
  <c r="AD484" i="20"/>
  <c r="AE484" i="20" s="1"/>
  <c r="AD483" i="20"/>
  <c r="AE483" i="20" s="1"/>
  <c r="AD486" i="20"/>
  <c r="AE486" i="20" s="1"/>
  <c r="AD482" i="20"/>
  <c r="AE482" i="20" s="1"/>
  <c r="AD481" i="20"/>
  <c r="AE481" i="20" s="1"/>
  <c r="AD470" i="20"/>
  <c r="AE470" i="20" s="1"/>
  <c r="AF1625" i="20" l="1"/>
  <c r="AF1626" i="20"/>
  <c r="AF1627" i="20"/>
  <c r="AF1628" i="20"/>
  <c r="AF1629" i="20"/>
  <c r="AF1630" i="20"/>
  <c r="AD443" i="20" l="1"/>
  <c r="AE443" i="20" s="1"/>
  <c r="AD404" i="20" l="1"/>
  <c r="AE404" i="20" s="1"/>
  <c r="J327" i="24"/>
  <c r="AD410" i="20" l="1"/>
  <c r="AE410" i="20" s="1"/>
  <c r="AD433" i="20" l="1"/>
  <c r="AE433" i="20" s="1"/>
  <c r="AF1631" i="20" l="1"/>
  <c r="AF1632" i="20"/>
  <c r="D341" i="24" l="1"/>
  <c r="P377" i="20"/>
  <c r="R377" i="20" s="1"/>
  <c r="AF1633" i="20" l="1"/>
  <c r="K275" i="24" l="1"/>
  <c r="AF1634" i="20" l="1"/>
  <c r="AF1635" i="20"/>
  <c r="AF1636" i="20"/>
  <c r="AF1637" i="20"/>
  <c r="AF1638" i="20"/>
  <c r="AF1639" i="20"/>
  <c r="AF1640" i="20"/>
  <c r="AF1641" i="20"/>
  <c r="D294" i="24" l="1"/>
  <c r="J275" i="24" l="1"/>
  <c r="K226" i="24" l="1"/>
  <c r="J226" i="24"/>
  <c r="D235" i="24" l="1"/>
  <c r="J163" i="24" l="1"/>
  <c r="L90" i="24" l="1"/>
  <c r="L118" i="24"/>
  <c r="L119" i="24"/>
  <c r="L120" i="24"/>
  <c r="L121" i="24"/>
  <c r="L122" i="24"/>
  <c r="L123" i="24"/>
  <c r="L124" i="24"/>
  <c r="L125" i="24"/>
  <c r="L126" i="24"/>
  <c r="L127" i="24"/>
  <c r="L128" i="24"/>
  <c r="L129" i="24"/>
  <c r="L130" i="24"/>
  <c r="L131" i="24"/>
  <c r="L132" i="24"/>
  <c r="L133" i="24"/>
  <c r="L134" i="24"/>
  <c r="L135" i="24"/>
  <c r="L136" i="24"/>
  <c r="L137" i="24"/>
  <c r="L138" i="24"/>
  <c r="L139" i="24"/>
  <c r="L140" i="24"/>
  <c r="L141" i="24"/>
  <c r="L142" i="24"/>
  <c r="L143" i="24"/>
  <c r="L144" i="24"/>
  <c r="L145" i="24"/>
  <c r="L146" i="24"/>
  <c r="L147" i="24"/>
  <c r="L148" i="24"/>
  <c r="L149" i="24"/>
  <c r="L150" i="24"/>
  <c r="L151" i="24"/>
  <c r="L152" i="24"/>
  <c r="L153" i="24"/>
  <c r="L154" i="24"/>
  <c r="L155" i="24"/>
  <c r="L156" i="24"/>
  <c r="L157" i="24"/>
  <c r="L158" i="24"/>
  <c r="L159" i="24"/>
  <c r="L160" i="24"/>
  <c r="L161" i="24"/>
  <c r="L162" i="24"/>
  <c r="L117" i="24"/>
  <c r="D188" i="24"/>
  <c r="D190" i="24" s="1"/>
  <c r="L116" i="24"/>
  <c r="L115" i="24"/>
  <c r="L114" i="24"/>
  <c r="L113" i="24"/>
  <c r="L112" i="24"/>
  <c r="L111" i="24"/>
  <c r="L110" i="24"/>
  <c r="L109" i="24"/>
  <c r="L108" i="24"/>
  <c r="L107" i="24"/>
  <c r="L106" i="24"/>
  <c r="L105" i="24"/>
  <c r="L104" i="24"/>
  <c r="L103" i="24"/>
  <c r="L102" i="24"/>
  <c r="L101" i="24"/>
  <c r="L100" i="24"/>
  <c r="L99" i="24"/>
  <c r="L98" i="24"/>
  <c r="L97" i="24"/>
  <c r="L96" i="24"/>
  <c r="L95" i="24"/>
  <c r="L94" i="24"/>
  <c r="L93" i="24"/>
  <c r="L92" i="24"/>
  <c r="L91" i="24"/>
  <c r="Q19" i="20" l="1"/>
  <c r="R19" i="20" s="1"/>
  <c r="AD19" i="20" l="1"/>
  <c r="AE19" i="20" s="1"/>
  <c r="P132" i="20" l="1"/>
  <c r="R132" i="20" s="1"/>
  <c r="P129" i="20"/>
  <c r="R129" i="20" s="1"/>
  <c r="L3" i="20" l="1"/>
  <c r="J65" i="24" l="1"/>
  <c r="D84" i="24" l="1"/>
  <c r="D86" i="24" s="1"/>
  <c r="L64" i="24"/>
  <c r="L63" i="24"/>
  <c r="L62" i="24"/>
  <c r="L61" i="24"/>
  <c r="L60" i="24"/>
  <c r="L59" i="24"/>
  <c r="L58" i="24"/>
  <c r="L57" i="24"/>
  <c r="L56" i="24"/>
  <c r="L55" i="24"/>
  <c r="L54" i="24"/>
  <c r="L53" i="24"/>
  <c r="L52" i="24"/>
  <c r="L51" i="24"/>
  <c r="L50" i="24"/>
  <c r="L49" i="24"/>
  <c r="L65" i="24"/>
  <c r="L48" i="24"/>
  <c r="L47" i="24"/>
  <c r="L46" i="24"/>
  <c r="L45" i="24"/>
  <c r="L44" i="24"/>
  <c r="L43" i="24"/>
  <c r="L42" i="24"/>
  <c r="L41" i="24"/>
  <c r="L40" i="24"/>
  <c r="L39" i="24"/>
  <c r="L38" i="24"/>
  <c r="L37" i="24"/>
  <c r="A2" i="21" l="1"/>
  <c r="AD69" i="20" l="1"/>
  <c r="AE69" i="20" s="1"/>
  <c r="AD75" i="20" l="1"/>
  <c r="AE75" i="20" s="1"/>
  <c r="AD74" i="20" l="1"/>
  <c r="AE74" i="20" s="1"/>
  <c r="R3" i="20" l="1"/>
  <c r="M3" i="20"/>
  <c r="AD73" i="20" l="1"/>
  <c r="AE73" i="20" s="1"/>
  <c r="AD72" i="20"/>
  <c r="AE72" i="20" s="1"/>
  <c r="AD71" i="20"/>
  <c r="AE71" i="20" s="1"/>
  <c r="AD70" i="20"/>
  <c r="AE70" i="20" s="1"/>
  <c r="AD68" i="20"/>
  <c r="AE68" i="20" s="1"/>
  <c r="AD67" i="20"/>
  <c r="AE67" i="20" s="1"/>
  <c r="AD66" i="20"/>
  <c r="AE66" i="20" s="1"/>
  <c r="AD65" i="20"/>
  <c r="AE65" i="20" s="1"/>
  <c r="AD64" i="20"/>
  <c r="AE64" i="20" s="1"/>
  <c r="AD63" i="20"/>
  <c r="AE63" i="20" s="1"/>
  <c r="AD62" i="20"/>
  <c r="AE62" i="20" s="1"/>
  <c r="AD61" i="20"/>
  <c r="AE61" i="20" s="1"/>
  <c r="AD60" i="20"/>
  <c r="AE60" i="20" s="1"/>
  <c r="AD59" i="20"/>
  <c r="AE59" i="20" s="1"/>
  <c r="AD58" i="20"/>
  <c r="AE58" i="20" s="1"/>
  <c r="AD57" i="20"/>
  <c r="AE57" i="20" s="1"/>
  <c r="AD56" i="20"/>
  <c r="AE56" i="20" s="1"/>
  <c r="AD55" i="20"/>
  <c r="AE55" i="20" s="1"/>
  <c r="AD54" i="20"/>
  <c r="AE54" i="20" s="1"/>
  <c r="AD50" i="20"/>
  <c r="AE50" i="20" s="1"/>
  <c r="AD52" i="20"/>
  <c r="AE52" i="20" s="1"/>
  <c r="AD51" i="20"/>
  <c r="AE51" i="20" s="1"/>
  <c r="AD53" i="20"/>
  <c r="AE53" i="20" s="1"/>
  <c r="AD49" i="20"/>
  <c r="AE49" i="20" s="1"/>
  <c r="AD48" i="20"/>
  <c r="AE48" i="20" s="1"/>
  <c r="AD47" i="20"/>
  <c r="AE47" i="20" s="1"/>
  <c r="AD46" i="20"/>
  <c r="AE46" i="20" s="1"/>
  <c r="AD44" i="20"/>
  <c r="AE44" i="20" s="1"/>
  <c r="AD45" i="20"/>
  <c r="AE45" i="20" s="1"/>
  <c r="AD43" i="20"/>
  <c r="AE43" i="20" s="1"/>
  <c r="AD42" i="20"/>
  <c r="AE42" i="20" s="1"/>
  <c r="AD41" i="20"/>
  <c r="AE41" i="20" s="1"/>
  <c r="AD40" i="20"/>
  <c r="AE40" i="20" s="1"/>
  <c r="AD39" i="20"/>
  <c r="AE39" i="20" s="1"/>
  <c r="AD38" i="20"/>
  <c r="AE38" i="20" s="1"/>
  <c r="AD37" i="20"/>
  <c r="AE37" i="20" s="1"/>
  <c r="AD36" i="20"/>
  <c r="AE36" i="20" s="1"/>
  <c r="AD35" i="20"/>
  <c r="AE35" i="20" s="1"/>
  <c r="AD34" i="20"/>
  <c r="AE34" i="20" s="1"/>
  <c r="AD33" i="20"/>
  <c r="AE33" i="20" s="1"/>
  <c r="AD32" i="20"/>
  <c r="AE32" i="20" s="1"/>
  <c r="AD31" i="20"/>
  <c r="AE31" i="20" s="1"/>
  <c r="AD30" i="20"/>
  <c r="AE30" i="20" s="1"/>
  <c r="AD29" i="20"/>
  <c r="AE29" i="20" s="1"/>
  <c r="AD28" i="20"/>
  <c r="AE28" i="20" s="1"/>
  <c r="AD27" i="20"/>
  <c r="AE27" i="20" s="1"/>
  <c r="AD26" i="20"/>
  <c r="AE26" i="20" s="1"/>
  <c r="AD25" i="20"/>
  <c r="AE25" i="20" s="1"/>
  <c r="AD24" i="20"/>
  <c r="AE24" i="20" s="1"/>
  <c r="AD21" i="20"/>
  <c r="AE21" i="20" s="1"/>
  <c r="AD23" i="20"/>
  <c r="AE23" i="20" s="1"/>
  <c r="AD22" i="20"/>
  <c r="AE22" i="20" s="1"/>
  <c r="AD20" i="20"/>
  <c r="AE20" i="20" s="1"/>
  <c r="AD18" i="20"/>
  <c r="AE18" i="20" s="1"/>
  <c r="AD17" i="20"/>
  <c r="AE17" i="20" s="1"/>
  <c r="AD16" i="20"/>
  <c r="AE16" i="20" s="1"/>
  <c r="AD15" i="20"/>
  <c r="AE15" i="20" s="1"/>
  <c r="AD14" i="20"/>
  <c r="AE14" i="20" s="1"/>
  <c r="AD13" i="20"/>
  <c r="AE13" i="20" s="1"/>
  <c r="AD12" i="20"/>
  <c r="AE12" i="20" s="1"/>
  <c r="AD11" i="20"/>
  <c r="AE11" i="20" s="1"/>
  <c r="AD10" i="20"/>
  <c r="AE10" i="20" s="1"/>
  <c r="AD9" i="20"/>
  <c r="AE9" i="20" s="1"/>
  <c r="AD8" i="20"/>
  <c r="AE8" i="20" s="1"/>
  <c r="AD7" i="20"/>
  <c r="AE7" i="20" s="1"/>
  <c r="AF3" i="20"/>
  <c r="AD6" i="20"/>
  <c r="AE6" i="20" s="1"/>
  <c r="L6" i="24" l="1"/>
  <c r="L4" i="24" l="1"/>
  <c r="L5" i="24"/>
  <c r="L7" i="24"/>
  <c r="L8" i="24"/>
  <c r="L9" i="24"/>
  <c r="L10" i="24"/>
  <c r="L11" i="24"/>
  <c r="L12" i="24"/>
  <c r="L13" i="24"/>
  <c r="L14" i="24"/>
  <c r="L15" i="24"/>
  <c r="L16" i="24"/>
  <c r="L17" i="24"/>
  <c r="L18" i="24"/>
  <c r="L19" i="24"/>
  <c r="L20" i="24"/>
  <c r="L3" i="24"/>
  <c r="J21" i="24" l="1"/>
  <c r="D31" i="24" l="1"/>
  <c r="D33" i="24" s="1"/>
  <c r="AD398" i="20" l="1"/>
  <c r="AE398" i="20" s="1"/>
  <c r="AD399" i="20"/>
  <c r="AE399" i="20" s="1"/>
  <c r="AD400" i="20"/>
  <c r="AE400" i="20" s="1"/>
  <c r="AD401" i="20"/>
  <c r="AE401" i="20" s="1"/>
  <c r="AD402" i="20"/>
  <c r="AE402" i="20" s="1"/>
  <c r="AD403" i="20"/>
  <c r="AE403" i="20" s="1"/>
  <c r="AD405" i="20"/>
  <c r="AE405" i="20" s="1"/>
  <c r="AD406" i="20"/>
  <c r="AE406" i="20" s="1"/>
  <c r="AD407" i="20"/>
  <c r="AE407" i="20" s="1"/>
  <c r="AD408" i="20"/>
  <c r="AE408" i="20" s="1"/>
  <c r="AD409" i="20"/>
  <c r="AE409" i="20" s="1"/>
  <c r="AD411" i="20"/>
  <c r="AE411" i="20" s="1"/>
  <c r="AD412" i="20"/>
  <c r="AE412" i="20" s="1"/>
  <c r="AD413" i="20"/>
  <c r="AE413" i="20" s="1"/>
  <c r="AD414" i="20"/>
  <c r="AE414" i="20" s="1"/>
  <c r="AD415" i="20"/>
  <c r="AE415" i="20" s="1"/>
  <c r="AD416" i="20"/>
  <c r="AE416" i="20" s="1"/>
  <c r="AD417" i="20"/>
  <c r="AE417" i="20" s="1"/>
  <c r="AD418" i="20"/>
  <c r="AE418" i="20" s="1"/>
  <c r="AD419" i="20"/>
  <c r="AE419" i="20" s="1"/>
  <c r="AD420" i="20"/>
  <c r="AE420" i="20" s="1"/>
  <c r="AD421" i="20"/>
  <c r="AE421" i="20" s="1"/>
  <c r="AD422" i="20"/>
  <c r="AE422" i="20" s="1"/>
  <c r="AD423" i="20"/>
  <c r="AE423" i="20" s="1"/>
  <c r="AD424" i="20"/>
  <c r="AE424" i="20" s="1"/>
  <c r="AD425" i="20"/>
  <c r="AE425" i="20" s="1"/>
  <c r="AD426" i="20"/>
  <c r="AE426" i="20" s="1"/>
  <c r="AD427" i="20"/>
  <c r="AE427" i="20" s="1"/>
  <c r="AD428" i="20"/>
  <c r="AE428" i="20" s="1"/>
  <c r="AD429" i="20"/>
  <c r="AE429" i="20" s="1"/>
  <c r="AD430" i="20"/>
  <c r="AE430" i="20" s="1"/>
  <c r="AD431" i="20"/>
  <c r="AE431" i="20" s="1"/>
  <c r="AD432" i="20"/>
  <c r="AE432" i="20" s="1"/>
  <c r="AD434" i="20"/>
  <c r="AE434" i="20" s="1"/>
  <c r="AD435" i="20"/>
  <c r="AE435" i="20" s="1"/>
  <c r="AD436" i="20"/>
  <c r="AE436" i="20" s="1"/>
  <c r="AD437" i="20"/>
  <c r="AE437" i="20" s="1"/>
  <c r="AD438" i="20"/>
  <c r="AE438" i="20" s="1"/>
  <c r="AD439" i="20"/>
  <c r="AE439" i="20" s="1"/>
  <c r="AD440" i="20"/>
  <c r="AE440" i="20" s="1"/>
  <c r="AD441" i="20"/>
  <c r="AE441" i="20" s="1"/>
  <c r="AD442" i="20"/>
  <c r="AE442" i="20" s="1"/>
  <c r="AD444" i="20"/>
  <c r="AE444" i="20" s="1"/>
  <c r="AD445" i="20"/>
  <c r="AE445" i="20" s="1"/>
  <c r="AD446" i="20"/>
  <c r="AE446" i="20" s="1"/>
  <c r="AD447" i="20"/>
  <c r="AE447" i="20" s="1"/>
  <c r="AD448" i="20"/>
  <c r="AE448" i="20" s="1"/>
  <c r="AD450" i="20"/>
  <c r="AE450" i="20" s="1"/>
  <c r="AD451" i="20"/>
  <c r="AE451" i="20" s="1"/>
  <c r="AD452" i="20"/>
  <c r="AE452" i="20" s="1"/>
  <c r="AD453" i="20"/>
  <c r="AE453" i="20" s="1"/>
  <c r="AD454" i="20"/>
  <c r="AE454" i="20" s="1"/>
  <c r="AD455" i="20"/>
  <c r="AE455" i="20" s="1"/>
  <c r="AD449" i="20"/>
  <c r="AE449" i="20" s="1"/>
  <c r="AD456" i="20"/>
  <c r="AE456" i="20" s="1"/>
  <c r="AD457" i="20"/>
  <c r="AE457" i="20" s="1"/>
  <c r="AD458" i="20"/>
  <c r="AE458" i="20" s="1"/>
  <c r="AD459" i="20"/>
  <c r="AE459" i="20" s="1"/>
  <c r="AD460" i="20"/>
  <c r="AE460" i="20" s="1"/>
  <c r="AD461" i="20"/>
  <c r="AE461" i="20" s="1"/>
  <c r="AD462" i="20"/>
  <c r="AE462" i="20" s="1"/>
  <c r="AD463" i="20"/>
  <c r="AE463" i="20" s="1"/>
  <c r="AD464" i="20"/>
  <c r="AE464" i="20" s="1"/>
  <c r="AD465" i="20"/>
  <c r="AE465" i="20" s="1"/>
  <c r="AD466" i="20"/>
  <c r="AE466" i="20" s="1"/>
  <c r="AD468" i="20"/>
  <c r="AE468" i="20" s="1"/>
  <c r="AD469" i="20"/>
  <c r="AE469" i="20" s="1"/>
  <c r="AD467" i="20"/>
  <c r="AE467" i="20" s="1"/>
  <c r="AD471" i="20"/>
  <c r="AE471" i="20" s="1"/>
  <c r="AD472" i="20"/>
  <c r="AE472" i="20" s="1"/>
  <c r="AD473" i="20"/>
  <c r="AE473" i="20" s="1"/>
  <c r="AD474" i="20"/>
  <c r="AE474" i="20" s="1"/>
  <c r="AD475" i="20"/>
  <c r="AE475" i="20" s="1"/>
  <c r="AD476" i="20"/>
  <c r="AE476" i="20" s="1"/>
  <c r="AD477" i="20"/>
  <c r="AE477" i="20" s="1"/>
  <c r="AD478" i="20"/>
  <c r="AE478" i="20" s="1"/>
  <c r="AD479" i="20"/>
  <c r="AE479" i="20" s="1"/>
  <c r="AD480" i="20"/>
  <c r="AE480" i="20" s="1"/>
  <c r="AD487" i="20"/>
  <c r="AE487" i="20" s="1"/>
  <c r="AD488" i="20"/>
  <c r="AE488" i="20" s="1"/>
  <c r="AD489" i="20"/>
  <c r="AE489" i="20" s="1"/>
  <c r="AD490" i="20"/>
  <c r="AE490" i="20" s="1"/>
  <c r="AD492" i="20"/>
  <c r="AE492" i="20" s="1"/>
  <c r="AD493" i="20"/>
  <c r="AE493" i="20" s="1"/>
  <c r="AD494" i="20"/>
  <c r="AE494" i="20" s="1"/>
  <c r="AD495" i="20"/>
  <c r="AE495" i="20" s="1"/>
  <c r="AD496" i="20"/>
  <c r="AE496" i="20" s="1"/>
  <c r="AD506" i="20"/>
  <c r="AE506" i="20" s="1"/>
  <c r="AD507" i="20"/>
  <c r="AE507" i="20" s="1"/>
  <c r="AD508" i="20"/>
  <c r="AE508" i="20" s="1"/>
  <c r="AD497" i="20"/>
  <c r="AE497" i="20" s="1"/>
  <c r="AD509" i="20"/>
  <c r="AE509" i="20" s="1"/>
  <c r="AD510" i="20"/>
  <c r="AE510" i="20" s="1"/>
  <c r="AD498" i="20"/>
  <c r="AE498" i="20" s="1"/>
  <c r="AD511" i="20"/>
  <c r="AE511" i="20" s="1"/>
  <c r="AD512" i="20"/>
  <c r="AE512" i="20" s="1"/>
  <c r="AD513" i="20"/>
  <c r="AE513" i="20" s="1"/>
  <c r="AD499" i="20"/>
  <c r="AE499" i="20" s="1"/>
  <c r="AD514" i="20"/>
  <c r="AE514" i="20" s="1"/>
  <c r="AD518" i="20"/>
  <c r="AE518" i="20" s="1"/>
  <c r="AD500" i="20"/>
  <c r="AE500" i="20" s="1"/>
  <c r="AD519" i="20"/>
  <c r="AE519" i="20" s="1"/>
  <c r="AD520" i="20"/>
  <c r="AE520" i="20" s="1"/>
  <c r="AD521" i="20"/>
  <c r="AE521" i="20" s="1"/>
  <c r="AD501" i="20"/>
  <c r="AE501" i="20" s="1"/>
  <c r="AD524" i="20"/>
  <c r="AE524" i="20" s="1"/>
  <c r="AD525" i="20"/>
  <c r="AE525" i="20" s="1"/>
  <c r="AD502" i="20"/>
  <c r="AE502" i="20" s="1"/>
  <c r="AD526" i="20"/>
  <c r="AE526" i="20" s="1"/>
  <c r="AD528" i="20"/>
  <c r="AE528" i="20" s="1"/>
  <c r="AD529" i="20"/>
  <c r="AE529" i="20" s="1"/>
  <c r="AD503" i="20"/>
  <c r="AE503" i="20" s="1"/>
  <c r="AD530" i="20"/>
  <c r="AE530" i="20" s="1"/>
  <c r="AD531" i="20"/>
  <c r="AE531" i="20" s="1"/>
  <c r="AD504" i="20"/>
  <c r="AE504" i="20" s="1"/>
  <c r="AD532" i="20"/>
  <c r="AE532" i="20" s="1"/>
  <c r="AD533" i="20"/>
  <c r="AE533" i="20" s="1"/>
  <c r="AD534" i="20"/>
  <c r="AE534" i="20" s="1"/>
  <c r="AD505" i="20"/>
  <c r="AE505" i="20" s="1"/>
  <c r="AD535" i="20"/>
  <c r="AE535" i="20" s="1"/>
  <c r="AD536" i="20"/>
  <c r="AE536" i="20" s="1"/>
  <c r="AD539" i="20"/>
  <c r="AE539" i="20" s="1"/>
  <c r="AD540" i="20"/>
  <c r="AE540" i="20" s="1"/>
  <c r="AD541" i="20"/>
  <c r="AE541" i="20" s="1"/>
  <c r="AD542" i="20"/>
  <c r="AE542" i="20" s="1"/>
  <c r="AD543" i="20"/>
  <c r="AE543" i="20" s="1"/>
  <c r="AD544" i="20"/>
  <c r="AE544" i="20" s="1"/>
  <c r="AD545" i="20"/>
  <c r="AE545" i="20" s="1"/>
  <c r="AD547" i="20"/>
  <c r="AE547" i="20" s="1"/>
  <c r="AD548" i="20"/>
  <c r="AE548" i="20" s="1"/>
  <c r="AD549" i="20"/>
  <c r="AE549" i="20" s="1"/>
  <c r="AD550" i="20"/>
  <c r="AE550" i="20" s="1"/>
  <c r="AD556" i="20"/>
  <c r="AE556" i="20" s="1"/>
  <c r="AD557" i="20"/>
  <c r="AE557" i="20" s="1"/>
  <c r="AD558" i="20"/>
  <c r="AE558" i="20" s="1"/>
  <c r="AD566" i="20"/>
  <c r="AE566" i="20" s="1"/>
  <c r="AD565" i="20"/>
  <c r="AE565" i="20" s="1"/>
  <c r="AD567" i="20"/>
  <c r="AE567" i="20" s="1"/>
  <c r="AD568" i="20"/>
  <c r="AE568" i="20" s="1"/>
  <c r="AD569" i="20"/>
  <c r="AE569" i="20" s="1"/>
  <c r="AD570" i="20"/>
  <c r="AE570" i="20" s="1"/>
  <c r="AD571" i="20"/>
  <c r="AE571" i="20" s="1"/>
  <c r="AD572" i="20"/>
  <c r="AE572" i="20" s="1"/>
  <c r="AD576" i="20"/>
  <c r="AE576" i="20" s="1"/>
  <c r="AD574" i="20"/>
  <c r="AE574" i="20" s="1"/>
  <c r="AD577" i="20"/>
  <c r="AE577" i="20" s="1"/>
  <c r="AD575" i="20"/>
  <c r="AE575" i="20" s="1"/>
  <c r="AD578" i="20"/>
  <c r="AE578" i="20" s="1"/>
  <c r="AD579" i="20"/>
  <c r="AE579" i="20" s="1"/>
  <c r="AD580" i="20"/>
  <c r="AE580" i="20" s="1"/>
  <c r="AD581" i="20"/>
  <c r="AE581" i="20" s="1"/>
  <c r="AD582" i="20"/>
  <c r="AE582" i="20" s="1"/>
  <c r="AD583" i="20"/>
  <c r="AE583" i="20" s="1"/>
  <c r="AD584" i="20"/>
  <c r="AE584" i="20" s="1"/>
  <c r="AD585" i="20"/>
  <c r="AE585" i="20" s="1"/>
  <c r="AD586" i="20"/>
  <c r="AE586" i="20" s="1"/>
  <c r="AD587" i="20"/>
  <c r="AE587" i="20" s="1"/>
  <c r="AD588" i="20"/>
  <c r="AE588" i="20" s="1"/>
  <c r="AD589" i="20"/>
  <c r="AE589" i="20" s="1"/>
  <c r="AD590" i="20"/>
  <c r="AE590" i="20" s="1"/>
  <c r="AD603" i="20"/>
  <c r="AE603" i="20" s="1"/>
  <c r="AD604" i="20"/>
  <c r="AE604" i="20" s="1"/>
  <c r="AD605" i="20"/>
  <c r="AE605" i="20" s="1"/>
  <c r="AD606" i="20"/>
  <c r="AE606" i="20" s="1"/>
  <c r="AD607" i="20"/>
  <c r="AE607" i="20" s="1"/>
  <c r="AD609" i="20"/>
  <c r="AE609" i="20" s="1"/>
  <c r="AD610" i="20"/>
  <c r="AE610" i="20" s="1"/>
  <c r="AD612" i="20"/>
  <c r="AE612" i="20" s="1"/>
  <c r="AD613" i="20"/>
  <c r="AE613" i="20" s="1"/>
  <c r="AD614" i="20"/>
  <c r="AE614" i="20" s="1"/>
  <c r="AD615" i="20"/>
  <c r="AE615" i="20" s="1"/>
  <c r="AD616" i="20"/>
  <c r="AE616" i="20" s="1"/>
  <c r="AD617" i="20"/>
  <c r="AE617" i="20" s="1"/>
  <c r="AD618" i="20"/>
  <c r="AE618" i="20" s="1"/>
  <c r="AD619" i="20"/>
  <c r="AE619" i="20" s="1"/>
  <c r="AD620" i="20"/>
  <c r="AE620" i="20" s="1"/>
  <c r="AD611" i="20"/>
  <c r="AE611" i="20" s="1"/>
  <c r="AD621" i="20"/>
  <c r="AE621" i="20" s="1"/>
  <c r="AD623" i="20"/>
  <c r="AE623" i="20" s="1"/>
  <c r="AD624" i="20"/>
  <c r="AE624" i="20" s="1"/>
  <c r="AD625" i="20"/>
  <c r="AE625" i="20" s="1"/>
  <c r="AD622" i="20"/>
  <c r="AE622" i="20" s="1"/>
  <c r="AD628" i="20"/>
  <c r="AE628" i="20" s="1"/>
  <c r="AD629" i="20"/>
  <c r="AE629" i="20" s="1"/>
  <c r="AD630" i="20"/>
  <c r="AE630" i="20" s="1"/>
  <c r="AD631" i="20"/>
  <c r="AE631" i="20" s="1"/>
  <c r="AD632" i="20"/>
  <c r="AE632" i="20" s="1"/>
  <c r="AD635" i="20"/>
  <c r="AE635" i="20" s="1"/>
  <c r="AD634" i="20"/>
  <c r="AE634" i="20" s="1"/>
  <c r="AD636" i="20"/>
  <c r="AE636" i="20" s="1"/>
  <c r="AD637" i="20"/>
  <c r="AE637" i="20" s="1"/>
  <c r="AD639" i="20"/>
  <c r="AE639" i="20" s="1"/>
  <c r="AD640" i="20"/>
  <c r="AE640" i="20" s="1"/>
  <c r="AD641" i="20"/>
  <c r="AE641" i="20" s="1"/>
  <c r="AD642" i="20"/>
  <c r="AE642" i="20" s="1"/>
  <c r="AD643" i="20"/>
  <c r="AE643" i="20" s="1"/>
  <c r="AD644" i="20"/>
  <c r="AE644" i="20" s="1"/>
  <c r="AD645" i="20"/>
  <c r="AE645" i="20" s="1"/>
  <c r="AD646" i="20"/>
  <c r="AE646" i="20" s="1"/>
  <c r="AD647" i="20"/>
  <c r="AE647" i="20" s="1"/>
  <c r="AD648" i="20"/>
  <c r="AE648" i="20" s="1"/>
  <c r="AD649" i="20"/>
  <c r="AE649" i="20" s="1"/>
  <c r="AD650" i="20"/>
  <c r="AE650" i="20" s="1"/>
  <c r="AD661" i="20"/>
  <c r="AE661" i="20" s="1"/>
  <c r="AD662" i="20"/>
  <c r="AE662" i="20" s="1"/>
  <c r="AD663" i="20"/>
  <c r="AE663" i="20" s="1"/>
  <c r="AD664" i="20"/>
  <c r="AE664" i="20" s="1"/>
  <c r="AD665" i="20"/>
  <c r="AE665" i="20" s="1"/>
  <c r="AD666" i="20"/>
  <c r="AE666" i="20" s="1"/>
  <c r="AD667" i="20"/>
  <c r="AE667" i="20" s="1"/>
  <c r="AD668" i="20"/>
  <c r="AE668" i="20" s="1"/>
  <c r="AD669" i="20"/>
  <c r="AE669" i="20" s="1"/>
  <c r="AD670" i="20"/>
  <c r="AE670" i="20" s="1"/>
  <c r="AD671" i="20"/>
  <c r="AE671" i="20" s="1"/>
  <c r="AD672" i="20"/>
  <c r="AE672" i="20" s="1"/>
  <c r="AD673" i="20"/>
  <c r="AE673" i="20" s="1"/>
  <c r="AD677" i="20"/>
  <c r="AE677" i="20" s="1"/>
  <c r="AD678" i="20"/>
  <c r="AE678" i="20" s="1"/>
  <c r="AD679" i="20"/>
  <c r="AE679" i="20" s="1"/>
  <c r="AD680" i="20"/>
  <c r="AE680" i="20" s="1"/>
  <c r="AD681" i="20"/>
  <c r="AE681" i="20" s="1"/>
  <c r="AD682" i="20"/>
  <c r="AE682" i="20" s="1"/>
  <c r="AD683" i="20"/>
  <c r="AE683" i="20" s="1"/>
  <c r="AD684" i="20"/>
  <c r="AE684" i="20" s="1"/>
  <c r="AD685" i="20"/>
  <c r="AE685" i="20" s="1"/>
  <c r="AD686" i="20"/>
  <c r="AE686" i="20" s="1"/>
  <c r="AD687" i="20"/>
  <c r="AE687" i="20" s="1"/>
  <c r="AD688" i="20"/>
  <c r="AE688" i="20" s="1"/>
  <c r="AD689" i="20"/>
  <c r="AE689" i="20" s="1"/>
  <c r="AD690" i="20"/>
  <c r="AE690" i="20" s="1"/>
  <c r="AD5" i="20"/>
  <c r="AE5" i="20" s="1"/>
  <c r="AD730" i="20"/>
  <c r="AE730" i="20" s="1"/>
  <c r="AD731" i="20"/>
  <c r="AE731" i="20" s="1"/>
  <c r="AD732" i="20"/>
  <c r="AE732" i="20" s="1"/>
  <c r="AD733" i="20"/>
  <c r="AE733" i="20" s="1"/>
  <c r="AD734" i="20"/>
  <c r="AE734" i="20" s="1"/>
  <c r="AD735" i="20"/>
  <c r="AE735" i="20" s="1"/>
  <c r="AD736" i="20"/>
  <c r="AE736" i="20" s="1"/>
  <c r="AD737" i="20"/>
  <c r="AE737" i="20" s="1"/>
  <c r="AD738" i="20"/>
  <c r="AE738" i="20" s="1"/>
  <c r="AD739" i="20"/>
  <c r="AE739" i="20" s="1"/>
  <c r="AD740" i="20"/>
  <c r="AE740" i="20" s="1"/>
  <c r="AD742" i="20"/>
  <c r="AE742" i="20" s="1"/>
  <c r="AD746" i="20"/>
  <c r="AE746" i="20" s="1"/>
  <c r="AD747" i="20"/>
  <c r="AE747" i="20" s="1"/>
  <c r="AD748" i="20"/>
  <c r="AE748" i="20" s="1"/>
  <c r="AD764" i="20"/>
  <c r="AE764" i="20" s="1"/>
  <c r="I32" i="21" l="1"/>
  <c r="M32" i="21" s="1"/>
  <c r="I31" i="21"/>
  <c r="M31" i="21" s="1"/>
  <c r="I30" i="21"/>
  <c r="M30" i="21" s="1"/>
  <c r="I29" i="21"/>
  <c r="M29" i="21" s="1"/>
  <c r="I28" i="21"/>
  <c r="M28" i="21" s="1"/>
  <c r="I27" i="21"/>
  <c r="M27" i="21" s="1"/>
  <c r="I26" i="21"/>
  <c r="M26" i="21" s="1"/>
  <c r="M25" i="21"/>
  <c r="M24" i="21"/>
  <c r="J42" i="13" l="1"/>
  <c r="D14" i="18" l="1"/>
  <c r="H13" i="18"/>
  <c r="D13" i="18"/>
  <c r="T58" i="1" l="1"/>
  <c r="T59" i="1"/>
  <c r="T60" i="1"/>
  <c r="T61" i="1"/>
  <c r="T62" i="1"/>
  <c r="T63" i="1"/>
  <c r="T64" i="1"/>
  <c r="T65" i="1"/>
  <c r="T66" i="1"/>
  <c r="T57" i="1"/>
  <c r="T40" i="1"/>
  <c r="T41" i="1"/>
  <c r="T42" i="1"/>
  <c r="T43" i="1"/>
  <c r="T44" i="1"/>
  <c r="T45" i="1"/>
  <c r="T46" i="1"/>
  <c r="T47" i="1"/>
  <c r="T48" i="1"/>
  <c r="T49" i="1"/>
  <c r="T23" i="1"/>
  <c r="T24" i="1"/>
  <c r="T25" i="1"/>
  <c r="T26" i="1"/>
  <c r="T27" i="1"/>
  <c r="T28" i="1"/>
  <c r="T29" i="1"/>
  <c r="T30" i="1"/>
  <c r="T31" i="1"/>
  <c r="T32" i="1"/>
  <c r="A23" i="1"/>
  <c r="J53" i="3" l="1"/>
  <c r="G53" i="3"/>
  <c r="D53" i="3"/>
  <c r="J49" i="3"/>
  <c r="G49" i="3"/>
  <c r="D49" i="3"/>
  <c r="J45" i="3"/>
  <c r="G45" i="3"/>
  <c r="D45" i="3"/>
  <c r="J41" i="3"/>
  <c r="G41" i="3"/>
  <c r="D41" i="3"/>
  <c r="J37" i="3"/>
  <c r="G37" i="3"/>
  <c r="D37" i="3"/>
  <c r="J33" i="3"/>
  <c r="G33" i="3"/>
  <c r="D33" i="3"/>
  <c r="J29" i="3"/>
  <c r="G29" i="3"/>
  <c r="D29" i="3"/>
  <c r="J25" i="3" l="1"/>
  <c r="G25" i="3"/>
  <c r="D25" i="3"/>
  <c r="J21" i="3"/>
  <c r="G21" i="3"/>
  <c r="D21" i="3"/>
  <c r="J17" i="3"/>
  <c r="G17" i="3"/>
  <c r="D17" i="3"/>
  <c r="J13" i="3"/>
  <c r="G13" i="3"/>
  <c r="D13" i="3"/>
  <c r="J42" i="19" l="1"/>
  <c r="J43" i="19"/>
  <c r="J44" i="19"/>
  <c r="L3" i="21" l="1"/>
  <c r="B9" i="18" l="1"/>
  <c r="B46" i="18"/>
  <c r="B45" i="18"/>
  <c r="B44" i="18"/>
  <c r="J44" i="14"/>
  <c r="J43" i="14"/>
  <c r="J42" i="14"/>
  <c r="J44" i="12"/>
  <c r="J43" i="12"/>
  <c r="J42" i="12"/>
  <c r="J44" i="13"/>
  <c r="J43" i="13"/>
  <c r="K19" i="19" l="1"/>
  <c r="K19" i="14"/>
  <c r="S55" i="1"/>
  <c r="B10" i="18"/>
  <c r="M55" i="1"/>
  <c r="G55" i="1"/>
  <c r="S38" i="1"/>
  <c r="M38" i="1"/>
  <c r="G38" i="1"/>
  <c r="S21" i="1"/>
  <c r="M21" i="1"/>
  <c r="K21" i="14"/>
  <c r="G21" i="1"/>
  <c r="S4" i="1"/>
  <c r="M4" i="1"/>
  <c r="B18" i="12"/>
  <c r="G4" i="1" l="1"/>
  <c r="K17" i="1"/>
  <c r="H4" i="1"/>
  <c r="N4" i="1"/>
  <c r="E34" i="1"/>
  <c r="B21" i="1"/>
  <c r="K34" i="1"/>
  <c r="H21" i="1"/>
  <c r="Q34" i="1"/>
  <c r="N21" i="1"/>
  <c r="E51" i="1"/>
  <c r="B38" i="1"/>
  <c r="K51" i="1"/>
  <c r="H38" i="1"/>
  <c r="Q51" i="1"/>
  <c r="N38" i="1"/>
  <c r="E68" i="1"/>
  <c r="B55" i="1"/>
  <c r="K68" i="1"/>
  <c r="H55" i="1"/>
  <c r="N55" i="1"/>
  <c r="A11" i="3"/>
  <c r="A15" i="3"/>
  <c r="A19" i="3"/>
  <c r="A23" i="3"/>
  <c r="A27" i="3"/>
  <c r="A31" i="3"/>
  <c r="A35" i="3"/>
  <c r="A39" i="3"/>
  <c r="A43" i="3"/>
  <c r="A47" i="3"/>
  <c r="A51" i="3"/>
  <c r="A55" i="3"/>
  <c r="K18" i="19"/>
  <c r="K18" i="14"/>
  <c r="K20" i="19"/>
  <c r="K20" i="14"/>
  <c r="K21" i="19"/>
  <c r="K22" i="19"/>
  <c r="K22" i="14"/>
  <c r="K23" i="19"/>
  <c r="K23" i="14"/>
  <c r="K24" i="19"/>
  <c r="K24" i="14"/>
  <c r="K25" i="19"/>
  <c r="K25" i="14"/>
  <c r="K26" i="19"/>
  <c r="K26" i="14"/>
  <c r="K27" i="19"/>
  <c r="K27" i="14"/>
  <c r="K28" i="19"/>
  <c r="K28" i="14"/>
  <c r="K29" i="19"/>
  <c r="K29" i="14"/>
  <c r="O58" i="1"/>
  <c r="I58" i="1"/>
  <c r="C58" i="1"/>
  <c r="O41" i="1"/>
  <c r="I41" i="1"/>
  <c r="C41" i="1"/>
  <c r="L21" i="14" l="1"/>
  <c r="C40" i="1"/>
  <c r="C49" i="1"/>
  <c r="C48" i="1"/>
  <c r="C47" i="1"/>
  <c r="C46" i="1"/>
  <c r="C45" i="1"/>
  <c r="C44" i="1"/>
  <c r="C43" i="1"/>
  <c r="C42" i="1"/>
  <c r="I40" i="1"/>
  <c r="I49" i="1"/>
  <c r="I48" i="1"/>
  <c r="I47" i="1"/>
  <c r="I46" i="1"/>
  <c r="I45" i="1"/>
  <c r="I44" i="1"/>
  <c r="I43" i="1"/>
  <c r="I42" i="1"/>
  <c r="O40" i="1"/>
  <c r="O49" i="1"/>
  <c r="O48" i="1"/>
  <c r="O47" i="1"/>
  <c r="O46" i="1"/>
  <c r="O45" i="1"/>
  <c r="O44" i="1"/>
  <c r="O43" i="1"/>
  <c r="O42" i="1"/>
  <c r="C57" i="1"/>
  <c r="C66" i="1"/>
  <c r="C65" i="1"/>
  <c r="C64" i="1"/>
  <c r="C63" i="1"/>
  <c r="C62" i="1"/>
  <c r="C61" i="1"/>
  <c r="C60" i="1"/>
  <c r="C59" i="1"/>
  <c r="I57" i="1"/>
  <c r="I66" i="1"/>
  <c r="I65" i="1"/>
  <c r="I64" i="1"/>
  <c r="I63" i="1"/>
  <c r="I62" i="1"/>
  <c r="I61" i="1"/>
  <c r="I60" i="1"/>
  <c r="I59" i="1"/>
  <c r="O57" i="1"/>
  <c r="O66" i="1"/>
  <c r="O65" i="1"/>
  <c r="O64" i="1"/>
  <c r="O63" i="1"/>
  <c r="O62" i="1"/>
  <c r="O61" i="1"/>
  <c r="O60" i="1"/>
  <c r="O59" i="1"/>
  <c r="I24" i="1"/>
  <c r="C24" i="1"/>
  <c r="O7" i="1"/>
  <c r="O6" i="1" l="1"/>
  <c r="O15" i="1"/>
  <c r="O14" i="1"/>
  <c r="O13" i="1"/>
  <c r="O12" i="1"/>
  <c r="O11" i="1"/>
  <c r="O10" i="1"/>
  <c r="O9" i="1"/>
  <c r="O8" i="1"/>
  <c r="C23" i="1"/>
  <c r="C32" i="1"/>
  <c r="C31" i="1"/>
  <c r="C30" i="1"/>
  <c r="C29" i="1"/>
  <c r="C28" i="1"/>
  <c r="C27" i="1"/>
  <c r="C26" i="1"/>
  <c r="C25" i="1"/>
  <c r="I23" i="1"/>
  <c r="I32" i="1"/>
  <c r="I31" i="1"/>
  <c r="I30" i="1"/>
  <c r="I29" i="1"/>
  <c r="I28" i="1"/>
  <c r="I27" i="1"/>
  <c r="I26" i="1"/>
  <c r="I25" i="1"/>
  <c r="O24" i="1"/>
  <c r="O25" i="1"/>
  <c r="O26" i="1"/>
  <c r="O27" i="1"/>
  <c r="O28" i="1"/>
  <c r="O29" i="1"/>
  <c r="O30" i="1"/>
  <c r="O31" i="1"/>
  <c r="O32" i="1"/>
  <c r="O23" i="1"/>
  <c r="I7" i="1"/>
  <c r="C15" i="1"/>
  <c r="I6" i="1" l="1"/>
  <c r="I15" i="1"/>
  <c r="I14" i="1"/>
  <c r="I13" i="1"/>
  <c r="I12" i="1"/>
  <c r="I11" i="1"/>
  <c r="I10" i="1"/>
  <c r="I9" i="1"/>
  <c r="I8" i="1"/>
  <c r="C6" i="1"/>
  <c r="C14" i="1"/>
  <c r="C13" i="1"/>
  <c r="C12" i="1"/>
  <c r="C11" i="1"/>
  <c r="C10" i="1"/>
  <c r="C9" i="1"/>
  <c r="C8" i="1"/>
  <c r="C7" i="1"/>
  <c r="F3" i="21" l="1"/>
  <c r="K29" i="12"/>
  <c r="K28" i="12"/>
  <c r="K27" i="12"/>
  <c r="K26" i="12"/>
  <c r="K25" i="12"/>
  <c r="K24" i="12"/>
  <c r="K23" i="12"/>
  <c r="K22" i="12"/>
  <c r="K21" i="12"/>
  <c r="K20" i="12"/>
  <c r="K19" i="12"/>
  <c r="K18" i="12"/>
  <c r="K29" i="13"/>
  <c r="K26" i="13"/>
  <c r="K23" i="13"/>
  <c r="K28" i="13"/>
  <c r="K25" i="13"/>
  <c r="K22" i="13"/>
  <c r="K27" i="13"/>
  <c r="K24" i="13"/>
  <c r="K21" i="13"/>
  <c r="K20" i="13"/>
  <c r="K19" i="13"/>
  <c r="K3" i="21"/>
  <c r="J3" i="21"/>
  <c r="I3" i="21"/>
  <c r="H3" i="21"/>
  <c r="G3" i="21"/>
  <c r="K18" i="13"/>
  <c r="B1" i="20" l="1"/>
  <c r="A22" i="21"/>
  <c r="G19" i="21" l="1"/>
  <c r="H7" i="21"/>
  <c r="L7" i="21"/>
  <c r="G17" i="21"/>
  <c r="K1" i="21"/>
  <c r="L12" i="21" l="1"/>
  <c r="L11" i="21"/>
  <c r="B29" i="19" l="1"/>
  <c r="B28" i="19"/>
  <c r="B27" i="19"/>
  <c r="B26" i="19"/>
  <c r="B25" i="19"/>
  <c r="B24" i="19"/>
  <c r="B23" i="19"/>
  <c r="B22" i="19"/>
  <c r="B21" i="19"/>
  <c r="B20" i="19"/>
  <c r="B19" i="19"/>
  <c r="B18" i="19"/>
  <c r="K7" i="19"/>
  <c r="J1" i="11" l="1"/>
  <c r="I1" i="11"/>
  <c r="H1" i="11"/>
  <c r="G1" i="11"/>
  <c r="F1" i="11"/>
  <c r="E1" i="11"/>
  <c r="D1" i="11"/>
  <c r="C1" i="11"/>
  <c r="B1" i="11"/>
  <c r="A1" i="11"/>
  <c r="C30" i="18" l="1"/>
  <c r="C29" i="18"/>
  <c r="C28" i="18"/>
  <c r="C27" i="18"/>
  <c r="C26" i="18"/>
  <c r="C25" i="18"/>
  <c r="C24" i="18"/>
  <c r="C23" i="18"/>
  <c r="C22" i="18" l="1"/>
  <c r="C21" i="18"/>
  <c r="C20" i="18" l="1"/>
  <c r="C19" i="18" l="1"/>
  <c r="E81" i="3"/>
  <c r="D68" i="3" s="1"/>
  <c r="A5" i="3" l="1"/>
  <c r="A7" i="3" s="1"/>
  <c r="B29" i="14"/>
  <c r="B28" i="14"/>
  <c r="B27" i="14"/>
  <c r="B26" i="14"/>
  <c r="B25" i="14"/>
  <c r="B24" i="14"/>
  <c r="B23" i="14"/>
  <c r="B22" i="14"/>
  <c r="B21" i="14"/>
  <c r="B20" i="14"/>
  <c r="B19" i="14"/>
  <c r="B18" i="14"/>
  <c r="K7" i="14"/>
  <c r="B29" i="12"/>
  <c r="B28" i="12"/>
  <c r="B27" i="12"/>
  <c r="B26" i="12"/>
  <c r="B25" i="12"/>
  <c r="B24" i="12"/>
  <c r="B23" i="12"/>
  <c r="B22" i="12"/>
  <c r="B21" i="12"/>
  <c r="B20" i="12"/>
  <c r="B19" i="12"/>
  <c r="K7" i="12"/>
  <c r="B29" i="13"/>
  <c r="B28" i="13"/>
  <c r="B27" i="13"/>
  <c r="B26" i="13"/>
  <c r="B25" i="13"/>
  <c r="B24" i="13"/>
  <c r="B23" i="13"/>
  <c r="B22" i="13"/>
  <c r="B21" i="13"/>
  <c r="B20" i="13" l="1"/>
  <c r="B19" i="13"/>
  <c r="B18" i="13"/>
  <c r="K7" i="13"/>
  <c r="D52" i="3" l="1"/>
  <c r="D48" i="3"/>
  <c r="O67" i="1"/>
  <c r="I67" i="1"/>
  <c r="C67" i="1"/>
  <c r="R66" i="1"/>
  <c r="P66" i="1"/>
  <c r="L66" i="1"/>
  <c r="J66" i="1"/>
  <c r="F66" i="1"/>
  <c r="D66" i="1"/>
  <c r="R65" i="1"/>
  <c r="P65" i="1"/>
  <c r="L65" i="1"/>
  <c r="J65" i="1"/>
  <c r="F65" i="1"/>
  <c r="D65" i="1"/>
  <c r="R64" i="1"/>
  <c r="P64" i="1"/>
  <c r="L64" i="1"/>
  <c r="J64" i="1"/>
  <c r="F64" i="1"/>
  <c r="D64" i="1"/>
  <c r="R63" i="1"/>
  <c r="P63" i="1"/>
  <c r="L63" i="1"/>
  <c r="J63" i="1"/>
  <c r="F63" i="1"/>
  <c r="D63" i="1"/>
  <c r="R62" i="1"/>
  <c r="P62" i="1"/>
  <c r="L62" i="1"/>
  <c r="J62" i="1"/>
  <c r="F62" i="1"/>
  <c r="D62" i="1"/>
  <c r="R61" i="1"/>
  <c r="P61" i="1"/>
  <c r="L61" i="1"/>
  <c r="J61" i="1"/>
  <c r="F61" i="1"/>
  <c r="D61" i="1"/>
  <c r="R60" i="1"/>
  <c r="P60" i="1"/>
  <c r="L60" i="1"/>
  <c r="J60" i="1"/>
  <c r="F60" i="1"/>
  <c r="D60" i="1"/>
  <c r="R59" i="1"/>
  <c r="P59" i="1"/>
  <c r="L59" i="1"/>
  <c r="J59" i="1"/>
  <c r="F59" i="1"/>
  <c r="D59" i="1"/>
  <c r="R58" i="1"/>
  <c r="P58" i="1"/>
  <c r="L58" i="1"/>
  <c r="J58" i="1"/>
  <c r="F58" i="1"/>
  <c r="D58" i="1"/>
  <c r="R57" i="1"/>
  <c r="P57" i="1"/>
  <c r="L57" i="1"/>
  <c r="J57" i="1"/>
  <c r="F57" i="1"/>
  <c r="D57" i="1"/>
  <c r="L29" i="19"/>
  <c r="L28" i="19"/>
  <c r="C28" i="19"/>
  <c r="L27" i="19"/>
  <c r="C27" i="19"/>
  <c r="D44" i="3"/>
  <c r="O50" i="1"/>
  <c r="I50" i="1"/>
  <c r="C50" i="1"/>
  <c r="R49" i="1"/>
  <c r="P49" i="1"/>
  <c r="L49" i="1"/>
  <c r="J49" i="1"/>
  <c r="F49" i="1"/>
  <c r="D49" i="1"/>
  <c r="A49" i="1"/>
  <c r="R48" i="1"/>
  <c r="P48" i="1"/>
  <c r="L48" i="1"/>
  <c r="J48" i="1"/>
  <c r="F48" i="1"/>
  <c r="D48" i="1"/>
  <c r="A48" i="1"/>
  <c r="R47" i="1"/>
  <c r="P47" i="1"/>
  <c r="L47" i="1"/>
  <c r="J47" i="1"/>
  <c r="F47" i="1"/>
  <c r="D47" i="1"/>
  <c r="A47" i="1"/>
  <c r="R46" i="1"/>
  <c r="P46" i="1"/>
  <c r="L46" i="1"/>
  <c r="J46" i="1"/>
  <c r="F46" i="1"/>
  <c r="D46" i="1"/>
  <c r="A46" i="1"/>
  <c r="R45" i="1"/>
  <c r="P45" i="1"/>
  <c r="L45" i="1"/>
  <c r="J45" i="1"/>
  <c r="F45" i="1"/>
  <c r="D45" i="1"/>
  <c r="A45" i="1"/>
  <c r="R44" i="1"/>
  <c r="P44" i="1"/>
  <c r="L44" i="1"/>
  <c r="J44" i="1"/>
  <c r="F44" i="1"/>
  <c r="D44" i="1"/>
  <c r="A44" i="1"/>
  <c r="R43" i="1"/>
  <c r="P43" i="1"/>
  <c r="L43" i="1"/>
  <c r="J43" i="1"/>
  <c r="F43" i="1"/>
  <c r="D43" i="1"/>
  <c r="A43" i="1"/>
  <c r="R42" i="1"/>
  <c r="P42" i="1"/>
  <c r="L42" i="1"/>
  <c r="J42" i="1"/>
  <c r="F42" i="1"/>
  <c r="D42" i="1"/>
  <c r="A42" i="1"/>
  <c r="R41" i="1"/>
  <c r="P41" i="1"/>
  <c r="L41" i="1"/>
  <c r="J41" i="1"/>
  <c r="F41" i="1"/>
  <c r="D41" i="1"/>
  <c r="A41" i="1"/>
  <c r="R40" i="1"/>
  <c r="P40" i="1"/>
  <c r="L40" i="1"/>
  <c r="J40" i="1"/>
  <c r="F40" i="1"/>
  <c r="D40" i="1"/>
  <c r="A40" i="1"/>
  <c r="L26" i="19"/>
  <c r="C26" i="19"/>
  <c r="L25" i="19"/>
  <c r="C25" i="19"/>
  <c r="L24" i="19"/>
  <c r="C24" i="19"/>
  <c r="O33" i="1"/>
  <c r="I33" i="1"/>
  <c r="C33" i="1"/>
  <c r="R32" i="1"/>
  <c r="P32" i="1"/>
  <c r="L32" i="1"/>
  <c r="J32" i="1"/>
  <c r="F32" i="1"/>
  <c r="D32" i="1"/>
  <c r="A32" i="1"/>
  <c r="A66" i="1" s="1"/>
  <c r="R31" i="1"/>
  <c r="P31" i="1"/>
  <c r="L31" i="1"/>
  <c r="J31" i="1"/>
  <c r="F31" i="1"/>
  <c r="D31" i="1"/>
  <c r="A31" i="1"/>
  <c r="R30" i="1"/>
  <c r="P30" i="1"/>
  <c r="L30" i="1"/>
  <c r="J30" i="1"/>
  <c r="F30" i="1"/>
  <c r="D30" i="1"/>
  <c r="A30" i="1"/>
  <c r="A64" i="1" s="1"/>
  <c r="R29" i="1"/>
  <c r="P29" i="1"/>
  <c r="L29" i="1"/>
  <c r="J29" i="1"/>
  <c r="F29" i="1"/>
  <c r="D29" i="1"/>
  <c r="A29" i="1"/>
  <c r="R28" i="1"/>
  <c r="P28" i="1"/>
  <c r="L28" i="1"/>
  <c r="J28" i="1"/>
  <c r="F28" i="1"/>
  <c r="D28" i="1"/>
  <c r="A28" i="1"/>
  <c r="A62" i="1" s="1"/>
  <c r="R27" i="1"/>
  <c r="P27" i="1"/>
  <c r="L27" i="1"/>
  <c r="J27" i="1"/>
  <c r="F27" i="1"/>
  <c r="D27" i="1"/>
  <c r="A27" i="1"/>
  <c r="R26" i="1"/>
  <c r="P26" i="1"/>
  <c r="L26" i="1"/>
  <c r="J26" i="1"/>
  <c r="F26" i="1"/>
  <c r="D26" i="1"/>
  <c r="A26" i="1"/>
  <c r="A60" i="1" s="1"/>
  <c r="R25" i="1"/>
  <c r="P25" i="1"/>
  <c r="L25" i="1"/>
  <c r="J25" i="1"/>
  <c r="F25" i="1"/>
  <c r="D25" i="1"/>
  <c r="A25" i="1"/>
  <c r="A59" i="1" s="1"/>
  <c r="R24" i="1"/>
  <c r="P24" i="1"/>
  <c r="L24" i="1"/>
  <c r="J24" i="1"/>
  <c r="F24" i="1"/>
  <c r="D24" i="1"/>
  <c r="A24" i="1"/>
  <c r="R23" i="1"/>
  <c r="P23" i="1"/>
  <c r="L23" i="1"/>
  <c r="J23" i="1"/>
  <c r="F23" i="1"/>
  <c r="D23" i="1"/>
  <c r="L23" i="19"/>
  <c r="C23" i="19"/>
  <c r="L22" i="19"/>
  <c r="C22" i="19"/>
  <c r="L21" i="19"/>
  <c r="C21" i="19"/>
  <c r="O16" i="1"/>
  <c r="I16" i="1"/>
  <c r="C16" i="1"/>
  <c r="R15" i="1"/>
  <c r="P15" i="1"/>
  <c r="L15" i="1"/>
  <c r="J15" i="1"/>
  <c r="F15" i="1"/>
  <c r="D15" i="1"/>
  <c r="R14" i="1"/>
  <c r="P14" i="1"/>
  <c r="L14" i="1"/>
  <c r="J14" i="1"/>
  <c r="F14" i="1"/>
  <c r="D14" i="1"/>
  <c r="R13" i="1"/>
  <c r="P13" i="1"/>
  <c r="L13" i="1"/>
  <c r="J13" i="1"/>
  <c r="F13" i="1"/>
  <c r="D13" i="1"/>
  <c r="R12" i="1"/>
  <c r="P12" i="1"/>
  <c r="L12" i="1"/>
  <c r="J12" i="1"/>
  <c r="F12" i="1"/>
  <c r="D12" i="1"/>
  <c r="R11" i="1"/>
  <c r="P11" i="1"/>
  <c r="L11" i="1"/>
  <c r="J11" i="1"/>
  <c r="F11" i="1"/>
  <c r="D11" i="1"/>
  <c r="R10" i="1"/>
  <c r="P10" i="1"/>
  <c r="L10" i="1"/>
  <c r="J10" i="1"/>
  <c r="F10" i="1"/>
  <c r="D10" i="1"/>
  <c r="R9" i="1"/>
  <c r="P9" i="1"/>
  <c r="L9" i="1"/>
  <c r="J9" i="1"/>
  <c r="F9" i="1"/>
  <c r="D9" i="1"/>
  <c r="R8" i="1"/>
  <c r="P8" i="1"/>
  <c r="L8" i="1"/>
  <c r="J8" i="1"/>
  <c r="F8" i="1"/>
  <c r="D8" i="1"/>
  <c r="R7" i="1"/>
  <c r="P7" i="1"/>
  <c r="J55" i="3" l="1"/>
  <c r="I55" i="3"/>
  <c r="G55" i="3"/>
  <c r="F55" i="3"/>
  <c r="D55" i="3"/>
  <c r="C55" i="3"/>
  <c r="I54" i="3"/>
  <c r="H54" i="3"/>
  <c r="F54" i="3"/>
  <c r="E54" i="3"/>
  <c r="C54" i="3"/>
  <c r="B54" i="3"/>
  <c r="O68" i="1"/>
  <c r="I68" i="1"/>
  <c r="J51" i="3"/>
  <c r="I51" i="3"/>
  <c r="G51" i="3"/>
  <c r="F51" i="3"/>
  <c r="D51" i="3"/>
  <c r="C51" i="3"/>
  <c r="I50" i="3"/>
  <c r="H50" i="3"/>
  <c r="F50" i="3"/>
  <c r="E50" i="3"/>
  <c r="C50" i="3"/>
  <c r="B50" i="3"/>
  <c r="J47" i="3"/>
  <c r="I47" i="3"/>
  <c r="G47" i="3"/>
  <c r="F47" i="3"/>
  <c r="D47" i="3"/>
  <c r="C47" i="3"/>
  <c r="I46" i="3"/>
  <c r="H46" i="3"/>
  <c r="F46" i="3"/>
  <c r="E46" i="3"/>
  <c r="C46" i="3"/>
  <c r="B46" i="3"/>
  <c r="B45" i="3"/>
  <c r="E45" i="3" s="1"/>
  <c r="G46" i="3" s="1"/>
  <c r="C68" i="1"/>
  <c r="J43" i="3"/>
  <c r="I43" i="3"/>
  <c r="G43" i="3"/>
  <c r="F43" i="3"/>
  <c r="D43" i="3"/>
  <c r="C43" i="3"/>
  <c r="I42" i="3"/>
  <c r="H42" i="3"/>
  <c r="F42" i="3"/>
  <c r="E42" i="3"/>
  <c r="C42" i="3"/>
  <c r="B42" i="3"/>
  <c r="B41" i="3"/>
  <c r="E41" i="3" s="1"/>
  <c r="G42" i="3" s="1"/>
  <c r="O51" i="1"/>
  <c r="J39" i="3"/>
  <c r="I39" i="3"/>
  <c r="G39" i="3"/>
  <c r="F39" i="3"/>
  <c r="D39" i="3"/>
  <c r="C39" i="3"/>
  <c r="I38" i="3"/>
  <c r="H38" i="3"/>
  <c r="F38" i="3"/>
  <c r="E38" i="3"/>
  <c r="C38" i="3"/>
  <c r="B38" i="3"/>
  <c r="B37" i="3"/>
  <c r="E37" i="3" s="1"/>
  <c r="G38" i="3" s="1"/>
  <c r="I51" i="1"/>
  <c r="C51" i="1"/>
  <c r="J35" i="3"/>
  <c r="I35" i="3"/>
  <c r="G35" i="3"/>
  <c r="F35" i="3"/>
  <c r="D35" i="3"/>
  <c r="C35" i="3"/>
  <c r="I34" i="3"/>
  <c r="H34" i="3"/>
  <c r="F34" i="3"/>
  <c r="E34" i="3"/>
  <c r="C34" i="3"/>
  <c r="B34" i="3"/>
  <c r="B33" i="3"/>
  <c r="H33" i="3" s="1"/>
  <c r="J34" i="3" s="1"/>
  <c r="J31" i="3"/>
  <c r="I31" i="3"/>
  <c r="G31" i="3"/>
  <c r="F31" i="3"/>
  <c r="D31" i="3"/>
  <c r="C31" i="3"/>
  <c r="I30" i="3"/>
  <c r="H30" i="3"/>
  <c r="F30" i="3"/>
  <c r="E30" i="3"/>
  <c r="C30" i="3"/>
  <c r="B30" i="3"/>
  <c r="B29" i="3"/>
  <c r="E29" i="3" s="1"/>
  <c r="G30" i="3" s="1"/>
  <c r="O34" i="1"/>
  <c r="J27" i="3"/>
  <c r="I27" i="3"/>
  <c r="G27" i="3"/>
  <c r="F27" i="3"/>
  <c r="D27" i="3"/>
  <c r="C27" i="3"/>
  <c r="I26" i="3"/>
  <c r="H26" i="3"/>
  <c r="F26" i="3"/>
  <c r="E26" i="3"/>
  <c r="C26" i="3"/>
  <c r="B26" i="3"/>
  <c r="B25" i="3"/>
  <c r="E25" i="3" s="1"/>
  <c r="G26" i="3" s="1"/>
  <c r="I34" i="1"/>
  <c r="J23" i="3"/>
  <c r="I23" i="3"/>
  <c r="G23" i="3"/>
  <c r="F23" i="3"/>
  <c r="D23" i="3"/>
  <c r="C23" i="3"/>
  <c r="I22" i="3"/>
  <c r="H22" i="3"/>
  <c r="F22" i="3"/>
  <c r="E22" i="3"/>
  <c r="C22" i="3"/>
  <c r="B22" i="3"/>
  <c r="B21" i="3"/>
  <c r="H21" i="3" s="1"/>
  <c r="J22" i="3" s="1"/>
  <c r="C34" i="1"/>
  <c r="C29" i="19"/>
  <c r="A63" i="1"/>
  <c r="B49" i="3" s="1"/>
  <c r="E49" i="3" s="1"/>
  <c r="G50" i="3" s="1"/>
  <c r="A65" i="1"/>
  <c r="A61" i="1"/>
  <c r="B53" i="3" s="1"/>
  <c r="E53" i="3" s="1"/>
  <c r="G54" i="3" s="1"/>
  <c r="A57" i="1"/>
  <c r="A58" i="1"/>
  <c r="D22" i="18"/>
  <c r="C21" i="14"/>
  <c r="C21" i="12"/>
  <c r="C21" i="13"/>
  <c r="F22" i="18"/>
  <c r="L21" i="12"/>
  <c r="L21" i="13"/>
  <c r="D23" i="18"/>
  <c r="C22" i="14"/>
  <c r="C22" i="12"/>
  <c r="C22" i="13"/>
  <c r="F23" i="18"/>
  <c r="L22" i="14"/>
  <c r="L22" i="12"/>
  <c r="L22" i="13"/>
  <c r="D24" i="18"/>
  <c r="C23" i="14"/>
  <c r="C23" i="12"/>
  <c r="C23" i="13"/>
  <c r="F24" i="18"/>
  <c r="L23" i="14"/>
  <c r="L23" i="12"/>
  <c r="L23" i="13"/>
  <c r="D25" i="18"/>
  <c r="C24" i="14"/>
  <c r="C24" i="12"/>
  <c r="C24" i="13"/>
  <c r="F25" i="18"/>
  <c r="L24" i="14"/>
  <c r="L24" i="12"/>
  <c r="L24" i="13"/>
  <c r="D26" i="18"/>
  <c r="C25" i="14"/>
  <c r="C25" i="12"/>
  <c r="C25" i="13"/>
  <c r="F26" i="18"/>
  <c r="L25" i="14"/>
  <c r="L25" i="12"/>
  <c r="L25" i="13"/>
  <c r="D27" i="18"/>
  <c r="C26" i="14"/>
  <c r="C26" i="12"/>
  <c r="C26" i="13"/>
  <c r="F27" i="18"/>
  <c r="L26" i="14"/>
  <c r="L26" i="12"/>
  <c r="L26" i="13"/>
  <c r="D28" i="18"/>
  <c r="C27" i="14"/>
  <c r="C27" i="12"/>
  <c r="C27" i="13"/>
  <c r="F28" i="18"/>
  <c r="L27" i="14"/>
  <c r="L27" i="12"/>
  <c r="L27" i="13"/>
  <c r="D29" i="18"/>
  <c r="C28" i="14"/>
  <c r="C28" i="12"/>
  <c r="C28" i="13"/>
  <c r="F29" i="18"/>
  <c r="L28" i="14"/>
  <c r="L28" i="12"/>
  <c r="L28" i="13"/>
  <c r="D30" i="18"/>
  <c r="C29" i="14"/>
  <c r="C29" i="12"/>
  <c r="C29" i="13"/>
  <c r="F30" i="18"/>
  <c r="L29" i="14"/>
  <c r="L29" i="12"/>
  <c r="L29" i="13"/>
  <c r="L7" i="1"/>
  <c r="J7" i="1"/>
  <c r="F7" i="1"/>
  <c r="D7" i="1"/>
  <c r="R6" i="1"/>
  <c r="P6" i="1"/>
  <c r="H53" i="3" l="1"/>
  <c r="J54" i="3" s="1"/>
  <c r="E21" i="3"/>
  <c r="G22" i="3" s="1"/>
  <c r="H25" i="3"/>
  <c r="J26" i="3" s="1"/>
  <c r="E33" i="3"/>
  <c r="G34" i="3" s="1"/>
  <c r="H37" i="3"/>
  <c r="J38" i="3" s="1"/>
  <c r="H29" i="3"/>
  <c r="J30" i="3" s="1"/>
  <c r="H41" i="3"/>
  <c r="J42" i="3" s="1"/>
  <c r="H45" i="3"/>
  <c r="J46" i="3" s="1"/>
  <c r="H49" i="3"/>
  <c r="J50" i="3" s="1"/>
  <c r="I22" i="18"/>
  <c r="G22" i="18"/>
  <c r="I23" i="18"/>
  <c r="G23" i="18"/>
  <c r="I24" i="18"/>
  <c r="G24" i="18"/>
  <c r="I25" i="18"/>
  <c r="G25" i="18"/>
  <c r="I26" i="18"/>
  <c r="G26" i="18"/>
  <c r="I27" i="18"/>
  <c r="G27" i="18"/>
  <c r="I28" i="18"/>
  <c r="G28" i="18"/>
  <c r="I29" i="18"/>
  <c r="G29" i="18"/>
  <c r="I30" i="18"/>
  <c r="G30" i="18"/>
  <c r="E30" i="18"/>
  <c r="D54" i="3"/>
  <c r="E29" i="18"/>
  <c r="D50" i="3"/>
  <c r="E28" i="18"/>
  <c r="D46" i="3"/>
  <c r="E27" i="18"/>
  <c r="D42" i="3"/>
  <c r="E26" i="18"/>
  <c r="D38" i="3"/>
  <c r="E25" i="18"/>
  <c r="D34" i="3"/>
  <c r="E24" i="18"/>
  <c r="D30" i="3"/>
  <c r="E23" i="18"/>
  <c r="D26" i="3"/>
  <c r="E22" i="18"/>
  <c r="D22" i="3"/>
  <c r="O17" i="1"/>
  <c r="J19" i="3"/>
  <c r="I19" i="3"/>
  <c r="G19" i="3"/>
  <c r="F19" i="3"/>
  <c r="D19" i="3"/>
  <c r="C19" i="3"/>
  <c r="I18" i="3"/>
  <c r="H18" i="3"/>
  <c r="F18" i="3"/>
  <c r="E18" i="3"/>
  <c r="C18" i="3"/>
  <c r="B18" i="3"/>
  <c r="B17" i="3"/>
  <c r="H17" i="3" s="1"/>
  <c r="J18" i="3" s="1"/>
  <c r="L6" i="1"/>
  <c r="J6" i="1"/>
  <c r="F6" i="1"/>
  <c r="D6" i="1"/>
  <c r="B9" i="3" s="1"/>
  <c r="L20" i="19"/>
  <c r="L19" i="19"/>
  <c r="C19" i="19"/>
  <c r="H23" i="18" l="1"/>
  <c r="H25" i="18"/>
  <c r="H27" i="18"/>
  <c r="E17" i="3"/>
  <c r="G18" i="3" s="1"/>
  <c r="H24" i="18"/>
  <c r="H28" i="18"/>
  <c r="H29" i="18"/>
  <c r="I21" i="18"/>
  <c r="G21" i="18"/>
  <c r="H22" i="18"/>
  <c r="H26" i="18"/>
  <c r="E21" i="18"/>
  <c r="D18" i="3"/>
  <c r="I17" i="1"/>
  <c r="J15" i="3"/>
  <c r="I15" i="3"/>
  <c r="G15" i="3"/>
  <c r="F15" i="3"/>
  <c r="D15" i="3"/>
  <c r="C15" i="3"/>
  <c r="I14" i="3"/>
  <c r="H14" i="3"/>
  <c r="F14" i="3"/>
  <c r="E14" i="3"/>
  <c r="C14" i="3"/>
  <c r="B14" i="3"/>
  <c r="B13" i="3"/>
  <c r="H13" i="3" s="1"/>
  <c r="J14" i="3" s="1"/>
  <c r="J11" i="3"/>
  <c r="I11" i="3"/>
  <c r="G11" i="3"/>
  <c r="F11" i="3"/>
  <c r="D11" i="3"/>
  <c r="C11" i="3"/>
  <c r="I19" i="18" s="1"/>
  <c r="I10" i="3"/>
  <c r="H10" i="3"/>
  <c r="F10" i="3"/>
  <c r="E10" i="3"/>
  <c r="C10" i="3"/>
  <c r="B10" i="3"/>
  <c r="G19" i="18" s="1"/>
  <c r="D9" i="3"/>
  <c r="H9" i="3"/>
  <c r="E9" i="3"/>
  <c r="C17" i="1"/>
  <c r="C20" i="19"/>
  <c r="C20" i="14"/>
  <c r="D20" i="18"/>
  <c r="C19" i="14"/>
  <c r="C19" i="12"/>
  <c r="C19" i="13"/>
  <c r="F20" i="18"/>
  <c r="L19" i="14"/>
  <c r="L19" i="12"/>
  <c r="L19" i="13"/>
  <c r="D21" i="18"/>
  <c r="C20" i="12"/>
  <c r="C20" i="13"/>
  <c r="F21" i="18"/>
  <c r="L20" i="14"/>
  <c r="L20" i="12"/>
  <c r="L20" i="13"/>
  <c r="C18" i="19"/>
  <c r="H21" i="18" l="1"/>
  <c r="E13" i="3"/>
  <c r="G14" i="3" s="1"/>
  <c r="A2" i="11"/>
  <c r="J2" i="11"/>
  <c r="I2" i="11"/>
  <c r="H2" i="11"/>
  <c r="G2" i="11"/>
  <c r="F2" i="11"/>
  <c r="E2" i="11"/>
  <c r="D2" i="11"/>
  <c r="C2" i="11"/>
  <c r="B2" i="11"/>
  <c r="I20" i="18"/>
  <c r="G20" i="18"/>
  <c r="G10" i="3"/>
  <c r="G9" i="3"/>
  <c r="J10" i="3"/>
  <c r="J9" i="3"/>
  <c r="E20" i="18"/>
  <c r="D14" i="3"/>
  <c r="E19" i="18"/>
  <c r="H19" i="18" s="1"/>
  <c r="D10" i="3"/>
  <c r="D19" i="18"/>
  <c r="C18" i="14"/>
  <c r="C18" i="12"/>
  <c r="C18" i="13"/>
  <c r="H20" i="18" l="1"/>
  <c r="B3" i="11"/>
  <c r="B4" i="11" s="1"/>
  <c r="C3" i="11"/>
  <c r="D3" i="11"/>
  <c r="D4" i="11" s="1"/>
  <c r="E3" i="11"/>
  <c r="F3" i="11"/>
  <c r="G3" i="11"/>
  <c r="G4" i="11" s="1"/>
  <c r="H3" i="11"/>
  <c r="I3" i="11"/>
  <c r="I4" i="11" s="1"/>
  <c r="J3" i="11"/>
  <c r="A3" i="11"/>
  <c r="A4" i="11" s="1"/>
  <c r="D67" i="3"/>
  <c r="D66" i="3"/>
  <c r="D65" i="3"/>
  <c r="D64" i="3"/>
  <c r="D63" i="3"/>
  <c r="D62" i="3"/>
  <c r="D61" i="3"/>
  <c r="D60" i="3"/>
  <c r="D59" i="3"/>
  <c r="H30" i="18"/>
  <c r="H31" i="18" s="1"/>
  <c r="F4" i="11" l="1"/>
  <c r="E4" i="11"/>
  <c r="A5" i="11"/>
  <c r="J4" i="11"/>
  <c r="J5" i="11" s="1"/>
  <c r="I5" i="11"/>
  <c r="C4" i="11"/>
  <c r="H4" i="11"/>
  <c r="B5" i="11"/>
  <c r="G5" i="11"/>
  <c r="D5" i="11"/>
  <c r="H5" i="11" l="1"/>
  <c r="F5" i="11"/>
  <c r="I6" i="11"/>
  <c r="J6" i="11"/>
  <c r="E5" i="11"/>
  <c r="G6" i="11"/>
  <c r="A6" i="11"/>
  <c r="C5" i="11"/>
  <c r="B6" i="11"/>
  <c r="B7" i="11" s="1"/>
  <c r="D6" i="11"/>
  <c r="D7" i="11" l="1"/>
  <c r="J7" i="11"/>
  <c r="B8" i="11"/>
  <c r="I7" i="11"/>
  <c r="A7" i="11"/>
  <c r="H6" i="11"/>
  <c r="E6" i="11"/>
  <c r="E7" i="11" s="1"/>
  <c r="G7" i="11"/>
  <c r="F6" i="11"/>
  <c r="C6" i="11"/>
  <c r="C7" i="11" s="1"/>
  <c r="F7" i="11" l="1"/>
  <c r="F8" i="11" s="1"/>
  <c r="J8" i="11"/>
  <c r="C8" i="11"/>
  <c r="G8" i="11"/>
  <c r="H7" i="11"/>
  <c r="D8" i="11"/>
  <c r="E8" i="11"/>
  <c r="B9" i="11"/>
  <c r="B10" i="11" s="1"/>
  <c r="A8" i="11"/>
  <c r="I8" i="11"/>
  <c r="I9" i="11" s="1"/>
  <c r="C9" i="11" l="1"/>
  <c r="H8" i="11"/>
  <c r="F9" i="11"/>
  <c r="F10" i="11" s="1"/>
  <c r="D9" i="11"/>
  <c r="J9" i="11"/>
  <c r="I10" i="11"/>
  <c r="A9" i="11"/>
  <c r="B11" i="11"/>
  <c r="E9" i="11"/>
  <c r="G9" i="11"/>
  <c r="I11" i="11" l="1"/>
  <c r="I12" i="11" s="1"/>
  <c r="I13" i="11" s="1"/>
  <c r="C10" i="11"/>
  <c r="C11" i="11" s="1"/>
  <c r="B12" i="11"/>
  <c r="J10" i="11"/>
  <c r="J11" i="11" s="1"/>
  <c r="J12" i="11" s="1"/>
  <c r="J13" i="11" s="1"/>
  <c r="D10" i="11"/>
  <c r="H9" i="11"/>
  <c r="A10" i="11"/>
  <c r="F11" i="11"/>
  <c r="F12" i="11" s="1"/>
  <c r="F13" i="11" s="1"/>
  <c r="G10" i="11"/>
  <c r="E10" i="11"/>
  <c r="L18" i="19"/>
  <c r="L18" i="13"/>
  <c r="L18" i="12"/>
  <c r="L18" i="14"/>
  <c r="F19" i="18"/>
  <c r="F14" i="11" l="1"/>
  <c r="A64" i="3" s="1"/>
  <c r="D11" i="11"/>
  <c r="A11" i="11"/>
  <c r="E11" i="11"/>
  <c r="E12" i="11" s="1"/>
  <c r="H10" i="11"/>
  <c r="G11" i="11"/>
  <c r="I14" i="11"/>
  <c r="A67" i="3" s="1"/>
  <c r="B13" i="11"/>
  <c r="B14" i="11" s="1"/>
  <c r="A60" i="3" s="1"/>
  <c r="C12" i="11"/>
  <c r="C13" i="11" s="1"/>
  <c r="J14" i="11"/>
  <c r="A68" i="3" s="1"/>
  <c r="E13" i="11" l="1"/>
  <c r="E14" i="11" s="1"/>
  <c r="A63" i="3" s="1"/>
  <c r="H11" i="11"/>
  <c r="H12" i="11" s="1"/>
  <c r="H13" i="11" s="1"/>
  <c r="C14" i="11"/>
  <c r="A61" i="3" s="1"/>
  <c r="D12" i="11"/>
  <c r="D13" i="11" s="1"/>
  <c r="A12" i="11"/>
  <c r="A13" i="11" s="1"/>
  <c r="G12" i="11"/>
  <c r="G13" i="11" s="1"/>
  <c r="D16" i="3" l="1"/>
  <c r="H14" i="11"/>
  <c r="A66" i="3" s="1"/>
  <c r="D14" i="11"/>
  <c r="A62" i="3" s="1"/>
  <c r="G14" i="11"/>
  <c r="A65" i="3" s="1"/>
  <c r="A14" i="11"/>
  <c r="A59" i="3" s="1"/>
  <c r="D24" i="3"/>
  <c r="D28" i="3"/>
  <c r="D32" i="3"/>
  <c r="D36" i="3"/>
  <c r="D40" i="3"/>
  <c r="Q17" i="1" l="1"/>
  <c r="D20" i="3" s="1"/>
  <c r="G18" i="21" l="1"/>
  <c r="I7" i="21"/>
  <c r="G16" i="21" l="1"/>
  <c r="G7" i="21"/>
  <c r="G11" i="21"/>
  <c r="H12" i="21" s="1"/>
  <c r="F7" i="21"/>
  <c r="H11" i="21"/>
  <c r="I12" i="21" s="1"/>
  <c r="F11" i="21"/>
  <c r="I11" i="21"/>
  <c r="G20" i="21" l="1"/>
  <c r="H16" i="21" s="1"/>
  <c r="G12" i="21"/>
  <c r="F12" i="21"/>
  <c r="H20" i="21" l="1"/>
  <c r="H19" i="21"/>
  <c r="H17" i="21"/>
  <c r="H18" i="21"/>
  <c r="Q68" i="1"/>
  <c r="D56" i="3" s="1"/>
  <c r="E17" i="1"/>
  <c r="D12" i="3" s="1"/>
  <c r="R1159" i="20" l="1"/>
  <c r="J11" i="21" l="1"/>
  <c r="K12" i="21" s="1"/>
  <c r="H1" i="20" s="1"/>
  <c r="K7" i="21"/>
  <c r="F319" i="2"/>
  <c r="J1235" i="2"/>
  <c r="H1406" i="2"/>
  <c r="J1457" i="2"/>
  <c r="H1500" i="2"/>
  <c r="F1544" i="2"/>
  <c r="J1586" i="2"/>
  <c r="H1629" i="2"/>
  <c r="F1672" i="2"/>
  <c r="J1714" i="2"/>
  <c r="I1737" i="2"/>
  <c r="G1748" i="2"/>
  <c r="K1758" i="2"/>
  <c r="I1769" i="2"/>
  <c r="G1780" i="2"/>
  <c r="K1790" i="2"/>
  <c r="I1801" i="2"/>
  <c r="G1812" i="2"/>
  <c r="K1822" i="2"/>
  <c r="I1833" i="2"/>
  <c r="F1844" i="2"/>
  <c r="J1854" i="2"/>
  <c r="H1861" i="2"/>
  <c r="J1866" i="2"/>
  <c r="F1872" i="2"/>
  <c r="H1877" i="2"/>
  <c r="J1882" i="2"/>
  <c r="F1888" i="2"/>
  <c r="H1893" i="2"/>
  <c r="J1898" i="2"/>
  <c r="F1904" i="2"/>
  <c r="H1909" i="2"/>
  <c r="J1914" i="2"/>
  <c r="F1920" i="2"/>
  <c r="H1925" i="2"/>
  <c r="J1930" i="2"/>
  <c r="F1936" i="2"/>
  <c r="H1941" i="2"/>
  <c r="J1946" i="2"/>
  <c r="F1952" i="2"/>
  <c r="H1957" i="2"/>
  <c r="J1962" i="2"/>
  <c r="F1968" i="2"/>
  <c r="H1971" i="2"/>
  <c r="J1972" i="2"/>
  <c r="F1974" i="2"/>
  <c r="H1975" i="2"/>
  <c r="J1976" i="2"/>
  <c r="F1978" i="2"/>
  <c r="H1979" i="2"/>
  <c r="J1980" i="2"/>
  <c r="F1982" i="2"/>
  <c r="H1983" i="2"/>
  <c r="J1984" i="2"/>
  <c r="F1986" i="2"/>
  <c r="H1987" i="2"/>
  <c r="J1988" i="2"/>
  <c r="F1990" i="2"/>
  <c r="H1991" i="2"/>
  <c r="J1992" i="2"/>
  <c r="F1994" i="2"/>
  <c r="H1995" i="2"/>
  <c r="J1996" i="2"/>
  <c r="F1998" i="2"/>
  <c r="H1999" i="2"/>
  <c r="J2000" i="2"/>
  <c r="F2002" i="2"/>
  <c r="H2003" i="2"/>
  <c r="J2004" i="2"/>
  <c r="F2006" i="2"/>
  <c r="H2007" i="2"/>
  <c r="J2008" i="2"/>
  <c r="F2010" i="2"/>
  <c r="H2011" i="2"/>
  <c r="J2012" i="2"/>
  <c r="F2014" i="2"/>
  <c r="H2015" i="2"/>
  <c r="J2016" i="2"/>
  <c r="F2018" i="2"/>
  <c r="H2019" i="2"/>
  <c r="J2020" i="2"/>
  <c r="F2022" i="2"/>
  <c r="H2023" i="2"/>
  <c r="J2024" i="2"/>
  <c r="F2026" i="2"/>
  <c r="H2027" i="2"/>
  <c r="F2028" i="2"/>
  <c r="J2028" i="2"/>
  <c r="H2029" i="2"/>
  <c r="F2030" i="2"/>
  <c r="J2030" i="2"/>
  <c r="H2031" i="2"/>
  <c r="F2032" i="2"/>
  <c r="J2032" i="2"/>
  <c r="H2033" i="2"/>
  <c r="F2034" i="2"/>
  <c r="J2034" i="2"/>
  <c r="H2035" i="2"/>
  <c r="F2036" i="2"/>
  <c r="J2036" i="2"/>
  <c r="I2037" i="2"/>
  <c r="G2038" i="2"/>
  <c r="K2038" i="2"/>
  <c r="I2039" i="2"/>
  <c r="G2040" i="2"/>
  <c r="K2040" i="2"/>
  <c r="I2041" i="2"/>
  <c r="G2042" i="2"/>
  <c r="K2042" i="2"/>
  <c r="I2043" i="2"/>
  <c r="G2044" i="2"/>
  <c r="K2044" i="2"/>
  <c r="I2045" i="2"/>
  <c r="G2046" i="2"/>
  <c r="K2046" i="2"/>
  <c r="I2047" i="2"/>
  <c r="G2048" i="2"/>
  <c r="K2048" i="2"/>
  <c r="I2049" i="2"/>
  <c r="G2050" i="2"/>
  <c r="K2050" i="2"/>
  <c r="I2051" i="2"/>
  <c r="G2052" i="2"/>
  <c r="K2052" i="2"/>
  <c r="I2053" i="2"/>
  <c r="G2054" i="2"/>
  <c r="K2054" i="2"/>
  <c r="I2055" i="2"/>
  <c r="G2056" i="2"/>
  <c r="K2056" i="2"/>
  <c r="I2057" i="2"/>
  <c r="G2058" i="2"/>
  <c r="K2058" i="2"/>
  <c r="I2059" i="2"/>
  <c r="G2060" i="2"/>
  <c r="K2060" i="2"/>
  <c r="I2061" i="2"/>
  <c r="G2062" i="2"/>
  <c r="K2062" i="2"/>
  <c r="I2063" i="2"/>
  <c r="G2064" i="2"/>
  <c r="K2064" i="2"/>
  <c r="I2065" i="2"/>
  <c r="G2066" i="2"/>
  <c r="K2066" i="2"/>
  <c r="I2067" i="2"/>
  <c r="G2068" i="2"/>
  <c r="K2068" i="2"/>
  <c r="I2069" i="2"/>
  <c r="G2070" i="2"/>
  <c r="K2070" i="2"/>
  <c r="I2071" i="2"/>
  <c r="G2072" i="2"/>
  <c r="K2072" i="2"/>
  <c r="I2073" i="2"/>
  <c r="G2074" i="2"/>
  <c r="K2074" i="2"/>
  <c r="I2075" i="2"/>
  <c r="G2076" i="2"/>
  <c r="K2076" i="2"/>
  <c r="I2077" i="2"/>
  <c r="G2078" i="2"/>
  <c r="K2078" i="2"/>
  <c r="I2079" i="2"/>
  <c r="G2080" i="2"/>
  <c r="K2080" i="2"/>
  <c r="I2081" i="2"/>
  <c r="G2082" i="2"/>
  <c r="K2082" i="2"/>
  <c r="I2083" i="2"/>
  <c r="G2084" i="2"/>
  <c r="K2084" i="2"/>
  <c r="I2085" i="2"/>
  <c r="G2086" i="2"/>
  <c r="K2086" i="2"/>
  <c r="I2087" i="2"/>
  <c r="G2088" i="2"/>
  <c r="K2088" i="2"/>
  <c r="I2089" i="2"/>
  <c r="G2090" i="2"/>
  <c r="K2090" i="2"/>
  <c r="I2091" i="2"/>
  <c r="G2092" i="2"/>
  <c r="K2092" i="2"/>
  <c r="I2093" i="2"/>
  <c r="G2094" i="2"/>
  <c r="K2094" i="2"/>
  <c r="I2095" i="2"/>
  <c r="G2096" i="2"/>
  <c r="K2096" i="2"/>
  <c r="I2097" i="2"/>
  <c r="G2098" i="2"/>
  <c r="K2098" i="2"/>
  <c r="I2099" i="2"/>
  <c r="G2100" i="2"/>
  <c r="K2100" i="2"/>
  <c r="H2101" i="2"/>
  <c r="F2102" i="2"/>
  <c r="J2102" i="2"/>
  <c r="H2103" i="2"/>
  <c r="F2104" i="2"/>
  <c r="J2104" i="2"/>
  <c r="H2105" i="2"/>
  <c r="F2106" i="2"/>
  <c r="J2106" i="2"/>
  <c r="H2107" i="2"/>
  <c r="F2108" i="2"/>
  <c r="J2108" i="2"/>
  <c r="H2109" i="2"/>
  <c r="F2110" i="2"/>
  <c r="J2110" i="2"/>
  <c r="H2111" i="2"/>
  <c r="F2112" i="2"/>
  <c r="J2112" i="2"/>
  <c r="H2113" i="2"/>
  <c r="F2114" i="2"/>
  <c r="J2114" i="2"/>
  <c r="H2115" i="2"/>
  <c r="F2116" i="2"/>
  <c r="J2116" i="2"/>
  <c r="H2117" i="2"/>
  <c r="F2118" i="2"/>
  <c r="J2118" i="2"/>
  <c r="H2119" i="2"/>
  <c r="F2120" i="2"/>
  <c r="J2120" i="2"/>
  <c r="H2121" i="2"/>
  <c r="F2122" i="2"/>
  <c r="J2122" i="2"/>
  <c r="H2123" i="2"/>
  <c r="F2124" i="2"/>
  <c r="J2124" i="2"/>
  <c r="H2125" i="2"/>
  <c r="G2126" i="2"/>
  <c r="K2126" i="2"/>
  <c r="I2127" i="2"/>
  <c r="G2128" i="2"/>
  <c r="K2128" i="2"/>
  <c r="I2129" i="2"/>
  <c r="G2130" i="2"/>
  <c r="K2130" i="2"/>
  <c r="I2131" i="2"/>
  <c r="G2132" i="2"/>
  <c r="K2132" i="2"/>
  <c r="I2133" i="2"/>
  <c r="G2134" i="2"/>
  <c r="K2134" i="2"/>
  <c r="I2135" i="2"/>
  <c r="G2136" i="2"/>
  <c r="K2136" i="2"/>
  <c r="I2137" i="2"/>
  <c r="G2138" i="2"/>
  <c r="K2138" i="2"/>
  <c r="I2139" i="2"/>
  <c r="G2140" i="2"/>
  <c r="K2140" i="2"/>
  <c r="I2141" i="2"/>
  <c r="G2142" i="2"/>
  <c r="K2142" i="2"/>
  <c r="I2143" i="2"/>
  <c r="G2144" i="2"/>
  <c r="K2144" i="2"/>
  <c r="I2145" i="2"/>
  <c r="G2146" i="2"/>
  <c r="K2146" i="2"/>
  <c r="I2147" i="2"/>
  <c r="G2148" i="2"/>
  <c r="K2148" i="2"/>
  <c r="I2149" i="2"/>
  <c r="G2150" i="2"/>
  <c r="K2150" i="2"/>
  <c r="I2151" i="2"/>
  <c r="G2152" i="2"/>
  <c r="K2152" i="2"/>
  <c r="I2153" i="2"/>
  <c r="G2154" i="2"/>
  <c r="K2154" i="2"/>
  <c r="I2155" i="2"/>
  <c r="G2156" i="2"/>
  <c r="K2156" i="2"/>
  <c r="I2157" i="2"/>
  <c r="G2158" i="2"/>
  <c r="K2158" i="2"/>
  <c r="I2159" i="2"/>
  <c r="G2160" i="2"/>
  <c r="K2160" i="2"/>
  <c r="I2161" i="2"/>
  <c r="G2162" i="2"/>
  <c r="K2162" i="2"/>
  <c r="I2163" i="2"/>
  <c r="G2164" i="2"/>
  <c r="K2164" i="2"/>
  <c r="I2165" i="2"/>
  <c r="G2166" i="2"/>
  <c r="K2166" i="2"/>
  <c r="I2167" i="2"/>
  <c r="G2168" i="2"/>
  <c r="K2168" i="2"/>
  <c r="I2169" i="2"/>
  <c r="G2170" i="2"/>
  <c r="K2170" i="2"/>
  <c r="I2171" i="2"/>
  <c r="G2172" i="2"/>
  <c r="K2172" i="2"/>
  <c r="I2173" i="2"/>
  <c r="G2174" i="2"/>
  <c r="K2174" i="2"/>
  <c r="I2175" i="2"/>
  <c r="G2176" i="2"/>
  <c r="K2176" i="2"/>
  <c r="I2177" i="2"/>
  <c r="G2178" i="2"/>
  <c r="K2178" i="2"/>
  <c r="I2179" i="2"/>
  <c r="G2180" i="2"/>
  <c r="K2180" i="2"/>
  <c r="I2181" i="2"/>
  <c r="G2182" i="2"/>
  <c r="K2182" i="2"/>
  <c r="I2183" i="2"/>
  <c r="G2184" i="2"/>
  <c r="K2184" i="2"/>
  <c r="I2185" i="2"/>
  <c r="G2186" i="2"/>
  <c r="K2186" i="2"/>
  <c r="I2187" i="2"/>
  <c r="G2188" i="2"/>
  <c r="K2188" i="2"/>
  <c r="I2189" i="2"/>
  <c r="F2190" i="2"/>
  <c r="J2190" i="2"/>
  <c r="H2191" i="2"/>
  <c r="F2192" i="2"/>
  <c r="J2192" i="2"/>
  <c r="H2193" i="2"/>
  <c r="F2194" i="2"/>
  <c r="J2194" i="2"/>
  <c r="H2195" i="2"/>
  <c r="F2196" i="2"/>
  <c r="J2196" i="2"/>
  <c r="H2197" i="2"/>
  <c r="F2198" i="2"/>
  <c r="J2198" i="2"/>
  <c r="H2199" i="2"/>
  <c r="F2200" i="2"/>
  <c r="J2200" i="2"/>
  <c r="H2201" i="2"/>
  <c r="F2202" i="2"/>
  <c r="J2202" i="2"/>
  <c r="H2203" i="2"/>
  <c r="F2204" i="2"/>
  <c r="J2204" i="2"/>
  <c r="H2205" i="2"/>
  <c r="F2206" i="2"/>
  <c r="J2206" i="2"/>
  <c r="H2207" i="2"/>
  <c r="F2208" i="2"/>
  <c r="J2208" i="2"/>
  <c r="H2209" i="2"/>
  <c r="F2210" i="2"/>
  <c r="J2210" i="2"/>
  <c r="H2211" i="2"/>
  <c r="F2212" i="2"/>
  <c r="J2212" i="2"/>
  <c r="H2213" i="2"/>
  <c r="F2214" i="2"/>
  <c r="J2214" i="2"/>
  <c r="H2215" i="2"/>
  <c r="F2216" i="2"/>
  <c r="J2216" i="2"/>
  <c r="H2217" i="2"/>
  <c r="F2218" i="2"/>
  <c r="J2218" i="2"/>
  <c r="H2219" i="2"/>
  <c r="F2220" i="2"/>
  <c r="J2220" i="2"/>
  <c r="H2221" i="2"/>
  <c r="F2222" i="2"/>
  <c r="J2222" i="2"/>
  <c r="H2223" i="2"/>
  <c r="F2224" i="2"/>
  <c r="J2224" i="2"/>
  <c r="H2225" i="2"/>
  <c r="F2226" i="2"/>
  <c r="J2226" i="2"/>
  <c r="H2227" i="2"/>
  <c r="J1529" i="2"/>
  <c r="F1531" i="2"/>
  <c r="H1532" i="2"/>
  <c r="J1533" i="2"/>
  <c r="F1535" i="2"/>
  <c r="H1536" i="2"/>
  <c r="J1537" i="2"/>
  <c r="F1539" i="2"/>
  <c r="H1540" i="2"/>
  <c r="J1541" i="2"/>
  <c r="F1543" i="2"/>
  <c r="H1544" i="2"/>
  <c r="J1545" i="2"/>
  <c r="F1547" i="2"/>
  <c r="H1548" i="2"/>
  <c r="J1549" i="2"/>
  <c r="F1551" i="2"/>
  <c r="H1552" i="2"/>
  <c r="J1553" i="2"/>
  <c r="F1555" i="2"/>
  <c r="H1556" i="2"/>
  <c r="J1557" i="2"/>
  <c r="F1559" i="2"/>
  <c r="H1560" i="2"/>
  <c r="J1561" i="2"/>
  <c r="F1563" i="2"/>
  <c r="H1564" i="2"/>
  <c r="J1565" i="2"/>
  <c r="F1567" i="2"/>
  <c r="H1568" i="2"/>
  <c r="J1569" i="2"/>
  <c r="F1571" i="2"/>
  <c r="H1572" i="2"/>
  <c r="J1573" i="2"/>
  <c r="F1575" i="2"/>
  <c r="H1576" i="2"/>
  <c r="J1577" i="2"/>
  <c r="F1579" i="2"/>
  <c r="H1580" i="2"/>
  <c r="J1581" i="2"/>
  <c r="F1583" i="2"/>
  <c r="H1584" i="2"/>
  <c r="J1585" i="2"/>
  <c r="F1587" i="2"/>
  <c r="H1588" i="2"/>
  <c r="J1589" i="2"/>
  <c r="F1591" i="2"/>
  <c r="H1592" i="2"/>
  <c r="J1593" i="2"/>
  <c r="F1595" i="2"/>
  <c r="H1596" i="2"/>
  <c r="J1597" i="2"/>
  <c r="F1599" i="2"/>
  <c r="H1600" i="2"/>
  <c r="J1601" i="2"/>
  <c r="F1603" i="2"/>
  <c r="H1604" i="2"/>
  <c r="J1605" i="2"/>
  <c r="F1607" i="2"/>
  <c r="H1608" i="2"/>
  <c r="J1609" i="2"/>
  <c r="F1611" i="2"/>
  <c r="H1612" i="2"/>
  <c r="J1613" i="2"/>
  <c r="F1615" i="2"/>
  <c r="H1616" i="2"/>
  <c r="J1617" i="2"/>
  <c r="F1619" i="2"/>
  <c r="H1620" i="2"/>
  <c r="J1621" i="2"/>
  <c r="F1623" i="2"/>
  <c r="H1624" i="2"/>
  <c r="J1625" i="2"/>
  <c r="F1627" i="2"/>
  <c r="H1628" i="2"/>
  <c r="J1629" i="2"/>
  <c r="F1631" i="2"/>
  <c r="H1632" i="2"/>
  <c r="J1633" i="2"/>
  <c r="F1635" i="2"/>
  <c r="H1636" i="2"/>
  <c r="J1637" i="2"/>
  <c r="F1639" i="2"/>
  <c r="H1640" i="2"/>
  <c r="J1641" i="2"/>
  <c r="F1643" i="2"/>
  <c r="H1644" i="2"/>
  <c r="J1645" i="2"/>
  <c r="F1647" i="2"/>
  <c r="H1648" i="2"/>
  <c r="J1649" i="2"/>
  <c r="F1651" i="2"/>
  <c r="H1652" i="2"/>
  <c r="J1653" i="2"/>
  <c r="F1655" i="2"/>
  <c r="H1656" i="2"/>
  <c r="J1657" i="2"/>
  <c r="F1659" i="2"/>
  <c r="H1660" i="2"/>
  <c r="J1661" i="2"/>
  <c r="F1663" i="2"/>
  <c r="H1664" i="2"/>
  <c r="J1665" i="2"/>
  <c r="F1667" i="2"/>
  <c r="H1668" i="2"/>
  <c r="J1669" i="2"/>
  <c r="F1671" i="2"/>
  <c r="H1672" i="2"/>
  <c r="J1673" i="2"/>
  <c r="F1675" i="2"/>
  <c r="H1676" i="2"/>
  <c r="J1677" i="2"/>
  <c r="F1679" i="2"/>
  <c r="H1680" i="2"/>
  <c r="J1681" i="2"/>
  <c r="F1683" i="2"/>
  <c r="H1684" i="2"/>
  <c r="J1685" i="2"/>
  <c r="F1687" i="2"/>
  <c r="H1688" i="2"/>
  <c r="J1689" i="2"/>
  <c r="F1691" i="2"/>
  <c r="H1692" i="2"/>
  <c r="J1693" i="2"/>
  <c r="F1695" i="2"/>
  <c r="H1696" i="2"/>
  <c r="J1697" i="2"/>
  <c r="F1699" i="2"/>
  <c r="H1700" i="2"/>
  <c r="J1701" i="2"/>
  <c r="F1703" i="2"/>
  <c r="H1704" i="2"/>
  <c r="J1705" i="2"/>
  <c r="F1707" i="2"/>
  <c r="H1708" i="2"/>
  <c r="J1709" i="2"/>
  <c r="F1711" i="2"/>
  <c r="H1712" i="2"/>
  <c r="J1713" i="2"/>
  <c r="F1715" i="2"/>
  <c r="H1716" i="2"/>
  <c r="J1717" i="2"/>
  <c r="H1718" i="2"/>
  <c r="F1719" i="2"/>
  <c r="J1719" i="2"/>
  <c r="H1720" i="2"/>
  <c r="F1721" i="2"/>
  <c r="J1721" i="2"/>
  <c r="H1722" i="2"/>
  <c r="F1723" i="2"/>
  <c r="J1723" i="2"/>
  <c r="H1724" i="2"/>
  <c r="F1725" i="2"/>
  <c r="J1725" i="2"/>
  <c r="H1726" i="2"/>
  <c r="F1727" i="2"/>
  <c r="J1727" i="2"/>
  <c r="H1728" i="2"/>
  <c r="F1729" i="2"/>
  <c r="J1729" i="2"/>
  <c r="H1730" i="2"/>
  <c r="F1731" i="2"/>
  <c r="J1731" i="2"/>
  <c r="H1732" i="2"/>
  <c r="F1733" i="2"/>
  <c r="J1733" i="2"/>
  <c r="H1734" i="2"/>
  <c r="F1735" i="2"/>
  <c r="J1735" i="2"/>
  <c r="H1736" i="2"/>
  <c r="F1737" i="2"/>
  <c r="J1737" i="2"/>
  <c r="H1738" i="2"/>
  <c r="F1739" i="2"/>
  <c r="J1739" i="2"/>
  <c r="H1740" i="2"/>
  <c r="F1741" i="2"/>
  <c r="J1741" i="2"/>
  <c r="H1742" i="2"/>
  <c r="F1743" i="2"/>
  <c r="J1743" i="2"/>
  <c r="H1744" i="2"/>
  <c r="F1745" i="2"/>
  <c r="J1745" i="2"/>
  <c r="H1746" i="2"/>
  <c r="F1747" i="2"/>
  <c r="J1747" i="2"/>
  <c r="H1748" i="2"/>
  <c r="F1749" i="2"/>
  <c r="J1749" i="2"/>
  <c r="H1750" i="2"/>
  <c r="F1751" i="2"/>
  <c r="J1751" i="2"/>
  <c r="H1752" i="2"/>
  <c r="F1753" i="2"/>
  <c r="J1753" i="2"/>
  <c r="H1754" i="2"/>
  <c r="F1755" i="2"/>
  <c r="J1755" i="2"/>
  <c r="H1756" i="2"/>
  <c r="F1757" i="2"/>
  <c r="J1757" i="2"/>
  <c r="H1758" i="2"/>
  <c r="F1759" i="2"/>
  <c r="J1759" i="2"/>
  <c r="H1760" i="2"/>
  <c r="F1761" i="2"/>
  <c r="J1761" i="2"/>
  <c r="H1762" i="2"/>
  <c r="F1763" i="2"/>
  <c r="J1763" i="2"/>
  <c r="H1764" i="2"/>
  <c r="F1765" i="2"/>
  <c r="J1765" i="2"/>
  <c r="H1766" i="2"/>
  <c r="F1767" i="2"/>
  <c r="J1767" i="2"/>
  <c r="H1768" i="2"/>
  <c r="F1769" i="2"/>
  <c r="J1769" i="2"/>
  <c r="H1770" i="2"/>
  <c r="F1771" i="2"/>
  <c r="J1771" i="2"/>
  <c r="H1772" i="2"/>
  <c r="F1773" i="2"/>
  <c r="J1773" i="2"/>
  <c r="H1774" i="2"/>
  <c r="F1775" i="2"/>
  <c r="J1775" i="2"/>
  <c r="H1776" i="2"/>
  <c r="F1777" i="2"/>
  <c r="J1777" i="2"/>
  <c r="H1778" i="2"/>
  <c r="F1779" i="2"/>
  <c r="J1779" i="2"/>
  <c r="H1780" i="2"/>
  <c r="F1781" i="2"/>
  <c r="J1781" i="2"/>
  <c r="H1782" i="2"/>
  <c r="F1783" i="2"/>
  <c r="J1783" i="2"/>
  <c r="H1784" i="2"/>
  <c r="F1785" i="2"/>
  <c r="J1785" i="2"/>
  <c r="H1786" i="2"/>
  <c r="F1787" i="2"/>
  <c r="J1787" i="2"/>
  <c r="H1788" i="2"/>
  <c r="F1789" i="2"/>
  <c r="J1789" i="2"/>
  <c r="H1790" i="2"/>
  <c r="F1791" i="2"/>
  <c r="J1791" i="2"/>
  <c r="H1792" i="2"/>
  <c r="F1793" i="2"/>
  <c r="J1793" i="2"/>
  <c r="H1794" i="2"/>
  <c r="F1795" i="2"/>
  <c r="J1795" i="2"/>
  <c r="H1796" i="2"/>
  <c r="F1797" i="2"/>
  <c r="J1797" i="2"/>
  <c r="H1798" i="2"/>
  <c r="F1799" i="2"/>
  <c r="J1799" i="2"/>
  <c r="H1800" i="2"/>
  <c r="F1801" i="2"/>
  <c r="J1801" i="2"/>
  <c r="H1802" i="2"/>
  <c r="F1803" i="2"/>
  <c r="J1803" i="2"/>
  <c r="H1804" i="2"/>
  <c r="F1805" i="2"/>
  <c r="J1805" i="2"/>
  <c r="H1806" i="2"/>
  <c r="F1807" i="2"/>
  <c r="J1807" i="2"/>
  <c r="H1808" i="2"/>
  <c r="F1809" i="2"/>
  <c r="J1809" i="2"/>
  <c r="H1810" i="2"/>
  <c r="F1811" i="2"/>
  <c r="J1811" i="2"/>
  <c r="H1812" i="2"/>
  <c r="F1813" i="2"/>
  <c r="J1813" i="2"/>
  <c r="H1814" i="2"/>
  <c r="F1815" i="2"/>
  <c r="J1815" i="2"/>
  <c r="H1816" i="2"/>
  <c r="F1817" i="2"/>
  <c r="J1817" i="2"/>
  <c r="H1818" i="2"/>
  <c r="F1819" i="2"/>
  <c r="J1819" i="2"/>
  <c r="H1820" i="2"/>
  <c r="F1821" i="2"/>
  <c r="J1821" i="2"/>
  <c r="H1822" i="2"/>
  <c r="F1823" i="2"/>
  <c r="J1823" i="2"/>
  <c r="H1824" i="2"/>
  <c r="F1825" i="2"/>
  <c r="J1825" i="2"/>
  <c r="H1826" i="2"/>
  <c r="F1827" i="2"/>
  <c r="J1827" i="2"/>
  <c r="H1828" i="2"/>
  <c r="F1829" i="2"/>
  <c r="J1829" i="2"/>
  <c r="H1830" i="2"/>
  <c r="F1831" i="2"/>
  <c r="J1831" i="2"/>
  <c r="H1832" i="2"/>
  <c r="F1833" i="2"/>
  <c r="J1833" i="2"/>
  <c r="I1834" i="2"/>
  <c r="G1835" i="2"/>
  <c r="K1835" i="2"/>
  <c r="I1836" i="2"/>
  <c r="G1837" i="2"/>
  <c r="K1837" i="2"/>
  <c r="I1838" i="2"/>
  <c r="G1839" i="2"/>
  <c r="K1839" i="2"/>
  <c r="I1840" i="2"/>
  <c r="G1841" i="2"/>
  <c r="K1841" i="2"/>
  <c r="I1842" i="2"/>
  <c r="G1843" i="2"/>
  <c r="K1843" i="2"/>
  <c r="I1844" i="2"/>
  <c r="G1845" i="2"/>
  <c r="K1845" i="2"/>
  <c r="I1846" i="2"/>
  <c r="G1847" i="2"/>
  <c r="K1847" i="2"/>
  <c r="I1848" i="2"/>
  <c r="G1849" i="2"/>
  <c r="K1849" i="2"/>
  <c r="I1850" i="2"/>
  <c r="G1851" i="2"/>
  <c r="K1851" i="2"/>
  <c r="I1852" i="2"/>
  <c r="G1853" i="2"/>
  <c r="K1853" i="2"/>
  <c r="I1854" i="2"/>
  <c r="G1855" i="2"/>
  <c r="K1855" i="2"/>
  <c r="I1856" i="2"/>
  <c r="G1857" i="2"/>
  <c r="K1857" i="2"/>
  <c r="I1858" i="2"/>
  <c r="G1859" i="2"/>
  <c r="K1859" i="2"/>
  <c r="I1860" i="2"/>
  <c r="G1861" i="2"/>
  <c r="K1861" i="2"/>
  <c r="I1862" i="2"/>
  <c r="G1863" i="2"/>
  <c r="K1863" i="2"/>
  <c r="I1864" i="2"/>
  <c r="G1865" i="2"/>
  <c r="K1865" i="2"/>
  <c r="I1866" i="2"/>
  <c r="G1867" i="2"/>
  <c r="K1867" i="2"/>
  <c r="I1868" i="2"/>
  <c r="G1869" i="2"/>
  <c r="K1869" i="2"/>
  <c r="I1870" i="2"/>
  <c r="G1871" i="2"/>
  <c r="K1871" i="2"/>
  <c r="I1872" i="2"/>
  <c r="G1873" i="2"/>
  <c r="K1873" i="2"/>
  <c r="I1874" i="2"/>
  <c r="G1875" i="2"/>
  <c r="K1875" i="2"/>
  <c r="I1876" i="2"/>
  <c r="G1877" i="2"/>
  <c r="K1877" i="2"/>
  <c r="I1878" i="2"/>
  <c r="G1879" i="2"/>
  <c r="K1879" i="2"/>
  <c r="I1880" i="2"/>
  <c r="G1881" i="2"/>
  <c r="K1881" i="2"/>
  <c r="I1882" i="2"/>
  <c r="G1883" i="2"/>
  <c r="K1883" i="2"/>
  <c r="I1884" i="2"/>
  <c r="G1885" i="2"/>
  <c r="K1885" i="2"/>
  <c r="I1886" i="2"/>
  <c r="G1887" i="2"/>
  <c r="K1887" i="2"/>
  <c r="I1888" i="2"/>
  <c r="G1889" i="2"/>
  <c r="K1889" i="2"/>
  <c r="I1890" i="2"/>
  <c r="G1891" i="2"/>
  <c r="K1891" i="2"/>
  <c r="I1892" i="2"/>
  <c r="G1893" i="2"/>
  <c r="K1893" i="2"/>
  <c r="I1894" i="2"/>
  <c r="G1895" i="2"/>
  <c r="K1895" i="2"/>
  <c r="I1896" i="2"/>
  <c r="G1897" i="2"/>
  <c r="K1897" i="2"/>
  <c r="I1898" i="2"/>
  <c r="G1899" i="2"/>
  <c r="K1899" i="2"/>
  <c r="I1900" i="2"/>
  <c r="G1901" i="2"/>
  <c r="K1901" i="2"/>
  <c r="I1902" i="2"/>
  <c r="G1903" i="2"/>
  <c r="K1903" i="2"/>
  <c r="I1904" i="2"/>
  <c r="G1905" i="2"/>
  <c r="K1905" i="2"/>
  <c r="I1906" i="2"/>
  <c r="G1907" i="2"/>
  <c r="K1907" i="2"/>
  <c r="I1908" i="2"/>
  <c r="G1909" i="2"/>
  <c r="K1909" i="2"/>
  <c r="I1910" i="2"/>
  <c r="G1911" i="2"/>
  <c r="K1911" i="2"/>
  <c r="I1912" i="2"/>
  <c r="G1913" i="2"/>
  <c r="K1913" i="2"/>
  <c r="I1914" i="2"/>
  <c r="G1915" i="2"/>
  <c r="K1915" i="2"/>
  <c r="I1916" i="2"/>
  <c r="G1917" i="2"/>
  <c r="K1917" i="2"/>
  <c r="I1918" i="2"/>
  <c r="G1919" i="2"/>
  <c r="K1919" i="2"/>
  <c r="I1920" i="2"/>
  <c r="G1921" i="2"/>
  <c r="K1921" i="2"/>
  <c r="I1922" i="2"/>
  <c r="G1923" i="2"/>
  <c r="K1923" i="2"/>
  <c r="I1924" i="2"/>
  <c r="G1925" i="2"/>
  <c r="K1925" i="2"/>
  <c r="I1926" i="2"/>
  <c r="G1927" i="2"/>
  <c r="K1927" i="2"/>
  <c r="I1928" i="2"/>
  <c r="G1929" i="2"/>
  <c r="K1929" i="2"/>
  <c r="I1930" i="2"/>
  <c r="G1931" i="2"/>
  <c r="K1931" i="2"/>
  <c r="I1932" i="2"/>
  <c r="G1933" i="2"/>
  <c r="K1933" i="2"/>
  <c r="I1934" i="2"/>
  <c r="G1935" i="2"/>
  <c r="K1935" i="2"/>
  <c r="I1936" i="2"/>
  <c r="G1937" i="2"/>
  <c r="K1937" i="2"/>
  <c r="I1938" i="2"/>
  <c r="G1939" i="2"/>
  <c r="K1939" i="2"/>
  <c r="I1940" i="2"/>
  <c r="G1941" i="2"/>
  <c r="K1941" i="2"/>
  <c r="I1942" i="2"/>
  <c r="G1943" i="2"/>
  <c r="K1943" i="2"/>
  <c r="I1944" i="2"/>
  <c r="G1945" i="2"/>
  <c r="K1945" i="2"/>
  <c r="I1946" i="2"/>
  <c r="G1947" i="2"/>
  <c r="K1947" i="2"/>
  <c r="I1948" i="2"/>
  <c r="G1949" i="2"/>
  <c r="K1949" i="2"/>
  <c r="I1950" i="2"/>
  <c r="G1951" i="2"/>
  <c r="K1951" i="2"/>
  <c r="I1952" i="2"/>
  <c r="G1953" i="2"/>
  <c r="K1953" i="2"/>
  <c r="I1954" i="2"/>
  <c r="G1955" i="2"/>
  <c r="K1955" i="2"/>
  <c r="I1956" i="2"/>
  <c r="G1957" i="2"/>
  <c r="K1957" i="2"/>
  <c r="I1958" i="2"/>
  <c r="G1959" i="2"/>
  <c r="K1959" i="2"/>
  <c r="I1960" i="2"/>
  <c r="G1961" i="2"/>
  <c r="K1961" i="2"/>
  <c r="I1962" i="2"/>
  <c r="G1963" i="2"/>
  <c r="K1963" i="2"/>
  <c r="I1964" i="2"/>
  <c r="G1965" i="2"/>
  <c r="K1965" i="2"/>
  <c r="I1966" i="2"/>
  <c r="G1967" i="2"/>
  <c r="K1967" i="2"/>
  <c r="I1968" i="2"/>
  <c r="G1969" i="2"/>
  <c r="K1969" i="2"/>
  <c r="I1970" i="2"/>
  <c r="G1971" i="2"/>
  <c r="K1971" i="2"/>
  <c r="I1972" i="2"/>
  <c r="G1973" i="2"/>
  <c r="K1973" i="2"/>
  <c r="I1974" i="2"/>
  <c r="G1975" i="2"/>
  <c r="K1975" i="2"/>
  <c r="I1976" i="2"/>
  <c r="G1977" i="2"/>
  <c r="K1977" i="2"/>
  <c r="I1978" i="2"/>
  <c r="G1979" i="2"/>
  <c r="K1979" i="2"/>
  <c r="I1980" i="2"/>
  <c r="G1981" i="2"/>
  <c r="K1981" i="2"/>
  <c r="I1982" i="2"/>
  <c r="G1983" i="2"/>
  <c r="K1983" i="2"/>
  <c r="I1984" i="2"/>
  <c r="G1985" i="2"/>
  <c r="K1985" i="2"/>
  <c r="I1986" i="2"/>
  <c r="G1987" i="2"/>
  <c r="K1987" i="2"/>
  <c r="I1988" i="2"/>
  <c r="G1989" i="2"/>
  <c r="K1989" i="2"/>
  <c r="I1990" i="2"/>
  <c r="G1991" i="2"/>
  <c r="K1991" i="2"/>
  <c r="I1992" i="2"/>
  <c r="G1993" i="2"/>
  <c r="K1993" i="2"/>
  <c r="I1994" i="2"/>
  <c r="G1995" i="2"/>
  <c r="K1995" i="2"/>
  <c r="I1996" i="2"/>
  <c r="G1997" i="2"/>
  <c r="K1997" i="2"/>
  <c r="I1998" i="2"/>
  <c r="G1999" i="2"/>
  <c r="K1999" i="2"/>
  <c r="I2000" i="2"/>
  <c r="G2001" i="2"/>
  <c r="K2001" i="2"/>
  <c r="I2002" i="2"/>
  <c r="G2003" i="2"/>
  <c r="K2003" i="2"/>
  <c r="I2004" i="2"/>
  <c r="G2005" i="2"/>
  <c r="K2005" i="2"/>
  <c r="I2006" i="2"/>
  <c r="G2007" i="2"/>
  <c r="K2007" i="2"/>
  <c r="I2008" i="2"/>
  <c r="G2009" i="2"/>
  <c r="K2009" i="2"/>
  <c r="I2010" i="2"/>
  <c r="G2011" i="2"/>
  <c r="K2011" i="2"/>
  <c r="I2012" i="2"/>
  <c r="G2013" i="2"/>
  <c r="K2013" i="2"/>
  <c r="I2014" i="2"/>
  <c r="G2015" i="2"/>
  <c r="K2015" i="2"/>
  <c r="I2016" i="2"/>
  <c r="G2017" i="2"/>
  <c r="K2017" i="2"/>
  <c r="I2018" i="2"/>
  <c r="G2019" i="2"/>
  <c r="K2019" i="2"/>
  <c r="I2020" i="2"/>
  <c r="G2021" i="2"/>
  <c r="K2021" i="2"/>
  <c r="I2022" i="2"/>
  <c r="G2023" i="2"/>
  <c r="K2023" i="2"/>
  <c r="I2024" i="2"/>
  <c r="G2025" i="2"/>
  <c r="K2025" i="2"/>
  <c r="I2026" i="2"/>
  <c r="G2027" i="2"/>
  <c r="K2027" i="2"/>
  <c r="I2028" i="2"/>
  <c r="G2029" i="2"/>
  <c r="K2029" i="2"/>
  <c r="I2030" i="2"/>
  <c r="G2031" i="2"/>
  <c r="K2031" i="2"/>
  <c r="I2032" i="2"/>
  <c r="G2033" i="2"/>
  <c r="K2033" i="2"/>
  <c r="I2034" i="2"/>
  <c r="G2035" i="2"/>
  <c r="K2035" i="2"/>
  <c r="I2036" i="2"/>
  <c r="F2037" i="2"/>
  <c r="J2037" i="2"/>
  <c r="H2038" i="2"/>
  <c r="F2039" i="2"/>
  <c r="J2039" i="2"/>
  <c r="H2040" i="2"/>
  <c r="F2041" i="2"/>
  <c r="J2041" i="2"/>
  <c r="H2042" i="2"/>
  <c r="F2043" i="2"/>
  <c r="J2043" i="2"/>
  <c r="H2044" i="2"/>
  <c r="F2045" i="2"/>
  <c r="J2045" i="2"/>
  <c r="H2046" i="2"/>
  <c r="F2047" i="2"/>
  <c r="J2047" i="2"/>
  <c r="H2048" i="2"/>
  <c r="F2049" i="2"/>
  <c r="J2049" i="2"/>
  <c r="H2050" i="2"/>
  <c r="F2051" i="2"/>
  <c r="J2051" i="2"/>
  <c r="H2052" i="2"/>
  <c r="F2053" i="2"/>
  <c r="J2053" i="2"/>
  <c r="H2054" i="2"/>
  <c r="F2055" i="2"/>
  <c r="J2055" i="2"/>
  <c r="H2056" i="2"/>
  <c r="F2057" i="2"/>
  <c r="J2057" i="2"/>
  <c r="H2058" i="2"/>
  <c r="F2059" i="2"/>
  <c r="J2059" i="2"/>
  <c r="H2060" i="2"/>
  <c r="F2061" i="2"/>
  <c r="J2061" i="2"/>
  <c r="H2062" i="2"/>
  <c r="F2063" i="2"/>
  <c r="J2063" i="2"/>
  <c r="H2064" i="2"/>
  <c r="F2065" i="2"/>
  <c r="J2065" i="2"/>
  <c r="H2066" i="2"/>
  <c r="F2067" i="2"/>
  <c r="J2067" i="2"/>
  <c r="H2068" i="2"/>
  <c r="F2069" i="2"/>
  <c r="J2069" i="2"/>
  <c r="H2070" i="2"/>
  <c r="F2071" i="2"/>
  <c r="J2071" i="2"/>
  <c r="H2072" i="2"/>
  <c r="F2073" i="2"/>
  <c r="J2073" i="2"/>
  <c r="H2074" i="2"/>
  <c r="F2075" i="2"/>
  <c r="J2075" i="2"/>
  <c r="H2076" i="2"/>
  <c r="F2077" i="2"/>
  <c r="J2077" i="2"/>
  <c r="J2078" i="2"/>
  <c r="F2080" i="2"/>
  <c r="H2081" i="2"/>
  <c r="J2082" i="2"/>
  <c r="F2084" i="2"/>
  <c r="H2085" i="2"/>
  <c r="J2086" i="2"/>
  <c r="F2088" i="2"/>
  <c r="H2089" i="2"/>
  <c r="J2090" i="2"/>
  <c r="F2092" i="2"/>
  <c r="H2093" i="2"/>
  <c r="J2094" i="2"/>
  <c r="F2096" i="2"/>
  <c r="H2097" i="2"/>
  <c r="J2098" i="2"/>
  <c r="F2100" i="2"/>
  <c r="G2101" i="2"/>
  <c r="I2102" i="2"/>
  <c r="K2103" i="2"/>
  <c r="G2105" i="2"/>
  <c r="I2106" i="2"/>
  <c r="K2107" i="2"/>
  <c r="G2109" i="2"/>
  <c r="I2110" i="2"/>
  <c r="K2111" i="2"/>
  <c r="G2113" i="2"/>
  <c r="I2114" i="2"/>
  <c r="K2115" i="2"/>
  <c r="G2117" i="2"/>
  <c r="I2118" i="2"/>
  <c r="K2119" i="2"/>
  <c r="G2121" i="2"/>
  <c r="I2122" i="2"/>
  <c r="K2123" i="2"/>
  <c r="G2125" i="2"/>
  <c r="H2126" i="2"/>
  <c r="J2127" i="2"/>
  <c r="F2129" i="2"/>
  <c r="H2130" i="2"/>
  <c r="J2131" i="2"/>
  <c r="F2133" i="2"/>
  <c r="H2134" i="2"/>
  <c r="J2135" i="2"/>
  <c r="F2137" i="2"/>
  <c r="H2138" i="2"/>
  <c r="J2139" i="2"/>
  <c r="F2141" i="2"/>
  <c r="H2142" i="2"/>
  <c r="J2143" i="2"/>
  <c r="F2145" i="2"/>
  <c r="H2146" i="2"/>
  <c r="J2147" i="2"/>
  <c r="F2149" i="2"/>
  <c r="H2150" i="2"/>
  <c r="J2151" i="2"/>
  <c r="F2153" i="2"/>
  <c r="H2154" i="2"/>
  <c r="J2155" i="2"/>
  <c r="F2157" i="2"/>
  <c r="H2158" i="2"/>
  <c r="J2159" i="2"/>
  <c r="F2161" i="2"/>
  <c r="H2162" i="2"/>
  <c r="J2163" i="2"/>
  <c r="F2165" i="2"/>
  <c r="H2166" i="2"/>
  <c r="J2167" i="2"/>
  <c r="F2169" i="2"/>
  <c r="H2170" i="2"/>
  <c r="J2171" i="2"/>
  <c r="F2173" i="2"/>
  <c r="H2174" i="2"/>
  <c r="J2175" i="2"/>
  <c r="F2177" i="2"/>
  <c r="H2178" i="2"/>
  <c r="J2179" i="2"/>
  <c r="F2181" i="2"/>
  <c r="H2182" i="2"/>
  <c r="J2183" i="2"/>
  <c r="F2185" i="2"/>
  <c r="H2186" i="2"/>
  <c r="J2187" i="2"/>
  <c r="F2189" i="2"/>
  <c r="G2190" i="2"/>
  <c r="I2191" i="2"/>
  <c r="K2192" i="2"/>
  <c r="G2194" i="2"/>
  <c r="I2195" i="2"/>
  <c r="K2196" i="2"/>
  <c r="G2198" i="2"/>
  <c r="I2199" i="2"/>
  <c r="K2200" i="2"/>
  <c r="G2202" i="2"/>
  <c r="I2203" i="2"/>
  <c r="K2204" i="2"/>
  <c r="G2206" i="2"/>
  <c r="I2207" i="2"/>
  <c r="K2208" i="2"/>
  <c r="G2210" i="2"/>
  <c r="I2211" i="2"/>
  <c r="K2212" i="2"/>
  <c r="G2214" i="2"/>
  <c r="I2215" i="2"/>
  <c r="K2216" i="2"/>
  <c r="G2218" i="2"/>
  <c r="I2219" i="2"/>
  <c r="K2220" i="2"/>
  <c r="G2222" i="2"/>
  <c r="I2223" i="2"/>
  <c r="K2224" i="2"/>
  <c r="G2226" i="2"/>
  <c r="I2227" i="2"/>
  <c r="G2228" i="2"/>
  <c r="K2228" i="2"/>
  <c r="I2229" i="2"/>
  <c r="G2230" i="2"/>
  <c r="K2230" i="2"/>
  <c r="I2231" i="2"/>
  <c r="G2232" i="2"/>
  <c r="K2232" i="2"/>
  <c r="I2233" i="2"/>
  <c r="G2234" i="2"/>
  <c r="K2234" i="2"/>
  <c r="I2235" i="2"/>
  <c r="G2236" i="2"/>
  <c r="K2236" i="2"/>
  <c r="I2237" i="2"/>
  <c r="G2238" i="2"/>
  <c r="K2238" i="2"/>
  <c r="I2239" i="2"/>
  <c r="G2240" i="2"/>
  <c r="K2240" i="2"/>
  <c r="I2241" i="2"/>
  <c r="G2242" i="2"/>
  <c r="K2242" i="2"/>
  <c r="I2243" i="2"/>
  <c r="G2244" i="2"/>
  <c r="K2244" i="2"/>
  <c r="I2245" i="2"/>
  <c r="G2246" i="2"/>
  <c r="K2246" i="2"/>
  <c r="I2247" i="2"/>
  <c r="G2248" i="2"/>
  <c r="K2248" i="2"/>
  <c r="I2249" i="2"/>
  <c r="G2250" i="2"/>
  <c r="K2250" i="2"/>
  <c r="I2251" i="2"/>
  <c r="G2252" i="2"/>
  <c r="K2252" i="2"/>
  <c r="I2253" i="2"/>
  <c r="G2254" i="2"/>
  <c r="K2254" i="2"/>
  <c r="I2255" i="2"/>
  <c r="G2256" i="2"/>
  <c r="K2256" i="2"/>
  <c r="I2257" i="2"/>
  <c r="G2258" i="2"/>
  <c r="K2258" i="2"/>
  <c r="I2259" i="2"/>
  <c r="G2260" i="2"/>
  <c r="K2260" i="2"/>
  <c r="I2261" i="2"/>
  <c r="F2262" i="2"/>
  <c r="J2262" i="2"/>
  <c r="H2263" i="2"/>
  <c r="F2264" i="2"/>
  <c r="J2264" i="2"/>
  <c r="H2265" i="2"/>
  <c r="F2266" i="2"/>
  <c r="J2266" i="2"/>
  <c r="H2267" i="2"/>
  <c r="F2268" i="2"/>
  <c r="J2268" i="2"/>
  <c r="H2269" i="2"/>
  <c r="F2270" i="2"/>
  <c r="J2270" i="2"/>
  <c r="H2271" i="2"/>
  <c r="F2272" i="2"/>
  <c r="J2272" i="2"/>
  <c r="H2273" i="2"/>
  <c r="F2274" i="2"/>
  <c r="J2274" i="2"/>
  <c r="H2275" i="2"/>
  <c r="F2276" i="2"/>
  <c r="J2276" i="2"/>
  <c r="H2277" i="2"/>
  <c r="F2278" i="2"/>
  <c r="J2278" i="2"/>
  <c r="H2279" i="2"/>
  <c r="F2280" i="2"/>
  <c r="J2280" i="2"/>
  <c r="H2281" i="2"/>
  <c r="F2282" i="2"/>
  <c r="J2282" i="2"/>
  <c r="H2283" i="2"/>
  <c r="F2284" i="2"/>
  <c r="J2284" i="2"/>
  <c r="H2285" i="2"/>
  <c r="F2286" i="2"/>
  <c r="J2286" i="2"/>
  <c r="H2287" i="2"/>
  <c r="F2288" i="2"/>
  <c r="J2288" i="2"/>
  <c r="H2289" i="2"/>
  <c r="F2290" i="2"/>
  <c r="J2290" i="2"/>
  <c r="H2291" i="2"/>
  <c r="F2292" i="2"/>
  <c r="J2292" i="2"/>
  <c r="H2293" i="2"/>
  <c r="F2294" i="2"/>
  <c r="J2294" i="2"/>
  <c r="H2295" i="2"/>
  <c r="F2296" i="2"/>
  <c r="J2296" i="2"/>
  <c r="H2297" i="2"/>
  <c r="F2298" i="2"/>
  <c r="J2298" i="2"/>
  <c r="H2299" i="2"/>
  <c r="F2300" i="2"/>
  <c r="J2300" i="2"/>
  <c r="H2301" i="2"/>
  <c r="F2302" i="2"/>
  <c r="J2302" i="2"/>
  <c r="H2303" i="2"/>
  <c r="F2304" i="2"/>
  <c r="J2304" i="2"/>
  <c r="H2305" i="2"/>
  <c r="F2306" i="2"/>
  <c r="J2306" i="2"/>
  <c r="H2307" i="2"/>
  <c r="F2308" i="2"/>
  <c r="J2308" i="2"/>
  <c r="H2309" i="2"/>
  <c r="F2310" i="2"/>
  <c r="J2310" i="2"/>
  <c r="H2311" i="2"/>
  <c r="F2312" i="2"/>
  <c r="J2312" i="2"/>
  <c r="H2313" i="2"/>
  <c r="F2314" i="2"/>
  <c r="J2314" i="2"/>
  <c r="H2315" i="2"/>
  <c r="F2316" i="2"/>
  <c r="J2316" i="2"/>
  <c r="H2317" i="2"/>
  <c r="F2318" i="2"/>
  <c r="J2318" i="2"/>
  <c r="H2319" i="2"/>
  <c r="F2320" i="2"/>
  <c r="J2320" i="2"/>
  <c r="H2321" i="2"/>
  <c r="F2322" i="2"/>
  <c r="J2322" i="2"/>
  <c r="H2323" i="2"/>
  <c r="F2324" i="2"/>
  <c r="J2324" i="2"/>
  <c r="H2325" i="2"/>
  <c r="G2326" i="2"/>
  <c r="K2326" i="2"/>
  <c r="I2327" i="2"/>
  <c r="G2328" i="2"/>
  <c r="K2328" i="2"/>
  <c r="I2329" i="2"/>
  <c r="G2330" i="2"/>
  <c r="K2330" i="2"/>
  <c r="I2331" i="2"/>
  <c r="G2332" i="2"/>
  <c r="K2332" i="2"/>
  <c r="I2333" i="2"/>
  <c r="G2334" i="2"/>
  <c r="K2334" i="2"/>
  <c r="I2335" i="2"/>
  <c r="G2336" i="2"/>
  <c r="K2336" i="2"/>
  <c r="I2337" i="2"/>
  <c r="G2338" i="2"/>
  <c r="K2338" i="2"/>
  <c r="I2339" i="2"/>
  <c r="G2340" i="2"/>
  <c r="K2340" i="2"/>
  <c r="I2341" i="2"/>
  <c r="G2342" i="2"/>
  <c r="K2342" i="2"/>
  <c r="I2343" i="2"/>
  <c r="G2344" i="2"/>
  <c r="K2344" i="2"/>
  <c r="I2345" i="2"/>
  <c r="G2346" i="2"/>
  <c r="K2346" i="2"/>
  <c r="I2347" i="2"/>
  <c r="G2348" i="2"/>
  <c r="K2348" i="2"/>
  <c r="I2349" i="2"/>
  <c r="G2350" i="2"/>
  <c r="K2350" i="2"/>
  <c r="I2351" i="2"/>
  <c r="G2352" i="2"/>
  <c r="K2352" i="2"/>
  <c r="I2353" i="2"/>
  <c r="G2354" i="2"/>
  <c r="K2354" i="2"/>
  <c r="I2355" i="2"/>
  <c r="G2356" i="2"/>
  <c r="K2356" i="2"/>
  <c r="I2357" i="2"/>
  <c r="G2358" i="2"/>
  <c r="K2358" i="2"/>
  <c r="I2359" i="2"/>
  <c r="G2360" i="2"/>
  <c r="K2360" i="2"/>
  <c r="I2361" i="2"/>
  <c r="G2362" i="2"/>
  <c r="K2362" i="2"/>
  <c r="I2363" i="2"/>
  <c r="G2364" i="2"/>
  <c r="K2364" i="2"/>
  <c r="I2365" i="2"/>
  <c r="G2366" i="2"/>
  <c r="K2366" i="2"/>
  <c r="I2367" i="2"/>
  <c r="G2368" i="2"/>
  <c r="K2368" i="2"/>
  <c r="I2369" i="2"/>
  <c r="G2370" i="2"/>
  <c r="K2370" i="2"/>
  <c r="I2371" i="2"/>
  <c r="G2372" i="2"/>
  <c r="K2372" i="2"/>
  <c r="I2373" i="2"/>
  <c r="G2374" i="2"/>
  <c r="K2374" i="2"/>
  <c r="I2375" i="2"/>
  <c r="G2376" i="2"/>
  <c r="K2376" i="2"/>
  <c r="I2377" i="2"/>
  <c r="G2378" i="2"/>
  <c r="K2378" i="2"/>
  <c r="I2379" i="2"/>
  <c r="G2380" i="2"/>
  <c r="K2380" i="2"/>
  <c r="I2381" i="2"/>
  <c r="G2382" i="2"/>
  <c r="K2382" i="2"/>
  <c r="I2383" i="2"/>
  <c r="G2384" i="2"/>
  <c r="K2384" i="2"/>
  <c r="I2385" i="2"/>
  <c r="G2386" i="2"/>
  <c r="K2386" i="2"/>
  <c r="I2387" i="2"/>
  <c r="G2388" i="2"/>
  <c r="K2388" i="2"/>
  <c r="I2389" i="2"/>
  <c r="F2390" i="2"/>
  <c r="J2390" i="2"/>
  <c r="H2391" i="2"/>
  <c r="F2392" i="2"/>
  <c r="J2392" i="2"/>
  <c r="H2393" i="2"/>
  <c r="F2394" i="2"/>
  <c r="J2394" i="2"/>
  <c r="H2395" i="2"/>
  <c r="F2396" i="2"/>
  <c r="J2396" i="2"/>
  <c r="H2397" i="2"/>
  <c r="F2398" i="2"/>
  <c r="J2398" i="2"/>
  <c r="H2399" i="2"/>
  <c r="F2400" i="2"/>
  <c r="J2400" i="2"/>
  <c r="H2401" i="2"/>
  <c r="F2402" i="2"/>
  <c r="J2402" i="2"/>
  <c r="H2403" i="2"/>
  <c r="F2404" i="2"/>
  <c r="J2404" i="2"/>
  <c r="H2405" i="2"/>
  <c r="F2406" i="2"/>
  <c r="J2406" i="2"/>
  <c r="H2407" i="2"/>
  <c r="F2408" i="2"/>
  <c r="J2408" i="2"/>
  <c r="H2409" i="2"/>
  <c r="F2410" i="2"/>
  <c r="J2410" i="2"/>
  <c r="H2411" i="2"/>
  <c r="F2412" i="2"/>
  <c r="J2412" i="2"/>
  <c r="H2413" i="2"/>
  <c r="F2414" i="2"/>
  <c r="J2414" i="2"/>
  <c r="H2415" i="2"/>
  <c r="F2416" i="2"/>
  <c r="J2416" i="2"/>
  <c r="H2417" i="2"/>
  <c r="F2418" i="2"/>
  <c r="J2418" i="2"/>
  <c r="H2419" i="2"/>
  <c r="F2420" i="2"/>
  <c r="J2420" i="2"/>
  <c r="H2421" i="2"/>
  <c r="F2422" i="2"/>
  <c r="J2422" i="2"/>
  <c r="H2423" i="2"/>
  <c r="F2424" i="2"/>
  <c r="J2424" i="2"/>
  <c r="H2425" i="2"/>
  <c r="F2426" i="2"/>
  <c r="J2426" i="2"/>
  <c r="H2427" i="2"/>
  <c r="F2428" i="2"/>
  <c r="J2428" i="2"/>
  <c r="H2429" i="2"/>
  <c r="F2430" i="2"/>
  <c r="J2430" i="2"/>
  <c r="H2431" i="2"/>
  <c r="F2432" i="2"/>
  <c r="J2432" i="2"/>
  <c r="H2433" i="2"/>
  <c r="F2434" i="2"/>
  <c r="J2434" i="2"/>
  <c r="H2435" i="2"/>
  <c r="F2436" i="2"/>
  <c r="J2436" i="2"/>
  <c r="H2437" i="2"/>
  <c r="F2438" i="2"/>
  <c r="J2438" i="2"/>
  <c r="H2439" i="2"/>
  <c r="F2440" i="2"/>
  <c r="J2440" i="2"/>
  <c r="H2441" i="2"/>
  <c r="F2442" i="2"/>
  <c r="J2442" i="2"/>
  <c r="H2443" i="2"/>
  <c r="F2444" i="2"/>
  <c r="J2444" i="2"/>
  <c r="H2445" i="2"/>
  <c r="F2446" i="2"/>
  <c r="J2446" i="2"/>
  <c r="H2447" i="2"/>
  <c r="F2448" i="2"/>
  <c r="J2448" i="2"/>
  <c r="H2449" i="2"/>
  <c r="F2450" i="2"/>
  <c r="J2450" i="2"/>
  <c r="H2451" i="2"/>
  <c r="F2452" i="2"/>
  <c r="J2452" i="2"/>
  <c r="H2453" i="2"/>
  <c r="G2454" i="2"/>
  <c r="K2454" i="2"/>
  <c r="I2455" i="2"/>
  <c r="G2456" i="2"/>
  <c r="K2456" i="2"/>
  <c r="I2457" i="2"/>
  <c r="G2458" i="2"/>
  <c r="K2458" i="2"/>
  <c r="I2459" i="2"/>
  <c r="G2460" i="2"/>
  <c r="K2460" i="2"/>
  <c r="I2461" i="2"/>
  <c r="G2462" i="2"/>
  <c r="K2462" i="2"/>
  <c r="I2463" i="2"/>
  <c r="G2464" i="2"/>
  <c r="K2464" i="2"/>
  <c r="I2465" i="2"/>
  <c r="G2466" i="2"/>
  <c r="K2466" i="2"/>
  <c r="I2467" i="2"/>
  <c r="G2468" i="2"/>
  <c r="K2468" i="2"/>
  <c r="I2469" i="2"/>
  <c r="G2470" i="2"/>
  <c r="K2470" i="2"/>
  <c r="I2471" i="2"/>
  <c r="G2472" i="2"/>
  <c r="K2472" i="2"/>
  <c r="I2473" i="2"/>
  <c r="G2474" i="2"/>
  <c r="K2474" i="2"/>
  <c r="I2475" i="2"/>
  <c r="G2476" i="2"/>
  <c r="K2476" i="2"/>
  <c r="I2477" i="2"/>
  <c r="G2478" i="2"/>
  <c r="K2478" i="2"/>
  <c r="I2479" i="2"/>
  <c r="G2480" i="2"/>
  <c r="K2480" i="2"/>
  <c r="I2481" i="2"/>
  <c r="G2482" i="2"/>
  <c r="K2482" i="2"/>
  <c r="I2483" i="2"/>
  <c r="G2484" i="2"/>
  <c r="K2484" i="2"/>
  <c r="I2485" i="2"/>
  <c r="G2486" i="2"/>
  <c r="K2486" i="2"/>
  <c r="I2487" i="2"/>
  <c r="G2488" i="2"/>
  <c r="K2488" i="2"/>
  <c r="I2489" i="2"/>
  <c r="G2490" i="2"/>
  <c r="K2490" i="2"/>
  <c r="I2491" i="2"/>
  <c r="G2492" i="2"/>
  <c r="K2492" i="2"/>
  <c r="I2493" i="2"/>
  <c r="G2494" i="2"/>
  <c r="K2494" i="2"/>
  <c r="I2495" i="2"/>
  <c r="G2496" i="2"/>
  <c r="K2496" i="2"/>
  <c r="I2497" i="2"/>
  <c r="G2498" i="2"/>
  <c r="K2498" i="2"/>
  <c r="I2499" i="2"/>
  <c r="G2500" i="2"/>
  <c r="K2500" i="2"/>
  <c r="I2501" i="2"/>
  <c r="F2502" i="2"/>
  <c r="J2502" i="2"/>
  <c r="H2503" i="2"/>
  <c r="F2504" i="2"/>
  <c r="J2504" i="2"/>
  <c r="H2505" i="2"/>
  <c r="F2506" i="2"/>
  <c r="J2506" i="2"/>
  <c r="H2507" i="2"/>
  <c r="F2508" i="2"/>
  <c r="J2508" i="2"/>
  <c r="H2509" i="2"/>
  <c r="F2510" i="2"/>
  <c r="J2510" i="2"/>
  <c r="H2511" i="2"/>
  <c r="F2512" i="2"/>
  <c r="J2512" i="2"/>
  <c r="H2513" i="2"/>
  <c r="F2514" i="2"/>
  <c r="J2514" i="2"/>
  <c r="H2515" i="2"/>
  <c r="F2516" i="2"/>
  <c r="J2516" i="2"/>
  <c r="H2517" i="2"/>
  <c r="F2518" i="2"/>
  <c r="J2518" i="2"/>
  <c r="H2519" i="2"/>
  <c r="F2520" i="2"/>
  <c r="J2520" i="2"/>
  <c r="H2521" i="2"/>
  <c r="F2522" i="2"/>
  <c r="J2522" i="2"/>
  <c r="H2523" i="2"/>
  <c r="F2524" i="2"/>
  <c r="J2524" i="2"/>
  <c r="H2525" i="2"/>
  <c r="F2526" i="2"/>
  <c r="J2526" i="2"/>
  <c r="H2527" i="2"/>
  <c r="F2528" i="2"/>
  <c r="J2528" i="2"/>
  <c r="H2529" i="2"/>
  <c r="F2530" i="2"/>
  <c r="J2530" i="2"/>
  <c r="H2531" i="2"/>
  <c r="F2532" i="2"/>
  <c r="J2532" i="2"/>
  <c r="H2533" i="2"/>
  <c r="F2534" i="2"/>
  <c r="J2534" i="2"/>
  <c r="H2535" i="2"/>
  <c r="F2536" i="2"/>
  <c r="J2536" i="2"/>
  <c r="H2537" i="2"/>
  <c r="F2538" i="2"/>
  <c r="J2538" i="2"/>
  <c r="H2539" i="2"/>
  <c r="F2540" i="2"/>
  <c r="J2540" i="2"/>
  <c r="H2541" i="2"/>
  <c r="F2542" i="2"/>
  <c r="J2542" i="2"/>
  <c r="H2543" i="2"/>
  <c r="F2544" i="2"/>
  <c r="J2544" i="2"/>
  <c r="H2545" i="2"/>
  <c r="F2546" i="2"/>
  <c r="J2546" i="2"/>
  <c r="H2547" i="2"/>
  <c r="F2548" i="2"/>
  <c r="J2548" i="2"/>
  <c r="H2549" i="2"/>
  <c r="F2550" i="2"/>
  <c r="J2550" i="2"/>
  <c r="H2551" i="2"/>
  <c r="F2552" i="2"/>
  <c r="J2552" i="2"/>
  <c r="H2553" i="2"/>
  <c r="F2554" i="2"/>
  <c r="J2554" i="2"/>
  <c r="H2555" i="2"/>
  <c r="F2556" i="2"/>
  <c r="J2556" i="2"/>
  <c r="H2557" i="2"/>
  <c r="F2558" i="2"/>
  <c r="J2558" i="2"/>
  <c r="H2559" i="2"/>
  <c r="F2560" i="2"/>
  <c r="J2560" i="2"/>
  <c r="H2561" i="2"/>
  <c r="F2562" i="2"/>
  <c r="J2562" i="2"/>
  <c r="H2563" i="2"/>
  <c r="F2564" i="2"/>
  <c r="J2564" i="2"/>
  <c r="H2565" i="2"/>
  <c r="F2566" i="2"/>
  <c r="J2566" i="2"/>
  <c r="H2567" i="2"/>
  <c r="F2568" i="2"/>
  <c r="J2568" i="2"/>
  <c r="H2569" i="2"/>
  <c r="F2570" i="2"/>
  <c r="J2570" i="2"/>
  <c r="H2571" i="2"/>
  <c r="F2572" i="2"/>
  <c r="J2572" i="2"/>
  <c r="H2573" i="2"/>
  <c r="F2574" i="2"/>
  <c r="J2574" i="2"/>
  <c r="H2575" i="2"/>
  <c r="F2576" i="2"/>
  <c r="J2576" i="2"/>
  <c r="H2577" i="2"/>
  <c r="F2578" i="2"/>
  <c r="J2578" i="2"/>
  <c r="H2579" i="2"/>
  <c r="F2580" i="2"/>
  <c r="J2580" i="2"/>
  <c r="H2581" i="2"/>
  <c r="G2582" i="2"/>
  <c r="K2582" i="2"/>
  <c r="I2583" i="2"/>
  <c r="G2584" i="2"/>
  <c r="K2584" i="2"/>
  <c r="I2585" i="2"/>
  <c r="G2586" i="2"/>
  <c r="K2586" i="2"/>
  <c r="I2587" i="2"/>
  <c r="G2588" i="2"/>
  <c r="K2588" i="2"/>
  <c r="I2589" i="2"/>
  <c r="G2590" i="2"/>
  <c r="K2590" i="2"/>
  <c r="I2591" i="2"/>
  <c r="G2592" i="2"/>
  <c r="K2592" i="2"/>
  <c r="I2593" i="2"/>
  <c r="G2594" i="2"/>
  <c r="K2594" i="2"/>
  <c r="I2595" i="2"/>
  <c r="G2596" i="2"/>
  <c r="K2596" i="2"/>
  <c r="I2597" i="2"/>
  <c r="G2598" i="2"/>
  <c r="K2598" i="2"/>
  <c r="I2599" i="2"/>
  <c r="G2600" i="2"/>
  <c r="K2600" i="2"/>
  <c r="I2601" i="2"/>
  <c r="G2602" i="2"/>
  <c r="K2602" i="2"/>
  <c r="I2603" i="2"/>
  <c r="G2604" i="2"/>
  <c r="K2604" i="2"/>
  <c r="I2605" i="2"/>
  <c r="G2606" i="2"/>
  <c r="K2606" i="2"/>
  <c r="I2607" i="2"/>
  <c r="G2608" i="2"/>
  <c r="K2608" i="2"/>
  <c r="I2609" i="2"/>
  <c r="G2610" i="2"/>
  <c r="K2610" i="2"/>
  <c r="I2611" i="2"/>
  <c r="G2612" i="2"/>
  <c r="K2612" i="2"/>
  <c r="I2613" i="2"/>
  <c r="G2614" i="2"/>
  <c r="K2614" i="2"/>
  <c r="I2615" i="2"/>
  <c r="G2616" i="2"/>
  <c r="K2616" i="2"/>
  <c r="I2617" i="2"/>
  <c r="G2618" i="2"/>
  <c r="K2618" i="2"/>
  <c r="I2619" i="2"/>
  <c r="G2620" i="2"/>
  <c r="K2620" i="2"/>
  <c r="I2621" i="2"/>
  <c r="G2622" i="2"/>
  <c r="K2622" i="2"/>
  <c r="I2623" i="2"/>
  <c r="G2624" i="2"/>
  <c r="K2624" i="2"/>
  <c r="I2625" i="2"/>
  <c r="G2626" i="2"/>
  <c r="K2626" i="2"/>
  <c r="I2627" i="2"/>
  <c r="G2628" i="2"/>
  <c r="K2628" i="2"/>
  <c r="I2629" i="2"/>
  <c r="G2630" i="2"/>
  <c r="K2630" i="2"/>
  <c r="I2631" i="2"/>
  <c r="G2632" i="2"/>
  <c r="K2632" i="2"/>
  <c r="I2633" i="2"/>
  <c r="G2634" i="2"/>
  <c r="K2634" i="2"/>
  <c r="I2635" i="2"/>
  <c r="G2636" i="2"/>
  <c r="K2636" i="2"/>
  <c r="I2637" i="2"/>
  <c r="G2638" i="2"/>
  <c r="K2638" i="2"/>
  <c r="I2639" i="2"/>
  <c r="G2640" i="2"/>
  <c r="K2640" i="2"/>
  <c r="I2641" i="2"/>
  <c r="G2642" i="2"/>
  <c r="K2642" i="2"/>
  <c r="I2643" i="2"/>
  <c r="G2644" i="2"/>
  <c r="K2644" i="2"/>
  <c r="I2645" i="2"/>
  <c r="G2646" i="2"/>
  <c r="K2646" i="2"/>
  <c r="I2647" i="2"/>
  <c r="G2648" i="2"/>
  <c r="K2648" i="2"/>
  <c r="I2649" i="2"/>
  <c r="G2650" i="2"/>
  <c r="K2650" i="2"/>
  <c r="I2651" i="2"/>
  <c r="G2652" i="2"/>
  <c r="K2652" i="2"/>
  <c r="I2653" i="2"/>
  <c r="G2654" i="2"/>
  <c r="K2654" i="2"/>
  <c r="I2655" i="2"/>
  <c r="G2656" i="2"/>
  <c r="K2656" i="2"/>
  <c r="I2657" i="2"/>
  <c r="G2658" i="2"/>
  <c r="K2658" i="2"/>
  <c r="I2659" i="2"/>
  <c r="G2660" i="2"/>
  <c r="K2660" i="2"/>
  <c r="I2661" i="2"/>
  <c r="G2662" i="2"/>
  <c r="K2662" i="2"/>
  <c r="I2663" i="2"/>
  <c r="G2664" i="2"/>
  <c r="K2664" i="2"/>
  <c r="I2665" i="2"/>
  <c r="G2666" i="2"/>
  <c r="K2666" i="2"/>
  <c r="I2667" i="2"/>
  <c r="G2668" i="2"/>
  <c r="K2668" i="2"/>
  <c r="I2669" i="2"/>
  <c r="G2670" i="2"/>
  <c r="K2670" i="2"/>
  <c r="I2671" i="2"/>
  <c r="F2672" i="2"/>
  <c r="J2672" i="2"/>
  <c r="H2673" i="2"/>
  <c r="F2674" i="2"/>
  <c r="J2674" i="2"/>
  <c r="H2675" i="2"/>
  <c r="F2676" i="2"/>
  <c r="J2676" i="2"/>
  <c r="H2677" i="2"/>
  <c r="F2678" i="2"/>
  <c r="J2678" i="2"/>
  <c r="H2679" i="2"/>
  <c r="F2680" i="2"/>
  <c r="J2680" i="2"/>
  <c r="H2681" i="2"/>
  <c r="F2682" i="2"/>
  <c r="J2682" i="2"/>
  <c r="H2683" i="2"/>
  <c r="F2684" i="2"/>
  <c r="J2684" i="2"/>
  <c r="H2685" i="2"/>
  <c r="F2686" i="2"/>
  <c r="J2686" i="2"/>
  <c r="H2687" i="2"/>
  <c r="F2688" i="2"/>
  <c r="J2688" i="2"/>
  <c r="H2689" i="2"/>
  <c r="F2690" i="2"/>
  <c r="J2690" i="2"/>
  <c r="H2691" i="2"/>
  <c r="F2692" i="2"/>
  <c r="J2692" i="2"/>
  <c r="H2693" i="2"/>
  <c r="F2694" i="2"/>
  <c r="J2694" i="2"/>
  <c r="H2695" i="2"/>
  <c r="F2696" i="2"/>
  <c r="J2696" i="2"/>
  <c r="H2697" i="2"/>
  <c r="F2698" i="2"/>
  <c r="J2698" i="2"/>
  <c r="H2699" i="2"/>
  <c r="F2700" i="2"/>
  <c r="J2700" i="2"/>
  <c r="H2701" i="2"/>
  <c r="F2702" i="2"/>
  <c r="J2702" i="2"/>
  <c r="H2703" i="2"/>
  <c r="F2704" i="2"/>
  <c r="J2704" i="2"/>
  <c r="H2705" i="2"/>
  <c r="F2706" i="2"/>
  <c r="J2706" i="2"/>
  <c r="H2707" i="2"/>
  <c r="F2708" i="2"/>
  <c r="J2708" i="2"/>
  <c r="H2709" i="2"/>
  <c r="F2710" i="2"/>
  <c r="J2710" i="2"/>
  <c r="H2711" i="2"/>
  <c r="F2712" i="2"/>
  <c r="J2712" i="2"/>
  <c r="H2713" i="2"/>
  <c r="F2714" i="2"/>
  <c r="J2714" i="2"/>
  <c r="H2715" i="2"/>
  <c r="F2716" i="2"/>
  <c r="J2716" i="2"/>
  <c r="H2717" i="2"/>
  <c r="F2718" i="2"/>
  <c r="J2718" i="2"/>
  <c r="H2719" i="2"/>
  <c r="G2720" i="2"/>
  <c r="K2720" i="2"/>
  <c r="I2721" i="2"/>
  <c r="G2722" i="2"/>
  <c r="K2722" i="2"/>
  <c r="I2723" i="2"/>
  <c r="G2724" i="2"/>
  <c r="K2724" i="2"/>
  <c r="I2725" i="2"/>
  <c r="G2726" i="2"/>
  <c r="K2726" i="2"/>
  <c r="I2727" i="2"/>
  <c r="G2728" i="2"/>
  <c r="K2728" i="2"/>
  <c r="I2729" i="2"/>
  <c r="G2730" i="2"/>
  <c r="K2730" i="2"/>
  <c r="I2731" i="2"/>
  <c r="G2732" i="2"/>
  <c r="K2732" i="2"/>
  <c r="I2733" i="2"/>
  <c r="G2734" i="2"/>
  <c r="K2734" i="2"/>
  <c r="I2735" i="2"/>
  <c r="G2736" i="2"/>
  <c r="K2736" i="2"/>
  <c r="I2737" i="2"/>
  <c r="G2738" i="2"/>
  <c r="K2738" i="2"/>
  <c r="I2739" i="2"/>
  <c r="G2740" i="2"/>
  <c r="K2740" i="2"/>
  <c r="I2741" i="2"/>
  <c r="G2742" i="2"/>
  <c r="K2742" i="2"/>
  <c r="I2743" i="2"/>
  <c r="G2744" i="2"/>
  <c r="K2744" i="2"/>
  <c r="I2745" i="2"/>
  <c r="G2746" i="2"/>
  <c r="K2746" i="2"/>
  <c r="I2747" i="2"/>
  <c r="G2748" i="2"/>
  <c r="K2748" i="2"/>
  <c r="I2749" i="2"/>
  <c r="G2750" i="2"/>
  <c r="K2750" i="2"/>
  <c r="I2751" i="2"/>
  <c r="G2752" i="2"/>
  <c r="K2752" i="2"/>
  <c r="I2753" i="2"/>
  <c r="G2754" i="2"/>
  <c r="K2754" i="2"/>
  <c r="I2755" i="2"/>
  <c r="G2756" i="2"/>
  <c r="K2756" i="2"/>
  <c r="I2757" i="2"/>
  <c r="G2758" i="2"/>
  <c r="K2758" i="2"/>
  <c r="I2759" i="2"/>
  <c r="G2760" i="2"/>
  <c r="K2760" i="2"/>
  <c r="I2761" i="2"/>
  <c r="G2762" i="2"/>
  <c r="K2762" i="2"/>
  <c r="I2763" i="2"/>
  <c r="G2764" i="2"/>
  <c r="K2764" i="2"/>
  <c r="I2765" i="2"/>
  <c r="G2766" i="2"/>
  <c r="K2766" i="2"/>
  <c r="I2767" i="2"/>
  <c r="G2768" i="2"/>
  <c r="K2768" i="2"/>
  <c r="I2769" i="2"/>
  <c r="G2770" i="2"/>
  <c r="K2770" i="2"/>
  <c r="I2771" i="2"/>
  <c r="G2772" i="2"/>
  <c r="K2772" i="2"/>
  <c r="I2773" i="2"/>
  <c r="G2774" i="2"/>
  <c r="K2774" i="2"/>
  <c r="I2775" i="2"/>
  <c r="G2776" i="2"/>
  <c r="K2776" i="2"/>
  <c r="I2777" i="2"/>
  <c r="G2778" i="2"/>
  <c r="K2778" i="2"/>
  <c r="I2779" i="2"/>
  <c r="G2780" i="2"/>
  <c r="K2780" i="2"/>
  <c r="I2781" i="2"/>
  <c r="G2782" i="2"/>
  <c r="K2782" i="2"/>
  <c r="I2783" i="2"/>
  <c r="G2784" i="2"/>
  <c r="K2784" i="2"/>
  <c r="I2785" i="2"/>
  <c r="G2786" i="2"/>
  <c r="K2786" i="2"/>
  <c r="I2787" i="2"/>
  <c r="G2788" i="2"/>
  <c r="K2788" i="2"/>
  <c r="I2789" i="2"/>
  <c r="G2790" i="2"/>
  <c r="K2790" i="2"/>
  <c r="I2791" i="2"/>
  <c r="G2792" i="2"/>
  <c r="K2792" i="2"/>
  <c r="I2793" i="2"/>
  <c r="G2514" i="2"/>
  <c r="I2516" i="2"/>
  <c r="K2517" i="2"/>
  <c r="G2519" i="2"/>
  <c r="I2520" i="2"/>
  <c r="K2521" i="2"/>
  <c r="G2523" i="2"/>
  <c r="G2524" i="2"/>
  <c r="I2525" i="2"/>
  <c r="K2526" i="2"/>
  <c r="G2528" i="2"/>
  <c r="I2529" i="2"/>
  <c r="K2530" i="2"/>
  <c r="K2531" i="2"/>
  <c r="G2533" i="2"/>
  <c r="I2534" i="2"/>
  <c r="K2535" i="2"/>
  <c r="K2536" i="2"/>
  <c r="G2538" i="2"/>
  <c r="I2539" i="2"/>
  <c r="K2540" i="2"/>
  <c r="K2541" i="2"/>
  <c r="G2543" i="2"/>
  <c r="I2544" i="2"/>
  <c r="K2545" i="2"/>
  <c r="K2546" i="2"/>
  <c r="G2548" i="2"/>
  <c r="I2549" i="2"/>
  <c r="K2550" i="2"/>
  <c r="K2551" i="2"/>
  <c r="G2553" i="2"/>
  <c r="I2554" i="2"/>
  <c r="K2555" i="2"/>
  <c r="G2557" i="2"/>
  <c r="G2558" i="2"/>
  <c r="I2559" i="2"/>
  <c r="K2560" i="2"/>
  <c r="G2562" i="2"/>
  <c r="G2563" i="2"/>
  <c r="I2564" i="2"/>
  <c r="K2565" i="2"/>
  <c r="G2567" i="2"/>
  <c r="I2568" i="2"/>
  <c r="I2569" i="2"/>
  <c r="K2570" i="2"/>
  <c r="G2572" i="2"/>
  <c r="G2573" i="2"/>
  <c r="I2574" i="2"/>
  <c r="K2575" i="2"/>
  <c r="G2577" i="2"/>
  <c r="I2578" i="2"/>
  <c r="I2579" i="2"/>
  <c r="K2580" i="2"/>
  <c r="F2582" i="2"/>
  <c r="H2583" i="2"/>
  <c r="J2584" i="2"/>
  <c r="J2585" i="2"/>
  <c r="F2587" i="2"/>
  <c r="H2588" i="2"/>
  <c r="J2589" i="2"/>
  <c r="F2591" i="2"/>
  <c r="F2592" i="2"/>
  <c r="H2593" i="2"/>
  <c r="J2594" i="2"/>
  <c r="F2596" i="2"/>
  <c r="F2597" i="2"/>
  <c r="H2598" i="2"/>
  <c r="J2599" i="2"/>
  <c r="F2601" i="2"/>
  <c r="H2602" i="2"/>
  <c r="H2603" i="2"/>
  <c r="J2604" i="2"/>
  <c r="F2606" i="2"/>
  <c r="H2607" i="2"/>
  <c r="J2608" i="2"/>
  <c r="J2609" i="2"/>
  <c r="F2611" i="2"/>
  <c r="H2612" i="2"/>
  <c r="J2613" i="2"/>
  <c r="J2614" i="2"/>
  <c r="F2616" i="2"/>
  <c r="H2617" i="2"/>
  <c r="J2618" i="2"/>
  <c r="J2619" i="2"/>
  <c r="F2621" i="2"/>
  <c r="H2622" i="2"/>
  <c r="J2623" i="2"/>
  <c r="F2625" i="2"/>
  <c r="F2626" i="2"/>
  <c r="H2627" i="2"/>
  <c r="J2628" i="2"/>
  <c r="F2630" i="2"/>
  <c r="H2631" i="2"/>
  <c r="J2632" i="2"/>
  <c r="J2633" i="2"/>
  <c r="F2635" i="2"/>
  <c r="H2636" i="2"/>
  <c r="J2637" i="2"/>
  <c r="F2639" i="2"/>
  <c r="H2640" i="2"/>
  <c r="H2641" i="2"/>
  <c r="J2642" i="2"/>
  <c r="F2644" i="2"/>
  <c r="H2645" i="2"/>
  <c r="H2646" i="2"/>
  <c r="J2647" i="2"/>
  <c r="F2649" i="2"/>
  <c r="H2650" i="2"/>
  <c r="J2651" i="2"/>
  <c r="J2652" i="2"/>
  <c r="F2654" i="2"/>
  <c r="H2655" i="2"/>
  <c r="J2656" i="2"/>
  <c r="J2657" i="2"/>
  <c r="F2659" i="2"/>
  <c r="H2660" i="2"/>
  <c r="J2661" i="2"/>
  <c r="F2663" i="2"/>
  <c r="F2664" i="2"/>
  <c r="H2665" i="2"/>
  <c r="J2666" i="2"/>
  <c r="F2668" i="2"/>
  <c r="H2669" i="2"/>
  <c r="H2670" i="2"/>
  <c r="J2671" i="2"/>
  <c r="G2673" i="2"/>
  <c r="G2674" i="2"/>
  <c r="I2675" i="2"/>
  <c r="K2676" i="2"/>
  <c r="G2678" i="2"/>
  <c r="I2679" i="2"/>
  <c r="K2680" i="2"/>
  <c r="K2681" i="2"/>
  <c r="G2683" i="2"/>
  <c r="I2684" i="2"/>
  <c r="K2685" i="2"/>
  <c r="G2687" i="2"/>
  <c r="I2688" i="2"/>
  <c r="I2689" i="2"/>
  <c r="K2690" i="2"/>
  <c r="G2692" i="2"/>
  <c r="I2693" i="2"/>
  <c r="I2694" i="2"/>
  <c r="K2695" i="2"/>
  <c r="G2697" i="2"/>
  <c r="I2698" i="2"/>
  <c r="K2699" i="2"/>
  <c r="G2701" i="2"/>
  <c r="G2702" i="2"/>
  <c r="I2703" i="2"/>
  <c r="K2704" i="2"/>
  <c r="G2706" i="2"/>
  <c r="I2707" i="2"/>
  <c r="I2708" i="2"/>
  <c r="K2709" i="2"/>
  <c r="G2711" i="2"/>
  <c r="I2712" i="2"/>
  <c r="I2713" i="2"/>
  <c r="K2714" i="2"/>
  <c r="G2716" i="2"/>
  <c r="I2717" i="2"/>
  <c r="K2718" i="2"/>
  <c r="K2719" i="2"/>
  <c r="F2721" i="2"/>
  <c r="H2722" i="2"/>
  <c r="J2723" i="2"/>
  <c r="J2724" i="2"/>
  <c r="F2726" i="2"/>
  <c r="H2727" i="2"/>
  <c r="J2728" i="2"/>
  <c r="F2730" i="2"/>
  <c r="H2731" i="2"/>
  <c r="H2732" i="2"/>
  <c r="J2733" i="2"/>
  <c r="F2735" i="2"/>
  <c r="H2736" i="2"/>
  <c r="H2737" i="2"/>
  <c r="J2738" i="2"/>
  <c r="F2740" i="2"/>
  <c r="H2741" i="2"/>
  <c r="J2742" i="2"/>
  <c r="J2743" i="2"/>
  <c r="F2745" i="2"/>
  <c r="H2746" i="2"/>
  <c r="J2747" i="2"/>
  <c r="J2748" i="2"/>
  <c r="F2750" i="2"/>
  <c r="H2751" i="2"/>
  <c r="J2752" i="2"/>
  <c r="J2753" i="2"/>
  <c r="F2755" i="2"/>
  <c r="H2756" i="2"/>
  <c r="J2757" i="2"/>
  <c r="F2759" i="2"/>
  <c r="F2760" i="2"/>
  <c r="H2761" i="2"/>
  <c r="J2762" i="2"/>
  <c r="F2764" i="2"/>
  <c r="F2765" i="2"/>
  <c r="H2766" i="2"/>
  <c r="J2767" i="2"/>
  <c r="F2769" i="2"/>
  <c r="F2770" i="2"/>
  <c r="H2771" i="2"/>
  <c r="J2772" i="2"/>
  <c r="F2774" i="2"/>
  <c r="F2775" i="2"/>
  <c r="H2776" i="2"/>
  <c r="J2777" i="2"/>
  <c r="F2779" i="2"/>
  <c r="H2780" i="2"/>
  <c r="H2781" i="2"/>
  <c r="J2782" i="2"/>
  <c r="F2784" i="2"/>
  <c r="H2785" i="2"/>
  <c r="J2786" i="2"/>
  <c r="J2787" i="2"/>
  <c r="F2789" i="2"/>
  <c r="H2790" i="2"/>
  <c r="H2791" i="2"/>
  <c r="H2792" i="2"/>
  <c r="J2793" i="2"/>
  <c r="F2079" i="2"/>
  <c r="H2080" i="2"/>
  <c r="J2081" i="2"/>
  <c r="F2083" i="2"/>
  <c r="H2084" i="2"/>
  <c r="J2085" i="2"/>
  <c r="F2087" i="2"/>
  <c r="H2088" i="2"/>
  <c r="J2089" i="2"/>
  <c r="F2091" i="2"/>
  <c r="H2092" i="2"/>
  <c r="J2093" i="2"/>
  <c r="F2095" i="2"/>
  <c r="H2096" i="2"/>
  <c r="J2097" i="2"/>
  <c r="F2099" i="2"/>
  <c r="H2100" i="2"/>
  <c r="G2102" i="2"/>
  <c r="I2103" i="2"/>
  <c r="K2104" i="2"/>
  <c r="G2106" i="2"/>
  <c r="I2107" i="2"/>
  <c r="K2108" i="2"/>
  <c r="G2110" i="2"/>
  <c r="I2111" i="2"/>
  <c r="K2112" i="2"/>
  <c r="G2114" i="2"/>
  <c r="I2115" i="2"/>
  <c r="K2116" i="2"/>
  <c r="G2118" i="2"/>
  <c r="I2119" i="2"/>
  <c r="K2120" i="2"/>
  <c r="G2122" i="2"/>
  <c r="I2123" i="2"/>
  <c r="K2124" i="2"/>
  <c r="F2126" i="2"/>
  <c r="H2127" i="2"/>
  <c r="J2128" i="2"/>
  <c r="F2130" i="2"/>
  <c r="H2131" i="2"/>
  <c r="J2132" i="2"/>
  <c r="F2134" i="2"/>
  <c r="H2135" i="2"/>
  <c r="J2136" i="2"/>
  <c r="F2138" i="2"/>
  <c r="H2139" i="2"/>
  <c r="J2140" i="2"/>
  <c r="F2142" i="2"/>
  <c r="H2143" i="2"/>
  <c r="J2144" i="2"/>
  <c r="F2146" i="2"/>
  <c r="H2147" i="2"/>
  <c r="J2148" i="2"/>
  <c r="F2150" i="2"/>
  <c r="H2151" i="2"/>
  <c r="J2152" i="2"/>
  <c r="F2154" i="2"/>
  <c r="H2155" i="2"/>
  <c r="J2156" i="2"/>
  <c r="F2158" i="2"/>
  <c r="H2159" i="2"/>
  <c r="J2160" i="2"/>
  <c r="F2162" i="2"/>
  <c r="H2163" i="2"/>
  <c r="J2164" i="2"/>
  <c r="F2166" i="2"/>
  <c r="H2167" i="2"/>
  <c r="J2168" i="2"/>
  <c r="F2170" i="2"/>
  <c r="H2171" i="2"/>
  <c r="J2172" i="2"/>
  <c r="F2174" i="2"/>
  <c r="H2175" i="2"/>
  <c r="J2176" i="2"/>
  <c r="F2178" i="2"/>
  <c r="H2179" i="2"/>
  <c r="J2180" i="2"/>
  <c r="F2182" i="2"/>
  <c r="H2183" i="2"/>
  <c r="J2184" i="2"/>
  <c r="F2186" i="2"/>
  <c r="H2187" i="2"/>
  <c r="J2188" i="2"/>
  <c r="I2190" i="2"/>
  <c r="K2191" i="2"/>
  <c r="G2193" i="2"/>
  <c r="I2194" i="2"/>
  <c r="K2195" i="2"/>
  <c r="G2197" i="2"/>
  <c r="I2198" i="2"/>
  <c r="K2199" i="2"/>
  <c r="G2201" i="2"/>
  <c r="I2202" i="2"/>
  <c r="K2203" i="2"/>
  <c r="G2205" i="2"/>
  <c r="I2206" i="2"/>
  <c r="K2207" i="2"/>
  <c r="G2209" i="2"/>
  <c r="I2210" i="2"/>
  <c r="K2211" i="2"/>
  <c r="G2213" i="2"/>
  <c r="I2214" i="2"/>
  <c r="K2215" i="2"/>
  <c r="G2217" i="2"/>
  <c r="I2218" i="2"/>
  <c r="K2219" i="2"/>
  <c r="G2221" i="2"/>
  <c r="I2222" i="2"/>
  <c r="K2223" i="2"/>
  <c r="G2225" i="2"/>
  <c r="I2226" i="2"/>
  <c r="J2227" i="2"/>
  <c r="H2228" i="2"/>
  <c r="F2229" i="2"/>
  <c r="J2229" i="2"/>
  <c r="H2230" i="2"/>
  <c r="F2231" i="2"/>
  <c r="J2231" i="2"/>
  <c r="H2232" i="2"/>
  <c r="F2233" i="2"/>
  <c r="J2233" i="2"/>
  <c r="H2234" i="2"/>
  <c r="F2235" i="2"/>
  <c r="J2235" i="2"/>
  <c r="H2236" i="2"/>
  <c r="F2237" i="2"/>
  <c r="J2237" i="2"/>
  <c r="H2238" i="2"/>
  <c r="F2239" i="2"/>
  <c r="J2239" i="2"/>
  <c r="H2240" i="2"/>
  <c r="F2241" i="2"/>
  <c r="J2241" i="2"/>
  <c r="H2242" i="2"/>
  <c r="F2243" i="2"/>
  <c r="J2243" i="2"/>
  <c r="H2244" i="2"/>
  <c r="F2245" i="2"/>
  <c r="J2245" i="2"/>
  <c r="H2246" i="2"/>
  <c r="F2247" i="2"/>
  <c r="J2247" i="2"/>
  <c r="H2248" i="2"/>
  <c r="F2249" i="2"/>
  <c r="J2249" i="2"/>
  <c r="H2250" i="2"/>
  <c r="F2251" i="2"/>
  <c r="J2251" i="2"/>
  <c r="H2252" i="2"/>
  <c r="F2253" i="2"/>
  <c r="J2253" i="2"/>
  <c r="H2254" i="2"/>
  <c r="F2255" i="2"/>
  <c r="J2255" i="2"/>
  <c r="H2256" i="2"/>
  <c r="F2257" i="2"/>
  <c r="J2257" i="2"/>
  <c r="H2258" i="2"/>
  <c r="F2259" i="2"/>
  <c r="J2259" i="2"/>
  <c r="H2260" i="2"/>
  <c r="F2261" i="2"/>
  <c r="J2261" i="2"/>
  <c r="I2262" i="2"/>
  <c r="G2263" i="2"/>
  <c r="K2263" i="2"/>
  <c r="I2264" i="2"/>
  <c r="G2265" i="2"/>
  <c r="K2265" i="2"/>
  <c r="I2266" i="2"/>
  <c r="G2267" i="2"/>
  <c r="K2267" i="2"/>
  <c r="I2268" i="2"/>
  <c r="G2269" i="2"/>
  <c r="K2269" i="2"/>
  <c r="I2270" i="2"/>
  <c r="G2271" i="2"/>
  <c r="K2271" i="2"/>
  <c r="I2272" i="2"/>
  <c r="G2273" i="2"/>
  <c r="K2273" i="2"/>
  <c r="I2274" i="2"/>
  <c r="G2275" i="2"/>
  <c r="K2275" i="2"/>
  <c r="I2276" i="2"/>
  <c r="G2277" i="2"/>
  <c r="K2277" i="2"/>
  <c r="I2278" i="2"/>
  <c r="G2279" i="2"/>
  <c r="K2279" i="2"/>
  <c r="I2280" i="2"/>
  <c r="G2281" i="2"/>
  <c r="K2281" i="2"/>
  <c r="I2282" i="2"/>
  <c r="G2283" i="2"/>
  <c r="K2283" i="2"/>
  <c r="I2284" i="2"/>
  <c r="G2285" i="2"/>
  <c r="K2285" i="2"/>
  <c r="I2286" i="2"/>
  <c r="G2287" i="2"/>
  <c r="K2287" i="2"/>
  <c r="I2288" i="2"/>
  <c r="G2289" i="2"/>
  <c r="K2289" i="2"/>
  <c r="I2290" i="2"/>
  <c r="G2291" i="2"/>
  <c r="K2291" i="2"/>
  <c r="I2292" i="2"/>
  <c r="G2293" i="2"/>
  <c r="K2293" i="2"/>
  <c r="I2294" i="2"/>
  <c r="G2295" i="2"/>
  <c r="K2295" i="2"/>
  <c r="I2296" i="2"/>
  <c r="G2297" i="2"/>
  <c r="K2297" i="2"/>
  <c r="I2298" i="2"/>
  <c r="G2299" i="2"/>
  <c r="K2299" i="2"/>
  <c r="I2300" i="2"/>
  <c r="G2301" i="2"/>
  <c r="K2301" i="2"/>
  <c r="I2302" i="2"/>
  <c r="G2303" i="2"/>
  <c r="K2303" i="2"/>
  <c r="I2304" i="2"/>
  <c r="G2305" i="2"/>
  <c r="K2305" i="2"/>
  <c r="I2306" i="2"/>
  <c r="G2307" i="2"/>
  <c r="K2307" i="2"/>
  <c r="I2308" i="2"/>
  <c r="G2309" i="2"/>
  <c r="K2309" i="2"/>
  <c r="I2310" i="2"/>
  <c r="G2311" i="2"/>
  <c r="K2311" i="2"/>
  <c r="I2312" i="2"/>
  <c r="G2313" i="2"/>
  <c r="K2313" i="2"/>
  <c r="I2314" i="2"/>
  <c r="G2315" i="2"/>
  <c r="K2315" i="2"/>
  <c r="I2316" i="2"/>
  <c r="G2317" i="2"/>
  <c r="K2317" i="2"/>
  <c r="I2318" i="2"/>
  <c r="G2319" i="2"/>
  <c r="K2319" i="2"/>
  <c r="I2320" i="2"/>
  <c r="G2321" i="2"/>
  <c r="K2321" i="2"/>
  <c r="I2322" i="2"/>
  <c r="G2323" i="2"/>
  <c r="K2323" i="2"/>
  <c r="I2324" i="2"/>
  <c r="G2325" i="2"/>
  <c r="K2325" i="2"/>
  <c r="H2326" i="2"/>
  <c r="F2327" i="2"/>
  <c r="J2327" i="2"/>
  <c r="H2328" i="2"/>
  <c r="F2329" i="2"/>
  <c r="J2329" i="2"/>
  <c r="H2330" i="2"/>
  <c r="F2331" i="2"/>
  <c r="J2331" i="2"/>
  <c r="H2332" i="2"/>
  <c r="F2333" i="2"/>
  <c r="J2333" i="2"/>
  <c r="H2334" i="2"/>
  <c r="F2335" i="2"/>
  <c r="J2335" i="2"/>
  <c r="H2336" i="2"/>
  <c r="F2337" i="2"/>
  <c r="J2337" i="2"/>
  <c r="H2338" i="2"/>
  <c r="F2339" i="2"/>
  <c r="J2339" i="2"/>
  <c r="H2340" i="2"/>
  <c r="F2341" i="2"/>
  <c r="J2341" i="2"/>
  <c r="H2342" i="2"/>
  <c r="F2343" i="2"/>
  <c r="J2343" i="2"/>
  <c r="H2344" i="2"/>
  <c r="F2345" i="2"/>
  <c r="J2345" i="2"/>
  <c r="H2346" i="2"/>
  <c r="F2347" i="2"/>
  <c r="J2347" i="2"/>
  <c r="H2348" i="2"/>
  <c r="F2349" i="2"/>
  <c r="J2349" i="2"/>
  <c r="H2350" i="2"/>
  <c r="F2351" i="2"/>
  <c r="J2351" i="2"/>
  <c r="H2352" i="2"/>
  <c r="F2353" i="2"/>
  <c r="J2353" i="2"/>
  <c r="H2354" i="2"/>
  <c r="F2355" i="2"/>
  <c r="J2355" i="2"/>
  <c r="H2356" i="2"/>
  <c r="F2357" i="2"/>
  <c r="J2357" i="2"/>
  <c r="H2358" i="2"/>
  <c r="F2359" i="2"/>
  <c r="J2359" i="2"/>
  <c r="H2360" i="2"/>
  <c r="F2361" i="2"/>
  <c r="J2361" i="2"/>
  <c r="H2362" i="2"/>
  <c r="F2363" i="2"/>
  <c r="J2363" i="2"/>
  <c r="H2364" i="2"/>
  <c r="F2365" i="2"/>
  <c r="J2365" i="2"/>
  <c r="H2366" i="2"/>
  <c r="F2367" i="2"/>
  <c r="J2367" i="2"/>
  <c r="H2368" i="2"/>
  <c r="F2369" i="2"/>
  <c r="J2369" i="2"/>
  <c r="H2370" i="2"/>
  <c r="F2371" i="2"/>
  <c r="J2371" i="2"/>
  <c r="H2372" i="2"/>
  <c r="F2373" i="2"/>
  <c r="J2373" i="2"/>
  <c r="H2374" i="2"/>
  <c r="F2375" i="2"/>
  <c r="J2375" i="2"/>
  <c r="H2376" i="2"/>
  <c r="F2377" i="2"/>
  <c r="J2377" i="2"/>
  <c r="H2378" i="2"/>
  <c r="F2379" i="2"/>
  <c r="J2379" i="2"/>
  <c r="H2380" i="2"/>
  <c r="F2381" i="2"/>
  <c r="J2381" i="2"/>
  <c r="H2382" i="2"/>
  <c r="F2383" i="2"/>
  <c r="J2383" i="2"/>
  <c r="H2384" i="2"/>
  <c r="F2385" i="2"/>
  <c r="J2385" i="2"/>
  <c r="H2386" i="2"/>
  <c r="F2387" i="2"/>
  <c r="J2387" i="2"/>
  <c r="H2388" i="2"/>
  <c r="F2389" i="2"/>
  <c r="J2389" i="2"/>
  <c r="I2390" i="2"/>
  <c r="G2391" i="2"/>
  <c r="K2391" i="2"/>
  <c r="I2392" i="2"/>
  <c r="G2393" i="2"/>
  <c r="K2393" i="2"/>
  <c r="I2394" i="2"/>
  <c r="G2395" i="2"/>
  <c r="K2395" i="2"/>
  <c r="I2396" i="2"/>
  <c r="G2397" i="2"/>
  <c r="K2397" i="2"/>
  <c r="I2398" i="2"/>
  <c r="G2399" i="2"/>
  <c r="K2399" i="2"/>
  <c r="I2400" i="2"/>
  <c r="G2401" i="2"/>
  <c r="K2401" i="2"/>
  <c r="I2402" i="2"/>
  <c r="G2403" i="2"/>
  <c r="K2403" i="2"/>
  <c r="I2404" i="2"/>
  <c r="G2405" i="2"/>
  <c r="K2405" i="2"/>
  <c r="I2406" i="2"/>
  <c r="G2407" i="2"/>
  <c r="K2407" i="2"/>
  <c r="I2408" i="2"/>
  <c r="G2409" i="2"/>
  <c r="K2409" i="2"/>
  <c r="I2410" i="2"/>
  <c r="G2411" i="2"/>
  <c r="K2411" i="2"/>
  <c r="I2412" i="2"/>
  <c r="G2413" i="2"/>
  <c r="K2413" i="2"/>
  <c r="I2414" i="2"/>
  <c r="G2415" i="2"/>
  <c r="K2415" i="2"/>
  <c r="I2416" i="2"/>
  <c r="G2417" i="2"/>
  <c r="K2417" i="2"/>
  <c r="I2418" i="2"/>
  <c r="G2419" i="2"/>
  <c r="K2419" i="2"/>
  <c r="I2420" i="2"/>
  <c r="G2421" i="2"/>
  <c r="K2421" i="2"/>
  <c r="I2422" i="2"/>
  <c r="G2423" i="2"/>
  <c r="K2423" i="2"/>
  <c r="I2424" i="2"/>
  <c r="G2425" i="2"/>
  <c r="K2425" i="2"/>
  <c r="I2426" i="2"/>
  <c r="G2427" i="2"/>
  <c r="K2427" i="2"/>
  <c r="I2428" i="2"/>
  <c r="G2429" i="2"/>
  <c r="K2429" i="2"/>
  <c r="I2430" i="2"/>
  <c r="G2431" i="2"/>
  <c r="K2431" i="2"/>
  <c r="I2432" i="2"/>
  <c r="G2433" i="2"/>
  <c r="K2433" i="2"/>
  <c r="I2434" i="2"/>
  <c r="G2435" i="2"/>
  <c r="K2435" i="2"/>
  <c r="I2436" i="2"/>
  <c r="G2437" i="2"/>
  <c r="K2437" i="2"/>
  <c r="I2438" i="2"/>
  <c r="G2439" i="2"/>
  <c r="K2439" i="2"/>
  <c r="I2440" i="2"/>
  <c r="G2441" i="2"/>
  <c r="K2441" i="2"/>
  <c r="I2442" i="2"/>
  <c r="G2443" i="2"/>
  <c r="K2443" i="2"/>
  <c r="I2444" i="2"/>
  <c r="G2445" i="2"/>
  <c r="K2445" i="2"/>
  <c r="I2446" i="2"/>
  <c r="G2447" i="2"/>
  <c r="K2447" i="2"/>
  <c r="I2448" i="2"/>
  <c r="G2449" i="2"/>
  <c r="K2449" i="2"/>
  <c r="I2450" i="2"/>
  <c r="G2451" i="2"/>
  <c r="K2451" i="2"/>
  <c r="I2452" i="2"/>
  <c r="G2453" i="2"/>
  <c r="K2453" i="2"/>
  <c r="H2454" i="2"/>
  <c r="F2455" i="2"/>
  <c r="J2455" i="2"/>
  <c r="H2456" i="2"/>
  <c r="F2457" i="2"/>
  <c r="J2457" i="2"/>
  <c r="H2458" i="2"/>
  <c r="F2459" i="2"/>
  <c r="J2459" i="2"/>
  <c r="H2460" i="2"/>
  <c r="F2461" i="2"/>
  <c r="J2461" i="2"/>
  <c r="H2462" i="2"/>
  <c r="F2463" i="2"/>
  <c r="J2463" i="2"/>
  <c r="H2464" i="2"/>
  <c r="F2465" i="2"/>
  <c r="J2465" i="2"/>
  <c r="H2466" i="2"/>
  <c r="F2467" i="2"/>
  <c r="J2467" i="2"/>
  <c r="H2468" i="2"/>
  <c r="F2469" i="2"/>
  <c r="J2469" i="2"/>
  <c r="H2470" i="2"/>
  <c r="F2471" i="2"/>
  <c r="J2471" i="2"/>
  <c r="H2472" i="2"/>
  <c r="F2473" i="2"/>
  <c r="J2473" i="2"/>
  <c r="H2474" i="2"/>
  <c r="F2475" i="2"/>
  <c r="J2475" i="2"/>
  <c r="H2476" i="2"/>
  <c r="F2477" i="2"/>
  <c r="J2477" i="2"/>
  <c r="H2478" i="2"/>
  <c r="F2479" i="2"/>
  <c r="J2479" i="2"/>
  <c r="H2480" i="2"/>
  <c r="F2481" i="2"/>
  <c r="J2481" i="2"/>
  <c r="H2482" i="2"/>
  <c r="F2483" i="2"/>
  <c r="J2483" i="2"/>
  <c r="H2484" i="2"/>
  <c r="F2485" i="2"/>
  <c r="J2485" i="2"/>
  <c r="H2486" i="2"/>
  <c r="F2487" i="2"/>
  <c r="J2487" i="2"/>
  <c r="H2488" i="2"/>
  <c r="F2489" i="2"/>
  <c r="J2489" i="2"/>
  <c r="H2490" i="2"/>
  <c r="F2491" i="2"/>
  <c r="J2491" i="2"/>
  <c r="H2492" i="2"/>
  <c r="F2493" i="2"/>
  <c r="J2493" i="2"/>
  <c r="H2494" i="2"/>
  <c r="F2495" i="2"/>
  <c r="J2495" i="2"/>
  <c r="H2496" i="2"/>
  <c r="F2497" i="2"/>
  <c r="J2497" i="2"/>
  <c r="H2498" i="2"/>
  <c r="F2499" i="2"/>
  <c r="J2499" i="2"/>
  <c r="H2500" i="2"/>
  <c r="F2501" i="2"/>
  <c r="J2501" i="2"/>
  <c r="I2502" i="2"/>
  <c r="G2503" i="2"/>
  <c r="K2503" i="2"/>
  <c r="I2504" i="2"/>
  <c r="G2505" i="2"/>
  <c r="K2505" i="2"/>
  <c r="I2506" i="2"/>
  <c r="G2507" i="2"/>
  <c r="K2507" i="2"/>
  <c r="I2508" i="2"/>
  <c r="G2509" i="2"/>
  <c r="K2509" i="2"/>
  <c r="I2510" i="2"/>
  <c r="G2511" i="2"/>
  <c r="K2511" i="2"/>
  <c r="I2512" i="2"/>
  <c r="G2513" i="2"/>
  <c r="K2513" i="2"/>
  <c r="K2514" i="2"/>
  <c r="I2515" i="2"/>
  <c r="K2516" i="2"/>
  <c r="G2518" i="2"/>
  <c r="I2519" i="2"/>
  <c r="K2520" i="2"/>
  <c r="G2522" i="2"/>
  <c r="K2523" i="2"/>
  <c r="G2525" i="2"/>
  <c r="I2526" i="2"/>
  <c r="K2527" i="2"/>
  <c r="G2529" i="2"/>
  <c r="I2530" i="2"/>
  <c r="G2532" i="2"/>
  <c r="I2533" i="2"/>
  <c r="K2534" i="2"/>
  <c r="G2536" i="2"/>
  <c r="K2537" i="2"/>
  <c r="G2539" i="2"/>
  <c r="I2540" i="2"/>
  <c r="G2542" i="2"/>
  <c r="I2543" i="2"/>
  <c r="K2544" i="2"/>
  <c r="I2546" i="2"/>
  <c r="K2547" i="2"/>
  <c r="G2549" i="2"/>
  <c r="I2550" i="2"/>
  <c r="G2552" i="2"/>
  <c r="I2553" i="2"/>
  <c r="K2554" i="2"/>
  <c r="G2556" i="2"/>
  <c r="K2557" i="2"/>
  <c r="G2559" i="2"/>
  <c r="I2560" i="2"/>
  <c r="K2561" i="2"/>
  <c r="I2563" i="2"/>
  <c r="K2564" i="2"/>
  <c r="G2566" i="2"/>
  <c r="I2567" i="2"/>
  <c r="G2569" i="2"/>
  <c r="I2570" i="2"/>
  <c r="K2571" i="2"/>
  <c r="I2573" i="2"/>
  <c r="K2574" i="2"/>
  <c r="G2576" i="2"/>
  <c r="I2577" i="2"/>
  <c r="G2579" i="2"/>
  <c r="I2580" i="2"/>
  <c r="K2581" i="2"/>
  <c r="F2583" i="2"/>
  <c r="H2584" i="2"/>
  <c r="F2586" i="2"/>
  <c r="H2587" i="2"/>
  <c r="J2588" i="2"/>
  <c r="F2590" i="2"/>
  <c r="J2591" i="2"/>
  <c r="F2593" i="2"/>
  <c r="H2594" i="2"/>
  <c r="J2595" i="2"/>
  <c r="H2597" i="2"/>
  <c r="J2598" i="2"/>
  <c r="F2600" i="2"/>
  <c r="H2601" i="2"/>
  <c r="J2602" i="2"/>
  <c r="H2604" i="2"/>
  <c r="J2605" i="2"/>
  <c r="F2607" i="2"/>
  <c r="H2608" i="2"/>
  <c r="F2610" i="2"/>
  <c r="H2611" i="2"/>
  <c r="J2612" i="2"/>
  <c r="H2614" i="2"/>
  <c r="J2615" i="2"/>
  <c r="F2617" i="2"/>
  <c r="H2618" i="2"/>
  <c r="F2620" i="2"/>
  <c r="H2621" i="2"/>
  <c r="J2622" i="2"/>
  <c r="F2624" i="2"/>
  <c r="H2625" i="2"/>
  <c r="F2627" i="2"/>
  <c r="H2628" i="2"/>
  <c r="J2629" i="2"/>
  <c r="F2631" i="2"/>
  <c r="H2632" i="2"/>
  <c r="F2634" i="2"/>
  <c r="H2635" i="2"/>
  <c r="J2636" i="2"/>
  <c r="F2638" i="2"/>
  <c r="H2639" i="2"/>
  <c r="J2640" i="2"/>
  <c r="H2642" i="2"/>
  <c r="J2643" i="2"/>
  <c r="F2645" i="2"/>
  <c r="J2646" i="2"/>
  <c r="F2648" i="2"/>
  <c r="H2649" i="2"/>
  <c r="J2650" i="2"/>
  <c r="F2652" i="2"/>
  <c r="J2653" i="2"/>
  <c r="F2655" i="2"/>
  <c r="H2656" i="2"/>
  <c r="F2658" i="2"/>
  <c r="H2659" i="2"/>
  <c r="J2660" i="2"/>
  <c r="F2662" i="2"/>
  <c r="H2663" i="2"/>
  <c r="F2665" i="2"/>
  <c r="H2666" i="2"/>
  <c r="J2667" i="2"/>
  <c r="F2669" i="2"/>
  <c r="J2670" i="2"/>
  <c r="G2672" i="2"/>
  <c r="I2673" i="2"/>
  <c r="G2675" i="2"/>
  <c r="I2676" i="2"/>
  <c r="K2677" i="2"/>
  <c r="G2679" i="2"/>
  <c r="I2680" i="2"/>
  <c r="G2682" i="2"/>
  <c r="I2683" i="2"/>
  <c r="K2684" i="2"/>
  <c r="G2686" i="2"/>
  <c r="I2687" i="2"/>
  <c r="G2689" i="2"/>
  <c r="I2690" i="2"/>
  <c r="K2691" i="2"/>
  <c r="G2693" i="2"/>
  <c r="K2694" i="2"/>
  <c r="G2696" i="2"/>
  <c r="I2697" i="2"/>
  <c r="K2698" i="2"/>
  <c r="G2700" i="2"/>
  <c r="I2701" i="2"/>
  <c r="G2703" i="2"/>
  <c r="I2704" i="2"/>
  <c r="K2705" i="2"/>
  <c r="G2707" i="2"/>
  <c r="K2708" i="2"/>
  <c r="G2710" i="2"/>
  <c r="I2711" i="2"/>
  <c r="G2713" i="2"/>
  <c r="I2714" i="2"/>
  <c r="K2715" i="2"/>
  <c r="G2717" i="2"/>
  <c r="I2718" i="2"/>
  <c r="F2720" i="2"/>
  <c r="H2721" i="2"/>
  <c r="J2722" i="2"/>
  <c r="F2724" i="2"/>
  <c r="J2725" i="2"/>
  <c r="F2727" i="2"/>
  <c r="H2728" i="2"/>
  <c r="J2729" i="2"/>
  <c r="F2731" i="2"/>
  <c r="J2732" i="2"/>
  <c r="F2734" i="2"/>
  <c r="H2735" i="2"/>
  <c r="J2736" i="2"/>
  <c r="H2738" i="2"/>
  <c r="J2739" i="2"/>
  <c r="F2741" i="2"/>
  <c r="H2742" i="2"/>
  <c r="F2744" i="2"/>
  <c r="H2745" i="2"/>
  <c r="J2746" i="2"/>
  <c r="F2748" i="2"/>
  <c r="J2749" i="2"/>
  <c r="F2751" i="2"/>
  <c r="H2752" i="2"/>
  <c r="F2754" i="2"/>
  <c r="H2755" i="2"/>
  <c r="J2756" i="2"/>
  <c r="F2758" i="2"/>
  <c r="J2759" i="2"/>
  <c r="F2761" i="2"/>
  <c r="H2762" i="2"/>
  <c r="J2763" i="2"/>
  <c r="H2765" i="2"/>
  <c r="J2766" i="2"/>
  <c r="F2768" i="2"/>
  <c r="H2769" i="2"/>
  <c r="F2771" i="2"/>
  <c r="H2772" i="2"/>
  <c r="J2773" i="2"/>
  <c r="H2775" i="2"/>
  <c r="J2776" i="2"/>
  <c r="F2778" i="2"/>
  <c r="H2779" i="2"/>
  <c r="F2781" i="2"/>
  <c r="H2782" i="2"/>
  <c r="J2783" i="2"/>
  <c r="F2785" i="2"/>
  <c r="H2786" i="2"/>
  <c r="F2788" i="2"/>
  <c r="H2789" i="2"/>
  <c r="F2791" i="2"/>
  <c r="J2792" i="2"/>
  <c r="K11" i="21"/>
  <c r="R3042" i="20"/>
  <c r="J7" i="21"/>
  <c r="K5" i="21" s="1"/>
  <c r="J3" i="2"/>
  <c r="K4" i="2"/>
  <c r="F6" i="2"/>
  <c r="H7" i="2"/>
  <c r="G9" i="2"/>
  <c r="I10" i="2"/>
  <c r="J11" i="2"/>
  <c r="I13" i="2"/>
  <c r="K14" i="2"/>
  <c r="F16" i="2"/>
  <c r="G17" i="2"/>
  <c r="I18" i="2"/>
  <c r="J19" i="2"/>
  <c r="I21" i="2"/>
  <c r="K22" i="2"/>
  <c r="F24" i="2"/>
  <c r="G25" i="2"/>
  <c r="I26" i="2"/>
  <c r="J27" i="2"/>
  <c r="K28" i="2"/>
  <c r="F30" i="2"/>
  <c r="H31" i="2"/>
  <c r="G33" i="2"/>
  <c r="H34" i="2"/>
  <c r="J35" i="2"/>
  <c r="K36" i="2"/>
  <c r="F38" i="2"/>
  <c r="G39" i="2"/>
  <c r="I40" i="2"/>
  <c r="J41" i="2"/>
  <c r="I43" i="2"/>
  <c r="K44" i="2"/>
  <c r="F46" i="2"/>
  <c r="G47" i="2"/>
  <c r="I48" i="2"/>
  <c r="J49" i="2"/>
  <c r="I51" i="2"/>
  <c r="K52" i="2"/>
  <c r="H3" i="2"/>
  <c r="G5" i="2"/>
  <c r="H6" i="2"/>
  <c r="J7" i="2"/>
  <c r="K8" i="2"/>
  <c r="G10" i="2"/>
  <c r="H11" i="2"/>
  <c r="J12" i="2"/>
  <c r="K13" i="2"/>
  <c r="F15" i="2"/>
  <c r="H16" i="2"/>
  <c r="G18" i="2"/>
  <c r="H19" i="2"/>
  <c r="J20" i="2"/>
  <c r="K21" i="2"/>
  <c r="F23" i="2"/>
  <c r="H24" i="2"/>
  <c r="G26" i="2"/>
  <c r="H27" i="2"/>
  <c r="G29" i="2"/>
  <c r="H30" i="2"/>
  <c r="J31" i="2"/>
  <c r="K32" i="2"/>
  <c r="F34" i="2"/>
  <c r="H35" i="2"/>
  <c r="F37" i="2"/>
  <c r="H38" i="2"/>
  <c r="G40" i="2"/>
  <c r="H41" i="2"/>
  <c r="J42" i="2"/>
  <c r="K43" i="2"/>
  <c r="F45" i="2"/>
  <c r="H46" i="2"/>
  <c r="G48" i="2"/>
  <c r="H49" i="2"/>
  <c r="J50" i="2"/>
  <c r="K51" i="2"/>
  <c r="F53" i="2"/>
  <c r="H54" i="2"/>
  <c r="H4" i="2"/>
  <c r="K6" i="2"/>
  <c r="H9" i="2"/>
  <c r="K11" i="2"/>
  <c r="H14" i="2"/>
  <c r="K16" i="2"/>
  <c r="G19" i="2"/>
  <c r="J21" i="2"/>
  <c r="H25" i="2"/>
  <c r="K27" i="2"/>
  <c r="G30" i="2"/>
  <c r="J32" i="2"/>
  <c r="H36" i="2"/>
  <c r="K38" i="2"/>
  <c r="G41" i="2"/>
  <c r="J43" i="2"/>
  <c r="H47" i="2"/>
  <c r="K49" i="2"/>
  <c r="H52" i="2"/>
  <c r="I54" i="2"/>
  <c r="K55" i="2"/>
  <c r="F57" i="2"/>
  <c r="H58" i="2"/>
  <c r="G60" i="2"/>
  <c r="H61" i="2"/>
  <c r="J62" i="2"/>
  <c r="K63" i="2"/>
  <c r="F65" i="2"/>
  <c r="H66" i="2"/>
  <c r="G68" i="2"/>
  <c r="H69" i="2"/>
  <c r="J70" i="2"/>
  <c r="K71" i="2"/>
  <c r="F73" i="2"/>
  <c r="H74" i="2"/>
  <c r="G76" i="2"/>
  <c r="H77" i="2"/>
  <c r="J78" i="2"/>
  <c r="K79" i="2"/>
  <c r="K3" i="2"/>
  <c r="G6" i="2"/>
  <c r="J8" i="2"/>
  <c r="G11" i="2"/>
  <c r="J13" i="2"/>
  <c r="H17" i="2"/>
  <c r="K19" i="2"/>
  <c r="H22" i="2"/>
  <c r="K24" i="2"/>
  <c r="G27" i="2"/>
  <c r="J29" i="2"/>
  <c r="F32" i="2"/>
  <c r="I34" i="2"/>
  <c r="G38" i="2"/>
  <c r="J40" i="2"/>
  <c r="F43" i="2"/>
  <c r="I45" i="2"/>
  <c r="F48" i="2"/>
  <c r="I50" i="2"/>
  <c r="F54" i="2"/>
  <c r="I55" i="2"/>
  <c r="K56" i="2"/>
  <c r="F58" i="2"/>
  <c r="G59" i="2"/>
  <c r="I60" i="2"/>
  <c r="J61" i="2"/>
  <c r="I63" i="2"/>
  <c r="K64" i="2"/>
  <c r="F66" i="2"/>
  <c r="G67" i="2"/>
  <c r="I68" i="2"/>
  <c r="J69" i="2"/>
  <c r="I71" i="2"/>
  <c r="K72" i="2"/>
  <c r="F74" i="2"/>
  <c r="G75" i="2"/>
  <c r="I76" i="2"/>
  <c r="J77" i="2"/>
  <c r="I79" i="2"/>
  <c r="K80" i="2"/>
  <c r="F82" i="2"/>
  <c r="G83" i="2"/>
  <c r="I84" i="2"/>
  <c r="J85" i="2"/>
  <c r="I87" i="2"/>
  <c r="K88" i="2"/>
  <c r="I3" i="2"/>
  <c r="H13" i="2"/>
  <c r="H18" i="2"/>
  <c r="G23" i="2"/>
  <c r="F28" i="2"/>
  <c r="F33" i="2"/>
  <c r="K37" i="2"/>
  <c r="K42" i="2"/>
  <c r="J47" i="2"/>
  <c r="J52" i="2"/>
  <c r="F56" i="2"/>
  <c r="I58" i="2"/>
  <c r="G62" i="2"/>
  <c r="J64" i="2"/>
  <c r="F67" i="2"/>
  <c r="I69" i="2"/>
  <c r="F72" i="2"/>
  <c r="I74" i="2"/>
  <c r="G78" i="2"/>
  <c r="J80" i="2"/>
  <c r="H82" i="2"/>
  <c r="F84" i="2"/>
  <c r="I85" i="2"/>
  <c r="G87" i="2"/>
  <c r="J89" i="2"/>
  <c r="I91" i="2"/>
  <c r="K92" i="2"/>
  <c r="F94" i="2"/>
  <c r="G95" i="2"/>
  <c r="I96" i="2"/>
  <c r="J97" i="2"/>
  <c r="I99" i="2"/>
  <c r="K100" i="2"/>
  <c r="F102" i="2"/>
  <c r="G103" i="2"/>
  <c r="I104" i="2"/>
  <c r="J105" i="2"/>
  <c r="I107" i="2"/>
  <c r="K108" i="2"/>
  <c r="F110" i="2"/>
  <c r="G111" i="2"/>
  <c r="I112" i="2"/>
  <c r="J113" i="2"/>
  <c r="I115" i="2"/>
  <c r="K116" i="2"/>
  <c r="I118" i="2"/>
  <c r="J119" i="2"/>
  <c r="I121" i="2"/>
  <c r="K122" i="2"/>
  <c r="F124" i="2"/>
  <c r="G125" i="2"/>
  <c r="I126" i="2"/>
  <c r="J127" i="2"/>
  <c r="I129" i="2"/>
  <c r="K130" i="2"/>
  <c r="F132" i="2"/>
  <c r="G133" i="2"/>
  <c r="I134" i="2"/>
  <c r="J135" i="2"/>
  <c r="I137" i="2"/>
  <c r="K138" i="2"/>
  <c r="F140" i="2"/>
  <c r="G141" i="2"/>
  <c r="I142" i="2"/>
  <c r="J143" i="2"/>
  <c r="I145" i="2"/>
  <c r="K146" i="2"/>
  <c r="F148" i="2"/>
  <c r="G149" i="2"/>
  <c r="G7" i="2"/>
  <c r="G12" i="2"/>
  <c r="F17" i="2"/>
  <c r="F22" i="2"/>
  <c r="H29" i="2"/>
  <c r="G34" i="2"/>
  <c r="F39" i="2"/>
  <c r="F44" i="2"/>
  <c r="H51" i="2"/>
  <c r="H55" i="2"/>
  <c r="K57" i="2"/>
  <c r="H60" i="2"/>
  <c r="K62" i="2"/>
  <c r="G65" i="2"/>
  <c r="J67" i="2"/>
  <c r="H71" i="2"/>
  <c r="K73" i="2"/>
  <c r="H76" i="2"/>
  <c r="K78" i="2"/>
  <c r="F81" i="2"/>
  <c r="K82" i="2"/>
  <c r="H84" i="2"/>
  <c r="F86" i="2"/>
  <c r="J87" i="2"/>
  <c r="G89" i="2"/>
  <c r="J90" i="2"/>
  <c r="K91" i="2"/>
  <c r="F93" i="2"/>
  <c r="H94" i="2"/>
  <c r="G96" i="2"/>
  <c r="H97" i="2"/>
  <c r="J98" i="2"/>
  <c r="K99" i="2"/>
  <c r="F101" i="2"/>
  <c r="H102" i="2"/>
  <c r="G104" i="2"/>
  <c r="H105" i="2"/>
  <c r="J106" i="2"/>
  <c r="K107" i="2"/>
  <c r="F109" i="2"/>
  <c r="H110" i="2"/>
  <c r="G112" i="2"/>
  <c r="H113" i="2"/>
  <c r="J114" i="2"/>
  <c r="K115" i="2"/>
  <c r="F117" i="2"/>
  <c r="G118" i="2"/>
  <c r="H119" i="2"/>
  <c r="J120" i="2"/>
  <c r="K121" i="2"/>
  <c r="F123" i="2"/>
  <c r="H124" i="2"/>
  <c r="G126" i="2"/>
  <c r="H127" i="2"/>
  <c r="J128" i="2"/>
  <c r="K129" i="2"/>
  <c r="F131" i="2"/>
  <c r="H132" i="2"/>
  <c r="G134" i="2"/>
  <c r="H135" i="2"/>
  <c r="J136" i="2"/>
  <c r="K137" i="2"/>
  <c r="F139" i="2"/>
  <c r="H140" i="2"/>
  <c r="G142" i="2"/>
  <c r="H143" i="2"/>
  <c r="J144" i="2"/>
  <c r="K145" i="2"/>
  <c r="F147" i="2"/>
  <c r="H148" i="2"/>
  <c r="G150" i="2"/>
  <c r="H151" i="2"/>
  <c r="J152" i="2"/>
  <c r="K153" i="2"/>
  <c r="F155" i="2"/>
  <c r="H156" i="2"/>
  <c r="G158" i="2"/>
  <c r="H159" i="2"/>
  <c r="J160" i="2"/>
  <c r="F4" i="2"/>
  <c r="F14" i="2"/>
  <c r="J28" i="2"/>
  <c r="I38" i="2"/>
  <c r="H48" i="2"/>
  <c r="H56" i="2"/>
  <c r="G61" i="2"/>
  <c r="G66" i="2"/>
  <c r="F71" i="2"/>
  <c r="F76" i="2"/>
  <c r="I82" i="2"/>
  <c r="K85" i="2"/>
  <c r="F89" i="2"/>
  <c r="J91" i="2"/>
  <c r="H95" i="2"/>
  <c r="K97" i="2"/>
  <c r="H100" i="2"/>
  <c r="K102" i="2"/>
  <c r="G105" i="2"/>
  <c r="J107" i="2"/>
  <c r="H111" i="2"/>
  <c r="K113" i="2"/>
  <c r="H116" i="2"/>
  <c r="J118" i="2"/>
  <c r="F121" i="2"/>
  <c r="I123" i="2"/>
  <c r="F126" i="2"/>
  <c r="I128" i="2"/>
  <c r="G132" i="2"/>
  <c r="J134" i="2"/>
  <c r="F137" i="2"/>
  <c r="I139" i="2"/>
  <c r="F142" i="2"/>
  <c r="I144" i="2"/>
  <c r="G148" i="2"/>
  <c r="H5" i="2"/>
  <c r="G15" i="2"/>
  <c r="F25" i="2"/>
  <c r="J39" i="2"/>
  <c r="I49" i="2"/>
  <c r="H59" i="2"/>
  <c r="H64" i="2"/>
  <c r="G69" i="2"/>
  <c r="G74" i="2"/>
  <c r="F79" i="2"/>
  <c r="J84" i="2"/>
  <c r="K87" i="2"/>
  <c r="K90" i="2"/>
  <c r="G93" i="2"/>
  <c r="J95" i="2"/>
  <c r="H99" i="2"/>
  <c r="K101" i="2"/>
  <c r="H104" i="2"/>
  <c r="K106" i="2"/>
  <c r="G109" i="2"/>
  <c r="J111" i="2"/>
  <c r="H115" i="2"/>
  <c r="K117" i="2"/>
  <c r="H121" i="2"/>
  <c r="K123" i="2"/>
  <c r="H126" i="2"/>
  <c r="K128" i="2"/>
  <c r="G131" i="2"/>
  <c r="J133" i="2"/>
  <c r="H137" i="2"/>
  <c r="K139" i="2"/>
  <c r="H142" i="2"/>
  <c r="K144" i="2"/>
  <c r="G147" i="2"/>
  <c r="J149" i="2"/>
  <c r="G151" i="2"/>
  <c r="J153" i="2"/>
  <c r="H155" i="2"/>
  <c r="F157" i="2"/>
  <c r="I16" i="2"/>
  <c r="F36" i="2"/>
  <c r="F55" i="2"/>
  <c r="K69" i="2"/>
  <c r="J79" i="2"/>
  <c r="J86" i="2"/>
  <c r="H92" i="2"/>
  <c r="G97" i="2"/>
  <c r="G102" i="2"/>
  <c r="F107" i="2"/>
  <c r="F112" i="2"/>
  <c r="G119" i="2"/>
  <c r="G124" i="2"/>
  <c r="F129" i="2"/>
  <c r="F134" i="2"/>
  <c r="H141" i="2"/>
  <c r="H146" i="2"/>
  <c r="H150" i="2"/>
  <c r="I152" i="2"/>
  <c r="K154" i="2"/>
  <c r="K156" i="2"/>
  <c r="J158" i="2"/>
  <c r="H160" i="2"/>
  <c r="K161" i="2"/>
  <c r="F163" i="2"/>
  <c r="H164" i="2"/>
  <c r="G166" i="2"/>
  <c r="H167" i="2"/>
  <c r="J168" i="2"/>
  <c r="K169" i="2"/>
  <c r="F171" i="2"/>
  <c r="H172" i="2"/>
  <c r="G174" i="2"/>
  <c r="H175" i="2"/>
  <c r="J176" i="2"/>
  <c r="K177" i="2"/>
  <c r="F179" i="2"/>
  <c r="H180" i="2"/>
  <c r="G182" i="2"/>
  <c r="H183" i="2"/>
  <c r="J184" i="2"/>
  <c r="K185" i="2"/>
  <c r="F187" i="2"/>
  <c r="H188" i="2"/>
  <c r="G190" i="2"/>
  <c r="I191" i="2"/>
  <c r="J192" i="2"/>
  <c r="I194" i="2"/>
  <c r="K195" i="2"/>
  <c r="F197" i="2"/>
  <c r="G198" i="2"/>
  <c r="I199" i="2"/>
  <c r="J200" i="2"/>
  <c r="I202" i="2"/>
  <c r="K203" i="2"/>
  <c r="F205" i="2"/>
  <c r="G206" i="2"/>
  <c r="I207" i="2"/>
  <c r="J208" i="2"/>
  <c r="I210" i="2"/>
  <c r="K211" i="2"/>
  <c r="F213" i="2"/>
  <c r="G214" i="2"/>
  <c r="I215" i="2"/>
  <c r="J216" i="2"/>
  <c r="I218" i="2"/>
  <c r="K219" i="2"/>
  <c r="F221" i="2"/>
  <c r="G222" i="2"/>
  <c r="I223" i="2"/>
  <c r="J224" i="2"/>
  <c r="I226" i="2"/>
  <c r="K227" i="2"/>
  <c r="F229" i="2"/>
  <c r="K7" i="2"/>
  <c r="I27" i="2"/>
  <c r="F47" i="2"/>
  <c r="J60" i="2"/>
  <c r="I70" i="2"/>
  <c r="H80" i="2"/>
  <c r="F87" i="2"/>
  <c r="J92" i="2"/>
  <c r="I97" i="2"/>
  <c r="I102" i="2"/>
  <c r="K109" i="2"/>
  <c r="K114" i="2"/>
  <c r="I119" i="2"/>
  <c r="I124" i="2"/>
  <c r="K131" i="2"/>
  <c r="K136" i="2"/>
  <c r="J141" i="2"/>
  <c r="J146" i="2"/>
  <c r="J150" i="2"/>
  <c r="K152" i="2"/>
  <c r="F156" i="2"/>
  <c r="F158" i="2"/>
  <c r="I160" i="2"/>
  <c r="F162" i="2"/>
  <c r="G163" i="2"/>
  <c r="I164" i="2"/>
  <c r="J165" i="2"/>
  <c r="I167" i="2"/>
  <c r="K168" i="2"/>
  <c r="F170" i="2"/>
  <c r="G171" i="2"/>
  <c r="I172" i="2"/>
  <c r="J173" i="2"/>
  <c r="I175" i="2"/>
  <c r="K176" i="2"/>
  <c r="F178" i="2"/>
  <c r="G179" i="2"/>
  <c r="I180" i="2"/>
  <c r="J181" i="2"/>
  <c r="I183" i="2"/>
  <c r="K184" i="2"/>
  <c r="F186" i="2"/>
  <c r="G187" i="2"/>
  <c r="I188" i="2"/>
  <c r="J189" i="2"/>
  <c r="F191" i="2"/>
  <c r="G192" i="2"/>
  <c r="I193" i="2"/>
  <c r="J194" i="2"/>
  <c r="I196" i="2"/>
  <c r="K197" i="2"/>
  <c r="F199" i="2"/>
  <c r="G200" i="2"/>
  <c r="I201" i="2"/>
  <c r="J202" i="2"/>
  <c r="I204" i="2"/>
  <c r="K205" i="2"/>
  <c r="F207" i="2"/>
  <c r="G208" i="2"/>
  <c r="I209" i="2"/>
  <c r="J210" i="2"/>
  <c r="I212" i="2"/>
  <c r="K213" i="2"/>
  <c r="F215" i="2"/>
  <c r="G216" i="2"/>
  <c r="I217" i="2"/>
  <c r="J218" i="2"/>
  <c r="I220" i="2"/>
  <c r="K221" i="2"/>
  <c r="F223" i="2"/>
  <c r="G224" i="2"/>
  <c r="I225" i="2"/>
  <c r="J226" i="2"/>
  <c r="I228" i="2"/>
  <c r="K229" i="2"/>
  <c r="F231" i="2"/>
  <c r="G232" i="2"/>
  <c r="I233" i="2"/>
  <c r="J234" i="2"/>
  <c r="I11" i="2"/>
  <c r="K50" i="2"/>
  <c r="H72" i="2"/>
  <c r="H88" i="2"/>
  <c r="I98" i="2"/>
  <c r="H108" i="2"/>
  <c r="F118" i="2"/>
  <c r="K132" i="2"/>
  <c r="J142" i="2"/>
  <c r="F153" i="2"/>
  <c r="H157" i="2"/>
  <c r="K160" i="2"/>
  <c r="H163" i="2"/>
  <c r="K165" i="2"/>
  <c r="H168" i="2"/>
  <c r="K170" i="2"/>
  <c r="G173" i="2"/>
  <c r="J175" i="2"/>
  <c r="H179" i="2"/>
  <c r="K181" i="2"/>
  <c r="H184" i="2"/>
  <c r="K186" i="2"/>
  <c r="G189" i="2"/>
  <c r="K191" i="2"/>
  <c r="G194" i="2"/>
  <c r="J196" i="2"/>
  <c r="H200" i="2"/>
  <c r="K202" i="2"/>
  <c r="H205" i="2"/>
  <c r="K207" i="2"/>
  <c r="G210" i="2"/>
  <c r="J212" i="2"/>
  <c r="H216" i="2"/>
  <c r="K218" i="2"/>
  <c r="H221" i="2"/>
  <c r="K223" i="2"/>
  <c r="G226" i="2"/>
  <c r="J228" i="2"/>
  <c r="I231" i="2"/>
  <c r="G233" i="2"/>
  <c r="J235" i="2"/>
  <c r="K236" i="2"/>
  <c r="F238" i="2"/>
  <c r="H239" i="2"/>
  <c r="G241" i="2"/>
  <c r="H242" i="2"/>
  <c r="J243" i="2"/>
  <c r="K244" i="2"/>
  <c r="F246" i="2"/>
  <c r="H247" i="2"/>
  <c r="G249" i="2"/>
  <c r="H250" i="2"/>
  <c r="J251" i="2"/>
  <c r="K252" i="2"/>
  <c r="F254" i="2"/>
  <c r="H255" i="2"/>
  <c r="G257" i="2"/>
  <c r="H258" i="2"/>
  <c r="J259" i="2"/>
  <c r="K260" i="2"/>
  <c r="F262" i="2"/>
  <c r="G263" i="2"/>
  <c r="I264" i="2"/>
  <c r="J265" i="2"/>
  <c r="I267" i="2"/>
  <c r="K268" i="2"/>
  <c r="F270" i="2"/>
  <c r="G271" i="2"/>
  <c r="I272" i="2"/>
  <c r="J273" i="2"/>
  <c r="I275" i="2"/>
  <c r="K276" i="2"/>
  <c r="F278" i="2"/>
  <c r="G279" i="2"/>
  <c r="I280" i="2"/>
  <c r="J281" i="2"/>
  <c r="I283" i="2"/>
  <c r="K284" i="2"/>
  <c r="F286" i="2"/>
  <c r="I57" i="2"/>
  <c r="G77" i="2"/>
  <c r="F96" i="2"/>
  <c r="K110" i="2"/>
  <c r="I120" i="2"/>
  <c r="H130" i="2"/>
  <c r="G140" i="2"/>
  <c r="K149" i="2"/>
  <c r="G154" i="2"/>
  <c r="H158" i="2"/>
  <c r="I161" i="2"/>
  <c r="F164" i="2"/>
  <c r="I166" i="2"/>
  <c r="G170" i="2"/>
  <c r="J172" i="2"/>
  <c r="F175" i="2"/>
  <c r="I177" i="2"/>
  <c r="F180" i="2"/>
  <c r="I182" i="2"/>
  <c r="G186" i="2"/>
  <c r="J188" i="2"/>
  <c r="G191" i="2"/>
  <c r="J193" i="2"/>
  <c r="F196" i="2"/>
  <c r="I198" i="2"/>
  <c r="F201" i="2"/>
  <c r="I203" i="2"/>
  <c r="G207" i="2"/>
  <c r="J209" i="2"/>
  <c r="F212" i="2"/>
  <c r="I214" i="2"/>
  <c r="F217" i="2"/>
  <c r="I219" i="2"/>
  <c r="G223" i="2"/>
  <c r="J225" i="2"/>
  <c r="F228" i="2"/>
  <c r="G230" i="2"/>
  <c r="J232" i="2"/>
  <c r="H234" i="2"/>
  <c r="I236" i="2"/>
  <c r="K237" i="2"/>
  <c r="F239" i="2"/>
  <c r="G240" i="2"/>
  <c r="I241" i="2"/>
  <c r="J242" i="2"/>
  <c r="I244" i="2"/>
  <c r="K245" i="2"/>
  <c r="F247" i="2"/>
  <c r="G248" i="2"/>
  <c r="I249" i="2"/>
  <c r="J250" i="2"/>
  <c r="I252" i="2"/>
  <c r="K253" i="2"/>
  <c r="F255" i="2"/>
  <c r="G256" i="2"/>
  <c r="I257" i="2"/>
  <c r="J258" i="2"/>
  <c r="I260" i="2"/>
  <c r="J261" i="2"/>
  <c r="I263" i="2"/>
  <c r="K264" i="2"/>
  <c r="F266" i="2"/>
  <c r="G267" i="2"/>
  <c r="I268" i="2"/>
  <c r="J269" i="2"/>
  <c r="I271" i="2"/>
  <c r="K272" i="2"/>
  <c r="F274" i="2"/>
  <c r="G275" i="2"/>
  <c r="I276" i="2"/>
  <c r="J277" i="2"/>
  <c r="I279" i="2"/>
  <c r="K280" i="2"/>
  <c r="F282" i="2"/>
  <c r="G283" i="2"/>
  <c r="I284" i="2"/>
  <c r="J285" i="2"/>
  <c r="I287" i="2"/>
  <c r="K288" i="2"/>
  <c r="F52" i="2"/>
  <c r="K98" i="2"/>
  <c r="H118" i="2"/>
  <c r="F138" i="2"/>
  <c r="H153" i="2"/>
  <c r="I163" i="2"/>
  <c r="I168" i="2"/>
  <c r="K175" i="2"/>
  <c r="K180" i="2"/>
  <c r="J185" i="2"/>
  <c r="J190" i="2"/>
  <c r="J195" i="2"/>
  <c r="I200" i="2"/>
  <c r="I205" i="2"/>
  <c r="K212" i="2"/>
  <c r="K217" i="2"/>
  <c r="J222" i="2"/>
  <c r="J227" i="2"/>
  <c r="K231" i="2"/>
  <c r="F235" i="2"/>
  <c r="J237" i="2"/>
  <c r="F240" i="2"/>
  <c r="I242" i="2"/>
  <c r="F245" i="2"/>
  <c r="I247" i="2"/>
  <c r="G251" i="2"/>
  <c r="J253" i="2"/>
  <c r="F256" i="2"/>
  <c r="I258" i="2"/>
  <c r="G262" i="2"/>
  <c r="J264" i="2"/>
  <c r="F267" i="2"/>
  <c r="I269" i="2"/>
  <c r="F272" i="2"/>
  <c r="I274" i="2"/>
  <c r="G278" i="2"/>
  <c r="J280" i="2"/>
  <c r="F283" i="2"/>
  <c r="I285" i="2"/>
  <c r="H287" i="2"/>
  <c r="F289" i="2"/>
  <c r="H290" i="2"/>
  <c r="G292" i="2"/>
  <c r="H293" i="2"/>
  <c r="J294" i="2"/>
  <c r="K295" i="2"/>
  <c r="F297" i="2"/>
  <c r="H298" i="2"/>
  <c r="G300" i="2"/>
  <c r="H301" i="2"/>
  <c r="J302" i="2"/>
  <c r="K303" i="2"/>
  <c r="F305" i="2"/>
  <c r="H306" i="2"/>
  <c r="G308" i="2"/>
  <c r="H309" i="2"/>
  <c r="J310" i="2"/>
  <c r="K311" i="2"/>
  <c r="F313" i="2"/>
  <c r="H314" i="2"/>
  <c r="G316" i="2"/>
  <c r="H317" i="2"/>
  <c r="J318" i="2"/>
  <c r="F63" i="2"/>
  <c r="K93" i="2"/>
  <c r="I113" i="2"/>
  <c r="F133" i="2"/>
  <c r="I155" i="2"/>
  <c r="H162" i="2"/>
  <c r="G167" i="2"/>
  <c r="G172" i="2"/>
  <c r="F177" i="2"/>
  <c r="F182" i="2"/>
  <c r="H189" i="2"/>
  <c r="K196" i="2"/>
  <c r="K201" i="2"/>
  <c r="J206" i="2"/>
  <c r="J211" i="2"/>
  <c r="I216" i="2"/>
  <c r="I221" i="2"/>
  <c r="K228" i="2"/>
  <c r="I232" i="2"/>
  <c r="K235" i="2"/>
  <c r="G238" i="2"/>
  <c r="J240" i="2"/>
  <c r="H244" i="2"/>
  <c r="K246" i="2"/>
  <c r="H249" i="2"/>
  <c r="K251" i="2"/>
  <c r="G254" i="2"/>
  <c r="J256" i="2"/>
  <c r="H260" i="2"/>
  <c r="K262" i="2"/>
  <c r="G265" i="2"/>
  <c r="J267" i="2"/>
  <c r="H271" i="2"/>
  <c r="K273" i="2"/>
  <c r="H276" i="2"/>
  <c r="K278" i="2"/>
  <c r="G281" i="2"/>
  <c r="J283" i="2"/>
  <c r="F287" i="2"/>
  <c r="J288" i="2"/>
  <c r="F290" i="2"/>
  <c r="G291" i="2"/>
  <c r="I292" i="2"/>
  <c r="J293" i="2"/>
  <c r="I295" i="2"/>
  <c r="K296" i="2"/>
  <c r="F298" i="2"/>
  <c r="G299" i="2"/>
  <c r="I300" i="2"/>
  <c r="J301" i="2"/>
  <c r="I303" i="2"/>
  <c r="K304" i="2"/>
  <c r="F306" i="2"/>
  <c r="G307" i="2"/>
  <c r="I308" i="2"/>
  <c r="J309" i="2"/>
  <c r="I311" i="2"/>
  <c r="K312" i="2"/>
  <c r="F314" i="2"/>
  <c r="G315" i="2"/>
  <c r="I316" i="2"/>
  <c r="J317" i="2"/>
  <c r="J22" i="2"/>
  <c r="G101" i="2"/>
  <c r="I140" i="2"/>
  <c r="J161" i="2"/>
  <c r="I171" i="2"/>
  <c r="H181" i="2"/>
  <c r="H191" i="2"/>
  <c r="G201" i="2"/>
  <c r="F211" i="2"/>
  <c r="K225" i="2"/>
  <c r="K233" i="2"/>
  <c r="G239" i="2"/>
  <c r="F244" i="2"/>
  <c r="F249" i="2"/>
  <c r="H256" i="2"/>
  <c r="G261" i="2"/>
  <c r="G266" i="2"/>
  <c r="F271" i="2"/>
  <c r="F276" i="2"/>
  <c r="H283" i="2"/>
  <c r="J287" i="2"/>
  <c r="I290" i="2"/>
  <c r="G294" i="2"/>
  <c r="J296" i="2"/>
  <c r="F299" i="2"/>
  <c r="I301" i="2"/>
  <c r="F304" i="2"/>
  <c r="I306" i="2"/>
  <c r="G310" i="2"/>
  <c r="J312" i="2"/>
  <c r="F315" i="2"/>
  <c r="I317" i="2"/>
  <c r="G58" i="2"/>
  <c r="F111" i="2"/>
  <c r="F150" i="2"/>
  <c r="G164" i="2"/>
  <c r="F174" i="2"/>
  <c r="K188" i="2"/>
  <c r="J198" i="2"/>
  <c r="I208" i="2"/>
  <c r="H218" i="2"/>
  <c r="G228" i="2"/>
  <c r="I235" i="2"/>
  <c r="K242" i="2"/>
  <c r="K247" i="2"/>
  <c r="J252" i="2"/>
  <c r="J257" i="2"/>
  <c r="I262" i="2"/>
  <c r="K269" i="2"/>
  <c r="K274" i="2"/>
  <c r="J279" i="2"/>
  <c r="J284" i="2"/>
  <c r="I288" i="2"/>
  <c r="F291" i="2"/>
  <c r="I293" i="2"/>
  <c r="F296" i="2"/>
  <c r="I298" i="2"/>
  <c r="G302" i="2"/>
  <c r="J304" i="2"/>
  <c r="F307" i="2"/>
  <c r="I309" i="2"/>
  <c r="F312" i="2"/>
  <c r="I314" i="2"/>
  <c r="G318" i="2"/>
  <c r="G106" i="2"/>
  <c r="K172" i="2"/>
  <c r="I192" i="2"/>
  <c r="G212" i="2"/>
  <c r="H231" i="2"/>
  <c r="G242" i="2"/>
  <c r="F252" i="2"/>
  <c r="K261" i="2"/>
  <c r="J271" i="2"/>
  <c r="I281" i="2"/>
  <c r="I289" i="2"/>
  <c r="I294" i="2"/>
  <c r="K301" i="2"/>
  <c r="K306" i="2"/>
  <c r="J311" i="2"/>
  <c r="J316" i="2"/>
  <c r="J125" i="2"/>
  <c r="K167" i="2"/>
  <c r="I187" i="2"/>
  <c r="H207" i="2"/>
  <c r="F227" i="2"/>
  <c r="K239" i="2"/>
  <c r="J249" i="2"/>
  <c r="I259" i="2"/>
  <c r="G269" i="2"/>
  <c r="F279" i="2"/>
  <c r="F288" i="2"/>
  <c r="G293" i="2"/>
  <c r="G298" i="2"/>
  <c r="F303" i="2"/>
  <c r="F308" i="2"/>
  <c r="H315" i="2"/>
  <c r="F68" i="2"/>
  <c r="G175" i="2"/>
  <c r="J214" i="2"/>
  <c r="I243" i="2"/>
  <c r="F263" i="2"/>
  <c r="G290" i="2"/>
  <c r="F300" i="2"/>
  <c r="K314" i="2"/>
  <c r="G160" i="2"/>
  <c r="J219" i="2"/>
  <c r="K255" i="2"/>
  <c r="H275" i="2"/>
  <c r="H291" i="2"/>
  <c r="G301" i="2"/>
  <c r="F311" i="2"/>
  <c r="F116" i="2"/>
  <c r="I224" i="2"/>
  <c r="F268" i="2"/>
  <c r="I297" i="2"/>
  <c r="G317" i="2"/>
  <c r="F190" i="2"/>
  <c r="K250" i="2"/>
  <c r="K298" i="2"/>
  <c r="I318" i="2"/>
  <c r="I238" i="2"/>
  <c r="I302" i="2"/>
  <c r="F241" i="2"/>
  <c r="J303" i="2"/>
  <c r="J292" i="2"/>
  <c r="K293" i="2"/>
  <c r="H312" i="2"/>
  <c r="I313" i="2"/>
  <c r="H2" i="2"/>
  <c r="I2" i="2"/>
  <c r="K2" i="2"/>
  <c r="I1663" i="2" l="1"/>
  <c r="F1321" i="2"/>
  <c r="I1436" i="2"/>
  <c r="F1479" i="2"/>
  <c r="J1521" i="2"/>
  <c r="H1565" i="2"/>
  <c r="F1608" i="2"/>
  <c r="J1650" i="2"/>
  <c r="H1693" i="2"/>
  <c r="K1726" i="2"/>
  <c r="K1742" i="2"/>
  <c r="I1753" i="2"/>
  <c r="G1764" i="2"/>
  <c r="K1774" i="2"/>
  <c r="I1785" i="2"/>
  <c r="G1796" i="2"/>
  <c r="K1806" i="2"/>
  <c r="I1817" i="2"/>
  <c r="G1828" i="2"/>
  <c r="J1838" i="2"/>
  <c r="H1849" i="2"/>
  <c r="J1858" i="2"/>
  <c r="F1864" i="2"/>
  <c r="H1869" i="2"/>
  <c r="J1874" i="2"/>
  <c r="F1880" i="2"/>
  <c r="H1885" i="2"/>
  <c r="J1890" i="2"/>
  <c r="F1896" i="2"/>
  <c r="H1901" i="2"/>
  <c r="J1906" i="2"/>
  <c r="F1912" i="2"/>
  <c r="H1917" i="2"/>
  <c r="J1922" i="2"/>
  <c r="F1928" i="2"/>
  <c r="H1933" i="2"/>
  <c r="J1938" i="2"/>
  <c r="F1944" i="2"/>
  <c r="H1949" i="2"/>
  <c r="J1954" i="2"/>
  <c r="F1960" i="2"/>
  <c r="H1965" i="2"/>
  <c r="J1970" i="2"/>
  <c r="F1972" i="2"/>
  <c r="H1973" i="2"/>
  <c r="J1974" i="2"/>
  <c r="F1976" i="2"/>
  <c r="H1977" i="2"/>
  <c r="J1978" i="2"/>
  <c r="F1980" i="2"/>
  <c r="H1981" i="2"/>
  <c r="J1982" i="2"/>
  <c r="F1984" i="2"/>
  <c r="H1985" i="2"/>
  <c r="J1986" i="2"/>
  <c r="F1988" i="2"/>
  <c r="H1989" i="2"/>
  <c r="J1990" i="2"/>
  <c r="F1992" i="2"/>
  <c r="H1993" i="2"/>
  <c r="J1994" i="2"/>
  <c r="F1996" i="2"/>
  <c r="H1997" i="2"/>
  <c r="J1998" i="2"/>
  <c r="F2000" i="2"/>
  <c r="H2001" i="2"/>
  <c r="J2002" i="2"/>
  <c r="F2004" i="2"/>
  <c r="H2005" i="2"/>
  <c r="J2006" i="2"/>
  <c r="F2008" i="2"/>
  <c r="H2009" i="2"/>
  <c r="J2010" i="2"/>
  <c r="F2012" i="2"/>
  <c r="H2013" i="2"/>
  <c r="J2014" i="2"/>
  <c r="F2016" i="2"/>
  <c r="H2017" i="2"/>
  <c r="J2018" i="2"/>
  <c r="F2020" i="2"/>
  <c r="H2021" i="2"/>
  <c r="J2022" i="2"/>
  <c r="F2024" i="2"/>
  <c r="H2025" i="2"/>
  <c r="J2026" i="2"/>
  <c r="G1550" i="2"/>
  <c r="F1193" i="2"/>
  <c r="H1278" i="2"/>
  <c r="J1363" i="2"/>
  <c r="K1425" i="2"/>
  <c r="F1447" i="2"/>
  <c r="H1468" i="2"/>
  <c r="J1489" i="2"/>
  <c r="F1511" i="2"/>
  <c r="H1533" i="2"/>
  <c r="J1554" i="2"/>
  <c r="F1576" i="2"/>
  <c r="H1597" i="2"/>
  <c r="J1618" i="2"/>
  <c r="F1640" i="2"/>
  <c r="H1661" i="2"/>
  <c r="J1682" i="2"/>
  <c r="F1704" i="2"/>
  <c r="I1721" i="2"/>
  <c r="G1732" i="2"/>
  <c r="G1740" i="2"/>
  <c r="I1745" i="2"/>
  <c r="K1750" i="2"/>
  <c r="G1756" i="2"/>
  <c r="I1761" i="2"/>
  <c r="K1766" i="2"/>
  <c r="G1772" i="2"/>
  <c r="I1777" i="2"/>
  <c r="K1782" i="2"/>
  <c r="G1788" i="2"/>
  <c r="I1793" i="2"/>
  <c r="K1798" i="2"/>
  <c r="G1804" i="2"/>
  <c r="I1809" i="2"/>
  <c r="K1814" i="2"/>
  <c r="G1820" i="2"/>
  <c r="I1825" i="2"/>
  <c r="K1830" i="2"/>
  <c r="F1836" i="2"/>
  <c r="H1841" i="2"/>
  <c r="J1846" i="2"/>
  <c r="F1852" i="2"/>
  <c r="H1857" i="2"/>
  <c r="F1860" i="2"/>
  <c r="J1862" i="2"/>
  <c r="H1865" i="2"/>
  <c r="F1868" i="2"/>
  <c r="J1870" i="2"/>
  <c r="H1873" i="2"/>
  <c r="F1876" i="2"/>
  <c r="J1878" i="2"/>
  <c r="H1881" i="2"/>
  <c r="F1884" i="2"/>
  <c r="J1886" i="2"/>
  <c r="H1889" i="2"/>
  <c r="F1892" i="2"/>
  <c r="J1894" i="2"/>
  <c r="H1897" i="2"/>
  <c r="F1900" i="2"/>
  <c r="J1902" i="2"/>
  <c r="H1905" i="2"/>
  <c r="F1908" i="2"/>
  <c r="J1910" i="2"/>
  <c r="H1913" i="2"/>
  <c r="F1916" i="2"/>
  <c r="J1918" i="2"/>
  <c r="H1921" i="2"/>
  <c r="F1924" i="2"/>
  <c r="J1926" i="2"/>
  <c r="H1929" i="2"/>
  <c r="F1932" i="2"/>
  <c r="J1934" i="2"/>
  <c r="H1937" i="2"/>
  <c r="F1940" i="2"/>
  <c r="J1942" i="2"/>
  <c r="H1945" i="2"/>
  <c r="F1948" i="2"/>
  <c r="J1950" i="2"/>
  <c r="H1953" i="2"/>
  <c r="F1956" i="2"/>
  <c r="J1958" i="2"/>
  <c r="H1961" i="2"/>
  <c r="F1964" i="2"/>
  <c r="J1966" i="2"/>
  <c r="H1969" i="2"/>
  <c r="H1225" i="2"/>
  <c r="J1436" i="2"/>
  <c r="K1620" i="2"/>
  <c r="G1706" i="2"/>
  <c r="H1214" i="2"/>
  <c r="F1257" i="2"/>
  <c r="J1299" i="2"/>
  <c r="H1342" i="2"/>
  <c r="F1385" i="2"/>
  <c r="J1419" i="2"/>
  <c r="G1431" i="2"/>
  <c r="K1441" i="2"/>
  <c r="H1452" i="2"/>
  <c r="F1463" i="2"/>
  <c r="J1473" i="2"/>
  <c r="H1484" i="2"/>
  <c r="F1495" i="2"/>
  <c r="J1505" i="2"/>
  <c r="H1516" i="2"/>
  <c r="F1527" i="2"/>
  <c r="J1538" i="2"/>
  <c r="H1549" i="2"/>
  <c r="F1560" i="2"/>
  <c r="J1570" i="2"/>
  <c r="H1581" i="2"/>
  <c r="F1592" i="2"/>
  <c r="J1602" i="2"/>
  <c r="H1613" i="2"/>
  <c r="F1624" i="2"/>
  <c r="J1634" i="2"/>
  <c r="H1645" i="2"/>
  <c r="F1656" i="2"/>
  <c r="J1666" i="2"/>
  <c r="H1677" i="2"/>
  <c r="F1688" i="2"/>
  <c r="J1698" i="2"/>
  <c r="H1709" i="2"/>
  <c r="K1718" i="2"/>
  <c r="G1724" i="2"/>
  <c r="I1729" i="2"/>
  <c r="K1734" i="2"/>
  <c r="K1738" i="2"/>
  <c r="I1741" i="2"/>
  <c r="G1744" i="2"/>
  <c r="K1746" i="2"/>
  <c r="I1749" i="2"/>
  <c r="G1752" i="2"/>
  <c r="K1754" i="2"/>
  <c r="I1757" i="2"/>
  <c r="G1760" i="2"/>
  <c r="K1762" i="2"/>
  <c r="I1765" i="2"/>
  <c r="G1768" i="2"/>
  <c r="K1770" i="2"/>
  <c r="I1773" i="2"/>
  <c r="G1776" i="2"/>
  <c r="K1778" i="2"/>
  <c r="I1781" i="2"/>
  <c r="G1784" i="2"/>
  <c r="K1786" i="2"/>
  <c r="I1789" i="2"/>
  <c r="G1792" i="2"/>
  <c r="K1794" i="2"/>
  <c r="I1797" i="2"/>
  <c r="G1800" i="2"/>
  <c r="K1802" i="2"/>
  <c r="I1805" i="2"/>
  <c r="G1808" i="2"/>
  <c r="K1810" i="2"/>
  <c r="I1813" i="2"/>
  <c r="G1816" i="2"/>
  <c r="K1818" i="2"/>
  <c r="I1821" i="2"/>
  <c r="G1824" i="2"/>
  <c r="K1826" i="2"/>
  <c r="I1829" i="2"/>
  <c r="G1832" i="2"/>
  <c r="J1834" i="2"/>
  <c r="H1837" i="2"/>
  <c r="F1840" i="2"/>
  <c r="J1842" i="2"/>
  <c r="H1845" i="2"/>
  <c r="F1848" i="2"/>
  <c r="J1850" i="2"/>
  <c r="H1853" i="2"/>
  <c r="F1856" i="2"/>
  <c r="K1684" i="2"/>
  <c r="G1642" i="2"/>
  <c r="K1592" i="2"/>
  <c r="I1507" i="2"/>
  <c r="G1090" i="2"/>
  <c r="J1366" i="2"/>
  <c r="I1479" i="2"/>
  <c r="K1528" i="2"/>
  <c r="I1571" i="2"/>
  <c r="G1610" i="2"/>
  <c r="I1631" i="2"/>
  <c r="K1652" i="2"/>
  <c r="G1674" i="2"/>
  <c r="I1695" i="2"/>
  <c r="K1716" i="2"/>
  <c r="J1203" i="2"/>
  <c r="F1225" i="2"/>
  <c r="H1246" i="2"/>
  <c r="J1267" i="2"/>
  <c r="F1289" i="2"/>
  <c r="H1310" i="2"/>
  <c r="J1331" i="2"/>
  <c r="F1353" i="2"/>
  <c r="H1374" i="2"/>
  <c r="J1395" i="2"/>
  <c r="H1414" i="2"/>
  <c r="G1423" i="2"/>
  <c r="I1428" i="2"/>
  <c r="K1433" i="2"/>
  <c r="G1439" i="2"/>
  <c r="H1444" i="2"/>
  <c r="J1449" i="2"/>
  <c r="F1455" i="2"/>
  <c r="H1460" i="2"/>
  <c r="J1465" i="2"/>
  <c r="F1471" i="2"/>
  <c r="H1476" i="2"/>
  <c r="J1481" i="2"/>
  <c r="F1487" i="2"/>
  <c r="H1492" i="2"/>
  <c r="J1497" i="2"/>
  <c r="F1503" i="2"/>
  <c r="H1508" i="2"/>
  <c r="J1513" i="2"/>
  <c r="F1519" i="2"/>
  <c r="H1524" i="2"/>
  <c r="J1530" i="2"/>
  <c r="F1536" i="2"/>
  <c r="H1541" i="2"/>
  <c r="J1546" i="2"/>
  <c r="F1552" i="2"/>
  <c r="H1557" i="2"/>
  <c r="J1562" i="2"/>
  <c r="F1568" i="2"/>
  <c r="H1573" i="2"/>
  <c r="J1578" i="2"/>
  <c r="F1584" i="2"/>
  <c r="H1589" i="2"/>
  <c r="J1594" i="2"/>
  <c r="F1600" i="2"/>
  <c r="H1605" i="2"/>
  <c r="J1610" i="2"/>
  <c r="F1616" i="2"/>
  <c r="H1621" i="2"/>
  <c r="J1626" i="2"/>
  <c r="F1632" i="2"/>
  <c r="H1637" i="2"/>
  <c r="J1642" i="2"/>
  <c r="F1648" i="2"/>
  <c r="H1653" i="2"/>
  <c r="J1658" i="2"/>
  <c r="F1664" i="2"/>
  <c r="H1669" i="2"/>
  <c r="J1674" i="2"/>
  <c r="F1680" i="2"/>
  <c r="H1685" i="2"/>
  <c r="J1690" i="2"/>
  <c r="F1696" i="2"/>
  <c r="H1701" i="2"/>
  <c r="J1706" i="2"/>
  <c r="F1712" i="2"/>
  <c r="H1717" i="2"/>
  <c r="G1720" i="2"/>
  <c r="K1722" i="2"/>
  <c r="I1725" i="2"/>
  <c r="G1728" i="2"/>
  <c r="K1730" i="2"/>
  <c r="I1733" i="2"/>
  <c r="G1736" i="2"/>
  <c r="K976" i="2"/>
  <c r="K1160" i="2"/>
  <c r="J1310" i="2"/>
  <c r="H1409" i="2"/>
  <c r="G1458" i="2"/>
  <c r="K1496" i="2"/>
  <c r="G1518" i="2"/>
  <c r="I1539" i="2"/>
  <c r="K1560" i="2"/>
  <c r="G1582" i="2"/>
  <c r="I1603" i="2"/>
  <c r="I1615" i="2"/>
  <c r="G1626" i="2"/>
  <c r="K1636" i="2"/>
  <c r="I1647" i="2"/>
  <c r="G1658" i="2"/>
  <c r="K1668" i="2"/>
  <c r="I1679" i="2"/>
  <c r="G1690" i="2"/>
  <c r="K1700" i="2"/>
  <c r="I1711" i="2"/>
  <c r="J1187" i="2"/>
  <c r="H1198" i="2"/>
  <c r="F1209" i="2"/>
  <c r="J1219" i="2"/>
  <c r="H1230" i="2"/>
  <c r="F1241" i="2"/>
  <c r="J1251" i="2"/>
  <c r="H1262" i="2"/>
  <c r="F1273" i="2"/>
  <c r="J1283" i="2"/>
  <c r="H1294" i="2"/>
  <c r="F1305" i="2"/>
  <c r="J1315" i="2"/>
  <c r="H1326" i="2"/>
  <c r="F1337" i="2"/>
  <c r="J1347" i="2"/>
  <c r="H1358" i="2"/>
  <c r="F1369" i="2"/>
  <c r="J1379" i="2"/>
  <c r="H1390" i="2"/>
  <c r="F1401" i="2"/>
  <c r="J1411" i="2"/>
  <c r="F1417" i="2"/>
  <c r="K1421" i="2"/>
  <c r="I1424" i="2"/>
  <c r="G1427" i="2"/>
  <c r="K1429" i="2"/>
  <c r="I1432" i="2"/>
  <c r="G1435" i="2"/>
  <c r="K1437" i="2"/>
  <c r="I1440" i="2"/>
  <c r="F1443" i="2"/>
  <c r="J1445" i="2"/>
  <c r="H1448" i="2"/>
  <c r="F1451" i="2"/>
  <c r="J1453" i="2"/>
  <c r="H1456" i="2"/>
  <c r="F1459" i="2"/>
  <c r="J1461" i="2"/>
  <c r="H1464" i="2"/>
  <c r="F1467" i="2"/>
  <c r="J1469" i="2"/>
  <c r="H1472" i="2"/>
  <c r="F1475" i="2"/>
  <c r="J1477" i="2"/>
  <c r="H1480" i="2"/>
  <c r="F1483" i="2"/>
  <c r="J1485" i="2"/>
  <c r="H1488" i="2"/>
  <c r="F1491" i="2"/>
  <c r="J1493" i="2"/>
  <c r="H1496" i="2"/>
  <c r="F1499" i="2"/>
  <c r="J1501" i="2"/>
  <c r="H1504" i="2"/>
  <c r="F1507" i="2"/>
  <c r="J1509" i="2"/>
  <c r="H1512" i="2"/>
  <c r="F1515" i="2"/>
  <c r="J1517" i="2"/>
  <c r="H1520" i="2"/>
  <c r="F1523" i="2"/>
  <c r="J1525" i="2"/>
  <c r="H1528" i="2"/>
  <c r="G1318" i="2"/>
  <c r="I1047" i="2"/>
  <c r="K1132" i="2"/>
  <c r="K1182" i="2"/>
  <c r="F1268" i="2"/>
  <c r="H1345" i="2"/>
  <c r="F1388" i="2"/>
  <c r="F1426" i="2"/>
  <c r="I1447" i="2"/>
  <c r="K1468" i="2"/>
  <c r="G1490" i="2"/>
  <c r="G1502" i="2"/>
  <c r="K1512" i="2"/>
  <c r="I1523" i="2"/>
  <c r="G1534" i="2"/>
  <c r="K1544" i="2"/>
  <c r="I1555" i="2"/>
  <c r="G1566" i="2"/>
  <c r="K1576" i="2"/>
  <c r="I1587" i="2"/>
  <c r="G1598" i="2"/>
  <c r="I1607" i="2"/>
  <c r="K1612" i="2"/>
  <c r="G1618" i="2"/>
  <c r="I1623" i="2"/>
  <c r="K1628" i="2"/>
  <c r="G1634" i="2"/>
  <c r="I1639" i="2"/>
  <c r="K1644" i="2"/>
  <c r="G1650" i="2"/>
  <c r="I1655" i="2"/>
  <c r="K1660" i="2"/>
  <c r="G1666" i="2"/>
  <c r="I1671" i="2"/>
  <c r="K1676" i="2"/>
  <c r="G1682" i="2"/>
  <c r="I1687" i="2"/>
  <c r="K1692" i="2"/>
  <c r="G1698" i="2"/>
  <c r="I1703" i="2"/>
  <c r="K1708" i="2"/>
  <c r="G1714" i="2"/>
  <c r="G1185" i="2"/>
  <c r="H1190" i="2"/>
  <c r="J1195" i="2"/>
  <c r="F1201" i="2"/>
  <c r="H1206" i="2"/>
  <c r="J1211" i="2"/>
  <c r="F1217" i="2"/>
  <c r="H1222" i="2"/>
  <c r="J1227" i="2"/>
  <c r="F1233" i="2"/>
  <c r="H1238" i="2"/>
  <c r="J1243" i="2"/>
  <c r="F1249" i="2"/>
  <c r="H1254" i="2"/>
  <c r="J1259" i="2"/>
  <c r="F1265" i="2"/>
  <c r="H1270" i="2"/>
  <c r="J1275" i="2"/>
  <c r="F1281" i="2"/>
  <c r="H1286" i="2"/>
  <c r="J1291" i="2"/>
  <c r="F1297" i="2"/>
  <c r="H1302" i="2"/>
  <c r="J1307" i="2"/>
  <c r="F1313" i="2"/>
  <c r="H1318" i="2"/>
  <c r="J1323" i="2"/>
  <c r="F1329" i="2"/>
  <c r="H1334" i="2"/>
  <c r="J1339" i="2"/>
  <c r="F1345" i="2"/>
  <c r="H1350" i="2"/>
  <c r="J1355" i="2"/>
  <c r="F1361" i="2"/>
  <c r="H1366" i="2"/>
  <c r="J1371" i="2"/>
  <c r="F1377" i="2"/>
  <c r="H1382" i="2"/>
  <c r="J1387" i="2"/>
  <c r="F1393" i="2"/>
  <c r="H1398" i="2"/>
  <c r="J1403" i="2"/>
  <c r="F1409" i="2"/>
  <c r="F1147" i="2"/>
  <c r="K1388" i="2"/>
  <c r="I1019" i="2"/>
  <c r="K1068" i="2"/>
  <c r="I1111" i="2"/>
  <c r="G1150" i="2"/>
  <c r="I1171" i="2"/>
  <c r="F1204" i="2"/>
  <c r="J1246" i="2"/>
  <c r="H1289" i="2"/>
  <c r="F1332" i="2"/>
  <c r="F1356" i="2"/>
  <c r="H1377" i="2"/>
  <c r="J1398" i="2"/>
  <c r="F1420" i="2"/>
  <c r="H1431" i="2"/>
  <c r="F1442" i="2"/>
  <c r="K1452" i="2"/>
  <c r="I1463" i="2"/>
  <c r="G1474" i="2"/>
  <c r="K1484" i="2"/>
  <c r="G1494" i="2"/>
  <c r="I1499" i="2"/>
  <c r="K1504" i="2"/>
  <c r="G1510" i="2"/>
  <c r="I1515" i="2"/>
  <c r="K1520" i="2"/>
  <c r="G1526" i="2"/>
  <c r="I1531" i="2"/>
  <c r="K1536" i="2"/>
  <c r="G1542" i="2"/>
  <c r="I1547" i="2"/>
  <c r="K1552" i="2"/>
  <c r="G1558" i="2"/>
  <c r="I1563" i="2"/>
  <c r="K1568" i="2"/>
  <c r="G1574" i="2"/>
  <c r="I1579" i="2"/>
  <c r="K1584" i="2"/>
  <c r="G1590" i="2"/>
  <c r="I1595" i="2"/>
  <c r="K1600" i="2"/>
  <c r="G1606" i="2"/>
  <c r="K1608" i="2"/>
  <c r="I1611" i="2"/>
  <c r="G1614" i="2"/>
  <c r="K1616" i="2"/>
  <c r="I1619" i="2"/>
  <c r="G1622" i="2"/>
  <c r="K1624" i="2"/>
  <c r="I1627" i="2"/>
  <c r="G1630" i="2"/>
  <c r="K1632" i="2"/>
  <c r="I1635" i="2"/>
  <c r="G1638" i="2"/>
  <c r="K1640" i="2"/>
  <c r="I1643" i="2"/>
  <c r="G1646" i="2"/>
  <c r="K1648" i="2"/>
  <c r="I1651" i="2"/>
  <c r="G1654" i="2"/>
  <c r="K1656" i="2"/>
  <c r="I1659" i="2"/>
  <c r="G1662" i="2"/>
  <c r="K1664" i="2"/>
  <c r="I1667" i="2"/>
  <c r="G1670" i="2"/>
  <c r="K1672" i="2"/>
  <c r="I1675" i="2"/>
  <c r="G1678" i="2"/>
  <c r="K1680" i="2"/>
  <c r="I1683" i="2"/>
  <c r="G1686" i="2"/>
  <c r="K1688" i="2"/>
  <c r="I1691" i="2"/>
  <c r="G1694" i="2"/>
  <c r="K1696" i="2"/>
  <c r="I1699" i="2"/>
  <c r="G1702" i="2"/>
  <c r="K1704" i="2"/>
  <c r="I1707" i="2"/>
  <c r="G1710" i="2"/>
  <c r="K1712" i="2"/>
  <c r="I1715" i="2"/>
  <c r="I1182" i="2"/>
  <c r="K917" i="2"/>
  <c r="I1275" i="2"/>
  <c r="K1360" i="2"/>
  <c r="G1410" i="2"/>
  <c r="G998" i="2"/>
  <c r="K1036" i="2"/>
  <c r="G1058" i="2"/>
  <c r="I1079" i="2"/>
  <c r="K1100" i="2"/>
  <c r="G1122" i="2"/>
  <c r="I1143" i="2"/>
  <c r="I1155" i="2"/>
  <c r="G1166" i="2"/>
  <c r="K1176" i="2"/>
  <c r="H1193" i="2"/>
  <c r="J1214" i="2"/>
  <c r="F1236" i="2"/>
  <c r="H1257" i="2"/>
  <c r="J1278" i="2"/>
  <c r="F1300" i="2"/>
  <c r="H1321" i="2"/>
  <c r="F1340" i="2"/>
  <c r="J1350" i="2"/>
  <c r="H1361" i="2"/>
  <c r="F1372" i="2"/>
  <c r="J1382" i="2"/>
  <c r="H1393" i="2"/>
  <c r="F1404" i="2"/>
  <c r="J1414" i="2"/>
  <c r="H1423" i="2"/>
  <c r="J1428" i="2"/>
  <c r="F1434" i="2"/>
  <c r="H1439" i="2"/>
  <c r="K1444" i="2"/>
  <c r="G1450" i="2"/>
  <c r="I1455" i="2"/>
  <c r="K1460" i="2"/>
  <c r="G1466" i="2"/>
  <c r="I1471" i="2"/>
  <c r="K1476" i="2"/>
  <c r="G1482" i="2"/>
  <c r="I1487" i="2"/>
  <c r="K1492" i="2"/>
  <c r="I1495" i="2"/>
  <c r="G1498" i="2"/>
  <c r="K1500" i="2"/>
  <c r="I1503" i="2"/>
  <c r="G1506" i="2"/>
  <c r="K1508" i="2"/>
  <c r="I1511" i="2"/>
  <c r="G1514" i="2"/>
  <c r="K1516" i="2"/>
  <c r="I1519" i="2"/>
  <c r="G1522" i="2"/>
  <c r="K1524" i="2"/>
  <c r="I1527" i="2"/>
  <c r="G1530" i="2"/>
  <c r="K1532" i="2"/>
  <c r="I1535" i="2"/>
  <c r="G1538" i="2"/>
  <c r="K1540" i="2"/>
  <c r="I1543" i="2"/>
  <c r="G1546" i="2"/>
  <c r="K1548" i="2"/>
  <c r="I1551" i="2"/>
  <c r="G1554" i="2"/>
  <c r="K1556" i="2"/>
  <c r="I1559" i="2"/>
  <c r="G1562" i="2"/>
  <c r="K1564" i="2"/>
  <c r="I1567" i="2"/>
  <c r="G1570" i="2"/>
  <c r="K1572" i="2"/>
  <c r="I1575" i="2"/>
  <c r="G1578" i="2"/>
  <c r="K1580" i="2"/>
  <c r="I1583" i="2"/>
  <c r="G1586" i="2"/>
  <c r="K1588" i="2"/>
  <c r="I1591" i="2"/>
  <c r="G1594" i="2"/>
  <c r="K1596" i="2"/>
  <c r="I1599" i="2"/>
  <c r="G1602" i="2"/>
  <c r="K1604" i="2"/>
  <c r="F918" i="2"/>
  <c r="J1061" i="2"/>
  <c r="I1232" i="2"/>
  <c r="K1296" i="2"/>
  <c r="I1339" i="2"/>
  <c r="G1378" i="2"/>
  <c r="I1399" i="2"/>
  <c r="K1420" i="2"/>
  <c r="I987" i="2"/>
  <c r="K1008" i="2"/>
  <c r="G1030" i="2"/>
  <c r="G1042" i="2"/>
  <c r="K1052" i="2"/>
  <c r="I1063" i="2"/>
  <c r="G1074" i="2"/>
  <c r="K1084" i="2"/>
  <c r="I1095" i="2"/>
  <c r="G1106" i="2"/>
  <c r="K1116" i="2"/>
  <c r="I1127" i="2"/>
  <c r="G1138" i="2"/>
  <c r="I1147" i="2"/>
  <c r="K1152" i="2"/>
  <c r="G1158" i="2"/>
  <c r="I1163" i="2"/>
  <c r="K1168" i="2"/>
  <c r="G1174" i="2"/>
  <c r="I1179" i="2"/>
  <c r="F1188" i="2"/>
  <c r="J1198" i="2"/>
  <c r="H1209" i="2"/>
  <c r="F1220" i="2"/>
  <c r="J1230" i="2"/>
  <c r="H1241" i="2"/>
  <c r="F1252" i="2"/>
  <c r="J1262" i="2"/>
  <c r="H1273" i="2"/>
  <c r="F1284" i="2"/>
  <c r="J1294" i="2"/>
  <c r="H1305" i="2"/>
  <c r="F1316" i="2"/>
  <c r="J1326" i="2"/>
  <c r="H1337" i="2"/>
  <c r="J1342" i="2"/>
  <c r="F1348" i="2"/>
  <c r="H1353" i="2"/>
  <c r="J1358" i="2"/>
  <c r="F1364" i="2"/>
  <c r="H1369" i="2"/>
  <c r="J1374" i="2"/>
  <c r="F1380" i="2"/>
  <c r="H1385" i="2"/>
  <c r="J1390" i="2"/>
  <c r="F1396" i="2"/>
  <c r="H1401" i="2"/>
  <c r="J1406" i="2"/>
  <c r="F1412" i="2"/>
  <c r="H1417" i="2"/>
  <c r="F1422" i="2"/>
  <c r="J1424" i="2"/>
  <c r="H1427" i="2"/>
  <c r="F1430" i="2"/>
  <c r="J1432" i="2"/>
  <c r="H1435" i="2"/>
  <c r="F1438" i="2"/>
  <c r="J1440" i="2"/>
  <c r="I1443" i="2"/>
  <c r="G1446" i="2"/>
  <c r="K1448" i="2"/>
  <c r="I1451" i="2"/>
  <c r="G1454" i="2"/>
  <c r="K1456" i="2"/>
  <c r="I1459" i="2"/>
  <c r="G1462" i="2"/>
  <c r="K1464" i="2"/>
  <c r="I1467" i="2"/>
  <c r="G1470" i="2"/>
  <c r="K1472" i="2"/>
  <c r="I1475" i="2"/>
  <c r="G1478" i="2"/>
  <c r="K1480" i="2"/>
  <c r="I1483" i="2"/>
  <c r="G1486" i="2"/>
  <c r="K1488" i="2"/>
  <c r="I1491" i="2"/>
  <c r="F637" i="2"/>
  <c r="I832" i="2"/>
  <c r="J1005" i="2"/>
  <c r="H1104" i="2"/>
  <c r="K1189" i="2"/>
  <c r="K1264" i="2"/>
  <c r="G1286" i="2"/>
  <c r="I1307" i="2"/>
  <c r="K1328" i="2"/>
  <c r="G1350" i="2"/>
  <c r="I1371" i="2"/>
  <c r="I1383" i="2"/>
  <c r="G1394" i="2"/>
  <c r="K1404" i="2"/>
  <c r="I1415" i="2"/>
  <c r="I971" i="2"/>
  <c r="G982" i="2"/>
  <c r="K992" i="2"/>
  <c r="I1003" i="2"/>
  <c r="G1014" i="2"/>
  <c r="K1024" i="2"/>
  <c r="G1034" i="2"/>
  <c r="I1039" i="2"/>
  <c r="K1044" i="2"/>
  <c r="G1050" i="2"/>
  <c r="I1055" i="2"/>
  <c r="K1060" i="2"/>
  <c r="G1066" i="2"/>
  <c r="I1071" i="2"/>
  <c r="K1076" i="2"/>
  <c r="G1082" i="2"/>
  <c r="I1087" i="2"/>
  <c r="K1092" i="2"/>
  <c r="G1098" i="2"/>
  <c r="I1103" i="2"/>
  <c r="K1108" i="2"/>
  <c r="G1114" i="2"/>
  <c r="I1119" i="2"/>
  <c r="K1124" i="2"/>
  <c r="G1130" i="2"/>
  <c r="I1135" i="2"/>
  <c r="K1140" i="2"/>
  <c r="G1146" i="2"/>
  <c r="K1148" i="2"/>
  <c r="I1151" i="2"/>
  <c r="G1154" i="2"/>
  <c r="K1156" i="2"/>
  <c r="I1159" i="2"/>
  <c r="G1162" i="2"/>
  <c r="K1164" i="2"/>
  <c r="I1167" i="2"/>
  <c r="G1170" i="2"/>
  <c r="K1172" i="2"/>
  <c r="I1175" i="2"/>
  <c r="G1178" i="2"/>
  <c r="K1180" i="2"/>
  <c r="I1185" i="2"/>
  <c r="J1190" i="2"/>
  <c r="F1196" i="2"/>
  <c r="H1201" i="2"/>
  <c r="J1206" i="2"/>
  <c r="F1212" i="2"/>
  <c r="H1217" i="2"/>
  <c r="J1222" i="2"/>
  <c r="F1228" i="2"/>
  <c r="H1233" i="2"/>
  <c r="J1238" i="2"/>
  <c r="F1244" i="2"/>
  <c r="H1249" i="2"/>
  <c r="J1254" i="2"/>
  <c r="F1260" i="2"/>
  <c r="H1265" i="2"/>
  <c r="J1270" i="2"/>
  <c r="F1276" i="2"/>
  <c r="H1281" i="2"/>
  <c r="J1286" i="2"/>
  <c r="F1292" i="2"/>
  <c r="H1297" i="2"/>
  <c r="J1302" i="2"/>
  <c r="F1308" i="2"/>
  <c r="H1313" i="2"/>
  <c r="J1318" i="2"/>
  <c r="F1324" i="2"/>
  <c r="H1329" i="2"/>
  <c r="J1334" i="2"/>
  <c r="F687" i="2"/>
  <c r="J832" i="2"/>
  <c r="G757" i="2"/>
  <c r="G875" i="2"/>
  <c r="H960" i="2"/>
  <c r="H1040" i="2"/>
  <c r="F1083" i="2"/>
  <c r="J1125" i="2"/>
  <c r="H1168" i="2"/>
  <c r="G1211" i="2"/>
  <c r="K1253" i="2"/>
  <c r="G1270" i="2"/>
  <c r="K1280" i="2"/>
  <c r="I1291" i="2"/>
  <c r="G1302" i="2"/>
  <c r="K1312" i="2"/>
  <c r="I1323" i="2"/>
  <c r="G1334" i="2"/>
  <c r="K1344" i="2"/>
  <c r="I1355" i="2"/>
  <c r="G1366" i="2"/>
  <c r="I1375" i="2"/>
  <c r="K1380" i="2"/>
  <c r="G1386" i="2"/>
  <c r="I1391" i="2"/>
  <c r="K1396" i="2"/>
  <c r="G1402" i="2"/>
  <c r="I1407" i="2"/>
  <c r="K1412" i="2"/>
  <c r="G1418" i="2"/>
  <c r="H968" i="2"/>
  <c r="G974" i="2"/>
  <c r="I979" i="2"/>
  <c r="K984" i="2"/>
  <c r="G990" i="2"/>
  <c r="I995" i="2"/>
  <c r="K1000" i="2"/>
  <c r="G1006" i="2"/>
  <c r="I1011" i="2"/>
  <c r="K1016" i="2"/>
  <c r="G1022" i="2"/>
  <c r="I1027" i="2"/>
  <c r="K1032" i="2"/>
  <c r="I1035" i="2"/>
  <c r="G1038" i="2"/>
  <c r="K1040" i="2"/>
  <c r="I1043" i="2"/>
  <c r="G1046" i="2"/>
  <c r="K1048" i="2"/>
  <c r="I1051" i="2"/>
  <c r="G1054" i="2"/>
  <c r="K1056" i="2"/>
  <c r="I1059" i="2"/>
  <c r="G1062" i="2"/>
  <c r="K1064" i="2"/>
  <c r="I1067" i="2"/>
  <c r="G1070" i="2"/>
  <c r="K1072" i="2"/>
  <c r="I1075" i="2"/>
  <c r="G1078" i="2"/>
  <c r="K1080" i="2"/>
  <c r="I1083" i="2"/>
  <c r="G1086" i="2"/>
  <c r="K1088" i="2"/>
  <c r="I1091" i="2"/>
  <c r="G1094" i="2"/>
  <c r="K1096" i="2"/>
  <c r="I1099" i="2"/>
  <c r="G1102" i="2"/>
  <c r="K1104" i="2"/>
  <c r="I1107" i="2"/>
  <c r="G1110" i="2"/>
  <c r="K1112" i="2"/>
  <c r="I1115" i="2"/>
  <c r="G1118" i="2"/>
  <c r="K1120" i="2"/>
  <c r="I1123" i="2"/>
  <c r="G1126" i="2"/>
  <c r="K1128" i="2"/>
  <c r="I1131" i="2"/>
  <c r="G1134" i="2"/>
  <c r="K1136" i="2"/>
  <c r="I1139" i="2"/>
  <c r="G1142" i="2"/>
  <c r="K1144" i="2"/>
  <c r="G550" i="2"/>
  <c r="H772" i="2"/>
  <c r="G756" i="2"/>
  <c r="H875" i="2"/>
  <c r="K960" i="2"/>
  <c r="G811" i="2"/>
  <c r="K853" i="2"/>
  <c r="I896" i="2"/>
  <c r="F939" i="2"/>
  <c r="H984" i="2"/>
  <c r="F1027" i="2"/>
  <c r="F1051" i="2"/>
  <c r="H1072" i="2"/>
  <c r="J1093" i="2"/>
  <c r="F1115" i="2"/>
  <c r="H1136" i="2"/>
  <c r="J1157" i="2"/>
  <c r="F1179" i="2"/>
  <c r="I1200" i="2"/>
  <c r="K1221" i="2"/>
  <c r="G1243" i="2"/>
  <c r="K1261" i="2"/>
  <c r="I1267" i="2"/>
  <c r="K1272" i="2"/>
  <c r="G1278" i="2"/>
  <c r="I1283" i="2"/>
  <c r="K1288" i="2"/>
  <c r="G1294" i="2"/>
  <c r="I1299" i="2"/>
  <c r="K1304" i="2"/>
  <c r="G1310" i="2"/>
  <c r="I1315" i="2"/>
  <c r="K1320" i="2"/>
  <c r="G1326" i="2"/>
  <c r="I1331" i="2"/>
  <c r="K1336" i="2"/>
  <c r="G1342" i="2"/>
  <c r="I1347" i="2"/>
  <c r="K1352" i="2"/>
  <c r="G1358" i="2"/>
  <c r="I1363" i="2"/>
  <c r="K1368" i="2"/>
  <c r="G1374" i="2"/>
  <c r="K1376" i="2"/>
  <c r="I1379" i="2"/>
  <c r="G1382" i="2"/>
  <c r="K1384" i="2"/>
  <c r="I1387" i="2"/>
  <c r="G1390" i="2"/>
  <c r="K1392" i="2"/>
  <c r="I1395" i="2"/>
  <c r="G1398" i="2"/>
  <c r="K1400" i="2"/>
  <c r="I1403" i="2"/>
  <c r="G1406" i="2"/>
  <c r="K1408" i="2"/>
  <c r="I1411" i="2"/>
  <c r="G1414" i="2"/>
  <c r="K1416" i="2"/>
  <c r="I1419" i="2"/>
  <c r="J965" i="2"/>
  <c r="G970" i="2"/>
  <c r="K972" i="2"/>
  <c r="I975" i="2"/>
  <c r="G978" i="2"/>
  <c r="K980" i="2"/>
  <c r="I983" i="2"/>
  <c r="G986" i="2"/>
  <c r="K988" i="2"/>
  <c r="I991" i="2"/>
  <c r="G994" i="2"/>
  <c r="K996" i="2"/>
  <c r="I999" i="2"/>
  <c r="G1002" i="2"/>
  <c r="K1004" i="2"/>
  <c r="I1007" i="2"/>
  <c r="G1010" i="2"/>
  <c r="K1012" i="2"/>
  <c r="I1015" i="2"/>
  <c r="G1018" i="2"/>
  <c r="K1020" i="2"/>
  <c r="I1023" i="2"/>
  <c r="G1026" i="2"/>
  <c r="K1028" i="2"/>
  <c r="I1031" i="2"/>
  <c r="H578" i="2"/>
  <c r="I644" i="2"/>
  <c r="J729" i="2"/>
  <c r="G590" i="2"/>
  <c r="K679" i="2"/>
  <c r="H811" i="2"/>
  <c r="F854" i="2"/>
  <c r="J896" i="2"/>
  <c r="I939" i="2"/>
  <c r="I714" i="2"/>
  <c r="K797" i="2"/>
  <c r="K821" i="2"/>
  <c r="G843" i="2"/>
  <c r="I864" i="2"/>
  <c r="K885" i="2"/>
  <c r="G907" i="2"/>
  <c r="H928" i="2"/>
  <c r="J949" i="2"/>
  <c r="J973" i="2"/>
  <c r="F995" i="2"/>
  <c r="H1016" i="2"/>
  <c r="F1035" i="2"/>
  <c r="J1045" i="2"/>
  <c r="H1056" i="2"/>
  <c r="F1067" i="2"/>
  <c r="J1077" i="2"/>
  <c r="H1088" i="2"/>
  <c r="F1099" i="2"/>
  <c r="J1109" i="2"/>
  <c r="H1120" i="2"/>
  <c r="F1131" i="2"/>
  <c r="J1141" i="2"/>
  <c r="H1152" i="2"/>
  <c r="F1163" i="2"/>
  <c r="J1173" i="2"/>
  <c r="H1184" i="2"/>
  <c r="G1195" i="2"/>
  <c r="K1205" i="2"/>
  <c r="I1216" i="2"/>
  <c r="G1227" i="2"/>
  <c r="K1237" i="2"/>
  <c r="I1248" i="2"/>
  <c r="G1259" i="2"/>
  <c r="I1263" i="2"/>
  <c r="G1266" i="2"/>
  <c r="K1268" i="2"/>
  <c r="I1271" i="2"/>
  <c r="G1274" i="2"/>
  <c r="K1276" i="2"/>
  <c r="I1279" i="2"/>
  <c r="G1282" i="2"/>
  <c r="K1284" i="2"/>
  <c r="I1287" i="2"/>
  <c r="G1290" i="2"/>
  <c r="K1292" i="2"/>
  <c r="I1295" i="2"/>
  <c r="G1298" i="2"/>
  <c r="K1300" i="2"/>
  <c r="I1303" i="2"/>
  <c r="G1306" i="2"/>
  <c r="K1308" i="2"/>
  <c r="I1311" i="2"/>
  <c r="G1314" i="2"/>
  <c r="K1316" i="2"/>
  <c r="I1319" i="2"/>
  <c r="G1322" i="2"/>
  <c r="K1324" i="2"/>
  <c r="I1327" i="2"/>
  <c r="G1330" i="2"/>
  <c r="K1332" i="2"/>
  <c r="I1335" i="2"/>
  <c r="G1338" i="2"/>
  <c r="K1340" i="2"/>
  <c r="I1343" i="2"/>
  <c r="G1346" i="2"/>
  <c r="K1348" i="2"/>
  <c r="I1351" i="2"/>
  <c r="G1354" i="2"/>
  <c r="K1356" i="2"/>
  <c r="I1359" i="2"/>
  <c r="G1362" i="2"/>
  <c r="K1364" i="2"/>
  <c r="I1367" i="2"/>
  <c r="G1370" i="2"/>
  <c r="K1372" i="2"/>
  <c r="J521" i="2"/>
  <c r="I507" i="2"/>
  <c r="G616" i="2"/>
  <c r="J665" i="2"/>
  <c r="H708" i="2"/>
  <c r="F751" i="2"/>
  <c r="J793" i="2"/>
  <c r="J615" i="2"/>
  <c r="H658" i="2"/>
  <c r="I713" i="2"/>
  <c r="H797" i="2"/>
  <c r="F822" i="2"/>
  <c r="H843" i="2"/>
  <c r="J864" i="2"/>
  <c r="F886" i="2"/>
  <c r="H907" i="2"/>
  <c r="K928" i="2"/>
  <c r="G950" i="2"/>
  <c r="G693" i="2"/>
  <c r="K735" i="2"/>
  <c r="I778" i="2"/>
  <c r="K805" i="2"/>
  <c r="I816" i="2"/>
  <c r="G827" i="2"/>
  <c r="K837" i="2"/>
  <c r="I848" i="2"/>
  <c r="G859" i="2"/>
  <c r="K869" i="2"/>
  <c r="I880" i="2"/>
  <c r="G891" i="2"/>
  <c r="K901" i="2"/>
  <c r="I912" i="2"/>
  <c r="F923" i="2"/>
  <c r="J933" i="2"/>
  <c r="H944" i="2"/>
  <c r="F955" i="2"/>
  <c r="H967" i="2"/>
  <c r="F979" i="2"/>
  <c r="J989" i="2"/>
  <c r="H1000" i="2"/>
  <c r="F1011" i="2"/>
  <c r="J1021" i="2"/>
  <c r="H1032" i="2"/>
  <c r="J1037" i="2"/>
  <c r="F1043" i="2"/>
  <c r="H1048" i="2"/>
  <c r="J1053" i="2"/>
  <c r="F1059" i="2"/>
  <c r="H1064" i="2"/>
  <c r="J1069" i="2"/>
  <c r="F1075" i="2"/>
  <c r="H1080" i="2"/>
  <c r="J1085" i="2"/>
  <c r="F1091" i="2"/>
  <c r="H1096" i="2"/>
  <c r="J1101" i="2"/>
  <c r="F1107" i="2"/>
  <c r="H1112" i="2"/>
  <c r="J1117" i="2"/>
  <c r="F1123" i="2"/>
  <c r="H1128" i="2"/>
  <c r="J1133" i="2"/>
  <c r="F1139" i="2"/>
  <c r="H1144" i="2"/>
  <c r="J1149" i="2"/>
  <c r="F1155" i="2"/>
  <c r="H1160" i="2"/>
  <c r="J1165" i="2"/>
  <c r="F1171" i="2"/>
  <c r="H1176" i="2"/>
  <c r="J1181" i="2"/>
  <c r="G1187" i="2"/>
  <c r="I1192" i="2"/>
  <c r="K1197" i="2"/>
  <c r="G1203" i="2"/>
  <c r="I1208" i="2"/>
  <c r="K1213" i="2"/>
  <c r="G1219" i="2"/>
  <c r="I1224" i="2"/>
  <c r="K1229" i="2"/>
  <c r="G1235" i="2"/>
  <c r="I1240" i="2"/>
  <c r="K1245" i="2"/>
  <c r="G1251" i="2"/>
  <c r="I1256" i="2"/>
  <c r="G461" i="2"/>
  <c r="F557" i="2"/>
  <c r="I469" i="2"/>
  <c r="K528" i="2"/>
  <c r="G591" i="2"/>
  <c r="K633" i="2"/>
  <c r="G655" i="2"/>
  <c r="H676" i="2"/>
  <c r="J697" i="2"/>
  <c r="F719" i="2"/>
  <c r="H740" i="2"/>
  <c r="J761" i="2"/>
  <c r="F783" i="2"/>
  <c r="K568" i="2"/>
  <c r="F605" i="2"/>
  <c r="H626" i="2"/>
  <c r="J647" i="2"/>
  <c r="G669" i="2"/>
  <c r="G692" i="2"/>
  <c r="K734" i="2"/>
  <c r="I777" i="2"/>
  <c r="F806" i="2"/>
  <c r="J816" i="2"/>
  <c r="H827" i="2"/>
  <c r="F838" i="2"/>
  <c r="J848" i="2"/>
  <c r="H859" i="2"/>
  <c r="F870" i="2"/>
  <c r="J880" i="2"/>
  <c r="H891" i="2"/>
  <c r="F902" i="2"/>
  <c r="J912" i="2"/>
  <c r="I923" i="2"/>
  <c r="G934" i="2"/>
  <c r="K944" i="2"/>
  <c r="I955" i="2"/>
  <c r="G966" i="2"/>
  <c r="K703" i="2"/>
  <c r="G725" i="2"/>
  <c r="I746" i="2"/>
  <c r="K767" i="2"/>
  <c r="G789" i="2"/>
  <c r="G803" i="2"/>
  <c r="I808" i="2"/>
  <c r="K813" i="2"/>
  <c r="G819" i="2"/>
  <c r="I824" i="2"/>
  <c r="K829" i="2"/>
  <c r="G835" i="2"/>
  <c r="I840" i="2"/>
  <c r="K845" i="2"/>
  <c r="G851" i="2"/>
  <c r="I856" i="2"/>
  <c r="K861" i="2"/>
  <c r="G867" i="2"/>
  <c r="I872" i="2"/>
  <c r="K877" i="2"/>
  <c r="G883" i="2"/>
  <c r="I888" i="2"/>
  <c r="K893" i="2"/>
  <c r="G899" i="2"/>
  <c r="I904" i="2"/>
  <c r="K909" i="2"/>
  <c r="G915" i="2"/>
  <c r="I920" i="2"/>
  <c r="J925" i="2"/>
  <c r="F931" i="2"/>
  <c r="H936" i="2"/>
  <c r="J941" i="2"/>
  <c r="F947" i="2"/>
  <c r="H952" i="2"/>
  <c r="J957" i="2"/>
  <c r="F963" i="2"/>
  <c r="F971" i="2"/>
  <c r="H976" i="2"/>
  <c r="J981" i="2"/>
  <c r="F987" i="2"/>
  <c r="H992" i="2"/>
  <c r="J997" i="2"/>
  <c r="F1003" i="2"/>
  <c r="H1008" i="2"/>
  <c r="J1013" i="2"/>
  <c r="F1019" i="2"/>
  <c r="H1024" i="2"/>
  <c r="J1029" i="2"/>
  <c r="K432" i="2"/>
  <c r="K497" i="2"/>
  <c r="F543" i="2"/>
  <c r="J567" i="2"/>
  <c r="F589" i="2"/>
  <c r="K490" i="2"/>
  <c r="G518" i="2"/>
  <c r="I539" i="2"/>
  <c r="K569" i="2"/>
  <c r="I605" i="2"/>
  <c r="K626" i="2"/>
  <c r="G639" i="2"/>
  <c r="K649" i="2"/>
  <c r="H660" i="2"/>
  <c r="F671" i="2"/>
  <c r="J681" i="2"/>
  <c r="H692" i="2"/>
  <c r="F703" i="2"/>
  <c r="J713" i="2"/>
  <c r="H724" i="2"/>
  <c r="F735" i="2"/>
  <c r="J745" i="2"/>
  <c r="H756" i="2"/>
  <c r="F767" i="2"/>
  <c r="J777" i="2"/>
  <c r="H788" i="2"/>
  <c r="G558" i="2"/>
  <c r="I579" i="2"/>
  <c r="J599" i="2"/>
  <c r="H610" i="2"/>
  <c r="F621" i="2"/>
  <c r="J631" i="2"/>
  <c r="H642" i="2"/>
  <c r="F653" i="2"/>
  <c r="K663" i="2"/>
  <c r="I674" i="2"/>
  <c r="G685" i="2"/>
  <c r="K702" i="2"/>
  <c r="G724" i="2"/>
  <c r="I745" i="2"/>
  <c r="K766" i="2"/>
  <c r="G788" i="2"/>
  <c r="J802" i="2"/>
  <c r="J808" i="2"/>
  <c r="F814" i="2"/>
  <c r="H819" i="2"/>
  <c r="J824" i="2"/>
  <c r="F830" i="2"/>
  <c r="H835" i="2"/>
  <c r="J840" i="2"/>
  <c r="F846" i="2"/>
  <c r="H851" i="2"/>
  <c r="J856" i="2"/>
  <c r="F862" i="2"/>
  <c r="H867" i="2"/>
  <c r="J872" i="2"/>
  <c r="F878" i="2"/>
  <c r="H883" i="2"/>
  <c r="J888" i="2"/>
  <c r="F894" i="2"/>
  <c r="H899" i="2"/>
  <c r="J904" i="2"/>
  <c r="F910" i="2"/>
  <c r="H915" i="2"/>
  <c r="J920" i="2"/>
  <c r="G926" i="2"/>
  <c r="I931" i="2"/>
  <c r="K936" i="2"/>
  <c r="G942" i="2"/>
  <c r="I947" i="2"/>
  <c r="K952" i="2"/>
  <c r="G958" i="2"/>
  <c r="I963" i="2"/>
  <c r="K968" i="2"/>
  <c r="I698" i="2"/>
  <c r="G709" i="2"/>
  <c r="K719" i="2"/>
  <c r="I730" i="2"/>
  <c r="G741" i="2"/>
  <c r="K751" i="2"/>
  <c r="I762" i="2"/>
  <c r="G773" i="2"/>
  <c r="K783" i="2"/>
  <c r="I794" i="2"/>
  <c r="I800" i="2"/>
  <c r="F352" i="2"/>
  <c r="J409" i="2"/>
  <c r="F364" i="2"/>
  <c r="F387" i="2"/>
  <c r="H404" i="2"/>
  <c r="G424" i="2"/>
  <c r="H432" i="2"/>
  <c r="J437" i="2"/>
  <c r="F443" i="2"/>
  <c r="H448" i="2"/>
  <c r="J453" i="2"/>
  <c r="J456" i="2"/>
  <c r="H459" i="2"/>
  <c r="F462" i="2"/>
  <c r="J464" i="2"/>
  <c r="H467" i="2"/>
  <c r="F470" i="2"/>
  <c r="J472" i="2"/>
  <c r="H475" i="2"/>
  <c r="F478" i="2"/>
  <c r="J480" i="2"/>
  <c r="F483" i="2"/>
  <c r="H484" i="2"/>
  <c r="J485" i="2"/>
  <c r="F487" i="2"/>
  <c r="H488" i="2"/>
  <c r="J489" i="2"/>
  <c r="F491" i="2"/>
  <c r="H492" i="2"/>
  <c r="J493" i="2"/>
  <c r="F495" i="2"/>
  <c r="H496" i="2"/>
  <c r="J497" i="2"/>
  <c r="F499" i="2"/>
  <c r="H500" i="2"/>
  <c r="J501" i="2"/>
  <c r="H391" i="2"/>
  <c r="F394" i="2"/>
  <c r="J396" i="2"/>
  <c r="H399" i="2"/>
  <c r="F402" i="2"/>
  <c r="J404" i="2"/>
  <c r="G407" i="2"/>
  <c r="I408" i="2"/>
  <c r="K409" i="2"/>
  <c r="G411" i="2"/>
  <c r="I412" i="2"/>
  <c r="K413" i="2"/>
  <c r="G415" i="2"/>
  <c r="I416" i="2"/>
  <c r="K417" i="2"/>
  <c r="G419" i="2"/>
  <c r="I420" i="2"/>
  <c r="K421" i="2"/>
  <c r="G423" i="2"/>
  <c r="I424" i="2"/>
  <c r="K425" i="2"/>
  <c r="G427" i="2"/>
  <c r="I428" i="2"/>
  <c r="K429" i="2"/>
  <c r="I430" i="2"/>
  <c r="G431" i="2"/>
  <c r="K431" i="2"/>
  <c r="I432" i="2"/>
  <c r="G433" i="2"/>
  <c r="K433" i="2"/>
  <c r="I434" i="2"/>
  <c r="G435" i="2"/>
  <c r="K435" i="2"/>
  <c r="I436" i="2"/>
  <c r="G437" i="2"/>
  <c r="K437" i="2"/>
  <c r="I438" i="2"/>
  <c r="G439" i="2"/>
  <c r="K439" i="2"/>
  <c r="I440" i="2"/>
  <c r="G441" i="2"/>
  <c r="K441" i="2"/>
  <c r="I442" i="2"/>
  <c r="G443" i="2"/>
  <c r="K443" i="2"/>
  <c r="I444" i="2"/>
  <c r="G445" i="2"/>
  <c r="K445" i="2"/>
  <c r="I446" i="2"/>
  <c r="G392" i="2"/>
  <c r="F378" i="2"/>
  <c r="I415" i="2"/>
  <c r="F435" i="2"/>
  <c r="J445" i="2"/>
  <c r="H455" i="2"/>
  <c r="J460" i="2"/>
  <c r="F466" i="2"/>
  <c r="H471" i="2"/>
  <c r="J476" i="2"/>
  <c r="F482" i="2"/>
  <c r="F485" i="2"/>
  <c r="J487" i="2"/>
  <c r="H490" i="2"/>
  <c r="F493" i="2"/>
  <c r="J495" i="2"/>
  <c r="H498" i="2"/>
  <c r="F501" i="2"/>
  <c r="J392" i="2"/>
  <c r="F398" i="2"/>
  <c r="H403" i="2"/>
  <c r="K407" i="2"/>
  <c r="I410" i="2"/>
  <c r="G413" i="2"/>
  <c r="K415" i="2"/>
  <c r="I418" i="2"/>
  <c r="G421" i="2"/>
  <c r="K423" i="2"/>
  <c r="I426" i="2"/>
  <c r="G429" i="2"/>
  <c r="K430" i="2"/>
  <c r="G432" i="2"/>
  <c r="I433" i="2"/>
  <c r="K434" i="2"/>
  <c r="G436" i="2"/>
  <c r="I437" i="2"/>
  <c r="K438" i="2"/>
  <c r="G440" i="2"/>
  <c r="I441" i="2"/>
  <c r="K442" i="2"/>
  <c r="G444" i="2"/>
  <c r="I445" i="2"/>
  <c r="K446" i="2"/>
  <c r="I447" i="2"/>
  <c r="G448" i="2"/>
  <c r="K448" i="2"/>
  <c r="I449" i="2"/>
  <c r="G450" i="2"/>
  <c r="K450" i="2"/>
  <c r="I451" i="2"/>
  <c r="G452" i="2"/>
  <c r="K452" i="2"/>
  <c r="I453" i="2"/>
  <c r="G454" i="2"/>
  <c r="K454" i="2"/>
  <c r="I455" i="2"/>
  <c r="G456" i="2"/>
  <c r="K456" i="2"/>
  <c r="I457" i="2"/>
  <c r="G458" i="2"/>
  <c r="K458" i="2"/>
  <c r="I459" i="2"/>
  <c r="G460" i="2"/>
  <c r="K460" i="2"/>
  <c r="I461" i="2"/>
  <c r="G462" i="2"/>
  <c r="K462" i="2"/>
  <c r="I463" i="2"/>
  <c r="G464" i="2"/>
  <c r="K464" i="2"/>
  <c r="I465" i="2"/>
  <c r="G466" i="2"/>
  <c r="K466" i="2"/>
  <c r="K467" i="2"/>
  <c r="G469" i="2"/>
  <c r="I470" i="2"/>
  <c r="K471" i="2"/>
  <c r="G473" i="2"/>
  <c r="I474" i="2"/>
  <c r="K475" i="2"/>
  <c r="G477" i="2"/>
  <c r="I478" i="2"/>
  <c r="K479" i="2"/>
  <c r="G481" i="2"/>
  <c r="I482" i="2"/>
  <c r="K483" i="2"/>
  <c r="G485" i="2"/>
  <c r="I486" i="2"/>
  <c r="K487" i="2"/>
  <c r="G489" i="2"/>
  <c r="I490" i="2"/>
  <c r="K491" i="2"/>
  <c r="G493" i="2"/>
  <c r="I494" i="2"/>
  <c r="K495" i="2"/>
  <c r="G497" i="2"/>
  <c r="I498" i="2"/>
  <c r="K499" i="2"/>
  <c r="G501" i="2"/>
  <c r="I502" i="2"/>
  <c r="H503" i="2"/>
  <c r="F504" i="2"/>
  <c r="J504" i="2"/>
  <c r="H505" i="2"/>
  <c r="F506" i="2"/>
  <c r="J506" i="2"/>
  <c r="H507" i="2"/>
  <c r="F508" i="2"/>
  <c r="J508" i="2"/>
  <c r="H509" i="2"/>
  <c r="F510" i="2"/>
  <c r="J510" i="2"/>
  <c r="H511" i="2"/>
  <c r="F512" i="2"/>
  <c r="J512" i="2"/>
  <c r="H513" i="2"/>
  <c r="F514" i="2"/>
  <c r="J514" i="2"/>
  <c r="H515" i="2"/>
  <c r="F516" i="2"/>
  <c r="J516" i="2"/>
  <c r="H517" i="2"/>
  <c r="F518" i="2"/>
  <c r="J518" i="2"/>
  <c r="H519" i="2"/>
  <c r="F520" i="2"/>
  <c r="J520" i="2"/>
  <c r="H521" i="2"/>
  <c r="F522" i="2"/>
  <c r="J522" i="2"/>
  <c r="H523" i="2"/>
  <c r="F524" i="2"/>
  <c r="J524" i="2"/>
  <c r="H525" i="2"/>
  <c r="F526" i="2"/>
  <c r="J526" i="2"/>
  <c r="H527" i="2"/>
  <c r="F528" i="2"/>
  <c r="J528" i="2"/>
  <c r="H529" i="2"/>
  <c r="F530" i="2"/>
  <c r="J530" i="2"/>
  <c r="H531" i="2"/>
  <c r="F532" i="2"/>
  <c r="J532" i="2"/>
  <c r="H533" i="2"/>
  <c r="F534" i="2"/>
  <c r="J534" i="2"/>
  <c r="H535" i="2"/>
  <c r="F536" i="2"/>
  <c r="J536" i="2"/>
  <c r="H537" i="2"/>
  <c r="F538" i="2"/>
  <c r="J538" i="2"/>
  <c r="H539" i="2"/>
  <c r="F540" i="2"/>
  <c r="J540" i="2"/>
  <c r="H541" i="2"/>
  <c r="F542" i="2"/>
  <c r="J542" i="2"/>
  <c r="H543" i="2"/>
  <c r="F544" i="2"/>
  <c r="J544" i="2"/>
  <c r="H545" i="2"/>
  <c r="F546" i="2"/>
  <c r="J546" i="2"/>
  <c r="H547" i="2"/>
  <c r="F548" i="2"/>
  <c r="J548" i="2"/>
  <c r="H549" i="2"/>
  <c r="H420" i="2"/>
  <c r="I429" i="2"/>
  <c r="F451" i="2"/>
  <c r="H463" i="2"/>
  <c r="F474" i="2"/>
  <c r="J483" i="2"/>
  <c r="F489" i="2"/>
  <c r="H494" i="2"/>
  <c r="J499" i="2"/>
  <c r="H395" i="2"/>
  <c r="K405" i="2"/>
  <c r="K411" i="2"/>
  <c r="G417" i="2"/>
  <c r="I422" i="2"/>
  <c r="K427" i="2"/>
  <c r="I431" i="2"/>
  <c r="G434" i="2"/>
  <c r="K436" i="2"/>
  <c r="I439" i="2"/>
  <c r="G442" i="2"/>
  <c r="K444" i="2"/>
  <c r="G447" i="2"/>
  <c r="I448" i="2"/>
  <c r="K449" i="2"/>
  <c r="G451" i="2"/>
  <c r="I452" i="2"/>
  <c r="K453" i="2"/>
  <c r="G455" i="2"/>
  <c r="I456" i="2"/>
  <c r="K457" i="2"/>
  <c r="G459" i="2"/>
  <c r="I460" i="2"/>
  <c r="K461" i="2"/>
  <c r="G463" i="2"/>
  <c r="I464" i="2"/>
  <c r="K465" i="2"/>
  <c r="G467" i="2"/>
  <c r="K469" i="2"/>
  <c r="I472" i="2"/>
  <c r="G475" i="2"/>
  <c r="K477" i="2"/>
  <c r="I480" i="2"/>
  <c r="G483" i="2"/>
  <c r="K485" i="2"/>
  <c r="I488" i="2"/>
  <c r="G491" i="2"/>
  <c r="K493" i="2"/>
  <c r="I496" i="2"/>
  <c r="G499" i="2"/>
  <c r="K501" i="2"/>
  <c r="J503" i="2"/>
  <c r="F505" i="2"/>
  <c r="H506" i="2"/>
  <c r="J507" i="2"/>
  <c r="F509" i="2"/>
  <c r="H510" i="2"/>
  <c r="J511" i="2"/>
  <c r="F513" i="2"/>
  <c r="H514" i="2"/>
  <c r="J515" i="2"/>
  <c r="F517" i="2"/>
  <c r="H518" i="2"/>
  <c r="J519" i="2"/>
  <c r="F521" i="2"/>
  <c r="H522" i="2"/>
  <c r="J523" i="2"/>
  <c r="F525" i="2"/>
  <c r="H526" i="2"/>
  <c r="J527" i="2"/>
  <c r="F529" i="2"/>
  <c r="H530" i="2"/>
  <c r="J531" i="2"/>
  <c r="F533" i="2"/>
  <c r="H534" i="2"/>
  <c r="J535" i="2"/>
  <c r="F537" i="2"/>
  <c r="H538" i="2"/>
  <c r="J539" i="2"/>
  <c r="F541" i="2"/>
  <c r="H542" i="2"/>
  <c r="J543" i="2"/>
  <c r="F545" i="2"/>
  <c r="H546" i="2"/>
  <c r="J547" i="2"/>
  <c r="F549" i="2"/>
  <c r="F550" i="2"/>
  <c r="J550" i="2"/>
  <c r="H551" i="2"/>
  <c r="F552" i="2"/>
  <c r="J552" i="2"/>
  <c r="H553" i="2"/>
  <c r="F554" i="2"/>
  <c r="J554" i="2"/>
  <c r="H555" i="2"/>
  <c r="F556" i="2"/>
  <c r="J556" i="2"/>
  <c r="H557" i="2"/>
  <c r="F558" i="2"/>
  <c r="J558" i="2"/>
  <c r="H559" i="2"/>
  <c r="F560" i="2"/>
  <c r="J560" i="2"/>
  <c r="H561" i="2"/>
  <c r="F562" i="2"/>
  <c r="J562" i="2"/>
  <c r="H563" i="2"/>
  <c r="F564" i="2"/>
  <c r="J564" i="2"/>
  <c r="H565" i="2"/>
  <c r="F566" i="2"/>
  <c r="J566" i="2"/>
  <c r="H567" i="2"/>
  <c r="F568" i="2"/>
  <c r="J568" i="2"/>
  <c r="H569" i="2"/>
  <c r="F570" i="2"/>
  <c r="J570" i="2"/>
  <c r="H571" i="2"/>
  <c r="F572" i="2"/>
  <c r="J572" i="2"/>
  <c r="H573" i="2"/>
  <c r="F574" i="2"/>
  <c r="J574" i="2"/>
  <c r="H575" i="2"/>
  <c r="F576" i="2"/>
  <c r="J576" i="2"/>
  <c r="H577" i="2"/>
  <c r="F578" i="2"/>
  <c r="J578" i="2"/>
  <c r="H579" i="2"/>
  <c r="F580" i="2"/>
  <c r="J580" i="2"/>
  <c r="H581" i="2"/>
  <c r="F582" i="2"/>
  <c r="J582" i="2"/>
  <c r="H583" i="2"/>
  <c r="F584" i="2"/>
  <c r="J584" i="2"/>
  <c r="H585" i="2"/>
  <c r="F586" i="2"/>
  <c r="J586" i="2"/>
  <c r="H587" i="2"/>
  <c r="F588" i="2"/>
  <c r="J588" i="2"/>
  <c r="H589" i="2"/>
  <c r="F590" i="2"/>
  <c r="J590" i="2"/>
  <c r="H591" i="2"/>
  <c r="F592" i="2"/>
  <c r="J592" i="2"/>
  <c r="H593" i="2"/>
  <c r="F594" i="2"/>
  <c r="J594" i="2"/>
  <c r="H595" i="2"/>
  <c r="F596" i="2"/>
  <c r="J596" i="2"/>
  <c r="H597" i="2"/>
  <c r="F598" i="2"/>
  <c r="I467" i="2"/>
  <c r="K468" i="2"/>
  <c r="G470" i="2"/>
  <c r="I471" i="2"/>
  <c r="K472" i="2"/>
  <c r="G474" i="2"/>
  <c r="I475" i="2"/>
  <c r="K476" i="2"/>
  <c r="G478" i="2"/>
  <c r="I479" i="2"/>
  <c r="K480" i="2"/>
  <c r="G482" i="2"/>
  <c r="I483" i="2"/>
  <c r="K484" i="2"/>
  <c r="G486" i="2"/>
  <c r="I487" i="2"/>
  <c r="K488" i="2"/>
  <c r="G490" i="2"/>
  <c r="I491" i="2"/>
  <c r="K492" i="2"/>
  <c r="G494" i="2"/>
  <c r="I495" i="2"/>
  <c r="K496" i="2"/>
  <c r="G498" i="2"/>
  <c r="I499" i="2"/>
  <c r="K500" i="2"/>
  <c r="G502" i="2"/>
  <c r="G503" i="2"/>
  <c r="K503" i="2"/>
  <c r="I504" i="2"/>
  <c r="G505" i="2"/>
  <c r="K505" i="2"/>
  <c r="I506" i="2"/>
  <c r="G507" i="2"/>
  <c r="K507" i="2"/>
  <c r="I508" i="2"/>
  <c r="G509" i="2"/>
  <c r="K509" i="2"/>
  <c r="I510" i="2"/>
  <c r="G511" i="2"/>
  <c r="K511" i="2"/>
  <c r="I512" i="2"/>
  <c r="G513" i="2"/>
  <c r="K513" i="2"/>
  <c r="I514" i="2"/>
  <c r="G515" i="2"/>
  <c r="K515" i="2"/>
  <c r="I516" i="2"/>
  <c r="G517" i="2"/>
  <c r="K517" i="2"/>
  <c r="I518" i="2"/>
  <c r="G519" i="2"/>
  <c r="K519" i="2"/>
  <c r="I520" i="2"/>
  <c r="G521" i="2"/>
  <c r="K521" i="2"/>
  <c r="I522" i="2"/>
  <c r="G523" i="2"/>
  <c r="K523" i="2"/>
  <c r="I524" i="2"/>
  <c r="G525" i="2"/>
  <c r="K525" i="2"/>
  <c r="I526" i="2"/>
  <c r="G527" i="2"/>
  <c r="K527" i="2"/>
  <c r="I528" i="2"/>
  <c r="G529" i="2"/>
  <c r="K529" i="2"/>
  <c r="I530" i="2"/>
  <c r="G531" i="2"/>
  <c r="K531" i="2"/>
  <c r="I532" i="2"/>
  <c r="G533" i="2"/>
  <c r="K533" i="2"/>
  <c r="I534" i="2"/>
  <c r="G535" i="2"/>
  <c r="K535" i="2"/>
  <c r="I536" i="2"/>
  <c r="G537" i="2"/>
  <c r="K537" i="2"/>
  <c r="I538" i="2"/>
  <c r="G539" i="2"/>
  <c r="K539" i="2"/>
  <c r="I540" i="2"/>
  <c r="G541" i="2"/>
  <c r="K541" i="2"/>
  <c r="I542" i="2"/>
  <c r="G543" i="2"/>
  <c r="K543" i="2"/>
  <c r="I544" i="2"/>
  <c r="G545" i="2"/>
  <c r="K545" i="2"/>
  <c r="I546" i="2"/>
  <c r="G547" i="2"/>
  <c r="K547" i="2"/>
  <c r="I548" i="2"/>
  <c r="G549" i="2"/>
  <c r="K549" i="2"/>
  <c r="I550" i="2"/>
  <c r="G551" i="2"/>
  <c r="K551" i="2"/>
  <c r="G553" i="2"/>
  <c r="I554" i="2"/>
  <c r="K555" i="2"/>
  <c r="G557" i="2"/>
  <c r="I558" i="2"/>
  <c r="K559" i="2"/>
  <c r="G561" i="2"/>
  <c r="I562" i="2"/>
  <c r="K563" i="2"/>
  <c r="G565" i="2"/>
  <c r="I566" i="2"/>
  <c r="K567" i="2"/>
  <c r="G569" i="2"/>
  <c r="I570" i="2"/>
  <c r="K571" i="2"/>
  <c r="G573" i="2"/>
  <c r="I574" i="2"/>
  <c r="K575" i="2"/>
  <c r="G577" i="2"/>
  <c r="I578" i="2"/>
  <c r="K579" i="2"/>
  <c r="G581" i="2"/>
  <c r="I582" i="2"/>
  <c r="K583" i="2"/>
  <c r="G585" i="2"/>
  <c r="I586" i="2"/>
  <c r="K587" i="2"/>
  <c r="G589" i="2"/>
  <c r="I590" i="2"/>
  <c r="K591" i="2"/>
  <c r="G593" i="2"/>
  <c r="I594" i="2"/>
  <c r="K595" i="2"/>
  <c r="G597" i="2"/>
  <c r="I598" i="2"/>
  <c r="G599" i="2"/>
  <c r="K599" i="2"/>
  <c r="I600" i="2"/>
  <c r="G601" i="2"/>
  <c r="K601" i="2"/>
  <c r="I602" i="2"/>
  <c r="G603" i="2"/>
  <c r="K603" i="2"/>
  <c r="I604" i="2"/>
  <c r="G605" i="2"/>
  <c r="K605" i="2"/>
  <c r="I606" i="2"/>
  <c r="G607" i="2"/>
  <c r="K607" i="2"/>
  <c r="I608" i="2"/>
  <c r="G609" i="2"/>
  <c r="K609" i="2"/>
  <c r="I610" i="2"/>
  <c r="G611" i="2"/>
  <c r="K611" i="2"/>
  <c r="I612" i="2"/>
  <c r="G613" i="2"/>
  <c r="K613" i="2"/>
  <c r="I614" i="2"/>
  <c r="G615" i="2"/>
  <c r="K615" i="2"/>
  <c r="I616" i="2"/>
  <c r="G617" i="2"/>
  <c r="K617" i="2"/>
  <c r="I618" i="2"/>
  <c r="G619" i="2"/>
  <c r="K619" i="2"/>
  <c r="I620" i="2"/>
  <c r="G621" i="2"/>
  <c r="K621" i="2"/>
  <c r="I622" i="2"/>
  <c r="G623" i="2"/>
  <c r="K623" i="2"/>
  <c r="I624" i="2"/>
  <c r="G625" i="2"/>
  <c r="K625" i="2"/>
  <c r="I626" i="2"/>
  <c r="G627" i="2"/>
  <c r="K627" i="2"/>
  <c r="I628" i="2"/>
  <c r="G629" i="2"/>
  <c r="K629" i="2"/>
  <c r="J393" i="2"/>
  <c r="F458" i="2"/>
  <c r="H479" i="2"/>
  <c r="J491" i="2"/>
  <c r="H502" i="2"/>
  <c r="G409" i="2"/>
  <c r="K419" i="2"/>
  <c r="G430" i="2"/>
  <c r="I435" i="2"/>
  <c r="K440" i="2"/>
  <c r="G446" i="2"/>
  <c r="G449" i="2"/>
  <c r="K451" i="2"/>
  <c r="I454" i="2"/>
  <c r="G457" i="2"/>
  <c r="K459" i="2"/>
  <c r="I462" i="2"/>
  <c r="G465" i="2"/>
  <c r="I468" i="2"/>
  <c r="K473" i="2"/>
  <c r="G479" i="2"/>
  <c r="I484" i="2"/>
  <c r="K489" i="2"/>
  <c r="G495" i="2"/>
  <c r="I500" i="2"/>
  <c r="H504" i="2"/>
  <c r="F507" i="2"/>
  <c r="J509" i="2"/>
  <c r="H512" i="2"/>
  <c r="F515" i="2"/>
  <c r="J517" i="2"/>
  <c r="H520" i="2"/>
  <c r="F523" i="2"/>
  <c r="J525" i="2"/>
  <c r="H528" i="2"/>
  <c r="F531" i="2"/>
  <c r="J533" i="2"/>
  <c r="H536" i="2"/>
  <c r="F539" i="2"/>
  <c r="J541" i="2"/>
  <c r="H544" i="2"/>
  <c r="F547" i="2"/>
  <c r="J549" i="2"/>
  <c r="F551" i="2"/>
  <c r="H552" i="2"/>
  <c r="J553" i="2"/>
  <c r="F555" i="2"/>
  <c r="H556" i="2"/>
  <c r="J557" i="2"/>
  <c r="F559" i="2"/>
  <c r="H560" i="2"/>
  <c r="J561" i="2"/>
  <c r="F563" i="2"/>
  <c r="H564" i="2"/>
  <c r="J565" i="2"/>
  <c r="F567" i="2"/>
  <c r="H568" i="2"/>
  <c r="J569" i="2"/>
  <c r="F571" i="2"/>
  <c r="H572" i="2"/>
  <c r="J573" i="2"/>
  <c r="F575" i="2"/>
  <c r="H576" i="2"/>
  <c r="J577" i="2"/>
  <c r="F579" i="2"/>
  <c r="H580" i="2"/>
  <c r="J581" i="2"/>
  <c r="F583" i="2"/>
  <c r="H584" i="2"/>
  <c r="J585" i="2"/>
  <c r="F587" i="2"/>
  <c r="H588" i="2"/>
  <c r="J589" i="2"/>
  <c r="F591" i="2"/>
  <c r="H592" i="2"/>
  <c r="J593" i="2"/>
  <c r="F595" i="2"/>
  <c r="H596" i="2"/>
  <c r="J597" i="2"/>
  <c r="G468" i="2"/>
  <c r="K470" i="2"/>
  <c r="I473" i="2"/>
  <c r="G476" i="2"/>
  <c r="K478" i="2"/>
  <c r="I481" i="2"/>
  <c r="G484" i="2"/>
  <c r="K486" i="2"/>
  <c r="I489" i="2"/>
  <c r="G492" i="2"/>
  <c r="K494" i="2"/>
  <c r="I497" i="2"/>
  <c r="G500" i="2"/>
  <c r="K502" i="2"/>
  <c r="G504" i="2"/>
  <c r="I505" i="2"/>
  <c r="K506" i="2"/>
  <c r="G508" i="2"/>
  <c r="I509" i="2"/>
  <c r="K510" i="2"/>
  <c r="G512" i="2"/>
  <c r="I513" i="2"/>
  <c r="K514" i="2"/>
  <c r="G516" i="2"/>
  <c r="I517" i="2"/>
  <c r="K518" i="2"/>
  <c r="G520" i="2"/>
  <c r="I521" i="2"/>
  <c r="K522" i="2"/>
  <c r="G524" i="2"/>
  <c r="I525" i="2"/>
  <c r="K526" i="2"/>
  <c r="G528" i="2"/>
  <c r="I529" i="2"/>
  <c r="K530" i="2"/>
  <c r="G532" i="2"/>
  <c r="I533" i="2"/>
  <c r="K534" i="2"/>
  <c r="G536" i="2"/>
  <c r="I537" i="2"/>
  <c r="K538" i="2"/>
  <c r="G540" i="2"/>
  <c r="I541" i="2"/>
  <c r="K542" i="2"/>
  <c r="G544" i="2"/>
  <c r="I545" i="2"/>
  <c r="K546" i="2"/>
  <c r="G548" i="2"/>
  <c r="I549" i="2"/>
  <c r="K550" i="2"/>
  <c r="I552" i="2"/>
  <c r="G555" i="2"/>
  <c r="K557" i="2"/>
  <c r="I560" i="2"/>
  <c r="G563" i="2"/>
  <c r="K565" i="2"/>
  <c r="I568" i="2"/>
  <c r="G571" i="2"/>
  <c r="K573" i="2"/>
  <c r="I576" i="2"/>
  <c r="G579" i="2"/>
  <c r="K581" i="2"/>
  <c r="I584" i="2"/>
  <c r="G587" i="2"/>
  <c r="K589" i="2"/>
  <c r="I592" i="2"/>
  <c r="G595" i="2"/>
  <c r="K597" i="2"/>
  <c r="I599" i="2"/>
  <c r="K600" i="2"/>
  <c r="G602" i="2"/>
  <c r="I603" i="2"/>
  <c r="K604" i="2"/>
  <c r="G606" i="2"/>
  <c r="I607" i="2"/>
  <c r="K608" i="2"/>
  <c r="G610" i="2"/>
  <c r="I611" i="2"/>
  <c r="K612" i="2"/>
  <c r="G614" i="2"/>
  <c r="I615" i="2"/>
  <c r="K616" i="2"/>
  <c r="G618" i="2"/>
  <c r="I619" i="2"/>
  <c r="K620" i="2"/>
  <c r="G622" i="2"/>
  <c r="I623" i="2"/>
  <c r="K624" i="2"/>
  <c r="G626" i="2"/>
  <c r="I627" i="2"/>
  <c r="K628" i="2"/>
  <c r="G630" i="2"/>
  <c r="K630" i="2"/>
  <c r="I631" i="2"/>
  <c r="G632" i="2"/>
  <c r="K632" i="2"/>
  <c r="I633" i="2"/>
  <c r="G634" i="2"/>
  <c r="K634" i="2"/>
  <c r="I635" i="2"/>
  <c r="G636" i="2"/>
  <c r="K636" i="2"/>
  <c r="I637" i="2"/>
  <c r="G638" i="2"/>
  <c r="K638" i="2"/>
  <c r="I639" i="2"/>
  <c r="G640" i="2"/>
  <c r="K640" i="2"/>
  <c r="I641" i="2"/>
  <c r="G642" i="2"/>
  <c r="K642" i="2"/>
  <c r="I643" i="2"/>
  <c r="G644" i="2"/>
  <c r="K644" i="2"/>
  <c r="I645" i="2"/>
  <c r="G646" i="2"/>
  <c r="K646" i="2"/>
  <c r="I647" i="2"/>
  <c r="G648" i="2"/>
  <c r="K648" i="2"/>
  <c r="I649" i="2"/>
  <c r="G650" i="2"/>
  <c r="K650" i="2"/>
  <c r="I651" i="2"/>
  <c r="G652" i="2"/>
  <c r="K652" i="2"/>
  <c r="I653" i="2"/>
  <c r="G654" i="2"/>
  <c r="K654" i="2"/>
  <c r="I655" i="2"/>
  <c r="G656" i="2"/>
  <c r="K656" i="2"/>
  <c r="I657" i="2"/>
  <c r="G658" i="2"/>
  <c r="K658" i="2"/>
  <c r="H659" i="2"/>
  <c r="F660" i="2"/>
  <c r="J660" i="2"/>
  <c r="H661" i="2"/>
  <c r="F662" i="2"/>
  <c r="J662" i="2"/>
  <c r="H663" i="2"/>
  <c r="F664" i="2"/>
  <c r="J664" i="2"/>
  <c r="H665" i="2"/>
  <c r="F666" i="2"/>
  <c r="J666" i="2"/>
  <c r="H667" i="2"/>
  <c r="F668" i="2"/>
  <c r="J668" i="2"/>
  <c r="H669" i="2"/>
  <c r="F670" i="2"/>
  <c r="J670" i="2"/>
  <c r="H671" i="2"/>
  <c r="F672" i="2"/>
  <c r="J672" i="2"/>
  <c r="H673" i="2"/>
  <c r="F674" i="2"/>
  <c r="J674" i="2"/>
  <c r="H675" i="2"/>
  <c r="F676" i="2"/>
  <c r="J676" i="2"/>
  <c r="H677" i="2"/>
  <c r="F678" i="2"/>
  <c r="J678" i="2"/>
  <c r="H679" i="2"/>
  <c r="F680" i="2"/>
  <c r="J680" i="2"/>
  <c r="H681" i="2"/>
  <c r="F682" i="2"/>
  <c r="J682" i="2"/>
  <c r="H683" i="2"/>
  <c r="F684" i="2"/>
  <c r="J684" i="2"/>
  <c r="H685" i="2"/>
  <c r="F686" i="2"/>
  <c r="J686" i="2"/>
  <c r="H687" i="2"/>
  <c r="F688" i="2"/>
  <c r="J688" i="2"/>
  <c r="H689" i="2"/>
  <c r="F690" i="2"/>
  <c r="J690" i="2"/>
  <c r="H691" i="2"/>
  <c r="F692" i="2"/>
  <c r="J692" i="2"/>
  <c r="H693" i="2"/>
  <c r="F694" i="2"/>
  <c r="J694" i="2"/>
  <c r="H695" i="2"/>
  <c r="F696" i="2"/>
  <c r="J696" i="2"/>
  <c r="H697" i="2"/>
  <c r="F698" i="2"/>
  <c r="J698" i="2"/>
  <c r="H699" i="2"/>
  <c r="F700" i="2"/>
  <c r="J700" i="2"/>
  <c r="H701" i="2"/>
  <c r="F702" i="2"/>
  <c r="J702" i="2"/>
  <c r="H703" i="2"/>
  <c r="F704" i="2"/>
  <c r="J704" i="2"/>
  <c r="H705" i="2"/>
  <c r="F706" i="2"/>
  <c r="J706" i="2"/>
  <c r="H707" i="2"/>
  <c r="F708" i="2"/>
  <c r="J708" i="2"/>
  <c r="H709" i="2"/>
  <c r="F710" i="2"/>
  <c r="J710" i="2"/>
  <c r="H711" i="2"/>
  <c r="F712" i="2"/>
  <c r="J712" i="2"/>
  <c r="H713" i="2"/>
  <c r="F714" i="2"/>
  <c r="J714" i="2"/>
  <c r="H715" i="2"/>
  <c r="F716" i="2"/>
  <c r="J716" i="2"/>
  <c r="H717" i="2"/>
  <c r="F718" i="2"/>
  <c r="J718" i="2"/>
  <c r="H719" i="2"/>
  <c r="F720" i="2"/>
  <c r="J720" i="2"/>
  <c r="H721" i="2"/>
  <c r="F722" i="2"/>
  <c r="J722" i="2"/>
  <c r="H723" i="2"/>
  <c r="F724" i="2"/>
  <c r="J724" i="2"/>
  <c r="H725" i="2"/>
  <c r="F726" i="2"/>
  <c r="J726" i="2"/>
  <c r="H727" i="2"/>
  <c r="F728" i="2"/>
  <c r="J728" i="2"/>
  <c r="H729" i="2"/>
  <c r="F730" i="2"/>
  <c r="J730" i="2"/>
  <c r="H731" i="2"/>
  <c r="F732" i="2"/>
  <c r="J732" i="2"/>
  <c r="H733" i="2"/>
  <c r="F734" i="2"/>
  <c r="J734" i="2"/>
  <c r="H735" i="2"/>
  <c r="F736" i="2"/>
  <c r="J736" i="2"/>
  <c r="H737" i="2"/>
  <c r="F738" i="2"/>
  <c r="J738" i="2"/>
  <c r="H739" i="2"/>
  <c r="F740" i="2"/>
  <c r="J740" i="2"/>
  <c r="H741" i="2"/>
  <c r="F742" i="2"/>
  <c r="J742" i="2"/>
  <c r="H743" i="2"/>
  <c r="F744" i="2"/>
  <c r="J744" i="2"/>
  <c r="H745" i="2"/>
  <c r="F746" i="2"/>
  <c r="J746" i="2"/>
  <c r="H747" i="2"/>
  <c r="F748" i="2"/>
  <c r="J748" i="2"/>
  <c r="H749" i="2"/>
  <c r="F750" i="2"/>
  <c r="J750" i="2"/>
  <c r="H751" i="2"/>
  <c r="F752" i="2"/>
  <c r="J752" i="2"/>
  <c r="H753" i="2"/>
  <c r="F754" i="2"/>
  <c r="J754" i="2"/>
  <c r="H755" i="2"/>
  <c r="F756" i="2"/>
  <c r="J756" i="2"/>
  <c r="H757" i="2"/>
  <c r="F758" i="2"/>
  <c r="J758" i="2"/>
  <c r="H759" i="2"/>
  <c r="F760" i="2"/>
  <c r="J760" i="2"/>
  <c r="H761" i="2"/>
  <c r="F762" i="2"/>
  <c r="J762" i="2"/>
  <c r="H763" i="2"/>
  <c r="F764" i="2"/>
  <c r="J764" i="2"/>
  <c r="H765" i="2"/>
  <c r="F766" i="2"/>
  <c r="J766" i="2"/>
  <c r="H767" i="2"/>
  <c r="F768" i="2"/>
  <c r="J768" i="2"/>
  <c r="H769" i="2"/>
  <c r="F770" i="2"/>
  <c r="J770" i="2"/>
  <c r="H771" i="2"/>
  <c r="F772" i="2"/>
  <c r="J772" i="2"/>
  <c r="H773" i="2"/>
  <c r="F774" i="2"/>
  <c r="J774" i="2"/>
  <c r="H775" i="2"/>
  <c r="F776" i="2"/>
  <c r="J776" i="2"/>
  <c r="H777" i="2"/>
  <c r="F778" i="2"/>
  <c r="J778" i="2"/>
  <c r="H779" i="2"/>
  <c r="F780" i="2"/>
  <c r="J780" i="2"/>
  <c r="H781" i="2"/>
  <c r="F782" i="2"/>
  <c r="J782" i="2"/>
  <c r="H783" i="2"/>
  <c r="F784" i="2"/>
  <c r="J784" i="2"/>
  <c r="H785" i="2"/>
  <c r="F786" i="2"/>
  <c r="J786" i="2"/>
  <c r="H787" i="2"/>
  <c r="F788" i="2"/>
  <c r="J788" i="2"/>
  <c r="H789" i="2"/>
  <c r="F790" i="2"/>
  <c r="J790" i="2"/>
  <c r="H791" i="2"/>
  <c r="F792" i="2"/>
  <c r="J792" i="2"/>
  <c r="H793" i="2"/>
  <c r="F794" i="2"/>
  <c r="J794" i="2"/>
  <c r="H795" i="2"/>
  <c r="G552" i="2"/>
  <c r="I553" i="2"/>
  <c r="K554" i="2"/>
  <c r="G556" i="2"/>
  <c r="I557" i="2"/>
  <c r="K558" i="2"/>
  <c r="G560" i="2"/>
  <c r="I561" i="2"/>
  <c r="K562" i="2"/>
  <c r="G564" i="2"/>
  <c r="I565" i="2"/>
  <c r="K566" i="2"/>
  <c r="G568" i="2"/>
  <c r="I569" i="2"/>
  <c r="K570" i="2"/>
  <c r="G572" i="2"/>
  <c r="I573" i="2"/>
  <c r="K574" i="2"/>
  <c r="G576" i="2"/>
  <c r="I577" i="2"/>
  <c r="K578" i="2"/>
  <c r="G580" i="2"/>
  <c r="I581" i="2"/>
  <c r="K582" i="2"/>
  <c r="G584" i="2"/>
  <c r="I585" i="2"/>
  <c r="K586" i="2"/>
  <c r="G588" i="2"/>
  <c r="I589" i="2"/>
  <c r="K590" i="2"/>
  <c r="G592" i="2"/>
  <c r="I593" i="2"/>
  <c r="K594" i="2"/>
  <c r="G596" i="2"/>
  <c r="I597" i="2"/>
  <c r="J598" i="2"/>
  <c r="H599" i="2"/>
  <c r="F600" i="2"/>
  <c r="J600" i="2"/>
  <c r="H601" i="2"/>
  <c r="F602" i="2"/>
  <c r="J602" i="2"/>
  <c r="H603" i="2"/>
  <c r="F604" i="2"/>
  <c r="J604" i="2"/>
  <c r="H605" i="2"/>
  <c r="F606" i="2"/>
  <c r="J606" i="2"/>
  <c r="H607" i="2"/>
  <c r="F608" i="2"/>
  <c r="J608" i="2"/>
  <c r="H609" i="2"/>
  <c r="F610" i="2"/>
  <c r="J610" i="2"/>
  <c r="H611" i="2"/>
  <c r="F612" i="2"/>
  <c r="J612" i="2"/>
  <c r="H613" i="2"/>
  <c r="F614" i="2"/>
  <c r="J614" i="2"/>
  <c r="H615" i="2"/>
  <c r="F616" i="2"/>
  <c r="J616" i="2"/>
  <c r="H617" i="2"/>
  <c r="F618" i="2"/>
  <c r="J618" i="2"/>
  <c r="H619" i="2"/>
  <c r="F620" i="2"/>
  <c r="J620" i="2"/>
  <c r="H621" i="2"/>
  <c r="F622" i="2"/>
  <c r="J622" i="2"/>
  <c r="H623" i="2"/>
  <c r="F624" i="2"/>
  <c r="J624" i="2"/>
  <c r="H625" i="2"/>
  <c r="F626" i="2"/>
  <c r="J626" i="2"/>
  <c r="H627" i="2"/>
  <c r="F628" i="2"/>
  <c r="J628" i="2"/>
  <c r="H629" i="2"/>
  <c r="F630" i="2"/>
  <c r="J630" i="2"/>
  <c r="H631" i="2"/>
  <c r="F632" i="2"/>
  <c r="J632" i="2"/>
  <c r="H633" i="2"/>
  <c r="F634" i="2"/>
  <c r="J634" i="2"/>
  <c r="H635" i="2"/>
  <c r="F636" i="2"/>
  <c r="J636" i="2"/>
  <c r="H637" i="2"/>
  <c r="F638" i="2"/>
  <c r="J638" i="2"/>
  <c r="H639" i="2"/>
  <c r="F640" i="2"/>
  <c r="J640" i="2"/>
  <c r="H641" i="2"/>
  <c r="F642" i="2"/>
  <c r="J642" i="2"/>
  <c r="H643" i="2"/>
  <c r="F644" i="2"/>
  <c r="J644" i="2"/>
  <c r="H645" i="2"/>
  <c r="F646" i="2"/>
  <c r="J646" i="2"/>
  <c r="H647" i="2"/>
  <c r="F648" i="2"/>
  <c r="J648" i="2"/>
  <c r="H649" i="2"/>
  <c r="F650" i="2"/>
  <c r="J650" i="2"/>
  <c r="H651" i="2"/>
  <c r="F652" i="2"/>
  <c r="J652" i="2"/>
  <c r="H653" i="2"/>
  <c r="F654" i="2"/>
  <c r="J654" i="2"/>
  <c r="H655" i="2"/>
  <c r="F656" i="2"/>
  <c r="J656" i="2"/>
  <c r="H657" i="2"/>
  <c r="F658" i="2"/>
  <c r="J658" i="2"/>
  <c r="I659" i="2"/>
  <c r="G660" i="2"/>
  <c r="K660" i="2"/>
  <c r="I661" i="2"/>
  <c r="G662" i="2"/>
  <c r="K662" i="2"/>
  <c r="I663" i="2"/>
  <c r="G664" i="2"/>
  <c r="K664" i="2"/>
  <c r="I665" i="2"/>
  <c r="G666" i="2"/>
  <c r="K666" i="2"/>
  <c r="I667" i="2"/>
  <c r="G668" i="2"/>
  <c r="K668" i="2"/>
  <c r="I669" i="2"/>
  <c r="G670" i="2"/>
  <c r="K670" i="2"/>
  <c r="I671" i="2"/>
  <c r="G672" i="2"/>
  <c r="K672" i="2"/>
  <c r="I673" i="2"/>
  <c r="G674" i="2"/>
  <c r="K674" i="2"/>
  <c r="I675" i="2"/>
  <c r="G676" i="2"/>
  <c r="K676" i="2"/>
  <c r="I677" i="2"/>
  <c r="G678" i="2"/>
  <c r="K678" i="2"/>
  <c r="I679" i="2"/>
  <c r="G680" i="2"/>
  <c r="K680" i="2"/>
  <c r="I681" i="2"/>
  <c r="G682" i="2"/>
  <c r="K682" i="2"/>
  <c r="I683" i="2"/>
  <c r="G684" i="2"/>
  <c r="K684" i="2"/>
  <c r="I685" i="2"/>
  <c r="G686" i="2"/>
  <c r="K686" i="2"/>
  <c r="I687" i="2"/>
  <c r="G688" i="2"/>
  <c r="K688" i="2"/>
  <c r="G690" i="2"/>
  <c r="I691" i="2"/>
  <c r="K692" i="2"/>
  <c r="G694" i="2"/>
  <c r="I695" i="2"/>
  <c r="K696" i="2"/>
  <c r="G698" i="2"/>
  <c r="I699" i="2"/>
  <c r="K700" i="2"/>
  <c r="G702" i="2"/>
  <c r="I703" i="2"/>
  <c r="K704" i="2"/>
  <c r="G706" i="2"/>
  <c r="I707" i="2"/>
  <c r="K708" i="2"/>
  <c r="G710" i="2"/>
  <c r="I711" i="2"/>
  <c r="K712" i="2"/>
  <c r="G714" i="2"/>
  <c r="I715" i="2"/>
  <c r="K716" i="2"/>
  <c r="G718" i="2"/>
  <c r="I719" i="2"/>
  <c r="K720" i="2"/>
  <c r="G722" i="2"/>
  <c r="I723" i="2"/>
  <c r="K724" i="2"/>
  <c r="G726" i="2"/>
  <c r="I727" i="2"/>
  <c r="K728" i="2"/>
  <c r="G730" i="2"/>
  <c r="I731" i="2"/>
  <c r="K732" i="2"/>
  <c r="G734" i="2"/>
  <c r="I735" i="2"/>
  <c r="K736" i="2"/>
  <c r="G738" i="2"/>
  <c r="I739" i="2"/>
  <c r="K740" i="2"/>
  <c r="G742" i="2"/>
  <c r="I743" i="2"/>
  <c r="K744" i="2"/>
  <c r="G746" i="2"/>
  <c r="I747" i="2"/>
  <c r="K748" i="2"/>
  <c r="G750" i="2"/>
  <c r="I751" i="2"/>
  <c r="K752" i="2"/>
  <c r="G754" i="2"/>
  <c r="I755" i="2"/>
  <c r="K756" i="2"/>
  <c r="G758" i="2"/>
  <c r="I759" i="2"/>
  <c r="K760" i="2"/>
  <c r="G762" i="2"/>
  <c r="I763" i="2"/>
  <c r="K764" i="2"/>
  <c r="G766" i="2"/>
  <c r="I767" i="2"/>
  <c r="K768" i="2"/>
  <c r="G770" i="2"/>
  <c r="I771" i="2"/>
  <c r="K772" i="2"/>
  <c r="G774" i="2"/>
  <c r="I775" i="2"/>
  <c r="K776" i="2"/>
  <c r="G778" i="2"/>
  <c r="I779" i="2"/>
  <c r="K780" i="2"/>
  <c r="G782" i="2"/>
  <c r="I783" i="2"/>
  <c r="K784" i="2"/>
  <c r="G786" i="2"/>
  <c r="I787" i="2"/>
  <c r="K788" i="2"/>
  <c r="G790" i="2"/>
  <c r="I791" i="2"/>
  <c r="K792" i="2"/>
  <c r="G794" i="2"/>
  <c r="I795" i="2"/>
  <c r="H796" i="2"/>
  <c r="F797" i="2"/>
  <c r="J797" i="2"/>
  <c r="H798" i="2"/>
  <c r="F799" i="2"/>
  <c r="J799" i="2"/>
  <c r="H800" i="2"/>
  <c r="F801" i="2"/>
  <c r="J801" i="2"/>
  <c r="H802" i="2"/>
  <c r="F803" i="2"/>
  <c r="J803" i="2"/>
  <c r="H440" i="2"/>
  <c r="H486" i="2"/>
  <c r="J400" i="2"/>
  <c r="G425" i="2"/>
  <c r="G438" i="2"/>
  <c r="K447" i="2"/>
  <c r="G453" i="2"/>
  <c r="I458" i="2"/>
  <c r="K463" i="2"/>
  <c r="G471" i="2"/>
  <c r="K481" i="2"/>
  <c r="I492" i="2"/>
  <c r="F503" i="2"/>
  <c r="H508" i="2"/>
  <c r="J513" i="2"/>
  <c r="F519" i="2"/>
  <c r="H524" i="2"/>
  <c r="J529" i="2"/>
  <c r="F535" i="2"/>
  <c r="H540" i="2"/>
  <c r="J545" i="2"/>
  <c r="H550" i="2"/>
  <c r="F553" i="2"/>
  <c r="J555" i="2"/>
  <c r="H558" i="2"/>
  <c r="F561" i="2"/>
  <c r="J563" i="2"/>
  <c r="H566" i="2"/>
  <c r="F569" i="2"/>
  <c r="J571" i="2"/>
  <c r="H574" i="2"/>
  <c r="F577" i="2"/>
  <c r="J579" i="2"/>
  <c r="H582" i="2"/>
  <c r="F585" i="2"/>
  <c r="J587" i="2"/>
  <c r="H590" i="2"/>
  <c r="F593" i="2"/>
  <c r="J595" i="2"/>
  <c r="H598" i="2"/>
  <c r="G472" i="2"/>
  <c r="I477" i="2"/>
  <c r="K482" i="2"/>
  <c r="G488" i="2"/>
  <c r="I493" i="2"/>
  <c r="K498" i="2"/>
  <c r="I503" i="2"/>
  <c r="G506" i="2"/>
  <c r="K508" i="2"/>
  <c r="I511" i="2"/>
  <c r="G514" i="2"/>
  <c r="K516" i="2"/>
  <c r="I519" i="2"/>
  <c r="G522" i="2"/>
  <c r="K524" i="2"/>
  <c r="I527" i="2"/>
  <c r="G530" i="2"/>
  <c r="K532" i="2"/>
  <c r="I535" i="2"/>
  <c r="G538" i="2"/>
  <c r="K540" i="2"/>
  <c r="I543" i="2"/>
  <c r="G546" i="2"/>
  <c r="K548" i="2"/>
  <c r="I551" i="2"/>
  <c r="I556" i="2"/>
  <c r="K561" i="2"/>
  <c r="G567" i="2"/>
  <c r="I572" i="2"/>
  <c r="K577" i="2"/>
  <c r="G583" i="2"/>
  <c r="I588" i="2"/>
  <c r="K593" i="2"/>
  <c r="K598" i="2"/>
  <c r="I601" i="2"/>
  <c r="G604" i="2"/>
  <c r="K606" i="2"/>
  <c r="I609" i="2"/>
  <c r="G612" i="2"/>
  <c r="K614" i="2"/>
  <c r="I617" i="2"/>
  <c r="G620" i="2"/>
  <c r="K622" i="2"/>
  <c r="I625" i="2"/>
  <c r="G628" i="2"/>
  <c r="I630" i="2"/>
  <c r="K631" i="2"/>
  <c r="G633" i="2"/>
  <c r="I634" i="2"/>
  <c r="K635" i="2"/>
  <c r="G637" i="2"/>
  <c r="I638" i="2"/>
  <c r="K639" i="2"/>
  <c r="G641" i="2"/>
  <c r="I642" i="2"/>
  <c r="K643" i="2"/>
  <c r="G645" i="2"/>
  <c r="I646" i="2"/>
  <c r="K647" i="2"/>
  <c r="G649" i="2"/>
  <c r="I650" i="2"/>
  <c r="K651" i="2"/>
  <c r="G653" i="2"/>
  <c r="I654" i="2"/>
  <c r="K655" i="2"/>
  <c r="G657" i="2"/>
  <c r="I658" i="2"/>
  <c r="J659" i="2"/>
  <c r="F661" i="2"/>
  <c r="H662" i="2"/>
  <c r="J663" i="2"/>
  <c r="F665" i="2"/>
  <c r="H666" i="2"/>
  <c r="J667" i="2"/>
  <c r="F669" i="2"/>
  <c r="H670" i="2"/>
  <c r="J671" i="2"/>
  <c r="F673" i="2"/>
  <c r="H674" i="2"/>
  <c r="J675" i="2"/>
  <c r="F677" i="2"/>
  <c r="H678" i="2"/>
  <c r="J679" i="2"/>
  <c r="F681" i="2"/>
  <c r="H682" i="2"/>
  <c r="J683" i="2"/>
  <c r="F685" i="2"/>
  <c r="H686" i="2"/>
  <c r="J687" i="2"/>
  <c r="F689" i="2"/>
  <c r="H690" i="2"/>
  <c r="J691" i="2"/>
  <c r="F693" i="2"/>
  <c r="H694" i="2"/>
  <c r="J695" i="2"/>
  <c r="F697" i="2"/>
  <c r="H698" i="2"/>
  <c r="J699" i="2"/>
  <c r="F701" i="2"/>
  <c r="H702" i="2"/>
  <c r="J703" i="2"/>
  <c r="F705" i="2"/>
  <c r="H706" i="2"/>
  <c r="J707" i="2"/>
  <c r="F709" i="2"/>
  <c r="H710" i="2"/>
  <c r="J711" i="2"/>
  <c r="F713" i="2"/>
  <c r="H714" i="2"/>
  <c r="J715" i="2"/>
  <c r="F717" i="2"/>
  <c r="H718" i="2"/>
  <c r="J719" i="2"/>
  <c r="F721" i="2"/>
  <c r="H722" i="2"/>
  <c r="J723" i="2"/>
  <c r="F725" i="2"/>
  <c r="H726" i="2"/>
  <c r="J727" i="2"/>
  <c r="F729" i="2"/>
  <c r="H730" i="2"/>
  <c r="J731" i="2"/>
  <c r="F733" i="2"/>
  <c r="H734" i="2"/>
  <c r="J735" i="2"/>
  <c r="F737" i="2"/>
  <c r="H738" i="2"/>
  <c r="J739" i="2"/>
  <c r="F741" i="2"/>
  <c r="H742" i="2"/>
  <c r="J743" i="2"/>
  <c r="F745" i="2"/>
  <c r="H746" i="2"/>
  <c r="J747" i="2"/>
  <c r="F749" i="2"/>
  <c r="H750" i="2"/>
  <c r="J751" i="2"/>
  <c r="F753" i="2"/>
  <c r="H754" i="2"/>
  <c r="J755" i="2"/>
  <c r="F757" i="2"/>
  <c r="H758" i="2"/>
  <c r="J759" i="2"/>
  <c r="F761" i="2"/>
  <c r="H762" i="2"/>
  <c r="J763" i="2"/>
  <c r="F765" i="2"/>
  <c r="H766" i="2"/>
  <c r="J767" i="2"/>
  <c r="F769" i="2"/>
  <c r="H770" i="2"/>
  <c r="J771" i="2"/>
  <c r="F773" i="2"/>
  <c r="H774" i="2"/>
  <c r="J775" i="2"/>
  <c r="F777" i="2"/>
  <c r="H778" i="2"/>
  <c r="J779" i="2"/>
  <c r="F781" i="2"/>
  <c r="H782" i="2"/>
  <c r="J783" i="2"/>
  <c r="F785" i="2"/>
  <c r="H786" i="2"/>
  <c r="J787" i="2"/>
  <c r="F789" i="2"/>
  <c r="H790" i="2"/>
  <c r="J791" i="2"/>
  <c r="F793" i="2"/>
  <c r="H794" i="2"/>
  <c r="J795" i="2"/>
  <c r="G554" i="2"/>
  <c r="K556" i="2"/>
  <c r="I559" i="2"/>
  <c r="G562" i="2"/>
  <c r="K564" i="2"/>
  <c r="I567" i="2"/>
  <c r="G570" i="2"/>
  <c r="K572" i="2"/>
  <c r="I575" i="2"/>
  <c r="G578" i="2"/>
  <c r="K580" i="2"/>
  <c r="I583" i="2"/>
  <c r="G586" i="2"/>
  <c r="K588" i="2"/>
  <c r="I591" i="2"/>
  <c r="G594" i="2"/>
  <c r="K596" i="2"/>
  <c r="F599" i="2"/>
  <c r="H600" i="2"/>
  <c r="J601" i="2"/>
  <c r="F603" i="2"/>
  <c r="H604" i="2"/>
  <c r="J605" i="2"/>
  <c r="F607" i="2"/>
  <c r="H608" i="2"/>
  <c r="J609" i="2"/>
  <c r="F611" i="2"/>
  <c r="H612" i="2"/>
  <c r="J613" i="2"/>
  <c r="F615" i="2"/>
  <c r="H616" i="2"/>
  <c r="J617" i="2"/>
  <c r="F619" i="2"/>
  <c r="H620" i="2"/>
  <c r="J621" i="2"/>
  <c r="F623" i="2"/>
  <c r="H624" i="2"/>
  <c r="J625" i="2"/>
  <c r="F627" i="2"/>
  <c r="H628" i="2"/>
  <c r="J629" i="2"/>
  <c r="F631" i="2"/>
  <c r="H632" i="2"/>
  <c r="J633" i="2"/>
  <c r="F635" i="2"/>
  <c r="H636" i="2"/>
  <c r="J637" i="2"/>
  <c r="F639" i="2"/>
  <c r="H640" i="2"/>
  <c r="J641" i="2"/>
  <c r="F643" i="2"/>
  <c r="H644" i="2"/>
  <c r="J645" i="2"/>
  <c r="F647" i="2"/>
  <c r="H648" i="2"/>
  <c r="J649" i="2"/>
  <c r="F651" i="2"/>
  <c r="H652" i="2"/>
  <c r="J653" i="2"/>
  <c r="F655" i="2"/>
  <c r="H656" i="2"/>
  <c r="J657" i="2"/>
  <c r="G659" i="2"/>
  <c r="I660" i="2"/>
  <c r="K661" i="2"/>
  <c r="G663" i="2"/>
  <c r="I664" i="2"/>
  <c r="K665" i="2"/>
  <c r="G667" i="2"/>
  <c r="I668" i="2"/>
  <c r="K669" i="2"/>
  <c r="G671" i="2"/>
  <c r="I672" i="2"/>
  <c r="K673" i="2"/>
  <c r="G675" i="2"/>
  <c r="I676" i="2"/>
  <c r="K677" i="2"/>
  <c r="G679" i="2"/>
  <c r="I680" i="2"/>
  <c r="K681" i="2"/>
  <c r="G683" i="2"/>
  <c r="I684" i="2"/>
  <c r="K685" i="2"/>
  <c r="G687" i="2"/>
  <c r="I688" i="2"/>
  <c r="K690" i="2"/>
  <c r="I693" i="2"/>
  <c r="G696" i="2"/>
  <c r="K698" i="2"/>
  <c r="I701" i="2"/>
  <c r="G704" i="2"/>
  <c r="K706" i="2"/>
  <c r="I709" i="2"/>
  <c r="G712" i="2"/>
  <c r="K714" i="2"/>
  <c r="I717" i="2"/>
  <c r="G720" i="2"/>
  <c r="K722" i="2"/>
  <c r="I725" i="2"/>
  <c r="G728" i="2"/>
  <c r="K730" i="2"/>
  <c r="I733" i="2"/>
  <c r="G736" i="2"/>
  <c r="K738" i="2"/>
  <c r="I741" i="2"/>
  <c r="G744" i="2"/>
  <c r="K746" i="2"/>
  <c r="I749" i="2"/>
  <c r="G752" i="2"/>
  <c r="K754" i="2"/>
  <c r="I757" i="2"/>
  <c r="G760" i="2"/>
  <c r="K762" i="2"/>
  <c r="I765" i="2"/>
  <c r="G768" i="2"/>
  <c r="K770" i="2"/>
  <c r="I773" i="2"/>
  <c r="G776" i="2"/>
  <c r="K778" i="2"/>
  <c r="I781" i="2"/>
  <c r="G784" i="2"/>
  <c r="K786" i="2"/>
  <c r="I789" i="2"/>
  <c r="G792" i="2"/>
  <c r="K794" i="2"/>
  <c r="J796" i="2"/>
  <c r="F798" i="2"/>
  <c r="H799" i="2"/>
  <c r="J800" i="2"/>
  <c r="F802" i="2"/>
  <c r="H803" i="2"/>
  <c r="H804" i="2"/>
  <c r="F805" i="2"/>
  <c r="J805" i="2"/>
  <c r="H806" i="2"/>
  <c r="F807" i="2"/>
  <c r="J807" i="2"/>
  <c r="H808" i="2"/>
  <c r="F809" i="2"/>
  <c r="J809" i="2"/>
  <c r="H810" i="2"/>
  <c r="F811" i="2"/>
  <c r="J811" i="2"/>
  <c r="H812" i="2"/>
  <c r="F813" i="2"/>
  <c r="J813" i="2"/>
  <c r="H814" i="2"/>
  <c r="F815" i="2"/>
  <c r="J815" i="2"/>
  <c r="H816" i="2"/>
  <c r="F817" i="2"/>
  <c r="J817" i="2"/>
  <c r="H818" i="2"/>
  <c r="F819" i="2"/>
  <c r="J819" i="2"/>
  <c r="H820" i="2"/>
  <c r="F821" i="2"/>
  <c r="J821" i="2"/>
  <c r="H822" i="2"/>
  <c r="F823" i="2"/>
  <c r="J823" i="2"/>
  <c r="H824" i="2"/>
  <c r="F825" i="2"/>
  <c r="J825" i="2"/>
  <c r="H826" i="2"/>
  <c r="F827" i="2"/>
  <c r="J827" i="2"/>
  <c r="H828" i="2"/>
  <c r="F829" i="2"/>
  <c r="J829" i="2"/>
  <c r="H830" i="2"/>
  <c r="F831" i="2"/>
  <c r="J831" i="2"/>
  <c r="H832" i="2"/>
  <c r="F833" i="2"/>
  <c r="J833" i="2"/>
  <c r="H834" i="2"/>
  <c r="F835" i="2"/>
  <c r="J835" i="2"/>
  <c r="H836" i="2"/>
  <c r="F837" i="2"/>
  <c r="J837" i="2"/>
  <c r="H838" i="2"/>
  <c r="F839" i="2"/>
  <c r="J839" i="2"/>
  <c r="H840" i="2"/>
  <c r="F841" i="2"/>
  <c r="J841" i="2"/>
  <c r="H842" i="2"/>
  <c r="F843" i="2"/>
  <c r="J843" i="2"/>
  <c r="H844" i="2"/>
  <c r="F845" i="2"/>
  <c r="J845" i="2"/>
  <c r="H846" i="2"/>
  <c r="F847" i="2"/>
  <c r="J847" i="2"/>
  <c r="H848" i="2"/>
  <c r="F849" i="2"/>
  <c r="J849" i="2"/>
  <c r="H850" i="2"/>
  <c r="F851" i="2"/>
  <c r="J851" i="2"/>
  <c r="H852" i="2"/>
  <c r="F853" i="2"/>
  <c r="J853" i="2"/>
  <c r="H854" i="2"/>
  <c r="F855" i="2"/>
  <c r="J855" i="2"/>
  <c r="H856" i="2"/>
  <c r="F857" i="2"/>
  <c r="J857" i="2"/>
  <c r="H858" i="2"/>
  <c r="F859" i="2"/>
  <c r="J859" i="2"/>
  <c r="H860" i="2"/>
  <c r="F861" i="2"/>
  <c r="J861" i="2"/>
  <c r="H862" i="2"/>
  <c r="F863" i="2"/>
  <c r="J863" i="2"/>
  <c r="H864" i="2"/>
  <c r="F865" i="2"/>
  <c r="J865" i="2"/>
  <c r="H866" i="2"/>
  <c r="F867" i="2"/>
  <c r="J867" i="2"/>
  <c r="H868" i="2"/>
  <c r="F869" i="2"/>
  <c r="J869" i="2"/>
  <c r="H870" i="2"/>
  <c r="F871" i="2"/>
  <c r="J871" i="2"/>
  <c r="H872" i="2"/>
  <c r="F873" i="2"/>
  <c r="J873" i="2"/>
  <c r="H874" i="2"/>
  <c r="F875" i="2"/>
  <c r="J875" i="2"/>
  <c r="H876" i="2"/>
  <c r="F877" i="2"/>
  <c r="J877" i="2"/>
  <c r="H878" i="2"/>
  <c r="F879" i="2"/>
  <c r="J879" i="2"/>
  <c r="H880" i="2"/>
  <c r="F881" i="2"/>
  <c r="J881" i="2"/>
  <c r="H882" i="2"/>
  <c r="F883" i="2"/>
  <c r="J883" i="2"/>
  <c r="H884" i="2"/>
  <c r="F885" i="2"/>
  <c r="J885" i="2"/>
  <c r="H886" i="2"/>
  <c r="F887" i="2"/>
  <c r="J887" i="2"/>
  <c r="H888" i="2"/>
  <c r="F889" i="2"/>
  <c r="J889" i="2"/>
  <c r="H890" i="2"/>
  <c r="F891" i="2"/>
  <c r="J891" i="2"/>
  <c r="H892" i="2"/>
  <c r="F893" i="2"/>
  <c r="J893" i="2"/>
  <c r="H894" i="2"/>
  <c r="F895" i="2"/>
  <c r="J895" i="2"/>
  <c r="H896" i="2"/>
  <c r="F897" i="2"/>
  <c r="J897" i="2"/>
  <c r="H898" i="2"/>
  <c r="F899" i="2"/>
  <c r="J899" i="2"/>
  <c r="H900" i="2"/>
  <c r="F901" i="2"/>
  <c r="J901" i="2"/>
  <c r="H902" i="2"/>
  <c r="F903" i="2"/>
  <c r="J903" i="2"/>
  <c r="H904" i="2"/>
  <c r="F905" i="2"/>
  <c r="J905" i="2"/>
  <c r="H906" i="2"/>
  <c r="F907" i="2"/>
  <c r="J907" i="2"/>
  <c r="H908" i="2"/>
  <c r="F909" i="2"/>
  <c r="J909" i="2"/>
  <c r="H910" i="2"/>
  <c r="F911" i="2"/>
  <c r="J911" i="2"/>
  <c r="H912" i="2"/>
  <c r="F913" i="2"/>
  <c r="J913" i="2"/>
  <c r="H914" i="2"/>
  <c r="F915" i="2"/>
  <c r="J915" i="2"/>
  <c r="H916" i="2"/>
  <c r="F917" i="2"/>
  <c r="J917" i="2"/>
  <c r="H918" i="2"/>
  <c r="F919" i="2"/>
  <c r="J919" i="2"/>
  <c r="H920" i="2"/>
  <c r="G921" i="2"/>
  <c r="K921" i="2"/>
  <c r="I922" i="2"/>
  <c r="G923" i="2"/>
  <c r="K923" i="2"/>
  <c r="I924" i="2"/>
  <c r="G925" i="2"/>
  <c r="K925" i="2"/>
  <c r="I926" i="2"/>
  <c r="G927" i="2"/>
  <c r="K927" i="2"/>
  <c r="I928" i="2"/>
  <c r="G929" i="2"/>
  <c r="K929" i="2"/>
  <c r="I930" i="2"/>
  <c r="G931" i="2"/>
  <c r="K931" i="2"/>
  <c r="I932" i="2"/>
  <c r="G933" i="2"/>
  <c r="K933" i="2"/>
  <c r="I934" i="2"/>
  <c r="G935" i="2"/>
  <c r="K935" i="2"/>
  <c r="I936" i="2"/>
  <c r="G937" i="2"/>
  <c r="K937" i="2"/>
  <c r="I938" i="2"/>
  <c r="G939" i="2"/>
  <c r="K939" i="2"/>
  <c r="I940" i="2"/>
  <c r="G941" i="2"/>
  <c r="K941" i="2"/>
  <c r="I942" i="2"/>
  <c r="G943" i="2"/>
  <c r="K943" i="2"/>
  <c r="I944" i="2"/>
  <c r="G945" i="2"/>
  <c r="K945" i="2"/>
  <c r="I946" i="2"/>
  <c r="G947" i="2"/>
  <c r="K947" i="2"/>
  <c r="I948" i="2"/>
  <c r="G949" i="2"/>
  <c r="K949" i="2"/>
  <c r="I950" i="2"/>
  <c r="G951" i="2"/>
  <c r="K951" i="2"/>
  <c r="I952" i="2"/>
  <c r="G953" i="2"/>
  <c r="K953" i="2"/>
  <c r="I954" i="2"/>
  <c r="G955" i="2"/>
  <c r="K955" i="2"/>
  <c r="I956" i="2"/>
  <c r="G957" i="2"/>
  <c r="K957" i="2"/>
  <c r="I958" i="2"/>
  <c r="G959" i="2"/>
  <c r="K959" i="2"/>
  <c r="I960" i="2"/>
  <c r="G961" i="2"/>
  <c r="K961" i="2"/>
  <c r="I962" i="2"/>
  <c r="G963" i="2"/>
  <c r="K963" i="2"/>
  <c r="I964" i="2"/>
  <c r="G965" i="2"/>
  <c r="K965" i="2"/>
  <c r="I966" i="2"/>
  <c r="G967" i="2"/>
  <c r="K967" i="2"/>
  <c r="I968" i="2"/>
  <c r="G969" i="2"/>
  <c r="K689" i="2"/>
  <c r="G691" i="2"/>
  <c r="I692" i="2"/>
  <c r="K693" i="2"/>
  <c r="G695" i="2"/>
  <c r="I696" i="2"/>
  <c r="K697" i="2"/>
  <c r="G699" i="2"/>
  <c r="I700" i="2"/>
  <c r="K701" i="2"/>
  <c r="G703" i="2"/>
  <c r="I704" i="2"/>
  <c r="K705" i="2"/>
  <c r="G707" i="2"/>
  <c r="I708" i="2"/>
  <c r="K709" i="2"/>
  <c r="G711" i="2"/>
  <c r="I712" i="2"/>
  <c r="K713" i="2"/>
  <c r="G715" i="2"/>
  <c r="I716" i="2"/>
  <c r="K717" i="2"/>
  <c r="G719" i="2"/>
  <c r="I720" i="2"/>
  <c r="K721" i="2"/>
  <c r="G723" i="2"/>
  <c r="I724" i="2"/>
  <c r="K725" i="2"/>
  <c r="G727" i="2"/>
  <c r="I728" i="2"/>
  <c r="K729" i="2"/>
  <c r="G731" i="2"/>
  <c r="I732" i="2"/>
  <c r="K733" i="2"/>
  <c r="G735" i="2"/>
  <c r="I736" i="2"/>
  <c r="K737" i="2"/>
  <c r="G739" i="2"/>
  <c r="I740" i="2"/>
  <c r="K741" i="2"/>
  <c r="G743" i="2"/>
  <c r="I744" i="2"/>
  <c r="K745" i="2"/>
  <c r="G747" i="2"/>
  <c r="I748" i="2"/>
  <c r="K749" i="2"/>
  <c r="G751" i="2"/>
  <c r="I752" i="2"/>
  <c r="K753" i="2"/>
  <c r="G755" i="2"/>
  <c r="I756" i="2"/>
  <c r="L756" i="2" s="1"/>
  <c r="K757" i="2"/>
  <c r="G759" i="2"/>
  <c r="I760" i="2"/>
  <c r="K761" i="2"/>
  <c r="G763" i="2"/>
  <c r="I764" i="2"/>
  <c r="K765" i="2"/>
  <c r="G767" i="2"/>
  <c r="L767" i="2" s="1"/>
  <c r="I768" i="2"/>
  <c r="K769" i="2"/>
  <c r="G771" i="2"/>
  <c r="I772" i="2"/>
  <c r="K773" i="2"/>
  <c r="G775" i="2"/>
  <c r="I776" i="2"/>
  <c r="K777" i="2"/>
  <c r="G779" i="2"/>
  <c r="I780" i="2"/>
  <c r="K781" i="2"/>
  <c r="G783" i="2"/>
  <c r="L783" i="2" s="1"/>
  <c r="I784" i="2"/>
  <c r="K785" i="2"/>
  <c r="G787" i="2"/>
  <c r="I788" i="2"/>
  <c r="L788" i="2" s="1"/>
  <c r="K789" i="2"/>
  <c r="G791" i="2"/>
  <c r="I792" i="2"/>
  <c r="K793" i="2"/>
  <c r="G795" i="2"/>
  <c r="G796" i="2"/>
  <c r="K796" i="2"/>
  <c r="I797" i="2"/>
  <c r="G798" i="2"/>
  <c r="K798" i="2"/>
  <c r="I799" i="2"/>
  <c r="G800" i="2"/>
  <c r="K800" i="2"/>
  <c r="I801" i="2"/>
  <c r="G802" i="2"/>
  <c r="K802" i="2"/>
  <c r="I803" i="2"/>
  <c r="G804" i="2"/>
  <c r="K804" i="2"/>
  <c r="I805" i="2"/>
  <c r="G806" i="2"/>
  <c r="K806" i="2"/>
  <c r="I807" i="2"/>
  <c r="G808" i="2"/>
  <c r="K808" i="2"/>
  <c r="I809" i="2"/>
  <c r="G810" i="2"/>
  <c r="K810" i="2"/>
  <c r="I811" i="2"/>
  <c r="G812" i="2"/>
  <c r="K812" i="2"/>
  <c r="I813" i="2"/>
  <c r="G814" i="2"/>
  <c r="K814" i="2"/>
  <c r="I815" i="2"/>
  <c r="G816" i="2"/>
  <c r="K816" i="2"/>
  <c r="I817" i="2"/>
  <c r="G818" i="2"/>
  <c r="K818" i="2"/>
  <c r="I819" i="2"/>
  <c r="G820" i="2"/>
  <c r="K820" i="2"/>
  <c r="I821" i="2"/>
  <c r="G822" i="2"/>
  <c r="K822" i="2"/>
  <c r="I823" i="2"/>
  <c r="G824" i="2"/>
  <c r="K824" i="2"/>
  <c r="I825" i="2"/>
  <c r="G826" i="2"/>
  <c r="K826" i="2"/>
  <c r="I827" i="2"/>
  <c r="G828" i="2"/>
  <c r="K828" i="2"/>
  <c r="I829" i="2"/>
  <c r="G830" i="2"/>
  <c r="K830" i="2"/>
  <c r="I831" i="2"/>
  <c r="G832" i="2"/>
  <c r="K832" i="2"/>
  <c r="I833" i="2"/>
  <c r="G834" i="2"/>
  <c r="K834" i="2"/>
  <c r="I835" i="2"/>
  <c r="G836" i="2"/>
  <c r="K836" i="2"/>
  <c r="I837" i="2"/>
  <c r="G838" i="2"/>
  <c r="K838" i="2"/>
  <c r="I839" i="2"/>
  <c r="G840" i="2"/>
  <c r="K840" i="2"/>
  <c r="I841" i="2"/>
  <c r="G842" i="2"/>
  <c r="K842" i="2"/>
  <c r="I843" i="2"/>
  <c r="G844" i="2"/>
  <c r="K844" i="2"/>
  <c r="I845" i="2"/>
  <c r="G846" i="2"/>
  <c r="K846" i="2"/>
  <c r="I847" i="2"/>
  <c r="G848" i="2"/>
  <c r="K848" i="2"/>
  <c r="I849" i="2"/>
  <c r="G850" i="2"/>
  <c r="K850" i="2"/>
  <c r="I851" i="2"/>
  <c r="G852" i="2"/>
  <c r="K852" i="2"/>
  <c r="I853" i="2"/>
  <c r="G854" i="2"/>
  <c r="K854" i="2"/>
  <c r="I855" i="2"/>
  <c r="G856" i="2"/>
  <c r="K856" i="2"/>
  <c r="I857" i="2"/>
  <c r="G858" i="2"/>
  <c r="K858" i="2"/>
  <c r="I859" i="2"/>
  <c r="G860" i="2"/>
  <c r="K860" i="2"/>
  <c r="I861" i="2"/>
  <c r="G862" i="2"/>
  <c r="K862" i="2"/>
  <c r="I863" i="2"/>
  <c r="G864" i="2"/>
  <c r="K864" i="2"/>
  <c r="I865" i="2"/>
  <c r="G866" i="2"/>
  <c r="K866" i="2"/>
  <c r="I867" i="2"/>
  <c r="G868" i="2"/>
  <c r="K868" i="2"/>
  <c r="I869" i="2"/>
  <c r="G870" i="2"/>
  <c r="K870" i="2"/>
  <c r="I871" i="2"/>
  <c r="G872" i="2"/>
  <c r="K872" i="2"/>
  <c r="I873" i="2"/>
  <c r="G874" i="2"/>
  <c r="K874" i="2"/>
  <c r="I875" i="2"/>
  <c r="G876" i="2"/>
  <c r="K876" i="2"/>
  <c r="I877" i="2"/>
  <c r="G878" i="2"/>
  <c r="K878" i="2"/>
  <c r="I879" i="2"/>
  <c r="G880" i="2"/>
  <c r="K880" i="2"/>
  <c r="I881" i="2"/>
  <c r="G882" i="2"/>
  <c r="K882" i="2"/>
  <c r="I883" i="2"/>
  <c r="G884" i="2"/>
  <c r="K884" i="2"/>
  <c r="I885" i="2"/>
  <c r="G886" i="2"/>
  <c r="K886" i="2"/>
  <c r="I887" i="2"/>
  <c r="G888" i="2"/>
  <c r="K888" i="2"/>
  <c r="I889" i="2"/>
  <c r="G890" i="2"/>
  <c r="K890" i="2"/>
  <c r="I891" i="2"/>
  <c r="G892" i="2"/>
  <c r="K892" i="2"/>
  <c r="I893" i="2"/>
  <c r="G894" i="2"/>
  <c r="K894" i="2"/>
  <c r="I895" i="2"/>
  <c r="G896" i="2"/>
  <c r="K896" i="2"/>
  <c r="I897" i="2"/>
  <c r="G898" i="2"/>
  <c r="K898" i="2"/>
  <c r="I899" i="2"/>
  <c r="G900" i="2"/>
  <c r="K900" i="2"/>
  <c r="I901" i="2"/>
  <c r="G902" i="2"/>
  <c r="K902" i="2"/>
  <c r="I903" i="2"/>
  <c r="G904" i="2"/>
  <c r="K904" i="2"/>
  <c r="I905" i="2"/>
  <c r="G906" i="2"/>
  <c r="K906" i="2"/>
  <c r="I907" i="2"/>
  <c r="G908" i="2"/>
  <c r="K908" i="2"/>
  <c r="I909" i="2"/>
  <c r="G910" i="2"/>
  <c r="K910" i="2"/>
  <c r="I911" i="2"/>
  <c r="G912" i="2"/>
  <c r="K912" i="2"/>
  <c r="I913" i="2"/>
  <c r="G914" i="2"/>
  <c r="K914" i="2"/>
  <c r="I915" i="2"/>
  <c r="G916" i="2"/>
  <c r="K916" i="2"/>
  <c r="I917" i="2"/>
  <c r="G918" i="2"/>
  <c r="K918" i="2"/>
  <c r="I919" i="2"/>
  <c r="G920" i="2"/>
  <c r="K920" i="2"/>
  <c r="H921" i="2"/>
  <c r="F922" i="2"/>
  <c r="J922" i="2"/>
  <c r="H923" i="2"/>
  <c r="F924" i="2"/>
  <c r="J924" i="2"/>
  <c r="H925" i="2"/>
  <c r="F926" i="2"/>
  <c r="J926" i="2"/>
  <c r="H927" i="2"/>
  <c r="F928" i="2"/>
  <c r="J928" i="2"/>
  <c r="H929" i="2"/>
  <c r="F930" i="2"/>
  <c r="J930" i="2"/>
  <c r="H931" i="2"/>
  <c r="F932" i="2"/>
  <c r="J932" i="2"/>
  <c r="H933" i="2"/>
  <c r="F934" i="2"/>
  <c r="J934" i="2"/>
  <c r="H935" i="2"/>
  <c r="F936" i="2"/>
  <c r="J936" i="2"/>
  <c r="H937" i="2"/>
  <c r="F938" i="2"/>
  <c r="J938" i="2"/>
  <c r="H939" i="2"/>
  <c r="F940" i="2"/>
  <c r="J940" i="2"/>
  <c r="H941" i="2"/>
  <c r="F942" i="2"/>
  <c r="J942" i="2"/>
  <c r="H943" i="2"/>
  <c r="F944" i="2"/>
  <c r="J944" i="2"/>
  <c r="H945" i="2"/>
  <c r="F946" i="2"/>
  <c r="J946" i="2"/>
  <c r="H947" i="2"/>
  <c r="F948" i="2"/>
  <c r="J948" i="2"/>
  <c r="H949" i="2"/>
  <c r="F950" i="2"/>
  <c r="J950" i="2"/>
  <c r="H951" i="2"/>
  <c r="F952" i="2"/>
  <c r="J952" i="2"/>
  <c r="H953" i="2"/>
  <c r="F954" i="2"/>
  <c r="J954" i="2"/>
  <c r="H955" i="2"/>
  <c r="F956" i="2"/>
  <c r="J956" i="2"/>
  <c r="H957" i="2"/>
  <c r="F958" i="2"/>
  <c r="J958" i="2"/>
  <c r="H959" i="2"/>
  <c r="F960" i="2"/>
  <c r="J960" i="2"/>
  <c r="H961" i="2"/>
  <c r="F962" i="2"/>
  <c r="J962" i="2"/>
  <c r="H963" i="2"/>
  <c r="F964" i="2"/>
  <c r="H965" i="2"/>
  <c r="J966" i="2"/>
  <c r="F968" i="2"/>
  <c r="H969" i="2"/>
  <c r="F970" i="2"/>
  <c r="J970" i="2"/>
  <c r="H971" i="2"/>
  <c r="F972" i="2"/>
  <c r="J972" i="2"/>
  <c r="H973" i="2"/>
  <c r="F974" i="2"/>
  <c r="J974" i="2"/>
  <c r="H975" i="2"/>
  <c r="F976" i="2"/>
  <c r="J976" i="2"/>
  <c r="H977" i="2"/>
  <c r="F978" i="2"/>
  <c r="J978" i="2"/>
  <c r="H979" i="2"/>
  <c r="F980" i="2"/>
  <c r="J980" i="2"/>
  <c r="H981" i="2"/>
  <c r="F982" i="2"/>
  <c r="J982" i="2"/>
  <c r="H983" i="2"/>
  <c r="F984" i="2"/>
  <c r="J984" i="2"/>
  <c r="H985" i="2"/>
  <c r="F986" i="2"/>
  <c r="J986" i="2"/>
  <c r="H987" i="2"/>
  <c r="F988" i="2"/>
  <c r="J988" i="2"/>
  <c r="H989" i="2"/>
  <c r="F990" i="2"/>
  <c r="J990" i="2"/>
  <c r="H991" i="2"/>
  <c r="F992" i="2"/>
  <c r="J992" i="2"/>
  <c r="H993" i="2"/>
  <c r="F994" i="2"/>
  <c r="J994" i="2"/>
  <c r="H995" i="2"/>
  <c r="F996" i="2"/>
  <c r="J996" i="2"/>
  <c r="H997" i="2"/>
  <c r="F998" i="2"/>
  <c r="J998" i="2"/>
  <c r="H999" i="2"/>
  <c r="F1000" i="2"/>
  <c r="J1000" i="2"/>
  <c r="H1001" i="2"/>
  <c r="F1002" i="2"/>
  <c r="J1002" i="2"/>
  <c r="H1003" i="2"/>
  <c r="F1004" i="2"/>
  <c r="J1004" i="2"/>
  <c r="H1005" i="2"/>
  <c r="F1006" i="2"/>
  <c r="J1006" i="2"/>
  <c r="H1007" i="2"/>
  <c r="F1008" i="2"/>
  <c r="J1008" i="2"/>
  <c r="H1009" i="2"/>
  <c r="F1010" i="2"/>
  <c r="J1010" i="2"/>
  <c r="H1011" i="2"/>
  <c r="F1012" i="2"/>
  <c r="J1012" i="2"/>
  <c r="H1013" i="2"/>
  <c r="F1014" i="2"/>
  <c r="J1014" i="2"/>
  <c r="H1015" i="2"/>
  <c r="F1016" i="2"/>
  <c r="J1016" i="2"/>
  <c r="H1017" i="2"/>
  <c r="F1018" i="2"/>
  <c r="J1018" i="2"/>
  <c r="H1019" i="2"/>
  <c r="F1020" i="2"/>
  <c r="J1020" i="2"/>
  <c r="H1021" i="2"/>
  <c r="F1022" i="2"/>
  <c r="J1022" i="2"/>
  <c r="H1023" i="2"/>
  <c r="F1024" i="2"/>
  <c r="J1024" i="2"/>
  <c r="H1025" i="2"/>
  <c r="F1026" i="2"/>
  <c r="J1026" i="2"/>
  <c r="H1027" i="2"/>
  <c r="F1028" i="2"/>
  <c r="J1028" i="2"/>
  <c r="H1029" i="2"/>
  <c r="F1030" i="2"/>
  <c r="J1030" i="2"/>
  <c r="H1031" i="2"/>
  <c r="F1032" i="2"/>
  <c r="J1032" i="2"/>
  <c r="H1033" i="2"/>
  <c r="F1034" i="2"/>
  <c r="J1034" i="2"/>
  <c r="H1035" i="2"/>
  <c r="F1036" i="2"/>
  <c r="J1036" i="2"/>
  <c r="H1037" i="2"/>
  <c r="F1038" i="2"/>
  <c r="J1038" i="2"/>
  <c r="H1039" i="2"/>
  <c r="F1040" i="2"/>
  <c r="J1040" i="2"/>
  <c r="H1041" i="2"/>
  <c r="F1042" i="2"/>
  <c r="J1042" i="2"/>
  <c r="H1043" i="2"/>
  <c r="F1044" i="2"/>
  <c r="J1044" i="2"/>
  <c r="H1045" i="2"/>
  <c r="F1046" i="2"/>
  <c r="J1046" i="2"/>
  <c r="H1047" i="2"/>
  <c r="F1048" i="2"/>
  <c r="J1048" i="2"/>
  <c r="H1049" i="2"/>
  <c r="F1050" i="2"/>
  <c r="J1050" i="2"/>
  <c r="H1051" i="2"/>
  <c r="F1052" i="2"/>
  <c r="J1052" i="2"/>
  <c r="H1053" i="2"/>
  <c r="F1054" i="2"/>
  <c r="J1054" i="2"/>
  <c r="H1055" i="2"/>
  <c r="F1056" i="2"/>
  <c r="J1056" i="2"/>
  <c r="H1057" i="2"/>
  <c r="F1058" i="2"/>
  <c r="J1058" i="2"/>
  <c r="H1059" i="2"/>
  <c r="F1060" i="2"/>
  <c r="J1060" i="2"/>
  <c r="H1061" i="2"/>
  <c r="F1062" i="2"/>
  <c r="J1062" i="2"/>
  <c r="H1063" i="2"/>
  <c r="F1064" i="2"/>
  <c r="J1064" i="2"/>
  <c r="H1065" i="2"/>
  <c r="F1066" i="2"/>
  <c r="J1066" i="2"/>
  <c r="H1067" i="2"/>
  <c r="F1068" i="2"/>
  <c r="J1068" i="2"/>
  <c r="H1069" i="2"/>
  <c r="F1070" i="2"/>
  <c r="J1070" i="2"/>
  <c r="H1071" i="2"/>
  <c r="F1072" i="2"/>
  <c r="J1072" i="2"/>
  <c r="H1073" i="2"/>
  <c r="F1074" i="2"/>
  <c r="J1074" i="2"/>
  <c r="H1075" i="2"/>
  <c r="F1076" i="2"/>
  <c r="J1076" i="2"/>
  <c r="H1077" i="2"/>
  <c r="F1078" i="2"/>
  <c r="J1078" i="2"/>
  <c r="H1079" i="2"/>
  <c r="F1080" i="2"/>
  <c r="J1080" i="2"/>
  <c r="H1081" i="2"/>
  <c r="F1082" i="2"/>
  <c r="J1082" i="2"/>
  <c r="H1083" i="2"/>
  <c r="F1084" i="2"/>
  <c r="J1084" i="2"/>
  <c r="H1085" i="2"/>
  <c r="F1086" i="2"/>
  <c r="J1086" i="2"/>
  <c r="H1087" i="2"/>
  <c r="F1088" i="2"/>
  <c r="J1088" i="2"/>
  <c r="H1089" i="2"/>
  <c r="F1090" i="2"/>
  <c r="J1090" i="2"/>
  <c r="H1091" i="2"/>
  <c r="F1092" i="2"/>
  <c r="J1092" i="2"/>
  <c r="H1093" i="2"/>
  <c r="F1094" i="2"/>
  <c r="J1094" i="2"/>
  <c r="H1095" i="2"/>
  <c r="F1096" i="2"/>
  <c r="J1096" i="2"/>
  <c r="H1097" i="2"/>
  <c r="F1098" i="2"/>
  <c r="J1098" i="2"/>
  <c r="H1099" i="2"/>
  <c r="F1100" i="2"/>
  <c r="J1100" i="2"/>
  <c r="H1101" i="2"/>
  <c r="F1102" i="2"/>
  <c r="J1102" i="2"/>
  <c r="H1103" i="2"/>
  <c r="F1104" i="2"/>
  <c r="J1104" i="2"/>
  <c r="H1105" i="2"/>
  <c r="F1106" i="2"/>
  <c r="J1106" i="2"/>
  <c r="H1107" i="2"/>
  <c r="F1108" i="2"/>
  <c r="J1108" i="2"/>
  <c r="H1109" i="2"/>
  <c r="F1110" i="2"/>
  <c r="J1110" i="2"/>
  <c r="H1111" i="2"/>
  <c r="F1112" i="2"/>
  <c r="J1112" i="2"/>
  <c r="H1113" i="2"/>
  <c r="F1114" i="2"/>
  <c r="J1114" i="2"/>
  <c r="H1115" i="2"/>
  <c r="F1116" i="2"/>
  <c r="J1116" i="2"/>
  <c r="H1117" i="2"/>
  <c r="F1118" i="2"/>
  <c r="J1118" i="2"/>
  <c r="H1119" i="2"/>
  <c r="F1120" i="2"/>
  <c r="J1120" i="2"/>
  <c r="H1121" i="2"/>
  <c r="F1122" i="2"/>
  <c r="J1122" i="2"/>
  <c r="H1123" i="2"/>
  <c r="F1124" i="2"/>
  <c r="J1124" i="2"/>
  <c r="H1125" i="2"/>
  <c r="F1126" i="2"/>
  <c r="J1126" i="2"/>
  <c r="H1127" i="2"/>
  <c r="F1128" i="2"/>
  <c r="J1128" i="2"/>
  <c r="H1129" i="2"/>
  <c r="F1130" i="2"/>
  <c r="J1130" i="2"/>
  <c r="H1131" i="2"/>
  <c r="F1132" i="2"/>
  <c r="J1132" i="2"/>
  <c r="H1133" i="2"/>
  <c r="F1134" i="2"/>
  <c r="J1134" i="2"/>
  <c r="H1135" i="2"/>
  <c r="F1136" i="2"/>
  <c r="J1136" i="2"/>
  <c r="H1137" i="2"/>
  <c r="F1138" i="2"/>
  <c r="J1138" i="2"/>
  <c r="H1139" i="2"/>
  <c r="F1140" i="2"/>
  <c r="J1140" i="2"/>
  <c r="H1141" i="2"/>
  <c r="F1142" i="2"/>
  <c r="J1142" i="2"/>
  <c r="H1143" i="2"/>
  <c r="F1144" i="2"/>
  <c r="J1144" i="2"/>
  <c r="H1145" i="2"/>
  <c r="F1146" i="2"/>
  <c r="J1146" i="2"/>
  <c r="H1147" i="2"/>
  <c r="F1148" i="2"/>
  <c r="J1148" i="2"/>
  <c r="H1149" i="2"/>
  <c r="F1150" i="2"/>
  <c r="J1150" i="2"/>
  <c r="H1151" i="2"/>
  <c r="F1152" i="2"/>
  <c r="J1152" i="2"/>
  <c r="H1153" i="2"/>
  <c r="F1154" i="2"/>
  <c r="J1154" i="2"/>
  <c r="H1155" i="2"/>
  <c r="F1156" i="2"/>
  <c r="J1156" i="2"/>
  <c r="H1157" i="2"/>
  <c r="F1158" i="2"/>
  <c r="J1158" i="2"/>
  <c r="H1159" i="2"/>
  <c r="F1160" i="2"/>
  <c r="J1160" i="2"/>
  <c r="H1161" i="2"/>
  <c r="F1162" i="2"/>
  <c r="J1162" i="2"/>
  <c r="H1163" i="2"/>
  <c r="F1164" i="2"/>
  <c r="J1164" i="2"/>
  <c r="H1165" i="2"/>
  <c r="F1166" i="2"/>
  <c r="J1166" i="2"/>
  <c r="H1167" i="2"/>
  <c r="F1168" i="2"/>
  <c r="J1168" i="2"/>
  <c r="H1169" i="2"/>
  <c r="F1170" i="2"/>
  <c r="J1170" i="2"/>
  <c r="H1171" i="2"/>
  <c r="F1172" i="2"/>
  <c r="J1172" i="2"/>
  <c r="H1173" i="2"/>
  <c r="F1174" i="2"/>
  <c r="J1174" i="2"/>
  <c r="H1175" i="2"/>
  <c r="F1176" i="2"/>
  <c r="J1176" i="2"/>
  <c r="H1177" i="2"/>
  <c r="F1178" i="2"/>
  <c r="J1178" i="2"/>
  <c r="H1179" i="2"/>
  <c r="F1180" i="2"/>
  <c r="J1180" i="2"/>
  <c r="H1181" i="2"/>
  <c r="F1182" i="2"/>
  <c r="J1182" i="2"/>
  <c r="H1183" i="2"/>
  <c r="F1184" i="2"/>
  <c r="J1184" i="2"/>
  <c r="H1185" i="2"/>
  <c r="F1186" i="2"/>
  <c r="J1186" i="2"/>
  <c r="I1187" i="2"/>
  <c r="G1188" i="2"/>
  <c r="K1188" i="2"/>
  <c r="I1189" i="2"/>
  <c r="G1190" i="2"/>
  <c r="K1190" i="2"/>
  <c r="I1191" i="2"/>
  <c r="G1192" i="2"/>
  <c r="K1192" i="2"/>
  <c r="I1193" i="2"/>
  <c r="G1194" i="2"/>
  <c r="K1194" i="2"/>
  <c r="I1195" i="2"/>
  <c r="G1196" i="2"/>
  <c r="K1196" i="2"/>
  <c r="I1197" i="2"/>
  <c r="G1198" i="2"/>
  <c r="K1198" i="2"/>
  <c r="I1199" i="2"/>
  <c r="G1200" i="2"/>
  <c r="K1200" i="2"/>
  <c r="I1201" i="2"/>
  <c r="G1202" i="2"/>
  <c r="K1202" i="2"/>
  <c r="I1203" i="2"/>
  <c r="G1204" i="2"/>
  <c r="K1204" i="2"/>
  <c r="I1205" i="2"/>
  <c r="G1206" i="2"/>
  <c r="K1206" i="2"/>
  <c r="I1207" i="2"/>
  <c r="G1208" i="2"/>
  <c r="K1208" i="2"/>
  <c r="I1209" i="2"/>
  <c r="G1210" i="2"/>
  <c r="K1210" i="2"/>
  <c r="I1211" i="2"/>
  <c r="G1212" i="2"/>
  <c r="K1212" i="2"/>
  <c r="I1213" i="2"/>
  <c r="G1214" i="2"/>
  <c r="K1214" i="2"/>
  <c r="I1215" i="2"/>
  <c r="G1216" i="2"/>
  <c r="K1216" i="2"/>
  <c r="I1217" i="2"/>
  <c r="G1218" i="2"/>
  <c r="K1218" i="2"/>
  <c r="I1219" i="2"/>
  <c r="G1220" i="2"/>
  <c r="K1220" i="2"/>
  <c r="I1221" i="2"/>
  <c r="G1222" i="2"/>
  <c r="K1222" i="2"/>
  <c r="I1223" i="2"/>
  <c r="G1224" i="2"/>
  <c r="K1224" i="2"/>
  <c r="I1225" i="2"/>
  <c r="G1226" i="2"/>
  <c r="K1226" i="2"/>
  <c r="I1227" i="2"/>
  <c r="G1228" i="2"/>
  <c r="K1228" i="2"/>
  <c r="I1229" i="2"/>
  <c r="G1230" i="2"/>
  <c r="K1230" i="2"/>
  <c r="I1231" i="2"/>
  <c r="G1232" i="2"/>
  <c r="K1232" i="2"/>
  <c r="I1233" i="2"/>
  <c r="G1234" i="2"/>
  <c r="K1234" i="2"/>
  <c r="I1235" i="2"/>
  <c r="G1236" i="2"/>
  <c r="K1236" i="2"/>
  <c r="I1237" i="2"/>
  <c r="G1238" i="2"/>
  <c r="K1238" i="2"/>
  <c r="I1239" i="2"/>
  <c r="G1240" i="2"/>
  <c r="K1240" i="2"/>
  <c r="I1241" i="2"/>
  <c r="G1242" i="2"/>
  <c r="K1242" i="2"/>
  <c r="I1243" i="2"/>
  <c r="G1244" i="2"/>
  <c r="K1244" i="2"/>
  <c r="I1245" i="2"/>
  <c r="G1246" i="2"/>
  <c r="K1246" i="2"/>
  <c r="I1247" i="2"/>
  <c r="G1248" i="2"/>
  <c r="K1248" i="2"/>
  <c r="I1249" i="2"/>
  <c r="G1250" i="2"/>
  <c r="K1250" i="2"/>
  <c r="I1251" i="2"/>
  <c r="G1252" i="2"/>
  <c r="K1252" i="2"/>
  <c r="I1253" i="2"/>
  <c r="G1254" i="2"/>
  <c r="K1254" i="2"/>
  <c r="I1255" i="2"/>
  <c r="G1256" i="2"/>
  <c r="K1256" i="2"/>
  <c r="I1257" i="2"/>
  <c r="G1258" i="2"/>
  <c r="K1258" i="2"/>
  <c r="I1259" i="2"/>
  <c r="G1260" i="2"/>
  <c r="K1260" i="2"/>
  <c r="I1261" i="2"/>
  <c r="G1262" i="2"/>
  <c r="J468" i="2"/>
  <c r="I414" i="2"/>
  <c r="I443" i="2"/>
  <c r="K455" i="2"/>
  <c r="I466" i="2"/>
  <c r="G487" i="2"/>
  <c r="J505" i="2"/>
  <c r="H516" i="2"/>
  <c r="F527" i="2"/>
  <c r="J537" i="2"/>
  <c r="H548" i="2"/>
  <c r="L548" i="2" s="1"/>
  <c r="H554" i="2"/>
  <c r="J559" i="2"/>
  <c r="F565" i="2"/>
  <c r="H570" i="2"/>
  <c r="C570" i="2" s="1"/>
  <c r="J575" i="2"/>
  <c r="F581" i="2"/>
  <c r="L581" i="2" s="1"/>
  <c r="H586" i="2"/>
  <c r="J591" i="2"/>
  <c r="L591" i="2" s="1"/>
  <c r="F597" i="2"/>
  <c r="K474" i="2"/>
  <c r="I485" i="2"/>
  <c r="G496" i="2"/>
  <c r="K504" i="2"/>
  <c r="G510" i="2"/>
  <c r="C510" i="2" s="1"/>
  <c r="I515" i="2"/>
  <c r="K520" i="2"/>
  <c r="L520" i="2" s="1"/>
  <c r="G526" i="2"/>
  <c r="I531" i="2"/>
  <c r="K536" i="2"/>
  <c r="G542" i="2"/>
  <c r="L542" i="2" s="1"/>
  <c r="I547" i="2"/>
  <c r="K553" i="2"/>
  <c r="L553" i="2" s="1"/>
  <c r="I564" i="2"/>
  <c r="G575" i="2"/>
  <c r="K585" i="2"/>
  <c r="I596" i="2"/>
  <c r="L596" i="2" s="1"/>
  <c r="K602" i="2"/>
  <c r="G608" i="2"/>
  <c r="L608" i="2" s="1"/>
  <c r="I613" i="2"/>
  <c r="K618" i="2"/>
  <c r="G624" i="2"/>
  <c r="I629" i="2"/>
  <c r="I632" i="2"/>
  <c r="G635" i="2"/>
  <c r="K637" i="2"/>
  <c r="I640" i="2"/>
  <c r="L640" i="2" s="1"/>
  <c r="G643" i="2"/>
  <c r="K645" i="2"/>
  <c r="I648" i="2"/>
  <c r="G651" i="2"/>
  <c r="K653" i="2"/>
  <c r="I656" i="2"/>
  <c r="L656" i="2" s="1"/>
  <c r="F659" i="2"/>
  <c r="J661" i="2"/>
  <c r="H664" i="2"/>
  <c r="F667" i="2"/>
  <c r="J669" i="2"/>
  <c r="H672" i="2"/>
  <c r="L672" i="2" s="1"/>
  <c r="F675" i="2"/>
  <c r="J677" i="2"/>
  <c r="H680" i="2"/>
  <c r="F683" i="2"/>
  <c r="J685" i="2"/>
  <c r="H688" i="2"/>
  <c r="F691" i="2"/>
  <c r="J693" i="2"/>
  <c r="L693" i="2" s="1"/>
  <c r="H696" i="2"/>
  <c r="F699" i="2"/>
  <c r="J701" i="2"/>
  <c r="H704" i="2"/>
  <c r="L704" i="2" s="1"/>
  <c r="F707" i="2"/>
  <c r="J709" i="2"/>
  <c r="L709" i="2" s="1"/>
  <c r="H712" i="2"/>
  <c r="F715" i="2"/>
  <c r="J717" i="2"/>
  <c r="H720" i="2"/>
  <c r="L720" i="2" s="1"/>
  <c r="F723" i="2"/>
  <c r="J725" i="2"/>
  <c r="L725" i="2" s="1"/>
  <c r="H728" i="2"/>
  <c r="F731" i="2"/>
  <c r="J733" i="2"/>
  <c r="H736" i="2"/>
  <c r="L736" i="2" s="1"/>
  <c r="F739" i="2"/>
  <c r="J741" i="2"/>
  <c r="H744" i="2"/>
  <c r="F747" i="2"/>
  <c r="J749" i="2"/>
  <c r="H752" i="2"/>
  <c r="L752" i="2" s="1"/>
  <c r="F755" i="2"/>
  <c r="J757" i="2"/>
  <c r="L757" i="2" s="1"/>
  <c r="H760" i="2"/>
  <c r="F763" i="2"/>
  <c r="J765" i="2"/>
  <c r="H768" i="2"/>
  <c r="L768" i="2" s="1"/>
  <c r="F771" i="2"/>
  <c r="J773" i="2"/>
  <c r="H776" i="2"/>
  <c r="F779" i="2"/>
  <c r="J781" i="2"/>
  <c r="H784" i="2"/>
  <c r="F787" i="2"/>
  <c r="J789" i="2"/>
  <c r="L789" i="2" s="1"/>
  <c r="H792" i="2"/>
  <c r="F795" i="2"/>
  <c r="I555" i="2"/>
  <c r="K560" i="2"/>
  <c r="L560" i="2" s="1"/>
  <c r="G566" i="2"/>
  <c r="I571" i="2"/>
  <c r="L571" i="2" s="1"/>
  <c r="K576" i="2"/>
  <c r="G582" i="2"/>
  <c r="L582" i="2" s="1"/>
  <c r="I587" i="2"/>
  <c r="K592" i="2"/>
  <c r="L592" i="2" s="1"/>
  <c r="G598" i="2"/>
  <c r="F601" i="2"/>
  <c r="L601" i="2" s="1"/>
  <c r="J603" i="2"/>
  <c r="H606" i="2"/>
  <c r="L606" i="2" s="1"/>
  <c r="F609" i="2"/>
  <c r="J611" i="2"/>
  <c r="L611" i="2" s="1"/>
  <c r="H614" i="2"/>
  <c r="F617" i="2"/>
  <c r="L617" i="2" s="1"/>
  <c r="J619" i="2"/>
  <c r="H622" i="2"/>
  <c r="C622" i="2" s="1"/>
  <c r="F625" i="2"/>
  <c r="J627" i="2"/>
  <c r="L627" i="2" s="1"/>
  <c r="H630" i="2"/>
  <c r="F633" i="2"/>
  <c r="L633" i="2" s="1"/>
  <c r="J635" i="2"/>
  <c r="H638" i="2"/>
  <c r="L638" i="2" s="1"/>
  <c r="F641" i="2"/>
  <c r="J643" i="2"/>
  <c r="H646" i="2"/>
  <c r="F649" i="2"/>
  <c r="L649" i="2" s="1"/>
  <c r="J651" i="2"/>
  <c r="H654" i="2"/>
  <c r="L654" i="2" s="1"/>
  <c r="F657" i="2"/>
  <c r="K659" i="2"/>
  <c r="I662" i="2"/>
  <c r="G665" i="2"/>
  <c r="L665" i="2" s="1"/>
  <c r="K667" i="2"/>
  <c r="I670" i="2"/>
  <c r="L670" i="2" s="1"/>
  <c r="G673" i="2"/>
  <c r="K675" i="2"/>
  <c r="I678" i="2"/>
  <c r="G681" i="2"/>
  <c r="L681" i="2" s="1"/>
  <c r="K683" i="2"/>
  <c r="I686" i="2"/>
  <c r="L686" i="2" s="1"/>
  <c r="I689" i="2"/>
  <c r="K694" i="2"/>
  <c r="G700" i="2"/>
  <c r="I705" i="2"/>
  <c r="K710" i="2"/>
  <c r="G716" i="2"/>
  <c r="I721" i="2"/>
  <c r="K726" i="2"/>
  <c r="G732" i="2"/>
  <c r="I737" i="2"/>
  <c r="K742" i="2"/>
  <c r="G748" i="2"/>
  <c r="I753" i="2"/>
  <c r="K758" i="2"/>
  <c r="G764" i="2"/>
  <c r="I769" i="2"/>
  <c r="K774" i="2"/>
  <c r="G780" i="2"/>
  <c r="I785" i="2"/>
  <c r="K790" i="2"/>
  <c r="F796" i="2"/>
  <c r="J798" i="2"/>
  <c r="H801" i="2"/>
  <c r="F804" i="2"/>
  <c r="H805" i="2"/>
  <c r="J806" i="2"/>
  <c r="F808" i="2"/>
  <c r="H809" i="2"/>
  <c r="J810" i="2"/>
  <c r="F812" i="2"/>
  <c r="H813" i="2"/>
  <c r="J814" i="2"/>
  <c r="F816" i="2"/>
  <c r="H817" i="2"/>
  <c r="J818" i="2"/>
  <c r="F820" i="2"/>
  <c r="H821" i="2"/>
  <c r="J822" i="2"/>
  <c r="F824" i="2"/>
  <c r="H825" i="2"/>
  <c r="J826" i="2"/>
  <c r="F828" i="2"/>
  <c r="H829" i="2"/>
  <c r="J830" i="2"/>
  <c r="F832" i="2"/>
  <c r="H833" i="2"/>
  <c r="J834" i="2"/>
  <c r="F836" i="2"/>
  <c r="H837" i="2"/>
  <c r="J838" i="2"/>
  <c r="F840" i="2"/>
  <c r="H841" i="2"/>
  <c r="J842" i="2"/>
  <c r="F844" i="2"/>
  <c r="H845" i="2"/>
  <c r="J846" i="2"/>
  <c r="F848" i="2"/>
  <c r="H849" i="2"/>
  <c r="J850" i="2"/>
  <c r="F852" i="2"/>
  <c r="H853" i="2"/>
  <c r="J854" i="2"/>
  <c r="F856" i="2"/>
  <c r="H857" i="2"/>
  <c r="J858" i="2"/>
  <c r="F860" i="2"/>
  <c r="H861" i="2"/>
  <c r="J862" i="2"/>
  <c r="F864" i="2"/>
  <c r="H865" i="2"/>
  <c r="J866" i="2"/>
  <c r="F868" i="2"/>
  <c r="H869" i="2"/>
  <c r="J870" i="2"/>
  <c r="F872" i="2"/>
  <c r="H873" i="2"/>
  <c r="J874" i="2"/>
  <c r="F876" i="2"/>
  <c r="H877" i="2"/>
  <c r="J878" i="2"/>
  <c r="F880" i="2"/>
  <c r="H881" i="2"/>
  <c r="J882" i="2"/>
  <c r="F884" i="2"/>
  <c r="H885" i="2"/>
  <c r="J886" i="2"/>
  <c r="F888" i="2"/>
  <c r="H889" i="2"/>
  <c r="J890" i="2"/>
  <c r="F892" i="2"/>
  <c r="H893" i="2"/>
  <c r="J894" i="2"/>
  <c r="F896" i="2"/>
  <c r="H897" i="2"/>
  <c r="J898" i="2"/>
  <c r="F900" i="2"/>
  <c r="H901" i="2"/>
  <c r="J902" i="2"/>
  <c r="F904" i="2"/>
  <c r="H905" i="2"/>
  <c r="J906" i="2"/>
  <c r="F908" i="2"/>
  <c r="H909" i="2"/>
  <c r="J910" i="2"/>
  <c r="F912" i="2"/>
  <c r="H913" i="2"/>
  <c r="J914" i="2"/>
  <c r="F916" i="2"/>
  <c r="H917" i="2"/>
  <c r="J918" i="2"/>
  <c r="F920" i="2"/>
  <c r="I921" i="2"/>
  <c r="K922" i="2"/>
  <c r="G924" i="2"/>
  <c r="I925" i="2"/>
  <c r="K926" i="2"/>
  <c r="G928" i="2"/>
  <c r="I929" i="2"/>
  <c r="K930" i="2"/>
  <c r="G932" i="2"/>
  <c r="I933" i="2"/>
  <c r="K934" i="2"/>
  <c r="G936" i="2"/>
  <c r="I937" i="2"/>
  <c r="K938" i="2"/>
  <c r="G940" i="2"/>
  <c r="I941" i="2"/>
  <c r="K942" i="2"/>
  <c r="G944" i="2"/>
  <c r="I945" i="2"/>
  <c r="K946" i="2"/>
  <c r="G948" i="2"/>
  <c r="I949" i="2"/>
  <c r="K950" i="2"/>
  <c r="G952" i="2"/>
  <c r="I953" i="2"/>
  <c r="K954" i="2"/>
  <c r="G956" i="2"/>
  <c r="I957" i="2"/>
  <c r="K958" i="2"/>
  <c r="G960" i="2"/>
  <c r="I961" i="2"/>
  <c r="K962" i="2"/>
  <c r="G964" i="2"/>
  <c r="I965" i="2"/>
  <c r="K966" i="2"/>
  <c r="G968" i="2"/>
  <c r="G689" i="2"/>
  <c r="K691" i="2"/>
  <c r="I694" i="2"/>
  <c r="L694" i="2" s="1"/>
  <c r="G697" i="2"/>
  <c r="K699" i="2"/>
  <c r="I702" i="2"/>
  <c r="G705" i="2"/>
  <c r="K707" i="2"/>
  <c r="I710" i="2"/>
  <c r="G713" i="2"/>
  <c r="K715" i="2"/>
  <c r="I718" i="2"/>
  <c r="G721" i="2"/>
  <c r="K723" i="2"/>
  <c r="I726" i="2"/>
  <c r="L726" i="2" s="1"/>
  <c r="G729" i="2"/>
  <c r="K731" i="2"/>
  <c r="I734" i="2"/>
  <c r="G737" i="2"/>
  <c r="K739" i="2"/>
  <c r="I742" i="2"/>
  <c r="G745" i="2"/>
  <c r="K747" i="2"/>
  <c r="I750" i="2"/>
  <c r="G753" i="2"/>
  <c r="K755" i="2"/>
  <c r="I758" i="2"/>
  <c r="G761" i="2"/>
  <c r="K763" i="2"/>
  <c r="I766" i="2"/>
  <c r="G769" i="2"/>
  <c r="K771" i="2"/>
  <c r="I774" i="2"/>
  <c r="G777" i="2"/>
  <c r="K779" i="2"/>
  <c r="I782" i="2"/>
  <c r="G785" i="2"/>
  <c r="K787" i="2"/>
  <c r="I790" i="2"/>
  <c r="L790" i="2" s="1"/>
  <c r="G793" i="2"/>
  <c r="K795" i="2"/>
  <c r="G797" i="2"/>
  <c r="I798" i="2"/>
  <c r="L798" i="2" s="1"/>
  <c r="K799" i="2"/>
  <c r="G801" i="2"/>
  <c r="I802" i="2"/>
  <c r="K803" i="2"/>
  <c r="L803" i="2" s="1"/>
  <c r="G805" i="2"/>
  <c r="I806" i="2"/>
  <c r="L806" i="2" s="1"/>
  <c r="K807" i="2"/>
  <c r="G809" i="2"/>
  <c r="I810" i="2"/>
  <c r="K811" i="2"/>
  <c r="L811" i="2" s="1"/>
  <c r="G813" i="2"/>
  <c r="I814" i="2"/>
  <c r="L814" i="2" s="1"/>
  <c r="K815" i="2"/>
  <c r="G817" i="2"/>
  <c r="I818" i="2"/>
  <c r="K819" i="2"/>
  <c r="L819" i="2" s="1"/>
  <c r="G821" i="2"/>
  <c r="I822" i="2"/>
  <c r="L822" i="2" s="1"/>
  <c r="K823" i="2"/>
  <c r="G825" i="2"/>
  <c r="I826" i="2"/>
  <c r="K827" i="2"/>
  <c r="L827" i="2" s="1"/>
  <c r="G829" i="2"/>
  <c r="I830" i="2"/>
  <c r="L830" i="2" s="1"/>
  <c r="K831" i="2"/>
  <c r="G833" i="2"/>
  <c r="I834" i="2"/>
  <c r="K835" i="2"/>
  <c r="L835" i="2" s="1"/>
  <c r="G837" i="2"/>
  <c r="I838" i="2"/>
  <c r="L838" i="2" s="1"/>
  <c r="K839" i="2"/>
  <c r="G841" i="2"/>
  <c r="I842" i="2"/>
  <c r="K843" i="2"/>
  <c r="L843" i="2" s="1"/>
  <c r="G845" i="2"/>
  <c r="I846" i="2"/>
  <c r="L846" i="2" s="1"/>
  <c r="K847" i="2"/>
  <c r="G849" i="2"/>
  <c r="I850" i="2"/>
  <c r="K851" i="2"/>
  <c r="L851" i="2" s="1"/>
  <c r="G853" i="2"/>
  <c r="I854" i="2"/>
  <c r="L854" i="2" s="1"/>
  <c r="K855" i="2"/>
  <c r="G857" i="2"/>
  <c r="I858" i="2"/>
  <c r="K859" i="2"/>
  <c r="L859" i="2" s="1"/>
  <c r="G861" i="2"/>
  <c r="I862" i="2"/>
  <c r="C862" i="2" s="1"/>
  <c r="K863" i="2"/>
  <c r="G865" i="2"/>
  <c r="I866" i="2"/>
  <c r="K867" i="2"/>
  <c r="L867" i="2" s="1"/>
  <c r="G869" i="2"/>
  <c r="I870" i="2"/>
  <c r="L870" i="2" s="1"/>
  <c r="K871" i="2"/>
  <c r="G873" i="2"/>
  <c r="I874" i="2"/>
  <c r="K875" i="2"/>
  <c r="L875" i="2" s="1"/>
  <c r="G877" i="2"/>
  <c r="I878" i="2"/>
  <c r="C878" i="2" s="1"/>
  <c r="K879" i="2"/>
  <c r="G881" i="2"/>
  <c r="I882" i="2"/>
  <c r="K883" i="2"/>
  <c r="L883" i="2" s="1"/>
  <c r="G885" i="2"/>
  <c r="I886" i="2"/>
  <c r="L886" i="2" s="1"/>
  <c r="K887" i="2"/>
  <c r="G889" i="2"/>
  <c r="I890" i="2"/>
  <c r="K891" i="2"/>
  <c r="L891" i="2" s="1"/>
  <c r="G893" i="2"/>
  <c r="I894" i="2"/>
  <c r="C894" i="2" s="1"/>
  <c r="K895" i="2"/>
  <c r="G897" i="2"/>
  <c r="I898" i="2"/>
  <c r="K899" i="2"/>
  <c r="L899" i="2" s="1"/>
  <c r="G901" i="2"/>
  <c r="I902" i="2"/>
  <c r="L902" i="2" s="1"/>
  <c r="K903" i="2"/>
  <c r="G905" i="2"/>
  <c r="I906" i="2"/>
  <c r="K907" i="2"/>
  <c r="L907" i="2" s="1"/>
  <c r="G909" i="2"/>
  <c r="I910" i="2"/>
  <c r="C910" i="2" s="1"/>
  <c r="K911" i="2"/>
  <c r="G913" i="2"/>
  <c r="I914" i="2"/>
  <c r="K915" i="2"/>
  <c r="L915" i="2" s="1"/>
  <c r="G917" i="2"/>
  <c r="I918" i="2"/>
  <c r="L918" i="2" s="1"/>
  <c r="K919" i="2"/>
  <c r="F921" i="2"/>
  <c r="H922" i="2"/>
  <c r="J923" i="2"/>
  <c r="L923" i="2" s="1"/>
  <c r="F925" i="2"/>
  <c r="H926" i="2"/>
  <c r="L926" i="2" s="1"/>
  <c r="J927" i="2"/>
  <c r="F929" i="2"/>
  <c r="H930" i="2"/>
  <c r="J931" i="2"/>
  <c r="L931" i="2" s="1"/>
  <c r="F933" i="2"/>
  <c r="H934" i="2"/>
  <c r="C934" i="2" s="1"/>
  <c r="J935" i="2"/>
  <c r="F937" i="2"/>
  <c r="H938" i="2"/>
  <c r="J939" i="2"/>
  <c r="L939" i="2" s="1"/>
  <c r="F941" i="2"/>
  <c r="H942" i="2"/>
  <c r="L942" i="2" s="1"/>
  <c r="J943" i="2"/>
  <c r="F945" i="2"/>
  <c r="H946" i="2"/>
  <c r="J947" i="2"/>
  <c r="L947" i="2" s="1"/>
  <c r="F949" i="2"/>
  <c r="H950" i="2"/>
  <c r="C950" i="2" s="1"/>
  <c r="J951" i="2"/>
  <c r="F953" i="2"/>
  <c r="H954" i="2"/>
  <c r="J955" i="2"/>
  <c r="L955" i="2" s="1"/>
  <c r="F957" i="2"/>
  <c r="H958" i="2"/>
  <c r="L958" i="2" s="1"/>
  <c r="J959" i="2"/>
  <c r="F961" i="2"/>
  <c r="H962" i="2"/>
  <c r="J963" i="2"/>
  <c r="L963" i="2" s="1"/>
  <c r="F966" i="2"/>
  <c r="J968" i="2"/>
  <c r="H970" i="2"/>
  <c r="J971" i="2"/>
  <c r="F973" i="2"/>
  <c r="H974" i="2"/>
  <c r="J975" i="2"/>
  <c r="F977" i="2"/>
  <c r="H978" i="2"/>
  <c r="J979" i="2"/>
  <c r="F981" i="2"/>
  <c r="H982" i="2"/>
  <c r="J983" i="2"/>
  <c r="F985" i="2"/>
  <c r="H986" i="2"/>
  <c r="J987" i="2"/>
  <c r="F989" i="2"/>
  <c r="H990" i="2"/>
  <c r="J991" i="2"/>
  <c r="F993" i="2"/>
  <c r="H994" i="2"/>
  <c r="J995" i="2"/>
  <c r="F997" i="2"/>
  <c r="H998" i="2"/>
  <c r="J999" i="2"/>
  <c r="F1001" i="2"/>
  <c r="H1002" i="2"/>
  <c r="J1003" i="2"/>
  <c r="F1005" i="2"/>
  <c r="H1006" i="2"/>
  <c r="J1007" i="2"/>
  <c r="F1009" i="2"/>
  <c r="H1010" i="2"/>
  <c r="J1011" i="2"/>
  <c r="F1013" i="2"/>
  <c r="H1014" i="2"/>
  <c r="J1015" i="2"/>
  <c r="F1017" i="2"/>
  <c r="H1018" i="2"/>
  <c r="J1019" i="2"/>
  <c r="F1021" i="2"/>
  <c r="H1022" i="2"/>
  <c r="J1023" i="2"/>
  <c r="F1025" i="2"/>
  <c r="H1026" i="2"/>
  <c r="J1027" i="2"/>
  <c r="F1029" i="2"/>
  <c r="H1030" i="2"/>
  <c r="J1031" i="2"/>
  <c r="F1033" i="2"/>
  <c r="H1034" i="2"/>
  <c r="J1035" i="2"/>
  <c r="F1037" i="2"/>
  <c r="H1038" i="2"/>
  <c r="J1039" i="2"/>
  <c r="F1041" i="2"/>
  <c r="H1042" i="2"/>
  <c r="J1043" i="2"/>
  <c r="F1045" i="2"/>
  <c r="H1046" i="2"/>
  <c r="J1047" i="2"/>
  <c r="F1049" i="2"/>
  <c r="H1050" i="2"/>
  <c r="J1051" i="2"/>
  <c r="F1053" i="2"/>
  <c r="H1054" i="2"/>
  <c r="J1055" i="2"/>
  <c r="F1057" i="2"/>
  <c r="H1058" i="2"/>
  <c r="J1059" i="2"/>
  <c r="F1061" i="2"/>
  <c r="H1062" i="2"/>
  <c r="J1063" i="2"/>
  <c r="F1065" i="2"/>
  <c r="H1066" i="2"/>
  <c r="J1067" i="2"/>
  <c r="F1069" i="2"/>
  <c r="H1070" i="2"/>
  <c r="J1071" i="2"/>
  <c r="F1073" i="2"/>
  <c r="H1074" i="2"/>
  <c r="J1075" i="2"/>
  <c r="F1077" i="2"/>
  <c r="H1078" i="2"/>
  <c r="J1079" i="2"/>
  <c r="F1081" i="2"/>
  <c r="H1082" i="2"/>
  <c r="J1083" i="2"/>
  <c r="F1085" i="2"/>
  <c r="H1086" i="2"/>
  <c r="J1087" i="2"/>
  <c r="F1089" i="2"/>
  <c r="H1090" i="2"/>
  <c r="J1091" i="2"/>
  <c r="F1093" i="2"/>
  <c r="H1094" i="2"/>
  <c r="J1095" i="2"/>
  <c r="F1097" i="2"/>
  <c r="H1098" i="2"/>
  <c r="J1099" i="2"/>
  <c r="F1101" i="2"/>
  <c r="H1102" i="2"/>
  <c r="J1103" i="2"/>
  <c r="F1105" i="2"/>
  <c r="H1106" i="2"/>
  <c r="J1107" i="2"/>
  <c r="F1109" i="2"/>
  <c r="H1110" i="2"/>
  <c r="J1111" i="2"/>
  <c r="F1113" i="2"/>
  <c r="H1114" i="2"/>
  <c r="J1115" i="2"/>
  <c r="F1117" i="2"/>
  <c r="H1118" i="2"/>
  <c r="J1119" i="2"/>
  <c r="F1121" i="2"/>
  <c r="H1122" i="2"/>
  <c r="J1123" i="2"/>
  <c r="F1125" i="2"/>
  <c r="H1126" i="2"/>
  <c r="J1127" i="2"/>
  <c r="F1129" i="2"/>
  <c r="H1130" i="2"/>
  <c r="J1131" i="2"/>
  <c r="F1133" i="2"/>
  <c r="H1134" i="2"/>
  <c r="J1135" i="2"/>
  <c r="F1137" i="2"/>
  <c r="H1138" i="2"/>
  <c r="J1139" i="2"/>
  <c r="F1141" i="2"/>
  <c r="H1142" i="2"/>
  <c r="J1143" i="2"/>
  <c r="F1145" i="2"/>
  <c r="H1146" i="2"/>
  <c r="J1147" i="2"/>
  <c r="F1149" i="2"/>
  <c r="H1150" i="2"/>
  <c r="J1151" i="2"/>
  <c r="F1153" i="2"/>
  <c r="H1154" i="2"/>
  <c r="J1155" i="2"/>
  <c r="F1157" i="2"/>
  <c r="H1158" i="2"/>
  <c r="J1159" i="2"/>
  <c r="F1161" i="2"/>
  <c r="H1162" i="2"/>
  <c r="J1163" i="2"/>
  <c r="F1165" i="2"/>
  <c r="H1166" i="2"/>
  <c r="J1167" i="2"/>
  <c r="F1169" i="2"/>
  <c r="H1170" i="2"/>
  <c r="J1171" i="2"/>
  <c r="F1173" i="2"/>
  <c r="H1174" i="2"/>
  <c r="J1175" i="2"/>
  <c r="F1177" i="2"/>
  <c r="H1178" i="2"/>
  <c r="J1179" i="2"/>
  <c r="F1181" i="2"/>
  <c r="H1182" i="2"/>
  <c r="J1183" i="2"/>
  <c r="F1185" i="2"/>
  <c r="H1186" i="2"/>
  <c r="K1187" i="2"/>
  <c r="G1189" i="2"/>
  <c r="I1190" i="2"/>
  <c r="K1191" i="2"/>
  <c r="G1193" i="2"/>
  <c r="I1194" i="2"/>
  <c r="K1195" i="2"/>
  <c r="G1197" i="2"/>
  <c r="I1198" i="2"/>
  <c r="K1199" i="2"/>
  <c r="G1201" i="2"/>
  <c r="I1202" i="2"/>
  <c r="K1203" i="2"/>
  <c r="G1205" i="2"/>
  <c r="I1206" i="2"/>
  <c r="K1207" i="2"/>
  <c r="G1209" i="2"/>
  <c r="I1210" i="2"/>
  <c r="K1211" i="2"/>
  <c r="G1213" i="2"/>
  <c r="I1214" i="2"/>
  <c r="K1215" i="2"/>
  <c r="G1217" i="2"/>
  <c r="I1218" i="2"/>
  <c r="K1219" i="2"/>
  <c r="G1221" i="2"/>
  <c r="I1222" i="2"/>
  <c r="K1223" i="2"/>
  <c r="G1225" i="2"/>
  <c r="I1226" i="2"/>
  <c r="K1227" i="2"/>
  <c r="G1229" i="2"/>
  <c r="I1230" i="2"/>
  <c r="K1231" i="2"/>
  <c r="G1233" i="2"/>
  <c r="I1234" i="2"/>
  <c r="K1235" i="2"/>
  <c r="G1237" i="2"/>
  <c r="I1238" i="2"/>
  <c r="K1239" i="2"/>
  <c r="G1241" i="2"/>
  <c r="I1242" i="2"/>
  <c r="K1243" i="2"/>
  <c r="G1245" i="2"/>
  <c r="I1246" i="2"/>
  <c r="K1247" i="2"/>
  <c r="G1249" i="2"/>
  <c r="I1250" i="2"/>
  <c r="K1251" i="2"/>
  <c r="G1253" i="2"/>
  <c r="I1254" i="2"/>
  <c r="K1255" i="2"/>
  <c r="G1257" i="2"/>
  <c r="I1258" i="2"/>
  <c r="K1259" i="2"/>
  <c r="G1261" i="2"/>
  <c r="I1262" i="2"/>
  <c r="G1263" i="2"/>
  <c r="K1263" i="2"/>
  <c r="I1264" i="2"/>
  <c r="G1265" i="2"/>
  <c r="K1265" i="2"/>
  <c r="I1266" i="2"/>
  <c r="G1267" i="2"/>
  <c r="K1267" i="2"/>
  <c r="I1268" i="2"/>
  <c r="G1269" i="2"/>
  <c r="K1269" i="2"/>
  <c r="I1270" i="2"/>
  <c r="G1271" i="2"/>
  <c r="K1271" i="2"/>
  <c r="I1272" i="2"/>
  <c r="G1273" i="2"/>
  <c r="K1273" i="2"/>
  <c r="I1274" i="2"/>
  <c r="G1275" i="2"/>
  <c r="K1275" i="2"/>
  <c r="I1276" i="2"/>
  <c r="G1277" i="2"/>
  <c r="K1277" i="2"/>
  <c r="I1278" i="2"/>
  <c r="G1279" i="2"/>
  <c r="K1279" i="2"/>
  <c r="I1280" i="2"/>
  <c r="G1281" i="2"/>
  <c r="K1281" i="2"/>
  <c r="I1282" i="2"/>
  <c r="G1283" i="2"/>
  <c r="K1283" i="2"/>
  <c r="I1284" i="2"/>
  <c r="G1285" i="2"/>
  <c r="K1285" i="2"/>
  <c r="I1286" i="2"/>
  <c r="G1287" i="2"/>
  <c r="K1287" i="2"/>
  <c r="I1288" i="2"/>
  <c r="G1289" i="2"/>
  <c r="K1289" i="2"/>
  <c r="I1290" i="2"/>
  <c r="G1291" i="2"/>
  <c r="K1291" i="2"/>
  <c r="I1292" i="2"/>
  <c r="G1293" i="2"/>
  <c r="K1293" i="2"/>
  <c r="I1294" i="2"/>
  <c r="G1295" i="2"/>
  <c r="K1295" i="2"/>
  <c r="I1296" i="2"/>
  <c r="G1297" i="2"/>
  <c r="K1297" i="2"/>
  <c r="I1298" i="2"/>
  <c r="G1299" i="2"/>
  <c r="K1299" i="2"/>
  <c r="I1300" i="2"/>
  <c r="G1301" i="2"/>
  <c r="K1301" i="2"/>
  <c r="I1302" i="2"/>
  <c r="G1303" i="2"/>
  <c r="K1303" i="2"/>
  <c r="I1304" i="2"/>
  <c r="G1305" i="2"/>
  <c r="K1305" i="2"/>
  <c r="I1306" i="2"/>
  <c r="G1307" i="2"/>
  <c r="K1307" i="2"/>
  <c r="I1308" i="2"/>
  <c r="G1309" i="2"/>
  <c r="K1309" i="2"/>
  <c r="I1310" i="2"/>
  <c r="G1311" i="2"/>
  <c r="K1311" i="2"/>
  <c r="I1312" i="2"/>
  <c r="G1313" i="2"/>
  <c r="K1313" i="2"/>
  <c r="I1314" i="2"/>
  <c r="G1315" i="2"/>
  <c r="K1315" i="2"/>
  <c r="I1316" i="2"/>
  <c r="G1317" i="2"/>
  <c r="K1317" i="2"/>
  <c r="I1318" i="2"/>
  <c r="G1319" i="2"/>
  <c r="K1319" i="2"/>
  <c r="I1320" i="2"/>
  <c r="G1321" i="2"/>
  <c r="K1321" i="2"/>
  <c r="I1322" i="2"/>
  <c r="G1323" i="2"/>
  <c r="K1323" i="2"/>
  <c r="I1324" i="2"/>
  <c r="G1325" i="2"/>
  <c r="K1325" i="2"/>
  <c r="I1326" i="2"/>
  <c r="G1327" i="2"/>
  <c r="K1327" i="2"/>
  <c r="I1328" i="2"/>
  <c r="G1329" i="2"/>
  <c r="K1329" i="2"/>
  <c r="I1330" i="2"/>
  <c r="G1331" i="2"/>
  <c r="K1331" i="2"/>
  <c r="I1332" i="2"/>
  <c r="G1333" i="2"/>
  <c r="K1333" i="2"/>
  <c r="I1334" i="2"/>
  <c r="G1335" i="2"/>
  <c r="K1335" i="2"/>
  <c r="I1336" i="2"/>
  <c r="G1337" i="2"/>
  <c r="K1337" i="2"/>
  <c r="I1338" i="2"/>
  <c r="G1339" i="2"/>
  <c r="K1339" i="2"/>
  <c r="I1340" i="2"/>
  <c r="G1341" i="2"/>
  <c r="K1341" i="2"/>
  <c r="I1342" i="2"/>
  <c r="G1343" i="2"/>
  <c r="K1343" i="2"/>
  <c r="I1344" i="2"/>
  <c r="G1345" i="2"/>
  <c r="K1345" i="2"/>
  <c r="I1346" i="2"/>
  <c r="G1347" i="2"/>
  <c r="K1347" i="2"/>
  <c r="I1348" i="2"/>
  <c r="G1349" i="2"/>
  <c r="K1349" i="2"/>
  <c r="I1350" i="2"/>
  <c r="G1351" i="2"/>
  <c r="K1351" i="2"/>
  <c r="I1352" i="2"/>
  <c r="G1353" i="2"/>
  <c r="K1353" i="2"/>
  <c r="I1354" i="2"/>
  <c r="G1355" i="2"/>
  <c r="K1355" i="2"/>
  <c r="I1356" i="2"/>
  <c r="G1357" i="2"/>
  <c r="K1357" i="2"/>
  <c r="I1358" i="2"/>
  <c r="G1359" i="2"/>
  <c r="K1359" i="2"/>
  <c r="I1360" i="2"/>
  <c r="G1361" i="2"/>
  <c r="K1361" i="2"/>
  <c r="I1362" i="2"/>
  <c r="G1363" i="2"/>
  <c r="K1363" i="2"/>
  <c r="I1364" i="2"/>
  <c r="G1365" i="2"/>
  <c r="K1365" i="2"/>
  <c r="I1366" i="2"/>
  <c r="G1367" i="2"/>
  <c r="K1367" i="2"/>
  <c r="I1368" i="2"/>
  <c r="G1369" i="2"/>
  <c r="K1369" i="2"/>
  <c r="I1370" i="2"/>
  <c r="G1371" i="2"/>
  <c r="K1371" i="2"/>
  <c r="I1372" i="2"/>
  <c r="G1373" i="2"/>
  <c r="K1373" i="2"/>
  <c r="I1374" i="2"/>
  <c r="G1375" i="2"/>
  <c r="K1375" i="2"/>
  <c r="I1376" i="2"/>
  <c r="G1377" i="2"/>
  <c r="K1377" i="2"/>
  <c r="I1378" i="2"/>
  <c r="G1379" i="2"/>
  <c r="K1379" i="2"/>
  <c r="I1380" i="2"/>
  <c r="G1381" i="2"/>
  <c r="K1381" i="2"/>
  <c r="I1382" i="2"/>
  <c r="G1383" i="2"/>
  <c r="K1383" i="2"/>
  <c r="I1384" i="2"/>
  <c r="G1385" i="2"/>
  <c r="K1385" i="2"/>
  <c r="I1386" i="2"/>
  <c r="G1387" i="2"/>
  <c r="K1387" i="2"/>
  <c r="I1388" i="2"/>
  <c r="G1389" i="2"/>
  <c r="K1389" i="2"/>
  <c r="I1390" i="2"/>
  <c r="G1391" i="2"/>
  <c r="K1391" i="2"/>
  <c r="I1392" i="2"/>
  <c r="G1393" i="2"/>
  <c r="K1393" i="2"/>
  <c r="I1394" i="2"/>
  <c r="G1395" i="2"/>
  <c r="K1395" i="2"/>
  <c r="I1396" i="2"/>
  <c r="G1397" i="2"/>
  <c r="K1397" i="2"/>
  <c r="I1398" i="2"/>
  <c r="G1399" i="2"/>
  <c r="K1399" i="2"/>
  <c r="I1400" i="2"/>
  <c r="G1401" i="2"/>
  <c r="K1401" i="2"/>
  <c r="I1402" i="2"/>
  <c r="G1403" i="2"/>
  <c r="K1403" i="2"/>
  <c r="I1404" i="2"/>
  <c r="G1405" i="2"/>
  <c r="K1405" i="2"/>
  <c r="I1406" i="2"/>
  <c r="G1407" i="2"/>
  <c r="K1407" i="2"/>
  <c r="I1408" i="2"/>
  <c r="G1409" i="2"/>
  <c r="K1409" i="2"/>
  <c r="I1410" i="2"/>
  <c r="G1411" i="2"/>
  <c r="K1411" i="2"/>
  <c r="I1412" i="2"/>
  <c r="G1413" i="2"/>
  <c r="K1413" i="2"/>
  <c r="I1414" i="2"/>
  <c r="G1415" i="2"/>
  <c r="K1415" i="2"/>
  <c r="I1416" i="2"/>
  <c r="G1417" i="2"/>
  <c r="K1417" i="2"/>
  <c r="I1418" i="2"/>
  <c r="G1419" i="2"/>
  <c r="K1419" i="2"/>
  <c r="I1420" i="2"/>
  <c r="G1421" i="2"/>
  <c r="F965" i="2"/>
  <c r="H966" i="2"/>
  <c r="J967" i="2"/>
  <c r="F969" i="2"/>
  <c r="K969" i="2"/>
  <c r="I970" i="2"/>
  <c r="G971" i="2"/>
  <c r="K971" i="2"/>
  <c r="I972" i="2"/>
  <c r="G973" i="2"/>
  <c r="K973" i="2"/>
  <c r="I974" i="2"/>
  <c r="G975" i="2"/>
  <c r="K975" i="2"/>
  <c r="I976" i="2"/>
  <c r="G977" i="2"/>
  <c r="K977" i="2"/>
  <c r="I978" i="2"/>
  <c r="G979" i="2"/>
  <c r="K979" i="2"/>
  <c r="I980" i="2"/>
  <c r="G981" i="2"/>
  <c r="K981" i="2"/>
  <c r="I982" i="2"/>
  <c r="G983" i="2"/>
  <c r="K983" i="2"/>
  <c r="I984" i="2"/>
  <c r="G985" i="2"/>
  <c r="K985" i="2"/>
  <c r="I986" i="2"/>
  <c r="G987" i="2"/>
  <c r="K987" i="2"/>
  <c r="I988" i="2"/>
  <c r="G989" i="2"/>
  <c r="K989" i="2"/>
  <c r="I990" i="2"/>
  <c r="G991" i="2"/>
  <c r="K991" i="2"/>
  <c r="I992" i="2"/>
  <c r="G993" i="2"/>
  <c r="K993" i="2"/>
  <c r="I994" i="2"/>
  <c r="G995" i="2"/>
  <c r="K995" i="2"/>
  <c r="I996" i="2"/>
  <c r="G997" i="2"/>
  <c r="K997" i="2"/>
  <c r="I998" i="2"/>
  <c r="G999" i="2"/>
  <c r="K999" i="2"/>
  <c r="I1000" i="2"/>
  <c r="G1001" i="2"/>
  <c r="K1001" i="2"/>
  <c r="I1002" i="2"/>
  <c r="G1003" i="2"/>
  <c r="K1003" i="2"/>
  <c r="I1004" i="2"/>
  <c r="G1005" i="2"/>
  <c r="K1005" i="2"/>
  <c r="I1006" i="2"/>
  <c r="G1007" i="2"/>
  <c r="K1007" i="2"/>
  <c r="I1008" i="2"/>
  <c r="G1009" i="2"/>
  <c r="K1009" i="2"/>
  <c r="I1010" i="2"/>
  <c r="G1011" i="2"/>
  <c r="K1011" i="2"/>
  <c r="I1012" i="2"/>
  <c r="G1013" i="2"/>
  <c r="K1013" i="2"/>
  <c r="I1014" i="2"/>
  <c r="G1015" i="2"/>
  <c r="K1015" i="2"/>
  <c r="I1016" i="2"/>
  <c r="G1017" i="2"/>
  <c r="K1017" i="2"/>
  <c r="I1018" i="2"/>
  <c r="G1019" i="2"/>
  <c r="K1019" i="2"/>
  <c r="I1020" i="2"/>
  <c r="G1021" i="2"/>
  <c r="K1021" i="2"/>
  <c r="I1022" i="2"/>
  <c r="G1023" i="2"/>
  <c r="K1023" i="2"/>
  <c r="I1024" i="2"/>
  <c r="G1025" i="2"/>
  <c r="K1025" i="2"/>
  <c r="I1026" i="2"/>
  <c r="G1027" i="2"/>
  <c r="K1027" i="2"/>
  <c r="I1028" i="2"/>
  <c r="G1029" i="2"/>
  <c r="K1029" i="2"/>
  <c r="I1030" i="2"/>
  <c r="G1031" i="2"/>
  <c r="K1031" i="2"/>
  <c r="I1032" i="2"/>
  <c r="G1033" i="2"/>
  <c r="K1033" i="2"/>
  <c r="I1034" i="2"/>
  <c r="G1035" i="2"/>
  <c r="K1035" i="2"/>
  <c r="I1036" i="2"/>
  <c r="G1037" i="2"/>
  <c r="K1037" i="2"/>
  <c r="I1038" i="2"/>
  <c r="G1039" i="2"/>
  <c r="K1039" i="2"/>
  <c r="I1040" i="2"/>
  <c r="G1041" i="2"/>
  <c r="K1041" i="2"/>
  <c r="I1042" i="2"/>
  <c r="G1043" i="2"/>
  <c r="K1043" i="2"/>
  <c r="I1044" i="2"/>
  <c r="G1045" i="2"/>
  <c r="K1045" i="2"/>
  <c r="I1046" i="2"/>
  <c r="G1047" i="2"/>
  <c r="K1047" i="2"/>
  <c r="I1048" i="2"/>
  <c r="G1049" i="2"/>
  <c r="K1049" i="2"/>
  <c r="I1050" i="2"/>
  <c r="G1051" i="2"/>
  <c r="K1051" i="2"/>
  <c r="I1052" i="2"/>
  <c r="G1053" i="2"/>
  <c r="K1053" i="2"/>
  <c r="I1054" i="2"/>
  <c r="G1055" i="2"/>
  <c r="K1055" i="2"/>
  <c r="I1056" i="2"/>
  <c r="G1057" i="2"/>
  <c r="K1057" i="2"/>
  <c r="I1058" i="2"/>
  <c r="G1059" i="2"/>
  <c r="K1059" i="2"/>
  <c r="I1060" i="2"/>
  <c r="G1061" i="2"/>
  <c r="K1061" i="2"/>
  <c r="I1062" i="2"/>
  <c r="G1063" i="2"/>
  <c r="K1063" i="2"/>
  <c r="I1064" i="2"/>
  <c r="G1065" i="2"/>
  <c r="K1065" i="2"/>
  <c r="I1066" i="2"/>
  <c r="G1067" i="2"/>
  <c r="K1067" i="2"/>
  <c r="I1068" i="2"/>
  <c r="G1069" i="2"/>
  <c r="K1069" i="2"/>
  <c r="I1070" i="2"/>
  <c r="G1071" i="2"/>
  <c r="K1071" i="2"/>
  <c r="I1072" i="2"/>
  <c r="G1073" i="2"/>
  <c r="K1073" i="2"/>
  <c r="I1074" i="2"/>
  <c r="G1075" i="2"/>
  <c r="K1075" i="2"/>
  <c r="I1076" i="2"/>
  <c r="G1077" i="2"/>
  <c r="K1077" i="2"/>
  <c r="I1078" i="2"/>
  <c r="G1079" i="2"/>
  <c r="K1079" i="2"/>
  <c r="I1080" i="2"/>
  <c r="G1081" i="2"/>
  <c r="K1081" i="2"/>
  <c r="I1082" i="2"/>
  <c r="G1083" i="2"/>
  <c r="K1083" i="2"/>
  <c r="I1084" i="2"/>
  <c r="G1085" i="2"/>
  <c r="K1085" i="2"/>
  <c r="I1086" i="2"/>
  <c r="G1087" i="2"/>
  <c r="K1087" i="2"/>
  <c r="I1088" i="2"/>
  <c r="G1089" i="2"/>
  <c r="K1089" i="2"/>
  <c r="I1090" i="2"/>
  <c r="G1091" i="2"/>
  <c r="K1091" i="2"/>
  <c r="I1092" i="2"/>
  <c r="G1093" i="2"/>
  <c r="K1093" i="2"/>
  <c r="I1094" i="2"/>
  <c r="G1095" i="2"/>
  <c r="K1095" i="2"/>
  <c r="I1096" i="2"/>
  <c r="G1097" i="2"/>
  <c r="K1097" i="2"/>
  <c r="I1098" i="2"/>
  <c r="G1099" i="2"/>
  <c r="K1099" i="2"/>
  <c r="I1100" i="2"/>
  <c r="G1101" i="2"/>
  <c r="K1101" i="2"/>
  <c r="I1102" i="2"/>
  <c r="G1103" i="2"/>
  <c r="K1103" i="2"/>
  <c r="I1104" i="2"/>
  <c r="G1105" i="2"/>
  <c r="K1105" i="2"/>
  <c r="I1106" i="2"/>
  <c r="G1107" i="2"/>
  <c r="K1107" i="2"/>
  <c r="I1108" i="2"/>
  <c r="G1109" i="2"/>
  <c r="K1109" i="2"/>
  <c r="I1110" i="2"/>
  <c r="G1111" i="2"/>
  <c r="K1111" i="2"/>
  <c r="I1112" i="2"/>
  <c r="G1113" i="2"/>
  <c r="K1113" i="2"/>
  <c r="I1114" i="2"/>
  <c r="G1115" i="2"/>
  <c r="K1115" i="2"/>
  <c r="I1116" i="2"/>
  <c r="G1117" i="2"/>
  <c r="K1117" i="2"/>
  <c r="I1118" i="2"/>
  <c r="G1119" i="2"/>
  <c r="K1119" i="2"/>
  <c r="I1120" i="2"/>
  <c r="G1121" i="2"/>
  <c r="K1121" i="2"/>
  <c r="I1122" i="2"/>
  <c r="G1123" i="2"/>
  <c r="K1123" i="2"/>
  <c r="I1124" i="2"/>
  <c r="G1125" i="2"/>
  <c r="K1125" i="2"/>
  <c r="I1126" i="2"/>
  <c r="G1127" i="2"/>
  <c r="K1127" i="2"/>
  <c r="I1128" i="2"/>
  <c r="G1129" i="2"/>
  <c r="K1129" i="2"/>
  <c r="I1130" i="2"/>
  <c r="G1131" i="2"/>
  <c r="K1131" i="2"/>
  <c r="I1132" i="2"/>
  <c r="G1133" i="2"/>
  <c r="K1133" i="2"/>
  <c r="I1134" i="2"/>
  <c r="G1135" i="2"/>
  <c r="K1135" i="2"/>
  <c r="I1136" i="2"/>
  <c r="G1137" i="2"/>
  <c r="K1137" i="2"/>
  <c r="I1138" i="2"/>
  <c r="G1139" i="2"/>
  <c r="K1139" i="2"/>
  <c r="I1140" i="2"/>
  <c r="G1141" i="2"/>
  <c r="K1141" i="2"/>
  <c r="I1142" i="2"/>
  <c r="G1143" i="2"/>
  <c r="K1143" i="2"/>
  <c r="I1144" i="2"/>
  <c r="G1145" i="2"/>
  <c r="K1145" i="2"/>
  <c r="I1146" i="2"/>
  <c r="G1147" i="2"/>
  <c r="K1147" i="2"/>
  <c r="I1148" i="2"/>
  <c r="G1149" i="2"/>
  <c r="K1149" i="2"/>
  <c r="I1150" i="2"/>
  <c r="G1151" i="2"/>
  <c r="K1151" i="2"/>
  <c r="I1152" i="2"/>
  <c r="G1153" i="2"/>
  <c r="K1153" i="2"/>
  <c r="I1154" i="2"/>
  <c r="G1155" i="2"/>
  <c r="K1155" i="2"/>
  <c r="I1156" i="2"/>
  <c r="G1157" i="2"/>
  <c r="K1157" i="2"/>
  <c r="I1158" i="2"/>
  <c r="G1159" i="2"/>
  <c r="K1159" i="2"/>
  <c r="I1160" i="2"/>
  <c r="G1161" i="2"/>
  <c r="K1161" i="2"/>
  <c r="I1162" i="2"/>
  <c r="G1163" i="2"/>
  <c r="K1163" i="2"/>
  <c r="I1164" i="2"/>
  <c r="G1165" i="2"/>
  <c r="K1165" i="2"/>
  <c r="I1166" i="2"/>
  <c r="G1167" i="2"/>
  <c r="K1167" i="2"/>
  <c r="I1168" i="2"/>
  <c r="G1169" i="2"/>
  <c r="K1169" i="2"/>
  <c r="I1170" i="2"/>
  <c r="G1171" i="2"/>
  <c r="K1171" i="2"/>
  <c r="I1172" i="2"/>
  <c r="G1173" i="2"/>
  <c r="K1173" i="2"/>
  <c r="I1174" i="2"/>
  <c r="G1175" i="2"/>
  <c r="K1175" i="2"/>
  <c r="I1176" i="2"/>
  <c r="G1177" i="2"/>
  <c r="K1177" i="2"/>
  <c r="I1178" i="2"/>
  <c r="G1179" i="2"/>
  <c r="K1179" i="2"/>
  <c r="I1180" i="2"/>
  <c r="G1181" i="2"/>
  <c r="G1182" i="2"/>
  <c r="I1183" i="2"/>
  <c r="K1184" i="2"/>
  <c r="G1186" i="2"/>
  <c r="H1187" i="2"/>
  <c r="J1188" i="2"/>
  <c r="F1190" i="2"/>
  <c r="H1191" i="2"/>
  <c r="J1192" i="2"/>
  <c r="F1194" i="2"/>
  <c r="H1195" i="2"/>
  <c r="J1196" i="2"/>
  <c r="F1198" i="2"/>
  <c r="H1199" i="2"/>
  <c r="J1200" i="2"/>
  <c r="F1202" i="2"/>
  <c r="H1203" i="2"/>
  <c r="J1204" i="2"/>
  <c r="F1206" i="2"/>
  <c r="H1207" i="2"/>
  <c r="J1208" i="2"/>
  <c r="F1210" i="2"/>
  <c r="H1211" i="2"/>
  <c r="J1212" i="2"/>
  <c r="F1214" i="2"/>
  <c r="H1215" i="2"/>
  <c r="J1216" i="2"/>
  <c r="F1218" i="2"/>
  <c r="H1219" i="2"/>
  <c r="J1220" i="2"/>
  <c r="F1222" i="2"/>
  <c r="H1223" i="2"/>
  <c r="J1224" i="2"/>
  <c r="F1226" i="2"/>
  <c r="H1227" i="2"/>
  <c r="J1228" i="2"/>
  <c r="F1230" i="2"/>
  <c r="H1231" i="2"/>
  <c r="J1232" i="2"/>
  <c r="F1234" i="2"/>
  <c r="H1235" i="2"/>
  <c r="J1236" i="2"/>
  <c r="F1238" i="2"/>
  <c r="H1239" i="2"/>
  <c r="J1240" i="2"/>
  <c r="F1242" i="2"/>
  <c r="H1243" i="2"/>
  <c r="J1244" i="2"/>
  <c r="F1246" i="2"/>
  <c r="H1247" i="2"/>
  <c r="J1248" i="2"/>
  <c r="F1250" i="2"/>
  <c r="H1251" i="2"/>
  <c r="J1252" i="2"/>
  <c r="F1254" i="2"/>
  <c r="H1255" i="2"/>
  <c r="J1256" i="2"/>
  <c r="F1258" i="2"/>
  <c r="H1259" i="2"/>
  <c r="J1260" i="2"/>
  <c r="F1262" i="2"/>
  <c r="H1263" i="2"/>
  <c r="J1264" i="2"/>
  <c r="F1266" i="2"/>
  <c r="H1267" i="2"/>
  <c r="J1268" i="2"/>
  <c r="F1270" i="2"/>
  <c r="H1271" i="2"/>
  <c r="J1272" i="2"/>
  <c r="F1274" i="2"/>
  <c r="H1275" i="2"/>
  <c r="J1276" i="2"/>
  <c r="F1278" i="2"/>
  <c r="H1279" i="2"/>
  <c r="J1280" i="2"/>
  <c r="F1282" i="2"/>
  <c r="H1283" i="2"/>
  <c r="J1284" i="2"/>
  <c r="F1286" i="2"/>
  <c r="H1287" i="2"/>
  <c r="J1288" i="2"/>
  <c r="F1290" i="2"/>
  <c r="H1291" i="2"/>
  <c r="J1292" i="2"/>
  <c r="F1294" i="2"/>
  <c r="H1295" i="2"/>
  <c r="J1296" i="2"/>
  <c r="F1298" i="2"/>
  <c r="H1299" i="2"/>
  <c r="J1300" i="2"/>
  <c r="F1302" i="2"/>
  <c r="H1303" i="2"/>
  <c r="J1304" i="2"/>
  <c r="F1306" i="2"/>
  <c r="H1307" i="2"/>
  <c r="J1308" i="2"/>
  <c r="F1310" i="2"/>
  <c r="H1311" i="2"/>
  <c r="J1312" i="2"/>
  <c r="F1314" i="2"/>
  <c r="H1315" i="2"/>
  <c r="J1316" i="2"/>
  <c r="F1318" i="2"/>
  <c r="H1319" i="2"/>
  <c r="J1320" i="2"/>
  <c r="F1322" i="2"/>
  <c r="H1323" i="2"/>
  <c r="J1324" i="2"/>
  <c r="F1326" i="2"/>
  <c r="H1327" i="2"/>
  <c r="J1328" i="2"/>
  <c r="F1330" i="2"/>
  <c r="H1331" i="2"/>
  <c r="J1332" i="2"/>
  <c r="F1334" i="2"/>
  <c r="H1335" i="2"/>
  <c r="J1336" i="2"/>
  <c r="F1338" i="2"/>
  <c r="H1339" i="2"/>
  <c r="J1340" i="2"/>
  <c r="F1342" i="2"/>
  <c r="H1343" i="2"/>
  <c r="J1344" i="2"/>
  <c r="F1346" i="2"/>
  <c r="H1347" i="2"/>
  <c r="J1348" i="2"/>
  <c r="F1350" i="2"/>
  <c r="H1351" i="2"/>
  <c r="J1352" i="2"/>
  <c r="F1354" i="2"/>
  <c r="H1355" i="2"/>
  <c r="J1356" i="2"/>
  <c r="F1358" i="2"/>
  <c r="H1359" i="2"/>
  <c r="J1360" i="2"/>
  <c r="F1362" i="2"/>
  <c r="H1363" i="2"/>
  <c r="J1364" i="2"/>
  <c r="F1366" i="2"/>
  <c r="H1367" i="2"/>
  <c r="J1368" i="2"/>
  <c r="F1370" i="2"/>
  <c r="H1371" i="2"/>
  <c r="J1372" i="2"/>
  <c r="F1374" i="2"/>
  <c r="H1375" i="2"/>
  <c r="J1376" i="2"/>
  <c r="F1378" i="2"/>
  <c r="H1379" i="2"/>
  <c r="J1380" i="2"/>
  <c r="F1382" i="2"/>
  <c r="H1383" i="2"/>
  <c r="J1384" i="2"/>
  <c r="F1386" i="2"/>
  <c r="H1387" i="2"/>
  <c r="J1388" i="2"/>
  <c r="F1390" i="2"/>
  <c r="H1391" i="2"/>
  <c r="J1392" i="2"/>
  <c r="F1394" i="2"/>
  <c r="H1395" i="2"/>
  <c r="J1396" i="2"/>
  <c r="F1398" i="2"/>
  <c r="H1399" i="2"/>
  <c r="J1400" i="2"/>
  <c r="F1402" i="2"/>
  <c r="H1403" i="2"/>
  <c r="J1404" i="2"/>
  <c r="F1406" i="2"/>
  <c r="H1407" i="2"/>
  <c r="J1408" i="2"/>
  <c r="F1410" i="2"/>
  <c r="H1411" i="2"/>
  <c r="J1412" i="2"/>
  <c r="F1414" i="2"/>
  <c r="H1415" i="2"/>
  <c r="J1416" i="2"/>
  <c r="F1418" i="2"/>
  <c r="H1419" i="2"/>
  <c r="J1420" i="2"/>
  <c r="J1421" i="2"/>
  <c r="H1422" i="2"/>
  <c r="F1423" i="2"/>
  <c r="J1423" i="2"/>
  <c r="H1424" i="2"/>
  <c r="F1425" i="2"/>
  <c r="J1425" i="2"/>
  <c r="H1426" i="2"/>
  <c r="F1427" i="2"/>
  <c r="J1427" i="2"/>
  <c r="H1428" i="2"/>
  <c r="F1429" i="2"/>
  <c r="J1429" i="2"/>
  <c r="H1430" i="2"/>
  <c r="F1431" i="2"/>
  <c r="J1431" i="2"/>
  <c r="H1432" i="2"/>
  <c r="F1433" i="2"/>
  <c r="J1433" i="2"/>
  <c r="H1434" i="2"/>
  <c r="F1435" i="2"/>
  <c r="J1435" i="2"/>
  <c r="H1436" i="2"/>
  <c r="F1437" i="2"/>
  <c r="J1437" i="2"/>
  <c r="H1438" i="2"/>
  <c r="F1439" i="2"/>
  <c r="J1439" i="2"/>
  <c r="H1440" i="2"/>
  <c r="F1441" i="2"/>
  <c r="J1441" i="2"/>
  <c r="H1442" i="2"/>
  <c r="G1443" i="2"/>
  <c r="K1443" i="2"/>
  <c r="I1444" i="2"/>
  <c r="G1445" i="2"/>
  <c r="K1445" i="2"/>
  <c r="I1446" i="2"/>
  <c r="G1447" i="2"/>
  <c r="K1447" i="2"/>
  <c r="I1448" i="2"/>
  <c r="G1449" i="2"/>
  <c r="K1449" i="2"/>
  <c r="I1450" i="2"/>
  <c r="G1451" i="2"/>
  <c r="K1451" i="2"/>
  <c r="I1452" i="2"/>
  <c r="G1453" i="2"/>
  <c r="K1453" i="2"/>
  <c r="I1454" i="2"/>
  <c r="G1455" i="2"/>
  <c r="K1455" i="2"/>
  <c r="I1456" i="2"/>
  <c r="G1457" i="2"/>
  <c r="K1457" i="2"/>
  <c r="I1458" i="2"/>
  <c r="G1459" i="2"/>
  <c r="K1459" i="2"/>
  <c r="I1460" i="2"/>
  <c r="G1461" i="2"/>
  <c r="K1461" i="2"/>
  <c r="I1462" i="2"/>
  <c r="G1463" i="2"/>
  <c r="K1463" i="2"/>
  <c r="I1464" i="2"/>
  <c r="G1465" i="2"/>
  <c r="K1465" i="2"/>
  <c r="I1466" i="2"/>
  <c r="G1467" i="2"/>
  <c r="K1467" i="2"/>
  <c r="I1468" i="2"/>
  <c r="G1469" i="2"/>
  <c r="K1469" i="2"/>
  <c r="I1470" i="2"/>
  <c r="G1471" i="2"/>
  <c r="K1471" i="2"/>
  <c r="I1472" i="2"/>
  <c r="G1473" i="2"/>
  <c r="K1473" i="2"/>
  <c r="I1474" i="2"/>
  <c r="G1475" i="2"/>
  <c r="K1475" i="2"/>
  <c r="I1476" i="2"/>
  <c r="G1477" i="2"/>
  <c r="K1477" i="2"/>
  <c r="I1478" i="2"/>
  <c r="G1479" i="2"/>
  <c r="K1479" i="2"/>
  <c r="I1480" i="2"/>
  <c r="G1481" i="2"/>
  <c r="K1481" i="2"/>
  <c r="I1482" i="2"/>
  <c r="G1483" i="2"/>
  <c r="K1483" i="2"/>
  <c r="I1484" i="2"/>
  <c r="G1485" i="2"/>
  <c r="K1485" i="2"/>
  <c r="I1486" i="2"/>
  <c r="G1487" i="2"/>
  <c r="K1487" i="2"/>
  <c r="I1488" i="2"/>
  <c r="G1489" i="2"/>
  <c r="K1489" i="2"/>
  <c r="I1490" i="2"/>
  <c r="G1491" i="2"/>
  <c r="K1491" i="2"/>
  <c r="I1492" i="2"/>
  <c r="G1493" i="2"/>
  <c r="K1493" i="2"/>
  <c r="I1494" i="2"/>
  <c r="G1495" i="2"/>
  <c r="K1495" i="2"/>
  <c r="I1496" i="2"/>
  <c r="G1497" i="2"/>
  <c r="K1497" i="2"/>
  <c r="I1498" i="2"/>
  <c r="G1499" i="2"/>
  <c r="K1499" i="2"/>
  <c r="I1500" i="2"/>
  <c r="G1501" i="2"/>
  <c r="K1501" i="2"/>
  <c r="I1502" i="2"/>
  <c r="G1503" i="2"/>
  <c r="K1503" i="2"/>
  <c r="I1504" i="2"/>
  <c r="G1505" i="2"/>
  <c r="K1505" i="2"/>
  <c r="I1506" i="2"/>
  <c r="G1507" i="2"/>
  <c r="K1507" i="2"/>
  <c r="I1508" i="2"/>
  <c r="G1509" i="2"/>
  <c r="K1509" i="2"/>
  <c r="I1510" i="2"/>
  <c r="G1511" i="2"/>
  <c r="K1511" i="2"/>
  <c r="I1512" i="2"/>
  <c r="G1513" i="2"/>
  <c r="K1513" i="2"/>
  <c r="I1514" i="2"/>
  <c r="G1515" i="2"/>
  <c r="K1515" i="2"/>
  <c r="I1516" i="2"/>
  <c r="G1517" i="2"/>
  <c r="K1517" i="2"/>
  <c r="I1518" i="2"/>
  <c r="G1519" i="2"/>
  <c r="K1519" i="2"/>
  <c r="I1520" i="2"/>
  <c r="G1521" i="2"/>
  <c r="K1521" i="2"/>
  <c r="I1522" i="2"/>
  <c r="G1523" i="2"/>
  <c r="K1523" i="2"/>
  <c r="I1524" i="2"/>
  <c r="G1525" i="2"/>
  <c r="K1525" i="2"/>
  <c r="I1526" i="2"/>
  <c r="G1527" i="2"/>
  <c r="K1527" i="2"/>
  <c r="I1528" i="2"/>
  <c r="G1529" i="2"/>
  <c r="K1529" i="2"/>
  <c r="I1530" i="2"/>
  <c r="G1531" i="2"/>
  <c r="K1531" i="2"/>
  <c r="I1532" i="2"/>
  <c r="G1533" i="2"/>
  <c r="K1533" i="2"/>
  <c r="I1534" i="2"/>
  <c r="G1535" i="2"/>
  <c r="K1535" i="2"/>
  <c r="I1536" i="2"/>
  <c r="G1537" i="2"/>
  <c r="K1537" i="2"/>
  <c r="I1538" i="2"/>
  <c r="G1539" i="2"/>
  <c r="K1539" i="2"/>
  <c r="I1540" i="2"/>
  <c r="G1541" i="2"/>
  <c r="K1541" i="2"/>
  <c r="I1542" i="2"/>
  <c r="G1543" i="2"/>
  <c r="K1543" i="2"/>
  <c r="I1544" i="2"/>
  <c r="G1545" i="2"/>
  <c r="K1545" i="2"/>
  <c r="I1546" i="2"/>
  <c r="G1547" i="2"/>
  <c r="K1547" i="2"/>
  <c r="I1548" i="2"/>
  <c r="G1549" i="2"/>
  <c r="K1549" i="2"/>
  <c r="I1550" i="2"/>
  <c r="G1551" i="2"/>
  <c r="K1551" i="2"/>
  <c r="I1552" i="2"/>
  <c r="G1553" i="2"/>
  <c r="K1553" i="2"/>
  <c r="I1554" i="2"/>
  <c r="G1555" i="2"/>
  <c r="K1555" i="2"/>
  <c r="I1556" i="2"/>
  <c r="G1557" i="2"/>
  <c r="K1557" i="2"/>
  <c r="I1558" i="2"/>
  <c r="G1559" i="2"/>
  <c r="K1559" i="2"/>
  <c r="I1560" i="2"/>
  <c r="G1561" i="2"/>
  <c r="K1561" i="2"/>
  <c r="I1562" i="2"/>
  <c r="G1563" i="2"/>
  <c r="K1563" i="2"/>
  <c r="I1564" i="2"/>
  <c r="G1565" i="2"/>
  <c r="K1565" i="2"/>
  <c r="I1566" i="2"/>
  <c r="G1567" i="2"/>
  <c r="K1567" i="2"/>
  <c r="I1568" i="2"/>
  <c r="G1569" i="2"/>
  <c r="K1569" i="2"/>
  <c r="I1570" i="2"/>
  <c r="G1571" i="2"/>
  <c r="K1571" i="2"/>
  <c r="I1572" i="2"/>
  <c r="G1573" i="2"/>
  <c r="K1573" i="2"/>
  <c r="I1574" i="2"/>
  <c r="G1575" i="2"/>
  <c r="K1575" i="2"/>
  <c r="I1576" i="2"/>
  <c r="G1577" i="2"/>
  <c r="K1577" i="2"/>
  <c r="I1578" i="2"/>
  <c r="G1579" i="2"/>
  <c r="K1579" i="2"/>
  <c r="I1580" i="2"/>
  <c r="G1581" i="2"/>
  <c r="K1581" i="2"/>
  <c r="I1582" i="2"/>
  <c r="G1583" i="2"/>
  <c r="K1583" i="2"/>
  <c r="I1584" i="2"/>
  <c r="G1585" i="2"/>
  <c r="K1585" i="2"/>
  <c r="I1586" i="2"/>
  <c r="G1587" i="2"/>
  <c r="K1587" i="2"/>
  <c r="I1588" i="2"/>
  <c r="G1589" i="2"/>
  <c r="K1589" i="2"/>
  <c r="I1590" i="2"/>
  <c r="G1591" i="2"/>
  <c r="K1591" i="2"/>
  <c r="I1592" i="2"/>
  <c r="G1593" i="2"/>
  <c r="K1593" i="2"/>
  <c r="I1594" i="2"/>
  <c r="G1595" i="2"/>
  <c r="K1595" i="2"/>
  <c r="I1596" i="2"/>
  <c r="G1597" i="2"/>
  <c r="K1597" i="2"/>
  <c r="I1598" i="2"/>
  <c r="G1599" i="2"/>
  <c r="K1599" i="2"/>
  <c r="I1600" i="2"/>
  <c r="G1601" i="2"/>
  <c r="K1601" i="2"/>
  <c r="I1602" i="2"/>
  <c r="G1603" i="2"/>
  <c r="K1603" i="2"/>
  <c r="I1604" i="2"/>
  <c r="G1605" i="2"/>
  <c r="K1605" i="2"/>
  <c r="I1606" i="2"/>
  <c r="G1607" i="2"/>
  <c r="K1607" i="2"/>
  <c r="I1608" i="2"/>
  <c r="G1609" i="2"/>
  <c r="K1609" i="2"/>
  <c r="I1610" i="2"/>
  <c r="G1611" i="2"/>
  <c r="K1611" i="2"/>
  <c r="I1612" i="2"/>
  <c r="G1613" i="2"/>
  <c r="K1613" i="2"/>
  <c r="I1614" i="2"/>
  <c r="G1615" i="2"/>
  <c r="K1615" i="2"/>
  <c r="I1616" i="2"/>
  <c r="G1617" i="2"/>
  <c r="K1617" i="2"/>
  <c r="I1618" i="2"/>
  <c r="G1619" i="2"/>
  <c r="K1619" i="2"/>
  <c r="I1620" i="2"/>
  <c r="G1621" i="2"/>
  <c r="K1621" i="2"/>
  <c r="I1622" i="2"/>
  <c r="G1623" i="2"/>
  <c r="K1623" i="2"/>
  <c r="I1624" i="2"/>
  <c r="G1625" i="2"/>
  <c r="K1625" i="2"/>
  <c r="I1626" i="2"/>
  <c r="G1627" i="2"/>
  <c r="K1627" i="2"/>
  <c r="I1628" i="2"/>
  <c r="G1629" i="2"/>
  <c r="K1629" i="2"/>
  <c r="I1630" i="2"/>
  <c r="G1631" i="2"/>
  <c r="K1631" i="2"/>
  <c r="I1632" i="2"/>
  <c r="G1633" i="2"/>
  <c r="K1633" i="2"/>
  <c r="I1634" i="2"/>
  <c r="G1635" i="2"/>
  <c r="K1635" i="2"/>
  <c r="I1636" i="2"/>
  <c r="G1637" i="2"/>
  <c r="K1637" i="2"/>
  <c r="I1638" i="2"/>
  <c r="G1639" i="2"/>
  <c r="K1639" i="2"/>
  <c r="I1640" i="2"/>
  <c r="G1641" i="2"/>
  <c r="K1641" i="2"/>
  <c r="I1642" i="2"/>
  <c r="G1643" i="2"/>
  <c r="K1643" i="2"/>
  <c r="I1644" i="2"/>
  <c r="G1645" i="2"/>
  <c r="K1645" i="2"/>
  <c r="I1646" i="2"/>
  <c r="G1647" i="2"/>
  <c r="K1647" i="2"/>
  <c r="I1648" i="2"/>
  <c r="G1649" i="2"/>
  <c r="K1649" i="2"/>
  <c r="I1650" i="2"/>
  <c r="G1651" i="2"/>
  <c r="K1651" i="2"/>
  <c r="I1652" i="2"/>
  <c r="G1653" i="2"/>
  <c r="K1653" i="2"/>
  <c r="I1654" i="2"/>
  <c r="G1655" i="2"/>
  <c r="K1655" i="2"/>
  <c r="I1656" i="2"/>
  <c r="G1657" i="2"/>
  <c r="K1657" i="2"/>
  <c r="I1658" i="2"/>
  <c r="G1659" i="2"/>
  <c r="K1659" i="2"/>
  <c r="I1660" i="2"/>
  <c r="G1661" i="2"/>
  <c r="K1661" i="2"/>
  <c r="I1662" i="2"/>
  <c r="G1663" i="2"/>
  <c r="K1663" i="2"/>
  <c r="I1664" i="2"/>
  <c r="G1665" i="2"/>
  <c r="K1665" i="2"/>
  <c r="I1666" i="2"/>
  <c r="G1667" i="2"/>
  <c r="K1667" i="2"/>
  <c r="I1668" i="2"/>
  <c r="G1669" i="2"/>
  <c r="K1669" i="2"/>
  <c r="I1670" i="2"/>
  <c r="G1671" i="2"/>
  <c r="K1671" i="2"/>
  <c r="I1672" i="2"/>
  <c r="G1673" i="2"/>
  <c r="K1673" i="2"/>
  <c r="I1674" i="2"/>
  <c r="G1675" i="2"/>
  <c r="K1675" i="2"/>
  <c r="I1676" i="2"/>
  <c r="G1677" i="2"/>
  <c r="K1677" i="2"/>
  <c r="I1678" i="2"/>
  <c r="G1679" i="2"/>
  <c r="K1679" i="2"/>
  <c r="I1680" i="2"/>
  <c r="G1681" i="2"/>
  <c r="K1681" i="2"/>
  <c r="I1682" i="2"/>
  <c r="G1683" i="2"/>
  <c r="K1683" i="2"/>
  <c r="I1684" i="2"/>
  <c r="G1685" i="2"/>
  <c r="K1685" i="2"/>
  <c r="I1686" i="2"/>
  <c r="G1687" i="2"/>
  <c r="K1687" i="2"/>
  <c r="I1688" i="2"/>
  <c r="G1689" i="2"/>
  <c r="K1689" i="2"/>
  <c r="I1690" i="2"/>
  <c r="G1691" i="2"/>
  <c r="K1691" i="2"/>
  <c r="I1692" i="2"/>
  <c r="G1693" i="2"/>
  <c r="K1693" i="2"/>
  <c r="I1694" i="2"/>
  <c r="G1695" i="2"/>
  <c r="K1695" i="2"/>
  <c r="I1696" i="2"/>
  <c r="G1697" i="2"/>
  <c r="K1697" i="2"/>
  <c r="I1698" i="2"/>
  <c r="G1699" i="2"/>
  <c r="K1699" i="2"/>
  <c r="I1700" i="2"/>
  <c r="G1701" i="2"/>
  <c r="K1701" i="2"/>
  <c r="I1702" i="2"/>
  <c r="G1703" i="2"/>
  <c r="K1703" i="2"/>
  <c r="I1704" i="2"/>
  <c r="G1705" i="2"/>
  <c r="K1705" i="2"/>
  <c r="I1706" i="2"/>
  <c r="G1707" i="2"/>
  <c r="K1707" i="2"/>
  <c r="I1708" i="2"/>
  <c r="G1709" i="2"/>
  <c r="K1709" i="2"/>
  <c r="I1710" i="2"/>
  <c r="G1711" i="2"/>
  <c r="K1711" i="2"/>
  <c r="I1712" i="2"/>
  <c r="G1713" i="2"/>
  <c r="K1713" i="2"/>
  <c r="I1714" i="2"/>
  <c r="G1715" i="2"/>
  <c r="K1715" i="2"/>
  <c r="I1716" i="2"/>
  <c r="G1717" i="2"/>
  <c r="K1181" i="2"/>
  <c r="G1183" i="2"/>
  <c r="I1184" i="2"/>
  <c r="K1185" i="2"/>
  <c r="F1187" i="2"/>
  <c r="H1188" i="2"/>
  <c r="J1189" i="2"/>
  <c r="F1191" i="2"/>
  <c r="H1192" i="2"/>
  <c r="J1193" i="2"/>
  <c r="F1195" i="2"/>
  <c r="H1196" i="2"/>
  <c r="J1197" i="2"/>
  <c r="F1199" i="2"/>
  <c r="H1200" i="2"/>
  <c r="J1201" i="2"/>
  <c r="F1203" i="2"/>
  <c r="H1204" i="2"/>
  <c r="J1205" i="2"/>
  <c r="F1207" i="2"/>
  <c r="H1208" i="2"/>
  <c r="J1209" i="2"/>
  <c r="F1211" i="2"/>
  <c r="H1212" i="2"/>
  <c r="J1213" i="2"/>
  <c r="F1215" i="2"/>
  <c r="H1216" i="2"/>
  <c r="J1217" i="2"/>
  <c r="F1219" i="2"/>
  <c r="H1220" i="2"/>
  <c r="J1221" i="2"/>
  <c r="F1223" i="2"/>
  <c r="H1224" i="2"/>
  <c r="J1225" i="2"/>
  <c r="F1227" i="2"/>
  <c r="H1228" i="2"/>
  <c r="J1229" i="2"/>
  <c r="F1231" i="2"/>
  <c r="H1232" i="2"/>
  <c r="J1233" i="2"/>
  <c r="F1235" i="2"/>
  <c r="H1236" i="2"/>
  <c r="J1237" i="2"/>
  <c r="F1239" i="2"/>
  <c r="H1240" i="2"/>
  <c r="J1241" i="2"/>
  <c r="F1243" i="2"/>
  <c r="H1244" i="2"/>
  <c r="J1245" i="2"/>
  <c r="F1247" i="2"/>
  <c r="H1248" i="2"/>
  <c r="J1249" i="2"/>
  <c r="F1251" i="2"/>
  <c r="H1252" i="2"/>
  <c r="J1253" i="2"/>
  <c r="F1255" i="2"/>
  <c r="H1256" i="2"/>
  <c r="J1257" i="2"/>
  <c r="F1259" i="2"/>
  <c r="H1260" i="2"/>
  <c r="J1261" i="2"/>
  <c r="F1263" i="2"/>
  <c r="H1264" i="2"/>
  <c r="J1265" i="2"/>
  <c r="F1267" i="2"/>
  <c r="H1268" i="2"/>
  <c r="J1269" i="2"/>
  <c r="F1271" i="2"/>
  <c r="H1272" i="2"/>
  <c r="J1273" i="2"/>
  <c r="F1275" i="2"/>
  <c r="H1276" i="2"/>
  <c r="J1277" i="2"/>
  <c r="F1279" i="2"/>
  <c r="H1280" i="2"/>
  <c r="J1281" i="2"/>
  <c r="F1283" i="2"/>
  <c r="H1284" i="2"/>
  <c r="J1285" i="2"/>
  <c r="F1287" i="2"/>
  <c r="H1288" i="2"/>
  <c r="J1289" i="2"/>
  <c r="F1291" i="2"/>
  <c r="H1292" i="2"/>
  <c r="J1293" i="2"/>
  <c r="F1295" i="2"/>
  <c r="H1296" i="2"/>
  <c r="J1297" i="2"/>
  <c r="F1299" i="2"/>
  <c r="H1300" i="2"/>
  <c r="J1301" i="2"/>
  <c r="F1303" i="2"/>
  <c r="H1304" i="2"/>
  <c r="J1305" i="2"/>
  <c r="F1307" i="2"/>
  <c r="H1308" i="2"/>
  <c r="J1309" i="2"/>
  <c r="F1311" i="2"/>
  <c r="H1312" i="2"/>
  <c r="J1313" i="2"/>
  <c r="F1315" i="2"/>
  <c r="H1316" i="2"/>
  <c r="J1317" i="2"/>
  <c r="F1319" i="2"/>
  <c r="H1320" i="2"/>
  <c r="J1321" i="2"/>
  <c r="F1323" i="2"/>
  <c r="H1324" i="2"/>
  <c r="J1325" i="2"/>
  <c r="F1327" i="2"/>
  <c r="H1328" i="2"/>
  <c r="J1329" i="2"/>
  <c r="F1331" i="2"/>
  <c r="H1332" i="2"/>
  <c r="J1333" i="2"/>
  <c r="F1335" i="2"/>
  <c r="H1336" i="2"/>
  <c r="J1337" i="2"/>
  <c r="F1339" i="2"/>
  <c r="H1340" i="2"/>
  <c r="J1341" i="2"/>
  <c r="F1343" i="2"/>
  <c r="H1344" i="2"/>
  <c r="J1345" i="2"/>
  <c r="F1347" i="2"/>
  <c r="H1348" i="2"/>
  <c r="J1349" i="2"/>
  <c r="F1351" i="2"/>
  <c r="H1352" i="2"/>
  <c r="J1353" i="2"/>
  <c r="F1355" i="2"/>
  <c r="H1356" i="2"/>
  <c r="J1357" i="2"/>
  <c r="F1359" i="2"/>
  <c r="H1360" i="2"/>
  <c r="J1361" i="2"/>
  <c r="F1363" i="2"/>
  <c r="H1364" i="2"/>
  <c r="J1365" i="2"/>
  <c r="F1367" i="2"/>
  <c r="H1368" i="2"/>
  <c r="J1369" i="2"/>
  <c r="F1371" i="2"/>
  <c r="H1372" i="2"/>
  <c r="J1373" i="2"/>
  <c r="F1375" i="2"/>
  <c r="H1376" i="2"/>
  <c r="J1377" i="2"/>
  <c r="F1379" i="2"/>
  <c r="H1380" i="2"/>
  <c r="J1381" i="2"/>
  <c r="F1383" i="2"/>
  <c r="H1384" i="2"/>
  <c r="J1385" i="2"/>
  <c r="F1387" i="2"/>
  <c r="H1388" i="2"/>
  <c r="J1389" i="2"/>
  <c r="F1391" i="2"/>
  <c r="H1392" i="2"/>
  <c r="J1393" i="2"/>
  <c r="F1395" i="2"/>
  <c r="H1396" i="2"/>
  <c r="J1397" i="2"/>
  <c r="F1399" i="2"/>
  <c r="H1400" i="2"/>
  <c r="J1401" i="2"/>
  <c r="F1403" i="2"/>
  <c r="H1404" i="2"/>
  <c r="J1405" i="2"/>
  <c r="F1407" i="2"/>
  <c r="H1408" i="2"/>
  <c r="J1409" i="2"/>
  <c r="F1411" i="2"/>
  <c r="H1412" i="2"/>
  <c r="J1413" i="2"/>
  <c r="F1415" i="2"/>
  <c r="H1416" i="2"/>
  <c r="J1417" i="2"/>
  <c r="F1419" i="2"/>
  <c r="H1420" i="2"/>
  <c r="I1421" i="2"/>
  <c r="G1422" i="2"/>
  <c r="K1422" i="2"/>
  <c r="I1423" i="2"/>
  <c r="G1424" i="2"/>
  <c r="K1424" i="2"/>
  <c r="I1425" i="2"/>
  <c r="G1426" i="2"/>
  <c r="K1426" i="2"/>
  <c r="I1427" i="2"/>
  <c r="G1428" i="2"/>
  <c r="K1428" i="2"/>
  <c r="I1429" i="2"/>
  <c r="G1430" i="2"/>
  <c r="K1430" i="2"/>
  <c r="I1431" i="2"/>
  <c r="G1432" i="2"/>
  <c r="K1432" i="2"/>
  <c r="I1433" i="2"/>
  <c r="G1434" i="2"/>
  <c r="K1434" i="2"/>
  <c r="I1435" i="2"/>
  <c r="G1436" i="2"/>
  <c r="K1436" i="2"/>
  <c r="I1437" i="2"/>
  <c r="G1438" i="2"/>
  <c r="K1438" i="2"/>
  <c r="I1439" i="2"/>
  <c r="G1440" i="2"/>
  <c r="K1440" i="2"/>
  <c r="I1441" i="2"/>
  <c r="G1442" i="2"/>
  <c r="K1442" i="2"/>
  <c r="H1443" i="2"/>
  <c r="F1444" i="2"/>
  <c r="J1444" i="2"/>
  <c r="H1445" i="2"/>
  <c r="F1446" i="2"/>
  <c r="J1446" i="2"/>
  <c r="H1447" i="2"/>
  <c r="F1448" i="2"/>
  <c r="J1448" i="2"/>
  <c r="H1449" i="2"/>
  <c r="F1450" i="2"/>
  <c r="J1450" i="2"/>
  <c r="H1451" i="2"/>
  <c r="F1452" i="2"/>
  <c r="J1452" i="2"/>
  <c r="H1453" i="2"/>
  <c r="F1454" i="2"/>
  <c r="J1454" i="2"/>
  <c r="H1455" i="2"/>
  <c r="F1456" i="2"/>
  <c r="J1456" i="2"/>
  <c r="H1457" i="2"/>
  <c r="F1458" i="2"/>
  <c r="J1458" i="2"/>
  <c r="H1459" i="2"/>
  <c r="F1460" i="2"/>
  <c r="J1460" i="2"/>
  <c r="H1461" i="2"/>
  <c r="F1462" i="2"/>
  <c r="J1462" i="2"/>
  <c r="H1463" i="2"/>
  <c r="F1464" i="2"/>
  <c r="J1464" i="2"/>
  <c r="H1465" i="2"/>
  <c r="F1466" i="2"/>
  <c r="J1466" i="2"/>
  <c r="H1467" i="2"/>
  <c r="F1468" i="2"/>
  <c r="J1468" i="2"/>
  <c r="H1469" i="2"/>
  <c r="F1470" i="2"/>
  <c r="J1470" i="2"/>
  <c r="H1471" i="2"/>
  <c r="F1472" i="2"/>
  <c r="J1472" i="2"/>
  <c r="H1473" i="2"/>
  <c r="F1474" i="2"/>
  <c r="J1474" i="2"/>
  <c r="H1475" i="2"/>
  <c r="F1476" i="2"/>
  <c r="J1476" i="2"/>
  <c r="H1477" i="2"/>
  <c r="F1478" i="2"/>
  <c r="J1478" i="2"/>
  <c r="H1479" i="2"/>
  <c r="F1480" i="2"/>
  <c r="J1480" i="2"/>
  <c r="H1481" i="2"/>
  <c r="F1482" i="2"/>
  <c r="J1482" i="2"/>
  <c r="H1483" i="2"/>
  <c r="F1484" i="2"/>
  <c r="J1484" i="2"/>
  <c r="H1485" i="2"/>
  <c r="F1486" i="2"/>
  <c r="J1486" i="2"/>
  <c r="H1487" i="2"/>
  <c r="F1488" i="2"/>
  <c r="J1488" i="2"/>
  <c r="H1489" i="2"/>
  <c r="F1490" i="2"/>
  <c r="J1490" i="2"/>
  <c r="H1491" i="2"/>
  <c r="F1492" i="2"/>
  <c r="J1492" i="2"/>
  <c r="H1493" i="2"/>
  <c r="F1494" i="2"/>
  <c r="J1494" i="2"/>
  <c r="H1495" i="2"/>
  <c r="F1496" i="2"/>
  <c r="J1496" i="2"/>
  <c r="H1497" i="2"/>
  <c r="F1498" i="2"/>
  <c r="J1498" i="2"/>
  <c r="H1499" i="2"/>
  <c r="F1500" i="2"/>
  <c r="J1500" i="2"/>
  <c r="H1501" i="2"/>
  <c r="F1502" i="2"/>
  <c r="J1502" i="2"/>
  <c r="H1503" i="2"/>
  <c r="F1504" i="2"/>
  <c r="J1504" i="2"/>
  <c r="H1505" i="2"/>
  <c r="F1506" i="2"/>
  <c r="J1506" i="2"/>
  <c r="H1507" i="2"/>
  <c r="F1508" i="2"/>
  <c r="J1508" i="2"/>
  <c r="H1509" i="2"/>
  <c r="F1510" i="2"/>
  <c r="J1510" i="2"/>
  <c r="H1511" i="2"/>
  <c r="F1512" i="2"/>
  <c r="J1512" i="2"/>
  <c r="H1513" i="2"/>
  <c r="F1514" i="2"/>
  <c r="J1514" i="2"/>
  <c r="H1515" i="2"/>
  <c r="F1516" i="2"/>
  <c r="J1516" i="2"/>
  <c r="H1517" i="2"/>
  <c r="F1518" i="2"/>
  <c r="J1518" i="2"/>
  <c r="H1519" i="2"/>
  <c r="F1520" i="2"/>
  <c r="J1520" i="2"/>
  <c r="H1521" i="2"/>
  <c r="F1522" i="2"/>
  <c r="J1522" i="2"/>
  <c r="H1523" i="2"/>
  <c r="F1524" i="2"/>
  <c r="J1524" i="2"/>
  <c r="H1525" i="2"/>
  <c r="F1526" i="2"/>
  <c r="J1526" i="2"/>
  <c r="H1527" i="2"/>
  <c r="F1528" i="2"/>
  <c r="J1528" i="2"/>
  <c r="F1530" i="2"/>
  <c r="H1531" i="2"/>
  <c r="J1532" i="2"/>
  <c r="F1534" i="2"/>
  <c r="H1535" i="2"/>
  <c r="J1536" i="2"/>
  <c r="F1538" i="2"/>
  <c r="H1539" i="2"/>
  <c r="J1540" i="2"/>
  <c r="F1542" i="2"/>
  <c r="H1543" i="2"/>
  <c r="J1544" i="2"/>
  <c r="F1546" i="2"/>
  <c r="H1547" i="2"/>
  <c r="J1548" i="2"/>
  <c r="F1550" i="2"/>
  <c r="H1551" i="2"/>
  <c r="J1552" i="2"/>
  <c r="F1554" i="2"/>
  <c r="H1555" i="2"/>
  <c r="J1556" i="2"/>
  <c r="F1558" i="2"/>
  <c r="H1559" i="2"/>
  <c r="J1560" i="2"/>
  <c r="F1562" i="2"/>
  <c r="H1563" i="2"/>
  <c r="J1564" i="2"/>
  <c r="F1566" i="2"/>
  <c r="H1567" i="2"/>
  <c r="J1568" i="2"/>
  <c r="F1570" i="2"/>
  <c r="H1571" i="2"/>
  <c r="J1572" i="2"/>
  <c r="F1574" i="2"/>
  <c r="H1575" i="2"/>
  <c r="J1576" i="2"/>
  <c r="F1578" i="2"/>
  <c r="H1579" i="2"/>
  <c r="J1580" i="2"/>
  <c r="F1582" i="2"/>
  <c r="H1583" i="2"/>
  <c r="J1584" i="2"/>
  <c r="F1586" i="2"/>
  <c r="H1587" i="2"/>
  <c r="J1588" i="2"/>
  <c r="F1590" i="2"/>
  <c r="H1591" i="2"/>
  <c r="J1592" i="2"/>
  <c r="F1594" i="2"/>
  <c r="H1595" i="2"/>
  <c r="J1596" i="2"/>
  <c r="F1598" i="2"/>
  <c r="H1599" i="2"/>
  <c r="J1600" i="2"/>
  <c r="F1602" i="2"/>
  <c r="H1603" i="2"/>
  <c r="J1604" i="2"/>
  <c r="F1606" i="2"/>
  <c r="H1607" i="2"/>
  <c r="J1608" i="2"/>
  <c r="F1610" i="2"/>
  <c r="H1611" i="2"/>
  <c r="J1612" i="2"/>
  <c r="F1614" i="2"/>
  <c r="H1615" i="2"/>
  <c r="J1616" i="2"/>
  <c r="F1618" i="2"/>
  <c r="H1619" i="2"/>
  <c r="J1620" i="2"/>
  <c r="F1622" i="2"/>
  <c r="H1623" i="2"/>
  <c r="J1624" i="2"/>
  <c r="F1626" i="2"/>
  <c r="H1627" i="2"/>
  <c r="J1628" i="2"/>
  <c r="F1630" i="2"/>
  <c r="H1631" i="2"/>
  <c r="J1632" i="2"/>
  <c r="F1634" i="2"/>
  <c r="H1635" i="2"/>
  <c r="J1636" i="2"/>
  <c r="F1638" i="2"/>
  <c r="H1639" i="2"/>
  <c r="J1640" i="2"/>
  <c r="F1642" i="2"/>
  <c r="H1643" i="2"/>
  <c r="J1644" i="2"/>
  <c r="F1646" i="2"/>
  <c r="H1647" i="2"/>
  <c r="J1648" i="2"/>
  <c r="F1650" i="2"/>
  <c r="H1651" i="2"/>
  <c r="J1652" i="2"/>
  <c r="F1654" i="2"/>
  <c r="H1655" i="2"/>
  <c r="J1656" i="2"/>
  <c r="F1658" i="2"/>
  <c r="H1659" i="2"/>
  <c r="J1660" i="2"/>
  <c r="F1662" i="2"/>
  <c r="H1663" i="2"/>
  <c r="J1664" i="2"/>
  <c r="F1666" i="2"/>
  <c r="H1667" i="2"/>
  <c r="J1668" i="2"/>
  <c r="F1670" i="2"/>
  <c r="H1671" i="2"/>
  <c r="J1672" i="2"/>
  <c r="F1674" i="2"/>
  <c r="H1675" i="2"/>
  <c r="J1676" i="2"/>
  <c r="F1678" i="2"/>
  <c r="H1679" i="2"/>
  <c r="J1680" i="2"/>
  <c r="F1682" i="2"/>
  <c r="H1683" i="2"/>
  <c r="J1684" i="2"/>
  <c r="F1686" i="2"/>
  <c r="H1687" i="2"/>
  <c r="J1688" i="2"/>
  <c r="F1690" i="2"/>
  <c r="H1691" i="2"/>
  <c r="J1692" i="2"/>
  <c r="F1694" i="2"/>
  <c r="H1695" i="2"/>
  <c r="J1696" i="2"/>
  <c r="F1698" i="2"/>
  <c r="H1699" i="2"/>
  <c r="J1700" i="2"/>
  <c r="F1702" i="2"/>
  <c r="H1703" i="2"/>
  <c r="J1704" i="2"/>
  <c r="F1706" i="2"/>
  <c r="H1707" i="2"/>
  <c r="J1708" i="2"/>
  <c r="F1710" i="2"/>
  <c r="H1711" i="2"/>
  <c r="J1712" i="2"/>
  <c r="F1714" i="2"/>
  <c r="H1715" i="2"/>
  <c r="J1716" i="2"/>
  <c r="K1717" i="2"/>
  <c r="I1718" i="2"/>
  <c r="G1719" i="2"/>
  <c r="K1719" i="2"/>
  <c r="I1720" i="2"/>
  <c r="G1721" i="2"/>
  <c r="K1721" i="2"/>
  <c r="I1722" i="2"/>
  <c r="G1723" i="2"/>
  <c r="K1723" i="2"/>
  <c r="I1724" i="2"/>
  <c r="G1725" i="2"/>
  <c r="K1725" i="2"/>
  <c r="I1726" i="2"/>
  <c r="G1727" i="2"/>
  <c r="K1727" i="2"/>
  <c r="I1728" i="2"/>
  <c r="G1729" i="2"/>
  <c r="K1729" i="2"/>
  <c r="I1730" i="2"/>
  <c r="G1731" i="2"/>
  <c r="K1731" i="2"/>
  <c r="I1732" i="2"/>
  <c r="G1733" i="2"/>
  <c r="K1733" i="2"/>
  <c r="I1734" i="2"/>
  <c r="G1735" i="2"/>
  <c r="K1735" i="2"/>
  <c r="I1736" i="2"/>
  <c r="G1737" i="2"/>
  <c r="K1737" i="2"/>
  <c r="I1738" i="2"/>
  <c r="G1739" i="2"/>
  <c r="K1739" i="2"/>
  <c r="I1740" i="2"/>
  <c r="G1741" i="2"/>
  <c r="K1741" i="2"/>
  <c r="I1742" i="2"/>
  <c r="G1743" i="2"/>
  <c r="K1743" i="2"/>
  <c r="I1744" i="2"/>
  <c r="G1745" i="2"/>
  <c r="K1745" i="2"/>
  <c r="I1746" i="2"/>
  <c r="G1747" i="2"/>
  <c r="K1747" i="2"/>
  <c r="I1748" i="2"/>
  <c r="G1749" i="2"/>
  <c r="K1749" i="2"/>
  <c r="I1750" i="2"/>
  <c r="G1751" i="2"/>
  <c r="K1751" i="2"/>
  <c r="I1752" i="2"/>
  <c r="G1753" i="2"/>
  <c r="K1753" i="2"/>
  <c r="I1754" i="2"/>
  <c r="G1755" i="2"/>
  <c r="K1755" i="2"/>
  <c r="I1756" i="2"/>
  <c r="G1757" i="2"/>
  <c r="K1757" i="2"/>
  <c r="I1758" i="2"/>
  <c r="G1759" i="2"/>
  <c r="K1759" i="2"/>
  <c r="I1760" i="2"/>
  <c r="G1761" i="2"/>
  <c r="K1761" i="2"/>
  <c r="I1762" i="2"/>
  <c r="G1763" i="2"/>
  <c r="K1763" i="2"/>
  <c r="I1764" i="2"/>
  <c r="G1765" i="2"/>
  <c r="K1765" i="2"/>
  <c r="I1766" i="2"/>
  <c r="G1767" i="2"/>
  <c r="K1767" i="2"/>
  <c r="I1768" i="2"/>
  <c r="G1769" i="2"/>
  <c r="K1769" i="2"/>
  <c r="I1770" i="2"/>
  <c r="G1771" i="2"/>
  <c r="K1771" i="2"/>
  <c r="I1772" i="2"/>
  <c r="G1773" i="2"/>
  <c r="K1773" i="2"/>
  <c r="I1774" i="2"/>
  <c r="G1775" i="2"/>
  <c r="K1775" i="2"/>
  <c r="I1776" i="2"/>
  <c r="G1777" i="2"/>
  <c r="K1777" i="2"/>
  <c r="I1778" i="2"/>
  <c r="G1779" i="2"/>
  <c r="K1779" i="2"/>
  <c r="I1780" i="2"/>
  <c r="G1781" i="2"/>
  <c r="K1781" i="2"/>
  <c r="I1782" i="2"/>
  <c r="G1783" i="2"/>
  <c r="K1783" i="2"/>
  <c r="I1784" i="2"/>
  <c r="G1785" i="2"/>
  <c r="K1785" i="2"/>
  <c r="I1786" i="2"/>
  <c r="G1787" i="2"/>
  <c r="K1787" i="2"/>
  <c r="I1788" i="2"/>
  <c r="G1789" i="2"/>
  <c r="K1789" i="2"/>
  <c r="I1790" i="2"/>
  <c r="G1791" i="2"/>
  <c r="K1791" i="2"/>
  <c r="I1792" i="2"/>
  <c r="G1793" i="2"/>
  <c r="K1793" i="2"/>
  <c r="I1794" i="2"/>
  <c r="G1795" i="2"/>
  <c r="K1795" i="2"/>
  <c r="I1796" i="2"/>
  <c r="G1797" i="2"/>
  <c r="K1797" i="2"/>
  <c r="I1798" i="2"/>
  <c r="G1799" i="2"/>
  <c r="K1799" i="2"/>
  <c r="I1800" i="2"/>
  <c r="G1801" i="2"/>
  <c r="K1801" i="2"/>
  <c r="I1802" i="2"/>
  <c r="G1803" i="2"/>
  <c r="K1803" i="2"/>
  <c r="I1804" i="2"/>
  <c r="G1805" i="2"/>
  <c r="K1805" i="2"/>
  <c r="I1806" i="2"/>
  <c r="G1807" i="2"/>
  <c r="K1807" i="2"/>
  <c r="I1808" i="2"/>
  <c r="G1809" i="2"/>
  <c r="K1809" i="2"/>
  <c r="I1810" i="2"/>
  <c r="G1811" i="2"/>
  <c r="K1811" i="2"/>
  <c r="I1812" i="2"/>
  <c r="G1813" i="2"/>
  <c r="K1813" i="2"/>
  <c r="I1814" i="2"/>
  <c r="G1815" i="2"/>
  <c r="K1815" i="2"/>
  <c r="I1816" i="2"/>
  <c r="G1817" i="2"/>
  <c r="K1817" i="2"/>
  <c r="I1818" i="2"/>
  <c r="G1819" i="2"/>
  <c r="K1819" i="2"/>
  <c r="I1820" i="2"/>
  <c r="G1821" i="2"/>
  <c r="K1821" i="2"/>
  <c r="I1822" i="2"/>
  <c r="G1823" i="2"/>
  <c r="K1823" i="2"/>
  <c r="I1824" i="2"/>
  <c r="G1825" i="2"/>
  <c r="K1825" i="2"/>
  <c r="I1826" i="2"/>
  <c r="G1827" i="2"/>
  <c r="K1827" i="2"/>
  <c r="I1828" i="2"/>
  <c r="G1829" i="2"/>
  <c r="K1829" i="2"/>
  <c r="I1830" i="2"/>
  <c r="G1831" i="2"/>
  <c r="K1831" i="2"/>
  <c r="I1832" i="2"/>
  <c r="G1833" i="2"/>
  <c r="K1833" i="2"/>
  <c r="H1834" i="2"/>
  <c r="F1835" i="2"/>
  <c r="J1835" i="2"/>
  <c r="H1836" i="2"/>
  <c r="F1837" i="2"/>
  <c r="J1837" i="2"/>
  <c r="H1838" i="2"/>
  <c r="F1839" i="2"/>
  <c r="J1839" i="2"/>
  <c r="H1840" i="2"/>
  <c r="F1841" i="2"/>
  <c r="J1841" i="2"/>
  <c r="H1842" i="2"/>
  <c r="F1843" i="2"/>
  <c r="J1843" i="2"/>
  <c r="H1844" i="2"/>
  <c r="F1845" i="2"/>
  <c r="J1845" i="2"/>
  <c r="H1846" i="2"/>
  <c r="F1847" i="2"/>
  <c r="J1847" i="2"/>
  <c r="H1848" i="2"/>
  <c r="F1849" i="2"/>
  <c r="J1849" i="2"/>
  <c r="H1850" i="2"/>
  <c r="F1851" i="2"/>
  <c r="J1851" i="2"/>
  <c r="H1852" i="2"/>
  <c r="F1853" i="2"/>
  <c r="J1853" i="2"/>
  <c r="H1854" i="2"/>
  <c r="F1855" i="2"/>
  <c r="J1855" i="2"/>
  <c r="H1856" i="2"/>
  <c r="F1857" i="2"/>
  <c r="J1857" i="2"/>
  <c r="H1858" i="2"/>
  <c r="F1859" i="2"/>
  <c r="J1859" i="2"/>
  <c r="H1860" i="2"/>
  <c r="F1861" i="2"/>
  <c r="J1861" i="2"/>
  <c r="H1862" i="2"/>
  <c r="F1863" i="2"/>
  <c r="J1863" i="2"/>
  <c r="H1864" i="2"/>
  <c r="F1865" i="2"/>
  <c r="J1865" i="2"/>
  <c r="H1866" i="2"/>
  <c r="F1867" i="2"/>
  <c r="J1867" i="2"/>
  <c r="H1868" i="2"/>
  <c r="F1869" i="2"/>
  <c r="J1869" i="2"/>
  <c r="H1870" i="2"/>
  <c r="F1871" i="2"/>
  <c r="J1871" i="2"/>
  <c r="H1872" i="2"/>
  <c r="F1873" i="2"/>
  <c r="J1873" i="2"/>
  <c r="H1874" i="2"/>
  <c r="F1875" i="2"/>
  <c r="J1875" i="2"/>
  <c r="H1876" i="2"/>
  <c r="F1877" i="2"/>
  <c r="J1877" i="2"/>
  <c r="H1878" i="2"/>
  <c r="F1879" i="2"/>
  <c r="J1879" i="2"/>
  <c r="H1880" i="2"/>
  <c r="F1881" i="2"/>
  <c r="J1881" i="2"/>
  <c r="H1882" i="2"/>
  <c r="F1883" i="2"/>
  <c r="J1883" i="2"/>
  <c r="H1884" i="2"/>
  <c r="F1885" i="2"/>
  <c r="J1885" i="2"/>
  <c r="H1886" i="2"/>
  <c r="F1887" i="2"/>
  <c r="J1887" i="2"/>
  <c r="H1888" i="2"/>
  <c r="F1889" i="2"/>
  <c r="J1889" i="2"/>
  <c r="H1890" i="2"/>
  <c r="F1891" i="2"/>
  <c r="J1891" i="2"/>
  <c r="H1892" i="2"/>
  <c r="F1893" i="2"/>
  <c r="J1893" i="2"/>
  <c r="H1894" i="2"/>
  <c r="F1895" i="2"/>
  <c r="J1895" i="2"/>
  <c r="H1896" i="2"/>
  <c r="F1897" i="2"/>
  <c r="J1897" i="2"/>
  <c r="H1898" i="2"/>
  <c r="F1899" i="2"/>
  <c r="J1899" i="2"/>
  <c r="H1900" i="2"/>
  <c r="F1901" i="2"/>
  <c r="J1901" i="2"/>
  <c r="H1902" i="2"/>
  <c r="F1903" i="2"/>
  <c r="J1903" i="2"/>
  <c r="H1904" i="2"/>
  <c r="F1905" i="2"/>
  <c r="J1905" i="2"/>
  <c r="H1906" i="2"/>
  <c r="F1907" i="2"/>
  <c r="J1907" i="2"/>
  <c r="H1908" i="2"/>
  <c r="F1909" i="2"/>
  <c r="J1909" i="2"/>
  <c r="H1910" i="2"/>
  <c r="F1911" i="2"/>
  <c r="J1911" i="2"/>
  <c r="H1912" i="2"/>
  <c r="F1913" i="2"/>
  <c r="J1913" i="2"/>
  <c r="H1914" i="2"/>
  <c r="F1915" i="2"/>
  <c r="J1915" i="2"/>
  <c r="H1916" i="2"/>
  <c r="F1917" i="2"/>
  <c r="J1917" i="2"/>
  <c r="H1918" i="2"/>
  <c r="F1919" i="2"/>
  <c r="J1919" i="2"/>
  <c r="H1920" i="2"/>
  <c r="F1921" i="2"/>
  <c r="J1921" i="2"/>
  <c r="H1922" i="2"/>
  <c r="F1923" i="2"/>
  <c r="J1923" i="2"/>
  <c r="H1924" i="2"/>
  <c r="F1925" i="2"/>
  <c r="J1925" i="2"/>
  <c r="H1926" i="2"/>
  <c r="F1927" i="2"/>
  <c r="J1927" i="2"/>
  <c r="H1928" i="2"/>
  <c r="F1929" i="2"/>
  <c r="J1929" i="2"/>
  <c r="H1930" i="2"/>
  <c r="F1931" i="2"/>
  <c r="J1931" i="2"/>
  <c r="H1932" i="2"/>
  <c r="F1933" i="2"/>
  <c r="J1933" i="2"/>
  <c r="H1934" i="2"/>
  <c r="F1935" i="2"/>
  <c r="J1935" i="2"/>
  <c r="H1936" i="2"/>
  <c r="F1937" i="2"/>
  <c r="J1937" i="2"/>
  <c r="H1938" i="2"/>
  <c r="F1939" i="2"/>
  <c r="J1939" i="2"/>
  <c r="H1940" i="2"/>
  <c r="F1941" i="2"/>
  <c r="J1941" i="2"/>
  <c r="H1942" i="2"/>
  <c r="F1943" i="2"/>
  <c r="J1943" i="2"/>
  <c r="H1944" i="2"/>
  <c r="F1945" i="2"/>
  <c r="J1945" i="2"/>
  <c r="H1946" i="2"/>
  <c r="F1947" i="2"/>
  <c r="J1947" i="2"/>
  <c r="H1948" i="2"/>
  <c r="F1949" i="2"/>
  <c r="J1949" i="2"/>
  <c r="H1950" i="2"/>
  <c r="F1951" i="2"/>
  <c r="J1951" i="2"/>
  <c r="H1952" i="2"/>
  <c r="F1953" i="2"/>
  <c r="J1953" i="2"/>
  <c r="H1954" i="2"/>
  <c r="F1955" i="2"/>
  <c r="J1955" i="2"/>
  <c r="H1956" i="2"/>
  <c r="F1957" i="2"/>
  <c r="J1957" i="2"/>
  <c r="H1958" i="2"/>
  <c r="F1959" i="2"/>
  <c r="J1959" i="2"/>
  <c r="H1960" i="2"/>
  <c r="F1961" i="2"/>
  <c r="J1961" i="2"/>
  <c r="H1962" i="2"/>
  <c r="F1963" i="2"/>
  <c r="J1963" i="2"/>
  <c r="H1964" i="2"/>
  <c r="F1965" i="2"/>
  <c r="J1965" i="2"/>
  <c r="H1966" i="2"/>
  <c r="F1967" i="2"/>
  <c r="J1967" i="2"/>
  <c r="H1968" i="2"/>
  <c r="F1969" i="2"/>
  <c r="J1969" i="2"/>
  <c r="H1970" i="2"/>
  <c r="G2" i="2"/>
  <c r="J2" i="2"/>
  <c r="F2" i="2"/>
  <c r="J260" i="2"/>
  <c r="G258" i="2"/>
  <c r="K209" i="2"/>
  <c r="K204" i="2"/>
  <c r="H280" i="2"/>
  <c r="H170" i="2"/>
  <c r="K277" i="2"/>
  <c r="H165" i="2"/>
  <c r="J308" i="2"/>
  <c r="I270" i="2"/>
  <c r="I229" i="2"/>
  <c r="I135" i="2"/>
  <c r="H307" i="2"/>
  <c r="G287" i="2"/>
  <c r="H248" i="2"/>
  <c r="F185" i="2"/>
  <c r="F316" i="2"/>
  <c r="G306" i="2"/>
  <c r="H296" i="2"/>
  <c r="G285" i="2"/>
  <c r="I265" i="2"/>
  <c r="F236" i="2"/>
  <c r="G180" i="2"/>
  <c r="H96" i="2"/>
  <c r="K309" i="2"/>
  <c r="F295" i="2"/>
  <c r="K282" i="2"/>
  <c r="H253" i="2"/>
  <c r="F233" i="2"/>
  <c r="F195" i="2"/>
  <c r="H152" i="2"/>
  <c r="K317" i="2"/>
  <c r="I310" i="2"/>
  <c r="I305" i="2"/>
  <c r="J300" i="2"/>
  <c r="J295" i="2"/>
  <c r="K290" i="2"/>
  <c r="F284" i="2"/>
  <c r="G274" i="2"/>
  <c r="H264" i="2"/>
  <c r="I254" i="2"/>
  <c r="J244" i="2"/>
  <c r="I234" i="2"/>
  <c r="G217" i="2"/>
  <c r="I197" i="2"/>
  <c r="J177" i="2"/>
  <c r="J156" i="2"/>
  <c r="H85" i="2"/>
  <c r="G314" i="2"/>
  <c r="G309" i="2"/>
  <c r="H304" i="2"/>
  <c r="H299" i="2"/>
  <c r="F292" i="2"/>
  <c r="I286" i="2"/>
  <c r="J276" i="2"/>
  <c r="K266" i="2"/>
  <c r="F257" i="2"/>
  <c r="G247" i="2"/>
  <c r="H237" i="2"/>
  <c r="F222" i="2"/>
  <c r="H202" i="2"/>
  <c r="J182" i="2"/>
  <c r="H145" i="2"/>
  <c r="G42" i="2"/>
  <c r="J315" i="2"/>
  <c r="G313" i="2"/>
  <c r="K310" i="2"/>
  <c r="H308" i="2"/>
  <c r="K305" i="2"/>
  <c r="H303" i="2"/>
  <c r="J299" i="2"/>
  <c r="G297" i="2"/>
  <c r="K294" i="2"/>
  <c r="H292" i="2"/>
  <c r="K289" i="2"/>
  <c r="K286" i="2"/>
  <c r="G282" i="2"/>
  <c r="G277" i="2"/>
  <c r="H272" i="2"/>
  <c r="H267" i="2"/>
  <c r="F260" i="2"/>
  <c r="G255" i="2"/>
  <c r="G250" i="2"/>
  <c r="H245" i="2"/>
  <c r="H240" i="2"/>
  <c r="F232" i="2"/>
  <c r="H223" i="2"/>
  <c r="I213" i="2"/>
  <c r="J203" i="2"/>
  <c r="K193" i="2"/>
  <c r="K183" i="2"/>
  <c r="F169" i="2"/>
  <c r="I158" i="2"/>
  <c r="J130" i="2"/>
  <c r="H91" i="2"/>
  <c r="K318" i="2"/>
  <c r="H316" i="2"/>
  <c r="K313" i="2"/>
  <c r="H311" i="2"/>
  <c r="J307" i="2"/>
  <c r="G305" i="2"/>
  <c r="K302" i="2"/>
  <c r="H300" i="2"/>
  <c r="K297" i="2"/>
  <c r="H295" i="2"/>
  <c r="J291" i="2"/>
  <c r="G289" i="2"/>
  <c r="K285" i="2"/>
  <c r="I278" i="2"/>
  <c r="I273" i="2"/>
  <c r="J268" i="2"/>
  <c r="J263" i="2"/>
  <c r="K258" i="2"/>
  <c r="I251" i="2"/>
  <c r="I246" i="2"/>
  <c r="J241" i="2"/>
  <c r="J236" i="2"/>
  <c r="I230" i="2"/>
  <c r="K220" i="2"/>
  <c r="F206" i="2"/>
  <c r="G196" i="2"/>
  <c r="H186" i="2"/>
  <c r="I176" i="2"/>
  <c r="J166" i="2"/>
  <c r="H154" i="2"/>
  <c r="K120" i="2"/>
  <c r="K77" i="2"/>
  <c r="H318" i="2"/>
  <c r="F317" i="2"/>
  <c r="K315" i="2"/>
  <c r="J314" i="2"/>
  <c r="H313" i="2"/>
  <c r="G312" i="2"/>
  <c r="H310" i="2"/>
  <c r="F309" i="2"/>
  <c r="K307" i="2"/>
  <c r="J306" i="2"/>
  <c r="H305" i="2"/>
  <c r="G304" i="2"/>
  <c r="H302" i="2"/>
  <c r="F301" i="2"/>
  <c r="K299" i="2"/>
  <c r="J298" i="2"/>
  <c r="H297" i="2"/>
  <c r="G296" i="2"/>
  <c r="H294" i="2"/>
  <c r="F293" i="2"/>
  <c r="K291" i="2"/>
  <c r="J290" i="2"/>
  <c r="H289" i="2"/>
  <c r="K287" i="2"/>
  <c r="G286" i="2"/>
  <c r="I282" i="2"/>
  <c r="F280" i="2"/>
  <c r="I277" i="2"/>
  <c r="F275" i="2"/>
  <c r="J272" i="2"/>
  <c r="G270" i="2"/>
  <c r="I266" i="2"/>
  <c r="F264" i="2"/>
  <c r="I261" i="2"/>
  <c r="G259" i="2"/>
  <c r="I255" i="2"/>
  <c r="F253" i="2"/>
  <c r="I250" i="2"/>
  <c r="F248" i="2"/>
  <c r="J245" i="2"/>
  <c r="G243" i="2"/>
  <c r="I239" i="2"/>
  <c r="F237" i="2"/>
  <c r="G234" i="2"/>
  <c r="K230" i="2"/>
  <c r="H226" i="2"/>
  <c r="F219" i="2"/>
  <c r="F214" i="2"/>
  <c r="G209" i="2"/>
  <c r="G204" i="2"/>
  <c r="H199" i="2"/>
  <c r="H194" i="2"/>
  <c r="I184" i="2"/>
  <c r="I179" i="2"/>
  <c r="J174" i="2"/>
  <c r="J169" i="2"/>
  <c r="K164" i="2"/>
  <c r="G159" i="2"/>
  <c r="F151" i="2"/>
  <c r="G123" i="2"/>
  <c r="J103" i="2"/>
  <c r="G82" i="2"/>
  <c r="H32" i="2"/>
  <c r="F318" i="2"/>
  <c r="K316" i="2"/>
  <c r="I315" i="2"/>
  <c r="J313" i="2"/>
  <c r="I312" i="2"/>
  <c r="G311" i="2"/>
  <c r="F310" i="2"/>
  <c r="K308" i="2"/>
  <c r="I307" i="2"/>
  <c r="J305" i="2"/>
  <c r="I304" i="2"/>
  <c r="G303" i="2"/>
  <c r="F302" i="2"/>
  <c r="K300" i="2"/>
  <c r="I299" i="2"/>
  <c r="J297" i="2"/>
  <c r="I296" i="2"/>
  <c r="G295" i="2"/>
  <c r="F294" i="2"/>
  <c r="K292" i="2"/>
  <c r="I291" i="2"/>
  <c r="J289" i="2"/>
  <c r="H288" i="2"/>
  <c r="J286" i="2"/>
  <c r="H284" i="2"/>
  <c r="K281" i="2"/>
  <c r="H279" i="2"/>
  <c r="J275" i="2"/>
  <c r="G273" i="2"/>
  <c r="K270" i="2"/>
  <c r="H268" i="2"/>
  <c r="K265" i="2"/>
  <c r="H263" i="2"/>
  <c r="K259" i="2"/>
  <c r="H257" i="2"/>
  <c r="K254" i="2"/>
  <c r="H252" i="2"/>
  <c r="J248" i="2"/>
  <c r="G246" i="2"/>
  <c r="K243" i="2"/>
  <c r="H241" i="2"/>
  <c r="K238" i="2"/>
  <c r="H236" i="2"/>
  <c r="H233" i="2"/>
  <c r="F230" i="2"/>
  <c r="G225" i="2"/>
  <c r="G220" i="2"/>
  <c r="H215" i="2"/>
  <c r="H210" i="2"/>
  <c r="F203" i="2"/>
  <c r="F198" i="2"/>
  <c r="G193" i="2"/>
  <c r="G188" i="2"/>
  <c r="G183" i="2"/>
  <c r="H178" i="2"/>
  <c r="H173" i="2"/>
  <c r="F166" i="2"/>
  <c r="J157" i="2"/>
  <c r="K147" i="2"/>
  <c r="G128" i="2"/>
  <c r="J108" i="2"/>
  <c r="J88" i="2"/>
  <c r="K12" i="2"/>
  <c r="G288" i="2"/>
  <c r="H286" i="2"/>
  <c r="F285" i="2"/>
  <c r="K283" i="2"/>
  <c r="J282" i="2"/>
  <c r="H281" i="2"/>
  <c r="G280" i="2"/>
  <c r="H278" i="2"/>
  <c r="F277" i="2"/>
  <c r="K275" i="2"/>
  <c r="J274" i="2"/>
  <c r="H273" i="2"/>
  <c r="G272" i="2"/>
  <c r="H270" i="2"/>
  <c r="F269" i="2"/>
  <c r="K267" i="2"/>
  <c r="J266" i="2"/>
  <c r="H265" i="2"/>
  <c r="G264" i="2"/>
  <c r="H262" i="2"/>
  <c r="F261" i="2"/>
  <c r="H259" i="2"/>
  <c r="F258" i="2"/>
  <c r="K256" i="2"/>
  <c r="J255" i="2"/>
  <c r="H254" i="2"/>
  <c r="G253" i="2"/>
  <c r="H251" i="2"/>
  <c r="F250" i="2"/>
  <c r="K248" i="2"/>
  <c r="J247" i="2"/>
  <c r="H246" i="2"/>
  <c r="G245" i="2"/>
  <c r="H243" i="2"/>
  <c r="F242" i="2"/>
  <c r="L242" i="2" s="1"/>
  <c r="K240" i="2"/>
  <c r="J239" i="2"/>
  <c r="H238" i="2"/>
  <c r="G237" i="2"/>
  <c r="G235" i="2"/>
  <c r="J233" i="2"/>
  <c r="G231" i="2"/>
  <c r="H229" i="2"/>
  <c r="K226" i="2"/>
  <c r="H224" i="2"/>
  <c r="J220" i="2"/>
  <c r="G218" i="2"/>
  <c r="K215" i="2"/>
  <c r="H213" i="2"/>
  <c r="K210" i="2"/>
  <c r="H208" i="2"/>
  <c r="J204" i="2"/>
  <c r="G202" i="2"/>
  <c r="K199" i="2"/>
  <c r="H197" i="2"/>
  <c r="K194" i="2"/>
  <c r="H192" i="2"/>
  <c r="K189" i="2"/>
  <c r="H187" i="2"/>
  <c r="J183" i="2"/>
  <c r="G181" i="2"/>
  <c r="K178" i="2"/>
  <c r="H176" i="2"/>
  <c r="K173" i="2"/>
  <c r="H171" i="2"/>
  <c r="J167" i="2"/>
  <c r="G165" i="2"/>
  <c r="K162" i="2"/>
  <c r="K159" i="2"/>
  <c r="I156" i="2"/>
  <c r="K151" i="2"/>
  <c r="F145" i="2"/>
  <c r="G135" i="2"/>
  <c r="H125" i="2"/>
  <c r="J115" i="2"/>
  <c r="K105" i="2"/>
  <c r="F91" i="2"/>
  <c r="H67" i="2"/>
  <c r="H21" i="2"/>
  <c r="H285" i="2"/>
  <c r="G284" i="2"/>
  <c r="H282" i="2"/>
  <c r="F281" i="2"/>
  <c r="K279" i="2"/>
  <c r="J278" i="2"/>
  <c r="H277" i="2"/>
  <c r="G276" i="2"/>
  <c r="H274" i="2"/>
  <c r="F273" i="2"/>
  <c r="K271" i="2"/>
  <c r="J270" i="2"/>
  <c r="H269" i="2"/>
  <c r="G268" i="2"/>
  <c r="H266" i="2"/>
  <c r="F265" i="2"/>
  <c r="K263" i="2"/>
  <c r="J262" i="2"/>
  <c r="H261" i="2"/>
  <c r="G260" i="2"/>
  <c r="F259" i="2"/>
  <c r="K257" i="2"/>
  <c r="I256" i="2"/>
  <c r="J254" i="2"/>
  <c r="I253" i="2"/>
  <c r="G252" i="2"/>
  <c r="F251" i="2"/>
  <c r="K249" i="2"/>
  <c r="L249" i="2" s="1"/>
  <c r="I248" i="2"/>
  <c r="J246" i="2"/>
  <c r="I245" i="2"/>
  <c r="G244" i="2"/>
  <c r="F243" i="2"/>
  <c r="K241" i="2"/>
  <c r="I240" i="2"/>
  <c r="J238" i="2"/>
  <c r="I237" i="2"/>
  <c r="G236" i="2"/>
  <c r="K234" i="2"/>
  <c r="H232" i="2"/>
  <c r="J230" i="2"/>
  <c r="I227" i="2"/>
  <c r="F225" i="2"/>
  <c r="I222" i="2"/>
  <c r="F220" i="2"/>
  <c r="J217" i="2"/>
  <c r="G215" i="2"/>
  <c r="I211" i="2"/>
  <c r="F209" i="2"/>
  <c r="I206" i="2"/>
  <c r="F204" i="2"/>
  <c r="J201" i="2"/>
  <c r="G199" i="2"/>
  <c r="I195" i="2"/>
  <c r="F193" i="2"/>
  <c r="I190" i="2"/>
  <c r="F188" i="2"/>
  <c r="I185" i="2"/>
  <c r="F183" i="2"/>
  <c r="J180" i="2"/>
  <c r="G178" i="2"/>
  <c r="I174" i="2"/>
  <c r="F172" i="2"/>
  <c r="I169" i="2"/>
  <c r="F167" i="2"/>
  <c r="J164" i="2"/>
  <c r="G162" i="2"/>
  <c r="F159" i="2"/>
  <c r="G155" i="2"/>
  <c r="I147" i="2"/>
  <c r="J137" i="2"/>
  <c r="K127" i="2"/>
  <c r="G113" i="2"/>
  <c r="H103" i="2"/>
  <c r="I93" i="2"/>
  <c r="J81" i="2"/>
  <c r="I62" i="2"/>
  <c r="G31" i="2"/>
  <c r="H235" i="2"/>
  <c r="F234" i="2"/>
  <c r="K232" i="2"/>
  <c r="J231" i="2"/>
  <c r="H230" i="2"/>
  <c r="G229" i="2"/>
  <c r="H227" i="2"/>
  <c r="F226" i="2"/>
  <c r="K224" i="2"/>
  <c r="J223" i="2"/>
  <c r="H222" i="2"/>
  <c r="G221" i="2"/>
  <c r="H219" i="2"/>
  <c r="F218" i="2"/>
  <c r="K216" i="2"/>
  <c r="J215" i="2"/>
  <c r="H214" i="2"/>
  <c r="G213" i="2"/>
  <c r="H211" i="2"/>
  <c r="F210" i="2"/>
  <c r="K208" i="2"/>
  <c r="J207" i="2"/>
  <c r="H206" i="2"/>
  <c r="G205" i="2"/>
  <c r="H203" i="2"/>
  <c r="F202" i="2"/>
  <c r="K200" i="2"/>
  <c r="J199" i="2"/>
  <c r="H198" i="2"/>
  <c r="G197" i="2"/>
  <c r="H195" i="2"/>
  <c r="F194" i="2"/>
  <c r="K192" i="2"/>
  <c r="J191" i="2"/>
  <c r="H190" i="2"/>
  <c r="F189" i="2"/>
  <c r="K187" i="2"/>
  <c r="J186" i="2"/>
  <c r="H185" i="2"/>
  <c r="G184" i="2"/>
  <c r="H182" i="2"/>
  <c r="F181" i="2"/>
  <c r="K179" i="2"/>
  <c r="J178" i="2"/>
  <c r="H177" i="2"/>
  <c r="G176" i="2"/>
  <c r="H174" i="2"/>
  <c r="F173" i="2"/>
  <c r="K171" i="2"/>
  <c r="J170" i="2"/>
  <c r="H169" i="2"/>
  <c r="G168" i="2"/>
  <c r="H166" i="2"/>
  <c r="F165" i="2"/>
  <c r="K163" i="2"/>
  <c r="J162" i="2"/>
  <c r="H161" i="2"/>
  <c r="J159" i="2"/>
  <c r="G157" i="2"/>
  <c r="F154" i="2"/>
  <c r="J151" i="2"/>
  <c r="F149" i="2"/>
  <c r="G144" i="2"/>
  <c r="G139" i="2"/>
  <c r="H134" i="2"/>
  <c r="H129" i="2"/>
  <c r="F122" i="2"/>
  <c r="G117" i="2"/>
  <c r="H112" i="2"/>
  <c r="H107" i="2"/>
  <c r="F100" i="2"/>
  <c r="F95" i="2"/>
  <c r="G90" i="2"/>
  <c r="J83" i="2"/>
  <c r="H75" i="2"/>
  <c r="I65" i="2"/>
  <c r="J55" i="2"/>
  <c r="G37" i="2"/>
  <c r="J17" i="2"/>
  <c r="J229" i="2"/>
  <c r="H228" i="2"/>
  <c r="G227" i="2"/>
  <c r="H225" i="2"/>
  <c r="F224" i="2"/>
  <c r="K222" i="2"/>
  <c r="J221" i="2"/>
  <c r="H220" i="2"/>
  <c r="G219" i="2"/>
  <c r="H217" i="2"/>
  <c r="F216" i="2"/>
  <c r="K214" i="2"/>
  <c r="J213" i="2"/>
  <c r="H212" i="2"/>
  <c r="G211" i="2"/>
  <c r="H209" i="2"/>
  <c r="F208" i="2"/>
  <c r="K206" i="2"/>
  <c r="J205" i="2"/>
  <c r="H204" i="2"/>
  <c r="G203" i="2"/>
  <c r="H201" i="2"/>
  <c r="F200" i="2"/>
  <c r="K198" i="2"/>
  <c r="J197" i="2"/>
  <c r="H196" i="2"/>
  <c r="G195" i="2"/>
  <c r="H193" i="2"/>
  <c r="F192" i="2"/>
  <c r="K190" i="2"/>
  <c r="I189" i="2"/>
  <c r="J187" i="2"/>
  <c r="I186" i="2"/>
  <c r="G185" i="2"/>
  <c r="F184" i="2"/>
  <c r="K182" i="2"/>
  <c r="I181" i="2"/>
  <c r="J179" i="2"/>
  <c r="I178" i="2"/>
  <c r="G177" i="2"/>
  <c r="F176" i="2"/>
  <c r="K174" i="2"/>
  <c r="I173" i="2"/>
  <c r="J171" i="2"/>
  <c r="I170" i="2"/>
  <c r="G169" i="2"/>
  <c r="F168" i="2"/>
  <c r="L168" i="2" s="1"/>
  <c r="K166" i="2"/>
  <c r="I165" i="2"/>
  <c r="J163" i="2"/>
  <c r="I162" i="2"/>
  <c r="F161" i="2"/>
  <c r="I159" i="2"/>
  <c r="K157" i="2"/>
  <c r="K155" i="2"/>
  <c r="I153" i="2"/>
  <c r="I151" i="2"/>
  <c r="K148" i="2"/>
  <c r="K143" i="2"/>
  <c r="I136" i="2"/>
  <c r="I131" i="2"/>
  <c r="J126" i="2"/>
  <c r="J121" i="2"/>
  <c r="I114" i="2"/>
  <c r="I109" i="2"/>
  <c r="J104" i="2"/>
  <c r="J99" i="2"/>
  <c r="K94" i="2"/>
  <c r="K89" i="2"/>
  <c r="H83" i="2"/>
  <c r="K74" i="2"/>
  <c r="F60" i="2"/>
  <c r="K45" i="2"/>
  <c r="H26" i="2"/>
  <c r="I6" i="2"/>
  <c r="G156" i="2"/>
  <c r="J154" i="2"/>
  <c r="G152" i="2"/>
  <c r="I150" i="2"/>
  <c r="I148" i="2"/>
  <c r="F146" i="2"/>
  <c r="I143" i="2"/>
  <c r="F141" i="2"/>
  <c r="J138" i="2"/>
  <c r="G136" i="2"/>
  <c r="I132" i="2"/>
  <c r="F130" i="2"/>
  <c r="I127" i="2"/>
  <c r="F125" i="2"/>
  <c r="J122" i="2"/>
  <c r="G120" i="2"/>
  <c r="J116" i="2"/>
  <c r="G114" i="2"/>
  <c r="I110" i="2"/>
  <c r="F108" i="2"/>
  <c r="I105" i="2"/>
  <c r="F103" i="2"/>
  <c r="J100" i="2"/>
  <c r="G98" i="2"/>
  <c r="I94" i="2"/>
  <c r="F92" i="2"/>
  <c r="I89" i="2"/>
  <c r="G86" i="2"/>
  <c r="G81" i="2"/>
  <c r="J76" i="2"/>
  <c r="J71" i="2"/>
  <c r="K66" i="2"/>
  <c r="K61" i="2"/>
  <c r="G54" i="2"/>
  <c r="J44" i="2"/>
  <c r="K34" i="2"/>
  <c r="G20" i="2"/>
  <c r="H10" i="2"/>
  <c r="H149" i="2"/>
  <c r="J145" i="2"/>
  <c r="G143" i="2"/>
  <c r="K140" i="2"/>
  <c r="H138" i="2"/>
  <c r="K135" i="2"/>
  <c r="H133" i="2"/>
  <c r="J129" i="2"/>
  <c r="G127" i="2"/>
  <c r="K124" i="2"/>
  <c r="H122" i="2"/>
  <c r="K119" i="2"/>
  <c r="I117" i="2"/>
  <c r="F115" i="2"/>
  <c r="J112" i="2"/>
  <c r="G110" i="2"/>
  <c r="I106" i="2"/>
  <c r="F104" i="2"/>
  <c r="I101" i="2"/>
  <c r="F99" i="2"/>
  <c r="J96" i="2"/>
  <c r="G94" i="2"/>
  <c r="I90" i="2"/>
  <c r="H87" i="2"/>
  <c r="C87" i="2" s="1"/>
  <c r="G84" i="2"/>
  <c r="I78" i="2"/>
  <c r="I73" i="2"/>
  <c r="J68" i="2"/>
  <c r="J63" i="2"/>
  <c r="K58" i="2"/>
  <c r="G53" i="2"/>
  <c r="H43" i="2"/>
  <c r="J33" i="2"/>
  <c r="K23" i="2"/>
  <c r="F9" i="2"/>
  <c r="G161" i="2"/>
  <c r="F160" i="2"/>
  <c r="K158" i="2"/>
  <c r="I157" i="2"/>
  <c r="J155" i="2"/>
  <c r="I154" i="2"/>
  <c r="G153" i="2"/>
  <c r="F152" i="2"/>
  <c r="K150" i="2"/>
  <c r="I149" i="2"/>
  <c r="J147" i="2"/>
  <c r="I146" i="2"/>
  <c r="G145" i="2"/>
  <c r="F144" i="2"/>
  <c r="K142" i="2"/>
  <c r="I141" i="2"/>
  <c r="J139" i="2"/>
  <c r="I138" i="2"/>
  <c r="G137" i="2"/>
  <c r="F136" i="2"/>
  <c r="K134" i="2"/>
  <c r="I133" i="2"/>
  <c r="J131" i="2"/>
  <c r="I130" i="2"/>
  <c r="G129" i="2"/>
  <c r="C129" i="2" s="1"/>
  <c r="F128" i="2"/>
  <c r="K126" i="2"/>
  <c r="I125" i="2"/>
  <c r="J123" i="2"/>
  <c r="I122" i="2"/>
  <c r="G121" i="2"/>
  <c r="F120" i="2"/>
  <c r="K118" i="2"/>
  <c r="L118" i="2" s="1"/>
  <c r="J117" i="2"/>
  <c r="I116" i="2"/>
  <c r="G115" i="2"/>
  <c r="F114" i="2"/>
  <c r="K112" i="2"/>
  <c r="I111" i="2"/>
  <c r="J109" i="2"/>
  <c r="I108" i="2"/>
  <c r="G107" i="2"/>
  <c r="F106" i="2"/>
  <c r="K104" i="2"/>
  <c r="I103" i="2"/>
  <c r="J101" i="2"/>
  <c r="I100" i="2"/>
  <c r="G99" i="2"/>
  <c r="F98" i="2"/>
  <c r="K96" i="2"/>
  <c r="I95" i="2"/>
  <c r="J93" i="2"/>
  <c r="I92" i="2"/>
  <c r="G91" i="2"/>
  <c r="F90" i="2"/>
  <c r="I88" i="2"/>
  <c r="K86" i="2"/>
  <c r="G85" i="2"/>
  <c r="I83" i="2"/>
  <c r="K81" i="2"/>
  <c r="F80" i="2"/>
  <c r="I77" i="2"/>
  <c r="F75" i="2"/>
  <c r="J72" i="2"/>
  <c r="G70" i="2"/>
  <c r="I66" i="2"/>
  <c r="F64" i="2"/>
  <c r="I61" i="2"/>
  <c r="F59" i="2"/>
  <c r="J56" i="2"/>
  <c r="K53" i="2"/>
  <c r="I46" i="2"/>
  <c r="I41" i="2"/>
  <c r="J36" i="2"/>
  <c r="K31" i="2"/>
  <c r="I24" i="2"/>
  <c r="I19" i="2"/>
  <c r="J14" i="2"/>
  <c r="J9" i="2"/>
  <c r="J4" i="2"/>
  <c r="J148" i="2"/>
  <c r="H147" i="2"/>
  <c r="G146" i="2"/>
  <c r="H144" i="2"/>
  <c r="F143" i="2"/>
  <c r="K141" i="2"/>
  <c r="J140" i="2"/>
  <c r="L140" i="2" s="1"/>
  <c r="H139" i="2"/>
  <c r="G138" i="2"/>
  <c r="H136" i="2"/>
  <c r="F135" i="2"/>
  <c r="L135" i="2" s="1"/>
  <c r="K133" i="2"/>
  <c r="J132" i="2"/>
  <c r="H131" i="2"/>
  <c r="G130" i="2"/>
  <c r="H128" i="2"/>
  <c r="F127" i="2"/>
  <c r="K125" i="2"/>
  <c r="J124" i="2"/>
  <c r="C124" i="2" s="1"/>
  <c r="H123" i="2"/>
  <c r="G122" i="2"/>
  <c r="H120" i="2"/>
  <c r="F119" i="2"/>
  <c r="H117" i="2"/>
  <c r="G116" i="2"/>
  <c r="H114" i="2"/>
  <c r="F113" i="2"/>
  <c r="K111" i="2"/>
  <c r="J110" i="2"/>
  <c r="H109" i="2"/>
  <c r="G108" i="2"/>
  <c r="H106" i="2"/>
  <c r="F105" i="2"/>
  <c r="K103" i="2"/>
  <c r="J102" i="2"/>
  <c r="L102" i="2" s="1"/>
  <c r="H101" i="2"/>
  <c r="G100" i="2"/>
  <c r="H98" i="2"/>
  <c r="F97" i="2"/>
  <c r="L97" i="2" s="1"/>
  <c r="K95" i="2"/>
  <c r="J94" i="2"/>
  <c r="H93" i="2"/>
  <c r="G92" i="2"/>
  <c r="H90" i="2"/>
  <c r="F88" i="2"/>
  <c r="I86" i="2"/>
  <c r="K84" i="2"/>
  <c r="F83" i="2"/>
  <c r="I81" i="2"/>
  <c r="H79" i="2"/>
  <c r="J75" i="2"/>
  <c r="G73" i="2"/>
  <c r="K70" i="2"/>
  <c r="H68" i="2"/>
  <c r="K65" i="2"/>
  <c r="H63" i="2"/>
  <c r="J59" i="2"/>
  <c r="G57" i="2"/>
  <c r="J54" i="2"/>
  <c r="G50" i="2"/>
  <c r="G45" i="2"/>
  <c r="H40" i="2"/>
  <c r="I35" i="2"/>
  <c r="I30" i="2"/>
  <c r="J25" i="2"/>
  <c r="K20" i="2"/>
  <c r="K15" i="2"/>
  <c r="H8" i="2"/>
  <c r="H89" i="2"/>
  <c r="G88" i="2"/>
  <c r="H86" i="2"/>
  <c r="F85" i="2"/>
  <c r="K83" i="2"/>
  <c r="J82" i="2"/>
  <c r="H81" i="2"/>
  <c r="G80" i="2"/>
  <c r="H78" i="2"/>
  <c r="F77" i="2"/>
  <c r="K75" i="2"/>
  <c r="J74" i="2"/>
  <c r="H73" i="2"/>
  <c r="G72" i="2"/>
  <c r="H70" i="2"/>
  <c r="F69" i="2"/>
  <c r="K67" i="2"/>
  <c r="J66" i="2"/>
  <c r="H65" i="2"/>
  <c r="G64" i="2"/>
  <c r="H62" i="2"/>
  <c r="F61" i="2"/>
  <c r="K59" i="2"/>
  <c r="J58" i="2"/>
  <c r="H57" i="2"/>
  <c r="G56" i="2"/>
  <c r="K54" i="2"/>
  <c r="J51" i="2"/>
  <c r="G49" i="2"/>
  <c r="K46" i="2"/>
  <c r="H44" i="2"/>
  <c r="K41" i="2"/>
  <c r="H39" i="2"/>
  <c r="K35" i="2"/>
  <c r="H33" i="2"/>
  <c r="K30" i="2"/>
  <c r="H28" i="2"/>
  <c r="F26" i="2"/>
  <c r="I23" i="2"/>
  <c r="F21" i="2"/>
  <c r="J18" i="2"/>
  <c r="G16" i="2"/>
  <c r="I12" i="2"/>
  <c r="F10" i="2"/>
  <c r="I7" i="2"/>
  <c r="F5" i="2"/>
  <c r="I80" i="2"/>
  <c r="G79" i="2"/>
  <c r="F78" i="2"/>
  <c r="L78" i="2" s="1"/>
  <c r="K76" i="2"/>
  <c r="I75" i="2"/>
  <c r="J73" i="2"/>
  <c r="I72" i="2"/>
  <c r="G71" i="2"/>
  <c r="F70" i="2"/>
  <c r="L70" i="2" s="1"/>
  <c r="K68" i="2"/>
  <c r="I67" i="2"/>
  <c r="J65" i="2"/>
  <c r="I64" i="2"/>
  <c r="G63" i="2"/>
  <c r="F62" i="2"/>
  <c r="K60" i="2"/>
  <c r="I59" i="2"/>
  <c r="J57" i="2"/>
  <c r="I56" i="2"/>
  <c r="G55" i="2"/>
  <c r="I53" i="2"/>
  <c r="F51" i="2"/>
  <c r="J48" i="2"/>
  <c r="G46" i="2"/>
  <c r="I42" i="2"/>
  <c r="F40" i="2"/>
  <c r="I37" i="2"/>
  <c r="G35" i="2"/>
  <c r="I31" i="2"/>
  <c r="F29" i="2"/>
  <c r="J26" i="2"/>
  <c r="G24" i="2"/>
  <c r="I20" i="2"/>
  <c r="F18" i="2"/>
  <c r="I15" i="2"/>
  <c r="F13" i="2"/>
  <c r="J10" i="2"/>
  <c r="F8" i="2"/>
  <c r="J5" i="2"/>
  <c r="G3" i="2"/>
  <c r="J53" i="2"/>
  <c r="I52" i="2"/>
  <c r="G51" i="2"/>
  <c r="F50" i="2"/>
  <c r="K48" i="2"/>
  <c r="L48" i="2" s="1"/>
  <c r="I47" i="2"/>
  <c r="J45" i="2"/>
  <c r="I44" i="2"/>
  <c r="G43" i="2"/>
  <c r="C43" i="2" s="1"/>
  <c r="F42" i="2"/>
  <c r="K40" i="2"/>
  <c r="I39" i="2"/>
  <c r="J37" i="2"/>
  <c r="I36" i="2"/>
  <c r="J34" i="2"/>
  <c r="C34" i="2" s="1"/>
  <c r="I33" i="2"/>
  <c r="G32" i="2"/>
  <c r="F31" i="2"/>
  <c r="K29" i="2"/>
  <c r="I28" i="2"/>
  <c r="K26" i="2"/>
  <c r="I25" i="2"/>
  <c r="J23" i="2"/>
  <c r="I22" i="2"/>
  <c r="G21" i="2"/>
  <c r="F20" i="2"/>
  <c r="K18" i="2"/>
  <c r="I17" i="2"/>
  <c r="J15" i="2"/>
  <c r="I14" i="2"/>
  <c r="G13" i="2"/>
  <c r="F12" i="2"/>
  <c r="K10" i="2"/>
  <c r="I9" i="2"/>
  <c r="G8" i="2"/>
  <c r="F7" i="2"/>
  <c r="K5" i="2"/>
  <c r="I4" i="2"/>
  <c r="H53" i="2"/>
  <c r="G52" i="2"/>
  <c r="H50" i="2"/>
  <c r="F49" i="2"/>
  <c r="K47" i="2"/>
  <c r="J46" i="2"/>
  <c r="H45" i="2"/>
  <c r="G44" i="2"/>
  <c r="H42" i="2"/>
  <c r="F41" i="2"/>
  <c r="K39" i="2"/>
  <c r="J38" i="2"/>
  <c r="H37" i="2"/>
  <c r="C37" i="2" s="1"/>
  <c r="G36" i="2"/>
  <c r="F35" i="2"/>
  <c r="K33" i="2"/>
  <c r="I32" i="2"/>
  <c r="J30" i="2"/>
  <c r="I29" i="2"/>
  <c r="G28" i="2"/>
  <c r="F27" i="2"/>
  <c r="K25" i="2"/>
  <c r="J24" i="2"/>
  <c r="H23" i="2"/>
  <c r="G22" i="2"/>
  <c r="H20" i="2"/>
  <c r="F19" i="2"/>
  <c r="K17" i="2"/>
  <c r="J16" i="2"/>
  <c r="H15" i="2"/>
  <c r="G14" i="2"/>
  <c r="H12" i="2"/>
  <c r="F11" i="2"/>
  <c r="K9" i="2"/>
  <c r="I8" i="2"/>
  <c r="J6" i="2"/>
  <c r="I5" i="2"/>
  <c r="G4" i="2"/>
  <c r="F3" i="2"/>
  <c r="H2793" i="2"/>
  <c r="J2791" i="2"/>
  <c r="F2790" i="2"/>
  <c r="J2788" i="2"/>
  <c r="F2787" i="2"/>
  <c r="J2785" i="2"/>
  <c r="H2784" i="2"/>
  <c r="F2783" i="2"/>
  <c r="J2781" i="2"/>
  <c r="F2780" i="2"/>
  <c r="J2778" i="2"/>
  <c r="H2777" i="2"/>
  <c r="F2776" i="2"/>
  <c r="H2774" i="2"/>
  <c r="F2773" i="2"/>
  <c r="J2771" i="2"/>
  <c r="H2770" i="2"/>
  <c r="J2768" i="2"/>
  <c r="H2767" i="2"/>
  <c r="F2766" i="2"/>
  <c r="H2764" i="2"/>
  <c r="F2763" i="2"/>
  <c r="J2761" i="2"/>
  <c r="H2760" i="2"/>
  <c r="J2758" i="2"/>
  <c r="H2757" i="2"/>
  <c r="F2756" i="2"/>
  <c r="J2754" i="2"/>
  <c r="F2753" i="2"/>
  <c r="J2751" i="2"/>
  <c r="H2750" i="2"/>
  <c r="F2749" i="2"/>
  <c r="H2747" i="2"/>
  <c r="F2746" i="2"/>
  <c r="J2744" i="2"/>
  <c r="H2743" i="2"/>
  <c r="J2741" i="2"/>
  <c r="H2740" i="2"/>
  <c r="F2739" i="2"/>
  <c r="J2737" i="2"/>
  <c r="F2736" i="2"/>
  <c r="J2734" i="2"/>
  <c r="H2733" i="2"/>
  <c r="J2731" i="2"/>
  <c r="H2730" i="2"/>
  <c r="F2729" i="2"/>
  <c r="J2727" i="2"/>
  <c r="H2726" i="2"/>
  <c r="F2725" i="2"/>
  <c r="H2723" i="2"/>
  <c r="F2722" i="2"/>
  <c r="J2720" i="2"/>
  <c r="G2719" i="2"/>
  <c r="K2717" i="2"/>
  <c r="I2716" i="2"/>
  <c r="G2715" i="2"/>
  <c r="K2713" i="2"/>
  <c r="G2712" i="2"/>
  <c r="K2710" i="2"/>
  <c r="I2709" i="2"/>
  <c r="K2707" i="2"/>
  <c r="I2706" i="2"/>
  <c r="G2705" i="2"/>
  <c r="K2703" i="2"/>
  <c r="I2702" i="2"/>
  <c r="K2700" i="2"/>
  <c r="I2699" i="2"/>
  <c r="G2698" i="2"/>
  <c r="K2696" i="2"/>
  <c r="I2695" i="2"/>
  <c r="K2693" i="2"/>
  <c r="I2692" i="2"/>
  <c r="G2691" i="2"/>
  <c r="K2689" i="2"/>
  <c r="G2688" i="2"/>
  <c r="K2686" i="2"/>
  <c r="I2685" i="2"/>
  <c r="G2684" i="2"/>
  <c r="K2682" i="2"/>
  <c r="G2681" i="2"/>
  <c r="K2679" i="2"/>
  <c r="I2678" i="2"/>
  <c r="G2677" i="2"/>
  <c r="K2675" i="2"/>
  <c r="I2674" i="2"/>
  <c r="K2672" i="2"/>
  <c r="H2671" i="2"/>
  <c r="F2670" i="2"/>
  <c r="H2668" i="2"/>
  <c r="F2667" i="2"/>
  <c r="J2665" i="2"/>
  <c r="H2664" i="2"/>
  <c r="J2662" i="2"/>
  <c r="H2661" i="2"/>
  <c r="F2660" i="2"/>
  <c r="J2658" i="2"/>
  <c r="F2657" i="2"/>
  <c r="J2655" i="2"/>
  <c r="H2654" i="2"/>
  <c r="F2653" i="2"/>
  <c r="H2651" i="2"/>
  <c r="F2650" i="2"/>
  <c r="J2648" i="2"/>
  <c r="H2647" i="2"/>
  <c r="J2645" i="2"/>
  <c r="H2644" i="2"/>
  <c r="F2643" i="2"/>
  <c r="J2641" i="2"/>
  <c r="F2640" i="2"/>
  <c r="J2638" i="2"/>
  <c r="H2637" i="2"/>
  <c r="F2636" i="2"/>
  <c r="J2634" i="2"/>
  <c r="H2633" i="2"/>
  <c r="J2631" i="2"/>
  <c r="H2630" i="2"/>
  <c r="F2629" i="2"/>
  <c r="J2627" i="2"/>
  <c r="H2626" i="2"/>
  <c r="J2624" i="2"/>
  <c r="H2623" i="2"/>
  <c r="F2622" i="2"/>
  <c r="J2620" i="2"/>
  <c r="H2619" i="2"/>
  <c r="J2617" i="2"/>
  <c r="H2616" i="2"/>
  <c r="F2615" i="2"/>
  <c r="H2613" i="2"/>
  <c r="F2612" i="2"/>
  <c r="J2610" i="2"/>
  <c r="H2609" i="2"/>
  <c r="J2607" i="2"/>
  <c r="H2606" i="2"/>
  <c r="F2605" i="2"/>
  <c r="J2603" i="2"/>
  <c r="F2602" i="2"/>
  <c r="J2600" i="2"/>
  <c r="H2599" i="2"/>
  <c r="F2598" i="2"/>
  <c r="J2596" i="2"/>
  <c r="F2595" i="2"/>
  <c r="J2593" i="2"/>
  <c r="H2592" i="2"/>
  <c r="J2590" i="2"/>
  <c r="H2589" i="2"/>
  <c r="F2588" i="2"/>
  <c r="J2586" i="2"/>
  <c r="H2585" i="2"/>
  <c r="J2583" i="2"/>
  <c r="H2582" i="2"/>
  <c r="G2581" i="2"/>
  <c r="K2579" i="2"/>
  <c r="G2578" i="2"/>
  <c r="K2576" i="2"/>
  <c r="I2575" i="2"/>
  <c r="G2574" i="2"/>
  <c r="I2572" i="2"/>
  <c r="G2571" i="2"/>
  <c r="K2569" i="2"/>
  <c r="G2568" i="2"/>
  <c r="K2566" i="2"/>
  <c r="I2565" i="2"/>
  <c r="G2564" i="2"/>
  <c r="K2562" i="2"/>
  <c r="G2561" i="2"/>
  <c r="K2559" i="2"/>
  <c r="I2558" i="2"/>
  <c r="K2556" i="2"/>
  <c r="I2555" i="2"/>
  <c r="G2554" i="2"/>
  <c r="K2552" i="2"/>
  <c r="I2551" i="2"/>
  <c r="K2549" i="2"/>
  <c r="I2548" i="2"/>
  <c r="G2547" i="2"/>
  <c r="I2545" i="2"/>
  <c r="G2544" i="2"/>
  <c r="K2542" i="2"/>
  <c r="G2541" i="2"/>
  <c r="K2539" i="2"/>
  <c r="I2538" i="2"/>
  <c r="G2537" i="2"/>
  <c r="I2535" i="2"/>
  <c r="G2534" i="2"/>
  <c r="K2532" i="2"/>
  <c r="G2531" i="2"/>
  <c r="K2529" i="2"/>
  <c r="I2528" i="2"/>
  <c r="G2527" i="2"/>
  <c r="K2525" i="2"/>
  <c r="I2524" i="2"/>
  <c r="K2522" i="2"/>
  <c r="I2521" i="2"/>
  <c r="G2520" i="2"/>
  <c r="K2518" i="2"/>
  <c r="I2517" i="2"/>
  <c r="G2516" i="2"/>
  <c r="G2515" i="2"/>
  <c r="I2514" i="2"/>
  <c r="I2513" i="2"/>
  <c r="K2512" i="2"/>
  <c r="G2512" i="2"/>
  <c r="I2511" i="2"/>
  <c r="K2510" i="2"/>
  <c r="G2510" i="2"/>
  <c r="I2509" i="2"/>
  <c r="K2508" i="2"/>
  <c r="G2508" i="2"/>
  <c r="I2507" i="2"/>
  <c r="K2506" i="2"/>
  <c r="G2506" i="2"/>
  <c r="I2505" i="2"/>
  <c r="K2504" i="2"/>
  <c r="G2504" i="2"/>
  <c r="I2503" i="2"/>
  <c r="K2502" i="2"/>
  <c r="G2502" i="2"/>
  <c r="H2501" i="2"/>
  <c r="J2500" i="2"/>
  <c r="F2500" i="2"/>
  <c r="H2499" i="2"/>
  <c r="J2498" i="2"/>
  <c r="F2498" i="2"/>
  <c r="H2497" i="2"/>
  <c r="J2496" i="2"/>
  <c r="F2496" i="2"/>
  <c r="H2495" i="2"/>
  <c r="J2494" i="2"/>
  <c r="F2494" i="2"/>
  <c r="H2493" i="2"/>
  <c r="J2492" i="2"/>
  <c r="F2492" i="2"/>
  <c r="H2491" i="2"/>
  <c r="J2490" i="2"/>
  <c r="F2490" i="2"/>
  <c r="H2489" i="2"/>
  <c r="J2488" i="2"/>
  <c r="F2488" i="2"/>
  <c r="H2487" i="2"/>
  <c r="J2486" i="2"/>
  <c r="F2486" i="2"/>
  <c r="H2485" i="2"/>
  <c r="J2484" i="2"/>
  <c r="F2484" i="2"/>
  <c r="H2483" i="2"/>
  <c r="J2482" i="2"/>
  <c r="F2482" i="2"/>
  <c r="H2481" i="2"/>
  <c r="J2480" i="2"/>
  <c r="F2480" i="2"/>
  <c r="H2479" i="2"/>
  <c r="J2478" i="2"/>
  <c r="F2478" i="2"/>
  <c r="H2477" i="2"/>
  <c r="J2476" i="2"/>
  <c r="F2476" i="2"/>
  <c r="H2475" i="2"/>
  <c r="J2474" i="2"/>
  <c r="F2474" i="2"/>
  <c r="H2473" i="2"/>
  <c r="J2472" i="2"/>
  <c r="F2472" i="2"/>
  <c r="H2471" i="2"/>
  <c r="J2470" i="2"/>
  <c r="F2470" i="2"/>
  <c r="H2469" i="2"/>
  <c r="J2468" i="2"/>
  <c r="F2468" i="2"/>
  <c r="H2467" i="2"/>
  <c r="J2466" i="2"/>
  <c r="F2466" i="2"/>
  <c r="H2465" i="2"/>
  <c r="J2464" i="2"/>
  <c r="F2464" i="2"/>
  <c r="H2463" i="2"/>
  <c r="J2462" i="2"/>
  <c r="F2462" i="2"/>
  <c r="H2461" i="2"/>
  <c r="J2460" i="2"/>
  <c r="F2460" i="2"/>
  <c r="H2459" i="2"/>
  <c r="J2458" i="2"/>
  <c r="F2458" i="2"/>
  <c r="H2457" i="2"/>
  <c r="J2456" i="2"/>
  <c r="F2456" i="2"/>
  <c r="H2455" i="2"/>
  <c r="J2454" i="2"/>
  <c r="F2454" i="2"/>
  <c r="I2453" i="2"/>
  <c r="K2452" i="2"/>
  <c r="G2452" i="2"/>
  <c r="I2451" i="2"/>
  <c r="K2450" i="2"/>
  <c r="G2450" i="2"/>
  <c r="I2449" i="2"/>
  <c r="K2448" i="2"/>
  <c r="G2448" i="2"/>
  <c r="I2447" i="2"/>
  <c r="K2446" i="2"/>
  <c r="G2446" i="2"/>
  <c r="I2445" i="2"/>
  <c r="K2444" i="2"/>
  <c r="G2444" i="2"/>
  <c r="I2443" i="2"/>
  <c r="K2442" i="2"/>
  <c r="G2442" i="2"/>
  <c r="I2441" i="2"/>
  <c r="K2440" i="2"/>
  <c r="G2440" i="2"/>
  <c r="I2439" i="2"/>
  <c r="K2438" i="2"/>
  <c r="G2438" i="2"/>
  <c r="I2437" i="2"/>
  <c r="K2436" i="2"/>
  <c r="G2436" i="2"/>
  <c r="I2435" i="2"/>
  <c r="K2434" i="2"/>
  <c r="G2434" i="2"/>
  <c r="I2433" i="2"/>
  <c r="K2432" i="2"/>
  <c r="G2432" i="2"/>
  <c r="I2431" i="2"/>
  <c r="K2430" i="2"/>
  <c r="G2430" i="2"/>
  <c r="I2429" i="2"/>
  <c r="K2428" i="2"/>
  <c r="G2428" i="2"/>
  <c r="I2427" i="2"/>
  <c r="K2426" i="2"/>
  <c r="G2426" i="2"/>
  <c r="I2425" i="2"/>
  <c r="K2424" i="2"/>
  <c r="G2424" i="2"/>
  <c r="I2423" i="2"/>
  <c r="K2422" i="2"/>
  <c r="G2422" i="2"/>
  <c r="I2421" i="2"/>
  <c r="K2420" i="2"/>
  <c r="G2420" i="2"/>
  <c r="I2419" i="2"/>
  <c r="K2418" i="2"/>
  <c r="G2418" i="2"/>
  <c r="I2417" i="2"/>
  <c r="K2416" i="2"/>
  <c r="G2416" i="2"/>
  <c r="I2415" i="2"/>
  <c r="K2414" i="2"/>
  <c r="G2414" i="2"/>
  <c r="I2413" i="2"/>
  <c r="K2412" i="2"/>
  <c r="G2412" i="2"/>
  <c r="I2411" i="2"/>
  <c r="K2410" i="2"/>
  <c r="G2410" i="2"/>
  <c r="I2409" i="2"/>
  <c r="K2408" i="2"/>
  <c r="G2408" i="2"/>
  <c r="I2407" i="2"/>
  <c r="K2406" i="2"/>
  <c r="G2406" i="2"/>
  <c r="I2405" i="2"/>
  <c r="K2404" i="2"/>
  <c r="G2404" i="2"/>
  <c r="I2403" i="2"/>
  <c r="K2402" i="2"/>
  <c r="G2402" i="2"/>
  <c r="I2401" i="2"/>
  <c r="K2400" i="2"/>
  <c r="G2400" i="2"/>
  <c r="I2399" i="2"/>
  <c r="K2398" i="2"/>
  <c r="G2398" i="2"/>
  <c r="I2397" i="2"/>
  <c r="K2396" i="2"/>
  <c r="G2396" i="2"/>
  <c r="I2395" i="2"/>
  <c r="K2394" i="2"/>
  <c r="G2394" i="2"/>
  <c r="I2393" i="2"/>
  <c r="K2392" i="2"/>
  <c r="G2392" i="2"/>
  <c r="I2391" i="2"/>
  <c r="K2390" i="2"/>
  <c r="G2390" i="2"/>
  <c r="H2389" i="2"/>
  <c r="J2388" i="2"/>
  <c r="F2388" i="2"/>
  <c r="H2387" i="2"/>
  <c r="J2386" i="2"/>
  <c r="F2386" i="2"/>
  <c r="H2385" i="2"/>
  <c r="J2384" i="2"/>
  <c r="F2384" i="2"/>
  <c r="H2383" i="2"/>
  <c r="J2382" i="2"/>
  <c r="F2382" i="2"/>
  <c r="H2381" i="2"/>
  <c r="J2380" i="2"/>
  <c r="F2380" i="2"/>
  <c r="H2379" i="2"/>
  <c r="J2378" i="2"/>
  <c r="F2378" i="2"/>
  <c r="H2377" i="2"/>
  <c r="J2376" i="2"/>
  <c r="F2376" i="2"/>
  <c r="H2375" i="2"/>
  <c r="J2374" i="2"/>
  <c r="F2374" i="2"/>
  <c r="H2373" i="2"/>
  <c r="J2372" i="2"/>
  <c r="F2372" i="2"/>
  <c r="H2371" i="2"/>
  <c r="J2370" i="2"/>
  <c r="F2370" i="2"/>
  <c r="H2369" i="2"/>
  <c r="J2368" i="2"/>
  <c r="F2368" i="2"/>
  <c r="H2367" i="2"/>
  <c r="J2366" i="2"/>
  <c r="F2366" i="2"/>
  <c r="H2365" i="2"/>
  <c r="J2364" i="2"/>
  <c r="F2364" i="2"/>
  <c r="H2363" i="2"/>
  <c r="J2362" i="2"/>
  <c r="F2362" i="2"/>
  <c r="H2361" i="2"/>
  <c r="J2360" i="2"/>
  <c r="F2360" i="2"/>
  <c r="H2359" i="2"/>
  <c r="J2358" i="2"/>
  <c r="F2358" i="2"/>
  <c r="H2357" i="2"/>
  <c r="J2356" i="2"/>
  <c r="F2356" i="2"/>
  <c r="H2355" i="2"/>
  <c r="J2354" i="2"/>
  <c r="F2354" i="2"/>
  <c r="H2353" i="2"/>
  <c r="J2352" i="2"/>
  <c r="F2352" i="2"/>
  <c r="H2351" i="2"/>
  <c r="J2350" i="2"/>
  <c r="F2350" i="2"/>
  <c r="H2349" i="2"/>
  <c r="J2348" i="2"/>
  <c r="F2348" i="2"/>
  <c r="H2347" i="2"/>
  <c r="J2346" i="2"/>
  <c r="F2346" i="2"/>
  <c r="H2345" i="2"/>
  <c r="J2344" i="2"/>
  <c r="F2344" i="2"/>
  <c r="H2343" i="2"/>
  <c r="J2342" i="2"/>
  <c r="F2342" i="2"/>
  <c r="H2341" i="2"/>
  <c r="J2340" i="2"/>
  <c r="F2340" i="2"/>
  <c r="H2339" i="2"/>
  <c r="J2338" i="2"/>
  <c r="F2338" i="2"/>
  <c r="H2337" i="2"/>
  <c r="J2336" i="2"/>
  <c r="F2336" i="2"/>
  <c r="H2335" i="2"/>
  <c r="J2334" i="2"/>
  <c r="F2334" i="2"/>
  <c r="H2333" i="2"/>
  <c r="J2332" i="2"/>
  <c r="F2332" i="2"/>
  <c r="H2331" i="2"/>
  <c r="J2330" i="2"/>
  <c r="F2330" i="2"/>
  <c r="H2329" i="2"/>
  <c r="J2328" i="2"/>
  <c r="F2328" i="2"/>
  <c r="H2327" i="2"/>
  <c r="J2326" i="2"/>
  <c r="F2326" i="2"/>
  <c r="I2325" i="2"/>
  <c r="K2324" i="2"/>
  <c r="G2324" i="2"/>
  <c r="I2323" i="2"/>
  <c r="K2322" i="2"/>
  <c r="G2322" i="2"/>
  <c r="I2321" i="2"/>
  <c r="K2320" i="2"/>
  <c r="G2320" i="2"/>
  <c r="I2319" i="2"/>
  <c r="K2318" i="2"/>
  <c r="G2318" i="2"/>
  <c r="I2317" i="2"/>
  <c r="K2316" i="2"/>
  <c r="G2316" i="2"/>
  <c r="I2315" i="2"/>
  <c r="K2314" i="2"/>
  <c r="G2314" i="2"/>
  <c r="I2313" i="2"/>
  <c r="K2312" i="2"/>
  <c r="G2312" i="2"/>
  <c r="I2311" i="2"/>
  <c r="K2310" i="2"/>
  <c r="G2310" i="2"/>
  <c r="I2309" i="2"/>
  <c r="K2308" i="2"/>
  <c r="G2308" i="2"/>
  <c r="I2307" i="2"/>
  <c r="K2306" i="2"/>
  <c r="G2306" i="2"/>
  <c r="I2305" i="2"/>
  <c r="K2304" i="2"/>
  <c r="G2304" i="2"/>
  <c r="I2303" i="2"/>
  <c r="K2302" i="2"/>
  <c r="G2302" i="2"/>
  <c r="I2301" i="2"/>
  <c r="K2300" i="2"/>
  <c r="G2300" i="2"/>
  <c r="I2299" i="2"/>
  <c r="K2298" i="2"/>
  <c r="G2298" i="2"/>
  <c r="I2297" i="2"/>
  <c r="K2296" i="2"/>
  <c r="G2296" i="2"/>
  <c r="I2295" i="2"/>
  <c r="K2294" i="2"/>
  <c r="G2294" i="2"/>
  <c r="I2293" i="2"/>
  <c r="K2292" i="2"/>
  <c r="G2292" i="2"/>
  <c r="I2291" i="2"/>
  <c r="K2290" i="2"/>
  <c r="G2290" i="2"/>
  <c r="I2289" i="2"/>
  <c r="K2288" i="2"/>
  <c r="G2288" i="2"/>
  <c r="I2287" i="2"/>
  <c r="K2286" i="2"/>
  <c r="G2286" i="2"/>
  <c r="I2285" i="2"/>
  <c r="K2284" i="2"/>
  <c r="G2284" i="2"/>
  <c r="I2283" i="2"/>
  <c r="K2282" i="2"/>
  <c r="G2282" i="2"/>
  <c r="I2281" i="2"/>
  <c r="K2280" i="2"/>
  <c r="G2280" i="2"/>
  <c r="I2279" i="2"/>
  <c r="K2278" i="2"/>
  <c r="G2278" i="2"/>
  <c r="I2277" i="2"/>
  <c r="K2276" i="2"/>
  <c r="G2276" i="2"/>
  <c r="I2275" i="2"/>
  <c r="K2274" i="2"/>
  <c r="G2274" i="2"/>
  <c r="I2273" i="2"/>
  <c r="K2272" i="2"/>
  <c r="G2272" i="2"/>
  <c r="I2271" i="2"/>
  <c r="K2270" i="2"/>
  <c r="G2270" i="2"/>
  <c r="I2269" i="2"/>
  <c r="K2268" i="2"/>
  <c r="G2268" i="2"/>
  <c r="I2267" i="2"/>
  <c r="K2266" i="2"/>
  <c r="G2266" i="2"/>
  <c r="I2265" i="2"/>
  <c r="K2264" i="2"/>
  <c r="G2264" i="2"/>
  <c r="I2263" i="2"/>
  <c r="K2262" i="2"/>
  <c r="G2262" i="2"/>
  <c r="H2261" i="2"/>
  <c r="J2260" i="2"/>
  <c r="F2260" i="2"/>
  <c r="H2259" i="2"/>
  <c r="J2258" i="2"/>
  <c r="F2258" i="2"/>
  <c r="H2257" i="2"/>
  <c r="J2256" i="2"/>
  <c r="F2256" i="2"/>
  <c r="H2255" i="2"/>
  <c r="J2254" i="2"/>
  <c r="F2254" i="2"/>
  <c r="H2253" i="2"/>
  <c r="J2252" i="2"/>
  <c r="F2252" i="2"/>
  <c r="H2251" i="2"/>
  <c r="J2250" i="2"/>
  <c r="F2250" i="2"/>
  <c r="H2249" i="2"/>
  <c r="J2248" i="2"/>
  <c r="F2248" i="2"/>
  <c r="H2247" i="2"/>
  <c r="J2246" i="2"/>
  <c r="F2246" i="2"/>
  <c r="H2245" i="2"/>
  <c r="J2244" i="2"/>
  <c r="F2244" i="2"/>
  <c r="H2243" i="2"/>
  <c r="J2242" i="2"/>
  <c r="F2242" i="2"/>
  <c r="H2241" i="2"/>
  <c r="J2240" i="2"/>
  <c r="F2240" i="2"/>
  <c r="H2239" i="2"/>
  <c r="J2238" i="2"/>
  <c r="F2238" i="2"/>
  <c r="H2237" i="2"/>
  <c r="J2236" i="2"/>
  <c r="F2236" i="2"/>
  <c r="H2235" i="2"/>
  <c r="J2234" i="2"/>
  <c r="F2234" i="2"/>
  <c r="H2233" i="2"/>
  <c r="J2232" i="2"/>
  <c r="F2232" i="2"/>
  <c r="H2231" i="2"/>
  <c r="J2230" i="2"/>
  <c r="F2230" i="2"/>
  <c r="H2229" i="2"/>
  <c r="J2228" i="2"/>
  <c r="F2228" i="2"/>
  <c r="G2227" i="2"/>
  <c r="K2225" i="2"/>
  <c r="I2224" i="2"/>
  <c r="G2223" i="2"/>
  <c r="K2221" i="2"/>
  <c r="I2220" i="2"/>
  <c r="G2219" i="2"/>
  <c r="K2217" i="2"/>
  <c r="I2216" i="2"/>
  <c r="G2215" i="2"/>
  <c r="K2213" i="2"/>
  <c r="I2212" i="2"/>
  <c r="G2211" i="2"/>
  <c r="K2209" i="2"/>
  <c r="I2208" i="2"/>
  <c r="G2207" i="2"/>
  <c r="K2205" i="2"/>
  <c r="I2204" i="2"/>
  <c r="G2203" i="2"/>
  <c r="K2201" i="2"/>
  <c r="I2200" i="2"/>
  <c r="G2199" i="2"/>
  <c r="K2197" i="2"/>
  <c r="I2196" i="2"/>
  <c r="G2195" i="2"/>
  <c r="K2193" i="2"/>
  <c r="I2192" i="2"/>
  <c r="G2191" i="2"/>
  <c r="H2189" i="2"/>
  <c r="F2188" i="2"/>
  <c r="J2186" i="2"/>
  <c r="H2185" i="2"/>
  <c r="F2184" i="2"/>
  <c r="J2182" i="2"/>
  <c r="H2181" i="2"/>
  <c r="F2180" i="2"/>
  <c r="J2178" i="2"/>
  <c r="H2177" i="2"/>
  <c r="F2176" i="2"/>
  <c r="J2174" i="2"/>
  <c r="H2173" i="2"/>
  <c r="F2172" i="2"/>
  <c r="J2170" i="2"/>
  <c r="H2169" i="2"/>
  <c r="F2168" i="2"/>
  <c r="J2166" i="2"/>
  <c r="H2165" i="2"/>
  <c r="F2164" i="2"/>
  <c r="J2162" i="2"/>
  <c r="H2161" i="2"/>
  <c r="F2160" i="2"/>
  <c r="J2158" i="2"/>
  <c r="H2157" i="2"/>
  <c r="F2156" i="2"/>
  <c r="J2154" i="2"/>
  <c r="H2153" i="2"/>
  <c r="F2152" i="2"/>
  <c r="J2150" i="2"/>
  <c r="H2149" i="2"/>
  <c r="F2148" i="2"/>
  <c r="J2146" i="2"/>
  <c r="H2145" i="2"/>
  <c r="F2144" i="2"/>
  <c r="J2142" i="2"/>
  <c r="H2141" i="2"/>
  <c r="F2140" i="2"/>
  <c r="J2138" i="2"/>
  <c r="H2137" i="2"/>
  <c r="F2136" i="2"/>
  <c r="J2134" i="2"/>
  <c r="H2133" i="2"/>
  <c r="F2132" i="2"/>
  <c r="J2130" i="2"/>
  <c r="H2129" i="2"/>
  <c r="F2128" i="2"/>
  <c r="J2126" i="2"/>
  <c r="I2125" i="2"/>
  <c r="G2124" i="2"/>
  <c r="K2122" i="2"/>
  <c r="I2121" i="2"/>
  <c r="G2120" i="2"/>
  <c r="K2118" i="2"/>
  <c r="I2117" i="2"/>
  <c r="G2116" i="2"/>
  <c r="K2114" i="2"/>
  <c r="I2113" i="2"/>
  <c r="G2112" i="2"/>
  <c r="K2110" i="2"/>
  <c r="I2109" i="2"/>
  <c r="G2108" i="2"/>
  <c r="K2106" i="2"/>
  <c r="I2105" i="2"/>
  <c r="G2104" i="2"/>
  <c r="K2102" i="2"/>
  <c r="I2101" i="2"/>
  <c r="J2099" i="2"/>
  <c r="H2098" i="2"/>
  <c r="F2097" i="2"/>
  <c r="J2095" i="2"/>
  <c r="H2094" i="2"/>
  <c r="F2093" i="2"/>
  <c r="J2091" i="2"/>
  <c r="H2090" i="2"/>
  <c r="F2089" i="2"/>
  <c r="J2087" i="2"/>
  <c r="H2086" i="2"/>
  <c r="F2085" i="2"/>
  <c r="J2083" i="2"/>
  <c r="H2082" i="2"/>
  <c r="F2081" i="2"/>
  <c r="J2079" i="2"/>
  <c r="H2078" i="2"/>
  <c r="F2793" i="2"/>
  <c r="F2792" i="2"/>
  <c r="J2790" i="2"/>
  <c r="J2789" i="2"/>
  <c r="H2788" i="2"/>
  <c r="H2787" i="2"/>
  <c r="F2786" i="2"/>
  <c r="J2784" i="2"/>
  <c r="H2783" i="2"/>
  <c r="F2782" i="2"/>
  <c r="J2780" i="2"/>
  <c r="J2779" i="2"/>
  <c r="H2778" i="2"/>
  <c r="F2777" i="2"/>
  <c r="J2775" i="2"/>
  <c r="J2774" i="2"/>
  <c r="H2773" i="2"/>
  <c r="F2772" i="2"/>
  <c r="J2770" i="2"/>
  <c r="J2769" i="2"/>
  <c r="H2768" i="2"/>
  <c r="F2767" i="2"/>
  <c r="J2765" i="2"/>
  <c r="J2764" i="2"/>
  <c r="H2763" i="2"/>
  <c r="F2762" i="2"/>
  <c r="J2760" i="2"/>
  <c r="H2759" i="2"/>
  <c r="H2758" i="2"/>
  <c r="F2757" i="2"/>
  <c r="J2755" i="2"/>
  <c r="H2754" i="2"/>
  <c r="H2753" i="2"/>
  <c r="F2752" i="2"/>
  <c r="J2750" i="2"/>
  <c r="H2749" i="2"/>
  <c r="H2748" i="2"/>
  <c r="F2747" i="2"/>
  <c r="J2745" i="2"/>
  <c r="H2744" i="2"/>
  <c r="F2743" i="2"/>
  <c r="F2742" i="2"/>
  <c r="J2740" i="2"/>
  <c r="H2739" i="2"/>
  <c r="F2738" i="2"/>
  <c r="F2737" i="2"/>
  <c r="J2735" i="2"/>
  <c r="H2734" i="2"/>
  <c r="F2733" i="2"/>
  <c r="F2732" i="2"/>
  <c r="J2730" i="2"/>
  <c r="H2729" i="2"/>
  <c r="F2728" i="2"/>
  <c r="J2726" i="2"/>
  <c r="H2725" i="2"/>
  <c r="H2724" i="2"/>
  <c r="F2723" i="2"/>
  <c r="J2721" i="2"/>
  <c r="H2720" i="2"/>
  <c r="I2719" i="2"/>
  <c r="G2718" i="2"/>
  <c r="K2716" i="2"/>
  <c r="I2715" i="2"/>
  <c r="G2714" i="2"/>
  <c r="K2712" i="2"/>
  <c r="K2711" i="2"/>
  <c r="I2710" i="2"/>
  <c r="G2709" i="2"/>
  <c r="G2708" i="2"/>
  <c r="K2706" i="2"/>
  <c r="I2705" i="2"/>
  <c r="G2704" i="2"/>
  <c r="K2702" i="2"/>
  <c r="K2701" i="2"/>
  <c r="I2700" i="2"/>
  <c r="G2699" i="2"/>
  <c r="K2697" i="2"/>
  <c r="I2696" i="2"/>
  <c r="G2695" i="2"/>
  <c r="G2694" i="2"/>
  <c r="K2692" i="2"/>
  <c r="I2691" i="2"/>
  <c r="G2690" i="2"/>
  <c r="K2688" i="2"/>
  <c r="K2687" i="2"/>
  <c r="I2686" i="2"/>
  <c r="G2685" i="2"/>
  <c r="K2683" i="2"/>
  <c r="I2682" i="2"/>
  <c r="I2681" i="2"/>
  <c r="G2680" i="2"/>
  <c r="K2678" i="2"/>
  <c r="I2677" i="2"/>
  <c r="G2676" i="2"/>
  <c r="K2674" i="2"/>
  <c r="K2673" i="2"/>
  <c r="I2672" i="2"/>
  <c r="F2671" i="2"/>
  <c r="J2669" i="2"/>
  <c r="J2668" i="2"/>
  <c r="H2667" i="2"/>
  <c r="F2666" i="2"/>
  <c r="J2664" i="2"/>
  <c r="J2663" i="2"/>
  <c r="H2662" i="2"/>
  <c r="F2661" i="2"/>
  <c r="J2659" i="2"/>
  <c r="H2658" i="2"/>
  <c r="H2657" i="2"/>
  <c r="F2656" i="2"/>
  <c r="J2654" i="2"/>
  <c r="H2653" i="2"/>
  <c r="H2652" i="2"/>
  <c r="F2651" i="2"/>
  <c r="J2649" i="2"/>
  <c r="H2648" i="2"/>
  <c r="F2647" i="2"/>
  <c r="F2646" i="2"/>
  <c r="J2644" i="2"/>
  <c r="H2643" i="2"/>
  <c r="F2642" i="2"/>
  <c r="F2641" i="2"/>
  <c r="J2639" i="2"/>
  <c r="H2638" i="2"/>
  <c r="F2637" i="2"/>
  <c r="J2635" i="2"/>
  <c r="H2634" i="2"/>
  <c r="F2633" i="2"/>
  <c r="F2632" i="2"/>
  <c r="J2630" i="2"/>
  <c r="H2629" i="2"/>
  <c r="F2628" i="2"/>
  <c r="J2626" i="2"/>
  <c r="J2625" i="2"/>
  <c r="H2624" i="2"/>
  <c r="F2623" i="2"/>
  <c r="J2621" i="2"/>
  <c r="H2620" i="2"/>
  <c r="F2619" i="2"/>
  <c r="F2618" i="2"/>
  <c r="J2616" i="2"/>
  <c r="H2615" i="2"/>
  <c r="F2614" i="2"/>
  <c r="F2613" i="2"/>
  <c r="J2611" i="2"/>
  <c r="H2610" i="2"/>
  <c r="F2609" i="2"/>
  <c r="F2608" i="2"/>
  <c r="J2606" i="2"/>
  <c r="H2605" i="2"/>
  <c r="F2604" i="2"/>
  <c r="F2603" i="2"/>
  <c r="J2601" i="2"/>
  <c r="H2600" i="2"/>
  <c r="F2599" i="2"/>
  <c r="J2597" i="2"/>
  <c r="H2596" i="2"/>
  <c r="H2595" i="2"/>
  <c r="F2594" i="2"/>
  <c r="J2592" i="2"/>
  <c r="H2591" i="2"/>
  <c r="H2590" i="2"/>
  <c r="F2589" i="2"/>
  <c r="J2587" i="2"/>
  <c r="H2586" i="2"/>
  <c r="F2585" i="2"/>
  <c r="F2584" i="2"/>
  <c r="J2582" i="2"/>
  <c r="I2581" i="2"/>
  <c r="G2580" i="2"/>
  <c r="K2578" i="2"/>
  <c r="K2577" i="2"/>
  <c r="I2576" i="2"/>
  <c r="G2575" i="2"/>
  <c r="K2573" i="2"/>
  <c r="K2572" i="2"/>
  <c r="I2571" i="2"/>
  <c r="G2570" i="2"/>
  <c r="K2568" i="2"/>
  <c r="K2567" i="2"/>
  <c r="I2566" i="2"/>
  <c r="G2565" i="2"/>
  <c r="K2563" i="2"/>
  <c r="I2562" i="2"/>
  <c r="I2561" i="2"/>
  <c r="G2560" i="2"/>
  <c r="K2558" i="2"/>
  <c r="I2557" i="2"/>
  <c r="I2556" i="2"/>
  <c r="G2555" i="2"/>
  <c r="K2553" i="2"/>
  <c r="I2552" i="2"/>
  <c r="G2551" i="2"/>
  <c r="G2550" i="2"/>
  <c r="K2548" i="2"/>
  <c r="I2547" i="2"/>
  <c r="G2546" i="2"/>
  <c r="G2545" i="2"/>
  <c r="K2543" i="2"/>
  <c r="I2542" i="2"/>
  <c r="I2541" i="2"/>
  <c r="G2540" i="2"/>
  <c r="K2538" i="2"/>
  <c r="I2537" i="2"/>
  <c r="I2536" i="2"/>
  <c r="G2535" i="2"/>
  <c r="K2533" i="2"/>
  <c r="I2532" i="2"/>
  <c r="I2531" i="2"/>
  <c r="G2530" i="2"/>
  <c r="K2528" i="2"/>
  <c r="I2527" i="2"/>
  <c r="G2526" i="2"/>
  <c r="K2524" i="2"/>
  <c r="I2523" i="2"/>
  <c r="I2522" i="2"/>
  <c r="G2521" i="2"/>
  <c r="K2519" i="2"/>
  <c r="I2518" i="2"/>
  <c r="G2517" i="2"/>
  <c r="K2515" i="2"/>
  <c r="K2793" i="2"/>
  <c r="G2793" i="2"/>
  <c r="I2792" i="2"/>
  <c r="K2791" i="2"/>
  <c r="G2791" i="2"/>
  <c r="I2790" i="2"/>
  <c r="K2789" i="2"/>
  <c r="G2789" i="2"/>
  <c r="I2788" i="2"/>
  <c r="K2787" i="2"/>
  <c r="G2787" i="2"/>
  <c r="I2786" i="2"/>
  <c r="K2785" i="2"/>
  <c r="G2785" i="2"/>
  <c r="I2784" i="2"/>
  <c r="K2783" i="2"/>
  <c r="G2783" i="2"/>
  <c r="I2782" i="2"/>
  <c r="K2781" i="2"/>
  <c r="G2781" i="2"/>
  <c r="I2780" i="2"/>
  <c r="K2779" i="2"/>
  <c r="G2779" i="2"/>
  <c r="I2778" i="2"/>
  <c r="K2777" i="2"/>
  <c r="G2777" i="2"/>
  <c r="I2776" i="2"/>
  <c r="K2775" i="2"/>
  <c r="G2775" i="2"/>
  <c r="I2774" i="2"/>
  <c r="K2773" i="2"/>
  <c r="G2773" i="2"/>
  <c r="I2772" i="2"/>
  <c r="K2771" i="2"/>
  <c r="G2771" i="2"/>
  <c r="I2770" i="2"/>
  <c r="K2769" i="2"/>
  <c r="G2769" i="2"/>
  <c r="I2768" i="2"/>
  <c r="K2767" i="2"/>
  <c r="G2767" i="2"/>
  <c r="I2766" i="2"/>
  <c r="K2765" i="2"/>
  <c r="G2765" i="2"/>
  <c r="I2764" i="2"/>
  <c r="K2763" i="2"/>
  <c r="G2763" i="2"/>
  <c r="I2762" i="2"/>
  <c r="K2761" i="2"/>
  <c r="G2761" i="2"/>
  <c r="I2760" i="2"/>
  <c r="K2759" i="2"/>
  <c r="G2759" i="2"/>
  <c r="I2758" i="2"/>
  <c r="K2757" i="2"/>
  <c r="G2757" i="2"/>
  <c r="I2756" i="2"/>
  <c r="K2755" i="2"/>
  <c r="G2755" i="2"/>
  <c r="I2754" i="2"/>
  <c r="K2753" i="2"/>
  <c r="G2753" i="2"/>
  <c r="I2752" i="2"/>
  <c r="K2751" i="2"/>
  <c r="G2751" i="2"/>
  <c r="I2750" i="2"/>
  <c r="K2749" i="2"/>
  <c r="G2749" i="2"/>
  <c r="I2748" i="2"/>
  <c r="K2747" i="2"/>
  <c r="G2747" i="2"/>
  <c r="I2746" i="2"/>
  <c r="K2745" i="2"/>
  <c r="G2745" i="2"/>
  <c r="I2744" i="2"/>
  <c r="K2743" i="2"/>
  <c r="G2743" i="2"/>
  <c r="I2742" i="2"/>
  <c r="K2741" i="2"/>
  <c r="G2741" i="2"/>
  <c r="I2740" i="2"/>
  <c r="K2739" i="2"/>
  <c r="G2739" i="2"/>
  <c r="I2738" i="2"/>
  <c r="K2737" i="2"/>
  <c r="G2737" i="2"/>
  <c r="I2736" i="2"/>
  <c r="K2735" i="2"/>
  <c r="G2735" i="2"/>
  <c r="I2734" i="2"/>
  <c r="K2733" i="2"/>
  <c r="G2733" i="2"/>
  <c r="I2732" i="2"/>
  <c r="K2731" i="2"/>
  <c r="G2731" i="2"/>
  <c r="I2730" i="2"/>
  <c r="K2729" i="2"/>
  <c r="G2729" i="2"/>
  <c r="I2728" i="2"/>
  <c r="K2727" i="2"/>
  <c r="G2727" i="2"/>
  <c r="I2726" i="2"/>
  <c r="K2725" i="2"/>
  <c r="G2725" i="2"/>
  <c r="I2724" i="2"/>
  <c r="K2723" i="2"/>
  <c r="G2723" i="2"/>
  <c r="I2722" i="2"/>
  <c r="K2721" i="2"/>
  <c r="G2721" i="2"/>
  <c r="I2720" i="2"/>
  <c r="J2719" i="2"/>
  <c r="F2719" i="2"/>
  <c r="H2718" i="2"/>
  <c r="J2717" i="2"/>
  <c r="F2717" i="2"/>
  <c r="H2716" i="2"/>
  <c r="J2715" i="2"/>
  <c r="F2715" i="2"/>
  <c r="H2714" i="2"/>
  <c r="J2713" i="2"/>
  <c r="F2713" i="2"/>
  <c r="H2712" i="2"/>
  <c r="J2711" i="2"/>
  <c r="F2711" i="2"/>
  <c r="H2710" i="2"/>
  <c r="J2709" i="2"/>
  <c r="F2709" i="2"/>
  <c r="H2708" i="2"/>
  <c r="J2707" i="2"/>
  <c r="F2707" i="2"/>
  <c r="H2706" i="2"/>
  <c r="J2705" i="2"/>
  <c r="F2705" i="2"/>
  <c r="H2704" i="2"/>
  <c r="J2703" i="2"/>
  <c r="F2703" i="2"/>
  <c r="H2702" i="2"/>
  <c r="J2701" i="2"/>
  <c r="F2701" i="2"/>
  <c r="H2700" i="2"/>
  <c r="J2699" i="2"/>
  <c r="F2699" i="2"/>
  <c r="H2698" i="2"/>
  <c r="J2697" i="2"/>
  <c r="F2697" i="2"/>
  <c r="H2696" i="2"/>
  <c r="J2695" i="2"/>
  <c r="F2695" i="2"/>
  <c r="H2694" i="2"/>
  <c r="J2693" i="2"/>
  <c r="F2693" i="2"/>
  <c r="H2692" i="2"/>
  <c r="J2691" i="2"/>
  <c r="F2691" i="2"/>
  <c r="H2690" i="2"/>
  <c r="J2689" i="2"/>
  <c r="F2689" i="2"/>
  <c r="H2688" i="2"/>
  <c r="J2687" i="2"/>
  <c r="F2687" i="2"/>
  <c r="H2686" i="2"/>
  <c r="J2685" i="2"/>
  <c r="F2685" i="2"/>
  <c r="H2684" i="2"/>
  <c r="J2683" i="2"/>
  <c r="F2683" i="2"/>
  <c r="H2682" i="2"/>
  <c r="J2681" i="2"/>
  <c r="F2681" i="2"/>
  <c r="H2680" i="2"/>
  <c r="J2679" i="2"/>
  <c r="F2679" i="2"/>
  <c r="H2678" i="2"/>
  <c r="J2677" i="2"/>
  <c r="F2677" i="2"/>
  <c r="H2676" i="2"/>
  <c r="J2675" i="2"/>
  <c r="F2675" i="2"/>
  <c r="H2674" i="2"/>
  <c r="J2673" i="2"/>
  <c r="F2673" i="2"/>
  <c r="H2672" i="2"/>
  <c r="K2671" i="2"/>
  <c r="G2671" i="2"/>
  <c r="I2670" i="2"/>
  <c r="K2669" i="2"/>
  <c r="G2669" i="2"/>
  <c r="I2668" i="2"/>
  <c r="K2667" i="2"/>
  <c r="G2667" i="2"/>
  <c r="I2666" i="2"/>
  <c r="K2665" i="2"/>
  <c r="G2665" i="2"/>
  <c r="I2664" i="2"/>
  <c r="K2663" i="2"/>
  <c r="G2663" i="2"/>
  <c r="I2662" i="2"/>
  <c r="K2661" i="2"/>
  <c r="G2661" i="2"/>
  <c r="I2660" i="2"/>
  <c r="K2659" i="2"/>
  <c r="G2659" i="2"/>
  <c r="I2658" i="2"/>
  <c r="K2657" i="2"/>
  <c r="G2657" i="2"/>
  <c r="I2656" i="2"/>
  <c r="K2655" i="2"/>
  <c r="G2655" i="2"/>
  <c r="I2654" i="2"/>
  <c r="K2653" i="2"/>
  <c r="G2653" i="2"/>
  <c r="I2652" i="2"/>
  <c r="K2651" i="2"/>
  <c r="G2651" i="2"/>
  <c r="I2650" i="2"/>
  <c r="K2649" i="2"/>
  <c r="G2649" i="2"/>
  <c r="I2648" i="2"/>
  <c r="K2647" i="2"/>
  <c r="G2647" i="2"/>
  <c r="I2646" i="2"/>
  <c r="K2645" i="2"/>
  <c r="G2645" i="2"/>
  <c r="I2644" i="2"/>
  <c r="K2643" i="2"/>
  <c r="G2643" i="2"/>
  <c r="I2642" i="2"/>
  <c r="K2641" i="2"/>
  <c r="G2641" i="2"/>
  <c r="I2640" i="2"/>
  <c r="K2639" i="2"/>
  <c r="G2639" i="2"/>
  <c r="I2638" i="2"/>
  <c r="K2637" i="2"/>
  <c r="G2637" i="2"/>
  <c r="I2636" i="2"/>
  <c r="K2635" i="2"/>
  <c r="G2635" i="2"/>
  <c r="I2634" i="2"/>
  <c r="K2633" i="2"/>
  <c r="G2633" i="2"/>
  <c r="I2632" i="2"/>
  <c r="K2631" i="2"/>
  <c r="G2631" i="2"/>
  <c r="I2630" i="2"/>
  <c r="K2629" i="2"/>
  <c r="G2629" i="2"/>
  <c r="I2628" i="2"/>
  <c r="K2627" i="2"/>
  <c r="G2627" i="2"/>
  <c r="I2626" i="2"/>
  <c r="K2625" i="2"/>
  <c r="G2625" i="2"/>
  <c r="I2624" i="2"/>
  <c r="K2623" i="2"/>
  <c r="G2623" i="2"/>
  <c r="I2622" i="2"/>
  <c r="K2621" i="2"/>
  <c r="G2621" i="2"/>
  <c r="I2620" i="2"/>
  <c r="K2619" i="2"/>
  <c r="G2619" i="2"/>
  <c r="I2618" i="2"/>
  <c r="K2617" i="2"/>
  <c r="G2617" i="2"/>
  <c r="I2616" i="2"/>
  <c r="K2615" i="2"/>
  <c r="G2615" i="2"/>
  <c r="I2614" i="2"/>
  <c r="K2613" i="2"/>
  <c r="G2613" i="2"/>
  <c r="I2612" i="2"/>
  <c r="K2611" i="2"/>
  <c r="G2611" i="2"/>
  <c r="I2610" i="2"/>
  <c r="K2609" i="2"/>
  <c r="G2609" i="2"/>
  <c r="I2608" i="2"/>
  <c r="K2607" i="2"/>
  <c r="G2607" i="2"/>
  <c r="I2606" i="2"/>
  <c r="K2605" i="2"/>
  <c r="G2605" i="2"/>
  <c r="I2604" i="2"/>
  <c r="K2603" i="2"/>
  <c r="G2603" i="2"/>
  <c r="I2602" i="2"/>
  <c r="K2601" i="2"/>
  <c r="G2601" i="2"/>
  <c r="I2600" i="2"/>
  <c r="K2599" i="2"/>
  <c r="G2599" i="2"/>
  <c r="I2598" i="2"/>
  <c r="K2597" i="2"/>
  <c r="G2597" i="2"/>
  <c r="I2596" i="2"/>
  <c r="K2595" i="2"/>
  <c r="G2595" i="2"/>
  <c r="I2594" i="2"/>
  <c r="K2593" i="2"/>
  <c r="G2593" i="2"/>
  <c r="I2592" i="2"/>
  <c r="K2591" i="2"/>
  <c r="G2591" i="2"/>
  <c r="I2590" i="2"/>
  <c r="K2589" i="2"/>
  <c r="G2589" i="2"/>
  <c r="I2588" i="2"/>
  <c r="K2587" i="2"/>
  <c r="G2587" i="2"/>
  <c r="I2586" i="2"/>
  <c r="K2585" i="2"/>
  <c r="G2585" i="2"/>
  <c r="I2584" i="2"/>
  <c r="K2583" i="2"/>
  <c r="G2583" i="2"/>
  <c r="I2582" i="2"/>
  <c r="J2581" i="2"/>
  <c r="F2581" i="2"/>
  <c r="H2580" i="2"/>
  <c r="J2579" i="2"/>
  <c r="F2579" i="2"/>
  <c r="H2578" i="2"/>
  <c r="J2577" i="2"/>
  <c r="F2577" i="2"/>
  <c r="H2576" i="2"/>
  <c r="J2575" i="2"/>
  <c r="F2575" i="2"/>
  <c r="H2574" i="2"/>
  <c r="J2573" i="2"/>
  <c r="F2573" i="2"/>
  <c r="H2572" i="2"/>
  <c r="J2571" i="2"/>
  <c r="F2571" i="2"/>
  <c r="H2570" i="2"/>
  <c r="J2569" i="2"/>
  <c r="F2569" i="2"/>
  <c r="H2568" i="2"/>
  <c r="J2567" i="2"/>
  <c r="F2567" i="2"/>
  <c r="H2566" i="2"/>
  <c r="J2565" i="2"/>
  <c r="F2565" i="2"/>
  <c r="H2564" i="2"/>
  <c r="J2563" i="2"/>
  <c r="F2563" i="2"/>
  <c r="H2562" i="2"/>
  <c r="J2561" i="2"/>
  <c r="F2561" i="2"/>
  <c r="H2560" i="2"/>
  <c r="J2559" i="2"/>
  <c r="F2559" i="2"/>
  <c r="H2558" i="2"/>
  <c r="J2557" i="2"/>
  <c r="F2557" i="2"/>
  <c r="H2556" i="2"/>
  <c r="J2555" i="2"/>
  <c r="F2555" i="2"/>
  <c r="H2554" i="2"/>
  <c r="J2553" i="2"/>
  <c r="F2553" i="2"/>
  <c r="H2552" i="2"/>
  <c r="J2551" i="2"/>
  <c r="F2551" i="2"/>
  <c r="H2550" i="2"/>
  <c r="J2549" i="2"/>
  <c r="F2549" i="2"/>
  <c r="H2548" i="2"/>
  <c r="J2547" i="2"/>
  <c r="F2547" i="2"/>
  <c r="H2546" i="2"/>
  <c r="J2545" i="2"/>
  <c r="F2545" i="2"/>
  <c r="H2544" i="2"/>
  <c r="J2543" i="2"/>
  <c r="F2543" i="2"/>
  <c r="H2542" i="2"/>
  <c r="J2541" i="2"/>
  <c r="F2541" i="2"/>
  <c r="H2540" i="2"/>
  <c r="J2539" i="2"/>
  <c r="F2539" i="2"/>
  <c r="H2538" i="2"/>
  <c r="J2537" i="2"/>
  <c r="F2537" i="2"/>
  <c r="H2536" i="2"/>
  <c r="J2535" i="2"/>
  <c r="F2535" i="2"/>
  <c r="H2534" i="2"/>
  <c r="J2533" i="2"/>
  <c r="F2533" i="2"/>
  <c r="H2532" i="2"/>
  <c r="J2531" i="2"/>
  <c r="F2531" i="2"/>
  <c r="H2530" i="2"/>
  <c r="J2529" i="2"/>
  <c r="F2529" i="2"/>
  <c r="H2528" i="2"/>
  <c r="J2527" i="2"/>
  <c r="F2527" i="2"/>
  <c r="H2526" i="2"/>
  <c r="J2525" i="2"/>
  <c r="F2525" i="2"/>
  <c r="H2524" i="2"/>
  <c r="J2523" i="2"/>
  <c r="F2523" i="2"/>
  <c r="H2522" i="2"/>
  <c r="J2521" i="2"/>
  <c r="F2521" i="2"/>
  <c r="H2520" i="2"/>
  <c r="J2519" i="2"/>
  <c r="F2519" i="2"/>
  <c r="H2518" i="2"/>
  <c r="J2517" i="2"/>
  <c r="F2517" i="2"/>
  <c r="H2516" i="2"/>
  <c r="J2515" i="2"/>
  <c r="F2515" i="2"/>
  <c r="H2514" i="2"/>
  <c r="J2513" i="2"/>
  <c r="F2513" i="2"/>
  <c r="H2512" i="2"/>
  <c r="J2511" i="2"/>
  <c r="F2511" i="2"/>
  <c r="H2510" i="2"/>
  <c r="J2509" i="2"/>
  <c r="F2509" i="2"/>
  <c r="H2508" i="2"/>
  <c r="J2507" i="2"/>
  <c r="F2507" i="2"/>
  <c r="H2506" i="2"/>
  <c r="J2505" i="2"/>
  <c r="F2505" i="2"/>
  <c r="H2504" i="2"/>
  <c r="J2503" i="2"/>
  <c r="F2503" i="2"/>
  <c r="H2502" i="2"/>
  <c r="K2501" i="2"/>
  <c r="G2501" i="2"/>
  <c r="I2500" i="2"/>
  <c r="K2499" i="2"/>
  <c r="G2499" i="2"/>
  <c r="I2498" i="2"/>
  <c r="K2497" i="2"/>
  <c r="G2497" i="2"/>
  <c r="I2496" i="2"/>
  <c r="K2495" i="2"/>
  <c r="G2495" i="2"/>
  <c r="I2494" i="2"/>
  <c r="K2493" i="2"/>
  <c r="G2493" i="2"/>
  <c r="I2492" i="2"/>
  <c r="K2491" i="2"/>
  <c r="G2491" i="2"/>
  <c r="I2490" i="2"/>
  <c r="K2489" i="2"/>
  <c r="G2489" i="2"/>
  <c r="I2488" i="2"/>
  <c r="K2487" i="2"/>
  <c r="G2487" i="2"/>
  <c r="I2486" i="2"/>
  <c r="K2485" i="2"/>
  <c r="G2485" i="2"/>
  <c r="I2484" i="2"/>
  <c r="K2483" i="2"/>
  <c r="G2483" i="2"/>
  <c r="I2482" i="2"/>
  <c r="K2481" i="2"/>
  <c r="G2481" i="2"/>
  <c r="I2480" i="2"/>
  <c r="K2479" i="2"/>
  <c r="G2479" i="2"/>
  <c r="I2478" i="2"/>
  <c r="K2477" i="2"/>
  <c r="G2477" i="2"/>
  <c r="I2476" i="2"/>
  <c r="K2475" i="2"/>
  <c r="G2475" i="2"/>
  <c r="I2474" i="2"/>
  <c r="K2473" i="2"/>
  <c r="G2473" i="2"/>
  <c r="I2472" i="2"/>
  <c r="K2471" i="2"/>
  <c r="G2471" i="2"/>
  <c r="I2470" i="2"/>
  <c r="K2469" i="2"/>
  <c r="G2469" i="2"/>
  <c r="I2468" i="2"/>
  <c r="K2467" i="2"/>
  <c r="G2467" i="2"/>
  <c r="I2466" i="2"/>
  <c r="K2465" i="2"/>
  <c r="G2465" i="2"/>
  <c r="I2464" i="2"/>
  <c r="K2463" i="2"/>
  <c r="G2463" i="2"/>
  <c r="I2462" i="2"/>
  <c r="K2461" i="2"/>
  <c r="G2461" i="2"/>
  <c r="I2460" i="2"/>
  <c r="K2459" i="2"/>
  <c r="G2459" i="2"/>
  <c r="I2458" i="2"/>
  <c r="K2457" i="2"/>
  <c r="G2457" i="2"/>
  <c r="I2456" i="2"/>
  <c r="K2455" i="2"/>
  <c r="G2455" i="2"/>
  <c r="I2454" i="2"/>
  <c r="J2453" i="2"/>
  <c r="F2453" i="2"/>
  <c r="H2452" i="2"/>
  <c r="J2451" i="2"/>
  <c r="F2451" i="2"/>
  <c r="H2450" i="2"/>
  <c r="J2449" i="2"/>
  <c r="F2449" i="2"/>
  <c r="H2448" i="2"/>
  <c r="J2447" i="2"/>
  <c r="F2447" i="2"/>
  <c r="H2446" i="2"/>
  <c r="J2445" i="2"/>
  <c r="F2445" i="2"/>
  <c r="H2444" i="2"/>
  <c r="J2443" i="2"/>
  <c r="F2443" i="2"/>
  <c r="H2442" i="2"/>
  <c r="J2441" i="2"/>
  <c r="F2441" i="2"/>
  <c r="H2440" i="2"/>
  <c r="J2439" i="2"/>
  <c r="F2439" i="2"/>
  <c r="H2438" i="2"/>
  <c r="J2437" i="2"/>
  <c r="F2437" i="2"/>
  <c r="H2436" i="2"/>
  <c r="J2435" i="2"/>
  <c r="F2435" i="2"/>
  <c r="H2434" i="2"/>
  <c r="J2433" i="2"/>
  <c r="F2433" i="2"/>
  <c r="H2432" i="2"/>
  <c r="J2431" i="2"/>
  <c r="F2431" i="2"/>
  <c r="H2430" i="2"/>
  <c r="J2429" i="2"/>
  <c r="F2429" i="2"/>
  <c r="H2428" i="2"/>
  <c r="J2427" i="2"/>
  <c r="F2427" i="2"/>
  <c r="H2426" i="2"/>
  <c r="J2425" i="2"/>
  <c r="F2425" i="2"/>
  <c r="H2424" i="2"/>
  <c r="J2423" i="2"/>
  <c r="F2423" i="2"/>
  <c r="H2422" i="2"/>
  <c r="J2421" i="2"/>
  <c r="F2421" i="2"/>
  <c r="H2420" i="2"/>
  <c r="J2419" i="2"/>
  <c r="F2419" i="2"/>
  <c r="H2418" i="2"/>
  <c r="J2417" i="2"/>
  <c r="F2417" i="2"/>
  <c r="H2416" i="2"/>
  <c r="J2415" i="2"/>
  <c r="F2415" i="2"/>
  <c r="H2414" i="2"/>
  <c r="J2413" i="2"/>
  <c r="F2413" i="2"/>
  <c r="H2412" i="2"/>
  <c r="J2411" i="2"/>
  <c r="F2411" i="2"/>
  <c r="H2410" i="2"/>
  <c r="J2409" i="2"/>
  <c r="F2409" i="2"/>
  <c r="H2408" i="2"/>
  <c r="J2407" i="2"/>
  <c r="F2407" i="2"/>
  <c r="H2406" i="2"/>
  <c r="J2405" i="2"/>
  <c r="F2405" i="2"/>
  <c r="H2404" i="2"/>
  <c r="J2403" i="2"/>
  <c r="F2403" i="2"/>
  <c r="H2402" i="2"/>
  <c r="J2401" i="2"/>
  <c r="F2401" i="2"/>
  <c r="H2400" i="2"/>
  <c r="J2399" i="2"/>
  <c r="F2399" i="2"/>
  <c r="H2398" i="2"/>
  <c r="J2397" i="2"/>
  <c r="F2397" i="2"/>
  <c r="H2396" i="2"/>
  <c r="J2395" i="2"/>
  <c r="F2395" i="2"/>
  <c r="H2394" i="2"/>
  <c r="J2393" i="2"/>
  <c r="F2393" i="2"/>
  <c r="H2392" i="2"/>
  <c r="J2391" i="2"/>
  <c r="F2391" i="2"/>
  <c r="H2390" i="2"/>
  <c r="K2389" i="2"/>
  <c r="G2389" i="2"/>
  <c r="I2388" i="2"/>
  <c r="K2387" i="2"/>
  <c r="G2387" i="2"/>
  <c r="I2386" i="2"/>
  <c r="K2385" i="2"/>
  <c r="G2385" i="2"/>
  <c r="I2384" i="2"/>
  <c r="K2383" i="2"/>
  <c r="G2383" i="2"/>
  <c r="I2382" i="2"/>
  <c r="K2381" i="2"/>
  <c r="G2381" i="2"/>
  <c r="I2380" i="2"/>
  <c r="K2379" i="2"/>
  <c r="G2379" i="2"/>
  <c r="I2378" i="2"/>
  <c r="K2377" i="2"/>
  <c r="G2377" i="2"/>
  <c r="I2376" i="2"/>
  <c r="K2375" i="2"/>
  <c r="G2375" i="2"/>
  <c r="I2374" i="2"/>
  <c r="K2373" i="2"/>
  <c r="G2373" i="2"/>
  <c r="I2372" i="2"/>
  <c r="K2371" i="2"/>
  <c r="G2371" i="2"/>
  <c r="I2370" i="2"/>
  <c r="K2369" i="2"/>
  <c r="G2369" i="2"/>
  <c r="I2368" i="2"/>
  <c r="K2367" i="2"/>
  <c r="G2367" i="2"/>
  <c r="I2366" i="2"/>
  <c r="K2365" i="2"/>
  <c r="G2365" i="2"/>
  <c r="I2364" i="2"/>
  <c r="K2363" i="2"/>
  <c r="G2363" i="2"/>
  <c r="I2362" i="2"/>
  <c r="K2361" i="2"/>
  <c r="G2361" i="2"/>
  <c r="I2360" i="2"/>
  <c r="K2359" i="2"/>
  <c r="G2359" i="2"/>
  <c r="I2358" i="2"/>
  <c r="K2357" i="2"/>
  <c r="G2357" i="2"/>
  <c r="I2356" i="2"/>
  <c r="K2355" i="2"/>
  <c r="G2355" i="2"/>
  <c r="I2354" i="2"/>
  <c r="K2353" i="2"/>
  <c r="G2353" i="2"/>
  <c r="I2352" i="2"/>
  <c r="K2351" i="2"/>
  <c r="G2351" i="2"/>
  <c r="I2350" i="2"/>
  <c r="K2349" i="2"/>
  <c r="G2349" i="2"/>
  <c r="I2348" i="2"/>
  <c r="K2347" i="2"/>
  <c r="G2347" i="2"/>
  <c r="I2346" i="2"/>
  <c r="K2345" i="2"/>
  <c r="G2345" i="2"/>
  <c r="I2344" i="2"/>
  <c r="K2343" i="2"/>
  <c r="G2343" i="2"/>
  <c r="I2342" i="2"/>
  <c r="K2341" i="2"/>
  <c r="G2341" i="2"/>
  <c r="I2340" i="2"/>
  <c r="K2339" i="2"/>
  <c r="G2339" i="2"/>
  <c r="I2338" i="2"/>
  <c r="K2337" i="2"/>
  <c r="G2337" i="2"/>
  <c r="I2336" i="2"/>
  <c r="K2335" i="2"/>
  <c r="G2335" i="2"/>
  <c r="I2334" i="2"/>
  <c r="K2333" i="2"/>
  <c r="G2333" i="2"/>
  <c r="I2332" i="2"/>
  <c r="K2331" i="2"/>
  <c r="G2331" i="2"/>
  <c r="I2330" i="2"/>
  <c r="K2329" i="2"/>
  <c r="G2329" i="2"/>
  <c r="I2328" i="2"/>
  <c r="K2327" i="2"/>
  <c r="G2327" i="2"/>
  <c r="I2326" i="2"/>
  <c r="J2325" i="2"/>
  <c r="F2325" i="2"/>
  <c r="H2324" i="2"/>
  <c r="J2323" i="2"/>
  <c r="F2323" i="2"/>
  <c r="H2322" i="2"/>
  <c r="J2321" i="2"/>
  <c r="F2321" i="2"/>
  <c r="H2320" i="2"/>
  <c r="J2319" i="2"/>
  <c r="F2319" i="2"/>
  <c r="H2318" i="2"/>
  <c r="J2317" i="2"/>
  <c r="F2317" i="2"/>
  <c r="H2316" i="2"/>
  <c r="J2315" i="2"/>
  <c r="F2315" i="2"/>
  <c r="H2314" i="2"/>
  <c r="J2313" i="2"/>
  <c r="F2313" i="2"/>
  <c r="H2312" i="2"/>
  <c r="J2311" i="2"/>
  <c r="F2311" i="2"/>
  <c r="H2310" i="2"/>
  <c r="J2309" i="2"/>
  <c r="F2309" i="2"/>
  <c r="H2308" i="2"/>
  <c r="J2307" i="2"/>
  <c r="F2307" i="2"/>
  <c r="H2306" i="2"/>
  <c r="J2305" i="2"/>
  <c r="F2305" i="2"/>
  <c r="H2304" i="2"/>
  <c r="J2303" i="2"/>
  <c r="F2303" i="2"/>
  <c r="H2302" i="2"/>
  <c r="J2301" i="2"/>
  <c r="F2301" i="2"/>
  <c r="H2300" i="2"/>
  <c r="J2299" i="2"/>
  <c r="F2299" i="2"/>
  <c r="H2298" i="2"/>
  <c r="J2297" i="2"/>
  <c r="F2297" i="2"/>
  <c r="H2296" i="2"/>
  <c r="J2295" i="2"/>
  <c r="F2295" i="2"/>
  <c r="H2294" i="2"/>
  <c r="J2293" i="2"/>
  <c r="F2293" i="2"/>
  <c r="H2292" i="2"/>
  <c r="J2291" i="2"/>
  <c r="F2291" i="2"/>
  <c r="H2290" i="2"/>
  <c r="J2289" i="2"/>
  <c r="F2289" i="2"/>
  <c r="H2288" i="2"/>
  <c r="J2287" i="2"/>
  <c r="F2287" i="2"/>
  <c r="H2286" i="2"/>
  <c r="J2285" i="2"/>
  <c r="F2285" i="2"/>
  <c r="H2284" i="2"/>
  <c r="J2283" i="2"/>
  <c r="F2283" i="2"/>
  <c r="H2282" i="2"/>
  <c r="J2281" i="2"/>
  <c r="F2281" i="2"/>
  <c r="H2280" i="2"/>
  <c r="J2279" i="2"/>
  <c r="F2279" i="2"/>
  <c r="H2278" i="2"/>
  <c r="J2277" i="2"/>
  <c r="F2277" i="2"/>
  <c r="H2276" i="2"/>
  <c r="J2275" i="2"/>
  <c r="F2275" i="2"/>
  <c r="H2274" i="2"/>
  <c r="J2273" i="2"/>
  <c r="F2273" i="2"/>
  <c r="H2272" i="2"/>
  <c r="J2271" i="2"/>
  <c r="F2271" i="2"/>
  <c r="H2270" i="2"/>
  <c r="J2269" i="2"/>
  <c r="F2269" i="2"/>
  <c r="H2268" i="2"/>
  <c r="J2267" i="2"/>
  <c r="F2267" i="2"/>
  <c r="H2266" i="2"/>
  <c r="J2265" i="2"/>
  <c r="F2265" i="2"/>
  <c r="H2264" i="2"/>
  <c r="J2263" i="2"/>
  <c r="F2263" i="2"/>
  <c r="H2262" i="2"/>
  <c r="K2261" i="2"/>
  <c r="G2261" i="2"/>
  <c r="I2260" i="2"/>
  <c r="K2259" i="2"/>
  <c r="G2259" i="2"/>
  <c r="I2258" i="2"/>
  <c r="K2257" i="2"/>
  <c r="G2257" i="2"/>
  <c r="I2256" i="2"/>
  <c r="K2255" i="2"/>
  <c r="G2255" i="2"/>
  <c r="I2254" i="2"/>
  <c r="K2253" i="2"/>
  <c r="G2253" i="2"/>
  <c r="I2252" i="2"/>
  <c r="K2251" i="2"/>
  <c r="G2251" i="2"/>
  <c r="I2250" i="2"/>
  <c r="K2249" i="2"/>
  <c r="G2249" i="2"/>
  <c r="I2248" i="2"/>
  <c r="K2247" i="2"/>
  <c r="G2247" i="2"/>
  <c r="I2246" i="2"/>
  <c r="K2245" i="2"/>
  <c r="G2245" i="2"/>
  <c r="I2244" i="2"/>
  <c r="K2243" i="2"/>
  <c r="G2243" i="2"/>
  <c r="I2242" i="2"/>
  <c r="K2241" i="2"/>
  <c r="G2241" i="2"/>
  <c r="I2240" i="2"/>
  <c r="K2239" i="2"/>
  <c r="G2239" i="2"/>
  <c r="I2238" i="2"/>
  <c r="K2237" i="2"/>
  <c r="G2237" i="2"/>
  <c r="I2236" i="2"/>
  <c r="K2235" i="2"/>
  <c r="G2235" i="2"/>
  <c r="I2234" i="2"/>
  <c r="K2233" i="2"/>
  <c r="G2233" i="2"/>
  <c r="I2232" i="2"/>
  <c r="K2231" i="2"/>
  <c r="G2231" i="2"/>
  <c r="I2230" i="2"/>
  <c r="K2229" i="2"/>
  <c r="G2229" i="2"/>
  <c r="I2228" i="2"/>
  <c r="K2227" i="2"/>
  <c r="K2226" i="2"/>
  <c r="I2225" i="2"/>
  <c r="G2224" i="2"/>
  <c r="K2222" i="2"/>
  <c r="I2221" i="2"/>
  <c r="G2220" i="2"/>
  <c r="K2218" i="2"/>
  <c r="I2217" i="2"/>
  <c r="G2216" i="2"/>
  <c r="K2214" i="2"/>
  <c r="I2213" i="2"/>
  <c r="G2212" i="2"/>
  <c r="K2210" i="2"/>
  <c r="I2209" i="2"/>
  <c r="G2208" i="2"/>
  <c r="K2206" i="2"/>
  <c r="I2205" i="2"/>
  <c r="G2204" i="2"/>
  <c r="K2202" i="2"/>
  <c r="I2201" i="2"/>
  <c r="G2200" i="2"/>
  <c r="K2198" i="2"/>
  <c r="I2197" i="2"/>
  <c r="G2196" i="2"/>
  <c r="K2194" i="2"/>
  <c r="I2193" i="2"/>
  <c r="G2192" i="2"/>
  <c r="K2190" i="2"/>
  <c r="J2189" i="2"/>
  <c r="H2188" i="2"/>
  <c r="F2187" i="2"/>
  <c r="J2185" i="2"/>
  <c r="H2184" i="2"/>
  <c r="F2183" i="2"/>
  <c r="J2181" i="2"/>
  <c r="H2180" i="2"/>
  <c r="F2179" i="2"/>
  <c r="J2177" i="2"/>
  <c r="H2176" i="2"/>
  <c r="F2175" i="2"/>
  <c r="J2173" i="2"/>
  <c r="H2172" i="2"/>
  <c r="F2171" i="2"/>
  <c r="J2169" i="2"/>
  <c r="H2168" i="2"/>
  <c r="F2167" i="2"/>
  <c r="J2165" i="2"/>
  <c r="H2164" i="2"/>
  <c r="F2163" i="2"/>
  <c r="J2161" i="2"/>
  <c r="H2160" i="2"/>
  <c r="F2159" i="2"/>
  <c r="J2157" i="2"/>
  <c r="H2156" i="2"/>
  <c r="F2155" i="2"/>
  <c r="J2153" i="2"/>
  <c r="H2152" i="2"/>
  <c r="F2151" i="2"/>
  <c r="J2149" i="2"/>
  <c r="H2148" i="2"/>
  <c r="F2147" i="2"/>
  <c r="J2145" i="2"/>
  <c r="H2144" i="2"/>
  <c r="F2143" i="2"/>
  <c r="J2141" i="2"/>
  <c r="H2140" i="2"/>
  <c r="F2139" i="2"/>
  <c r="J2137" i="2"/>
  <c r="H2136" i="2"/>
  <c r="F2135" i="2"/>
  <c r="J2133" i="2"/>
  <c r="H2132" i="2"/>
  <c r="F2131" i="2"/>
  <c r="J2129" i="2"/>
  <c r="H2128" i="2"/>
  <c r="F2127" i="2"/>
  <c r="K2125" i="2"/>
  <c r="I2124" i="2"/>
  <c r="G2123" i="2"/>
  <c r="K2121" i="2"/>
  <c r="I2120" i="2"/>
  <c r="G2119" i="2"/>
  <c r="K2117" i="2"/>
  <c r="I2116" i="2"/>
  <c r="G2115" i="2"/>
  <c r="K2113" i="2"/>
  <c r="I2112" i="2"/>
  <c r="G2111" i="2"/>
  <c r="K2109" i="2"/>
  <c r="I2108" i="2"/>
  <c r="G2107" i="2"/>
  <c r="K2105" i="2"/>
  <c r="I2104" i="2"/>
  <c r="G2103" i="2"/>
  <c r="K2101" i="2"/>
  <c r="J2100" i="2"/>
  <c r="H2099" i="2"/>
  <c r="F2098" i="2"/>
  <c r="J2096" i="2"/>
  <c r="H2095" i="2"/>
  <c r="F2094" i="2"/>
  <c r="J2092" i="2"/>
  <c r="H2091" i="2"/>
  <c r="F2090" i="2"/>
  <c r="J2088" i="2"/>
  <c r="H2087" i="2"/>
  <c r="F2086" i="2"/>
  <c r="J2084" i="2"/>
  <c r="H2083" i="2"/>
  <c r="F2082" i="2"/>
  <c r="J2080" i="2"/>
  <c r="H2079" i="2"/>
  <c r="F2078" i="2"/>
  <c r="H2077" i="2"/>
  <c r="J2076" i="2"/>
  <c r="F2076" i="2"/>
  <c r="H2075" i="2"/>
  <c r="J2074" i="2"/>
  <c r="F2074" i="2"/>
  <c r="H2073" i="2"/>
  <c r="J2072" i="2"/>
  <c r="F2072" i="2"/>
  <c r="H2071" i="2"/>
  <c r="J2070" i="2"/>
  <c r="F2070" i="2"/>
  <c r="H2069" i="2"/>
  <c r="J2068" i="2"/>
  <c r="F2068" i="2"/>
  <c r="H2067" i="2"/>
  <c r="J2066" i="2"/>
  <c r="F2066" i="2"/>
  <c r="H2065" i="2"/>
  <c r="J2064" i="2"/>
  <c r="F2064" i="2"/>
  <c r="H2063" i="2"/>
  <c r="J2062" i="2"/>
  <c r="F2062" i="2"/>
  <c r="H2061" i="2"/>
  <c r="J2060" i="2"/>
  <c r="F2060" i="2"/>
  <c r="H2059" i="2"/>
  <c r="J2058" i="2"/>
  <c r="F2058" i="2"/>
  <c r="H2057" i="2"/>
  <c r="J2056" i="2"/>
  <c r="F2056" i="2"/>
  <c r="H2055" i="2"/>
  <c r="J2054" i="2"/>
  <c r="F2054" i="2"/>
  <c r="H2053" i="2"/>
  <c r="J2052" i="2"/>
  <c r="F2052" i="2"/>
  <c r="H2051" i="2"/>
  <c r="J2050" i="2"/>
  <c r="F2050" i="2"/>
  <c r="H2049" i="2"/>
  <c r="J2048" i="2"/>
  <c r="F2048" i="2"/>
  <c r="H2047" i="2"/>
  <c r="J2046" i="2"/>
  <c r="F2046" i="2"/>
  <c r="H2045" i="2"/>
  <c r="J2044" i="2"/>
  <c r="F2044" i="2"/>
  <c r="H2043" i="2"/>
  <c r="J2042" i="2"/>
  <c r="F2042" i="2"/>
  <c r="H2041" i="2"/>
  <c r="J2040" i="2"/>
  <c r="F2040" i="2"/>
  <c r="H2039" i="2"/>
  <c r="J2038" i="2"/>
  <c r="F2038" i="2"/>
  <c r="H2037" i="2"/>
  <c r="K2036" i="2"/>
  <c r="G2036" i="2"/>
  <c r="I2035" i="2"/>
  <c r="K2034" i="2"/>
  <c r="G2034" i="2"/>
  <c r="I2033" i="2"/>
  <c r="K2032" i="2"/>
  <c r="G2032" i="2"/>
  <c r="I2031" i="2"/>
  <c r="K2030" i="2"/>
  <c r="G2030" i="2"/>
  <c r="I2029" i="2"/>
  <c r="K2028" i="2"/>
  <c r="G2028" i="2"/>
  <c r="I2027" i="2"/>
  <c r="K2026" i="2"/>
  <c r="G2026" i="2"/>
  <c r="I2025" i="2"/>
  <c r="K2024" i="2"/>
  <c r="G2024" i="2"/>
  <c r="I2023" i="2"/>
  <c r="K2022" i="2"/>
  <c r="G2022" i="2"/>
  <c r="I2021" i="2"/>
  <c r="K2020" i="2"/>
  <c r="G2020" i="2"/>
  <c r="I2019" i="2"/>
  <c r="K2018" i="2"/>
  <c r="G2018" i="2"/>
  <c r="I2017" i="2"/>
  <c r="K2016" i="2"/>
  <c r="G2016" i="2"/>
  <c r="I2015" i="2"/>
  <c r="K2014" i="2"/>
  <c r="G2014" i="2"/>
  <c r="I2013" i="2"/>
  <c r="K2012" i="2"/>
  <c r="G2012" i="2"/>
  <c r="I2011" i="2"/>
  <c r="K2010" i="2"/>
  <c r="G2010" i="2"/>
  <c r="I2009" i="2"/>
  <c r="K2008" i="2"/>
  <c r="G2008" i="2"/>
  <c r="I2007" i="2"/>
  <c r="K2006" i="2"/>
  <c r="G2006" i="2"/>
  <c r="I2005" i="2"/>
  <c r="K2004" i="2"/>
  <c r="G2004" i="2"/>
  <c r="I2003" i="2"/>
  <c r="K2002" i="2"/>
  <c r="G2002" i="2"/>
  <c r="I2001" i="2"/>
  <c r="K2000" i="2"/>
  <c r="G2000" i="2"/>
  <c r="I1999" i="2"/>
  <c r="K1998" i="2"/>
  <c r="G1998" i="2"/>
  <c r="I1997" i="2"/>
  <c r="K1996" i="2"/>
  <c r="G1996" i="2"/>
  <c r="I1995" i="2"/>
  <c r="K1994" i="2"/>
  <c r="G1994" i="2"/>
  <c r="I1993" i="2"/>
  <c r="K1992" i="2"/>
  <c r="G1992" i="2"/>
  <c r="I1991" i="2"/>
  <c r="K1990" i="2"/>
  <c r="G1990" i="2"/>
  <c r="I1989" i="2"/>
  <c r="K1988" i="2"/>
  <c r="G1988" i="2"/>
  <c r="I1987" i="2"/>
  <c r="K1986" i="2"/>
  <c r="G1986" i="2"/>
  <c r="I1985" i="2"/>
  <c r="K1984" i="2"/>
  <c r="G1984" i="2"/>
  <c r="I1983" i="2"/>
  <c r="K1982" i="2"/>
  <c r="G1982" i="2"/>
  <c r="I1981" i="2"/>
  <c r="K1980" i="2"/>
  <c r="G1980" i="2"/>
  <c r="I1979" i="2"/>
  <c r="K1978" i="2"/>
  <c r="G1978" i="2"/>
  <c r="I1977" i="2"/>
  <c r="K1976" i="2"/>
  <c r="G1976" i="2"/>
  <c r="I1975" i="2"/>
  <c r="K1974" i="2"/>
  <c r="G1974" i="2"/>
  <c r="I1973" i="2"/>
  <c r="K1972" i="2"/>
  <c r="G1972" i="2"/>
  <c r="I1971" i="2"/>
  <c r="K1970" i="2"/>
  <c r="G1970" i="2"/>
  <c r="I1969" i="2"/>
  <c r="K1968" i="2"/>
  <c r="G1968" i="2"/>
  <c r="I1967" i="2"/>
  <c r="K1966" i="2"/>
  <c r="G1966" i="2"/>
  <c r="I1965" i="2"/>
  <c r="K1964" i="2"/>
  <c r="G1964" i="2"/>
  <c r="I1963" i="2"/>
  <c r="K1962" i="2"/>
  <c r="G1962" i="2"/>
  <c r="I1961" i="2"/>
  <c r="K1960" i="2"/>
  <c r="G1960" i="2"/>
  <c r="I1959" i="2"/>
  <c r="K1958" i="2"/>
  <c r="G1958" i="2"/>
  <c r="I1957" i="2"/>
  <c r="K1956" i="2"/>
  <c r="G1956" i="2"/>
  <c r="I1955" i="2"/>
  <c r="K1954" i="2"/>
  <c r="G1954" i="2"/>
  <c r="I1953" i="2"/>
  <c r="K1952" i="2"/>
  <c r="G1952" i="2"/>
  <c r="I1951" i="2"/>
  <c r="K1950" i="2"/>
  <c r="G1950" i="2"/>
  <c r="I1949" i="2"/>
  <c r="K1948" i="2"/>
  <c r="G1948" i="2"/>
  <c r="I1947" i="2"/>
  <c r="K1946" i="2"/>
  <c r="G1946" i="2"/>
  <c r="I1945" i="2"/>
  <c r="K1944" i="2"/>
  <c r="G1944" i="2"/>
  <c r="I1943" i="2"/>
  <c r="K1942" i="2"/>
  <c r="G1942" i="2"/>
  <c r="I1941" i="2"/>
  <c r="K1940" i="2"/>
  <c r="G1940" i="2"/>
  <c r="I1939" i="2"/>
  <c r="K1938" i="2"/>
  <c r="G1938" i="2"/>
  <c r="I1937" i="2"/>
  <c r="K1936" i="2"/>
  <c r="G1936" i="2"/>
  <c r="I1935" i="2"/>
  <c r="K1934" i="2"/>
  <c r="G1934" i="2"/>
  <c r="I1933" i="2"/>
  <c r="K1932" i="2"/>
  <c r="G1932" i="2"/>
  <c r="I1931" i="2"/>
  <c r="K1930" i="2"/>
  <c r="G1930" i="2"/>
  <c r="I1929" i="2"/>
  <c r="K1928" i="2"/>
  <c r="G1928" i="2"/>
  <c r="I1927" i="2"/>
  <c r="K1926" i="2"/>
  <c r="G1926" i="2"/>
  <c r="I1925" i="2"/>
  <c r="K1924" i="2"/>
  <c r="G1924" i="2"/>
  <c r="I1923" i="2"/>
  <c r="K1922" i="2"/>
  <c r="G1922" i="2"/>
  <c r="I1921" i="2"/>
  <c r="K1920" i="2"/>
  <c r="G1920" i="2"/>
  <c r="I1919" i="2"/>
  <c r="K1918" i="2"/>
  <c r="G1918" i="2"/>
  <c r="I1917" i="2"/>
  <c r="K1916" i="2"/>
  <c r="G1916" i="2"/>
  <c r="I1915" i="2"/>
  <c r="K1914" i="2"/>
  <c r="G1914" i="2"/>
  <c r="I1913" i="2"/>
  <c r="K1912" i="2"/>
  <c r="G1912" i="2"/>
  <c r="I1911" i="2"/>
  <c r="K1910" i="2"/>
  <c r="G1910" i="2"/>
  <c r="I1909" i="2"/>
  <c r="K1908" i="2"/>
  <c r="G1908" i="2"/>
  <c r="I1907" i="2"/>
  <c r="K1906" i="2"/>
  <c r="G1906" i="2"/>
  <c r="I1905" i="2"/>
  <c r="K1904" i="2"/>
  <c r="G1904" i="2"/>
  <c r="I1903" i="2"/>
  <c r="K1902" i="2"/>
  <c r="G1902" i="2"/>
  <c r="I1901" i="2"/>
  <c r="K1900" i="2"/>
  <c r="G1900" i="2"/>
  <c r="I1899" i="2"/>
  <c r="K1898" i="2"/>
  <c r="G1898" i="2"/>
  <c r="I1897" i="2"/>
  <c r="K1896" i="2"/>
  <c r="G1896" i="2"/>
  <c r="I1895" i="2"/>
  <c r="K1894" i="2"/>
  <c r="G1894" i="2"/>
  <c r="I1893" i="2"/>
  <c r="K1892" i="2"/>
  <c r="G1892" i="2"/>
  <c r="I1891" i="2"/>
  <c r="K1890" i="2"/>
  <c r="G1890" i="2"/>
  <c r="I1889" i="2"/>
  <c r="K1888" i="2"/>
  <c r="G1888" i="2"/>
  <c r="I1887" i="2"/>
  <c r="K1886" i="2"/>
  <c r="G1886" i="2"/>
  <c r="I1885" i="2"/>
  <c r="K1884" i="2"/>
  <c r="G1884" i="2"/>
  <c r="I1883" i="2"/>
  <c r="K1882" i="2"/>
  <c r="G1882" i="2"/>
  <c r="I1881" i="2"/>
  <c r="K1880" i="2"/>
  <c r="G1880" i="2"/>
  <c r="I1879" i="2"/>
  <c r="K1878" i="2"/>
  <c r="G1878" i="2"/>
  <c r="I1877" i="2"/>
  <c r="K1876" i="2"/>
  <c r="G1876" i="2"/>
  <c r="I1875" i="2"/>
  <c r="K1874" i="2"/>
  <c r="G1874" i="2"/>
  <c r="I1873" i="2"/>
  <c r="K1872" i="2"/>
  <c r="G1872" i="2"/>
  <c r="I1871" i="2"/>
  <c r="K1870" i="2"/>
  <c r="G1870" i="2"/>
  <c r="I1869" i="2"/>
  <c r="K1868" i="2"/>
  <c r="G1868" i="2"/>
  <c r="I1867" i="2"/>
  <c r="K1866" i="2"/>
  <c r="G1866" i="2"/>
  <c r="I1865" i="2"/>
  <c r="K1864" i="2"/>
  <c r="G1864" i="2"/>
  <c r="I1863" i="2"/>
  <c r="K1862" i="2"/>
  <c r="G1862" i="2"/>
  <c r="I1861" i="2"/>
  <c r="K1860" i="2"/>
  <c r="G1860" i="2"/>
  <c r="I1859" i="2"/>
  <c r="K1858" i="2"/>
  <c r="G1858" i="2"/>
  <c r="I1857" i="2"/>
  <c r="K1856" i="2"/>
  <c r="G1856" i="2"/>
  <c r="I1855" i="2"/>
  <c r="K1854" i="2"/>
  <c r="G1854" i="2"/>
  <c r="I1853" i="2"/>
  <c r="K1852" i="2"/>
  <c r="G1852" i="2"/>
  <c r="I1851" i="2"/>
  <c r="K1850" i="2"/>
  <c r="G1850" i="2"/>
  <c r="I1849" i="2"/>
  <c r="K1848" i="2"/>
  <c r="G1848" i="2"/>
  <c r="I1847" i="2"/>
  <c r="K1846" i="2"/>
  <c r="G1846" i="2"/>
  <c r="I1845" i="2"/>
  <c r="K1844" i="2"/>
  <c r="G1844" i="2"/>
  <c r="I1843" i="2"/>
  <c r="K1842" i="2"/>
  <c r="G1842" i="2"/>
  <c r="I1841" i="2"/>
  <c r="K1840" i="2"/>
  <c r="G1840" i="2"/>
  <c r="I1839" i="2"/>
  <c r="K1838" i="2"/>
  <c r="G1838" i="2"/>
  <c r="I1837" i="2"/>
  <c r="K1836" i="2"/>
  <c r="G1836" i="2"/>
  <c r="I1835" i="2"/>
  <c r="K1834" i="2"/>
  <c r="G1834" i="2"/>
  <c r="H1833" i="2"/>
  <c r="J1832" i="2"/>
  <c r="F1832" i="2"/>
  <c r="H1831" i="2"/>
  <c r="J1830" i="2"/>
  <c r="F1830" i="2"/>
  <c r="H1829" i="2"/>
  <c r="J1828" i="2"/>
  <c r="F1828" i="2"/>
  <c r="H1827" i="2"/>
  <c r="J1826" i="2"/>
  <c r="F1826" i="2"/>
  <c r="H1825" i="2"/>
  <c r="J1824" i="2"/>
  <c r="F1824" i="2"/>
  <c r="H1823" i="2"/>
  <c r="J1822" i="2"/>
  <c r="F1822" i="2"/>
  <c r="H1821" i="2"/>
  <c r="J1820" i="2"/>
  <c r="F1820" i="2"/>
  <c r="H1819" i="2"/>
  <c r="J1818" i="2"/>
  <c r="F1818" i="2"/>
  <c r="H1817" i="2"/>
  <c r="J1816" i="2"/>
  <c r="F1816" i="2"/>
  <c r="H1815" i="2"/>
  <c r="J1814" i="2"/>
  <c r="F1814" i="2"/>
  <c r="H1813" i="2"/>
  <c r="J1812" i="2"/>
  <c r="F1812" i="2"/>
  <c r="H1811" i="2"/>
  <c r="J1810" i="2"/>
  <c r="F1810" i="2"/>
  <c r="H1809" i="2"/>
  <c r="J1808" i="2"/>
  <c r="F1808" i="2"/>
  <c r="H1807" i="2"/>
  <c r="J1806" i="2"/>
  <c r="F1806" i="2"/>
  <c r="H1805" i="2"/>
  <c r="J1804" i="2"/>
  <c r="F1804" i="2"/>
  <c r="H1803" i="2"/>
  <c r="J1802" i="2"/>
  <c r="F1802" i="2"/>
  <c r="H1801" i="2"/>
  <c r="J1800" i="2"/>
  <c r="F1800" i="2"/>
  <c r="H1799" i="2"/>
  <c r="J1798" i="2"/>
  <c r="F1798" i="2"/>
  <c r="H1797" i="2"/>
  <c r="J1796" i="2"/>
  <c r="F1796" i="2"/>
  <c r="H1795" i="2"/>
  <c r="J1794" i="2"/>
  <c r="F1794" i="2"/>
  <c r="H1793" i="2"/>
  <c r="J1792" i="2"/>
  <c r="F1792" i="2"/>
  <c r="H1791" i="2"/>
  <c r="J1790" i="2"/>
  <c r="F1790" i="2"/>
  <c r="H1789" i="2"/>
  <c r="J1788" i="2"/>
  <c r="F1788" i="2"/>
  <c r="H1787" i="2"/>
  <c r="J1786" i="2"/>
  <c r="F1786" i="2"/>
  <c r="H1785" i="2"/>
  <c r="J1784" i="2"/>
  <c r="F1784" i="2"/>
  <c r="H1783" i="2"/>
  <c r="J1782" i="2"/>
  <c r="F1782" i="2"/>
  <c r="H1781" i="2"/>
  <c r="J1780" i="2"/>
  <c r="F1780" i="2"/>
  <c r="H1779" i="2"/>
  <c r="J1778" i="2"/>
  <c r="F1778" i="2"/>
  <c r="H1777" i="2"/>
  <c r="J1776" i="2"/>
  <c r="F1776" i="2"/>
  <c r="H1775" i="2"/>
  <c r="J1774" i="2"/>
  <c r="F1774" i="2"/>
  <c r="H1773" i="2"/>
  <c r="J1772" i="2"/>
  <c r="F1772" i="2"/>
  <c r="H1771" i="2"/>
  <c r="J1770" i="2"/>
  <c r="F1770" i="2"/>
  <c r="H1769" i="2"/>
  <c r="J1768" i="2"/>
  <c r="F1768" i="2"/>
  <c r="H1767" i="2"/>
  <c r="J1766" i="2"/>
  <c r="F1766" i="2"/>
  <c r="H1765" i="2"/>
  <c r="J1764" i="2"/>
  <c r="F1764" i="2"/>
  <c r="H1763" i="2"/>
  <c r="J1762" i="2"/>
  <c r="F1762" i="2"/>
  <c r="H1761" i="2"/>
  <c r="J1760" i="2"/>
  <c r="F1760" i="2"/>
  <c r="H1759" i="2"/>
  <c r="J1758" i="2"/>
  <c r="F1758" i="2"/>
  <c r="H1757" i="2"/>
  <c r="J1756" i="2"/>
  <c r="F1756" i="2"/>
  <c r="H1755" i="2"/>
  <c r="J1754" i="2"/>
  <c r="F1754" i="2"/>
  <c r="H1753" i="2"/>
  <c r="J1752" i="2"/>
  <c r="F1752" i="2"/>
  <c r="H1751" i="2"/>
  <c r="J1750" i="2"/>
  <c r="F1750" i="2"/>
  <c r="H1749" i="2"/>
  <c r="J1748" i="2"/>
  <c r="F1748" i="2"/>
  <c r="H1747" i="2"/>
  <c r="J1746" i="2"/>
  <c r="F1746" i="2"/>
  <c r="H1745" i="2"/>
  <c r="J1744" i="2"/>
  <c r="F1744" i="2"/>
  <c r="H1743" i="2"/>
  <c r="J1742" i="2"/>
  <c r="F1742" i="2"/>
  <c r="H1741" i="2"/>
  <c r="J1740" i="2"/>
  <c r="F1740" i="2"/>
  <c r="H1739" i="2"/>
  <c r="J1738" i="2"/>
  <c r="F1738" i="2"/>
  <c r="H1737" i="2"/>
  <c r="J1736" i="2"/>
  <c r="F1736" i="2"/>
  <c r="H1735" i="2"/>
  <c r="J1734" i="2"/>
  <c r="F1734" i="2"/>
  <c r="H1733" i="2"/>
  <c r="J1732" i="2"/>
  <c r="F1732" i="2"/>
  <c r="H1731" i="2"/>
  <c r="J1730" i="2"/>
  <c r="F1730" i="2"/>
  <c r="H1729" i="2"/>
  <c r="J1728" i="2"/>
  <c r="F1728" i="2"/>
  <c r="H1727" i="2"/>
  <c r="J1726" i="2"/>
  <c r="F1726" i="2"/>
  <c r="H1725" i="2"/>
  <c r="J1724" i="2"/>
  <c r="F1724" i="2"/>
  <c r="H1723" i="2"/>
  <c r="J1722" i="2"/>
  <c r="F1722" i="2"/>
  <c r="H1721" i="2"/>
  <c r="J1720" i="2"/>
  <c r="F1720" i="2"/>
  <c r="H1719" i="2"/>
  <c r="J1718" i="2"/>
  <c r="F1718" i="2"/>
  <c r="F1717" i="2"/>
  <c r="J1715" i="2"/>
  <c r="H1714" i="2"/>
  <c r="F1713" i="2"/>
  <c r="J1711" i="2"/>
  <c r="H1710" i="2"/>
  <c r="F1709" i="2"/>
  <c r="J1707" i="2"/>
  <c r="H1706" i="2"/>
  <c r="F1705" i="2"/>
  <c r="J1703" i="2"/>
  <c r="H1702" i="2"/>
  <c r="F1701" i="2"/>
  <c r="J1699" i="2"/>
  <c r="C1699" i="2" s="1"/>
  <c r="H1698" i="2"/>
  <c r="F1697" i="2"/>
  <c r="J1695" i="2"/>
  <c r="H1694" i="2"/>
  <c r="F1693" i="2"/>
  <c r="J1691" i="2"/>
  <c r="H1690" i="2"/>
  <c r="F1689" i="2"/>
  <c r="J1687" i="2"/>
  <c r="H1686" i="2"/>
  <c r="F1685" i="2"/>
  <c r="J1683" i="2"/>
  <c r="C1683" i="2" s="1"/>
  <c r="H1682" i="2"/>
  <c r="F1681" i="2"/>
  <c r="J1679" i="2"/>
  <c r="H1678" i="2"/>
  <c r="F1677" i="2"/>
  <c r="J1675" i="2"/>
  <c r="H1674" i="2"/>
  <c r="F1673" i="2"/>
  <c r="J1671" i="2"/>
  <c r="H1670" i="2"/>
  <c r="F1669" i="2"/>
  <c r="J1667" i="2"/>
  <c r="H1666" i="2"/>
  <c r="F1665" i="2"/>
  <c r="J1663" i="2"/>
  <c r="H1662" i="2"/>
  <c r="F1661" i="2"/>
  <c r="J1659" i="2"/>
  <c r="H1658" i="2"/>
  <c r="F1657" i="2"/>
  <c r="J1655" i="2"/>
  <c r="H1654" i="2"/>
  <c r="F1653" i="2"/>
  <c r="J1651" i="2"/>
  <c r="C1651" i="2" s="1"/>
  <c r="H1650" i="2"/>
  <c r="F1649" i="2"/>
  <c r="J1647" i="2"/>
  <c r="H1646" i="2"/>
  <c r="F1645" i="2"/>
  <c r="J1643" i="2"/>
  <c r="H1642" i="2"/>
  <c r="F1641" i="2"/>
  <c r="J1639" i="2"/>
  <c r="H1638" i="2"/>
  <c r="F1637" i="2"/>
  <c r="J1635" i="2"/>
  <c r="C1635" i="2" s="1"/>
  <c r="H1634" i="2"/>
  <c r="F1633" i="2"/>
  <c r="J1631" i="2"/>
  <c r="H1630" i="2"/>
  <c r="F1629" i="2"/>
  <c r="J1627" i="2"/>
  <c r="H1626" i="2"/>
  <c r="F1625" i="2"/>
  <c r="J1623" i="2"/>
  <c r="H1622" i="2"/>
  <c r="F1621" i="2"/>
  <c r="J1619" i="2"/>
  <c r="C1619" i="2" s="1"/>
  <c r="H1618" i="2"/>
  <c r="F1617" i="2"/>
  <c r="J1615" i="2"/>
  <c r="H1614" i="2"/>
  <c r="F1613" i="2"/>
  <c r="J1611" i="2"/>
  <c r="H1610" i="2"/>
  <c r="F1609" i="2"/>
  <c r="J1607" i="2"/>
  <c r="H1606" i="2"/>
  <c r="F1605" i="2"/>
  <c r="J1603" i="2"/>
  <c r="H1602" i="2"/>
  <c r="F1601" i="2"/>
  <c r="J1599" i="2"/>
  <c r="H1598" i="2"/>
  <c r="F1597" i="2"/>
  <c r="J1595" i="2"/>
  <c r="H1594" i="2"/>
  <c r="F1593" i="2"/>
  <c r="J1591" i="2"/>
  <c r="H1590" i="2"/>
  <c r="F1589" i="2"/>
  <c r="J1587" i="2"/>
  <c r="H1586" i="2"/>
  <c r="F1585" i="2"/>
  <c r="J1583" i="2"/>
  <c r="H1582" i="2"/>
  <c r="F1581" i="2"/>
  <c r="J1579" i="2"/>
  <c r="H1578" i="2"/>
  <c r="F1577" i="2"/>
  <c r="J1575" i="2"/>
  <c r="H1574" i="2"/>
  <c r="F1573" i="2"/>
  <c r="J1571" i="2"/>
  <c r="H1570" i="2"/>
  <c r="F1569" i="2"/>
  <c r="J1567" i="2"/>
  <c r="H1566" i="2"/>
  <c r="F1565" i="2"/>
  <c r="J1563" i="2"/>
  <c r="H1562" i="2"/>
  <c r="F1561" i="2"/>
  <c r="J1559" i="2"/>
  <c r="H1558" i="2"/>
  <c r="F1557" i="2"/>
  <c r="J1555" i="2"/>
  <c r="H1554" i="2"/>
  <c r="F1553" i="2"/>
  <c r="J1551" i="2"/>
  <c r="H1550" i="2"/>
  <c r="F1549" i="2"/>
  <c r="J1547" i="2"/>
  <c r="H1546" i="2"/>
  <c r="F1545" i="2"/>
  <c r="J1543" i="2"/>
  <c r="H1542" i="2"/>
  <c r="F1541" i="2"/>
  <c r="J1539" i="2"/>
  <c r="H1538" i="2"/>
  <c r="F1537" i="2"/>
  <c r="J1535" i="2"/>
  <c r="H1534" i="2"/>
  <c r="F1533" i="2"/>
  <c r="J1531" i="2"/>
  <c r="L1531" i="2" s="1"/>
  <c r="H1530" i="2"/>
  <c r="F1529" i="2"/>
  <c r="F2227" i="2"/>
  <c r="H2226" i="2"/>
  <c r="J2225" i="2"/>
  <c r="F2225" i="2"/>
  <c r="H2224" i="2"/>
  <c r="J2223" i="2"/>
  <c r="F2223" i="2"/>
  <c r="H2222" i="2"/>
  <c r="J2221" i="2"/>
  <c r="F2221" i="2"/>
  <c r="H2220" i="2"/>
  <c r="J2219" i="2"/>
  <c r="F2219" i="2"/>
  <c r="H2218" i="2"/>
  <c r="L2218" i="2" s="1"/>
  <c r="J2217" i="2"/>
  <c r="F2217" i="2"/>
  <c r="H2216" i="2"/>
  <c r="J2215" i="2"/>
  <c r="F2215" i="2"/>
  <c r="H2214" i="2"/>
  <c r="J2213" i="2"/>
  <c r="F2213" i="2"/>
  <c r="H2212" i="2"/>
  <c r="J2211" i="2"/>
  <c r="F2211" i="2"/>
  <c r="H2210" i="2"/>
  <c r="J2209" i="2"/>
  <c r="F2209" i="2"/>
  <c r="H2208" i="2"/>
  <c r="J2207" i="2"/>
  <c r="F2207" i="2"/>
  <c r="H2206" i="2"/>
  <c r="J2205" i="2"/>
  <c r="F2205" i="2"/>
  <c r="H2204" i="2"/>
  <c r="J2203" i="2"/>
  <c r="F2203" i="2"/>
  <c r="H2202" i="2"/>
  <c r="L2202" i="2" s="1"/>
  <c r="J2201" i="2"/>
  <c r="F2201" i="2"/>
  <c r="H2200" i="2"/>
  <c r="J2199" i="2"/>
  <c r="F2199" i="2"/>
  <c r="H2198" i="2"/>
  <c r="J2197" i="2"/>
  <c r="F2197" i="2"/>
  <c r="H2196" i="2"/>
  <c r="J2195" i="2"/>
  <c r="F2195" i="2"/>
  <c r="H2194" i="2"/>
  <c r="J2193" i="2"/>
  <c r="F2193" i="2"/>
  <c r="H2192" i="2"/>
  <c r="J2191" i="2"/>
  <c r="F2191" i="2"/>
  <c r="H2190" i="2"/>
  <c r="K2189" i="2"/>
  <c r="G2189" i="2"/>
  <c r="I2188" i="2"/>
  <c r="K2187" i="2"/>
  <c r="G2187" i="2"/>
  <c r="I2186" i="2"/>
  <c r="L2186" i="2" s="1"/>
  <c r="K2185" i="2"/>
  <c r="G2185" i="2"/>
  <c r="I2184" i="2"/>
  <c r="K2183" i="2"/>
  <c r="G2183" i="2"/>
  <c r="I2182" i="2"/>
  <c r="K2181" i="2"/>
  <c r="G2181" i="2"/>
  <c r="I2180" i="2"/>
  <c r="K2179" i="2"/>
  <c r="G2179" i="2"/>
  <c r="I2178" i="2"/>
  <c r="K2177" i="2"/>
  <c r="G2177" i="2"/>
  <c r="I2176" i="2"/>
  <c r="K2175" i="2"/>
  <c r="G2175" i="2"/>
  <c r="I2174" i="2"/>
  <c r="K2173" i="2"/>
  <c r="G2173" i="2"/>
  <c r="I2172" i="2"/>
  <c r="K2171" i="2"/>
  <c r="G2171" i="2"/>
  <c r="I2170" i="2"/>
  <c r="L2170" i="2" s="1"/>
  <c r="K2169" i="2"/>
  <c r="G2169" i="2"/>
  <c r="I2168" i="2"/>
  <c r="K2167" i="2"/>
  <c r="G2167" i="2"/>
  <c r="I2166" i="2"/>
  <c r="K2165" i="2"/>
  <c r="G2165" i="2"/>
  <c r="I2164" i="2"/>
  <c r="K2163" i="2"/>
  <c r="G2163" i="2"/>
  <c r="I2162" i="2"/>
  <c r="K2161" i="2"/>
  <c r="G2161" i="2"/>
  <c r="I2160" i="2"/>
  <c r="K2159" i="2"/>
  <c r="G2159" i="2"/>
  <c r="I2158" i="2"/>
  <c r="K2157" i="2"/>
  <c r="G2157" i="2"/>
  <c r="I2156" i="2"/>
  <c r="K2155" i="2"/>
  <c r="G2155" i="2"/>
  <c r="I2154" i="2"/>
  <c r="K2153" i="2"/>
  <c r="G2153" i="2"/>
  <c r="I2152" i="2"/>
  <c r="K2151" i="2"/>
  <c r="G2151" i="2"/>
  <c r="I2150" i="2"/>
  <c r="K2149" i="2"/>
  <c r="G2149" i="2"/>
  <c r="I2148" i="2"/>
  <c r="K2147" i="2"/>
  <c r="G2147" i="2"/>
  <c r="I2146" i="2"/>
  <c r="K2145" i="2"/>
  <c r="G2145" i="2"/>
  <c r="I2144" i="2"/>
  <c r="K2143" i="2"/>
  <c r="G2143" i="2"/>
  <c r="I2142" i="2"/>
  <c r="K2141" i="2"/>
  <c r="G2141" i="2"/>
  <c r="I2140" i="2"/>
  <c r="K2139" i="2"/>
  <c r="G2139" i="2"/>
  <c r="I2138" i="2"/>
  <c r="L2138" i="2" s="1"/>
  <c r="K2137" i="2"/>
  <c r="G2137" i="2"/>
  <c r="I2136" i="2"/>
  <c r="K2135" i="2"/>
  <c r="G2135" i="2"/>
  <c r="I2134" i="2"/>
  <c r="K2133" i="2"/>
  <c r="G2133" i="2"/>
  <c r="I2132" i="2"/>
  <c r="K2131" i="2"/>
  <c r="G2131" i="2"/>
  <c r="I2130" i="2"/>
  <c r="K2129" i="2"/>
  <c r="G2129" i="2"/>
  <c r="I2128" i="2"/>
  <c r="K2127" i="2"/>
  <c r="G2127" i="2"/>
  <c r="I2126" i="2"/>
  <c r="J2125" i="2"/>
  <c r="F2125" i="2"/>
  <c r="H2124" i="2"/>
  <c r="J2123" i="2"/>
  <c r="F2123" i="2"/>
  <c r="H2122" i="2"/>
  <c r="L2122" i="2" s="1"/>
  <c r="J2121" i="2"/>
  <c r="F2121" i="2"/>
  <c r="H2120" i="2"/>
  <c r="J2119" i="2"/>
  <c r="F2119" i="2"/>
  <c r="H2118" i="2"/>
  <c r="J2117" i="2"/>
  <c r="F2117" i="2"/>
  <c r="H2116" i="2"/>
  <c r="J2115" i="2"/>
  <c r="F2115" i="2"/>
  <c r="H2114" i="2"/>
  <c r="J2113" i="2"/>
  <c r="F2113" i="2"/>
  <c r="H2112" i="2"/>
  <c r="J2111" i="2"/>
  <c r="F2111" i="2"/>
  <c r="H2110" i="2"/>
  <c r="J2109" i="2"/>
  <c r="F2109" i="2"/>
  <c r="H2108" i="2"/>
  <c r="J2107" i="2"/>
  <c r="F2107" i="2"/>
  <c r="H2106" i="2"/>
  <c r="L2106" i="2" s="1"/>
  <c r="J2105" i="2"/>
  <c r="F2105" i="2"/>
  <c r="H2104" i="2"/>
  <c r="J2103" i="2"/>
  <c r="F2103" i="2"/>
  <c r="H2102" i="2"/>
  <c r="J2101" i="2"/>
  <c r="F2101" i="2"/>
  <c r="I2100" i="2"/>
  <c r="K2099" i="2"/>
  <c r="G2099" i="2"/>
  <c r="I2098" i="2"/>
  <c r="K2097" i="2"/>
  <c r="G2097" i="2"/>
  <c r="I2096" i="2"/>
  <c r="K2095" i="2"/>
  <c r="G2095" i="2"/>
  <c r="I2094" i="2"/>
  <c r="K2093" i="2"/>
  <c r="G2093" i="2"/>
  <c r="I2092" i="2"/>
  <c r="K2091" i="2"/>
  <c r="G2091" i="2"/>
  <c r="I2090" i="2"/>
  <c r="L2090" i="2" s="1"/>
  <c r="K2089" i="2"/>
  <c r="G2089" i="2"/>
  <c r="I2088" i="2"/>
  <c r="K2087" i="2"/>
  <c r="G2087" i="2"/>
  <c r="I2086" i="2"/>
  <c r="K2085" i="2"/>
  <c r="G2085" i="2"/>
  <c r="I2084" i="2"/>
  <c r="K2083" i="2"/>
  <c r="G2083" i="2"/>
  <c r="I2082" i="2"/>
  <c r="K2081" i="2"/>
  <c r="G2081" i="2"/>
  <c r="I2080" i="2"/>
  <c r="K2079" i="2"/>
  <c r="G2079" i="2"/>
  <c r="I2078" i="2"/>
  <c r="K2077" i="2"/>
  <c r="G2077" i="2"/>
  <c r="I2076" i="2"/>
  <c r="K2075" i="2"/>
  <c r="G2075" i="2"/>
  <c r="I2074" i="2"/>
  <c r="K2073" i="2"/>
  <c r="G2073" i="2"/>
  <c r="I2072" i="2"/>
  <c r="K2071" i="2"/>
  <c r="G2071" i="2"/>
  <c r="I2070" i="2"/>
  <c r="K2069" i="2"/>
  <c r="G2069" i="2"/>
  <c r="I2068" i="2"/>
  <c r="K2067" i="2"/>
  <c r="G2067" i="2"/>
  <c r="I2066" i="2"/>
  <c r="K2065" i="2"/>
  <c r="G2065" i="2"/>
  <c r="I2064" i="2"/>
  <c r="K2063" i="2"/>
  <c r="G2063" i="2"/>
  <c r="I2062" i="2"/>
  <c r="K2061" i="2"/>
  <c r="G2061" i="2"/>
  <c r="I2060" i="2"/>
  <c r="K2059" i="2"/>
  <c r="G2059" i="2"/>
  <c r="I2058" i="2"/>
  <c r="K2057" i="2"/>
  <c r="G2057" i="2"/>
  <c r="I2056" i="2"/>
  <c r="K2055" i="2"/>
  <c r="G2055" i="2"/>
  <c r="I2054" i="2"/>
  <c r="K2053" i="2"/>
  <c r="G2053" i="2"/>
  <c r="I2052" i="2"/>
  <c r="K2051" i="2"/>
  <c r="G2051" i="2"/>
  <c r="I2050" i="2"/>
  <c r="K2049" i="2"/>
  <c r="G2049" i="2"/>
  <c r="I2048" i="2"/>
  <c r="K2047" i="2"/>
  <c r="G2047" i="2"/>
  <c r="I2046" i="2"/>
  <c r="K2045" i="2"/>
  <c r="G2045" i="2"/>
  <c r="I2044" i="2"/>
  <c r="K2043" i="2"/>
  <c r="G2043" i="2"/>
  <c r="I2042" i="2"/>
  <c r="K2041" i="2"/>
  <c r="G2041" i="2"/>
  <c r="I2040" i="2"/>
  <c r="K2039" i="2"/>
  <c r="G2039" i="2"/>
  <c r="I2038" i="2"/>
  <c r="K2037" i="2"/>
  <c r="G2037" i="2"/>
  <c r="H2036" i="2"/>
  <c r="J2035" i="2"/>
  <c r="F2035" i="2"/>
  <c r="H2034" i="2"/>
  <c r="J2033" i="2"/>
  <c r="F2033" i="2"/>
  <c r="H2032" i="2"/>
  <c r="J2031" i="2"/>
  <c r="F2031" i="2"/>
  <c r="H2030" i="2"/>
  <c r="J2029" i="2"/>
  <c r="F2029" i="2"/>
  <c r="H2028" i="2"/>
  <c r="J2027" i="2"/>
  <c r="F2027" i="2"/>
  <c r="H2026" i="2"/>
  <c r="J2025" i="2"/>
  <c r="F2025" i="2"/>
  <c r="H2024" i="2"/>
  <c r="J2023" i="2"/>
  <c r="F2023" i="2"/>
  <c r="H2022" i="2"/>
  <c r="J2021" i="2"/>
  <c r="F2021" i="2"/>
  <c r="H2020" i="2"/>
  <c r="J2019" i="2"/>
  <c r="F2019" i="2"/>
  <c r="H2018" i="2"/>
  <c r="J2017" i="2"/>
  <c r="F2017" i="2"/>
  <c r="H2016" i="2"/>
  <c r="J2015" i="2"/>
  <c r="F2015" i="2"/>
  <c r="H2014" i="2"/>
  <c r="J2013" i="2"/>
  <c r="F2013" i="2"/>
  <c r="H2012" i="2"/>
  <c r="J2011" i="2"/>
  <c r="F2011" i="2"/>
  <c r="H2010" i="2"/>
  <c r="J2009" i="2"/>
  <c r="F2009" i="2"/>
  <c r="H2008" i="2"/>
  <c r="J2007" i="2"/>
  <c r="F2007" i="2"/>
  <c r="H2006" i="2"/>
  <c r="J2005" i="2"/>
  <c r="F2005" i="2"/>
  <c r="H2004" i="2"/>
  <c r="J2003" i="2"/>
  <c r="F2003" i="2"/>
  <c r="H2002" i="2"/>
  <c r="J2001" i="2"/>
  <c r="F2001" i="2"/>
  <c r="H2000" i="2"/>
  <c r="J1999" i="2"/>
  <c r="F1999" i="2"/>
  <c r="H1998" i="2"/>
  <c r="J1997" i="2"/>
  <c r="F1997" i="2"/>
  <c r="H1996" i="2"/>
  <c r="J1995" i="2"/>
  <c r="F1995" i="2"/>
  <c r="H1994" i="2"/>
  <c r="J1993" i="2"/>
  <c r="F1993" i="2"/>
  <c r="H1992" i="2"/>
  <c r="J1991" i="2"/>
  <c r="F1991" i="2"/>
  <c r="H1990" i="2"/>
  <c r="J1989" i="2"/>
  <c r="F1989" i="2"/>
  <c r="H1988" i="2"/>
  <c r="J1987" i="2"/>
  <c r="F1987" i="2"/>
  <c r="H1986" i="2"/>
  <c r="J1985" i="2"/>
  <c r="F1985" i="2"/>
  <c r="H1984" i="2"/>
  <c r="J1983" i="2"/>
  <c r="F1983" i="2"/>
  <c r="H1982" i="2"/>
  <c r="J1981" i="2"/>
  <c r="F1981" i="2"/>
  <c r="H1980" i="2"/>
  <c r="J1979" i="2"/>
  <c r="F1979" i="2"/>
  <c r="H1978" i="2"/>
  <c r="J1977" i="2"/>
  <c r="F1977" i="2"/>
  <c r="H1976" i="2"/>
  <c r="J1975" i="2"/>
  <c r="F1975" i="2"/>
  <c r="H1974" i="2"/>
  <c r="J1973" i="2"/>
  <c r="F1973" i="2"/>
  <c r="H1972" i="2"/>
  <c r="J1971" i="2"/>
  <c r="F1971" i="2"/>
  <c r="F1970" i="2"/>
  <c r="J1968" i="2"/>
  <c r="H1967" i="2"/>
  <c r="F1966" i="2"/>
  <c r="J1964" i="2"/>
  <c r="H1963" i="2"/>
  <c r="F1962" i="2"/>
  <c r="J1960" i="2"/>
  <c r="H1959" i="2"/>
  <c r="F1958" i="2"/>
  <c r="J1956" i="2"/>
  <c r="C1956" i="2" s="1"/>
  <c r="H1955" i="2"/>
  <c r="F1954" i="2"/>
  <c r="J1952" i="2"/>
  <c r="H1951" i="2"/>
  <c r="F1950" i="2"/>
  <c r="J1948" i="2"/>
  <c r="H1947" i="2"/>
  <c r="F1946" i="2"/>
  <c r="J1944" i="2"/>
  <c r="H1943" i="2"/>
  <c r="F1942" i="2"/>
  <c r="J1940" i="2"/>
  <c r="C1940" i="2" s="1"/>
  <c r="H1939" i="2"/>
  <c r="F1938" i="2"/>
  <c r="J1936" i="2"/>
  <c r="H1935" i="2"/>
  <c r="F1934" i="2"/>
  <c r="J1932" i="2"/>
  <c r="H1931" i="2"/>
  <c r="F1930" i="2"/>
  <c r="J1928" i="2"/>
  <c r="H1927" i="2"/>
  <c r="F1926" i="2"/>
  <c r="J1924" i="2"/>
  <c r="H1923" i="2"/>
  <c r="F1922" i="2"/>
  <c r="J1920" i="2"/>
  <c r="H1919" i="2"/>
  <c r="F1918" i="2"/>
  <c r="J1916" i="2"/>
  <c r="H1915" i="2"/>
  <c r="F1914" i="2"/>
  <c r="J1912" i="2"/>
  <c r="H1911" i="2"/>
  <c r="F1910" i="2"/>
  <c r="J1908" i="2"/>
  <c r="C1908" i="2" s="1"/>
  <c r="H1907" i="2"/>
  <c r="F1906" i="2"/>
  <c r="J1904" i="2"/>
  <c r="H1903" i="2"/>
  <c r="F1902" i="2"/>
  <c r="J1900" i="2"/>
  <c r="H1899" i="2"/>
  <c r="F1898" i="2"/>
  <c r="J1896" i="2"/>
  <c r="H1895" i="2"/>
  <c r="F1894" i="2"/>
  <c r="J1892" i="2"/>
  <c r="C1892" i="2" s="1"/>
  <c r="H1891" i="2"/>
  <c r="F1890" i="2"/>
  <c r="J1888" i="2"/>
  <c r="H1887" i="2"/>
  <c r="F1886" i="2"/>
  <c r="J1884" i="2"/>
  <c r="H1883" i="2"/>
  <c r="F1882" i="2"/>
  <c r="J1880" i="2"/>
  <c r="H1879" i="2"/>
  <c r="F1878" i="2"/>
  <c r="J1876" i="2"/>
  <c r="C1876" i="2" s="1"/>
  <c r="H1875" i="2"/>
  <c r="F1874" i="2"/>
  <c r="J1872" i="2"/>
  <c r="H1871" i="2"/>
  <c r="F1870" i="2"/>
  <c r="J1868" i="2"/>
  <c r="H1867" i="2"/>
  <c r="F1866" i="2"/>
  <c r="J1864" i="2"/>
  <c r="H1863" i="2"/>
  <c r="F1862" i="2"/>
  <c r="J1860" i="2"/>
  <c r="H1859" i="2"/>
  <c r="F1858" i="2"/>
  <c r="J1856" i="2"/>
  <c r="H1855" i="2"/>
  <c r="F1854" i="2"/>
  <c r="J1852" i="2"/>
  <c r="H1851" i="2"/>
  <c r="F1850" i="2"/>
  <c r="J1848" i="2"/>
  <c r="H1847" i="2"/>
  <c r="F1846" i="2"/>
  <c r="J1844" i="2"/>
  <c r="C1844" i="2" s="1"/>
  <c r="H1843" i="2"/>
  <c r="F1842" i="2"/>
  <c r="J1840" i="2"/>
  <c r="H1839" i="2"/>
  <c r="F1838" i="2"/>
  <c r="J1836" i="2"/>
  <c r="H1835" i="2"/>
  <c r="F1834" i="2"/>
  <c r="K1832" i="2"/>
  <c r="I1831" i="2"/>
  <c r="G1830" i="2"/>
  <c r="K1828" i="2"/>
  <c r="I1827" i="2"/>
  <c r="G1826" i="2"/>
  <c r="K1824" i="2"/>
  <c r="I1823" i="2"/>
  <c r="G1822" i="2"/>
  <c r="K1820" i="2"/>
  <c r="I1819" i="2"/>
  <c r="G1818" i="2"/>
  <c r="K1816" i="2"/>
  <c r="I1815" i="2"/>
  <c r="G1814" i="2"/>
  <c r="K1812" i="2"/>
  <c r="I1811" i="2"/>
  <c r="G1810" i="2"/>
  <c r="K1808" i="2"/>
  <c r="I1807" i="2"/>
  <c r="G1806" i="2"/>
  <c r="K1804" i="2"/>
  <c r="I1803" i="2"/>
  <c r="G1802" i="2"/>
  <c r="K1800" i="2"/>
  <c r="I1799" i="2"/>
  <c r="G1798" i="2"/>
  <c r="K1796" i="2"/>
  <c r="I1795" i="2"/>
  <c r="G1794" i="2"/>
  <c r="K1792" i="2"/>
  <c r="I1791" i="2"/>
  <c r="G1790" i="2"/>
  <c r="K1788" i="2"/>
  <c r="I1787" i="2"/>
  <c r="G1786" i="2"/>
  <c r="K1784" i="2"/>
  <c r="I1783" i="2"/>
  <c r="G1782" i="2"/>
  <c r="K1780" i="2"/>
  <c r="I1779" i="2"/>
  <c r="G1778" i="2"/>
  <c r="K1776" i="2"/>
  <c r="I1775" i="2"/>
  <c r="G1774" i="2"/>
  <c r="K1772" i="2"/>
  <c r="I1771" i="2"/>
  <c r="G1770" i="2"/>
  <c r="K1768" i="2"/>
  <c r="I1767" i="2"/>
  <c r="G1766" i="2"/>
  <c r="K1764" i="2"/>
  <c r="I1763" i="2"/>
  <c r="G1762" i="2"/>
  <c r="K1760" i="2"/>
  <c r="I1759" i="2"/>
  <c r="G1758" i="2"/>
  <c r="K1756" i="2"/>
  <c r="I1755" i="2"/>
  <c r="G1754" i="2"/>
  <c r="K1752" i="2"/>
  <c r="I1751" i="2"/>
  <c r="G1750" i="2"/>
  <c r="K1748" i="2"/>
  <c r="I1747" i="2"/>
  <c r="G1746" i="2"/>
  <c r="K1744" i="2"/>
  <c r="I1743" i="2"/>
  <c r="G1742" i="2"/>
  <c r="K1740" i="2"/>
  <c r="I1739" i="2"/>
  <c r="G1738" i="2"/>
  <c r="K1736" i="2"/>
  <c r="I1735" i="2"/>
  <c r="G1734" i="2"/>
  <c r="K1732" i="2"/>
  <c r="I1731" i="2"/>
  <c r="G1730" i="2"/>
  <c r="K1728" i="2"/>
  <c r="I1727" i="2"/>
  <c r="G1726" i="2"/>
  <c r="K1724" i="2"/>
  <c r="I1723" i="2"/>
  <c r="G1722" i="2"/>
  <c r="K1720" i="2"/>
  <c r="I1719" i="2"/>
  <c r="G1718" i="2"/>
  <c r="F1716" i="2"/>
  <c r="H1713" i="2"/>
  <c r="J1710" i="2"/>
  <c r="F1708" i="2"/>
  <c r="H1705" i="2"/>
  <c r="J1702" i="2"/>
  <c r="F1700" i="2"/>
  <c r="H1697" i="2"/>
  <c r="J1694" i="2"/>
  <c r="F1692" i="2"/>
  <c r="H1689" i="2"/>
  <c r="J1686" i="2"/>
  <c r="F1684" i="2"/>
  <c r="H1681" i="2"/>
  <c r="J1678" i="2"/>
  <c r="F1676" i="2"/>
  <c r="H1673" i="2"/>
  <c r="J1670" i="2"/>
  <c r="F1668" i="2"/>
  <c r="H1665" i="2"/>
  <c r="J1662" i="2"/>
  <c r="F1660" i="2"/>
  <c r="H1657" i="2"/>
  <c r="J1654" i="2"/>
  <c r="F1652" i="2"/>
  <c r="H1649" i="2"/>
  <c r="J1646" i="2"/>
  <c r="F1644" i="2"/>
  <c r="H1641" i="2"/>
  <c r="J1638" i="2"/>
  <c r="F1636" i="2"/>
  <c r="H1633" i="2"/>
  <c r="J1630" i="2"/>
  <c r="F1628" i="2"/>
  <c r="H1625" i="2"/>
  <c r="J1622" i="2"/>
  <c r="F1620" i="2"/>
  <c r="H1617" i="2"/>
  <c r="J1614" i="2"/>
  <c r="F1612" i="2"/>
  <c r="H1609" i="2"/>
  <c r="J1606" i="2"/>
  <c r="F1604" i="2"/>
  <c r="H1601" i="2"/>
  <c r="J1598" i="2"/>
  <c r="F1596" i="2"/>
  <c r="H1593" i="2"/>
  <c r="J1590" i="2"/>
  <c r="F1588" i="2"/>
  <c r="H1585" i="2"/>
  <c r="J1582" i="2"/>
  <c r="F1580" i="2"/>
  <c r="H1577" i="2"/>
  <c r="J1574" i="2"/>
  <c r="F1572" i="2"/>
  <c r="H1569" i="2"/>
  <c r="J1566" i="2"/>
  <c r="F1564" i="2"/>
  <c r="H1561" i="2"/>
  <c r="J1558" i="2"/>
  <c r="F1556" i="2"/>
  <c r="H1553" i="2"/>
  <c r="J1550" i="2"/>
  <c r="F1548" i="2"/>
  <c r="H1545" i="2"/>
  <c r="J1542" i="2"/>
  <c r="F1540" i="2"/>
  <c r="H1537" i="2"/>
  <c r="J1534" i="2"/>
  <c r="F1532" i="2"/>
  <c r="H1529" i="2"/>
  <c r="J1527" i="2"/>
  <c r="H1526" i="2"/>
  <c r="F1525" i="2"/>
  <c r="J1523" i="2"/>
  <c r="L1523" i="2" s="1"/>
  <c r="H1522" i="2"/>
  <c r="F1521" i="2"/>
  <c r="J1519" i="2"/>
  <c r="H1518" i="2"/>
  <c r="F1517" i="2"/>
  <c r="J1515" i="2"/>
  <c r="H1514" i="2"/>
  <c r="F1513" i="2"/>
  <c r="J1511" i="2"/>
  <c r="H1510" i="2"/>
  <c r="F1509" i="2"/>
  <c r="J1507" i="2"/>
  <c r="H1506" i="2"/>
  <c r="F1505" i="2"/>
  <c r="J1503" i="2"/>
  <c r="H1502" i="2"/>
  <c r="F1501" i="2"/>
  <c r="J1499" i="2"/>
  <c r="H1498" i="2"/>
  <c r="F1497" i="2"/>
  <c r="J1495" i="2"/>
  <c r="H1494" i="2"/>
  <c r="F1493" i="2"/>
  <c r="J1491" i="2"/>
  <c r="H1490" i="2"/>
  <c r="F1489" i="2"/>
  <c r="J1487" i="2"/>
  <c r="H1486" i="2"/>
  <c r="F1485" i="2"/>
  <c r="J1483" i="2"/>
  <c r="H1482" i="2"/>
  <c r="F1481" i="2"/>
  <c r="J1479" i="2"/>
  <c r="H1478" i="2"/>
  <c r="F1477" i="2"/>
  <c r="J1475" i="2"/>
  <c r="H1474" i="2"/>
  <c r="F1473" i="2"/>
  <c r="J1471" i="2"/>
  <c r="H1470" i="2"/>
  <c r="F1469" i="2"/>
  <c r="J1467" i="2"/>
  <c r="H1466" i="2"/>
  <c r="F1465" i="2"/>
  <c r="J1463" i="2"/>
  <c r="H1462" i="2"/>
  <c r="F1461" i="2"/>
  <c r="J1459" i="2"/>
  <c r="H1458" i="2"/>
  <c r="F1457" i="2"/>
  <c r="J1455" i="2"/>
  <c r="H1454" i="2"/>
  <c r="F1453" i="2"/>
  <c r="J1451" i="2"/>
  <c r="H1450" i="2"/>
  <c r="F1449" i="2"/>
  <c r="J1447" i="2"/>
  <c r="H1446" i="2"/>
  <c r="F1445" i="2"/>
  <c r="J1443" i="2"/>
  <c r="I1442" i="2"/>
  <c r="G1441" i="2"/>
  <c r="K1439" i="2"/>
  <c r="I1438" i="2"/>
  <c r="G1437" i="2"/>
  <c r="K1435" i="2"/>
  <c r="I1434" i="2"/>
  <c r="G1433" i="2"/>
  <c r="K1431" i="2"/>
  <c r="I1430" i="2"/>
  <c r="G1429" i="2"/>
  <c r="K1427" i="2"/>
  <c r="C1427" i="2" s="1"/>
  <c r="I1426" i="2"/>
  <c r="G1425" i="2"/>
  <c r="K1423" i="2"/>
  <c r="I1422" i="2"/>
  <c r="F1421" i="2"/>
  <c r="H1418" i="2"/>
  <c r="J1415" i="2"/>
  <c r="F1413" i="2"/>
  <c r="H1410" i="2"/>
  <c r="J1407" i="2"/>
  <c r="F1405" i="2"/>
  <c r="H1402" i="2"/>
  <c r="J1399" i="2"/>
  <c r="F1397" i="2"/>
  <c r="H1394" i="2"/>
  <c r="J1391" i="2"/>
  <c r="F1389" i="2"/>
  <c r="H1386" i="2"/>
  <c r="J1383" i="2"/>
  <c r="F1381" i="2"/>
  <c r="H1378" i="2"/>
  <c r="J1375" i="2"/>
  <c r="F1373" i="2"/>
  <c r="H1370" i="2"/>
  <c r="J1367" i="2"/>
  <c r="F1365" i="2"/>
  <c r="H1362" i="2"/>
  <c r="J1359" i="2"/>
  <c r="F1357" i="2"/>
  <c r="H1354" i="2"/>
  <c r="J1351" i="2"/>
  <c r="F1349" i="2"/>
  <c r="H1346" i="2"/>
  <c r="J1343" i="2"/>
  <c r="F1341" i="2"/>
  <c r="H1338" i="2"/>
  <c r="J1335" i="2"/>
  <c r="F1333" i="2"/>
  <c r="H1330" i="2"/>
  <c r="J1327" i="2"/>
  <c r="F1325" i="2"/>
  <c r="H1322" i="2"/>
  <c r="J1319" i="2"/>
  <c r="F1317" i="2"/>
  <c r="H1314" i="2"/>
  <c r="J1311" i="2"/>
  <c r="F1309" i="2"/>
  <c r="H1306" i="2"/>
  <c r="J1303" i="2"/>
  <c r="F1301" i="2"/>
  <c r="H1298" i="2"/>
  <c r="J1295" i="2"/>
  <c r="F1293" i="2"/>
  <c r="H1290" i="2"/>
  <c r="J1287" i="2"/>
  <c r="F1285" i="2"/>
  <c r="H1282" i="2"/>
  <c r="J1279" i="2"/>
  <c r="F1277" i="2"/>
  <c r="H1274" i="2"/>
  <c r="J1271" i="2"/>
  <c r="F1269" i="2"/>
  <c r="H1266" i="2"/>
  <c r="J1263" i="2"/>
  <c r="F1261" i="2"/>
  <c r="H1258" i="2"/>
  <c r="J1255" i="2"/>
  <c r="F1253" i="2"/>
  <c r="H1250" i="2"/>
  <c r="J1247" i="2"/>
  <c r="F1245" i="2"/>
  <c r="H1242" i="2"/>
  <c r="J1239" i="2"/>
  <c r="F1237" i="2"/>
  <c r="H1234" i="2"/>
  <c r="J1231" i="2"/>
  <c r="F1229" i="2"/>
  <c r="H1226" i="2"/>
  <c r="J1223" i="2"/>
  <c r="F1221" i="2"/>
  <c r="H1218" i="2"/>
  <c r="J1215" i="2"/>
  <c r="F1213" i="2"/>
  <c r="H1210" i="2"/>
  <c r="J1207" i="2"/>
  <c r="F1205" i="2"/>
  <c r="H1202" i="2"/>
  <c r="J1199" i="2"/>
  <c r="F1197" i="2"/>
  <c r="H1194" i="2"/>
  <c r="J1191" i="2"/>
  <c r="F1189" i="2"/>
  <c r="I1186" i="2"/>
  <c r="K1183" i="2"/>
  <c r="I1717" i="2"/>
  <c r="G1716" i="2"/>
  <c r="K1714" i="2"/>
  <c r="I1713" i="2"/>
  <c r="G1712" i="2"/>
  <c r="K1710" i="2"/>
  <c r="I1709" i="2"/>
  <c r="G1708" i="2"/>
  <c r="K1706" i="2"/>
  <c r="I1705" i="2"/>
  <c r="G1704" i="2"/>
  <c r="K1702" i="2"/>
  <c r="I1701" i="2"/>
  <c r="G1700" i="2"/>
  <c r="K1698" i="2"/>
  <c r="I1697" i="2"/>
  <c r="G1696" i="2"/>
  <c r="K1694" i="2"/>
  <c r="I1693" i="2"/>
  <c r="G1692" i="2"/>
  <c r="K1690" i="2"/>
  <c r="I1689" i="2"/>
  <c r="G1688" i="2"/>
  <c r="K1686" i="2"/>
  <c r="I1685" i="2"/>
  <c r="G1684" i="2"/>
  <c r="K1682" i="2"/>
  <c r="I1681" i="2"/>
  <c r="G1680" i="2"/>
  <c r="K1678" i="2"/>
  <c r="I1677" i="2"/>
  <c r="G1676" i="2"/>
  <c r="K1674" i="2"/>
  <c r="I1673" i="2"/>
  <c r="G1672" i="2"/>
  <c r="K1670" i="2"/>
  <c r="I1669" i="2"/>
  <c r="G1668" i="2"/>
  <c r="K1666" i="2"/>
  <c r="I1665" i="2"/>
  <c r="G1664" i="2"/>
  <c r="K1662" i="2"/>
  <c r="I1661" i="2"/>
  <c r="G1660" i="2"/>
  <c r="K1658" i="2"/>
  <c r="I1657" i="2"/>
  <c r="G1656" i="2"/>
  <c r="K1654" i="2"/>
  <c r="I1653" i="2"/>
  <c r="G1652" i="2"/>
  <c r="K1650" i="2"/>
  <c r="I1649" i="2"/>
  <c r="G1648" i="2"/>
  <c r="K1646" i="2"/>
  <c r="I1645" i="2"/>
  <c r="G1644" i="2"/>
  <c r="K1642" i="2"/>
  <c r="I1641" i="2"/>
  <c r="G1640" i="2"/>
  <c r="K1638" i="2"/>
  <c r="I1637" i="2"/>
  <c r="G1636" i="2"/>
  <c r="K1634" i="2"/>
  <c r="I1633" i="2"/>
  <c r="G1632" i="2"/>
  <c r="K1630" i="2"/>
  <c r="I1629" i="2"/>
  <c r="G1628" i="2"/>
  <c r="K1626" i="2"/>
  <c r="I1625" i="2"/>
  <c r="G1624" i="2"/>
  <c r="K1622" i="2"/>
  <c r="I1621" i="2"/>
  <c r="G1620" i="2"/>
  <c r="K1618" i="2"/>
  <c r="I1617" i="2"/>
  <c r="G1616" i="2"/>
  <c r="K1614" i="2"/>
  <c r="I1613" i="2"/>
  <c r="G1612" i="2"/>
  <c r="K1610" i="2"/>
  <c r="I1609" i="2"/>
  <c r="G1608" i="2"/>
  <c r="K1606" i="2"/>
  <c r="I1605" i="2"/>
  <c r="G1604" i="2"/>
  <c r="K1602" i="2"/>
  <c r="I1601" i="2"/>
  <c r="G1600" i="2"/>
  <c r="K1598" i="2"/>
  <c r="I1597" i="2"/>
  <c r="G1596" i="2"/>
  <c r="K1594" i="2"/>
  <c r="I1593" i="2"/>
  <c r="G1592" i="2"/>
  <c r="K1590" i="2"/>
  <c r="I1589" i="2"/>
  <c r="G1588" i="2"/>
  <c r="K1586" i="2"/>
  <c r="I1585" i="2"/>
  <c r="G1584" i="2"/>
  <c r="K1582" i="2"/>
  <c r="I1581" i="2"/>
  <c r="G1580" i="2"/>
  <c r="K1578" i="2"/>
  <c r="I1577" i="2"/>
  <c r="G1576" i="2"/>
  <c r="K1574" i="2"/>
  <c r="I1573" i="2"/>
  <c r="G1572" i="2"/>
  <c r="K1570" i="2"/>
  <c r="I1569" i="2"/>
  <c r="G1568" i="2"/>
  <c r="K1566" i="2"/>
  <c r="I1565" i="2"/>
  <c r="G1564" i="2"/>
  <c r="K1562" i="2"/>
  <c r="I1561" i="2"/>
  <c r="G1560" i="2"/>
  <c r="K1558" i="2"/>
  <c r="I1557" i="2"/>
  <c r="G1556" i="2"/>
  <c r="K1554" i="2"/>
  <c r="I1553" i="2"/>
  <c r="G1552" i="2"/>
  <c r="K1550" i="2"/>
  <c r="I1549" i="2"/>
  <c r="G1548" i="2"/>
  <c r="K1546" i="2"/>
  <c r="I1545" i="2"/>
  <c r="G1544" i="2"/>
  <c r="K1542" i="2"/>
  <c r="I1541" i="2"/>
  <c r="G1540" i="2"/>
  <c r="K1538" i="2"/>
  <c r="I1537" i="2"/>
  <c r="G1536" i="2"/>
  <c r="K1534" i="2"/>
  <c r="I1533" i="2"/>
  <c r="G1532" i="2"/>
  <c r="K1530" i="2"/>
  <c r="I1529" i="2"/>
  <c r="G1528" i="2"/>
  <c r="K1526" i="2"/>
  <c r="I1525" i="2"/>
  <c r="G1524" i="2"/>
  <c r="K1522" i="2"/>
  <c r="I1521" i="2"/>
  <c r="G1520" i="2"/>
  <c r="K1518" i="2"/>
  <c r="I1517" i="2"/>
  <c r="G1516" i="2"/>
  <c r="L1516" i="2" s="1"/>
  <c r="K1514" i="2"/>
  <c r="I1513" i="2"/>
  <c r="G1512" i="2"/>
  <c r="K1510" i="2"/>
  <c r="I1509" i="2"/>
  <c r="G1508" i="2"/>
  <c r="K1506" i="2"/>
  <c r="I1505" i="2"/>
  <c r="G1504" i="2"/>
  <c r="K1502" i="2"/>
  <c r="I1501" i="2"/>
  <c r="G1500" i="2"/>
  <c r="K1498" i="2"/>
  <c r="I1497" i="2"/>
  <c r="G1496" i="2"/>
  <c r="K1494" i="2"/>
  <c r="I1493" i="2"/>
  <c r="G1492" i="2"/>
  <c r="K1490" i="2"/>
  <c r="I1489" i="2"/>
  <c r="G1488" i="2"/>
  <c r="K1486" i="2"/>
  <c r="I1485" i="2"/>
  <c r="G1484" i="2"/>
  <c r="K1482" i="2"/>
  <c r="I1481" i="2"/>
  <c r="G1480" i="2"/>
  <c r="K1478" i="2"/>
  <c r="I1477" i="2"/>
  <c r="G1476" i="2"/>
  <c r="L1476" i="2" s="1"/>
  <c r="K1474" i="2"/>
  <c r="I1473" i="2"/>
  <c r="G1472" i="2"/>
  <c r="K1470" i="2"/>
  <c r="I1469" i="2"/>
  <c r="G1468" i="2"/>
  <c r="K1466" i="2"/>
  <c r="I1465" i="2"/>
  <c r="G1464" i="2"/>
  <c r="K1462" i="2"/>
  <c r="I1461" i="2"/>
  <c r="G1460" i="2"/>
  <c r="K1458" i="2"/>
  <c r="I1457" i="2"/>
  <c r="G1456" i="2"/>
  <c r="K1454" i="2"/>
  <c r="I1453" i="2"/>
  <c r="G1452" i="2"/>
  <c r="K1450" i="2"/>
  <c r="I1449" i="2"/>
  <c r="G1448" i="2"/>
  <c r="K1446" i="2"/>
  <c r="I1445" i="2"/>
  <c r="G1444" i="2"/>
  <c r="J1442" i="2"/>
  <c r="H1441" i="2"/>
  <c r="F1440" i="2"/>
  <c r="J1438" i="2"/>
  <c r="H1437" i="2"/>
  <c r="F1436" i="2"/>
  <c r="J1434" i="2"/>
  <c r="H1433" i="2"/>
  <c r="F1432" i="2"/>
  <c r="J1430" i="2"/>
  <c r="H1429" i="2"/>
  <c r="F1428" i="2"/>
  <c r="J1426" i="2"/>
  <c r="H1425" i="2"/>
  <c r="F1424" i="2"/>
  <c r="J1422" i="2"/>
  <c r="H1421" i="2"/>
  <c r="J1418" i="2"/>
  <c r="F1416" i="2"/>
  <c r="H1413" i="2"/>
  <c r="J1410" i="2"/>
  <c r="F1408" i="2"/>
  <c r="H1405" i="2"/>
  <c r="J1402" i="2"/>
  <c r="F1400" i="2"/>
  <c r="H1397" i="2"/>
  <c r="J1394" i="2"/>
  <c r="F1392" i="2"/>
  <c r="H1389" i="2"/>
  <c r="J1386" i="2"/>
  <c r="F1384" i="2"/>
  <c r="H1381" i="2"/>
  <c r="J1378" i="2"/>
  <c r="F1376" i="2"/>
  <c r="H1373" i="2"/>
  <c r="J1370" i="2"/>
  <c r="F1368" i="2"/>
  <c r="H1365" i="2"/>
  <c r="J1362" i="2"/>
  <c r="F1360" i="2"/>
  <c r="H1357" i="2"/>
  <c r="J1354" i="2"/>
  <c r="F1352" i="2"/>
  <c r="H1349" i="2"/>
  <c r="J1346" i="2"/>
  <c r="F1344" i="2"/>
  <c r="H1341" i="2"/>
  <c r="J1338" i="2"/>
  <c r="F1336" i="2"/>
  <c r="H1333" i="2"/>
  <c r="J1330" i="2"/>
  <c r="F1328" i="2"/>
  <c r="H1325" i="2"/>
  <c r="J1322" i="2"/>
  <c r="F1320" i="2"/>
  <c r="H1317" i="2"/>
  <c r="J1314" i="2"/>
  <c r="F1312" i="2"/>
  <c r="H1309" i="2"/>
  <c r="J1306" i="2"/>
  <c r="F1304" i="2"/>
  <c r="H1301" i="2"/>
  <c r="J1298" i="2"/>
  <c r="F1296" i="2"/>
  <c r="H1293" i="2"/>
  <c r="J1290" i="2"/>
  <c r="F1288" i="2"/>
  <c r="H1285" i="2"/>
  <c r="J1282" i="2"/>
  <c r="F1280" i="2"/>
  <c r="H1277" i="2"/>
  <c r="J1274" i="2"/>
  <c r="F1272" i="2"/>
  <c r="H1269" i="2"/>
  <c r="J1266" i="2"/>
  <c r="F1264" i="2"/>
  <c r="H1261" i="2"/>
  <c r="J1258" i="2"/>
  <c r="F1256" i="2"/>
  <c r="H1253" i="2"/>
  <c r="J1250" i="2"/>
  <c r="F1248" i="2"/>
  <c r="H1245" i="2"/>
  <c r="J1242" i="2"/>
  <c r="F1240" i="2"/>
  <c r="H1237" i="2"/>
  <c r="J1234" i="2"/>
  <c r="F1232" i="2"/>
  <c r="H1229" i="2"/>
  <c r="J1226" i="2"/>
  <c r="F1224" i="2"/>
  <c r="H1221" i="2"/>
  <c r="J1218" i="2"/>
  <c r="F1216" i="2"/>
  <c r="C1216" i="2" s="1"/>
  <c r="H1213" i="2"/>
  <c r="J1210" i="2"/>
  <c r="F1208" i="2"/>
  <c r="H1205" i="2"/>
  <c r="J1202" i="2"/>
  <c r="F1200" i="2"/>
  <c r="H1197" i="2"/>
  <c r="J1194" i="2"/>
  <c r="F1192" i="2"/>
  <c r="H1189" i="2"/>
  <c r="K1186" i="2"/>
  <c r="G1184" i="2"/>
  <c r="I1181" i="2"/>
  <c r="G1180" i="2"/>
  <c r="K1178" i="2"/>
  <c r="I1177" i="2"/>
  <c r="G1176" i="2"/>
  <c r="K1174" i="2"/>
  <c r="L1174" i="2" s="1"/>
  <c r="I1173" i="2"/>
  <c r="G1172" i="2"/>
  <c r="K1170" i="2"/>
  <c r="I1169" i="2"/>
  <c r="G1168" i="2"/>
  <c r="K1166" i="2"/>
  <c r="C1166" i="2" s="1"/>
  <c r="I1165" i="2"/>
  <c r="G1164" i="2"/>
  <c r="K1162" i="2"/>
  <c r="I1161" i="2"/>
  <c r="G1160" i="2"/>
  <c r="K1158" i="2"/>
  <c r="C1158" i="2" s="1"/>
  <c r="I1157" i="2"/>
  <c r="G1156" i="2"/>
  <c r="K1154" i="2"/>
  <c r="I1153" i="2"/>
  <c r="G1152" i="2"/>
  <c r="K1150" i="2"/>
  <c r="C1150" i="2" s="1"/>
  <c r="I1149" i="2"/>
  <c r="G1148" i="2"/>
  <c r="K1146" i="2"/>
  <c r="I1145" i="2"/>
  <c r="G1144" i="2"/>
  <c r="K1142" i="2"/>
  <c r="L1142" i="2" s="1"/>
  <c r="I1141" i="2"/>
  <c r="G1140" i="2"/>
  <c r="K1138" i="2"/>
  <c r="I1137" i="2"/>
  <c r="G1136" i="2"/>
  <c r="K1134" i="2"/>
  <c r="C1134" i="2" s="1"/>
  <c r="I1133" i="2"/>
  <c r="G1132" i="2"/>
  <c r="K1130" i="2"/>
  <c r="I1129" i="2"/>
  <c r="G1128" i="2"/>
  <c r="K1126" i="2"/>
  <c r="C1126" i="2" s="1"/>
  <c r="I1125" i="2"/>
  <c r="G1124" i="2"/>
  <c r="K1122" i="2"/>
  <c r="I1121" i="2"/>
  <c r="G1120" i="2"/>
  <c r="K1118" i="2"/>
  <c r="C1118" i="2" s="1"/>
  <c r="I1117" i="2"/>
  <c r="G1116" i="2"/>
  <c r="K1114" i="2"/>
  <c r="I1113" i="2"/>
  <c r="G1112" i="2"/>
  <c r="K1110" i="2"/>
  <c r="C1110" i="2" s="1"/>
  <c r="I1109" i="2"/>
  <c r="G1108" i="2"/>
  <c r="K1106" i="2"/>
  <c r="I1105" i="2"/>
  <c r="G1104" i="2"/>
  <c r="K1102" i="2"/>
  <c r="C1102" i="2" s="1"/>
  <c r="I1101" i="2"/>
  <c r="G1100" i="2"/>
  <c r="K1098" i="2"/>
  <c r="I1097" i="2"/>
  <c r="G1096" i="2"/>
  <c r="K1094" i="2"/>
  <c r="C1094" i="2" s="1"/>
  <c r="I1093" i="2"/>
  <c r="G1092" i="2"/>
  <c r="K1090" i="2"/>
  <c r="I1089" i="2"/>
  <c r="G1088" i="2"/>
  <c r="K1086" i="2"/>
  <c r="C1086" i="2" s="1"/>
  <c r="I1085" i="2"/>
  <c r="G1084" i="2"/>
  <c r="K1082" i="2"/>
  <c r="I1081" i="2"/>
  <c r="G1080" i="2"/>
  <c r="K1078" i="2"/>
  <c r="C1078" i="2" s="1"/>
  <c r="I1077" i="2"/>
  <c r="G1076" i="2"/>
  <c r="K1074" i="2"/>
  <c r="I1073" i="2"/>
  <c r="G1072" i="2"/>
  <c r="K1070" i="2"/>
  <c r="C1070" i="2" s="1"/>
  <c r="I1069" i="2"/>
  <c r="G1068" i="2"/>
  <c r="K1066" i="2"/>
  <c r="I1065" i="2"/>
  <c r="G1064" i="2"/>
  <c r="K1062" i="2"/>
  <c r="C1062" i="2" s="1"/>
  <c r="I1061" i="2"/>
  <c r="G1060" i="2"/>
  <c r="K1058" i="2"/>
  <c r="I1057" i="2"/>
  <c r="G1056" i="2"/>
  <c r="K1054" i="2"/>
  <c r="C1054" i="2" s="1"/>
  <c r="I1053" i="2"/>
  <c r="G1052" i="2"/>
  <c r="K1050" i="2"/>
  <c r="I1049" i="2"/>
  <c r="G1048" i="2"/>
  <c r="K1046" i="2"/>
  <c r="C1046" i="2" s="1"/>
  <c r="I1045" i="2"/>
  <c r="G1044" i="2"/>
  <c r="K1042" i="2"/>
  <c r="I1041" i="2"/>
  <c r="G1040" i="2"/>
  <c r="K1038" i="2"/>
  <c r="C1038" i="2" s="1"/>
  <c r="I1037" i="2"/>
  <c r="G1036" i="2"/>
  <c r="K1034" i="2"/>
  <c r="I1033" i="2"/>
  <c r="G1032" i="2"/>
  <c r="K1030" i="2"/>
  <c r="C1030" i="2" s="1"/>
  <c r="I1029" i="2"/>
  <c r="G1028" i="2"/>
  <c r="K1026" i="2"/>
  <c r="I1025" i="2"/>
  <c r="G1024" i="2"/>
  <c r="K1022" i="2"/>
  <c r="C1022" i="2" s="1"/>
  <c r="I1021" i="2"/>
  <c r="G1020" i="2"/>
  <c r="K1018" i="2"/>
  <c r="I1017" i="2"/>
  <c r="G1016" i="2"/>
  <c r="K1014" i="2"/>
  <c r="C1014" i="2" s="1"/>
  <c r="I1013" i="2"/>
  <c r="G1012" i="2"/>
  <c r="K1010" i="2"/>
  <c r="I1009" i="2"/>
  <c r="G1008" i="2"/>
  <c r="K1006" i="2"/>
  <c r="C1006" i="2" s="1"/>
  <c r="I1005" i="2"/>
  <c r="G1004" i="2"/>
  <c r="K1002" i="2"/>
  <c r="I1001" i="2"/>
  <c r="G1000" i="2"/>
  <c r="K998" i="2"/>
  <c r="C998" i="2" s="1"/>
  <c r="I997" i="2"/>
  <c r="G996" i="2"/>
  <c r="K994" i="2"/>
  <c r="I993" i="2"/>
  <c r="G992" i="2"/>
  <c r="K990" i="2"/>
  <c r="C990" i="2" s="1"/>
  <c r="I989" i="2"/>
  <c r="G988" i="2"/>
  <c r="K986" i="2"/>
  <c r="I985" i="2"/>
  <c r="G984" i="2"/>
  <c r="K982" i="2"/>
  <c r="C982" i="2" s="1"/>
  <c r="I981" i="2"/>
  <c r="G980" i="2"/>
  <c r="K978" i="2"/>
  <c r="I977" i="2"/>
  <c r="G976" i="2"/>
  <c r="K974" i="2"/>
  <c r="I973" i="2"/>
  <c r="G972" i="2"/>
  <c r="K970" i="2"/>
  <c r="I969" i="2"/>
  <c r="F967" i="2"/>
  <c r="H964" i="2"/>
  <c r="G1420" i="2"/>
  <c r="K1418" i="2"/>
  <c r="I1417" i="2"/>
  <c r="G1416" i="2"/>
  <c r="K1414" i="2"/>
  <c r="I1413" i="2"/>
  <c r="G1412" i="2"/>
  <c r="K1410" i="2"/>
  <c r="I1409" i="2"/>
  <c r="G1408" i="2"/>
  <c r="K1406" i="2"/>
  <c r="I1405" i="2"/>
  <c r="G1404" i="2"/>
  <c r="K1402" i="2"/>
  <c r="I1401" i="2"/>
  <c r="G1400" i="2"/>
  <c r="K1398" i="2"/>
  <c r="I1397" i="2"/>
  <c r="G1396" i="2"/>
  <c r="K1394" i="2"/>
  <c r="I1393" i="2"/>
  <c r="G1392" i="2"/>
  <c r="K1390" i="2"/>
  <c r="I1389" i="2"/>
  <c r="G1388" i="2"/>
  <c r="K1386" i="2"/>
  <c r="I1385" i="2"/>
  <c r="G1384" i="2"/>
  <c r="K1382" i="2"/>
  <c r="I1381" i="2"/>
  <c r="G1380" i="2"/>
  <c r="K1378" i="2"/>
  <c r="I1377" i="2"/>
  <c r="G1376" i="2"/>
  <c r="K1374" i="2"/>
  <c r="I1373" i="2"/>
  <c r="G1372" i="2"/>
  <c r="K1370" i="2"/>
  <c r="I1369" i="2"/>
  <c r="G1368" i="2"/>
  <c r="K1366" i="2"/>
  <c r="I1365" i="2"/>
  <c r="G1364" i="2"/>
  <c r="K1362" i="2"/>
  <c r="I1361" i="2"/>
  <c r="G1360" i="2"/>
  <c r="K1358" i="2"/>
  <c r="I1357" i="2"/>
  <c r="G1356" i="2"/>
  <c r="K1354" i="2"/>
  <c r="I1353" i="2"/>
  <c r="G1352" i="2"/>
  <c r="K1350" i="2"/>
  <c r="I1349" i="2"/>
  <c r="G1348" i="2"/>
  <c r="K1346" i="2"/>
  <c r="I1345" i="2"/>
  <c r="G1344" i="2"/>
  <c r="K1342" i="2"/>
  <c r="I1341" i="2"/>
  <c r="G1340" i="2"/>
  <c r="K1338" i="2"/>
  <c r="I1337" i="2"/>
  <c r="G1336" i="2"/>
  <c r="K1334" i="2"/>
  <c r="I1333" i="2"/>
  <c r="G1332" i="2"/>
  <c r="K1330" i="2"/>
  <c r="I1329" i="2"/>
  <c r="G1328" i="2"/>
  <c r="K1326" i="2"/>
  <c r="I1325" i="2"/>
  <c r="G1324" i="2"/>
  <c r="K1322" i="2"/>
  <c r="I1321" i="2"/>
  <c r="G1320" i="2"/>
  <c r="K1318" i="2"/>
  <c r="I1317" i="2"/>
  <c r="C1317" i="2" s="1"/>
  <c r="G1316" i="2"/>
  <c r="K1314" i="2"/>
  <c r="I1313" i="2"/>
  <c r="G1312" i="2"/>
  <c r="K1310" i="2"/>
  <c r="I1309" i="2"/>
  <c r="G1308" i="2"/>
  <c r="K1306" i="2"/>
  <c r="C1306" i="2" s="1"/>
  <c r="I1305" i="2"/>
  <c r="G1304" i="2"/>
  <c r="K1302" i="2"/>
  <c r="I1301" i="2"/>
  <c r="C1301" i="2" s="1"/>
  <c r="G1300" i="2"/>
  <c r="K1298" i="2"/>
  <c r="I1297" i="2"/>
  <c r="G1296" i="2"/>
  <c r="K1294" i="2"/>
  <c r="I1293" i="2"/>
  <c r="G1292" i="2"/>
  <c r="K1290" i="2"/>
  <c r="C1290" i="2" s="1"/>
  <c r="I1289" i="2"/>
  <c r="G1288" i="2"/>
  <c r="K1286" i="2"/>
  <c r="I1285" i="2"/>
  <c r="C1285" i="2" s="1"/>
  <c r="G1284" i="2"/>
  <c r="K1282" i="2"/>
  <c r="I1281" i="2"/>
  <c r="G1280" i="2"/>
  <c r="K1278" i="2"/>
  <c r="I1277" i="2"/>
  <c r="G1276" i="2"/>
  <c r="K1274" i="2"/>
  <c r="C1274" i="2" s="1"/>
  <c r="I1273" i="2"/>
  <c r="G1272" i="2"/>
  <c r="K1270" i="2"/>
  <c r="I1269" i="2"/>
  <c r="C1269" i="2" s="1"/>
  <c r="G1268" i="2"/>
  <c r="K1266" i="2"/>
  <c r="I1265" i="2"/>
  <c r="G1264" i="2"/>
  <c r="K1262" i="2"/>
  <c r="I1260" i="2"/>
  <c r="K1257" i="2"/>
  <c r="G1255" i="2"/>
  <c r="I1252" i="2"/>
  <c r="K1249" i="2"/>
  <c r="C1249" i="2" s="1"/>
  <c r="G1247" i="2"/>
  <c r="I1244" i="2"/>
  <c r="K1241" i="2"/>
  <c r="G1239" i="2"/>
  <c r="I1236" i="2"/>
  <c r="K1233" i="2"/>
  <c r="C1233" i="2" s="1"/>
  <c r="G1231" i="2"/>
  <c r="I1228" i="2"/>
  <c r="K1225" i="2"/>
  <c r="G1223" i="2"/>
  <c r="I1220" i="2"/>
  <c r="K1217" i="2"/>
  <c r="C1217" i="2" s="1"/>
  <c r="G1215" i="2"/>
  <c r="I1212" i="2"/>
  <c r="K1209" i="2"/>
  <c r="G1207" i="2"/>
  <c r="I1204" i="2"/>
  <c r="K1201" i="2"/>
  <c r="L1201" i="2" s="1"/>
  <c r="G1199" i="2"/>
  <c r="I1196" i="2"/>
  <c r="K1193" i="2"/>
  <c r="G1191" i="2"/>
  <c r="I1188" i="2"/>
  <c r="J1185" i="2"/>
  <c r="C1185" i="2" s="1"/>
  <c r="F1183" i="2"/>
  <c r="H1180" i="2"/>
  <c r="J1177" i="2"/>
  <c r="F1175" i="2"/>
  <c r="H1172" i="2"/>
  <c r="J1169" i="2"/>
  <c r="F1167" i="2"/>
  <c r="H1164" i="2"/>
  <c r="J1161" i="2"/>
  <c r="F1159" i="2"/>
  <c r="H1156" i="2"/>
  <c r="J1153" i="2"/>
  <c r="F1151" i="2"/>
  <c r="H1148" i="2"/>
  <c r="J1145" i="2"/>
  <c r="F1143" i="2"/>
  <c r="H1140" i="2"/>
  <c r="J1137" i="2"/>
  <c r="F1135" i="2"/>
  <c r="H1132" i="2"/>
  <c r="J1129" i="2"/>
  <c r="F1127" i="2"/>
  <c r="H1124" i="2"/>
  <c r="J1121" i="2"/>
  <c r="F1119" i="2"/>
  <c r="H1116" i="2"/>
  <c r="J1113" i="2"/>
  <c r="F1111" i="2"/>
  <c r="H1108" i="2"/>
  <c r="J1105" i="2"/>
  <c r="F1103" i="2"/>
  <c r="H1100" i="2"/>
  <c r="J1097" i="2"/>
  <c r="F1095" i="2"/>
  <c r="H1092" i="2"/>
  <c r="J1089" i="2"/>
  <c r="F1087" i="2"/>
  <c r="H1084" i="2"/>
  <c r="J1081" i="2"/>
  <c r="F1079" i="2"/>
  <c r="H1076" i="2"/>
  <c r="J1073" i="2"/>
  <c r="F1071" i="2"/>
  <c r="H1068" i="2"/>
  <c r="J1065" i="2"/>
  <c r="F1063" i="2"/>
  <c r="H1060" i="2"/>
  <c r="J1057" i="2"/>
  <c r="F1055" i="2"/>
  <c r="H1052" i="2"/>
  <c r="J1049" i="2"/>
  <c r="F1047" i="2"/>
  <c r="H1044" i="2"/>
  <c r="J1041" i="2"/>
  <c r="F1039" i="2"/>
  <c r="H1036" i="2"/>
  <c r="J1033" i="2"/>
  <c r="F1031" i="2"/>
  <c r="H1028" i="2"/>
  <c r="J1025" i="2"/>
  <c r="F1023" i="2"/>
  <c r="H1020" i="2"/>
  <c r="J1017" i="2"/>
  <c r="F1015" i="2"/>
  <c r="H1012" i="2"/>
  <c r="J1009" i="2"/>
  <c r="F1007" i="2"/>
  <c r="H1004" i="2"/>
  <c r="J1001" i="2"/>
  <c r="F999" i="2"/>
  <c r="H996" i="2"/>
  <c r="J993" i="2"/>
  <c r="F991" i="2"/>
  <c r="H988" i="2"/>
  <c r="J985" i="2"/>
  <c r="F983" i="2"/>
  <c r="H980" i="2"/>
  <c r="J977" i="2"/>
  <c r="F975" i="2"/>
  <c r="C975" i="2" s="1"/>
  <c r="H972" i="2"/>
  <c r="C972" i="2" s="1"/>
  <c r="J969" i="2"/>
  <c r="J964" i="2"/>
  <c r="J961" i="2"/>
  <c r="F959" i="2"/>
  <c r="H956" i="2"/>
  <c r="J953" i="2"/>
  <c r="F951" i="2"/>
  <c r="H948" i="2"/>
  <c r="J945" i="2"/>
  <c r="F943" i="2"/>
  <c r="H940" i="2"/>
  <c r="J937" i="2"/>
  <c r="F935" i="2"/>
  <c r="H932" i="2"/>
  <c r="J929" i="2"/>
  <c r="F927" i="2"/>
  <c r="H924" i="2"/>
  <c r="J921" i="2"/>
  <c r="G919" i="2"/>
  <c r="I916" i="2"/>
  <c r="K913" i="2"/>
  <c r="G911" i="2"/>
  <c r="I908" i="2"/>
  <c r="K905" i="2"/>
  <c r="G903" i="2"/>
  <c r="I900" i="2"/>
  <c r="K897" i="2"/>
  <c r="G895" i="2"/>
  <c r="I892" i="2"/>
  <c r="K889" i="2"/>
  <c r="G887" i="2"/>
  <c r="I884" i="2"/>
  <c r="K881" i="2"/>
  <c r="G879" i="2"/>
  <c r="I876" i="2"/>
  <c r="K873" i="2"/>
  <c r="G871" i="2"/>
  <c r="I868" i="2"/>
  <c r="K865" i="2"/>
  <c r="G863" i="2"/>
  <c r="I860" i="2"/>
  <c r="K857" i="2"/>
  <c r="G855" i="2"/>
  <c r="I852" i="2"/>
  <c r="K849" i="2"/>
  <c r="G847" i="2"/>
  <c r="I844" i="2"/>
  <c r="K841" i="2"/>
  <c r="G839" i="2"/>
  <c r="I836" i="2"/>
  <c r="K833" i="2"/>
  <c r="G831" i="2"/>
  <c r="I828" i="2"/>
  <c r="K825" i="2"/>
  <c r="G823" i="2"/>
  <c r="I820" i="2"/>
  <c r="K817" i="2"/>
  <c r="G815" i="2"/>
  <c r="I812" i="2"/>
  <c r="K809" i="2"/>
  <c r="G807" i="2"/>
  <c r="I804" i="2"/>
  <c r="K801" i="2"/>
  <c r="G799" i="2"/>
  <c r="L799" i="2" s="1"/>
  <c r="I796" i="2"/>
  <c r="K791" i="2"/>
  <c r="I786" i="2"/>
  <c r="L786" i="2" s="1"/>
  <c r="G781" i="2"/>
  <c r="L781" i="2" s="1"/>
  <c r="K775" i="2"/>
  <c r="I770" i="2"/>
  <c r="L770" i="2" s="1"/>
  <c r="G765" i="2"/>
  <c r="K759" i="2"/>
  <c r="I754" i="2"/>
  <c r="C754" i="2" s="1"/>
  <c r="G749" i="2"/>
  <c r="L749" i="2" s="1"/>
  <c r="K743" i="2"/>
  <c r="I738" i="2"/>
  <c r="L738" i="2" s="1"/>
  <c r="G733" i="2"/>
  <c r="C733" i="2" s="1"/>
  <c r="K727" i="2"/>
  <c r="I722" i="2"/>
  <c r="C722" i="2" s="1"/>
  <c r="G717" i="2"/>
  <c r="K711" i="2"/>
  <c r="I706" i="2"/>
  <c r="L706" i="2" s="1"/>
  <c r="G701" i="2"/>
  <c r="C701" i="2" s="1"/>
  <c r="K695" i="2"/>
  <c r="I690" i="2"/>
  <c r="L690" i="2" s="1"/>
  <c r="I967" i="2"/>
  <c r="K964" i="2"/>
  <c r="G962" i="2"/>
  <c r="I959" i="2"/>
  <c r="K956" i="2"/>
  <c r="G954" i="2"/>
  <c r="I951" i="2"/>
  <c r="K948" i="2"/>
  <c r="G946" i="2"/>
  <c r="I943" i="2"/>
  <c r="K940" i="2"/>
  <c r="G938" i="2"/>
  <c r="I935" i="2"/>
  <c r="K932" i="2"/>
  <c r="G930" i="2"/>
  <c r="I927" i="2"/>
  <c r="K924" i="2"/>
  <c r="G922" i="2"/>
  <c r="H919" i="2"/>
  <c r="J916" i="2"/>
  <c r="F914" i="2"/>
  <c r="H911" i="2"/>
  <c r="J908" i="2"/>
  <c r="F906" i="2"/>
  <c r="H903" i="2"/>
  <c r="J900" i="2"/>
  <c r="F898" i="2"/>
  <c r="H895" i="2"/>
  <c r="J892" i="2"/>
  <c r="F890" i="2"/>
  <c r="H887" i="2"/>
  <c r="J884" i="2"/>
  <c r="F882" i="2"/>
  <c r="H879" i="2"/>
  <c r="J876" i="2"/>
  <c r="F874" i="2"/>
  <c r="H871" i="2"/>
  <c r="J868" i="2"/>
  <c r="F866" i="2"/>
  <c r="H863" i="2"/>
  <c r="J860" i="2"/>
  <c r="F858" i="2"/>
  <c r="H855" i="2"/>
  <c r="J852" i="2"/>
  <c r="F850" i="2"/>
  <c r="H847" i="2"/>
  <c r="J844" i="2"/>
  <c r="F842" i="2"/>
  <c r="H839" i="2"/>
  <c r="J836" i="2"/>
  <c r="F834" i="2"/>
  <c r="H831" i="2"/>
  <c r="J828" i="2"/>
  <c r="F826" i="2"/>
  <c r="L826" i="2" s="1"/>
  <c r="H823" i="2"/>
  <c r="J820" i="2"/>
  <c r="F818" i="2"/>
  <c r="L818" i="2" s="1"/>
  <c r="H815" i="2"/>
  <c r="J812" i="2"/>
  <c r="F810" i="2"/>
  <c r="C810" i="2" s="1"/>
  <c r="H807" i="2"/>
  <c r="J804" i="2"/>
  <c r="F800" i="2"/>
  <c r="I793" i="2"/>
  <c r="C793" i="2" s="1"/>
  <c r="K782" i="2"/>
  <c r="G772" i="2"/>
  <c r="I761" i="2"/>
  <c r="L761" i="2" s="1"/>
  <c r="K750" i="2"/>
  <c r="G740" i="2"/>
  <c r="I729" i="2"/>
  <c r="L729" i="2" s="1"/>
  <c r="K718" i="2"/>
  <c r="G708" i="2"/>
  <c r="I697" i="2"/>
  <c r="K687" i="2"/>
  <c r="C687" i="2" s="1"/>
  <c r="I682" i="2"/>
  <c r="L682" i="2" s="1"/>
  <c r="G677" i="2"/>
  <c r="K671" i="2"/>
  <c r="L671" i="2" s="1"/>
  <c r="I666" i="2"/>
  <c r="C666" i="2" s="1"/>
  <c r="G661" i="2"/>
  <c r="J655" i="2"/>
  <c r="L655" i="2" s="1"/>
  <c r="H650" i="2"/>
  <c r="L650" i="2" s="1"/>
  <c r="F645" i="2"/>
  <c r="J639" i="2"/>
  <c r="L639" i="2" s="1"/>
  <c r="H634" i="2"/>
  <c r="L634" i="2" s="1"/>
  <c r="F629" i="2"/>
  <c r="L629" i="2" s="1"/>
  <c r="J623" i="2"/>
  <c r="L623" i="2" s="1"/>
  <c r="H618" i="2"/>
  <c r="C618" i="2" s="1"/>
  <c r="F613" i="2"/>
  <c r="L613" i="2" s="1"/>
  <c r="J607" i="2"/>
  <c r="H602" i="2"/>
  <c r="C602" i="2" s="1"/>
  <c r="I595" i="2"/>
  <c r="K584" i="2"/>
  <c r="C584" i="2" s="1"/>
  <c r="G574" i="2"/>
  <c r="I563" i="2"/>
  <c r="K552" i="2"/>
  <c r="L552" i="2" s="1"/>
  <c r="F791" i="2"/>
  <c r="J785" i="2"/>
  <c r="H780" i="2"/>
  <c r="F775" i="2"/>
  <c r="J769" i="2"/>
  <c r="C769" i="2" s="1"/>
  <c r="H764" i="2"/>
  <c r="F759" i="2"/>
  <c r="J753" i="2"/>
  <c r="H748" i="2"/>
  <c r="C748" i="2" s="1"/>
  <c r="F743" i="2"/>
  <c r="J737" i="2"/>
  <c r="H732" i="2"/>
  <c r="F727" i="2"/>
  <c r="J721" i="2"/>
  <c r="H716" i="2"/>
  <c r="F711" i="2"/>
  <c r="J705" i="2"/>
  <c r="H700" i="2"/>
  <c r="F695" i="2"/>
  <c r="J689" i="2"/>
  <c r="C689" i="2" s="1"/>
  <c r="H684" i="2"/>
  <c r="L684" i="2" s="1"/>
  <c r="F679" i="2"/>
  <c r="J673" i="2"/>
  <c r="H668" i="2"/>
  <c r="L668" i="2" s="1"/>
  <c r="F663" i="2"/>
  <c r="L663" i="2" s="1"/>
  <c r="K657" i="2"/>
  <c r="C657" i="2" s="1"/>
  <c r="I652" i="2"/>
  <c r="C652" i="2" s="1"/>
  <c r="G647" i="2"/>
  <c r="L647" i="2" s="1"/>
  <c r="K641" i="2"/>
  <c r="I636" i="2"/>
  <c r="G631" i="2"/>
  <c r="L631" i="2" s="1"/>
  <c r="I621" i="2"/>
  <c r="L621" i="2" s="1"/>
  <c r="K610" i="2"/>
  <c r="C610" i="2" s="1"/>
  <c r="G600" i="2"/>
  <c r="L600" i="2" s="1"/>
  <c r="I580" i="2"/>
  <c r="L580" i="2" s="1"/>
  <c r="G559" i="2"/>
  <c r="L559" i="2" s="1"/>
  <c r="K544" i="2"/>
  <c r="G534" i="2"/>
  <c r="I523" i="2"/>
  <c r="K512" i="2"/>
  <c r="L512" i="2" s="1"/>
  <c r="I501" i="2"/>
  <c r="G480" i="2"/>
  <c r="H594" i="2"/>
  <c r="C594" i="2" s="1"/>
  <c r="J583" i="2"/>
  <c r="L583" i="2" s="1"/>
  <c r="F573" i="2"/>
  <c r="L573" i="2" s="1"/>
  <c r="H562" i="2"/>
  <c r="J551" i="2"/>
  <c r="H532" i="2"/>
  <c r="L532" i="2" s="1"/>
  <c r="F511" i="2"/>
  <c r="L511" i="2" s="1"/>
  <c r="I476" i="2"/>
  <c r="I450" i="2"/>
  <c r="F497" i="2"/>
  <c r="K375" i="2"/>
  <c r="J377" i="2"/>
  <c r="K402" i="2"/>
  <c r="F415" i="2"/>
  <c r="J425" i="2"/>
  <c r="J372" i="2"/>
  <c r="H383" i="2"/>
  <c r="J389" i="2"/>
  <c r="F399" i="2"/>
  <c r="G410" i="2"/>
  <c r="K420" i="2"/>
  <c r="K426" i="2"/>
  <c r="F431" i="2"/>
  <c r="J433" i="2"/>
  <c r="H436" i="2"/>
  <c r="F439" i="2"/>
  <c r="J441" i="2"/>
  <c r="H444" i="2"/>
  <c r="F447" i="2"/>
  <c r="J449" i="2"/>
  <c r="H452" i="2"/>
  <c r="J454" i="2"/>
  <c r="F456" i="2"/>
  <c r="H457" i="2"/>
  <c r="J458" i="2"/>
  <c r="F460" i="2"/>
  <c r="H461" i="2"/>
  <c r="J462" i="2"/>
  <c r="F464" i="2"/>
  <c r="H465" i="2"/>
  <c r="J466" i="2"/>
  <c r="F468" i="2"/>
  <c r="H469" i="2"/>
  <c r="J470" i="2"/>
  <c r="F472" i="2"/>
  <c r="H473" i="2"/>
  <c r="J474" i="2"/>
  <c r="F476" i="2"/>
  <c r="H477" i="2"/>
  <c r="J478" i="2"/>
  <c r="F480" i="2"/>
  <c r="H481" i="2"/>
  <c r="J482" i="2"/>
  <c r="H483" i="2"/>
  <c r="F484" i="2"/>
  <c r="J484" i="2"/>
  <c r="H485" i="2"/>
  <c r="L485" i="2" s="1"/>
  <c r="F486" i="2"/>
  <c r="J486" i="2"/>
  <c r="H487" i="2"/>
  <c r="L487" i="2" s="1"/>
  <c r="F488" i="2"/>
  <c r="J488" i="2"/>
  <c r="H489" i="2"/>
  <c r="L489" i="2" s="1"/>
  <c r="F490" i="2"/>
  <c r="J490" i="2"/>
  <c r="H491" i="2"/>
  <c r="F492" i="2"/>
  <c r="J492" i="2"/>
  <c r="H493" i="2"/>
  <c r="L493" i="2" s="1"/>
  <c r="F494" i="2"/>
  <c r="J494" i="2"/>
  <c r="H495" i="2"/>
  <c r="F496" i="2"/>
  <c r="J496" i="2"/>
  <c r="H497" i="2"/>
  <c r="F498" i="2"/>
  <c r="J498" i="2"/>
  <c r="H499" i="2"/>
  <c r="F500" i="2"/>
  <c r="J500" i="2"/>
  <c r="H501" i="2"/>
  <c r="F502" i="2"/>
  <c r="J502" i="2"/>
  <c r="F392" i="2"/>
  <c r="H393" i="2"/>
  <c r="J394" i="2"/>
  <c r="F396" i="2"/>
  <c r="H397" i="2"/>
  <c r="J398" i="2"/>
  <c r="F400" i="2"/>
  <c r="H401" i="2"/>
  <c r="J402" i="2"/>
  <c r="F404" i="2"/>
  <c r="G405" i="2"/>
  <c r="I406" i="2"/>
  <c r="I347" i="2"/>
  <c r="I335" i="2"/>
  <c r="J363" i="2"/>
  <c r="K386" i="2"/>
  <c r="I397" i="2"/>
  <c r="F407" i="2"/>
  <c r="H412" i="2"/>
  <c r="J417" i="2"/>
  <c r="F423" i="2"/>
  <c r="H428" i="2"/>
  <c r="H369" i="2"/>
  <c r="H375" i="2"/>
  <c r="J380" i="2"/>
  <c r="J385" i="2"/>
  <c r="H388" i="2"/>
  <c r="F391" i="2"/>
  <c r="H396" i="2"/>
  <c r="J401" i="2"/>
  <c r="I407" i="2"/>
  <c r="K412" i="2"/>
  <c r="G418" i="2"/>
  <c r="K422" i="2"/>
  <c r="I425" i="2"/>
  <c r="G428" i="2"/>
  <c r="H430" i="2"/>
  <c r="J431" i="2"/>
  <c r="F433" i="2"/>
  <c r="H434" i="2"/>
  <c r="J435" i="2"/>
  <c r="F437" i="2"/>
  <c r="H438" i="2"/>
  <c r="J439" i="2"/>
  <c r="F441" i="2"/>
  <c r="H442" i="2"/>
  <c r="J443" i="2"/>
  <c r="F445" i="2"/>
  <c r="H446" i="2"/>
  <c r="J447" i="2"/>
  <c r="F449" i="2"/>
  <c r="H450" i="2"/>
  <c r="J451" i="2"/>
  <c r="F453" i="2"/>
  <c r="H454" i="2"/>
  <c r="F455" i="2"/>
  <c r="J455" i="2"/>
  <c r="H456" i="2"/>
  <c r="F457" i="2"/>
  <c r="J457" i="2"/>
  <c r="H458" i="2"/>
  <c r="F459" i="2"/>
  <c r="J459" i="2"/>
  <c r="H460" i="2"/>
  <c r="F461" i="2"/>
  <c r="J461" i="2"/>
  <c r="H462" i="2"/>
  <c r="L462" i="2" s="1"/>
  <c r="F463" i="2"/>
  <c r="J463" i="2"/>
  <c r="H464" i="2"/>
  <c r="F465" i="2"/>
  <c r="J465" i="2"/>
  <c r="H466" i="2"/>
  <c r="F467" i="2"/>
  <c r="J467" i="2"/>
  <c r="H468" i="2"/>
  <c r="F469" i="2"/>
  <c r="J469" i="2"/>
  <c r="H470" i="2"/>
  <c r="L470" i="2" s="1"/>
  <c r="F471" i="2"/>
  <c r="J471" i="2"/>
  <c r="H472" i="2"/>
  <c r="F473" i="2"/>
  <c r="J473" i="2"/>
  <c r="H474" i="2"/>
  <c r="F475" i="2"/>
  <c r="J475" i="2"/>
  <c r="H476" i="2"/>
  <c r="F477" i="2"/>
  <c r="J477" i="2"/>
  <c r="H478" i="2"/>
  <c r="L478" i="2" s="1"/>
  <c r="F479" i="2"/>
  <c r="J479" i="2"/>
  <c r="H480" i="2"/>
  <c r="F481" i="2"/>
  <c r="J481" i="2"/>
  <c r="H482" i="2"/>
  <c r="H340" i="2"/>
  <c r="G365" i="2"/>
  <c r="I321" i="2"/>
  <c r="G346" i="2"/>
  <c r="H357" i="2"/>
  <c r="H372" i="2"/>
  <c r="F383" i="2"/>
  <c r="I389" i="2"/>
  <c r="K394" i="2"/>
  <c r="G400" i="2"/>
  <c r="H405" i="2"/>
  <c r="H408" i="2"/>
  <c r="F411" i="2"/>
  <c r="J413" i="2"/>
  <c r="H416" i="2"/>
  <c r="F419" i="2"/>
  <c r="J421" i="2"/>
  <c r="H424" i="2"/>
  <c r="F427" i="2"/>
  <c r="J429" i="2"/>
  <c r="J366" i="2"/>
  <c r="H371" i="2"/>
  <c r="F374" i="2"/>
  <c r="J376" i="2"/>
  <c r="H379" i="2"/>
  <c r="F382" i="2"/>
  <c r="J384" i="2"/>
  <c r="H386" i="2"/>
  <c r="J387" i="2"/>
  <c r="F389" i="2"/>
  <c r="H390" i="2"/>
  <c r="H392" i="2"/>
  <c r="F395" i="2"/>
  <c r="J397" i="2"/>
  <c r="H400" i="2"/>
  <c r="F403" i="2"/>
  <c r="G406" i="2"/>
  <c r="K408" i="2"/>
  <c r="I411" i="2"/>
  <c r="G414" i="2"/>
  <c r="K416" i="2"/>
  <c r="I419" i="2"/>
  <c r="G422" i="2"/>
  <c r="I423" i="2"/>
  <c r="K424" i="2"/>
  <c r="G426" i="2"/>
  <c r="I427" i="2"/>
  <c r="K428" i="2"/>
  <c r="F430" i="2"/>
  <c r="J430" i="2"/>
  <c r="H431" i="2"/>
  <c r="F432" i="2"/>
  <c r="J432" i="2"/>
  <c r="H433" i="2"/>
  <c r="F434" i="2"/>
  <c r="J434" i="2"/>
  <c r="H435" i="2"/>
  <c r="F436" i="2"/>
  <c r="J436" i="2"/>
  <c r="H437" i="2"/>
  <c r="F438" i="2"/>
  <c r="J438" i="2"/>
  <c r="H439" i="2"/>
  <c r="F440" i="2"/>
  <c r="J440" i="2"/>
  <c r="H441" i="2"/>
  <c r="F442" i="2"/>
  <c r="J442" i="2"/>
  <c r="H443" i="2"/>
  <c r="F444" i="2"/>
  <c r="J444" i="2"/>
  <c r="H445" i="2"/>
  <c r="F446" i="2"/>
  <c r="J446" i="2"/>
  <c r="H447" i="2"/>
  <c r="F448" i="2"/>
  <c r="J448" i="2"/>
  <c r="H449" i="2"/>
  <c r="F450" i="2"/>
  <c r="J450" i="2"/>
  <c r="H451" i="2"/>
  <c r="F452" i="2"/>
  <c r="J452" i="2"/>
  <c r="H453" i="2"/>
  <c r="F454" i="2"/>
  <c r="J329" i="2"/>
  <c r="I326" i="2"/>
  <c r="G358" i="2"/>
  <c r="I370" i="2"/>
  <c r="G381" i="2"/>
  <c r="G330" i="2"/>
  <c r="K340" i="2"/>
  <c r="H349" i="2"/>
  <c r="J354" i="2"/>
  <c r="F360" i="2"/>
  <c r="F369" i="2"/>
  <c r="F375" i="2"/>
  <c r="H380" i="2"/>
  <c r="I385" i="2"/>
  <c r="G388" i="2"/>
  <c r="K390" i="2"/>
  <c r="I393" i="2"/>
  <c r="G396" i="2"/>
  <c r="K398" i="2"/>
  <c r="I401" i="2"/>
  <c r="G404" i="2"/>
  <c r="H406" i="2"/>
  <c r="J407" i="2"/>
  <c r="F409" i="2"/>
  <c r="H410" i="2"/>
  <c r="J411" i="2"/>
  <c r="F413" i="2"/>
  <c r="H414" i="2"/>
  <c r="J415" i="2"/>
  <c r="F417" i="2"/>
  <c r="H418" i="2"/>
  <c r="J419" i="2"/>
  <c r="F421" i="2"/>
  <c r="H422" i="2"/>
  <c r="J423" i="2"/>
  <c r="F425" i="2"/>
  <c r="H426" i="2"/>
  <c r="J427" i="2"/>
  <c r="F429" i="2"/>
  <c r="J362" i="2"/>
  <c r="H365" i="2"/>
  <c r="F368" i="2"/>
  <c r="J370" i="2"/>
  <c r="F372" i="2"/>
  <c r="H373" i="2"/>
  <c r="J374" i="2"/>
  <c r="F376" i="2"/>
  <c r="H377" i="2"/>
  <c r="J378" i="2"/>
  <c r="F380" i="2"/>
  <c r="H381" i="2"/>
  <c r="J382" i="2"/>
  <c r="F384" i="2"/>
  <c r="H385" i="2"/>
  <c r="F386" i="2"/>
  <c r="J386" i="2"/>
  <c r="H387" i="2"/>
  <c r="F388" i="2"/>
  <c r="J388" i="2"/>
  <c r="H389" i="2"/>
  <c r="F390" i="2"/>
  <c r="J390" i="2"/>
  <c r="J391" i="2"/>
  <c r="F393" i="2"/>
  <c r="H394" i="2"/>
  <c r="J395" i="2"/>
  <c r="F397" i="2"/>
  <c r="H398" i="2"/>
  <c r="J399" i="2"/>
  <c r="F401" i="2"/>
  <c r="H402" i="2"/>
  <c r="J403" i="2"/>
  <c r="I405" i="2"/>
  <c r="K406" i="2"/>
  <c r="G408" i="2"/>
  <c r="I409" i="2"/>
  <c r="K410" i="2"/>
  <c r="G412" i="2"/>
  <c r="I413" i="2"/>
  <c r="K414" i="2"/>
  <c r="G416" i="2"/>
  <c r="I417" i="2"/>
  <c r="K418" i="2"/>
  <c r="G420" i="2"/>
  <c r="I421" i="2"/>
  <c r="H324" i="2"/>
  <c r="F335" i="2"/>
  <c r="J345" i="2"/>
  <c r="G337" i="2"/>
  <c r="K352" i="2"/>
  <c r="I362" i="2"/>
  <c r="K367" i="2"/>
  <c r="G373" i="2"/>
  <c r="I378" i="2"/>
  <c r="K383" i="2"/>
  <c r="K326" i="2"/>
  <c r="K332" i="2"/>
  <c r="G338" i="2"/>
  <c r="I343" i="2"/>
  <c r="F348" i="2"/>
  <c r="J350" i="2"/>
  <c r="H353" i="2"/>
  <c r="F356" i="2"/>
  <c r="J358" i="2"/>
  <c r="H361" i="2"/>
  <c r="H366" i="2"/>
  <c r="F371" i="2"/>
  <c r="J373" i="2"/>
  <c r="H376" i="2"/>
  <c r="F379" i="2"/>
  <c r="J381" i="2"/>
  <c r="H384" i="2"/>
  <c r="G386" i="2"/>
  <c r="I387" i="2"/>
  <c r="K388" i="2"/>
  <c r="G390" i="2"/>
  <c r="I391" i="2"/>
  <c r="K392" i="2"/>
  <c r="G394" i="2"/>
  <c r="I395" i="2"/>
  <c r="K396" i="2"/>
  <c r="G398" i="2"/>
  <c r="I399" i="2"/>
  <c r="K400" i="2"/>
  <c r="G402" i="2"/>
  <c r="I403" i="2"/>
  <c r="K404" i="2"/>
  <c r="F406" i="2"/>
  <c r="J406" i="2"/>
  <c r="H407" i="2"/>
  <c r="F408" i="2"/>
  <c r="J408" i="2"/>
  <c r="H409" i="2"/>
  <c r="F410" i="2"/>
  <c r="J410" i="2"/>
  <c r="H411" i="2"/>
  <c r="F412" i="2"/>
  <c r="J412" i="2"/>
  <c r="H413" i="2"/>
  <c r="C413" i="2" s="1"/>
  <c r="F414" i="2"/>
  <c r="J414" i="2"/>
  <c r="H415" i="2"/>
  <c r="F416" i="2"/>
  <c r="J416" i="2"/>
  <c r="H417" i="2"/>
  <c r="F418" i="2"/>
  <c r="J418" i="2"/>
  <c r="H419" i="2"/>
  <c r="F420" i="2"/>
  <c r="J420" i="2"/>
  <c r="H421" i="2"/>
  <c r="F422" i="2"/>
  <c r="J422" i="2"/>
  <c r="H423" i="2"/>
  <c r="F424" i="2"/>
  <c r="J424" i="2"/>
  <c r="H425" i="2"/>
  <c r="F426" i="2"/>
  <c r="J426" i="2"/>
  <c r="H427" i="2"/>
  <c r="F428" i="2"/>
  <c r="J428" i="2"/>
  <c r="H429" i="2"/>
  <c r="F362" i="2"/>
  <c r="H363" i="2"/>
  <c r="J364" i="2"/>
  <c r="F366" i="2"/>
  <c r="H367" i="2"/>
  <c r="J368" i="2"/>
  <c r="F370" i="2"/>
  <c r="J321" i="2"/>
  <c r="F327" i="2"/>
  <c r="H332" i="2"/>
  <c r="J337" i="2"/>
  <c r="F343" i="2"/>
  <c r="G321" i="2"/>
  <c r="K331" i="2"/>
  <c r="I342" i="2"/>
  <c r="G350" i="2"/>
  <c r="I355" i="2"/>
  <c r="K360" i="2"/>
  <c r="K363" i="2"/>
  <c r="I366" i="2"/>
  <c r="G369" i="2"/>
  <c r="K371" i="2"/>
  <c r="I374" i="2"/>
  <c r="G377" i="2"/>
  <c r="K379" i="2"/>
  <c r="I382" i="2"/>
  <c r="G385" i="2"/>
  <c r="G324" i="2"/>
  <c r="K328" i="2"/>
  <c r="I331" i="2"/>
  <c r="G334" i="2"/>
  <c r="K336" i="2"/>
  <c r="I339" i="2"/>
  <c r="G342" i="2"/>
  <c r="K344" i="2"/>
  <c r="H347" i="2"/>
  <c r="J348" i="2"/>
  <c r="F350" i="2"/>
  <c r="H351" i="2"/>
  <c r="J352" i="2"/>
  <c r="F354" i="2"/>
  <c r="H355" i="2"/>
  <c r="J356" i="2"/>
  <c r="F358" i="2"/>
  <c r="H359" i="2"/>
  <c r="J360" i="2"/>
  <c r="H362" i="2"/>
  <c r="F365" i="2"/>
  <c r="J367" i="2"/>
  <c r="H370" i="2"/>
  <c r="J371" i="2"/>
  <c r="F373" i="2"/>
  <c r="H374" i="2"/>
  <c r="J375" i="2"/>
  <c r="F377" i="2"/>
  <c r="H378" i="2"/>
  <c r="J379" i="2"/>
  <c r="F381" i="2"/>
  <c r="H382" i="2"/>
  <c r="J383" i="2"/>
  <c r="F385" i="2"/>
  <c r="K385" i="2"/>
  <c r="I386" i="2"/>
  <c r="G387" i="2"/>
  <c r="K387" i="2"/>
  <c r="I388" i="2"/>
  <c r="G389" i="2"/>
  <c r="K389" i="2"/>
  <c r="I390" i="2"/>
  <c r="G391" i="2"/>
  <c r="K391" i="2"/>
  <c r="I392" i="2"/>
  <c r="G393" i="2"/>
  <c r="K393" i="2"/>
  <c r="I394" i="2"/>
  <c r="G395" i="2"/>
  <c r="K395" i="2"/>
  <c r="I396" i="2"/>
  <c r="G397" i="2"/>
  <c r="K397" i="2"/>
  <c r="I398" i="2"/>
  <c r="G399" i="2"/>
  <c r="K399" i="2"/>
  <c r="I400" i="2"/>
  <c r="G401" i="2"/>
  <c r="K401" i="2"/>
  <c r="I402" i="2"/>
  <c r="G403" i="2"/>
  <c r="K403" i="2"/>
  <c r="I404" i="2"/>
  <c r="F405" i="2"/>
  <c r="J405" i="2"/>
  <c r="H320" i="2"/>
  <c r="F323" i="2"/>
  <c r="J325" i="2"/>
  <c r="H328" i="2"/>
  <c r="F331" i="2"/>
  <c r="J333" i="2"/>
  <c r="H336" i="2"/>
  <c r="F339" i="2"/>
  <c r="J341" i="2"/>
  <c r="H344" i="2"/>
  <c r="F347" i="2"/>
  <c r="K323" i="2"/>
  <c r="G329" i="2"/>
  <c r="I334" i="2"/>
  <c r="K339" i="2"/>
  <c r="G345" i="2"/>
  <c r="K348" i="2"/>
  <c r="I351" i="2"/>
  <c r="G354" i="2"/>
  <c r="K356" i="2"/>
  <c r="I359" i="2"/>
  <c r="K361" i="2"/>
  <c r="G363" i="2"/>
  <c r="I364" i="2"/>
  <c r="K365" i="2"/>
  <c r="G367" i="2"/>
  <c r="I368" i="2"/>
  <c r="K369" i="2"/>
  <c r="G371" i="2"/>
  <c r="I372" i="2"/>
  <c r="K373" i="2"/>
  <c r="G375" i="2"/>
  <c r="I376" i="2"/>
  <c r="K377" i="2"/>
  <c r="G379" i="2"/>
  <c r="I380" i="2"/>
  <c r="K381" i="2"/>
  <c r="G383" i="2"/>
  <c r="I384" i="2"/>
  <c r="G320" i="2"/>
  <c r="K322" i="2"/>
  <c r="I325" i="2"/>
  <c r="G328" i="2"/>
  <c r="I329" i="2"/>
  <c r="K330" i="2"/>
  <c r="G332" i="2"/>
  <c r="I333" i="2"/>
  <c r="K334" i="2"/>
  <c r="G336" i="2"/>
  <c r="I337" i="2"/>
  <c r="K338" i="2"/>
  <c r="G340" i="2"/>
  <c r="I341" i="2"/>
  <c r="K342" i="2"/>
  <c r="G344" i="2"/>
  <c r="I345" i="2"/>
  <c r="K346" i="2"/>
  <c r="J347" i="2"/>
  <c r="H348" i="2"/>
  <c r="F349" i="2"/>
  <c r="J349" i="2"/>
  <c r="H350" i="2"/>
  <c r="F351" i="2"/>
  <c r="J351" i="2"/>
  <c r="H352" i="2"/>
  <c r="F353" i="2"/>
  <c r="J353" i="2"/>
  <c r="H354" i="2"/>
  <c r="F355" i="2"/>
  <c r="J355" i="2"/>
  <c r="H356" i="2"/>
  <c r="F357" i="2"/>
  <c r="J357" i="2"/>
  <c r="H358" i="2"/>
  <c r="F359" i="2"/>
  <c r="J359" i="2"/>
  <c r="H360" i="2"/>
  <c r="F361" i="2"/>
  <c r="J361" i="2"/>
  <c r="F363" i="2"/>
  <c r="H364" i="2"/>
  <c r="J365" i="2"/>
  <c r="F367" i="2"/>
  <c r="H368" i="2"/>
  <c r="J369" i="2"/>
  <c r="J319" i="2"/>
  <c r="F321" i="2"/>
  <c r="H322" i="2"/>
  <c r="J323" i="2"/>
  <c r="F325" i="2"/>
  <c r="H326" i="2"/>
  <c r="J327" i="2"/>
  <c r="F329" i="2"/>
  <c r="H330" i="2"/>
  <c r="J331" i="2"/>
  <c r="F333" i="2"/>
  <c r="H334" i="2"/>
  <c r="J335" i="2"/>
  <c r="F337" i="2"/>
  <c r="H338" i="2"/>
  <c r="J339" i="2"/>
  <c r="F341" i="2"/>
  <c r="H342" i="2"/>
  <c r="J343" i="2"/>
  <c r="F345" i="2"/>
  <c r="H346" i="2"/>
  <c r="K319" i="2"/>
  <c r="I322" i="2"/>
  <c r="G325" i="2"/>
  <c r="K327" i="2"/>
  <c r="I330" i="2"/>
  <c r="G333" i="2"/>
  <c r="K335" i="2"/>
  <c r="I338" i="2"/>
  <c r="G341" i="2"/>
  <c r="K343" i="2"/>
  <c r="I346" i="2"/>
  <c r="G348" i="2"/>
  <c r="I349" i="2"/>
  <c r="K350" i="2"/>
  <c r="G352" i="2"/>
  <c r="I353" i="2"/>
  <c r="K354" i="2"/>
  <c r="G356" i="2"/>
  <c r="I357" i="2"/>
  <c r="K358" i="2"/>
  <c r="G360" i="2"/>
  <c r="I361" i="2"/>
  <c r="G362" i="2"/>
  <c r="K362" i="2"/>
  <c r="I363" i="2"/>
  <c r="G364" i="2"/>
  <c r="K364" i="2"/>
  <c r="I365" i="2"/>
  <c r="G366" i="2"/>
  <c r="K366" i="2"/>
  <c r="I367" i="2"/>
  <c r="G368" i="2"/>
  <c r="K368" i="2"/>
  <c r="I369" i="2"/>
  <c r="G370" i="2"/>
  <c r="K370" i="2"/>
  <c r="I371" i="2"/>
  <c r="G372" i="2"/>
  <c r="K372" i="2"/>
  <c r="I373" i="2"/>
  <c r="G374" i="2"/>
  <c r="K374" i="2"/>
  <c r="I375" i="2"/>
  <c r="G376" i="2"/>
  <c r="K376" i="2"/>
  <c r="I377" i="2"/>
  <c r="G378" i="2"/>
  <c r="K378" i="2"/>
  <c r="I379" i="2"/>
  <c r="G380" i="2"/>
  <c r="K380" i="2"/>
  <c r="I381" i="2"/>
  <c r="G382" i="2"/>
  <c r="K382" i="2"/>
  <c r="I383" i="2"/>
  <c r="G384" i="2"/>
  <c r="K384" i="2"/>
  <c r="I319" i="2"/>
  <c r="K320" i="2"/>
  <c r="G322" i="2"/>
  <c r="I323" i="2"/>
  <c r="K324" i="2"/>
  <c r="G326" i="2"/>
  <c r="I327" i="2"/>
  <c r="H319" i="2"/>
  <c r="F320" i="2"/>
  <c r="J320" i="2"/>
  <c r="H321" i="2"/>
  <c r="F322" i="2"/>
  <c r="J322" i="2"/>
  <c r="H323" i="2"/>
  <c r="F324" i="2"/>
  <c r="J324" i="2"/>
  <c r="H325" i="2"/>
  <c r="F326" i="2"/>
  <c r="J326" i="2"/>
  <c r="H327" i="2"/>
  <c r="F328" i="2"/>
  <c r="J328" i="2"/>
  <c r="H329" i="2"/>
  <c r="F330" i="2"/>
  <c r="J330" i="2"/>
  <c r="H331" i="2"/>
  <c r="F332" i="2"/>
  <c r="J332" i="2"/>
  <c r="H333" i="2"/>
  <c r="F334" i="2"/>
  <c r="J334" i="2"/>
  <c r="H335" i="2"/>
  <c r="F336" i="2"/>
  <c r="J336" i="2"/>
  <c r="H337" i="2"/>
  <c r="F338" i="2"/>
  <c r="J338" i="2"/>
  <c r="H339" i="2"/>
  <c r="F340" i="2"/>
  <c r="J340" i="2"/>
  <c r="H341" i="2"/>
  <c r="F342" i="2"/>
  <c r="J342" i="2"/>
  <c r="H343" i="2"/>
  <c r="F344" i="2"/>
  <c r="J344" i="2"/>
  <c r="H345" i="2"/>
  <c r="F346" i="2"/>
  <c r="J346" i="2"/>
  <c r="G319" i="2"/>
  <c r="I320" i="2"/>
  <c r="K321" i="2"/>
  <c r="G323" i="2"/>
  <c r="I324" i="2"/>
  <c r="K325" i="2"/>
  <c r="G327" i="2"/>
  <c r="I328" i="2"/>
  <c r="K329" i="2"/>
  <c r="G331" i="2"/>
  <c r="I332" i="2"/>
  <c r="K333" i="2"/>
  <c r="G335" i="2"/>
  <c r="I336" i="2"/>
  <c r="K337" i="2"/>
  <c r="G339" i="2"/>
  <c r="I340" i="2"/>
  <c r="K341" i="2"/>
  <c r="G343" i="2"/>
  <c r="I344" i="2"/>
  <c r="K345" i="2"/>
  <c r="G347" i="2"/>
  <c r="K347" i="2"/>
  <c r="I348" i="2"/>
  <c r="G349" i="2"/>
  <c r="K349" i="2"/>
  <c r="I350" i="2"/>
  <c r="G351" i="2"/>
  <c r="K351" i="2"/>
  <c r="I352" i="2"/>
  <c r="G353" i="2"/>
  <c r="K353" i="2"/>
  <c r="I354" i="2"/>
  <c r="G355" i="2"/>
  <c r="K355" i="2"/>
  <c r="I356" i="2"/>
  <c r="G357" i="2"/>
  <c r="K357" i="2"/>
  <c r="I358" i="2"/>
  <c r="G359" i="2"/>
  <c r="K359" i="2"/>
  <c r="I360" i="2"/>
  <c r="G361" i="2"/>
  <c r="J12" i="21"/>
  <c r="L2790" i="2"/>
  <c r="L2780" i="2"/>
  <c r="L2778" i="2"/>
  <c r="L2758" i="2"/>
  <c r="L2662" i="2"/>
  <c r="L2634" i="2"/>
  <c r="L2586" i="2"/>
  <c r="L2722" i="2"/>
  <c r="L2598" i="2"/>
  <c r="L2368" i="2"/>
  <c r="L1677" i="2"/>
  <c r="L1613" i="2"/>
  <c r="L1549" i="2"/>
  <c r="L1379" i="2"/>
  <c r="L1315" i="2"/>
  <c r="L1251" i="2"/>
  <c r="L1122" i="2"/>
  <c r="L965" i="2"/>
  <c r="L840" i="2"/>
  <c r="L2058" i="2"/>
  <c r="L2100" i="2"/>
  <c r="L2092" i="2"/>
  <c r="L1461" i="2"/>
  <c r="L1393" i="2"/>
  <c r="L1329" i="2"/>
  <c r="L1265" i="2"/>
  <c r="L1414" i="2"/>
  <c r="L1342" i="2"/>
  <c r="L1278" i="2"/>
  <c r="L1214" i="2"/>
  <c r="L1173" i="2"/>
  <c r="L1141" i="2"/>
  <c r="L1109" i="2"/>
  <c r="L1077" i="2"/>
  <c r="L1045" i="2"/>
  <c r="L1013" i="2"/>
  <c r="L981" i="2"/>
  <c r="L1084" i="2"/>
  <c r="L957" i="2"/>
  <c r="L941" i="2"/>
  <c r="L925" i="2"/>
  <c r="L910" i="2"/>
  <c r="L894" i="2"/>
  <c r="L878" i="2"/>
  <c r="L862" i="2"/>
  <c r="L653" i="2"/>
  <c r="L637" i="2"/>
  <c r="L625" i="2"/>
  <c r="L619" i="2"/>
  <c r="L615" i="2"/>
  <c r="L609" i="2"/>
  <c r="L605" i="2"/>
  <c r="L603" i="2"/>
  <c r="L599" i="2"/>
  <c r="L787" i="2"/>
  <c r="L771" i="2"/>
  <c r="L755" i="2"/>
  <c r="L751" i="2"/>
  <c r="L739" i="2"/>
  <c r="L735" i="2"/>
  <c r="L733" i="2"/>
  <c r="L723" i="2"/>
  <c r="L719" i="2"/>
  <c r="L1000" i="2"/>
  <c r="L984" i="2"/>
  <c r="L968" i="2"/>
  <c r="L950" i="2"/>
  <c r="L934" i="2"/>
  <c r="L917" i="2"/>
  <c r="L901" i="2"/>
  <c r="L885" i="2"/>
  <c r="L869" i="2"/>
  <c r="L853" i="2"/>
  <c r="L837" i="2"/>
  <c r="L821" i="2"/>
  <c r="L805" i="2"/>
  <c r="L658" i="2"/>
  <c r="L648" i="2"/>
  <c r="L646" i="2"/>
  <c r="L644" i="2"/>
  <c r="L642" i="2"/>
  <c r="L632" i="2"/>
  <c r="L630" i="2"/>
  <c r="L628" i="2"/>
  <c r="L626" i="2"/>
  <c r="L624" i="2"/>
  <c r="L622" i="2"/>
  <c r="L620" i="2"/>
  <c r="L616" i="2"/>
  <c r="L614" i="2"/>
  <c r="L612" i="2"/>
  <c r="L604" i="2"/>
  <c r="L602" i="2"/>
  <c r="L794" i="2"/>
  <c r="L792" i="2"/>
  <c r="L778" i="2"/>
  <c r="L776" i="2"/>
  <c r="L766" i="2"/>
  <c r="L762" i="2"/>
  <c r="L760" i="2"/>
  <c r="L758" i="2"/>
  <c r="L746" i="2"/>
  <c r="L744" i="2"/>
  <c r="L734" i="2"/>
  <c r="L730" i="2"/>
  <c r="L728" i="2"/>
  <c r="L713" i="2"/>
  <c r="L707" i="2"/>
  <c r="L703" i="2"/>
  <c r="L691" i="2"/>
  <c r="L685" i="2"/>
  <c r="L683" i="2"/>
  <c r="L669" i="2"/>
  <c r="L578" i="2"/>
  <c r="L598" i="2"/>
  <c r="L590" i="2"/>
  <c r="L588" i="2"/>
  <c r="L586" i="2"/>
  <c r="L576" i="2"/>
  <c r="L572" i="2"/>
  <c r="L570" i="2"/>
  <c r="L568" i="2"/>
  <c r="L566" i="2"/>
  <c r="L564" i="2"/>
  <c r="L558" i="2"/>
  <c r="L556" i="2"/>
  <c r="L554" i="2"/>
  <c r="L550" i="2"/>
  <c r="L546" i="2"/>
  <c r="L540" i="2"/>
  <c r="L538" i="2"/>
  <c r="L536" i="2"/>
  <c r="L530" i="2"/>
  <c r="L528" i="2"/>
  <c r="L526" i="2"/>
  <c r="L524" i="2"/>
  <c r="L522" i="2"/>
  <c r="L518" i="2"/>
  <c r="L516" i="2"/>
  <c r="L514" i="2"/>
  <c r="L510" i="2"/>
  <c r="L508" i="2"/>
  <c r="L506" i="2"/>
  <c r="L504" i="2"/>
  <c r="L724" i="2"/>
  <c r="L714" i="2"/>
  <c r="L712" i="2"/>
  <c r="L702" i="2"/>
  <c r="L698" i="2"/>
  <c r="L696" i="2"/>
  <c r="L692" i="2"/>
  <c r="L680" i="2"/>
  <c r="L678" i="2"/>
  <c r="L676" i="2"/>
  <c r="L674" i="2"/>
  <c r="L666" i="2"/>
  <c r="L664" i="2"/>
  <c r="L662" i="2"/>
  <c r="L660" i="2"/>
  <c r="L597" i="2"/>
  <c r="L593" i="2"/>
  <c r="L589" i="2"/>
  <c r="L587" i="2"/>
  <c r="L585" i="2"/>
  <c r="L579" i="2"/>
  <c r="L577" i="2"/>
  <c r="L569" i="2"/>
  <c r="L567" i="2"/>
  <c r="L565" i="2"/>
  <c r="L561" i="2"/>
  <c r="L557" i="2"/>
  <c r="L555" i="2"/>
  <c r="L549" i="2"/>
  <c r="L547" i="2"/>
  <c r="L545" i="2"/>
  <c r="L543" i="2"/>
  <c r="L541" i="2"/>
  <c r="L539" i="2"/>
  <c r="L537" i="2"/>
  <c r="L535" i="2"/>
  <c r="L533" i="2"/>
  <c r="L531" i="2"/>
  <c r="L529" i="2"/>
  <c r="L527" i="2"/>
  <c r="L525" i="2"/>
  <c r="L521" i="2"/>
  <c r="L519" i="2"/>
  <c r="L517" i="2"/>
  <c r="L515" i="2"/>
  <c r="L513" i="2"/>
  <c r="L509" i="2"/>
  <c r="L507" i="2"/>
  <c r="L503" i="2"/>
  <c r="L2792" i="2"/>
  <c r="L2786" i="2"/>
  <c r="L2782" i="2"/>
  <c r="L2738" i="2"/>
  <c r="L2661" i="2"/>
  <c r="L2642" i="2"/>
  <c r="L2628" i="2"/>
  <c r="L2614" i="2"/>
  <c r="L2604" i="2"/>
  <c r="L2594" i="2"/>
  <c r="L2584" i="2"/>
  <c r="L2154" i="2"/>
  <c r="L2770" i="2"/>
  <c r="L2750" i="2"/>
  <c r="L2730" i="2"/>
  <c r="L2654" i="2"/>
  <c r="L2626" i="2"/>
  <c r="L2606" i="2"/>
  <c r="L2718" i="2"/>
  <c r="L2710" i="2"/>
  <c r="L2702" i="2"/>
  <c r="L2690" i="2"/>
  <c r="L2682" i="2"/>
  <c r="L2674" i="2"/>
  <c r="L2578" i="2"/>
  <c r="L2566" i="2"/>
  <c r="L2558" i="2"/>
  <c r="L2546" i="2"/>
  <c r="L2538" i="2"/>
  <c r="L2526" i="2"/>
  <c r="L2518" i="2"/>
  <c r="L2514" i="2"/>
  <c r="L2502" i="2"/>
  <c r="L2264" i="2"/>
  <c r="L2313" i="2"/>
  <c r="L1784" i="2"/>
  <c r="L2227" i="2"/>
  <c r="L2084" i="2"/>
  <c r="L1915" i="2"/>
  <c r="L1833" i="2"/>
  <c r="L1817" i="2"/>
  <c r="L1805" i="2"/>
  <c r="L1797" i="2"/>
  <c r="L1789" i="2"/>
  <c r="L1781" i="2"/>
  <c r="L1773" i="2"/>
  <c r="L1747" i="2"/>
  <c r="L1711" i="2"/>
  <c r="L1695" i="2"/>
  <c r="L1679" i="2"/>
  <c r="L1663" i="2"/>
  <c r="L1647" i="2"/>
  <c r="L1631" i="2"/>
  <c r="L1615" i="2"/>
  <c r="L1599" i="2"/>
  <c r="L1583" i="2"/>
  <c r="L1567" i="2"/>
  <c r="L1551" i="2"/>
  <c r="L1535" i="2"/>
  <c r="L2173" i="2"/>
  <c r="L1899" i="2"/>
  <c r="L1714" i="2"/>
  <c r="L1698" i="2"/>
  <c r="L1682" i="2"/>
  <c r="L1666" i="2"/>
  <c r="L1650" i="2"/>
  <c r="L1634" i="2"/>
  <c r="L1618" i="2"/>
  <c r="L1602" i="2"/>
  <c r="L1586" i="2"/>
  <c r="L1570" i="2"/>
  <c r="L1554" i="2"/>
  <c r="L1538" i="2"/>
  <c r="L2008" i="2"/>
  <c r="L1944" i="2"/>
  <c r="L1880" i="2"/>
  <c r="L1769" i="2"/>
  <c r="L1704" i="2"/>
  <c r="L1688" i="2"/>
  <c r="L1672" i="2"/>
  <c r="L1656" i="2"/>
  <c r="L1640" i="2"/>
  <c r="L1624" i="2"/>
  <c r="L1608" i="2"/>
  <c r="L1592" i="2"/>
  <c r="L1576" i="2"/>
  <c r="L1560" i="2"/>
  <c r="L1544" i="2"/>
  <c r="C593" i="2"/>
  <c r="C1490" i="2"/>
  <c r="C630" i="2"/>
  <c r="C2786" i="2"/>
  <c r="L175" i="2"/>
  <c r="L116" i="2"/>
  <c r="L269" i="2"/>
  <c r="L122" i="2"/>
  <c r="L212" i="2"/>
  <c r="L138" i="2"/>
  <c r="L52" i="2"/>
  <c r="C1477" i="2"/>
  <c r="L196" i="2"/>
  <c r="L301" i="2"/>
  <c r="L36" i="2"/>
  <c r="L257" i="2"/>
  <c r="L216" i="2"/>
  <c r="L313" i="2"/>
  <c r="L293" i="2"/>
  <c r="L312" i="2"/>
  <c r="L296" i="2"/>
  <c r="L260" i="2"/>
  <c r="L305" i="2"/>
  <c r="L274" i="2"/>
  <c r="L239" i="2"/>
  <c r="L164" i="2"/>
  <c r="L77" i="2"/>
  <c r="L286" i="2"/>
  <c r="L210" i="2"/>
  <c r="L231" i="2"/>
  <c r="L228" i="2"/>
  <c r="L223" i="2"/>
  <c r="L220" i="2"/>
  <c r="L215" i="2"/>
  <c r="L186" i="2"/>
  <c r="L158" i="2"/>
  <c r="L218" i="2"/>
  <c r="L119" i="2"/>
  <c r="L101" i="2"/>
  <c r="L76" i="2"/>
  <c r="L86" i="2"/>
  <c r="L124" i="2"/>
  <c r="L87" i="2"/>
  <c r="L75" i="2"/>
  <c r="L4" i="2"/>
  <c r="L304" i="2"/>
  <c r="L314" i="2"/>
  <c r="L298" i="2"/>
  <c r="L290" i="2"/>
  <c r="L265" i="2"/>
  <c r="L167" i="2"/>
  <c r="L310" i="2"/>
  <c r="L166" i="2"/>
  <c r="L240" i="2"/>
  <c r="L259" i="2"/>
  <c r="L225" i="2"/>
  <c r="L188" i="2"/>
  <c r="L172" i="2"/>
  <c r="L157" i="2"/>
  <c r="L60" i="2"/>
  <c r="L127" i="2"/>
  <c r="L160" i="2"/>
  <c r="L152" i="2"/>
  <c r="L144" i="2"/>
  <c r="L136" i="2"/>
  <c r="L91" i="2"/>
  <c r="L73" i="2"/>
  <c r="L30" i="2"/>
  <c r="L5" i="2"/>
  <c r="L79" i="2"/>
  <c r="L71" i="2"/>
  <c r="L63" i="2"/>
  <c r="L55" i="2"/>
  <c r="L17" i="2"/>
  <c r="L264" i="2"/>
  <c r="L272" i="2"/>
  <c r="L235" i="2"/>
  <c r="L283" i="2"/>
  <c r="L256" i="2"/>
  <c r="L214" i="2"/>
  <c r="L279" i="2"/>
  <c r="L271" i="2"/>
  <c r="L263" i="2"/>
  <c r="L200" i="2"/>
  <c r="L163" i="2"/>
  <c r="L156" i="2"/>
  <c r="L198" i="2"/>
  <c r="L179" i="2"/>
  <c r="L112" i="2"/>
  <c r="L131" i="2"/>
  <c r="L93" i="2"/>
  <c r="L69" i="2"/>
  <c r="L61" i="2"/>
  <c r="L44" i="2"/>
  <c r="L133" i="2"/>
  <c r="L56" i="2"/>
  <c r="L82" i="2"/>
  <c r="L66" i="2"/>
  <c r="L46" i="2"/>
  <c r="L38" i="2"/>
  <c r="L261" i="2"/>
  <c r="L299" i="2"/>
  <c r="L303" i="2"/>
  <c r="L202" i="2"/>
  <c r="L222" i="2"/>
  <c r="L184" i="2"/>
  <c r="L130" i="2"/>
  <c r="L161" i="2"/>
  <c r="L129" i="2"/>
  <c r="L98" i="2"/>
  <c r="L88" i="2"/>
  <c r="L3" i="2"/>
  <c r="C1318" i="2"/>
  <c r="C2636" i="2"/>
  <c r="C2710" i="2"/>
  <c r="C794" i="2"/>
  <c r="C778" i="2"/>
  <c r="C762" i="2"/>
  <c r="C746" i="2"/>
  <c r="C730" i="2"/>
  <c r="C707" i="2"/>
  <c r="C2742" i="2"/>
  <c r="C2758" i="2"/>
  <c r="C2770" i="2"/>
  <c r="C2537" i="2"/>
  <c r="C2702" i="2"/>
  <c r="C2730" i="2"/>
  <c r="C2790" i="2"/>
  <c r="C2750" i="2"/>
  <c r="C728" i="2"/>
  <c r="C792" i="2"/>
  <c r="C2330" i="2"/>
  <c r="C2282" i="2"/>
  <c r="C2546" i="2"/>
  <c r="C713" i="2"/>
  <c r="C760" i="2"/>
  <c r="C2246" i="2"/>
  <c r="C2398" i="2"/>
  <c r="C2531" i="2"/>
  <c r="C2558" i="2"/>
  <c r="C2566" i="2"/>
  <c r="C2578" i="2"/>
  <c r="C2586" i="2"/>
  <c r="C2606" i="2"/>
  <c r="C2626" i="2"/>
  <c r="C2634" i="2"/>
  <c r="C2655" i="2"/>
  <c r="C2662" i="2"/>
  <c r="C2671" i="2"/>
  <c r="C2682" i="2"/>
  <c r="C2690" i="2"/>
  <c r="C2728" i="2"/>
  <c r="C2757" i="2"/>
  <c r="C2778" i="2"/>
  <c r="C680" i="2"/>
  <c r="C744" i="2"/>
  <c r="C776" i="2"/>
  <c r="C756" i="2"/>
  <c r="C724" i="2"/>
  <c r="C2262" i="2"/>
  <c r="C2320" i="2"/>
  <c r="C2374" i="2"/>
  <c r="C2410" i="2"/>
  <c r="C2448" i="2"/>
  <c r="C2475" i="2"/>
  <c r="C2499" i="2"/>
  <c r="C2514" i="2"/>
  <c r="C2518" i="2"/>
  <c r="C2526" i="2"/>
  <c r="C2538" i="2"/>
  <c r="C2556" i="2"/>
  <c r="C2582" i="2"/>
  <c r="C2594" i="2"/>
  <c r="C2598" i="2"/>
  <c r="C2614" i="2"/>
  <c r="C2641" i="2"/>
  <c r="C2642" i="2"/>
  <c r="C2644" i="2"/>
  <c r="C2654" i="2"/>
  <c r="C2667" i="2"/>
  <c r="C2674" i="2"/>
  <c r="C2699" i="2"/>
  <c r="C2718" i="2"/>
  <c r="C2722" i="2"/>
  <c r="C2738" i="2"/>
  <c r="C299" i="2"/>
  <c r="C1363" i="2"/>
  <c r="C1379" i="2"/>
  <c r="C1395" i="2"/>
  <c r="C1411" i="2"/>
  <c r="C1443" i="2"/>
  <c r="C1511" i="2"/>
  <c r="C1527" i="2"/>
  <c r="C1543" i="2"/>
  <c r="C1559" i="2"/>
  <c r="C1575" i="2"/>
  <c r="C1591" i="2"/>
  <c r="C1607" i="2"/>
  <c r="C757" i="2"/>
  <c r="C752" i="2"/>
  <c r="C691" i="2"/>
  <c r="C1667" i="2"/>
  <c r="C1732" i="2"/>
  <c r="C1796" i="2"/>
  <c r="C1860" i="2"/>
  <c r="C1924" i="2"/>
  <c r="C1988" i="2"/>
  <c r="C2030" i="2"/>
  <c r="C2062" i="2"/>
  <c r="C2084" i="2"/>
  <c r="C2092" i="2"/>
  <c r="C2100" i="2"/>
  <c r="C2122" i="2"/>
  <c r="C2154" i="2"/>
  <c r="C2186" i="2"/>
  <c r="C2218" i="2"/>
  <c r="C2272" i="2"/>
  <c r="C2352" i="2"/>
  <c r="C2460" i="2"/>
  <c r="C1981" i="2"/>
  <c r="C1965" i="2"/>
  <c r="C1957" i="2"/>
  <c r="C1949" i="2"/>
  <c r="C1941" i="2"/>
  <c r="C1933" i="2"/>
  <c r="C1925" i="2"/>
  <c r="C1917" i="2"/>
  <c r="C1909" i="2"/>
  <c r="C1901" i="2"/>
  <c r="C1893" i="2"/>
  <c r="C1885" i="2"/>
  <c r="C1877" i="2"/>
  <c r="C1869" i="2"/>
  <c r="C1861" i="2"/>
  <c r="C1853" i="2"/>
  <c r="C1845" i="2"/>
  <c r="C1837" i="2"/>
  <c r="C1829" i="2"/>
  <c r="C1821" i="2"/>
  <c r="C1813" i="2"/>
  <c r="C1805" i="2"/>
  <c r="C1797" i="2"/>
  <c r="C1789" i="2"/>
  <c r="C1781" i="2"/>
  <c r="C1773" i="2"/>
  <c r="C1765" i="2"/>
  <c r="C1757" i="2"/>
  <c r="C1749" i="2"/>
  <c r="C1741" i="2"/>
  <c r="C1733" i="2"/>
  <c r="C1725" i="2"/>
  <c r="C1717" i="2"/>
  <c r="C1709" i="2"/>
  <c r="C1692" i="2"/>
  <c r="C1660" i="2"/>
  <c r="C1628" i="2"/>
  <c r="C1596" i="2"/>
  <c r="C1564" i="2"/>
  <c r="C1532" i="2"/>
  <c r="C1320" i="2"/>
  <c r="C1353" i="2"/>
  <c r="C1369" i="2"/>
  <c r="C1385" i="2"/>
  <c r="C1401" i="2"/>
  <c r="C1417" i="2"/>
  <c r="C1449" i="2"/>
  <c r="C1466" i="2"/>
  <c r="C1483" i="2"/>
  <c r="C1501" i="2"/>
  <c r="C1517" i="2"/>
  <c r="C1533" i="2"/>
  <c r="C1549" i="2"/>
  <c r="C1565" i="2"/>
  <c r="C1581" i="2"/>
  <c r="C1597" i="2"/>
  <c r="C1613" i="2"/>
  <c r="C1629" i="2"/>
  <c r="C1645" i="2"/>
  <c r="C1661" i="2"/>
  <c r="C1677" i="2"/>
  <c r="C1693" i="2"/>
  <c r="C1710" i="2"/>
  <c r="C1774" i="2"/>
  <c r="C1838" i="2"/>
  <c r="C1902" i="2"/>
  <c r="C1966" i="2"/>
  <c r="C2019" i="2"/>
  <c r="C2051" i="2"/>
  <c r="C2083" i="2"/>
  <c r="C2115" i="2"/>
  <c r="C2131" i="2"/>
  <c r="C2147" i="2"/>
  <c r="C2163" i="2"/>
  <c r="C2179" i="2"/>
  <c r="C2195" i="2"/>
  <c r="C2211" i="2"/>
  <c r="C2227" i="2"/>
  <c r="C2257" i="2"/>
  <c r="C2295" i="2"/>
  <c r="C2339" i="2"/>
  <c r="C2363" i="2"/>
  <c r="C2403" i="2"/>
  <c r="C2441" i="2"/>
  <c r="C2554" i="2"/>
  <c r="C1488" i="2"/>
  <c r="C1480" i="2"/>
  <c r="C1471" i="2"/>
  <c r="C1463" i="2"/>
  <c r="C1455" i="2"/>
  <c r="C1438" i="2"/>
  <c r="C1422" i="2"/>
  <c r="C1414" i="2"/>
  <c r="C1406" i="2"/>
  <c r="C1398" i="2"/>
  <c r="C1390" i="2"/>
  <c r="C1382" i="2"/>
  <c r="C1374" i="2"/>
  <c r="C1366" i="2"/>
  <c r="C1360" i="2"/>
  <c r="C1356" i="2"/>
  <c r="C1351" i="2"/>
  <c r="C1347" i="2"/>
  <c r="C1343" i="2"/>
  <c r="C1339" i="2"/>
  <c r="C1335" i="2"/>
  <c r="C1331" i="2"/>
  <c r="C1327" i="2"/>
  <c r="C1323" i="2"/>
  <c r="C1313" i="2"/>
  <c r="C1305" i="2"/>
  <c r="C1297" i="2"/>
  <c r="C1289" i="2"/>
  <c r="C1281" i="2"/>
  <c r="C1273" i="2"/>
  <c r="C1265" i="2"/>
  <c r="C1261" i="2"/>
  <c r="C1257" i="2"/>
  <c r="C1253" i="2"/>
  <c r="C1245" i="2"/>
  <c r="C1241" i="2"/>
  <c r="C1237" i="2"/>
  <c r="C1229" i="2"/>
  <c r="C1225" i="2"/>
  <c r="C1221" i="2"/>
  <c r="C1213" i="2"/>
  <c r="C1209" i="2"/>
  <c r="C1205" i="2"/>
  <c r="C1197" i="2"/>
  <c r="C1193" i="2"/>
  <c r="C1189" i="2"/>
  <c r="C1181" i="2"/>
  <c r="C1173" i="2"/>
  <c r="C1165" i="2"/>
  <c r="C1157" i="2"/>
  <c r="C1149" i="2"/>
  <c r="C1141" i="2"/>
  <c r="C1133" i="2"/>
  <c r="C1125" i="2"/>
  <c r="C1117" i="2"/>
  <c r="C1109" i="2"/>
  <c r="C1101" i="2"/>
  <c r="C1093" i="2"/>
  <c r="C1085" i="2"/>
  <c r="C1077" i="2"/>
  <c r="C1069" i="2"/>
  <c r="C1061" i="2"/>
  <c r="C1053" i="2"/>
  <c r="C1045" i="2"/>
  <c r="C1037" i="2"/>
  <c r="C1029" i="2"/>
  <c r="C1021" i="2"/>
  <c r="C1013" i="2"/>
  <c r="C1005" i="2"/>
  <c r="C997" i="2"/>
  <c r="C989" i="2"/>
  <c r="C981" i="2"/>
  <c r="C802" i="2"/>
  <c r="C976" i="2"/>
  <c r="C968" i="2"/>
  <c r="C960" i="2"/>
  <c r="C952" i="2"/>
  <c r="C944" i="2"/>
  <c r="C936" i="2"/>
  <c r="C928" i="2"/>
  <c r="C920" i="2"/>
  <c r="C912" i="2"/>
  <c r="C904" i="2"/>
  <c r="C896" i="2"/>
  <c r="C888" i="2"/>
  <c r="C880" i="2"/>
  <c r="C872" i="2"/>
  <c r="C864" i="2"/>
  <c r="C856" i="2"/>
  <c r="C848" i="2"/>
  <c r="C840" i="2"/>
  <c r="C832" i="2"/>
  <c r="C1319" i="2"/>
  <c r="C1310" i="2"/>
  <c r="C1302" i="2"/>
  <c r="C1294" i="2"/>
  <c r="C1286" i="2"/>
  <c r="C1278" i="2"/>
  <c r="C1270" i="2"/>
  <c r="C1262" i="2"/>
  <c r="C1258" i="2"/>
  <c r="C1254" i="2"/>
  <c r="C1250" i="2"/>
  <c r="C1246" i="2"/>
  <c r="C1242" i="2"/>
  <c r="C1238" i="2"/>
  <c r="C1234" i="2"/>
  <c r="C1230" i="2"/>
  <c r="C1226" i="2"/>
  <c r="C1222" i="2"/>
  <c r="C1218" i="2"/>
  <c r="C1214" i="2"/>
  <c r="C1210" i="2"/>
  <c r="C1206" i="2"/>
  <c r="C1202" i="2"/>
  <c r="C1198" i="2"/>
  <c r="C1194" i="2"/>
  <c r="C1190" i="2"/>
  <c r="C1186" i="2"/>
  <c r="C1182" i="2"/>
  <c r="C1178" i="2"/>
  <c r="C1170" i="2"/>
  <c r="C1162" i="2"/>
  <c r="C1154" i="2"/>
  <c r="C1146" i="2"/>
  <c r="C1138" i="2"/>
  <c r="C1130" i="2"/>
  <c r="C1122" i="2"/>
  <c r="C1114" i="2"/>
  <c r="C1106" i="2"/>
  <c r="C1098" i="2"/>
  <c r="C1090" i="2"/>
  <c r="C1082" i="2"/>
  <c r="C1074" i="2"/>
  <c r="C1066" i="2"/>
  <c r="C1058" i="2"/>
  <c r="C1050" i="2"/>
  <c r="C1042" i="2"/>
  <c r="C1034" i="2"/>
  <c r="C1026" i="2"/>
  <c r="C1018" i="2"/>
  <c r="C1010" i="2"/>
  <c r="C1002" i="2"/>
  <c r="C994" i="2"/>
  <c r="C986" i="2"/>
  <c r="C978" i="2"/>
  <c r="C822" i="2"/>
  <c r="C818" i="2"/>
  <c r="C814" i="2"/>
  <c r="C801" i="2"/>
  <c r="C745" i="2"/>
  <c r="C737" i="2"/>
  <c r="C699" i="2"/>
  <c r="C768" i="2"/>
  <c r="C720" i="2"/>
  <c r="C712" i="2"/>
  <c r="C704" i="2"/>
  <c r="C696" i="2"/>
  <c r="C675" i="2"/>
  <c r="C669" i="2"/>
  <c r="C667" i="2"/>
  <c r="C806" i="2"/>
  <c r="C790" i="2"/>
  <c r="C774" i="2"/>
  <c r="C766" i="2"/>
  <c r="C758" i="2"/>
  <c r="C742" i="2"/>
  <c r="C734" i="2"/>
  <c r="C726" i="2"/>
  <c r="C692" i="2"/>
  <c r="C971" i="2"/>
  <c r="C967" i="2"/>
  <c r="C965" i="2"/>
  <c r="C963" i="2"/>
  <c r="C955" i="2"/>
  <c r="C947" i="2"/>
  <c r="C939" i="2"/>
  <c r="C931" i="2"/>
  <c r="C923" i="2"/>
  <c r="C915" i="2"/>
  <c r="C907" i="2"/>
  <c r="C899" i="2"/>
  <c r="C891" i="2"/>
  <c r="C883" i="2"/>
  <c r="C875" i="2"/>
  <c r="C867" i="2"/>
  <c r="C859" i="2"/>
  <c r="C851" i="2"/>
  <c r="C843" i="2"/>
  <c r="C835" i="2"/>
  <c r="C827" i="2"/>
  <c r="C819" i="2"/>
  <c r="C811" i="2"/>
  <c r="C799" i="2"/>
  <c r="C787" i="2"/>
  <c r="C783" i="2"/>
  <c r="C771" i="2"/>
  <c r="C767" i="2"/>
  <c r="C755" i="2"/>
  <c r="C751" i="2"/>
  <c r="C739" i="2"/>
  <c r="C735" i="2"/>
  <c r="C723" i="2"/>
  <c r="C719" i="2"/>
  <c r="C703" i="2"/>
  <c r="C686" i="2"/>
  <c r="C714" i="2"/>
  <c r="C702" i="2"/>
  <c r="C698" i="2"/>
  <c r="C685" i="2"/>
  <c r="C681" i="2"/>
  <c r="C678" i="2"/>
  <c r="C676" i="2"/>
  <c r="C674" i="2"/>
  <c r="C672" i="2"/>
  <c r="C664" i="2"/>
  <c r="C643" i="2"/>
  <c r="C637" i="2"/>
  <c r="C662" i="2"/>
  <c r="C660" i="2"/>
  <c r="C658" i="2"/>
  <c r="C654" i="2"/>
  <c r="C504" i="2"/>
  <c r="C648" i="2"/>
  <c r="C646" i="2"/>
  <c r="C644" i="2"/>
  <c r="C642" i="2"/>
  <c r="C638" i="2"/>
  <c r="C659" i="2"/>
  <c r="C653" i="2"/>
  <c r="C651" i="2"/>
  <c r="C633" i="2"/>
  <c r="C628" i="2"/>
  <c r="C626" i="2"/>
  <c r="C624" i="2"/>
  <c r="C620" i="2"/>
  <c r="C616" i="2"/>
  <c r="C614" i="2"/>
  <c r="C612" i="2"/>
  <c r="C608" i="2"/>
  <c r="C604" i="2"/>
  <c r="C598" i="2"/>
  <c r="C596" i="2"/>
  <c r="C591" i="2"/>
  <c r="C589" i="2"/>
  <c r="C587" i="2"/>
  <c r="C585" i="2"/>
  <c r="C579" i="2"/>
  <c r="C577" i="2"/>
  <c r="C575" i="2"/>
  <c r="C571" i="2"/>
  <c r="C569" i="2"/>
  <c r="C567" i="2"/>
  <c r="C565" i="2"/>
  <c r="C561" i="2"/>
  <c r="C557" i="2"/>
  <c r="C555" i="2"/>
  <c r="C549" i="2"/>
  <c r="C548" i="2"/>
  <c r="C546" i="2"/>
  <c r="C540" i="2"/>
  <c r="C538" i="2"/>
  <c r="C536" i="2"/>
  <c r="C532" i="2"/>
  <c r="C530" i="2"/>
  <c r="C528" i="2"/>
  <c r="C526" i="2"/>
  <c r="C524" i="2"/>
  <c r="C522" i="2"/>
  <c r="C520" i="2"/>
  <c r="C518" i="2"/>
  <c r="C516" i="2"/>
  <c r="C514" i="2"/>
  <c r="C512" i="2"/>
  <c r="C508" i="2"/>
  <c r="C506" i="2"/>
  <c r="C632" i="2"/>
  <c r="C625" i="2"/>
  <c r="C623" i="2"/>
  <c r="C619" i="2"/>
  <c r="C617" i="2"/>
  <c r="C615" i="2"/>
  <c r="C613" i="2"/>
  <c r="C609" i="2"/>
  <c r="C605" i="2"/>
  <c r="C603" i="2"/>
  <c r="C601" i="2"/>
  <c r="C599" i="2"/>
  <c r="C597" i="2"/>
  <c r="C592" i="2"/>
  <c r="C590" i="2"/>
  <c r="C588" i="2"/>
  <c r="C586" i="2"/>
  <c r="C578" i="2"/>
  <c r="C576" i="2"/>
  <c r="C572" i="2"/>
  <c r="C568" i="2"/>
  <c r="C566" i="2"/>
  <c r="C564" i="2"/>
  <c r="C560" i="2"/>
  <c r="C558" i="2"/>
  <c r="C556" i="2"/>
  <c r="C554" i="2"/>
  <c r="C550" i="2"/>
  <c r="C547" i="2"/>
  <c r="C545" i="2"/>
  <c r="C543" i="2"/>
  <c r="C541" i="2"/>
  <c r="C539" i="2"/>
  <c r="C537" i="2"/>
  <c r="C535" i="2"/>
  <c r="C533" i="2"/>
  <c r="C531" i="2"/>
  <c r="C529" i="2"/>
  <c r="C527" i="2"/>
  <c r="C525" i="2"/>
  <c r="C521" i="2"/>
  <c r="C519" i="2"/>
  <c r="C517" i="2"/>
  <c r="C515" i="2"/>
  <c r="C513" i="2"/>
  <c r="C509" i="2"/>
  <c r="C507" i="2"/>
  <c r="C503" i="2"/>
  <c r="C169" i="2"/>
  <c r="C69" i="2"/>
  <c r="C316" i="2"/>
  <c r="C314" i="2"/>
  <c r="C315" i="2"/>
  <c r="C312" i="2"/>
  <c r="C310" i="2"/>
  <c r="C306" i="2"/>
  <c r="C304" i="2"/>
  <c r="C302" i="2"/>
  <c r="C311" i="2"/>
  <c r="C307" i="2"/>
  <c r="C303" i="2"/>
  <c r="C301" i="2"/>
  <c r="C256" i="2"/>
  <c r="C248" i="2"/>
  <c r="C297" i="2"/>
  <c r="C293" i="2"/>
  <c r="C289" i="2"/>
  <c r="C285" i="2"/>
  <c r="C283" i="2"/>
  <c r="C281" i="2"/>
  <c r="C279" i="2"/>
  <c r="C277" i="2"/>
  <c r="C273" i="2"/>
  <c r="C271" i="2"/>
  <c r="C269" i="2"/>
  <c r="C265" i="2"/>
  <c r="C261" i="2"/>
  <c r="C257" i="2"/>
  <c r="C253" i="2"/>
  <c r="C249" i="2"/>
  <c r="C245" i="2"/>
  <c r="C298" i="2"/>
  <c r="C296" i="2"/>
  <c r="C294" i="2"/>
  <c r="C290" i="2"/>
  <c r="C286" i="2"/>
  <c r="C282" i="2"/>
  <c r="C278" i="2"/>
  <c r="C274" i="2"/>
  <c r="C270" i="2"/>
  <c r="C266" i="2"/>
  <c r="C262" i="2"/>
  <c r="C258" i="2"/>
  <c r="C250" i="2"/>
  <c r="C242" i="2"/>
  <c r="C239" i="2"/>
  <c r="C235" i="2"/>
  <c r="C231" i="2"/>
  <c r="C240" i="2"/>
  <c r="C236" i="2"/>
  <c r="C232" i="2"/>
  <c r="C228" i="2"/>
  <c r="C225" i="2"/>
  <c r="C221" i="2"/>
  <c r="C217" i="2"/>
  <c r="C226" i="2"/>
  <c r="C222" i="2"/>
  <c r="C220" i="2"/>
  <c r="C218" i="2"/>
  <c r="C214" i="2"/>
  <c r="C212" i="2"/>
  <c r="C210" i="2"/>
  <c r="C206" i="2"/>
  <c r="C202" i="2"/>
  <c r="C213" i="2"/>
  <c r="C209" i="2"/>
  <c r="C205" i="2"/>
  <c r="C201" i="2"/>
  <c r="C197" i="2"/>
  <c r="C193" i="2"/>
  <c r="C189" i="2"/>
  <c r="C185" i="2"/>
  <c r="C198" i="2"/>
  <c r="C196" i="2"/>
  <c r="C192" i="2"/>
  <c r="C188" i="2"/>
  <c r="C184" i="2"/>
  <c r="C181" i="2"/>
  <c r="C179" i="2"/>
  <c r="C177" i="2"/>
  <c r="C175" i="2"/>
  <c r="C173" i="2"/>
  <c r="C182" i="2"/>
  <c r="C178" i="2"/>
  <c r="C174" i="2"/>
  <c r="C172" i="2"/>
  <c r="C170" i="2"/>
  <c r="C152" i="2"/>
  <c r="C148" i="2"/>
  <c r="C144" i="2"/>
  <c r="C168" i="2"/>
  <c r="C164" i="2"/>
  <c r="C160" i="2"/>
  <c r="C156" i="2"/>
  <c r="C151" i="2"/>
  <c r="C147" i="2"/>
  <c r="C143" i="2"/>
  <c r="C167" i="2"/>
  <c r="C163" i="2"/>
  <c r="C159" i="2"/>
  <c r="C140" i="2"/>
  <c r="C136" i="2"/>
  <c r="C132" i="2"/>
  <c r="C128" i="2"/>
  <c r="C139" i="2"/>
  <c r="C135" i="2"/>
  <c r="C133" i="2"/>
  <c r="C131" i="2"/>
  <c r="C127" i="2"/>
  <c r="C123" i="2"/>
  <c r="C119" i="2"/>
  <c r="C115" i="2"/>
  <c r="C111" i="2"/>
  <c r="C122" i="2"/>
  <c r="C118" i="2"/>
  <c r="C114" i="2"/>
  <c r="C112" i="2"/>
  <c r="C109" i="2"/>
  <c r="C105" i="2"/>
  <c r="C101" i="2"/>
  <c r="C110" i="2"/>
  <c r="C106" i="2"/>
  <c r="C102" i="2"/>
  <c r="C98" i="2"/>
  <c r="C94" i="2"/>
  <c r="C90" i="2"/>
  <c r="C86" i="2"/>
  <c r="C97" i="2"/>
  <c r="C93" i="2"/>
  <c r="C89" i="2"/>
  <c r="C85" i="2"/>
  <c r="C81" i="2"/>
  <c r="C79" i="2"/>
  <c r="C77" i="2"/>
  <c r="C73" i="2"/>
  <c r="C71" i="2"/>
  <c r="C82" i="2"/>
  <c r="C78" i="2"/>
  <c r="C74" i="2"/>
  <c r="C70" i="2"/>
  <c r="C65" i="2"/>
  <c r="C63" i="2"/>
  <c r="C61" i="2"/>
  <c r="C57" i="2"/>
  <c r="C55" i="2"/>
  <c r="C53" i="2"/>
  <c r="C49" i="2"/>
  <c r="C45" i="2"/>
  <c r="C66" i="2"/>
  <c r="C62" i="2"/>
  <c r="C60" i="2"/>
  <c r="C58" i="2"/>
  <c r="C54" i="2"/>
  <c r="C52" i="2"/>
  <c r="C46" i="2"/>
  <c r="C38" i="2"/>
  <c r="C41" i="2"/>
  <c r="C33" i="2"/>
  <c r="C23" i="2"/>
  <c r="C7" i="2"/>
  <c r="C36" i="2"/>
  <c r="C32" i="2"/>
  <c r="C30" i="2"/>
  <c r="C28" i="2"/>
  <c r="C25" i="2"/>
  <c r="C17" i="2"/>
  <c r="C9" i="2"/>
  <c r="C42" i="2"/>
  <c r="C20" i="2"/>
  <c r="C12" i="2"/>
  <c r="C4" i="2"/>
  <c r="C2" i="2"/>
  <c r="C634" i="2" l="1"/>
  <c r="C786" i="2"/>
  <c r="L722" i="2"/>
  <c r="L584" i="2"/>
  <c r="L594" i="2"/>
  <c r="L687" i="2"/>
  <c r="L701" i="2"/>
  <c r="C1266" i="2"/>
  <c r="C1277" i="2"/>
  <c r="C1282" i="2"/>
  <c r="C1293" i="2"/>
  <c r="C1298" i="2"/>
  <c r="C1309" i="2"/>
  <c r="C1314" i="2"/>
  <c r="L774" i="2"/>
  <c r="L742" i="2"/>
  <c r="L710" i="2"/>
  <c r="L675" i="2"/>
  <c r="L659" i="2"/>
  <c r="L643" i="2"/>
  <c r="C743" i="2"/>
  <c r="C429" i="2"/>
  <c r="C470" i="2"/>
  <c r="C487" i="2"/>
  <c r="C552" i="2"/>
  <c r="C600" i="2"/>
  <c r="C650" i="2"/>
  <c r="C462" i="2"/>
  <c r="C478" i="2"/>
  <c r="C629" i="2"/>
  <c r="C583" i="2"/>
  <c r="C647" i="2"/>
  <c r="C682" i="2"/>
  <c r="C761" i="2"/>
  <c r="C444" i="2"/>
  <c r="C445" i="2"/>
  <c r="C916" i="2"/>
  <c r="C932" i="2"/>
  <c r="C948" i="2"/>
  <c r="C964" i="2"/>
  <c r="C407" i="2"/>
  <c r="L610" i="2"/>
  <c r="C379" i="2"/>
  <c r="C467" i="2"/>
  <c r="C428" i="2"/>
  <c r="C492" i="2"/>
  <c r="C472" i="2"/>
  <c r="C456" i="2"/>
  <c r="C836" i="2"/>
  <c r="C852" i="2"/>
  <c r="C868" i="2"/>
  <c r="C884" i="2"/>
  <c r="C900" i="2"/>
  <c r="C775" i="2"/>
  <c r="C828" i="2"/>
  <c r="C844" i="2"/>
  <c r="C860" i="2"/>
  <c r="C876" i="2"/>
  <c r="C892" i="2"/>
  <c r="C908" i="2"/>
  <c r="C924" i="2"/>
  <c r="C940" i="2"/>
  <c r="C956" i="2"/>
  <c r="C501" i="2"/>
  <c r="L501" i="2"/>
  <c r="L551" i="2"/>
  <c r="C551" i="2"/>
  <c r="L523" i="2"/>
  <c r="C523" i="2"/>
  <c r="L673" i="2"/>
  <c r="C673" i="2"/>
  <c r="L563" i="2"/>
  <c r="C563" i="2"/>
  <c r="L708" i="2"/>
  <c r="C708" i="2"/>
  <c r="L750" i="2"/>
  <c r="C750" i="2"/>
  <c r="C511" i="2"/>
  <c r="C580" i="2"/>
  <c r="C573" i="2"/>
  <c r="C631" i="2"/>
  <c r="C655" i="2"/>
  <c r="C663" i="2"/>
  <c r="C690" i="2"/>
  <c r="C729" i="2"/>
  <c r="C684" i="2"/>
  <c r="L754" i="2"/>
  <c r="L652" i="2"/>
  <c r="L810" i="2"/>
  <c r="L544" i="2"/>
  <c r="C544" i="2"/>
  <c r="L641" i="2"/>
  <c r="C641" i="2"/>
  <c r="L765" i="2"/>
  <c r="C765" i="2"/>
  <c r="C391" i="2"/>
  <c r="C402" i="2"/>
  <c r="L967" i="2"/>
  <c r="L1320" i="2"/>
  <c r="C1330" i="2"/>
  <c r="C1346" i="2"/>
  <c r="L1532" i="2"/>
  <c r="L1548" i="2"/>
  <c r="L1564" i="2"/>
  <c r="L1580" i="2"/>
  <c r="L1596" i="2"/>
  <c r="L1612" i="2"/>
  <c r="L1628" i="2"/>
  <c r="L1644" i="2"/>
  <c r="L1660" i="2"/>
  <c r="L1676" i="2"/>
  <c r="L1692" i="2"/>
  <c r="L2556" i="2"/>
  <c r="C2584" i="2"/>
  <c r="L2592" i="2"/>
  <c r="L2596" i="2"/>
  <c r="C2604" i="2"/>
  <c r="L2716" i="2"/>
  <c r="L2728" i="2"/>
  <c r="C5" i="2"/>
  <c r="L53" i="2"/>
  <c r="L62" i="2"/>
  <c r="L89" i="2"/>
  <c r="L105" i="2"/>
  <c r="C116" i="2"/>
  <c r="L132" i="2"/>
  <c r="L143" i="2"/>
  <c r="L148" i="2"/>
  <c r="C158" i="2"/>
  <c r="L178" i="2"/>
  <c r="C223" i="2"/>
  <c r="L226" i="2"/>
  <c r="C260" i="2"/>
  <c r="L250" i="2"/>
  <c r="L258" i="2"/>
  <c r="C272" i="2"/>
  <c r="L311" i="2"/>
  <c r="L316" i="2"/>
  <c r="C378" i="2"/>
  <c r="C347" i="2"/>
  <c r="C331" i="2"/>
  <c r="L326" i="2"/>
  <c r="C324" i="2"/>
  <c r="C372" i="2"/>
  <c r="C364" i="2"/>
  <c r="C363" i="2"/>
  <c r="C367" i="2"/>
  <c r="L401" i="2"/>
  <c r="C399" i="2"/>
  <c r="C395" i="2"/>
  <c r="C385" i="2"/>
  <c r="C371" i="2"/>
  <c r="C424" i="2"/>
  <c r="L422" i="2"/>
  <c r="C420" i="2"/>
  <c r="C416" i="2"/>
  <c r="C408" i="2"/>
  <c r="L406" i="2"/>
  <c r="L402" i="2"/>
  <c r="C394" i="2"/>
  <c r="C390" i="2"/>
  <c r="C398" i="2"/>
  <c r="L453" i="2"/>
  <c r="L452" i="2"/>
  <c r="C448" i="2"/>
  <c r="L445" i="2"/>
  <c r="L444" i="2"/>
  <c r="C440" i="2"/>
  <c r="L437" i="2"/>
  <c r="L436" i="2"/>
  <c r="C432" i="2"/>
  <c r="L482" i="2"/>
  <c r="L477" i="2"/>
  <c r="C475" i="2"/>
  <c r="L474" i="2"/>
  <c r="C471" i="2"/>
  <c r="L469" i="2"/>
  <c r="L466" i="2"/>
  <c r="C463" i="2"/>
  <c r="L461" i="2"/>
  <c r="C457" i="2"/>
  <c r="C502" i="2"/>
  <c r="L500" i="2"/>
  <c r="L498" i="2"/>
  <c r="L490" i="2"/>
  <c r="C484" i="2"/>
  <c r="C468" i="2"/>
  <c r="L460" i="2"/>
  <c r="L497" i="2"/>
  <c r="L743" i="2"/>
  <c r="L775" i="2"/>
  <c r="L807" i="2"/>
  <c r="L823" i="2"/>
  <c r="L839" i="2"/>
  <c r="L844" i="2"/>
  <c r="L855" i="2"/>
  <c r="L871" i="2"/>
  <c r="L887" i="2"/>
  <c r="L903" i="2"/>
  <c r="L919" i="2"/>
  <c r="L935" i="2"/>
  <c r="L951" i="2"/>
  <c r="C695" i="2"/>
  <c r="L727" i="2"/>
  <c r="L759" i="2"/>
  <c r="C791" i="2"/>
  <c r="L815" i="2"/>
  <c r="L831" i="2"/>
  <c r="L847" i="2"/>
  <c r="L863" i="2"/>
  <c r="L879" i="2"/>
  <c r="L895" i="2"/>
  <c r="L911" i="2"/>
  <c r="L927" i="2"/>
  <c r="L943" i="2"/>
  <c r="L959" i="2"/>
  <c r="C985" i="2"/>
  <c r="C1001" i="2"/>
  <c r="C1017" i="2"/>
  <c r="C1033" i="2"/>
  <c r="L1981" i="2"/>
  <c r="L1997" i="2"/>
  <c r="C2173" i="2"/>
  <c r="L2195" i="2"/>
  <c r="L2203" i="2"/>
  <c r="L2211" i="2"/>
  <c r="L2219" i="2"/>
  <c r="L2235" i="2"/>
  <c r="L2295" i="2"/>
  <c r="L2339" i="2"/>
  <c r="L2347" i="2"/>
  <c r="L2363" i="2"/>
  <c r="L2383" i="2"/>
  <c r="L2395" i="2"/>
  <c r="L2403" i="2"/>
  <c r="L2463" i="2"/>
  <c r="L2475" i="2"/>
  <c r="L2499" i="2"/>
  <c r="L2531" i="2"/>
  <c r="L2533" i="2"/>
  <c r="C2577" i="2"/>
  <c r="L2655" i="2"/>
  <c r="L2699" i="2"/>
  <c r="L2703" i="2"/>
  <c r="L2745" i="2"/>
  <c r="C3" i="2"/>
  <c r="L16" i="2"/>
  <c r="L24" i="2"/>
  <c r="L29" i="2"/>
  <c r="L81" i="2"/>
  <c r="C161" i="2"/>
  <c r="L1254" i="2"/>
  <c r="L1246" i="2"/>
  <c r="L1238" i="2"/>
  <c r="L1230" i="2"/>
  <c r="L1222" i="2"/>
  <c r="L1206" i="2"/>
  <c r="L1198" i="2"/>
  <c r="L1190" i="2"/>
  <c r="L1182" i="2"/>
  <c r="L795" i="2"/>
  <c r="L779" i="2"/>
  <c r="L731" i="2"/>
  <c r="C683" i="2"/>
  <c r="L667" i="2"/>
  <c r="L651" i="2"/>
  <c r="L635" i="2"/>
  <c r="L575" i="2"/>
  <c r="L379" i="2"/>
  <c r="L456" i="2"/>
  <c r="C330" i="2"/>
  <c r="C421" i="2"/>
  <c r="C993" i="2"/>
  <c r="C1009" i="2"/>
  <c r="L1020" i="2"/>
  <c r="C1025" i="2"/>
  <c r="C1041" i="2"/>
  <c r="C1049" i="2"/>
  <c r="C1057" i="2"/>
  <c r="C1065" i="2"/>
  <c r="C1073" i="2"/>
  <c r="C1081" i="2"/>
  <c r="C1089" i="2"/>
  <c r="C1097" i="2"/>
  <c r="C1105" i="2"/>
  <c r="L1108" i="2"/>
  <c r="C1113" i="2"/>
  <c r="C1121" i="2"/>
  <c r="C1129" i="2"/>
  <c r="C1137" i="2"/>
  <c r="C1145" i="2"/>
  <c r="C1153" i="2"/>
  <c r="C1161" i="2"/>
  <c r="C1169" i="2"/>
  <c r="C1177" i="2"/>
  <c r="C1430" i="2"/>
  <c r="C1446" i="2"/>
  <c r="L1720" i="2"/>
  <c r="L1723" i="2"/>
  <c r="L1731" i="2"/>
  <c r="L1736" i="2"/>
  <c r="L1739" i="2"/>
  <c r="L1742" i="2"/>
  <c r="L1752" i="2"/>
  <c r="L1755" i="2"/>
  <c r="L1763" i="2"/>
  <c r="C1764" i="2"/>
  <c r="L1768" i="2"/>
  <c r="L1774" i="2"/>
  <c r="L1800" i="2"/>
  <c r="L1806" i="2"/>
  <c r="L1816" i="2"/>
  <c r="C1828" i="2"/>
  <c r="L1832" i="2"/>
  <c r="L1838" i="2"/>
  <c r="L1840" i="2"/>
  <c r="L1843" i="2"/>
  <c r="L1848" i="2"/>
  <c r="L1851" i="2"/>
  <c r="L1856" i="2"/>
  <c r="L1859" i="2"/>
  <c r="L1864" i="2"/>
  <c r="L1867" i="2"/>
  <c r="L1870" i="2"/>
  <c r="L1872" i="2"/>
  <c r="L1875" i="2"/>
  <c r="L1883" i="2"/>
  <c r="L1888" i="2"/>
  <c r="L1891" i="2"/>
  <c r="L1896" i="2"/>
  <c r="L1902" i="2"/>
  <c r="L1904" i="2"/>
  <c r="L1907" i="2"/>
  <c r="L1912" i="2"/>
  <c r="L1920" i="2"/>
  <c r="L1928" i="2"/>
  <c r="L1931" i="2"/>
  <c r="L1934" i="2"/>
  <c r="L1936" i="2"/>
  <c r="L1947" i="2"/>
  <c r="L1952" i="2"/>
  <c r="L1960" i="2"/>
  <c r="L1963" i="2"/>
  <c r="L1966" i="2"/>
  <c r="L1968" i="2"/>
  <c r="C1976" i="2"/>
  <c r="L1988" i="2"/>
  <c r="C2008" i="2"/>
  <c r="C2032" i="2"/>
  <c r="L2094" i="2"/>
  <c r="L2542" i="2"/>
  <c r="L2742" i="2"/>
  <c r="C2782" i="2"/>
  <c r="C2220" i="2"/>
  <c r="L2234" i="2"/>
  <c r="L2246" i="2"/>
  <c r="L2262" i="2"/>
  <c r="L2282" i="2"/>
  <c r="L2294" i="2"/>
  <c r="C2313" i="2"/>
  <c r="L2314" i="2"/>
  <c r="L2330" i="2"/>
  <c r="L2374" i="2"/>
  <c r="C2390" i="2"/>
  <c r="L2398" i="2"/>
  <c r="L2410" i="2"/>
  <c r="L2426" i="2"/>
  <c r="L2430" i="2"/>
  <c r="L2441" i="2"/>
  <c r="L2450" i="2"/>
  <c r="L2486" i="2"/>
  <c r="C2502" i="2"/>
  <c r="L2510" i="2"/>
  <c r="L2554" i="2"/>
  <c r="L50" i="2"/>
  <c r="L23" i="2"/>
  <c r="L20" i="2"/>
  <c r="C56" i="2"/>
  <c r="L7" i="2"/>
  <c r="L12" i="2"/>
  <c r="L28" i="2"/>
  <c r="L33" i="2"/>
  <c r="C44" i="2"/>
  <c r="L49" i="2"/>
  <c r="L57" i="2"/>
  <c r="L65" i="2"/>
  <c r="L25" i="2"/>
  <c r="C88" i="2"/>
  <c r="C138" i="2"/>
  <c r="L9" i="2"/>
  <c r="L41" i="2"/>
  <c r="C75" i="2"/>
  <c r="L90" i="2"/>
  <c r="L106" i="2"/>
  <c r="L111" i="2"/>
  <c r="L114" i="2"/>
  <c r="L123" i="2"/>
  <c r="L58" i="2"/>
  <c r="L94" i="2"/>
  <c r="L110" i="2"/>
  <c r="L115" i="2"/>
  <c r="L54" i="2"/>
  <c r="C76" i="2"/>
  <c r="C130" i="2"/>
  <c r="L74" i="2"/>
  <c r="L109" i="2"/>
  <c r="L192" i="2"/>
  <c r="C200" i="2"/>
  <c r="C216" i="2"/>
  <c r="L139" i="2"/>
  <c r="L173" i="2"/>
  <c r="L181" i="2"/>
  <c r="L189" i="2"/>
  <c r="L197" i="2"/>
  <c r="L205" i="2"/>
  <c r="L213" i="2"/>
  <c r="L221" i="2"/>
  <c r="L147" i="2"/>
  <c r="L159" i="2"/>
  <c r="L174" i="2"/>
  <c r="L201" i="2"/>
  <c r="L262" i="2"/>
  <c r="L273" i="2"/>
  <c r="L278" i="2"/>
  <c r="L281" i="2"/>
  <c r="C91" i="2"/>
  <c r="L245" i="2"/>
  <c r="L266" i="2"/>
  <c r="L277" i="2"/>
  <c r="L282" i="2"/>
  <c r="L285" i="2"/>
  <c r="L128" i="2"/>
  <c r="C157" i="2"/>
  <c r="L193" i="2"/>
  <c r="C215" i="2"/>
  <c r="L151" i="2"/>
  <c r="L209" i="2"/>
  <c r="L248" i="2"/>
  <c r="L253" i="2"/>
  <c r="C259" i="2"/>
  <c r="C264" i="2"/>
  <c r="L270" i="2"/>
  <c r="L289" i="2"/>
  <c r="L294" i="2"/>
  <c r="L302" i="2"/>
  <c r="C305" i="2"/>
  <c r="L315" i="2"/>
  <c r="C166" i="2"/>
  <c r="C186" i="2"/>
  <c r="L206" i="2"/>
  <c r="C263" i="2"/>
  <c r="L307" i="2"/>
  <c r="L169" i="2"/>
  <c r="L232" i="2"/>
  <c r="L297" i="2"/>
  <c r="C313" i="2"/>
  <c r="L182" i="2"/>
  <c r="L85" i="2"/>
  <c r="L177" i="2"/>
  <c r="L217" i="2"/>
  <c r="L236" i="2"/>
  <c r="L306" i="2"/>
  <c r="L185" i="2"/>
  <c r="L170" i="2"/>
  <c r="L2" i="2"/>
  <c r="L1965" i="2"/>
  <c r="L1957" i="2"/>
  <c r="L1949" i="2"/>
  <c r="L1941" i="2"/>
  <c r="L1933" i="2"/>
  <c r="L1925" i="2"/>
  <c r="L1917" i="2"/>
  <c r="L1909" i="2"/>
  <c r="L1901" i="2"/>
  <c r="L1893" i="2"/>
  <c r="L1885" i="2"/>
  <c r="L1877" i="2"/>
  <c r="L1869" i="2"/>
  <c r="L1861" i="2"/>
  <c r="L1853" i="2"/>
  <c r="L1845" i="2"/>
  <c r="L1837" i="2"/>
  <c r="C1833" i="2"/>
  <c r="L1829" i="2"/>
  <c r="L1821" i="2"/>
  <c r="C1817" i="2"/>
  <c r="L1813" i="2"/>
  <c r="C1769" i="2"/>
  <c r="L1765" i="2"/>
  <c r="L1757" i="2"/>
  <c r="L1749" i="2"/>
  <c r="L1741" i="2"/>
  <c r="L1733" i="2"/>
  <c r="L1725" i="2"/>
  <c r="C1704" i="2"/>
  <c r="C1688" i="2"/>
  <c r="C1672" i="2"/>
  <c r="C1656" i="2"/>
  <c r="C1640" i="2"/>
  <c r="C1624" i="2"/>
  <c r="C1608" i="2"/>
  <c r="C1592" i="2"/>
  <c r="C1576" i="2"/>
  <c r="C1560" i="2"/>
  <c r="C1544" i="2"/>
  <c r="L1527" i="2"/>
  <c r="L1511" i="2"/>
  <c r="L1490" i="2"/>
  <c r="L1488" i="2"/>
  <c r="L1480" i="2"/>
  <c r="L1471" i="2"/>
  <c r="L1466" i="2"/>
  <c r="L1463" i="2"/>
  <c r="L1455" i="2"/>
  <c r="L1356" i="2"/>
  <c r="L1351" i="2"/>
  <c r="L1335" i="2"/>
  <c r="L1319" i="2"/>
  <c r="L1717" i="2"/>
  <c r="C1714" i="2"/>
  <c r="C1711" i="2"/>
  <c r="L1709" i="2"/>
  <c r="C1698" i="2"/>
  <c r="C1695" i="2"/>
  <c r="L1693" i="2"/>
  <c r="C1682" i="2"/>
  <c r="C1679" i="2"/>
  <c r="C1666" i="2"/>
  <c r="C1663" i="2"/>
  <c r="L1661" i="2"/>
  <c r="C1650" i="2"/>
  <c r="C1647" i="2"/>
  <c r="L1645" i="2"/>
  <c r="C1634" i="2"/>
  <c r="C1631" i="2"/>
  <c r="L1629" i="2"/>
  <c r="C1618" i="2"/>
  <c r="C1615" i="2"/>
  <c r="L1607" i="2"/>
  <c r="C1602" i="2"/>
  <c r="C1599" i="2"/>
  <c r="L1597" i="2"/>
  <c r="L1591" i="2"/>
  <c r="C1586" i="2"/>
  <c r="C1583" i="2"/>
  <c r="L1581" i="2"/>
  <c r="L1575" i="2"/>
  <c r="C1570" i="2"/>
  <c r="C1567" i="2"/>
  <c r="L1565" i="2"/>
  <c r="L1559" i="2"/>
  <c r="C1554" i="2"/>
  <c r="C1551" i="2"/>
  <c r="L1543" i="2"/>
  <c r="C1538" i="2"/>
  <c r="C1535" i="2"/>
  <c r="L1533" i="2"/>
  <c r="L1517" i="2"/>
  <c r="L1501" i="2"/>
  <c r="L1477" i="2"/>
  <c r="C1461" i="2"/>
  <c r="L1250" i="2"/>
  <c r="L1234" i="2"/>
  <c r="L1218" i="2"/>
  <c r="L1202" i="2"/>
  <c r="L1186" i="2"/>
  <c r="L1181" i="2"/>
  <c r="L1178" i="2"/>
  <c r="L1170" i="2"/>
  <c r="L1165" i="2"/>
  <c r="L1162" i="2"/>
  <c r="L1157" i="2"/>
  <c r="L1154" i="2"/>
  <c r="L1149" i="2"/>
  <c r="L1146" i="2"/>
  <c r="L1138" i="2"/>
  <c r="L1133" i="2"/>
  <c r="L1130" i="2"/>
  <c r="L1125" i="2"/>
  <c r="L1117" i="2"/>
  <c r="L1114" i="2"/>
  <c r="L1106" i="2"/>
  <c r="L1101" i="2"/>
  <c r="L1098" i="2"/>
  <c r="L1093" i="2"/>
  <c r="L1090" i="2"/>
  <c r="L1085" i="2"/>
  <c r="L1082" i="2"/>
  <c r="L1074" i="2"/>
  <c r="L1069" i="2"/>
  <c r="L1066" i="2"/>
  <c r="L1061" i="2"/>
  <c r="L1058" i="2"/>
  <c r="L1053" i="2"/>
  <c r="L1050" i="2"/>
  <c r="L1042" i="2"/>
  <c r="L1037" i="2"/>
  <c r="L1034" i="2"/>
  <c r="L1029" i="2"/>
  <c r="L1026" i="2"/>
  <c r="L1021" i="2"/>
  <c r="L1018" i="2"/>
  <c r="L1010" i="2"/>
  <c r="L1005" i="2"/>
  <c r="L1002" i="2"/>
  <c r="L997" i="2"/>
  <c r="L994" i="2"/>
  <c r="L989" i="2"/>
  <c r="L986" i="2"/>
  <c r="L978" i="2"/>
  <c r="L975" i="2"/>
  <c r="L1417" i="2"/>
  <c r="L1411" i="2"/>
  <c r="L1406" i="2"/>
  <c r="L1401" i="2"/>
  <c r="L1398" i="2"/>
  <c r="L1395" i="2"/>
  <c r="C1393" i="2"/>
  <c r="L1390" i="2"/>
  <c r="L1385" i="2"/>
  <c r="L1382" i="2"/>
  <c r="L1374" i="2"/>
  <c r="L1369" i="2"/>
  <c r="L1366" i="2"/>
  <c r="L1363" i="2"/>
  <c r="L1353" i="2"/>
  <c r="L1347" i="2"/>
  <c r="C1342" i="2"/>
  <c r="L1339" i="2"/>
  <c r="L1331" i="2"/>
  <c r="C1329" i="2"/>
  <c r="L1323" i="2"/>
  <c r="L1318" i="2"/>
  <c r="C1315" i="2"/>
  <c r="L1310" i="2"/>
  <c r="L1307" i="2"/>
  <c r="L1302" i="2"/>
  <c r="L1299" i="2"/>
  <c r="L1297" i="2"/>
  <c r="L1294" i="2"/>
  <c r="L1291" i="2"/>
  <c r="L1286" i="2"/>
  <c r="L1283" i="2"/>
  <c r="L1275" i="2"/>
  <c r="L1270" i="2"/>
  <c r="L1267" i="2"/>
  <c r="L1262" i="2"/>
  <c r="L1259" i="2"/>
  <c r="C1251" i="2"/>
  <c r="L1243" i="2"/>
  <c r="L1235" i="2"/>
  <c r="L1227" i="2"/>
  <c r="L1219" i="2"/>
  <c r="L1211" i="2"/>
  <c r="L1203" i="2"/>
  <c r="L1195" i="2"/>
  <c r="L1187" i="2"/>
  <c r="L961" i="2"/>
  <c r="L945" i="2"/>
  <c r="L929" i="2"/>
  <c r="L913" i="2"/>
  <c r="L897" i="2"/>
  <c r="L881" i="2"/>
  <c r="L865" i="2"/>
  <c r="L849" i="2"/>
  <c r="L833" i="2"/>
  <c r="L817" i="2"/>
  <c r="L801" i="2"/>
  <c r="L769" i="2"/>
  <c r="L737" i="2"/>
  <c r="L780" i="2"/>
  <c r="L748" i="2"/>
  <c r="C716" i="2"/>
  <c r="L677" i="2"/>
  <c r="L645" i="2"/>
  <c r="L1261" i="2"/>
  <c r="L1256" i="2"/>
  <c r="L1245" i="2"/>
  <c r="L1240" i="2"/>
  <c r="L1229" i="2"/>
  <c r="L1224" i="2"/>
  <c r="L1213" i="2"/>
  <c r="L1208" i="2"/>
  <c r="L1197" i="2"/>
  <c r="L1192" i="2"/>
  <c r="L1176" i="2"/>
  <c r="L1168" i="2"/>
  <c r="L1160" i="2"/>
  <c r="L1152" i="2"/>
  <c r="L1144" i="2"/>
  <c r="L1136" i="2"/>
  <c r="L1128" i="2"/>
  <c r="L1120" i="2"/>
  <c r="L1112" i="2"/>
  <c r="L1104" i="2"/>
  <c r="L1096" i="2"/>
  <c r="L1088" i="2"/>
  <c r="L1080" i="2"/>
  <c r="L1072" i="2"/>
  <c r="L1064" i="2"/>
  <c r="L1056" i="2"/>
  <c r="L1048" i="2"/>
  <c r="L1040" i="2"/>
  <c r="L1032" i="2"/>
  <c r="L1024" i="2"/>
  <c r="L1016" i="2"/>
  <c r="L1008" i="2"/>
  <c r="C1000" i="2"/>
  <c r="L992" i="2"/>
  <c r="C984" i="2"/>
  <c r="L976" i="2"/>
  <c r="L960" i="2"/>
  <c r="C957" i="2"/>
  <c r="L954" i="2"/>
  <c r="L952" i="2"/>
  <c r="L949" i="2"/>
  <c r="L944" i="2"/>
  <c r="C941" i="2"/>
  <c r="L938" i="2"/>
  <c r="L936" i="2"/>
  <c r="L933" i="2"/>
  <c r="L928" i="2"/>
  <c r="C925" i="2"/>
  <c r="L922" i="2"/>
  <c r="L920" i="2"/>
  <c r="C917" i="2"/>
  <c r="L912" i="2"/>
  <c r="L909" i="2"/>
  <c r="L906" i="2"/>
  <c r="L904" i="2"/>
  <c r="C901" i="2"/>
  <c r="L896" i="2"/>
  <c r="L893" i="2"/>
  <c r="L890" i="2"/>
  <c r="L888" i="2"/>
  <c r="C885" i="2"/>
  <c r="L880" i="2"/>
  <c r="L877" i="2"/>
  <c r="L874" i="2"/>
  <c r="L872" i="2"/>
  <c r="C869" i="2"/>
  <c r="L864" i="2"/>
  <c r="L861" i="2"/>
  <c r="L858" i="2"/>
  <c r="L856" i="2"/>
  <c r="C853" i="2"/>
  <c r="L848" i="2"/>
  <c r="L845" i="2"/>
  <c r="L842" i="2"/>
  <c r="C837" i="2"/>
  <c r="L832" i="2"/>
  <c r="L829" i="2"/>
  <c r="C826" i="2"/>
  <c r="L824" i="2"/>
  <c r="C821" i="2"/>
  <c r="L816" i="2"/>
  <c r="L813" i="2"/>
  <c r="L808" i="2"/>
  <c r="C805" i="2"/>
  <c r="L802" i="2"/>
  <c r="L797" i="2"/>
  <c r="L793" i="2"/>
  <c r="L777" i="2"/>
  <c r="L745" i="2"/>
  <c r="C348" i="2"/>
  <c r="C338" i="2"/>
  <c r="L345" i="2"/>
  <c r="C339" i="2"/>
  <c r="L366" i="2"/>
  <c r="L371" i="2"/>
  <c r="C386" i="2"/>
  <c r="L376" i="2"/>
  <c r="L429" i="2"/>
  <c r="L413" i="2"/>
  <c r="L388" i="2"/>
  <c r="L389" i="2"/>
  <c r="C441" i="2"/>
  <c r="L400" i="2"/>
  <c r="C415" i="2"/>
  <c r="C562" i="2"/>
  <c r="L562" i="2"/>
  <c r="C574" i="2"/>
  <c r="L574" i="2"/>
  <c r="L717" i="2"/>
  <c r="C717" i="2"/>
  <c r="L1336" i="2"/>
  <c r="C1336" i="2"/>
  <c r="C1280" i="2"/>
  <c r="L1280" i="2"/>
  <c r="C1344" i="2"/>
  <c r="L1344" i="2"/>
  <c r="C1408" i="2"/>
  <c r="L1408" i="2"/>
  <c r="L1508" i="2"/>
  <c r="C1508" i="2"/>
  <c r="L1189" i="2"/>
  <c r="L1205" i="2"/>
  <c r="L1237" i="2"/>
  <c r="L1269" i="2"/>
  <c r="L1301" i="2"/>
  <c r="L1486" i="2"/>
  <c r="C1494" i="2"/>
  <c r="L1518" i="2"/>
  <c r="L1540" i="2"/>
  <c r="C1540" i="2"/>
  <c r="L1588" i="2"/>
  <c r="C1588" i="2"/>
  <c r="L1620" i="2"/>
  <c r="C1620" i="2"/>
  <c r="L1652" i="2"/>
  <c r="C1652" i="2"/>
  <c r="L1684" i="2"/>
  <c r="C1684" i="2"/>
  <c r="L1716" i="2"/>
  <c r="C1716" i="2"/>
  <c r="L1973" i="2"/>
  <c r="C1973" i="2"/>
  <c r="L1989" i="2"/>
  <c r="C1989" i="2"/>
  <c r="C2102" i="2"/>
  <c r="L2102" i="2"/>
  <c r="C2110" i="2"/>
  <c r="L2110" i="2"/>
  <c r="C2118" i="2"/>
  <c r="L2118" i="2"/>
  <c r="C2151" i="2"/>
  <c r="L2151" i="2"/>
  <c r="C2169" i="2"/>
  <c r="L2169" i="2"/>
  <c r="L2226" i="2"/>
  <c r="C2226" i="2"/>
  <c r="L1758" i="2"/>
  <c r="C1758" i="2"/>
  <c r="C1780" i="2"/>
  <c r="C1812" i="2"/>
  <c r="L1854" i="2"/>
  <c r="C1854" i="2"/>
  <c r="L1886" i="2"/>
  <c r="C1886" i="2"/>
  <c r="L1918" i="2"/>
  <c r="C1918" i="2"/>
  <c r="C1979" i="2"/>
  <c r="L1982" i="2"/>
  <c r="C1982" i="2"/>
  <c r="L2004" i="2"/>
  <c r="C2004" i="2"/>
  <c r="L2035" i="2"/>
  <c r="L2038" i="2"/>
  <c r="C2038" i="2"/>
  <c r="L2043" i="2"/>
  <c r="C2043" i="2"/>
  <c r="L2054" i="2"/>
  <c r="C2054" i="2"/>
  <c r="L2059" i="2"/>
  <c r="C2059" i="2"/>
  <c r="L2062" i="2"/>
  <c r="L2067" i="2"/>
  <c r="L2070" i="2"/>
  <c r="C2070" i="2"/>
  <c r="L2075" i="2"/>
  <c r="C2075" i="2"/>
  <c r="L2078" i="2"/>
  <c r="L2083" i="2"/>
  <c r="L2099" i="2"/>
  <c r="L2115" i="2"/>
  <c r="L2131" i="2"/>
  <c r="L2147" i="2"/>
  <c r="C2243" i="2"/>
  <c r="L2243" i="2"/>
  <c r="L2287" i="2"/>
  <c r="C2287" i="2"/>
  <c r="C2375" i="2"/>
  <c r="L2375" i="2"/>
  <c r="L2483" i="2"/>
  <c r="C2483" i="2"/>
  <c r="L2524" i="2"/>
  <c r="C2524" i="2"/>
  <c r="L2527" i="2"/>
  <c r="C2527" i="2"/>
  <c r="C2529" i="2"/>
  <c r="L2529" i="2"/>
  <c r="C2532" i="2"/>
  <c r="L2532" i="2"/>
  <c r="L2548" i="2"/>
  <c r="C2548" i="2"/>
  <c r="L2561" i="2"/>
  <c r="C2561" i="2"/>
  <c r="L2609" i="2"/>
  <c r="C2609" i="2"/>
  <c r="C2617" i="2"/>
  <c r="L2617" i="2"/>
  <c r="C2545" i="2"/>
  <c r="L2545" i="2"/>
  <c r="L2580" i="2"/>
  <c r="C2580" i="2"/>
  <c r="L2600" i="2"/>
  <c r="C2600" i="2"/>
  <c r="L2618" i="2"/>
  <c r="C2618" i="2"/>
  <c r="C2628" i="2"/>
  <c r="L2651" i="2"/>
  <c r="C2651" i="2"/>
  <c r="C2661" i="2"/>
  <c r="L2671" i="2"/>
  <c r="C2714" i="2"/>
  <c r="L2714" i="2"/>
  <c r="L2769" i="2"/>
  <c r="C2769" i="2"/>
  <c r="L2789" i="2"/>
  <c r="C2789" i="2"/>
  <c r="C2792" i="2"/>
  <c r="C2191" i="2"/>
  <c r="L2191" i="2"/>
  <c r="C2196" i="2"/>
  <c r="L2196" i="2"/>
  <c r="C2207" i="2"/>
  <c r="L2207" i="2"/>
  <c r="C2212" i="2"/>
  <c r="L2212" i="2"/>
  <c r="C2223" i="2"/>
  <c r="L2236" i="2"/>
  <c r="L2258" i="2"/>
  <c r="C2258" i="2"/>
  <c r="C2261" i="2"/>
  <c r="L2261" i="2"/>
  <c r="C2264" i="2"/>
  <c r="L2272" i="2"/>
  <c r="L2277" i="2"/>
  <c r="C2277" i="2"/>
  <c r="C2280" i="2"/>
  <c r="L2280" i="2"/>
  <c r="C2296" i="2"/>
  <c r="L2296" i="2"/>
  <c r="L2304" i="2"/>
  <c r="C2304" i="2"/>
  <c r="C2312" i="2"/>
  <c r="L2312" i="2"/>
  <c r="L2317" i="2"/>
  <c r="C2317" i="2"/>
  <c r="L2326" i="2"/>
  <c r="C2326" i="2"/>
  <c r="L2334" i="2"/>
  <c r="C2334" i="2"/>
  <c r="L2358" i="2"/>
  <c r="C2358" i="2"/>
  <c r="L2361" i="2"/>
  <c r="C2361" i="2"/>
  <c r="L2366" i="2"/>
  <c r="C2366" i="2"/>
  <c r="L2385" i="2"/>
  <c r="C2385" i="2"/>
  <c r="L2388" i="2"/>
  <c r="C2393" i="2"/>
  <c r="L2393" i="2"/>
  <c r="L2404" i="2"/>
  <c r="C2404" i="2"/>
  <c r="C2406" i="2"/>
  <c r="L2406" i="2"/>
  <c r="C2409" i="2"/>
  <c r="L2409" i="2"/>
  <c r="L2440" i="2"/>
  <c r="C2440" i="2"/>
  <c r="L2448" i="2"/>
  <c r="L2460" i="2"/>
  <c r="L2470" i="2"/>
  <c r="C2470" i="2"/>
  <c r="C2481" i="2"/>
  <c r="L2492" i="2"/>
  <c r="C2492" i="2"/>
  <c r="L2504" i="2"/>
  <c r="C2504" i="2"/>
  <c r="C2520" i="2"/>
  <c r="L2520" i="2"/>
  <c r="L2537" i="2"/>
  <c r="L2568" i="2"/>
  <c r="L2574" i="2"/>
  <c r="C2574" i="2"/>
  <c r="L2636" i="2"/>
  <c r="C2698" i="2"/>
  <c r="L2698" i="2"/>
  <c r="C2726" i="2"/>
  <c r="L2726" i="2"/>
  <c r="L2774" i="2"/>
  <c r="C2780" i="2"/>
  <c r="L8" i="2"/>
  <c r="L32" i="2"/>
  <c r="L15" i="2"/>
  <c r="L325" i="2"/>
  <c r="L342" i="2"/>
  <c r="L377" i="2"/>
  <c r="C425" i="2"/>
  <c r="L425" i="2"/>
  <c r="L977" i="2"/>
  <c r="L1036" i="2"/>
  <c r="L1052" i="2"/>
  <c r="L1068" i="2"/>
  <c r="L1360" i="2"/>
  <c r="L1460" i="2"/>
  <c r="C1460" i="2"/>
  <c r="L1524" i="2"/>
  <c r="C1524" i="2"/>
  <c r="L1221" i="2"/>
  <c r="L1253" i="2"/>
  <c r="L1285" i="2"/>
  <c r="L1317" i="2"/>
  <c r="C1433" i="2"/>
  <c r="L1449" i="2"/>
  <c r="L1454" i="2"/>
  <c r="C1489" i="2"/>
  <c r="L1489" i="2"/>
  <c r="L1497" i="2"/>
  <c r="L1556" i="2"/>
  <c r="C1556" i="2"/>
  <c r="L1572" i="2"/>
  <c r="C1572" i="2"/>
  <c r="L1604" i="2"/>
  <c r="C1604" i="2"/>
  <c r="L1636" i="2"/>
  <c r="C1636" i="2"/>
  <c r="L1668" i="2"/>
  <c r="C1668" i="2"/>
  <c r="L1700" i="2"/>
  <c r="C1700" i="2"/>
  <c r="L2005" i="2"/>
  <c r="C2005" i="2"/>
  <c r="C2049" i="2"/>
  <c r="L2049" i="2"/>
  <c r="C2065" i="2"/>
  <c r="L2065" i="2"/>
  <c r="C2111" i="2"/>
  <c r="L2111" i="2"/>
  <c r="L2114" i="2"/>
  <c r="C2114" i="2"/>
  <c r="L2130" i="2"/>
  <c r="C2130" i="2"/>
  <c r="L2146" i="2"/>
  <c r="C2146" i="2"/>
  <c r="L2162" i="2"/>
  <c r="C2162" i="2"/>
  <c r="L2178" i="2"/>
  <c r="C2178" i="2"/>
  <c r="L2194" i="2"/>
  <c r="C2194" i="2"/>
  <c r="L2210" i="2"/>
  <c r="C2210" i="2"/>
  <c r="L1726" i="2"/>
  <c r="C1726" i="2"/>
  <c r="C1748" i="2"/>
  <c r="L1790" i="2"/>
  <c r="C1790" i="2"/>
  <c r="L1822" i="2"/>
  <c r="C1822" i="2"/>
  <c r="L1950" i="2"/>
  <c r="C1950" i="2"/>
  <c r="L1972" i="2"/>
  <c r="C1972" i="2"/>
  <c r="C1984" i="2"/>
  <c r="L1984" i="2"/>
  <c r="C1992" i="2"/>
  <c r="L1992" i="2"/>
  <c r="C1995" i="2"/>
  <c r="L1995" i="2"/>
  <c r="L1998" i="2"/>
  <c r="C2000" i="2"/>
  <c r="L2000" i="2"/>
  <c r="L2011" i="2"/>
  <c r="C2011" i="2"/>
  <c r="L2014" i="2"/>
  <c r="L2019" i="2"/>
  <c r="L2022" i="2"/>
  <c r="C2022" i="2"/>
  <c r="C2024" i="2"/>
  <c r="L2024" i="2"/>
  <c r="L2027" i="2"/>
  <c r="C2027" i="2"/>
  <c r="L2030" i="2"/>
  <c r="L2046" i="2"/>
  <c r="L2051" i="2"/>
  <c r="C2058" i="2"/>
  <c r="L2091" i="2"/>
  <c r="C2091" i="2"/>
  <c r="L2107" i="2"/>
  <c r="C2107" i="2"/>
  <c r="L2123" i="2"/>
  <c r="L2139" i="2"/>
  <c r="L2155" i="2"/>
  <c r="L2163" i="2"/>
  <c r="C2168" i="2"/>
  <c r="L2168" i="2"/>
  <c r="L2171" i="2"/>
  <c r="L2179" i="2"/>
  <c r="L2187" i="2"/>
  <c r="C2263" i="2"/>
  <c r="L2263" i="2"/>
  <c r="C2279" i="2"/>
  <c r="L2279" i="2"/>
  <c r="L2439" i="2"/>
  <c r="C2439" i="2"/>
  <c r="C2455" i="2"/>
  <c r="L2455" i="2"/>
  <c r="C2516" i="2"/>
  <c r="L2516" i="2"/>
  <c r="L2523" i="2"/>
  <c r="C2523" i="2"/>
  <c r="L2541" i="2"/>
  <c r="C2541" i="2"/>
  <c r="C2544" i="2"/>
  <c r="L2544" i="2"/>
  <c r="C2587" i="2"/>
  <c r="L2587" i="2"/>
  <c r="L2632" i="2"/>
  <c r="C2632" i="2"/>
  <c r="L2635" i="2"/>
  <c r="C2635" i="2"/>
  <c r="L2659" i="2"/>
  <c r="C2659" i="2"/>
  <c r="L2673" i="2"/>
  <c r="C2673" i="2"/>
  <c r="L2675" i="2"/>
  <c r="C2675" i="2"/>
  <c r="L2679" i="2"/>
  <c r="C2679" i="2"/>
  <c r="L2683" i="2"/>
  <c r="C2683" i="2"/>
  <c r="C2695" i="2"/>
  <c r="L2695" i="2"/>
  <c r="L2697" i="2"/>
  <c r="C2697" i="2"/>
  <c r="L2711" i="2"/>
  <c r="C2711" i="2"/>
  <c r="L2717" i="2"/>
  <c r="C2717" i="2"/>
  <c r="L2731" i="2"/>
  <c r="C2731" i="2"/>
  <c r="C2735" i="2"/>
  <c r="L2735" i="2"/>
  <c r="L2736" i="2"/>
  <c r="C2736" i="2"/>
  <c r="L2764" i="2"/>
  <c r="C2764" i="2"/>
  <c r="C2776" i="2"/>
  <c r="L2776" i="2"/>
  <c r="C2779" i="2"/>
  <c r="L2779" i="2"/>
  <c r="L2784" i="2"/>
  <c r="C2784" i="2"/>
  <c r="L2603" i="2"/>
  <c r="L2613" i="2"/>
  <c r="C2613" i="2"/>
  <c r="L2625" i="2"/>
  <c r="L2641" i="2"/>
  <c r="L2646" i="2"/>
  <c r="C2646" i="2"/>
  <c r="L2721" i="2"/>
  <c r="C2721" i="2"/>
  <c r="L2752" i="2"/>
  <c r="C2752" i="2"/>
  <c r="L2757" i="2"/>
  <c r="C2204" i="2"/>
  <c r="L2204" i="2"/>
  <c r="L2245" i="2"/>
  <c r="C2245" i="2"/>
  <c r="L2257" i="2"/>
  <c r="L2260" i="2"/>
  <c r="L2273" i="2"/>
  <c r="L2276" i="2"/>
  <c r="C2276" i="2"/>
  <c r="L2286" i="2"/>
  <c r="C2286" i="2"/>
  <c r="L2308" i="2"/>
  <c r="L2320" i="2"/>
  <c r="C2341" i="2"/>
  <c r="L2349" i="2"/>
  <c r="L2352" i="2"/>
  <c r="C2357" i="2"/>
  <c r="L2357" i="2"/>
  <c r="C2368" i="2"/>
  <c r="L2384" i="2"/>
  <c r="C2384" i="2"/>
  <c r="L2386" i="2"/>
  <c r="C2386" i="2"/>
  <c r="L2416" i="2"/>
  <c r="C2416" i="2"/>
  <c r="C2422" i="2"/>
  <c r="L2422" i="2"/>
  <c r="L2425" i="2"/>
  <c r="L2436" i="2"/>
  <c r="C2436" i="2"/>
  <c r="C2438" i="2"/>
  <c r="L2438" i="2"/>
  <c r="L2456" i="2"/>
  <c r="C2456" i="2"/>
  <c r="L2468" i="2"/>
  <c r="L2480" i="2"/>
  <c r="C2480" i="2"/>
  <c r="L2493" i="2"/>
  <c r="C2496" i="2"/>
  <c r="L2496" i="2"/>
  <c r="C2505" i="2"/>
  <c r="L2505" i="2"/>
  <c r="L2513" i="2"/>
  <c r="C2513" i="2"/>
  <c r="L2582" i="2"/>
  <c r="L2588" i="2"/>
  <c r="C2588" i="2"/>
  <c r="C2622" i="2"/>
  <c r="L2622" i="2"/>
  <c r="L2644" i="2"/>
  <c r="L2667" i="2"/>
  <c r="C2706" i="2"/>
  <c r="L2706" i="2"/>
  <c r="L2746" i="2"/>
  <c r="C2746" i="2"/>
  <c r="C21" i="2"/>
  <c r="L21" i="2"/>
  <c r="C51" i="2"/>
  <c r="L51" i="2"/>
  <c r="C8" i="2"/>
  <c r="C16" i="2"/>
  <c r="C24" i="2"/>
  <c r="C15" i="2"/>
  <c r="C29" i="2"/>
  <c r="C50" i="2"/>
  <c r="C325" i="2"/>
  <c r="C436" i="2"/>
  <c r="C452" i="2"/>
  <c r="C460" i="2"/>
  <c r="C437" i="2"/>
  <c r="C453" i="2"/>
  <c r="C477" i="2"/>
  <c r="C621" i="2"/>
  <c r="C559" i="2"/>
  <c r="C639" i="2"/>
  <c r="C668" i="2"/>
  <c r="C706" i="2"/>
  <c r="C727" i="2"/>
  <c r="C759" i="2"/>
  <c r="C807" i="2"/>
  <c r="C815" i="2"/>
  <c r="C823" i="2"/>
  <c r="C831" i="2"/>
  <c r="C839" i="2"/>
  <c r="C847" i="2"/>
  <c r="C855" i="2"/>
  <c r="C863" i="2"/>
  <c r="C871" i="2"/>
  <c r="C879" i="2"/>
  <c r="C887" i="2"/>
  <c r="C895" i="2"/>
  <c r="C903" i="2"/>
  <c r="C911" i="2"/>
  <c r="C919" i="2"/>
  <c r="C927" i="2"/>
  <c r="C935" i="2"/>
  <c r="C943" i="2"/>
  <c r="C951" i="2"/>
  <c r="C959" i="2"/>
  <c r="C671" i="2"/>
  <c r="C749" i="2"/>
  <c r="C781" i="2"/>
  <c r="C1142" i="2"/>
  <c r="C1174" i="2"/>
  <c r="C738" i="2"/>
  <c r="C770" i="2"/>
  <c r="C1201" i="2"/>
  <c r="C1497" i="2"/>
  <c r="C2493" i="2"/>
  <c r="C2425" i="2"/>
  <c r="C2383" i="2"/>
  <c r="C2347" i="2"/>
  <c r="C2273" i="2"/>
  <c r="C2235" i="2"/>
  <c r="C2219" i="2"/>
  <c r="C2203" i="2"/>
  <c r="C2187" i="2"/>
  <c r="C2171" i="2"/>
  <c r="C2155" i="2"/>
  <c r="C2139" i="2"/>
  <c r="C2123" i="2"/>
  <c r="C2099" i="2"/>
  <c r="C2067" i="2"/>
  <c r="C2035" i="2"/>
  <c r="C1998" i="2"/>
  <c r="C1934" i="2"/>
  <c r="C1870" i="2"/>
  <c r="C1806" i="2"/>
  <c r="C1742" i="2"/>
  <c r="C1516" i="2"/>
  <c r="C1548" i="2"/>
  <c r="C1580" i="2"/>
  <c r="C1612" i="2"/>
  <c r="C1644" i="2"/>
  <c r="C1676" i="2"/>
  <c r="C1997" i="2"/>
  <c r="C2426" i="2"/>
  <c r="C2308" i="2"/>
  <c r="C2234" i="2"/>
  <c r="C2202" i="2"/>
  <c r="C2170" i="2"/>
  <c r="C2138" i="2"/>
  <c r="C2106" i="2"/>
  <c r="C2094" i="2"/>
  <c r="C2090" i="2"/>
  <c r="C2078" i="2"/>
  <c r="C2046" i="2"/>
  <c r="C2014" i="2"/>
  <c r="C1476" i="2"/>
  <c r="C2625" i="2"/>
  <c r="C2603" i="2"/>
  <c r="C2596" i="2"/>
  <c r="C2592" i="2"/>
  <c r="C2568" i="2"/>
  <c r="C2542" i="2"/>
  <c r="C2533" i="2"/>
  <c r="C2510" i="2"/>
  <c r="C2486" i="2"/>
  <c r="C2463" i="2"/>
  <c r="C2430" i="2"/>
  <c r="C2395" i="2"/>
  <c r="C2349" i="2"/>
  <c r="C2294" i="2"/>
  <c r="C2236" i="2"/>
  <c r="C2774" i="2"/>
  <c r="C2745" i="2"/>
  <c r="C2703" i="2"/>
  <c r="C2468" i="2"/>
  <c r="C2314" i="2"/>
  <c r="C2388" i="2"/>
  <c r="C2260" i="2"/>
  <c r="C2716" i="2"/>
  <c r="C2450" i="2"/>
  <c r="L43" i="2"/>
  <c r="L34" i="2"/>
  <c r="L1976" i="2"/>
  <c r="L2032" i="2"/>
  <c r="L2220" i="2"/>
  <c r="L1979" i="2"/>
  <c r="L2223" i="2"/>
  <c r="L2390" i="2"/>
  <c r="L2577" i="2"/>
  <c r="L2341" i="2"/>
  <c r="L695" i="2"/>
  <c r="L618" i="2"/>
  <c r="L657" i="2"/>
  <c r="L1216" i="2"/>
  <c r="L2481" i="2"/>
  <c r="C48" i="2"/>
  <c r="L45" i="2"/>
  <c r="L37" i="2"/>
  <c r="L42" i="2"/>
  <c r="C1968" i="2"/>
  <c r="C1963" i="2"/>
  <c r="C1960" i="2"/>
  <c r="L1956" i="2"/>
  <c r="C1952" i="2"/>
  <c r="C1947" i="2"/>
  <c r="C1944" i="2"/>
  <c r="L1940" i="2"/>
  <c r="C1936" i="2"/>
  <c r="C1931" i="2"/>
  <c r="C1928" i="2"/>
  <c r="L1924" i="2"/>
  <c r="C1920" i="2"/>
  <c r="C1915" i="2"/>
  <c r="C1912" i="2"/>
  <c r="L1908" i="2"/>
  <c r="C1907" i="2"/>
  <c r="C1904" i="2"/>
  <c r="C1899" i="2"/>
  <c r="C1896" i="2"/>
  <c r="L1892" i="2"/>
  <c r="C1891" i="2"/>
  <c r="C1888" i="2"/>
  <c r="C1883" i="2"/>
  <c r="C1880" i="2"/>
  <c r="L1876" i="2"/>
  <c r="C1875" i="2"/>
  <c r="C1872" i="2"/>
  <c r="C1867" i="2"/>
  <c r="C1864" i="2"/>
  <c r="L1860" i="2"/>
  <c r="C1859" i="2"/>
  <c r="C1856" i="2"/>
  <c r="C1851" i="2"/>
  <c r="C1848" i="2"/>
  <c r="L1844" i="2"/>
  <c r="C1843" i="2"/>
  <c r="C1840" i="2"/>
  <c r="C1832" i="2"/>
  <c r="L1828" i="2"/>
  <c r="C1816" i="2"/>
  <c r="L1812" i="2"/>
  <c r="C1800" i="2"/>
  <c r="L1796" i="2"/>
  <c r="C1784" i="2"/>
  <c r="L1780" i="2"/>
  <c r="C1768" i="2"/>
  <c r="L1764" i="2"/>
  <c r="C1763" i="2"/>
  <c r="C1755" i="2"/>
  <c r="C1752" i="2"/>
  <c r="L1748" i="2"/>
  <c r="C1747" i="2"/>
  <c r="C1739" i="2"/>
  <c r="C1736" i="2"/>
  <c r="L1732" i="2"/>
  <c r="C1731" i="2"/>
  <c r="C1723" i="2"/>
  <c r="C1720" i="2"/>
  <c r="L1710" i="2"/>
  <c r="L1699" i="2"/>
  <c r="L1683" i="2"/>
  <c r="L1667" i="2"/>
  <c r="L1651" i="2"/>
  <c r="L1635" i="2"/>
  <c r="L1619" i="2"/>
  <c r="C1531" i="2"/>
  <c r="C1523" i="2"/>
  <c r="C1518" i="2"/>
  <c r="L1494" i="2"/>
  <c r="C1486" i="2"/>
  <c r="L1483" i="2"/>
  <c r="C1454" i="2"/>
  <c r="L1446" i="2"/>
  <c r="L1443" i="2"/>
  <c r="L1438" i="2"/>
  <c r="L1430" i="2"/>
  <c r="L1427" i="2"/>
  <c r="L1422" i="2"/>
  <c r="L1343" i="2"/>
  <c r="L1327" i="2"/>
  <c r="L1433" i="2"/>
  <c r="L1346" i="2"/>
  <c r="L1330" i="2"/>
  <c r="L1314" i="2"/>
  <c r="L1306" i="2"/>
  <c r="L1298" i="2"/>
  <c r="L1290" i="2"/>
  <c r="L1282" i="2"/>
  <c r="L1274" i="2"/>
  <c r="L1266" i="2"/>
  <c r="L1258" i="2"/>
  <c r="L1242" i="2"/>
  <c r="L1226" i="2"/>
  <c r="L1210" i="2"/>
  <c r="L1194" i="2"/>
  <c r="L1233" i="2"/>
  <c r="L1158" i="2"/>
  <c r="L1126" i="2"/>
  <c r="C977" i="2"/>
  <c r="L852" i="2"/>
  <c r="C1108" i="2"/>
  <c r="L1092" i="2"/>
  <c r="C1084" i="2"/>
  <c r="L1076" i="2"/>
  <c r="C1068" i="2"/>
  <c r="L1060" i="2"/>
  <c r="C1052" i="2"/>
  <c r="L1044" i="2"/>
  <c r="C1036" i="2"/>
  <c r="L1028" i="2"/>
  <c r="C1020" i="2"/>
  <c r="L1012" i="2"/>
  <c r="L417" i="2"/>
  <c r="C417" i="2"/>
  <c r="L409" i="2"/>
  <c r="C409" i="2"/>
  <c r="L414" i="2"/>
  <c r="C414" i="2"/>
  <c r="L403" i="2"/>
  <c r="C403" i="2"/>
  <c r="L449" i="2"/>
  <c r="C449" i="2"/>
  <c r="L433" i="2"/>
  <c r="C433" i="2"/>
  <c r="L499" i="2"/>
  <c r="C499" i="2"/>
  <c r="L495" i="2"/>
  <c r="C495" i="2"/>
  <c r="L491" i="2"/>
  <c r="C491" i="2"/>
  <c r="L483" i="2"/>
  <c r="C483" i="2"/>
  <c r="L534" i="2"/>
  <c r="C534" i="2"/>
  <c r="L636" i="2"/>
  <c r="C636" i="2"/>
  <c r="L679" i="2"/>
  <c r="C679" i="2"/>
  <c r="C700" i="2"/>
  <c r="L700" i="2"/>
  <c r="L711" i="2"/>
  <c r="C711" i="2"/>
  <c r="L732" i="2"/>
  <c r="C732" i="2"/>
  <c r="L764" i="2"/>
  <c r="C764" i="2"/>
  <c r="L595" i="2"/>
  <c r="C595" i="2"/>
  <c r="L607" i="2"/>
  <c r="C607" i="2"/>
  <c r="L661" i="2"/>
  <c r="C661" i="2"/>
  <c r="L697" i="2"/>
  <c r="C697" i="2"/>
  <c r="L718" i="2"/>
  <c r="C718" i="2"/>
  <c r="L740" i="2"/>
  <c r="C740" i="2"/>
  <c r="L782" i="2"/>
  <c r="C782" i="2"/>
  <c r="L800" i="2"/>
  <c r="C800" i="2"/>
  <c r="L834" i="2"/>
  <c r="C834" i="2"/>
  <c r="L850" i="2"/>
  <c r="C850" i="2"/>
  <c r="L866" i="2"/>
  <c r="C866" i="2"/>
  <c r="L882" i="2"/>
  <c r="C882" i="2"/>
  <c r="L898" i="2"/>
  <c r="C898" i="2"/>
  <c r="L914" i="2"/>
  <c r="C914" i="2"/>
  <c r="L930" i="2"/>
  <c r="C930" i="2"/>
  <c r="L946" i="2"/>
  <c r="C946" i="2"/>
  <c r="L962" i="2"/>
  <c r="C962" i="2"/>
  <c r="L983" i="2"/>
  <c r="C983" i="2"/>
  <c r="L999" i="2"/>
  <c r="C999" i="2"/>
  <c r="L1015" i="2"/>
  <c r="C1015" i="2"/>
  <c r="L1031" i="2"/>
  <c r="C1031" i="2"/>
  <c r="L1047" i="2"/>
  <c r="C1047" i="2"/>
  <c r="L1063" i="2"/>
  <c r="C1063" i="2"/>
  <c r="L1079" i="2"/>
  <c r="C1079" i="2"/>
  <c r="L1095" i="2"/>
  <c r="C1095" i="2"/>
  <c r="L1111" i="2"/>
  <c r="C1111" i="2"/>
  <c r="L1127" i="2"/>
  <c r="C1127" i="2"/>
  <c r="L1143" i="2"/>
  <c r="C1143" i="2"/>
  <c r="L1159" i="2"/>
  <c r="C1159" i="2"/>
  <c r="L1175" i="2"/>
  <c r="C1175" i="2"/>
  <c r="L1272" i="2"/>
  <c r="C1272" i="2"/>
  <c r="L1288" i="2"/>
  <c r="C1288" i="2"/>
  <c r="L1304" i="2"/>
  <c r="C1304" i="2"/>
  <c r="L1352" i="2"/>
  <c r="C1352" i="2"/>
  <c r="L1368" i="2"/>
  <c r="C1368" i="2"/>
  <c r="L1384" i="2"/>
  <c r="C1384" i="2"/>
  <c r="L1400" i="2"/>
  <c r="C1400" i="2"/>
  <c r="L1416" i="2"/>
  <c r="C1416" i="2"/>
  <c r="L1200" i="2"/>
  <c r="C1200" i="2"/>
  <c r="L1232" i="2"/>
  <c r="C1232" i="2"/>
  <c r="L1248" i="2"/>
  <c r="C1248" i="2"/>
  <c r="L1264" i="2"/>
  <c r="C1264" i="2"/>
  <c r="L1296" i="2"/>
  <c r="C1296" i="2"/>
  <c r="L1312" i="2"/>
  <c r="C1312" i="2"/>
  <c r="L1328" i="2"/>
  <c r="C1328" i="2"/>
  <c r="C1376" i="2"/>
  <c r="L1376" i="2"/>
  <c r="L1392" i="2"/>
  <c r="C1392" i="2"/>
  <c r="L1428" i="2"/>
  <c r="C1428" i="2"/>
  <c r="L1436" i="2"/>
  <c r="C1436" i="2"/>
  <c r="L1444" i="2"/>
  <c r="C1444" i="2"/>
  <c r="L1452" i="2"/>
  <c r="C1452" i="2"/>
  <c r="L1468" i="2"/>
  <c r="C1468" i="2"/>
  <c r="L1484" i="2"/>
  <c r="C1484" i="2"/>
  <c r="L1492" i="2"/>
  <c r="C1492" i="2"/>
  <c r="L1500" i="2"/>
  <c r="C1500" i="2"/>
  <c r="L1708" i="2"/>
  <c r="C1708" i="2"/>
  <c r="L1333" i="2"/>
  <c r="C1333" i="2"/>
  <c r="L1349" i="2"/>
  <c r="C1349" i="2"/>
  <c r="L1365" i="2"/>
  <c r="C1365" i="2"/>
  <c r="L1381" i="2"/>
  <c r="C1381" i="2"/>
  <c r="L1397" i="2"/>
  <c r="C1397" i="2"/>
  <c r="L1413" i="2"/>
  <c r="C1413" i="2"/>
  <c r="L1457" i="2"/>
  <c r="C1457" i="2"/>
  <c r="L1465" i="2"/>
  <c r="C1465" i="2"/>
  <c r="L1473" i="2"/>
  <c r="C1473" i="2"/>
  <c r="L1481" i="2"/>
  <c r="C1481" i="2"/>
  <c r="C1505" i="2"/>
  <c r="L1505" i="2"/>
  <c r="L1513" i="2"/>
  <c r="C1513" i="2"/>
  <c r="L1521" i="2"/>
  <c r="C1521" i="2"/>
  <c r="L1834" i="2"/>
  <c r="C1834" i="2"/>
  <c r="L1842" i="2"/>
  <c r="C1842" i="2"/>
  <c r="L1850" i="2"/>
  <c r="C1850" i="2"/>
  <c r="L1858" i="2"/>
  <c r="C1858" i="2"/>
  <c r="L1866" i="2"/>
  <c r="C1866" i="2"/>
  <c r="L1874" i="2"/>
  <c r="C1874" i="2"/>
  <c r="L1882" i="2"/>
  <c r="C1882" i="2"/>
  <c r="L1890" i="2"/>
  <c r="C1890" i="2"/>
  <c r="L1898" i="2"/>
  <c r="C1898" i="2"/>
  <c r="L1906" i="2"/>
  <c r="C1906" i="2"/>
  <c r="L1914" i="2"/>
  <c r="C1914" i="2"/>
  <c r="L1922" i="2"/>
  <c r="C1922" i="2"/>
  <c r="L1930" i="2"/>
  <c r="C1930" i="2"/>
  <c r="L1938" i="2"/>
  <c r="C1938" i="2"/>
  <c r="L1946" i="2"/>
  <c r="C1946" i="2"/>
  <c r="L1954" i="2"/>
  <c r="C1954" i="2"/>
  <c r="L1962" i="2"/>
  <c r="C1962" i="2"/>
  <c r="L1970" i="2"/>
  <c r="C1970" i="2"/>
  <c r="L1977" i="2"/>
  <c r="C1977" i="2"/>
  <c r="L1985" i="2"/>
  <c r="C1985" i="2"/>
  <c r="L1993" i="2"/>
  <c r="C1993" i="2"/>
  <c r="L2001" i="2"/>
  <c r="C2001" i="2"/>
  <c r="L2009" i="2"/>
  <c r="C2009" i="2"/>
  <c r="L2013" i="2"/>
  <c r="C2013" i="2"/>
  <c r="L2017" i="2"/>
  <c r="C2017" i="2"/>
  <c r="L2021" i="2"/>
  <c r="C2021" i="2"/>
  <c r="L2025" i="2"/>
  <c r="C2025" i="2"/>
  <c r="L2029" i="2"/>
  <c r="C2029" i="2"/>
  <c r="L2033" i="2"/>
  <c r="C2033" i="2"/>
  <c r="L2037" i="2"/>
  <c r="C2037" i="2"/>
  <c r="C2041" i="2"/>
  <c r="L2041" i="2"/>
  <c r="L2045" i="2"/>
  <c r="C2045" i="2"/>
  <c r="L2053" i="2"/>
  <c r="C2053" i="2"/>
  <c r="C2057" i="2"/>
  <c r="L2057" i="2"/>
  <c r="L2061" i="2"/>
  <c r="C2061" i="2"/>
  <c r="L2069" i="2"/>
  <c r="C2069" i="2"/>
  <c r="C2073" i="2"/>
  <c r="L2073" i="2"/>
  <c r="L2077" i="2"/>
  <c r="C2077" i="2"/>
  <c r="L2079" i="2"/>
  <c r="C2079" i="2"/>
  <c r="L2082" i="2"/>
  <c r="C2082" i="2"/>
  <c r="L2085" i="2"/>
  <c r="C2085" i="2"/>
  <c r="L2087" i="2"/>
  <c r="C2087" i="2"/>
  <c r="L2093" i="2"/>
  <c r="C2093" i="2"/>
  <c r="L2095" i="2"/>
  <c r="C2095" i="2"/>
  <c r="L2098" i="2"/>
  <c r="C2098" i="2"/>
  <c r="L2101" i="2"/>
  <c r="C2101" i="2"/>
  <c r="L2103" i="2"/>
  <c r="C2103" i="2"/>
  <c r="L2105" i="2"/>
  <c r="C2105" i="2"/>
  <c r="L2109" i="2"/>
  <c r="C2109" i="2"/>
  <c r="L2113" i="2"/>
  <c r="C2113" i="2"/>
  <c r="L2117" i="2"/>
  <c r="C2117" i="2"/>
  <c r="L2119" i="2"/>
  <c r="C2119" i="2"/>
  <c r="L2121" i="2"/>
  <c r="C2121" i="2"/>
  <c r="L2125" i="2"/>
  <c r="C2125" i="2"/>
  <c r="L2126" i="2"/>
  <c r="C2126" i="2"/>
  <c r="L2127" i="2"/>
  <c r="C2127" i="2"/>
  <c r="L2129" i="2"/>
  <c r="C2129" i="2"/>
  <c r="L2133" i="2"/>
  <c r="C2133" i="2"/>
  <c r="L2134" i="2"/>
  <c r="C2134" i="2"/>
  <c r="L2135" i="2"/>
  <c r="C2135" i="2"/>
  <c r="L2137" i="2"/>
  <c r="C2137" i="2"/>
  <c r="L2141" i="2"/>
  <c r="C2141" i="2"/>
  <c r="L2142" i="2"/>
  <c r="C2142" i="2"/>
  <c r="L2143" i="2"/>
  <c r="C2143" i="2"/>
  <c r="L2145" i="2"/>
  <c r="C2145" i="2"/>
  <c r="L2149" i="2"/>
  <c r="C2149" i="2"/>
  <c r="L2150" i="2"/>
  <c r="C2150" i="2"/>
  <c r="C2153" i="2"/>
  <c r="L2153" i="2"/>
  <c r="L2157" i="2"/>
  <c r="C2157" i="2"/>
  <c r="L2158" i="2"/>
  <c r="C2158" i="2"/>
  <c r="L2159" i="2"/>
  <c r="C2159" i="2"/>
  <c r="L2161" i="2"/>
  <c r="C2161" i="2"/>
  <c r="L2165" i="2"/>
  <c r="C2165" i="2"/>
  <c r="L2166" i="2"/>
  <c r="C2166" i="2"/>
  <c r="L2167" i="2"/>
  <c r="C2167" i="2"/>
  <c r="L2174" i="2"/>
  <c r="C2174" i="2"/>
  <c r="L2175" i="2"/>
  <c r="C2175" i="2"/>
  <c r="L2177" i="2"/>
  <c r="C2177" i="2"/>
  <c r="L2181" i="2"/>
  <c r="C2181" i="2"/>
  <c r="L2182" i="2"/>
  <c r="C2182" i="2"/>
  <c r="L2183" i="2"/>
  <c r="C2183" i="2"/>
  <c r="L2185" i="2"/>
  <c r="C2185" i="2"/>
  <c r="C2189" i="2"/>
  <c r="L2189" i="2"/>
  <c r="L2190" i="2"/>
  <c r="C2190" i="2"/>
  <c r="L2193" i="2"/>
  <c r="C2193" i="2"/>
  <c r="L2197" i="2"/>
  <c r="C2197" i="2"/>
  <c r="L2198" i="2"/>
  <c r="C2198" i="2"/>
  <c r="L2201" i="2"/>
  <c r="C2201" i="2"/>
  <c r="L2205" i="2"/>
  <c r="C2205" i="2"/>
  <c r="L2206" i="2"/>
  <c r="C2206" i="2"/>
  <c r="L2209" i="2"/>
  <c r="C2209" i="2"/>
  <c r="L2213" i="2"/>
  <c r="C2213" i="2"/>
  <c r="L2214" i="2"/>
  <c r="C2214" i="2"/>
  <c r="L2217" i="2"/>
  <c r="C2217" i="2"/>
  <c r="L2221" i="2"/>
  <c r="C2221" i="2"/>
  <c r="L2222" i="2"/>
  <c r="C2222" i="2"/>
  <c r="L2225" i="2"/>
  <c r="C2225" i="2"/>
  <c r="L1529" i="2"/>
  <c r="C1529" i="2"/>
  <c r="L1537" i="2"/>
  <c r="C1537" i="2"/>
  <c r="L1545" i="2"/>
  <c r="C1545" i="2"/>
  <c r="L1553" i="2"/>
  <c r="C1553" i="2"/>
  <c r="L1561" i="2"/>
  <c r="C1561" i="2"/>
  <c r="L1569" i="2"/>
  <c r="C1569" i="2"/>
  <c r="L1577" i="2"/>
  <c r="C1577" i="2"/>
  <c r="L1585" i="2"/>
  <c r="C1585" i="2"/>
  <c r="L1593" i="2"/>
  <c r="C1593" i="2"/>
  <c r="L1601" i="2"/>
  <c r="C1601" i="2"/>
  <c r="L1609" i="2"/>
  <c r="C1609" i="2"/>
  <c r="L1617" i="2"/>
  <c r="C1617" i="2"/>
  <c r="L1625" i="2"/>
  <c r="C1625" i="2"/>
  <c r="L1633" i="2"/>
  <c r="C1633" i="2"/>
  <c r="L1641" i="2"/>
  <c r="C1641" i="2"/>
  <c r="L1649" i="2"/>
  <c r="C1649" i="2"/>
  <c r="L1657" i="2"/>
  <c r="C1657" i="2"/>
  <c r="L1665" i="2"/>
  <c r="C1665" i="2"/>
  <c r="L1673" i="2"/>
  <c r="C1673" i="2"/>
  <c r="L1681" i="2"/>
  <c r="C1681" i="2"/>
  <c r="L1689" i="2"/>
  <c r="C1689" i="2"/>
  <c r="L1697" i="2"/>
  <c r="C1697" i="2"/>
  <c r="L1705" i="2"/>
  <c r="C1705" i="2"/>
  <c r="L1713" i="2"/>
  <c r="C1713" i="2"/>
  <c r="L1718" i="2"/>
  <c r="C1718" i="2"/>
  <c r="L1722" i="2"/>
  <c r="C1722" i="2"/>
  <c r="L1730" i="2"/>
  <c r="C1730" i="2"/>
  <c r="L1734" i="2"/>
  <c r="C1734" i="2"/>
  <c r="L1738" i="2"/>
  <c r="C1738" i="2"/>
  <c r="L1746" i="2"/>
  <c r="C1746" i="2"/>
  <c r="L1750" i="2"/>
  <c r="C1750" i="2"/>
  <c r="L1754" i="2"/>
  <c r="C1754" i="2"/>
  <c r="L1762" i="2"/>
  <c r="C1762" i="2"/>
  <c r="L1766" i="2"/>
  <c r="C1766" i="2"/>
  <c r="L1770" i="2"/>
  <c r="C1770" i="2"/>
  <c r="L1778" i="2"/>
  <c r="C1778" i="2"/>
  <c r="L1782" i="2"/>
  <c r="C1782" i="2"/>
  <c r="L1786" i="2"/>
  <c r="C1786" i="2"/>
  <c r="L1794" i="2"/>
  <c r="C1794" i="2"/>
  <c r="L1798" i="2"/>
  <c r="C1798" i="2"/>
  <c r="L1802" i="2"/>
  <c r="C1802" i="2"/>
  <c r="L1810" i="2"/>
  <c r="C1810" i="2"/>
  <c r="L1814" i="2"/>
  <c r="C1814" i="2"/>
  <c r="L1818" i="2"/>
  <c r="C1818" i="2"/>
  <c r="L1826" i="2"/>
  <c r="C1826" i="2"/>
  <c r="L1830" i="2"/>
  <c r="C1830" i="2"/>
  <c r="L1846" i="2"/>
  <c r="C1846" i="2"/>
  <c r="L1862" i="2"/>
  <c r="C1862" i="2"/>
  <c r="L1878" i="2"/>
  <c r="C1878" i="2"/>
  <c r="L1894" i="2"/>
  <c r="C1894" i="2"/>
  <c r="L1910" i="2"/>
  <c r="C1910" i="2"/>
  <c r="L1926" i="2"/>
  <c r="C1926" i="2"/>
  <c r="L1942" i="2"/>
  <c r="C1942" i="2"/>
  <c r="L1958" i="2"/>
  <c r="C1958" i="2"/>
  <c r="C1971" i="2"/>
  <c r="L1971" i="2"/>
  <c r="L1974" i="2"/>
  <c r="C1974" i="2"/>
  <c r="L1975" i="2"/>
  <c r="C1975" i="2"/>
  <c r="L1978" i="2"/>
  <c r="C1978" i="2"/>
  <c r="L1980" i="2"/>
  <c r="C1980" i="2"/>
  <c r="L1983" i="2"/>
  <c r="C1983" i="2"/>
  <c r="L1986" i="2"/>
  <c r="C1986" i="2"/>
  <c r="C1987" i="2"/>
  <c r="L1987" i="2"/>
  <c r="L1990" i="2"/>
  <c r="C1990" i="2"/>
  <c r="L1991" i="2"/>
  <c r="C1991" i="2"/>
  <c r="L1994" i="2"/>
  <c r="C1994" i="2"/>
  <c r="L1996" i="2"/>
  <c r="C1996" i="2"/>
  <c r="L1999" i="2"/>
  <c r="C1999" i="2"/>
  <c r="L2002" i="2"/>
  <c r="C2002" i="2"/>
  <c r="C2003" i="2"/>
  <c r="L2003" i="2"/>
  <c r="L2006" i="2"/>
  <c r="C2006" i="2"/>
  <c r="L2007" i="2"/>
  <c r="C2007" i="2"/>
  <c r="L2010" i="2"/>
  <c r="C2010" i="2"/>
  <c r="L2012" i="2"/>
  <c r="C2012" i="2"/>
  <c r="L2015" i="2"/>
  <c r="C2015" i="2"/>
  <c r="L2016" i="2"/>
  <c r="C2016" i="2"/>
  <c r="L2018" i="2"/>
  <c r="C2018" i="2"/>
  <c r="L2020" i="2"/>
  <c r="C2020" i="2"/>
  <c r="L2023" i="2"/>
  <c r="C2023" i="2"/>
  <c r="L2026" i="2"/>
  <c r="C2026" i="2"/>
  <c r="C2028" i="2"/>
  <c r="L2028" i="2"/>
  <c r="L2031" i="2"/>
  <c r="C2031" i="2"/>
  <c r="L2034" i="2"/>
  <c r="C2034" i="2"/>
  <c r="C2036" i="2"/>
  <c r="L2036" i="2"/>
  <c r="L2039" i="2"/>
  <c r="C2039" i="2"/>
  <c r="L2040" i="2"/>
  <c r="C2040" i="2"/>
  <c r="L2042" i="2"/>
  <c r="C2042" i="2"/>
  <c r="L2044" i="2"/>
  <c r="C2044" i="2"/>
  <c r="L2047" i="2"/>
  <c r="C2047" i="2"/>
  <c r="L2048" i="2"/>
  <c r="C2048" i="2"/>
  <c r="L2050" i="2"/>
  <c r="C2050" i="2"/>
  <c r="L2052" i="2"/>
  <c r="C2052" i="2"/>
  <c r="L2055" i="2"/>
  <c r="C2055" i="2"/>
  <c r="L2056" i="2"/>
  <c r="C2056" i="2"/>
  <c r="L2060" i="2"/>
  <c r="C2060" i="2"/>
  <c r="L2063" i="2"/>
  <c r="C2063" i="2"/>
  <c r="L2064" i="2"/>
  <c r="C2064" i="2"/>
  <c r="L2066" i="2"/>
  <c r="C2066" i="2"/>
  <c r="L2068" i="2"/>
  <c r="C2068" i="2"/>
  <c r="L2071" i="2"/>
  <c r="C2071" i="2"/>
  <c r="L2072" i="2"/>
  <c r="C2072" i="2"/>
  <c r="L2074" i="2"/>
  <c r="C2074" i="2"/>
  <c r="L2076" i="2"/>
  <c r="C2076" i="2"/>
  <c r="L2080" i="2"/>
  <c r="C2080" i="2"/>
  <c r="L2086" i="2"/>
  <c r="C2086" i="2"/>
  <c r="L2088" i="2"/>
  <c r="C2088" i="2"/>
  <c r="L2096" i="2"/>
  <c r="C2096" i="2"/>
  <c r="L2104" i="2"/>
  <c r="C2104" i="2"/>
  <c r="L2112" i="2"/>
  <c r="C2112" i="2"/>
  <c r="L2120" i="2"/>
  <c r="C2120" i="2"/>
  <c r="L2128" i="2"/>
  <c r="C2128" i="2"/>
  <c r="L2136" i="2"/>
  <c r="C2136" i="2"/>
  <c r="L2144" i="2"/>
  <c r="C2144" i="2"/>
  <c r="L2152" i="2"/>
  <c r="C2152" i="2"/>
  <c r="L2160" i="2"/>
  <c r="C2160" i="2"/>
  <c r="L2176" i="2"/>
  <c r="C2176" i="2"/>
  <c r="L2184" i="2"/>
  <c r="C2184" i="2"/>
  <c r="C2192" i="2"/>
  <c r="L2192" i="2"/>
  <c r="C2200" i="2"/>
  <c r="L2200" i="2"/>
  <c r="C2208" i="2"/>
  <c r="L2208" i="2"/>
  <c r="C2216" i="2"/>
  <c r="L2216" i="2"/>
  <c r="C2224" i="2"/>
  <c r="L2224" i="2"/>
  <c r="L2231" i="2"/>
  <c r="C2231" i="2"/>
  <c r="L2239" i="2"/>
  <c r="C2239" i="2"/>
  <c r="L2247" i="2"/>
  <c r="C2247" i="2"/>
  <c r="L2251" i="2"/>
  <c r="C2251" i="2"/>
  <c r="L2255" i="2"/>
  <c r="C2255" i="2"/>
  <c r="L2259" i="2"/>
  <c r="C2259" i="2"/>
  <c r="L2267" i="2"/>
  <c r="C2267" i="2"/>
  <c r="C2271" i="2"/>
  <c r="L2271" i="2"/>
  <c r="L2275" i="2"/>
  <c r="C2275" i="2"/>
  <c r="L2283" i="2"/>
  <c r="C2283" i="2"/>
  <c r="L2291" i="2"/>
  <c r="C2291" i="2"/>
  <c r="L2299" i="2"/>
  <c r="C2299" i="2"/>
  <c r="L2303" i="2"/>
  <c r="C2303" i="2"/>
  <c r="L2307" i="2"/>
  <c r="C2307" i="2"/>
  <c r="L2311" i="2"/>
  <c r="C2311" i="2"/>
  <c r="L2315" i="2"/>
  <c r="C2315" i="2"/>
  <c r="L2319" i="2"/>
  <c r="C2319" i="2"/>
  <c r="L2323" i="2"/>
  <c r="C2323" i="2"/>
  <c r="L2327" i="2"/>
  <c r="C2327" i="2"/>
  <c r="L2331" i="2"/>
  <c r="C2331" i="2"/>
  <c r="L2335" i="2"/>
  <c r="C2335" i="2"/>
  <c r="L2343" i="2"/>
  <c r="C2343" i="2"/>
  <c r="L2351" i="2"/>
  <c r="C2351" i="2"/>
  <c r="L2355" i="2"/>
  <c r="C2355" i="2"/>
  <c r="L2359" i="2"/>
  <c r="C2359" i="2"/>
  <c r="L2367" i="2"/>
  <c r="C2367" i="2"/>
  <c r="L2371" i="2"/>
  <c r="C2371" i="2"/>
  <c r="L2379" i="2"/>
  <c r="C2379" i="2"/>
  <c r="L2387" i="2"/>
  <c r="C2387" i="2"/>
  <c r="L2391" i="2"/>
  <c r="C2391" i="2"/>
  <c r="L2399" i="2"/>
  <c r="C2399" i="2"/>
  <c r="L2407" i="2"/>
  <c r="C2407" i="2"/>
  <c r="L2411" i="2"/>
  <c r="C2411" i="2"/>
  <c r="L2415" i="2"/>
  <c r="C2415" i="2"/>
  <c r="L2419" i="2"/>
  <c r="C2419" i="2"/>
  <c r="L2423" i="2"/>
  <c r="C2423" i="2"/>
  <c r="L2427" i="2"/>
  <c r="C2427" i="2"/>
  <c r="L2431" i="2"/>
  <c r="C2431" i="2"/>
  <c r="L2435" i="2"/>
  <c r="C2435" i="2"/>
  <c r="L2443" i="2"/>
  <c r="C2443" i="2"/>
  <c r="L2447" i="2"/>
  <c r="C2447" i="2"/>
  <c r="L2451" i="2"/>
  <c r="C2451" i="2"/>
  <c r="L2459" i="2"/>
  <c r="C2459" i="2"/>
  <c r="L2467" i="2"/>
  <c r="C2467" i="2"/>
  <c r="L2471" i="2"/>
  <c r="C2471" i="2"/>
  <c r="L2479" i="2"/>
  <c r="C2479" i="2"/>
  <c r="L2487" i="2"/>
  <c r="C2487" i="2"/>
  <c r="L2491" i="2"/>
  <c r="C2491" i="2"/>
  <c r="L2495" i="2"/>
  <c r="C2495" i="2"/>
  <c r="L2503" i="2"/>
  <c r="C2503" i="2"/>
  <c r="L2507" i="2"/>
  <c r="C2507" i="2"/>
  <c r="L2511" i="2"/>
  <c r="C2511" i="2"/>
  <c r="L2515" i="2"/>
  <c r="C2515" i="2"/>
  <c r="L2519" i="2"/>
  <c r="C2519" i="2"/>
  <c r="L2521" i="2"/>
  <c r="C2521" i="2"/>
  <c r="L2525" i="2"/>
  <c r="C2525" i="2"/>
  <c r="L2528" i="2"/>
  <c r="C2528" i="2"/>
  <c r="L2535" i="2"/>
  <c r="C2535" i="2"/>
  <c r="L2536" i="2"/>
  <c r="C2536" i="2"/>
  <c r="L2539" i="2"/>
  <c r="C2539" i="2"/>
  <c r="L2543" i="2"/>
  <c r="C2543" i="2"/>
  <c r="L2547" i="2"/>
  <c r="C2547" i="2"/>
  <c r="L2549" i="2"/>
  <c r="C2549" i="2"/>
  <c r="L2551" i="2"/>
  <c r="C2551" i="2"/>
  <c r="L2552" i="2"/>
  <c r="C2552" i="2"/>
  <c r="L2553" i="2"/>
  <c r="C2553" i="2"/>
  <c r="L2555" i="2"/>
  <c r="C2555" i="2"/>
  <c r="L2559" i="2"/>
  <c r="C2559" i="2"/>
  <c r="L2563" i="2"/>
  <c r="C2563" i="2"/>
  <c r="L2564" i="2"/>
  <c r="C2564" i="2"/>
  <c r="L2567" i="2"/>
  <c r="C2567" i="2"/>
  <c r="L2569" i="2"/>
  <c r="C2569" i="2"/>
  <c r="L2571" i="2"/>
  <c r="C2571" i="2"/>
  <c r="L2572" i="2"/>
  <c r="C2572" i="2"/>
  <c r="L2573" i="2"/>
  <c r="C2573" i="2"/>
  <c r="L2575" i="2"/>
  <c r="C2575" i="2"/>
  <c r="L2576" i="2"/>
  <c r="C2576" i="2"/>
  <c r="L2579" i="2"/>
  <c r="C2579" i="2"/>
  <c r="L2581" i="2"/>
  <c r="C2581" i="2"/>
  <c r="L2583" i="2"/>
  <c r="C2583" i="2"/>
  <c r="L2589" i="2"/>
  <c r="C2589" i="2"/>
  <c r="L2591" i="2"/>
  <c r="C2591" i="2"/>
  <c r="L2595" i="2"/>
  <c r="C2595" i="2"/>
  <c r="L2599" i="2"/>
  <c r="C2599" i="2"/>
  <c r="C2601" i="2"/>
  <c r="L2601" i="2"/>
  <c r="L2607" i="2"/>
  <c r="C2607" i="2"/>
  <c r="L2611" i="2"/>
  <c r="C2611" i="2"/>
  <c r="L2612" i="2"/>
  <c r="C2612" i="2"/>
  <c r="L2615" i="2"/>
  <c r="C2615" i="2"/>
  <c r="L2619" i="2"/>
  <c r="C2619" i="2"/>
  <c r="L2621" i="2"/>
  <c r="C2621" i="2"/>
  <c r="L2624" i="2"/>
  <c r="C2624" i="2"/>
  <c r="C2627" i="2"/>
  <c r="L2627" i="2"/>
  <c r="L2629" i="2"/>
  <c r="C2629" i="2"/>
  <c r="L2631" i="2"/>
  <c r="C2631" i="2"/>
  <c r="L2637" i="2"/>
  <c r="C2637" i="2"/>
  <c r="L2639" i="2"/>
  <c r="C2639" i="2"/>
  <c r="L2640" i="2"/>
  <c r="C2640" i="2"/>
  <c r="L2643" i="2"/>
  <c r="C2643" i="2"/>
  <c r="L2645" i="2"/>
  <c r="C2645" i="2"/>
  <c r="L2647" i="2"/>
  <c r="C2647" i="2"/>
  <c r="L2649" i="2"/>
  <c r="C2649" i="2"/>
  <c r="L2652" i="2"/>
  <c r="C2652" i="2"/>
  <c r="L2657" i="2"/>
  <c r="C2657" i="2"/>
  <c r="L2660" i="2"/>
  <c r="C2660" i="2"/>
  <c r="L2663" i="2"/>
  <c r="C2663" i="2"/>
  <c r="L2665" i="2"/>
  <c r="C2665" i="2"/>
  <c r="L2668" i="2"/>
  <c r="C2668" i="2"/>
  <c r="L2669" i="2"/>
  <c r="C2669" i="2"/>
  <c r="L2672" i="2"/>
  <c r="C2672" i="2"/>
  <c r="L2677" i="2"/>
  <c r="C2677" i="2"/>
  <c r="L2680" i="2"/>
  <c r="C2680" i="2"/>
  <c r="L2685" i="2"/>
  <c r="C2685" i="2"/>
  <c r="C2687" i="2"/>
  <c r="L2687" i="2"/>
  <c r="L2688" i="2"/>
  <c r="C2688" i="2"/>
  <c r="L2689" i="2"/>
  <c r="C2689" i="2"/>
  <c r="L2691" i="2"/>
  <c r="C2691" i="2"/>
  <c r="L2692" i="2"/>
  <c r="C2692" i="2"/>
  <c r="L2693" i="2"/>
  <c r="C2693" i="2"/>
  <c r="L2696" i="2"/>
  <c r="C2696" i="2"/>
  <c r="L2700" i="2"/>
  <c r="C2700" i="2"/>
  <c r="L2701" i="2"/>
  <c r="C2701" i="2"/>
  <c r="L2705" i="2"/>
  <c r="C2705" i="2"/>
  <c r="L2707" i="2"/>
  <c r="C2707" i="2"/>
  <c r="L2708" i="2"/>
  <c r="C2708" i="2"/>
  <c r="L2713" i="2"/>
  <c r="C2713" i="2"/>
  <c r="L2715" i="2"/>
  <c r="C2715" i="2"/>
  <c r="L2719" i="2"/>
  <c r="C2719" i="2"/>
  <c r="L2720" i="2"/>
  <c r="C2720" i="2"/>
  <c r="L2723" i="2"/>
  <c r="C2723" i="2"/>
  <c r="L2725" i="2"/>
  <c r="C2725" i="2"/>
  <c r="L2727" i="2"/>
  <c r="C2727" i="2"/>
  <c r="L2733" i="2"/>
  <c r="C2733" i="2"/>
  <c r="L2739" i="2"/>
  <c r="C2739" i="2"/>
  <c r="L2741" i="2"/>
  <c r="C2741" i="2"/>
  <c r="L2743" i="2"/>
  <c r="C2743" i="2"/>
  <c r="L2748" i="2"/>
  <c r="C2748" i="2"/>
  <c r="L2751" i="2"/>
  <c r="C2751" i="2"/>
  <c r="L2753" i="2"/>
  <c r="C2753" i="2"/>
  <c r="L2755" i="2"/>
  <c r="C2755" i="2"/>
  <c r="L2756" i="2"/>
  <c r="C2756" i="2"/>
  <c r="L2759" i="2"/>
  <c r="C2759" i="2"/>
  <c r="L2761" i="2"/>
  <c r="C2761" i="2"/>
  <c r="L2765" i="2"/>
  <c r="C2765" i="2"/>
  <c r="L2768" i="2"/>
  <c r="C2768" i="2"/>
  <c r="L2771" i="2"/>
  <c r="C2771" i="2"/>
  <c r="L2773" i="2"/>
  <c r="C2773" i="2"/>
  <c r="L2775" i="2"/>
  <c r="C2775" i="2"/>
  <c r="L2781" i="2"/>
  <c r="C2781" i="2"/>
  <c r="L2787" i="2"/>
  <c r="C2787" i="2"/>
  <c r="L2788" i="2"/>
  <c r="C2788" i="2"/>
  <c r="L2791" i="2"/>
  <c r="C2791" i="2"/>
  <c r="L2793" i="2"/>
  <c r="C2793" i="2"/>
  <c r="L2517" i="2"/>
  <c r="C2517" i="2"/>
  <c r="L2522" i="2"/>
  <c r="C2522" i="2"/>
  <c r="L2530" i="2"/>
  <c r="C2530" i="2"/>
  <c r="L2540" i="2"/>
  <c r="C2540" i="2"/>
  <c r="L2550" i="2"/>
  <c r="C2550" i="2"/>
  <c r="L2557" i="2"/>
  <c r="C2557" i="2"/>
  <c r="C2560" i="2"/>
  <c r="L2560" i="2"/>
  <c r="L2562" i="2"/>
  <c r="C2562" i="2"/>
  <c r="L2565" i="2"/>
  <c r="C2565" i="2"/>
  <c r="L2570" i="2"/>
  <c r="C2570" i="2"/>
  <c r="L2585" i="2"/>
  <c r="C2585" i="2"/>
  <c r="L2590" i="2"/>
  <c r="C2590" i="2"/>
  <c r="L2597" i="2"/>
  <c r="C2597" i="2"/>
  <c r="L2608" i="2"/>
  <c r="C2608" i="2"/>
  <c r="L2610" i="2"/>
  <c r="C2610" i="2"/>
  <c r="L2620" i="2"/>
  <c r="C2620" i="2"/>
  <c r="L2623" i="2"/>
  <c r="C2623" i="2"/>
  <c r="L2633" i="2"/>
  <c r="C2633" i="2"/>
  <c r="L2638" i="2"/>
  <c r="C2638" i="2"/>
  <c r="L2648" i="2"/>
  <c r="C2648" i="2"/>
  <c r="L2656" i="2"/>
  <c r="C2656" i="2"/>
  <c r="L2658" i="2"/>
  <c r="C2658" i="2"/>
  <c r="L2666" i="2"/>
  <c r="C2666" i="2"/>
  <c r="L2676" i="2"/>
  <c r="C2676" i="2"/>
  <c r="L2686" i="2"/>
  <c r="C2686" i="2"/>
  <c r="L2694" i="2"/>
  <c r="C2694" i="2"/>
  <c r="L2704" i="2"/>
  <c r="C2704" i="2"/>
  <c r="L2709" i="2"/>
  <c r="C2709" i="2"/>
  <c r="L2724" i="2"/>
  <c r="C2724" i="2"/>
  <c r="L2732" i="2"/>
  <c r="C2732" i="2"/>
  <c r="L2734" i="2"/>
  <c r="C2734" i="2"/>
  <c r="L2737" i="2"/>
  <c r="C2737" i="2"/>
  <c r="L2744" i="2"/>
  <c r="C2744" i="2"/>
  <c r="L2747" i="2"/>
  <c r="C2747" i="2"/>
  <c r="L2754" i="2"/>
  <c r="C2754" i="2"/>
  <c r="L2762" i="2"/>
  <c r="C2762" i="2"/>
  <c r="L2767" i="2"/>
  <c r="C2767" i="2"/>
  <c r="L2772" i="2"/>
  <c r="C2772" i="2"/>
  <c r="L2777" i="2"/>
  <c r="C2777" i="2"/>
  <c r="L2081" i="2"/>
  <c r="C2081" i="2"/>
  <c r="L2089" i="2"/>
  <c r="C2089" i="2"/>
  <c r="L2097" i="2"/>
  <c r="C2097" i="2"/>
  <c r="L2108" i="2"/>
  <c r="C2108" i="2"/>
  <c r="L2116" i="2"/>
  <c r="C2116" i="2"/>
  <c r="L2124" i="2"/>
  <c r="C2124" i="2"/>
  <c r="L2132" i="2"/>
  <c r="C2132" i="2"/>
  <c r="L2140" i="2"/>
  <c r="C2140" i="2"/>
  <c r="L2148" i="2"/>
  <c r="C2148" i="2"/>
  <c r="L2156" i="2"/>
  <c r="C2156" i="2"/>
  <c r="L2164" i="2"/>
  <c r="C2164" i="2"/>
  <c r="L2172" i="2"/>
  <c r="C2172" i="2"/>
  <c r="L2180" i="2"/>
  <c r="C2180" i="2"/>
  <c r="L2188" i="2"/>
  <c r="C2188" i="2"/>
  <c r="L2199" i="2"/>
  <c r="C2199" i="2"/>
  <c r="L2215" i="2"/>
  <c r="C2215" i="2"/>
  <c r="L2228" i="2"/>
  <c r="C2228" i="2"/>
  <c r="L2229" i="2"/>
  <c r="C2229" i="2"/>
  <c r="L2230" i="2"/>
  <c r="C2230" i="2"/>
  <c r="L2232" i="2"/>
  <c r="C2232" i="2"/>
  <c r="L2233" i="2"/>
  <c r="C2233" i="2"/>
  <c r="L2237" i="2"/>
  <c r="C2237" i="2"/>
  <c r="L2238" i="2"/>
  <c r="C2238" i="2"/>
  <c r="L2240" i="2"/>
  <c r="C2240" i="2"/>
  <c r="L2241" i="2"/>
  <c r="C2241" i="2"/>
  <c r="L2242" i="2"/>
  <c r="C2242" i="2"/>
  <c r="L2244" i="2"/>
  <c r="C2244" i="2"/>
  <c r="L2248" i="2"/>
  <c r="C2248" i="2"/>
  <c r="L2249" i="2"/>
  <c r="C2249" i="2"/>
  <c r="L2250" i="2"/>
  <c r="C2250" i="2"/>
  <c r="L2252" i="2"/>
  <c r="C2252" i="2"/>
  <c r="C2253" i="2"/>
  <c r="L2253" i="2"/>
  <c r="L2254" i="2"/>
  <c r="C2254" i="2"/>
  <c r="L2256" i="2"/>
  <c r="C2256" i="2"/>
  <c r="L2265" i="2"/>
  <c r="C2265" i="2"/>
  <c r="L2266" i="2"/>
  <c r="C2266" i="2"/>
  <c r="L2268" i="2"/>
  <c r="C2268" i="2"/>
  <c r="L2269" i="2"/>
  <c r="C2269" i="2"/>
  <c r="L2270" i="2"/>
  <c r="C2270" i="2"/>
  <c r="L2274" i="2"/>
  <c r="C2274" i="2"/>
  <c r="L2278" i="2"/>
  <c r="C2278" i="2"/>
  <c r="L2281" i="2"/>
  <c r="C2281" i="2"/>
  <c r="L2284" i="2"/>
  <c r="C2284" i="2"/>
  <c r="L2285" i="2"/>
  <c r="C2285" i="2"/>
  <c r="C2288" i="2"/>
  <c r="L2288" i="2"/>
  <c r="L2289" i="2"/>
  <c r="C2289" i="2"/>
  <c r="L2290" i="2"/>
  <c r="C2290" i="2"/>
  <c r="L2292" i="2"/>
  <c r="C2292" i="2"/>
  <c r="L2293" i="2"/>
  <c r="C2293" i="2"/>
  <c r="L2297" i="2"/>
  <c r="C2297" i="2"/>
  <c r="L2298" i="2"/>
  <c r="C2298" i="2"/>
  <c r="L2300" i="2"/>
  <c r="C2300" i="2"/>
  <c r="L2301" i="2"/>
  <c r="C2301" i="2"/>
  <c r="L2302" i="2"/>
  <c r="C2302" i="2"/>
  <c r="L2305" i="2"/>
  <c r="C2305" i="2"/>
  <c r="L2306" i="2"/>
  <c r="C2306" i="2"/>
  <c r="L2309" i="2"/>
  <c r="C2309" i="2"/>
  <c r="L2310" i="2"/>
  <c r="C2310" i="2"/>
  <c r="L2316" i="2"/>
  <c r="C2316" i="2"/>
  <c r="L2318" i="2"/>
  <c r="C2318" i="2"/>
  <c r="C2321" i="2"/>
  <c r="L2321" i="2"/>
  <c r="L2322" i="2"/>
  <c r="C2322" i="2"/>
  <c r="L2324" i="2"/>
  <c r="C2324" i="2"/>
  <c r="L2325" i="2"/>
  <c r="C2325" i="2"/>
  <c r="L2328" i="2"/>
  <c r="C2328" i="2"/>
  <c r="L2329" i="2"/>
  <c r="C2329" i="2"/>
  <c r="L2332" i="2"/>
  <c r="C2332" i="2"/>
  <c r="L2333" i="2"/>
  <c r="C2333" i="2"/>
  <c r="C2336" i="2"/>
  <c r="L2336" i="2"/>
  <c r="L2337" i="2"/>
  <c r="C2337" i="2"/>
  <c r="L2338" i="2"/>
  <c r="C2338" i="2"/>
  <c r="L2340" i="2"/>
  <c r="C2340" i="2"/>
  <c r="L2342" i="2"/>
  <c r="C2342" i="2"/>
  <c r="L2344" i="2"/>
  <c r="C2344" i="2"/>
  <c r="L2345" i="2"/>
  <c r="C2345" i="2"/>
  <c r="L2346" i="2"/>
  <c r="C2346" i="2"/>
  <c r="L2348" i="2"/>
  <c r="C2348" i="2"/>
  <c r="L2350" i="2"/>
  <c r="C2350" i="2"/>
  <c r="L2353" i="2"/>
  <c r="C2353" i="2"/>
  <c r="L2354" i="2"/>
  <c r="C2354" i="2"/>
  <c r="L2356" i="2"/>
  <c r="C2356" i="2"/>
  <c r="L2360" i="2"/>
  <c r="C2360" i="2"/>
  <c r="L2362" i="2"/>
  <c r="C2362" i="2"/>
  <c r="L2364" i="2"/>
  <c r="C2364" i="2"/>
  <c r="C2365" i="2"/>
  <c r="L2365" i="2"/>
  <c r="L2369" i="2"/>
  <c r="C2369" i="2"/>
  <c r="L2370" i="2"/>
  <c r="C2370" i="2"/>
  <c r="L2372" i="2"/>
  <c r="C2372" i="2"/>
  <c r="L2373" i="2"/>
  <c r="C2373" i="2"/>
  <c r="L2376" i="2"/>
  <c r="C2376" i="2"/>
  <c r="L2377" i="2"/>
  <c r="C2377" i="2"/>
  <c r="L2378" i="2"/>
  <c r="C2378" i="2"/>
  <c r="L2380" i="2"/>
  <c r="C2380" i="2"/>
  <c r="L2381" i="2"/>
  <c r="C2381" i="2"/>
  <c r="L2382" i="2"/>
  <c r="C2382" i="2"/>
  <c r="L2389" i="2"/>
  <c r="C2389" i="2"/>
  <c r="L2392" i="2"/>
  <c r="C2392" i="2"/>
  <c r="L2394" i="2"/>
  <c r="C2394" i="2"/>
  <c r="L2396" i="2"/>
  <c r="C2396" i="2"/>
  <c r="L2397" i="2"/>
  <c r="C2397" i="2"/>
  <c r="L2400" i="2"/>
  <c r="C2400" i="2"/>
  <c r="L2401" i="2"/>
  <c r="C2401" i="2"/>
  <c r="L2402" i="2"/>
  <c r="C2402" i="2"/>
  <c r="L2405" i="2"/>
  <c r="C2405" i="2"/>
  <c r="L2408" i="2"/>
  <c r="C2408" i="2"/>
  <c r="L2412" i="2"/>
  <c r="C2412" i="2"/>
  <c r="L2413" i="2"/>
  <c r="C2413" i="2"/>
  <c r="L2414" i="2"/>
  <c r="C2414" i="2"/>
  <c r="L2417" i="2"/>
  <c r="C2417" i="2"/>
  <c r="L2418" i="2"/>
  <c r="C2418" i="2"/>
  <c r="L2420" i="2"/>
  <c r="C2420" i="2"/>
  <c r="L2421" i="2"/>
  <c r="C2421" i="2"/>
  <c r="L2424" i="2"/>
  <c r="C2424" i="2"/>
  <c r="L2428" i="2"/>
  <c r="C2428" i="2"/>
  <c r="L2429" i="2"/>
  <c r="C2429" i="2"/>
  <c r="L2432" i="2"/>
  <c r="C2432" i="2"/>
  <c r="C2433" i="2"/>
  <c r="L2433" i="2"/>
  <c r="L2434" i="2"/>
  <c r="C2434" i="2"/>
  <c r="L2437" i="2"/>
  <c r="C2437" i="2"/>
  <c r="L2442" i="2"/>
  <c r="C2442" i="2"/>
  <c r="L2444" i="2"/>
  <c r="C2444" i="2"/>
  <c r="L2445" i="2"/>
  <c r="C2445" i="2"/>
  <c r="L2446" i="2"/>
  <c r="C2446" i="2"/>
  <c r="C2449" i="2"/>
  <c r="L2449" i="2"/>
  <c r="L2452" i="2"/>
  <c r="C2452" i="2"/>
  <c r="L2453" i="2"/>
  <c r="C2453" i="2"/>
  <c r="L2454" i="2"/>
  <c r="C2454" i="2"/>
  <c r="L2457" i="2"/>
  <c r="C2457" i="2"/>
  <c r="L2458" i="2"/>
  <c r="C2458" i="2"/>
  <c r="L2461" i="2"/>
  <c r="C2461" i="2"/>
  <c r="L2462" i="2"/>
  <c r="C2462" i="2"/>
  <c r="C2464" i="2"/>
  <c r="L2464" i="2"/>
  <c r="C2465" i="2"/>
  <c r="L2465" i="2"/>
  <c r="L2466" i="2"/>
  <c r="C2466" i="2"/>
  <c r="L2469" i="2"/>
  <c r="C2469" i="2"/>
  <c r="L2472" i="2"/>
  <c r="C2472" i="2"/>
  <c r="L2473" i="2"/>
  <c r="C2473" i="2"/>
  <c r="L2474" i="2"/>
  <c r="C2474" i="2"/>
  <c r="L2476" i="2"/>
  <c r="C2476" i="2"/>
  <c r="L2477" i="2"/>
  <c r="C2477" i="2"/>
  <c r="L2478" i="2"/>
  <c r="C2478" i="2"/>
  <c r="L2482" i="2"/>
  <c r="C2482" i="2"/>
  <c r="L2484" i="2"/>
  <c r="C2484" i="2"/>
  <c r="L2485" i="2"/>
  <c r="C2485" i="2"/>
  <c r="L2488" i="2"/>
  <c r="C2488" i="2"/>
  <c r="L2489" i="2"/>
  <c r="C2489" i="2"/>
  <c r="L2490" i="2"/>
  <c r="C2490" i="2"/>
  <c r="L2494" i="2"/>
  <c r="C2494" i="2"/>
  <c r="C2497" i="2"/>
  <c r="L2497" i="2"/>
  <c r="L2498" i="2"/>
  <c r="C2498" i="2"/>
  <c r="L2500" i="2"/>
  <c r="C2500" i="2"/>
  <c r="L2501" i="2"/>
  <c r="C2501" i="2"/>
  <c r="L2506" i="2"/>
  <c r="C2506" i="2"/>
  <c r="L2508" i="2"/>
  <c r="C2508" i="2"/>
  <c r="L2509" i="2"/>
  <c r="C2509" i="2"/>
  <c r="L2512" i="2"/>
  <c r="C2512" i="2"/>
  <c r="L2534" i="2"/>
  <c r="C2534" i="2"/>
  <c r="L2593" i="2"/>
  <c r="C2593" i="2"/>
  <c r="L2602" i="2"/>
  <c r="C2602" i="2"/>
  <c r="L2605" i="2"/>
  <c r="C2605" i="2"/>
  <c r="L2616" i="2"/>
  <c r="C2616" i="2"/>
  <c r="L2630" i="2"/>
  <c r="C2630" i="2"/>
  <c r="L2650" i="2"/>
  <c r="C2650" i="2"/>
  <c r="L2653" i="2"/>
  <c r="C2653" i="2"/>
  <c r="L2664" i="2"/>
  <c r="C2664" i="2"/>
  <c r="L2670" i="2"/>
  <c r="C2670" i="2"/>
  <c r="L2678" i="2"/>
  <c r="C2678" i="2"/>
  <c r="L2681" i="2"/>
  <c r="C2681" i="2"/>
  <c r="L2684" i="2"/>
  <c r="C2684" i="2"/>
  <c r="L2712" i="2"/>
  <c r="C2712" i="2"/>
  <c r="L2729" i="2"/>
  <c r="C2729" i="2"/>
  <c r="L2740" i="2"/>
  <c r="C2740" i="2"/>
  <c r="L2749" i="2"/>
  <c r="C2749" i="2"/>
  <c r="L2760" i="2"/>
  <c r="C2760" i="2"/>
  <c r="L2763" i="2"/>
  <c r="C2763" i="2"/>
  <c r="L2766" i="2"/>
  <c r="C2766" i="2"/>
  <c r="L2783" i="2"/>
  <c r="C2783" i="2"/>
  <c r="L2785" i="2"/>
  <c r="C2785" i="2"/>
  <c r="L11" i="2"/>
  <c r="C11" i="2"/>
  <c r="L14" i="2"/>
  <c r="C14" i="2"/>
  <c r="L19" i="2"/>
  <c r="C19" i="2"/>
  <c r="L22" i="2"/>
  <c r="C22" i="2"/>
  <c r="L27" i="2"/>
  <c r="C27" i="2"/>
  <c r="L35" i="2"/>
  <c r="C35" i="2"/>
  <c r="L47" i="2"/>
  <c r="C47" i="2"/>
  <c r="L13" i="2"/>
  <c r="C13" i="2"/>
  <c r="L40" i="2"/>
  <c r="C40" i="2"/>
  <c r="L26" i="2"/>
  <c r="C26" i="2"/>
  <c r="L67" i="2"/>
  <c r="C67" i="2"/>
  <c r="L72" i="2"/>
  <c r="C72" i="2"/>
  <c r="L18" i="2"/>
  <c r="C18" i="2"/>
  <c r="L39" i="2"/>
  <c r="C39" i="2"/>
  <c r="L84" i="2"/>
  <c r="C84" i="2"/>
  <c r="L100" i="2"/>
  <c r="C100" i="2"/>
  <c r="L113" i="2"/>
  <c r="C113" i="2"/>
  <c r="L59" i="2"/>
  <c r="C59" i="2"/>
  <c r="L64" i="2"/>
  <c r="C64" i="2"/>
  <c r="L80" i="2"/>
  <c r="C80" i="2"/>
  <c r="L83" i="2"/>
  <c r="C83" i="2"/>
  <c r="L121" i="2"/>
  <c r="C121" i="2"/>
  <c r="L126" i="2"/>
  <c r="C126" i="2"/>
  <c r="L134" i="2"/>
  <c r="C134" i="2"/>
  <c r="L137" i="2"/>
  <c r="C137" i="2"/>
  <c r="L142" i="2"/>
  <c r="C142" i="2"/>
  <c r="L145" i="2"/>
  <c r="C145" i="2"/>
  <c r="L153" i="2"/>
  <c r="C153" i="2"/>
  <c r="L155" i="2"/>
  <c r="C155" i="2"/>
  <c r="L68" i="2"/>
  <c r="C68" i="2"/>
  <c r="L99" i="2"/>
  <c r="C99" i="2"/>
  <c r="L104" i="2"/>
  <c r="C104" i="2"/>
  <c r="L10" i="2"/>
  <c r="C10" i="2"/>
  <c r="L92" i="2"/>
  <c r="C92" i="2"/>
  <c r="L103" i="2"/>
  <c r="C103" i="2"/>
  <c r="L108" i="2"/>
  <c r="C108" i="2"/>
  <c r="L120" i="2"/>
  <c r="C120" i="2"/>
  <c r="L125" i="2"/>
  <c r="C125" i="2"/>
  <c r="L141" i="2"/>
  <c r="C141" i="2"/>
  <c r="L146" i="2"/>
  <c r="C146" i="2"/>
  <c r="L150" i="2"/>
  <c r="C150" i="2"/>
  <c r="L6" i="2"/>
  <c r="C6" i="2"/>
  <c r="L162" i="2"/>
  <c r="C162" i="2"/>
  <c r="L176" i="2"/>
  <c r="C176" i="2"/>
  <c r="L208" i="2"/>
  <c r="C208" i="2"/>
  <c r="L211" i="2"/>
  <c r="C211" i="2"/>
  <c r="L224" i="2"/>
  <c r="C224" i="2"/>
  <c r="L227" i="2"/>
  <c r="C227" i="2"/>
  <c r="L95" i="2"/>
  <c r="C95" i="2"/>
  <c r="L107" i="2"/>
  <c r="C107" i="2"/>
  <c r="L117" i="2"/>
  <c r="C117" i="2"/>
  <c r="L149" i="2"/>
  <c r="C149" i="2"/>
  <c r="L154" i="2"/>
  <c r="C154" i="2"/>
  <c r="L165" i="2"/>
  <c r="C165" i="2"/>
  <c r="L191" i="2"/>
  <c r="C191" i="2"/>
  <c r="L194" i="2"/>
  <c r="C194" i="2"/>
  <c r="L207" i="2"/>
  <c r="C207" i="2"/>
  <c r="L229" i="2"/>
  <c r="C229" i="2"/>
  <c r="L234" i="2"/>
  <c r="C234" i="2"/>
  <c r="L31" i="2"/>
  <c r="C31" i="2"/>
  <c r="L180" i="2"/>
  <c r="C180" i="2"/>
  <c r="L190" i="2"/>
  <c r="C190" i="2"/>
  <c r="L238" i="2"/>
  <c r="C238" i="2"/>
  <c r="L244" i="2"/>
  <c r="C244" i="2"/>
  <c r="L246" i="2"/>
  <c r="C246" i="2"/>
  <c r="L252" i="2"/>
  <c r="C252" i="2"/>
  <c r="L254" i="2"/>
  <c r="C254" i="2"/>
  <c r="L268" i="2"/>
  <c r="C268" i="2"/>
  <c r="L276" i="2"/>
  <c r="C276" i="2"/>
  <c r="L171" i="2"/>
  <c r="C171" i="2"/>
  <c r="L187" i="2"/>
  <c r="C187" i="2"/>
  <c r="L288" i="2"/>
  <c r="C288" i="2"/>
  <c r="L183" i="2"/>
  <c r="C183" i="2"/>
  <c r="L203" i="2"/>
  <c r="C203" i="2"/>
  <c r="L233" i="2"/>
  <c r="C233" i="2"/>
  <c r="L300" i="2"/>
  <c r="C300" i="2"/>
  <c r="L199" i="2"/>
  <c r="C199" i="2"/>
  <c r="L219" i="2"/>
  <c r="C219" i="2"/>
  <c r="L237" i="2"/>
  <c r="C237" i="2"/>
  <c r="L243" i="2"/>
  <c r="C243" i="2"/>
  <c r="L275" i="2"/>
  <c r="C275" i="2"/>
  <c r="L280" i="2"/>
  <c r="C280" i="2"/>
  <c r="L318" i="2"/>
  <c r="C318" i="2"/>
  <c r="L230" i="2"/>
  <c r="C230" i="2"/>
  <c r="L241" i="2"/>
  <c r="C241" i="2"/>
  <c r="L251" i="2"/>
  <c r="C251" i="2"/>
  <c r="L291" i="2"/>
  <c r="C291" i="2"/>
  <c r="L255" i="2"/>
  <c r="C255" i="2"/>
  <c r="L267" i="2"/>
  <c r="C267" i="2"/>
  <c r="L292" i="2"/>
  <c r="C292" i="2"/>
  <c r="L308" i="2"/>
  <c r="C308" i="2"/>
  <c r="L247" i="2"/>
  <c r="C247" i="2"/>
  <c r="L309" i="2"/>
  <c r="C309" i="2"/>
  <c r="L284" i="2"/>
  <c r="C284" i="2"/>
  <c r="L317" i="2"/>
  <c r="C317" i="2"/>
  <c r="L195" i="2"/>
  <c r="C195" i="2"/>
  <c r="L295" i="2"/>
  <c r="C295" i="2"/>
  <c r="L96" i="2"/>
  <c r="C96" i="2"/>
  <c r="L287" i="2"/>
  <c r="C287" i="2"/>
  <c r="L204" i="2"/>
  <c r="C204" i="2"/>
  <c r="L1969" i="2"/>
  <c r="C1969" i="2"/>
  <c r="L1967" i="2"/>
  <c r="C1967" i="2"/>
  <c r="L1964" i="2"/>
  <c r="C1964" i="2"/>
  <c r="L1961" i="2"/>
  <c r="C1961" i="2"/>
  <c r="L1959" i="2"/>
  <c r="C1959" i="2"/>
  <c r="C1955" i="2"/>
  <c r="L1955" i="2"/>
  <c r="L1953" i="2"/>
  <c r="C1953" i="2"/>
  <c r="L1951" i="2"/>
  <c r="C1951" i="2"/>
  <c r="L1948" i="2"/>
  <c r="C1948" i="2"/>
  <c r="L1945" i="2"/>
  <c r="C1945" i="2"/>
  <c r="L1943" i="2"/>
  <c r="C1943" i="2"/>
  <c r="C1939" i="2"/>
  <c r="L1939" i="2"/>
  <c r="L1937" i="2"/>
  <c r="C1937" i="2"/>
  <c r="L1935" i="2"/>
  <c r="C1935" i="2"/>
  <c r="L1932" i="2"/>
  <c r="C1932" i="2"/>
  <c r="L1929" i="2"/>
  <c r="C1929" i="2"/>
  <c r="L1927" i="2"/>
  <c r="C1927" i="2"/>
  <c r="C1923" i="2"/>
  <c r="L1923" i="2"/>
  <c r="L1921" i="2"/>
  <c r="C1921" i="2"/>
  <c r="L1919" i="2"/>
  <c r="C1919" i="2"/>
  <c r="L1916" i="2"/>
  <c r="C1916" i="2"/>
  <c r="L1913" i="2"/>
  <c r="C1913" i="2"/>
  <c r="C1911" i="2"/>
  <c r="L1911" i="2"/>
  <c r="L1905" i="2"/>
  <c r="C1905" i="2"/>
  <c r="C1903" i="2"/>
  <c r="L1903" i="2"/>
  <c r="L1900" i="2"/>
  <c r="C1900" i="2"/>
  <c r="L1897" i="2"/>
  <c r="C1897" i="2"/>
  <c r="C1895" i="2"/>
  <c r="L1895" i="2"/>
  <c r="L1889" i="2"/>
  <c r="C1889" i="2"/>
  <c r="C1887" i="2"/>
  <c r="L1887" i="2"/>
  <c r="L1884" i="2"/>
  <c r="C1884" i="2"/>
  <c r="L1881" i="2"/>
  <c r="C1881" i="2"/>
  <c r="C1879" i="2"/>
  <c r="L1879" i="2"/>
  <c r="L1873" i="2"/>
  <c r="C1873" i="2"/>
  <c r="C1871" i="2"/>
  <c r="L1871" i="2"/>
  <c r="L1868" i="2"/>
  <c r="C1868" i="2"/>
  <c r="L1865" i="2"/>
  <c r="C1865" i="2"/>
  <c r="C1863" i="2"/>
  <c r="L1863" i="2"/>
  <c r="L1857" i="2"/>
  <c r="C1857" i="2"/>
  <c r="C1855" i="2"/>
  <c r="L1855" i="2"/>
  <c r="L1852" i="2"/>
  <c r="C1852" i="2"/>
  <c r="L1849" i="2"/>
  <c r="C1849" i="2"/>
  <c r="C1847" i="2"/>
  <c r="L1847" i="2"/>
  <c r="L1841" i="2"/>
  <c r="C1841" i="2"/>
  <c r="C1839" i="2"/>
  <c r="L1839" i="2"/>
  <c r="L1836" i="2"/>
  <c r="C1836" i="2"/>
  <c r="L1835" i="2"/>
  <c r="C1835" i="2"/>
  <c r="L1831" i="2"/>
  <c r="C1831" i="2"/>
  <c r="L1827" i="2"/>
  <c r="C1827" i="2"/>
  <c r="L1825" i="2"/>
  <c r="C1825" i="2"/>
  <c r="C1824" i="2"/>
  <c r="L1824" i="2"/>
  <c r="L1823" i="2"/>
  <c r="C1823" i="2"/>
  <c r="L1820" i="2"/>
  <c r="C1820" i="2"/>
  <c r="L1819" i="2"/>
  <c r="C1819" i="2"/>
  <c r="L1815" i="2"/>
  <c r="C1815" i="2"/>
  <c r="L1811" i="2"/>
  <c r="C1811" i="2"/>
  <c r="L1809" i="2"/>
  <c r="C1809" i="2"/>
  <c r="C1808" i="2"/>
  <c r="L1808" i="2"/>
  <c r="L1807" i="2"/>
  <c r="C1807" i="2"/>
  <c r="L1804" i="2"/>
  <c r="C1804" i="2"/>
  <c r="L1803" i="2"/>
  <c r="C1803" i="2"/>
  <c r="L1801" i="2"/>
  <c r="C1801" i="2"/>
  <c r="L1799" i="2"/>
  <c r="C1799" i="2"/>
  <c r="L1795" i="2"/>
  <c r="C1795" i="2"/>
  <c r="L1793" i="2"/>
  <c r="C1793" i="2"/>
  <c r="C1792" i="2"/>
  <c r="L1792" i="2"/>
  <c r="L1791" i="2"/>
  <c r="C1791" i="2"/>
  <c r="L1788" i="2"/>
  <c r="C1788" i="2"/>
  <c r="L1787" i="2"/>
  <c r="C1787" i="2"/>
  <c r="L1785" i="2"/>
  <c r="C1785" i="2"/>
  <c r="L1783" i="2"/>
  <c r="C1783" i="2"/>
  <c r="L1779" i="2"/>
  <c r="C1779" i="2"/>
  <c r="L1777" i="2"/>
  <c r="C1777" i="2"/>
  <c r="C1776" i="2"/>
  <c r="L1776" i="2"/>
  <c r="L1775" i="2"/>
  <c r="C1775" i="2"/>
  <c r="L1772" i="2"/>
  <c r="C1772" i="2"/>
  <c r="L1771" i="2"/>
  <c r="C1771" i="2"/>
  <c r="C1767" i="2"/>
  <c r="L1767" i="2"/>
  <c r="L1761" i="2"/>
  <c r="C1761" i="2"/>
  <c r="C1760" i="2"/>
  <c r="L1760" i="2"/>
  <c r="C1759" i="2"/>
  <c r="L1759" i="2"/>
  <c r="L1756" i="2"/>
  <c r="C1756" i="2"/>
  <c r="L1753" i="2"/>
  <c r="C1753" i="2"/>
  <c r="C1751" i="2"/>
  <c r="L1751" i="2"/>
  <c r="L1745" i="2"/>
  <c r="C1745" i="2"/>
  <c r="C1744" i="2"/>
  <c r="L1744" i="2"/>
  <c r="C1743" i="2"/>
  <c r="L1743" i="2"/>
  <c r="L1740" i="2"/>
  <c r="C1740" i="2"/>
  <c r="L1737" i="2"/>
  <c r="C1737" i="2"/>
  <c r="C1735" i="2"/>
  <c r="L1735" i="2"/>
  <c r="L1729" i="2"/>
  <c r="C1729" i="2"/>
  <c r="C1728" i="2"/>
  <c r="L1728" i="2"/>
  <c r="C1727" i="2"/>
  <c r="L1727" i="2"/>
  <c r="L1724" i="2"/>
  <c r="C1724" i="2"/>
  <c r="L1721" i="2"/>
  <c r="C1721" i="2"/>
  <c r="C1719" i="2"/>
  <c r="L1719" i="2"/>
  <c r="L1715" i="2"/>
  <c r="C1715" i="2"/>
  <c r="C1712" i="2"/>
  <c r="L1712" i="2"/>
  <c r="L1707" i="2"/>
  <c r="C1707" i="2"/>
  <c r="L1702" i="2"/>
  <c r="C1702" i="2"/>
  <c r="L1696" i="2"/>
  <c r="C1696" i="2"/>
  <c r="L1694" i="2"/>
  <c r="C1694" i="2"/>
  <c r="L1691" i="2"/>
  <c r="C1691" i="2"/>
  <c r="L1686" i="2"/>
  <c r="C1686" i="2"/>
  <c r="L1680" i="2"/>
  <c r="C1680" i="2"/>
  <c r="L1678" i="2"/>
  <c r="C1678" i="2"/>
  <c r="L1675" i="2"/>
  <c r="C1675" i="2"/>
  <c r="L1670" i="2"/>
  <c r="C1670" i="2"/>
  <c r="L1664" i="2"/>
  <c r="C1664" i="2"/>
  <c r="L1662" i="2"/>
  <c r="C1662" i="2"/>
  <c r="L1659" i="2"/>
  <c r="C1659" i="2"/>
  <c r="L1654" i="2"/>
  <c r="C1654" i="2"/>
  <c r="L1648" i="2"/>
  <c r="C1648" i="2"/>
  <c r="L1646" i="2"/>
  <c r="C1646" i="2"/>
  <c r="L1643" i="2"/>
  <c r="C1643" i="2"/>
  <c r="L1638" i="2"/>
  <c r="C1638" i="2"/>
  <c r="L1632" i="2"/>
  <c r="C1632" i="2"/>
  <c r="L1630" i="2"/>
  <c r="C1630" i="2"/>
  <c r="L1627" i="2"/>
  <c r="C1627" i="2"/>
  <c r="L1622" i="2"/>
  <c r="C1622" i="2"/>
  <c r="L1616" i="2"/>
  <c r="C1616" i="2"/>
  <c r="L1614" i="2"/>
  <c r="C1614" i="2"/>
  <c r="L1611" i="2"/>
  <c r="C1611" i="2"/>
  <c r="L1606" i="2"/>
  <c r="C1606" i="2"/>
  <c r="L1603" i="2"/>
  <c r="C1603" i="2"/>
  <c r="L1600" i="2"/>
  <c r="C1600" i="2"/>
  <c r="L1598" i="2"/>
  <c r="C1598" i="2"/>
  <c r="L1595" i="2"/>
  <c r="C1595" i="2"/>
  <c r="L1590" i="2"/>
  <c r="C1590" i="2"/>
  <c r="L1587" i="2"/>
  <c r="C1587" i="2"/>
  <c r="L1584" i="2"/>
  <c r="C1584" i="2"/>
  <c r="L1582" i="2"/>
  <c r="C1582" i="2"/>
  <c r="L1579" i="2"/>
  <c r="C1579" i="2"/>
  <c r="L1574" i="2"/>
  <c r="C1574" i="2"/>
  <c r="L1571" i="2"/>
  <c r="C1571" i="2"/>
  <c r="L1568" i="2"/>
  <c r="C1568" i="2"/>
  <c r="L1566" i="2"/>
  <c r="C1566" i="2"/>
  <c r="L1563" i="2"/>
  <c r="C1563" i="2"/>
  <c r="L1558" i="2"/>
  <c r="C1558" i="2"/>
  <c r="L1555" i="2"/>
  <c r="C1555" i="2"/>
  <c r="L1552" i="2"/>
  <c r="C1552" i="2"/>
  <c r="L1550" i="2"/>
  <c r="C1550" i="2"/>
  <c r="L1547" i="2"/>
  <c r="C1547" i="2"/>
  <c r="L1542" i="2"/>
  <c r="C1542" i="2"/>
  <c r="L1539" i="2"/>
  <c r="C1539" i="2"/>
  <c r="L1536" i="2"/>
  <c r="C1536" i="2"/>
  <c r="L1534" i="2"/>
  <c r="C1534" i="2"/>
  <c r="L1528" i="2"/>
  <c r="C1528" i="2"/>
  <c r="L1526" i="2"/>
  <c r="C1526" i="2"/>
  <c r="L1522" i="2"/>
  <c r="C1522" i="2"/>
  <c r="L1520" i="2"/>
  <c r="C1520" i="2"/>
  <c r="L1519" i="2"/>
  <c r="C1519" i="2"/>
  <c r="L1515" i="2"/>
  <c r="C1515" i="2"/>
  <c r="L1514" i="2"/>
  <c r="C1514" i="2"/>
  <c r="L1512" i="2"/>
  <c r="C1512" i="2"/>
  <c r="L1510" i="2"/>
  <c r="C1510" i="2"/>
  <c r="L1507" i="2"/>
  <c r="C1507" i="2"/>
  <c r="L1506" i="2"/>
  <c r="C1506" i="2"/>
  <c r="L1504" i="2"/>
  <c r="C1504" i="2"/>
  <c r="L1503" i="2"/>
  <c r="C1503" i="2"/>
  <c r="L1502" i="2"/>
  <c r="C1502" i="2"/>
  <c r="L1499" i="2"/>
  <c r="C1499" i="2"/>
  <c r="L1498" i="2"/>
  <c r="C1498" i="2"/>
  <c r="L1496" i="2"/>
  <c r="C1496" i="2"/>
  <c r="L1495" i="2"/>
  <c r="C1495" i="2"/>
  <c r="L1491" i="2"/>
  <c r="C1491" i="2"/>
  <c r="L1487" i="2"/>
  <c r="C1487" i="2"/>
  <c r="L1482" i="2"/>
  <c r="C1482" i="2"/>
  <c r="L1479" i="2"/>
  <c r="C1479" i="2"/>
  <c r="L1478" i="2"/>
  <c r="C1478" i="2"/>
  <c r="L1475" i="2"/>
  <c r="C1475" i="2"/>
  <c r="L1474" i="2"/>
  <c r="C1474" i="2"/>
  <c r="L1472" i="2"/>
  <c r="C1472" i="2"/>
  <c r="C1470" i="2"/>
  <c r="L1470" i="2"/>
  <c r="L1467" i="2"/>
  <c r="C1467" i="2"/>
  <c r="L1464" i="2"/>
  <c r="C1464" i="2"/>
  <c r="L1462" i="2"/>
  <c r="C1462" i="2"/>
  <c r="L1459" i="2"/>
  <c r="C1459" i="2"/>
  <c r="L1458" i="2"/>
  <c r="C1458" i="2"/>
  <c r="L1456" i="2"/>
  <c r="C1456" i="2"/>
  <c r="L1451" i="2"/>
  <c r="C1451" i="2"/>
  <c r="L1450" i="2"/>
  <c r="C1450" i="2"/>
  <c r="L1448" i="2"/>
  <c r="C1448" i="2"/>
  <c r="L1447" i="2"/>
  <c r="C1447" i="2"/>
  <c r="L1442" i="2"/>
  <c r="C1442" i="2"/>
  <c r="L1440" i="2"/>
  <c r="C1440" i="2"/>
  <c r="C1439" i="2"/>
  <c r="L1439" i="2"/>
  <c r="L1435" i="2"/>
  <c r="C1435" i="2"/>
  <c r="L1434" i="2"/>
  <c r="C1434" i="2"/>
  <c r="L1432" i="2"/>
  <c r="C1432" i="2"/>
  <c r="L1431" i="2"/>
  <c r="C1431" i="2"/>
  <c r="L1426" i="2"/>
  <c r="C1426" i="2"/>
  <c r="L1424" i="2"/>
  <c r="C1424" i="2"/>
  <c r="L1423" i="2"/>
  <c r="C1423" i="2"/>
  <c r="L1420" i="2"/>
  <c r="C1420" i="2"/>
  <c r="L1415" i="2"/>
  <c r="C1415" i="2"/>
  <c r="L1412" i="2"/>
  <c r="C1412" i="2"/>
  <c r="L1407" i="2"/>
  <c r="C1407" i="2"/>
  <c r="L1404" i="2"/>
  <c r="C1404" i="2"/>
  <c r="L1399" i="2"/>
  <c r="C1399" i="2"/>
  <c r="L1396" i="2"/>
  <c r="C1396" i="2"/>
  <c r="L1391" i="2"/>
  <c r="C1391" i="2"/>
  <c r="L1388" i="2"/>
  <c r="C1388" i="2"/>
  <c r="L1383" i="2"/>
  <c r="C1383" i="2"/>
  <c r="L1380" i="2"/>
  <c r="C1380" i="2"/>
  <c r="L1375" i="2"/>
  <c r="C1375" i="2"/>
  <c r="L1372" i="2"/>
  <c r="C1372" i="2"/>
  <c r="L1367" i="2"/>
  <c r="C1367" i="2"/>
  <c r="L1364" i="2"/>
  <c r="C1364" i="2"/>
  <c r="L1359" i="2"/>
  <c r="C1359" i="2"/>
  <c r="L1348" i="2"/>
  <c r="C1348" i="2"/>
  <c r="L1340" i="2"/>
  <c r="C1340" i="2"/>
  <c r="L1332" i="2"/>
  <c r="C1332" i="2"/>
  <c r="L1324" i="2"/>
  <c r="C1324" i="2"/>
  <c r="L1316" i="2"/>
  <c r="C1316" i="2"/>
  <c r="L1311" i="2"/>
  <c r="C1311" i="2"/>
  <c r="L1308" i="2"/>
  <c r="C1308" i="2"/>
  <c r="L1303" i="2"/>
  <c r="C1303" i="2"/>
  <c r="L1300" i="2"/>
  <c r="C1300" i="2"/>
  <c r="L1295" i="2"/>
  <c r="C1295" i="2"/>
  <c r="L1292" i="2"/>
  <c r="C1292" i="2"/>
  <c r="L1287" i="2"/>
  <c r="C1287" i="2"/>
  <c r="L1284" i="2"/>
  <c r="C1284" i="2"/>
  <c r="L1279" i="2"/>
  <c r="C1279" i="2"/>
  <c r="L1276" i="2"/>
  <c r="C1276" i="2"/>
  <c r="L1271" i="2"/>
  <c r="C1271" i="2"/>
  <c r="L1268" i="2"/>
  <c r="C1268" i="2"/>
  <c r="L1263" i="2"/>
  <c r="C1263" i="2"/>
  <c r="L1255" i="2"/>
  <c r="C1255" i="2"/>
  <c r="L1247" i="2"/>
  <c r="C1247" i="2"/>
  <c r="L1239" i="2"/>
  <c r="C1239" i="2"/>
  <c r="L1231" i="2"/>
  <c r="C1231" i="2"/>
  <c r="L1223" i="2"/>
  <c r="C1223" i="2"/>
  <c r="L1215" i="2"/>
  <c r="C1215" i="2"/>
  <c r="L1207" i="2"/>
  <c r="C1207" i="2"/>
  <c r="L1199" i="2"/>
  <c r="C1199" i="2"/>
  <c r="L1191" i="2"/>
  <c r="C1191" i="2"/>
  <c r="L1183" i="2"/>
  <c r="C1183" i="2"/>
  <c r="C1706" i="2"/>
  <c r="L1706" i="2"/>
  <c r="C1703" i="2"/>
  <c r="L1703" i="2"/>
  <c r="L1701" i="2"/>
  <c r="C1701" i="2"/>
  <c r="C1690" i="2"/>
  <c r="L1690" i="2"/>
  <c r="C1687" i="2"/>
  <c r="L1687" i="2"/>
  <c r="L1685" i="2"/>
  <c r="C1685" i="2"/>
  <c r="C1674" i="2"/>
  <c r="L1674" i="2"/>
  <c r="C1671" i="2"/>
  <c r="L1671" i="2"/>
  <c r="L1669" i="2"/>
  <c r="C1669" i="2"/>
  <c r="C1658" i="2"/>
  <c r="L1658" i="2"/>
  <c r="C1655" i="2"/>
  <c r="L1655" i="2"/>
  <c r="L1653" i="2"/>
  <c r="C1653" i="2"/>
  <c r="C1642" i="2"/>
  <c r="L1642" i="2"/>
  <c r="C1639" i="2"/>
  <c r="L1639" i="2"/>
  <c r="L1637" i="2"/>
  <c r="C1637" i="2"/>
  <c r="C1626" i="2"/>
  <c r="L1626" i="2"/>
  <c r="C1623" i="2"/>
  <c r="L1623" i="2"/>
  <c r="L1621" i="2"/>
  <c r="C1621" i="2"/>
  <c r="C1610" i="2"/>
  <c r="L1610" i="2"/>
  <c r="L1605" i="2"/>
  <c r="C1605" i="2"/>
  <c r="C1594" i="2"/>
  <c r="L1594" i="2"/>
  <c r="L1589" i="2"/>
  <c r="C1589" i="2"/>
  <c r="C1578" i="2"/>
  <c r="L1578" i="2"/>
  <c r="L1573" i="2"/>
  <c r="C1573" i="2"/>
  <c r="C1562" i="2"/>
  <c r="L1562" i="2"/>
  <c r="L1557" i="2"/>
  <c r="C1557" i="2"/>
  <c r="C1546" i="2"/>
  <c r="L1546" i="2"/>
  <c r="L1541" i="2"/>
  <c r="C1541" i="2"/>
  <c r="C1530" i="2"/>
  <c r="L1530" i="2"/>
  <c r="L1525" i="2"/>
  <c r="C1525" i="2"/>
  <c r="L1509" i="2"/>
  <c r="C1509" i="2"/>
  <c r="L1493" i="2"/>
  <c r="C1493" i="2"/>
  <c r="L1485" i="2"/>
  <c r="C1485" i="2"/>
  <c r="L1469" i="2"/>
  <c r="C1469" i="2"/>
  <c r="L1453" i="2"/>
  <c r="C1453" i="2"/>
  <c r="C1445" i="2"/>
  <c r="L1445" i="2"/>
  <c r="L1441" i="2"/>
  <c r="C1441" i="2"/>
  <c r="L1437" i="2"/>
  <c r="C1437" i="2"/>
  <c r="L1429" i="2"/>
  <c r="C1429" i="2"/>
  <c r="L1425" i="2"/>
  <c r="C1425" i="2"/>
  <c r="L1418" i="2"/>
  <c r="C1418" i="2"/>
  <c r="L1410" i="2"/>
  <c r="C1410" i="2"/>
  <c r="L1402" i="2"/>
  <c r="C1402" i="2"/>
  <c r="L1394" i="2"/>
  <c r="C1394" i="2"/>
  <c r="L1386" i="2"/>
  <c r="C1386" i="2"/>
  <c r="L1378" i="2"/>
  <c r="C1378" i="2"/>
  <c r="L1370" i="2"/>
  <c r="C1370" i="2"/>
  <c r="L1362" i="2"/>
  <c r="C1362" i="2"/>
  <c r="L1354" i="2"/>
  <c r="C1354" i="2"/>
  <c r="L1338" i="2"/>
  <c r="C1338" i="2"/>
  <c r="L1322" i="2"/>
  <c r="C1322" i="2"/>
  <c r="L1167" i="2"/>
  <c r="C1167" i="2"/>
  <c r="L1151" i="2"/>
  <c r="C1151" i="2"/>
  <c r="L1135" i="2"/>
  <c r="C1135" i="2"/>
  <c r="L1119" i="2"/>
  <c r="C1119" i="2"/>
  <c r="L1103" i="2"/>
  <c r="C1103" i="2"/>
  <c r="L1087" i="2"/>
  <c r="C1087" i="2"/>
  <c r="L1071" i="2"/>
  <c r="C1071" i="2"/>
  <c r="L1055" i="2"/>
  <c r="C1055" i="2"/>
  <c r="L1039" i="2"/>
  <c r="C1039" i="2"/>
  <c r="L1023" i="2"/>
  <c r="C1023" i="2"/>
  <c r="L1007" i="2"/>
  <c r="C1007" i="2"/>
  <c r="L991" i="2"/>
  <c r="C991" i="2"/>
  <c r="L973" i="2"/>
  <c r="C973" i="2"/>
  <c r="L970" i="2"/>
  <c r="C970" i="2"/>
  <c r="L969" i="2"/>
  <c r="C969" i="2"/>
  <c r="L966" i="2"/>
  <c r="C966" i="2"/>
  <c r="L1421" i="2"/>
  <c r="C1421" i="2"/>
  <c r="L1419" i="2"/>
  <c r="C1419" i="2"/>
  <c r="L1409" i="2"/>
  <c r="C1409" i="2"/>
  <c r="L1405" i="2"/>
  <c r="C1405" i="2"/>
  <c r="L1403" i="2"/>
  <c r="C1403" i="2"/>
  <c r="L1389" i="2"/>
  <c r="C1389" i="2"/>
  <c r="L1387" i="2"/>
  <c r="C1387" i="2"/>
  <c r="L1377" i="2"/>
  <c r="C1377" i="2"/>
  <c r="L1373" i="2"/>
  <c r="C1373" i="2"/>
  <c r="L1371" i="2"/>
  <c r="C1371" i="2"/>
  <c r="L1361" i="2"/>
  <c r="C1361" i="2"/>
  <c r="L1358" i="2"/>
  <c r="C1358" i="2"/>
  <c r="L1357" i="2"/>
  <c r="C1357" i="2"/>
  <c r="L1355" i="2"/>
  <c r="C1355" i="2"/>
  <c r="L1350" i="2"/>
  <c r="C1350" i="2"/>
  <c r="L1345" i="2"/>
  <c r="C1345" i="2"/>
  <c r="L1341" i="2"/>
  <c r="C1341" i="2"/>
  <c r="L1337" i="2"/>
  <c r="C1337" i="2"/>
  <c r="L1334" i="2"/>
  <c r="C1334" i="2"/>
  <c r="L1325" i="2"/>
  <c r="L1309" i="2"/>
  <c r="L1293" i="2"/>
  <c r="L1277" i="2"/>
  <c r="L1257" i="2"/>
  <c r="L1241" i="2"/>
  <c r="L1225" i="2"/>
  <c r="L1209" i="2"/>
  <c r="L1185" i="2"/>
  <c r="L1179" i="2"/>
  <c r="L1169" i="2"/>
  <c r="L1163" i="2"/>
  <c r="L1153" i="2"/>
  <c r="L1147" i="2"/>
  <c r="L1137" i="2"/>
  <c r="L1131" i="2"/>
  <c r="L1121" i="2"/>
  <c r="L1115" i="2"/>
  <c r="L1110" i="2"/>
  <c r="L1105" i="2"/>
  <c r="L1099" i="2"/>
  <c r="L1094" i="2"/>
  <c r="L1089" i="2"/>
  <c r="L1083" i="2"/>
  <c r="L1078" i="2"/>
  <c r="L1073" i="2"/>
  <c r="L1067" i="2"/>
  <c r="L1062" i="2"/>
  <c r="L1057" i="2"/>
  <c r="L1051" i="2"/>
  <c r="L1046" i="2"/>
  <c r="L1041" i="2"/>
  <c r="L1035" i="2"/>
  <c r="L1030" i="2"/>
  <c r="L1025" i="2"/>
  <c r="L1019" i="2"/>
  <c r="L1014" i="2"/>
  <c r="L1009" i="2"/>
  <c r="L1003" i="2"/>
  <c r="L998" i="2"/>
  <c r="L993" i="2"/>
  <c r="L987" i="2"/>
  <c r="L982" i="2"/>
  <c r="L971" i="2"/>
  <c r="L953" i="2"/>
  <c r="L937" i="2"/>
  <c r="L921" i="2"/>
  <c r="L905" i="2"/>
  <c r="L889" i="2"/>
  <c r="L873" i="2"/>
  <c r="L857" i="2"/>
  <c r="L841" i="2"/>
  <c r="L825" i="2"/>
  <c r="L809" i="2"/>
  <c r="L705" i="2"/>
  <c r="C705" i="2"/>
  <c r="L908" i="2"/>
  <c r="L892" i="2"/>
  <c r="L876" i="2"/>
  <c r="L860" i="2"/>
  <c r="L828" i="2"/>
  <c r="L812" i="2"/>
  <c r="L784" i="2"/>
  <c r="C784" i="2"/>
  <c r="L747" i="2"/>
  <c r="L715" i="2"/>
  <c r="L688" i="2"/>
  <c r="C688" i="2"/>
  <c r="L1260" i="2"/>
  <c r="L1252" i="2"/>
  <c r="L1244" i="2"/>
  <c r="L1236" i="2"/>
  <c r="L1228" i="2"/>
  <c r="L1220" i="2"/>
  <c r="L1212" i="2"/>
  <c r="L1204" i="2"/>
  <c r="L1196" i="2"/>
  <c r="L1188" i="2"/>
  <c r="L1180" i="2"/>
  <c r="L1172" i="2"/>
  <c r="L1164" i="2"/>
  <c r="L1156" i="2"/>
  <c r="L1148" i="2"/>
  <c r="L1140" i="2"/>
  <c r="L1132" i="2"/>
  <c r="L1124" i="2"/>
  <c r="L1116" i="2"/>
  <c r="L1100" i="2"/>
  <c r="L932" i="2"/>
  <c r="L772" i="2"/>
  <c r="C772" i="2"/>
  <c r="L1326" i="2"/>
  <c r="C1326" i="2"/>
  <c r="L1321" i="2"/>
  <c r="L1313" i="2"/>
  <c r="L1305" i="2"/>
  <c r="L1289" i="2"/>
  <c r="L1281" i="2"/>
  <c r="L1273" i="2"/>
  <c r="L1249" i="2"/>
  <c r="L1217" i="2"/>
  <c r="L1193" i="2"/>
  <c r="L1177" i="2"/>
  <c r="L1171" i="2"/>
  <c r="L1166" i="2"/>
  <c r="L1161" i="2"/>
  <c r="L1155" i="2"/>
  <c r="L1150" i="2"/>
  <c r="L1145" i="2"/>
  <c r="L1139" i="2"/>
  <c r="L1134" i="2"/>
  <c r="L1129" i="2"/>
  <c r="L1123" i="2"/>
  <c r="L1118" i="2"/>
  <c r="L1113" i="2"/>
  <c r="L1107" i="2"/>
  <c r="L1102" i="2"/>
  <c r="L1097" i="2"/>
  <c r="L1091" i="2"/>
  <c r="L1086" i="2"/>
  <c r="L1081" i="2"/>
  <c r="L1075" i="2"/>
  <c r="L1070" i="2"/>
  <c r="L1065" i="2"/>
  <c r="L1059" i="2"/>
  <c r="L1054" i="2"/>
  <c r="L1049" i="2"/>
  <c r="L1043" i="2"/>
  <c r="L1038" i="2"/>
  <c r="L1033" i="2"/>
  <c r="L1027" i="2"/>
  <c r="L1022" i="2"/>
  <c r="L1017" i="2"/>
  <c r="L1011" i="2"/>
  <c r="L1006" i="2"/>
  <c r="L1001" i="2"/>
  <c r="L995" i="2"/>
  <c r="L990" i="2"/>
  <c r="L985" i="2"/>
  <c r="L979" i="2"/>
  <c r="L974" i="2"/>
  <c r="L785" i="2"/>
  <c r="L753" i="2"/>
  <c r="L721" i="2"/>
  <c r="L689" i="2"/>
  <c r="L916" i="2"/>
  <c r="L900" i="2"/>
  <c r="L884" i="2"/>
  <c r="L868" i="2"/>
  <c r="L836" i="2"/>
  <c r="L820" i="2"/>
  <c r="L804" i="2"/>
  <c r="C804" i="2"/>
  <c r="L773" i="2"/>
  <c r="C773" i="2"/>
  <c r="L763" i="2"/>
  <c r="L741" i="2"/>
  <c r="C741" i="2"/>
  <c r="L699" i="2"/>
  <c r="L505" i="2"/>
  <c r="C505" i="2"/>
  <c r="L1184" i="2"/>
  <c r="L1004" i="2"/>
  <c r="L996" i="2"/>
  <c r="L988" i="2"/>
  <c r="L980" i="2"/>
  <c r="L972" i="2"/>
  <c r="L964" i="2"/>
  <c r="L956" i="2"/>
  <c r="L948" i="2"/>
  <c r="L940" i="2"/>
  <c r="L924" i="2"/>
  <c r="L796" i="2"/>
  <c r="C796" i="2"/>
  <c r="L791" i="2"/>
  <c r="C582" i="2"/>
  <c r="C611" i="2"/>
  <c r="C627" i="2"/>
  <c r="C542" i="2"/>
  <c r="C553" i="2"/>
  <c r="C581" i="2"/>
  <c r="C606" i="2"/>
  <c r="C635" i="2"/>
  <c r="C640" i="2"/>
  <c r="C656" i="2"/>
  <c r="C645" i="2"/>
  <c r="C649" i="2"/>
  <c r="C670" i="2"/>
  <c r="C693" i="2"/>
  <c r="C710" i="2"/>
  <c r="C694" i="2"/>
  <c r="C731" i="2"/>
  <c r="C747" i="2"/>
  <c r="C763" i="2"/>
  <c r="C779" i="2"/>
  <c r="C795" i="2"/>
  <c r="C803" i="2"/>
  <c r="C809" i="2"/>
  <c r="C813" i="2"/>
  <c r="C817" i="2"/>
  <c r="C825" i="2"/>
  <c r="C829" i="2"/>
  <c r="C833" i="2"/>
  <c r="C841" i="2"/>
  <c r="C845" i="2"/>
  <c r="C849" i="2"/>
  <c r="C857" i="2"/>
  <c r="C861" i="2"/>
  <c r="C865" i="2"/>
  <c r="C873" i="2"/>
  <c r="C877" i="2"/>
  <c r="C881" i="2"/>
  <c r="C889" i="2"/>
  <c r="C893" i="2"/>
  <c r="C897" i="2"/>
  <c r="C905" i="2"/>
  <c r="C909" i="2"/>
  <c r="C913" i="2"/>
  <c r="C921" i="2"/>
  <c r="C929" i="2"/>
  <c r="C933" i="2"/>
  <c r="C937" i="2"/>
  <c r="C945" i="2"/>
  <c r="C949" i="2"/>
  <c r="C953" i="2"/>
  <c r="C961" i="2"/>
  <c r="C709" i="2"/>
  <c r="C798" i="2"/>
  <c r="C665" i="2"/>
  <c r="C677" i="2"/>
  <c r="C736" i="2"/>
  <c r="C715" i="2"/>
  <c r="C753" i="2"/>
  <c r="C777" i="2"/>
  <c r="C785" i="2"/>
  <c r="C797" i="2"/>
  <c r="C808" i="2"/>
  <c r="C812" i="2"/>
  <c r="C816" i="2"/>
  <c r="C820" i="2"/>
  <c r="C824" i="2"/>
  <c r="C980" i="2"/>
  <c r="C988" i="2"/>
  <c r="C992" i="2"/>
  <c r="C996" i="2"/>
  <c r="C1004" i="2"/>
  <c r="C1008" i="2"/>
  <c r="C1012" i="2"/>
  <c r="C1016" i="2"/>
  <c r="C1024" i="2"/>
  <c r="C1028" i="2"/>
  <c r="C1032" i="2"/>
  <c r="C1040" i="2"/>
  <c r="C1044" i="2"/>
  <c r="C1048" i="2"/>
  <c r="C1056" i="2"/>
  <c r="C1060" i="2"/>
  <c r="C1064" i="2"/>
  <c r="C1072" i="2"/>
  <c r="C1076" i="2"/>
  <c r="C1080" i="2"/>
  <c r="C1088" i="2"/>
  <c r="C1092" i="2"/>
  <c r="C1096" i="2"/>
  <c r="C1100" i="2"/>
  <c r="C1104" i="2"/>
  <c r="C1112" i="2"/>
  <c r="C1116" i="2"/>
  <c r="C1120" i="2"/>
  <c r="C1124" i="2"/>
  <c r="C1128" i="2"/>
  <c r="C1132" i="2"/>
  <c r="C1136" i="2"/>
  <c r="C1140" i="2"/>
  <c r="C1144" i="2"/>
  <c r="C1148" i="2"/>
  <c r="C1152" i="2"/>
  <c r="C1156" i="2"/>
  <c r="C1160" i="2"/>
  <c r="C1164" i="2"/>
  <c r="C1168" i="2"/>
  <c r="C1172" i="2"/>
  <c r="C1176" i="2"/>
  <c r="C1180" i="2"/>
  <c r="C1184" i="2"/>
  <c r="C1188" i="2"/>
  <c r="C1192" i="2"/>
  <c r="C1196" i="2"/>
  <c r="C1204" i="2"/>
  <c r="C1208" i="2"/>
  <c r="C1212" i="2"/>
  <c r="C1220" i="2"/>
  <c r="C1224" i="2"/>
  <c r="C1228" i="2"/>
  <c r="C1236" i="2"/>
  <c r="C1240" i="2"/>
  <c r="C1244" i="2"/>
  <c r="C1252" i="2"/>
  <c r="C1256" i="2"/>
  <c r="C1260" i="2"/>
  <c r="C830" i="2"/>
  <c r="C838" i="2"/>
  <c r="C842" i="2"/>
  <c r="C846" i="2"/>
  <c r="C854" i="2"/>
  <c r="C858" i="2"/>
  <c r="C870" i="2"/>
  <c r="C874" i="2"/>
  <c r="C886" i="2"/>
  <c r="C890" i="2"/>
  <c r="C902" i="2"/>
  <c r="C906" i="2"/>
  <c r="C918" i="2"/>
  <c r="C922" i="2"/>
  <c r="C926" i="2"/>
  <c r="C938" i="2"/>
  <c r="C942" i="2"/>
  <c r="C954" i="2"/>
  <c r="C958" i="2"/>
  <c r="C974" i="2"/>
  <c r="C979" i="2"/>
  <c r="C987" i="2"/>
  <c r="C995" i="2"/>
  <c r="C1003" i="2"/>
  <c r="C1011" i="2"/>
  <c r="C1019" i="2"/>
  <c r="C1027" i="2"/>
  <c r="C1035" i="2"/>
  <c r="C1043" i="2"/>
  <c r="C1051" i="2"/>
  <c r="C1059" i="2"/>
  <c r="C1067" i="2"/>
  <c r="C1075" i="2"/>
  <c r="C1083" i="2"/>
  <c r="C1091" i="2"/>
  <c r="C1099" i="2"/>
  <c r="C1107" i="2"/>
  <c r="C1115" i="2"/>
  <c r="C1123" i="2"/>
  <c r="C1131" i="2"/>
  <c r="C1139" i="2"/>
  <c r="C1147" i="2"/>
  <c r="C1155" i="2"/>
  <c r="C1163" i="2"/>
  <c r="C1171" i="2"/>
  <c r="C1179" i="2"/>
  <c r="C1187" i="2"/>
  <c r="C1195" i="2"/>
  <c r="C1203" i="2"/>
  <c r="C1211" i="2"/>
  <c r="C1219" i="2"/>
  <c r="C1227" i="2"/>
  <c r="C1235" i="2"/>
  <c r="C1243" i="2"/>
  <c r="C1259" i="2"/>
  <c r="C1267" i="2"/>
  <c r="C1275" i="2"/>
  <c r="C1283" i="2"/>
  <c r="C1291" i="2"/>
  <c r="C1299" i="2"/>
  <c r="C1307" i="2"/>
  <c r="C1321" i="2"/>
  <c r="C1325" i="2"/>
  <c r="C725" i="2"/>
  <c r="C789" i="2"/>
  <c r="C788" i="2"/>
  <c r="C721" i="2"/>
  <c r="C780" i="2"/>
  <c r="L716" i="2"/>
  <c r="L361" i="2"/>
  <c r="C358" i="2"/>
  <c r="C357" i="2"/>
  <c r="L354" i="2"/>
  <c r="C349" i="2"/>
  <c r="C343" i="2"/>
  <c r="L335" i="2"/>
  <c r="L329" i="2"/>
  <c r="L319" i="2"/>
  <c r="L346" i="2"/>
  <c r="C342" i="2"/>
  <c r="L338" i="2"/>
  <c r="L334" i="2"/>
  <c r="L330" i="2"/>
  <c r="L382" i="2"/>
  <c r="L341" i="2"/>
  <c r="L337" i="2"/>
  <c r="C329" i="2"/>
  <c r="L356" i="2"/>
  <c r="C344" i="2"/>
  <c r="L333" i="2"/>
  <c r="C328" i="2"/>
  <c r="C365" i="2"/>
  <c r="L363" i="2"/>
  <c r="L405" i="2"/>
  <c r="L397" i="2"/>
  <c r="L394" i="2"/>
  <c r="C389" i="2"/>
  <c r="L386" i="2"/>
  <c r="L385" i="2"/>
  <c r="L426" i="2"/>
  <c r="L424" i="2"/>
  <c r="L423" i="2"/>
  <c r="C422" i="2"/>
  <c r="L419" i="2"/>
  <c r="L418" i="2"/>
  <c r="L415" i="2"/>
  <c r="C410" i="2"/>
  <c r="L408" i="2"/>
  <c r="C406" i="2"/>
  <c r="L392" i="2"/>
  <c r="C373" i="2"/>
  <c r="C401" i="2"/>
  <c r="L393" i="2"/>
  <c r="C388" i="2"/>
  <c r="L454" i="2"/>
  <c r="L451" i="2"/>
  <c r="L450" i="2"/>
  <c r="L448" i="2"/>
  <c r="L446" i="2"/>
  <c r="L443" i="2"/>
  <c r="L442" i="2"/>
  <c r="L440" i="2"/>
  <c r="L439" i="2"/>
  <c r="L438" i="2"/>
  <c r="L435" i="2"/>
  <c r="L434" i="2"/>
  <c r="L432" i="2"/>
  <c r="L430" i="2"/>
  <c r="C400" i="2"/>
  <c r="L395" i="2"/>
  <c r="L421" i="2"/>
  <c r="L481" i="2"/>
  <c r="L476" i="2"/>
  <c r="L475" i="2"/>
  <c r="L473" i="2"/>
  <c r="L471" i="2"/>
  <c r="L468" i="2"/>
  <c r="L467" i="2"/>
  <c r="L465" i="2"/>
  <c r="L463" i="2"/>
  <c r="L459" i="2"/>
  <c r="L457" i="2"/>
  <c r="L455" i="2"/>
  <c r="L404" i="2"/>
  <c r="L502" i="2"/>
  <c r="C500" i="2"/>
  <c r="C498" i="2"/>
  <c r="C497" i="2"/>
  <c r="L494" i="2"/>
  <c r="L492" i="2"/>
  <c r="C490" i="2"/>
  <c r="L488" i="2"/>
  <c r="C486" i="2"/>
  <c r="L484" i="2"/>
  <c r="C482" i="2"/>
  <c r="C474" i="2"/>
  <c r="C469" i="2"/>
  <c r="C466" i="2"/>
  <c r="C461" i="2"/>
  <c r="L458" i="2"/>
  <c r="L441" i="2"/>
  <c r="L321" i="2"/>
  <c r="L367" i="2"/>
  <c r="C351" i="2"/>
  <c r="L320" i="2"/>
  <c r="L369" i="2"/>
  <c r="L398" i="2"/>
  <c r="L390" i="2"/>
  <c r="L387" i="2"/>
  <c r="L384" i="2"/>
  <c r="L348" i="2"/>
  <c r="L420" i="2"/>
  <c r="L412" i="2"/>
  <c r="L368" i="2"/>
  <c r="L375" i="2"/>
  <c r="C375" i="2"/>
  <c r="L374" i="2"/>
  <c r="L427" i="2"/>
  <c r="L416" i="2"/>
  <c r="L411" i="2"/>
  <c r="L383" i="2"/>
  <c r="L479" i="2"/>
  <c r="C479" i="2"/>
  <c r="L428" i="2"/>
  <c r="L391" i="2"/>
  <c r="L407" i="2"/>
  <c r="L396" i="2"/>
  <c r="L496" i="2"/>
  <c r="C496" i="2"/>
  <c r="L480" i="2"/>
  <c r="L472" i="2"/>
  <c r="C464" i="2"/>
  <c r="L447" i="2"/>
  <c r="L431" i="2"/>
  <c r="L399" i="2"/>
  <c r="C319" i="2"/>
  <c r="C320" i="2"/>
  <c r="C383" i="2"/>
  <c r="C387" i="2"/>
  <c r="C368" i="2"/>
  <c r="C335" i="2"/>
  <c r="C382" i="2"/>
  <c r="C369" i="2"/>
  <c r="C334" i="2"/>
  <c r="C393" i="2"/>
  <c r="C397" i="2"/>
  <c r="C392" i="2"/>
  <c r="C396" i="2"/>
  <c r="C404" i="2"/>
  <c r="C412" i="2"/>
  <c r="C405" i="2"/>
  <c r="C418" i="2"/>
  <c r="C426" i="2"/>
  <c r="C430" i="2"/>
  <c r="C434" i="2"/>
  <c r="C438" i="2"/>
  <c r="C442" i="2"/>
  <c r="C446" i="2"/>
  <c r="C450" i="2"/>
  <c r="C454" i="2"/>
  <c r="C458" i="2"/>
  <c r="C465" i="2"/>
  <c r="C411" i="2"/>
  <c r="C419" i="2"/>
  <c r="C423" i="2"/>
  <c r="C427" i="2"/>
  <c r="C431" i="2"/>
  <c r="C435" i="2"/>
  <c r="C439" i="2"/>
  <c r="C443" i="2"/>
  <c r="C447" i="2"/>
  <c r="C451" i="2"/>
  <c r="C455" i="2"/>
  <c r="C459" i="2"/>
  <c r="C473" i="2"/>
  <c r="C476" i="2"/>
  <c r="C480" i="2"/>
  <c r="C488" i="2"/>
  <c r="C481" i="2"/>
  <c r="C485" i="2"/>
  <c r="C489" i="2"/>
  <c r="C494" i="2"/>
  <c r="C493" i="2"/>
  <c r="L410" i="2"/>
  <c r="L486" i="2"/>
  <c r="L464" i="2"/>
  <c r="C360" i="2"/>
  <c r="C352" i="2"/>
  <c r="C377" i="2"/>
  <c r="L352" i="2"/>
  <c r="L360" i="2"/>
  <c r="L381" i="2"/>
  <c r="L373" i="2"/>
  <c r="L365" i="2"/>
  <c r="L357" i="2"/>
  <c r="C353" i="2"/>
  <c r="L349" i="2"/>
  <c r="L353" i="2"/>
  <c r="G2795" i="2"/>
  <c r="C354" i="2"/>
  <c r="C361" i="2"/>
  <c r="L339" i="2"/>
  <c r="L331" i="2"/>
  <c r="L323" i="2"/>
  <c r="C374" i="2"/>
  <c r="L370" i="2"/>
  <c r="C366" i="2"/>
  <c r="L362" i="2"/>
  <c r="L359" i="2"/>
  <c r="L355" i="2"/>
  <c r="L351" i="2"/>
  <c r="L347" i="2"/>
  <c r="C346" i="2"/>
  <c r="C345" i="2"/>
  <c r="L344" i="2"/>
  <c r="C341" i="2"/>
  <c r="L340" i="2"/>
  <c r="C337" i="2"/>
  <c r="L336" i="2"/>
  <c r="L332" i="2"/>
  <c r="L328" i="2"/>
  <c r="C326" i="2"/>
  <c r="L324" i="2"/>
  <c r="J2795" i="2"/>
  <c r="C321" i="2"/>
  <c r="F2795" i="2"/>
  <c r="L327" i="2"/>
  <c r="K2795" i="2"/>
  <c r="L322" i="2"/>
  <c r="I2795" i="2"/>
  <c r="C384" i="2"/>
  <c r="L380" i="2"/>
  <c r="L378" i="2"/>
  <c r="C376" i="2"/>
  <c r="L372" i="2"/>
  <c r="L364" i="2"/>
  <c r="L358" i="2"/>
  <c r="C356" i="2"/>
  <c r="L350" i="2"/>
  <c r="L343" i="2"/>
  <c r="C333" i="2"/>
  <c r="H2795" i="2"/>
  <c r="C322" i="2"/>
  <c r="C323" i="2"/>
  <c r="C327" i="2"/>
  <c r="C381" i="2"/>
  <c r="C362" i="2"/>
  <c r="C370" i="2"/>
  <c r="C380" i="2"/>
  <c r="C350" i="2"/>
  <c r="C355" i="2"/>
  <c r="C359" i="2"/>
  <c r="C332" i="2"/>
  <c r="C336" i="2"/>
  <c r="C340" i="2"/>
  <c r="K1067" i="24"/>
  <c r="L2795" i="2" l="1"/>
  <c r="D1" i="20" s="1"/>
</calcChain>
</file>

<file path=xl/sharedStrings.xml><?xml version="1.0" encoding="utf-8"?>
<sst xmlns="http://schemas.openxmlformats.org/spreadsheetml/2006/main" count="40728" uniqueCount="11534">
  <si>
    <t>Empresa</t>
  </si>
  <si>
    <t>Unidade</t>
  </si>
  <si>
    <t>Total</t>
  </si>
  <si>
    <t>Prazo</t>
  </si>
  <si>
    <t>Marca</t>
  </si>
  <si>
    <t>Qtd</t>
  </si>
  <si>
    <t>Menor preço</t>
  </si>
  <si>
    <t>SALDO</t>
  </si>
  <si>
    <t>Código</t>
  </si>
  <si>
    <t>CALÇA PRIVATIVA, Aplicação: para servidor da área restrita e semirestrita, Material: Tecido liso, cor azul, 50% algodão e 50% poliéster, Linha 100% algodão, Tamanho: 48, Características: Peça simples, cintura com elástico Costura dupla, linha 100% algodão, Comprimento total: 130 cm, Largura da cintura: 62 cm, Largura da perna: 26 cm, Tecido tela 50% algodão 50% poliéster  fio 30, 105 no urdume e 75 na trama, tingimento em idantrem encolhimento 5% no Urdume e 3% na trama, peso mínimo 126g/m²,Variação de medida do produto acabado ± 3 cm, Apresentar na calça logomarca SES-DF na parte anterior da perna esquerda medindo 15x15cm na cor verde bandeira e sigla do hospital na perna direita verticalmente na cor preta,, Forma de Apresentação: Embalagem primária em saco plástico com no máximo 10 unidades e secundaria em caixa de papelão com no máximo 100 unidades, Unidade de Estoque: Unidade, Unidade de fornecimento: Unidade, Código SES. 13940</t>
  </si>
  <si>
    <t>CAMPO DUPLO ALGODÃO CRU LISO 90X90 cm. Tecido algodão cru liso, 100% algodão.</t>
  </si>
  <si>
    <t>FOLINATO DE CALCIO CAPSULA OU COMPRIMIDO (EQUIVALENTE 15 MG ACIDO FOLINICO)</t>
  </si>
  <si>
    <t>NOREPINEFRINA (HEMITARTARATO) SOLUCAO INJETAVEL 2 MG/ML (EQUIVALENTE A 1MG/ML DE NOREPINEFRINA BASE) AMPOLA 4 ML</t>
  </si>
  <si>
    <t>EPINEFRINA (BITARTARATO OU CLORIDRATO) SOLUCAO INJETAVEL 1 MG/ML AMPOLA 1 ML</t>
  </si>
  <si>
    <t>DIALIZADOR PARA HEMODIALISE COM AREA DE SUPERFICIE DE 1,7 A 2,1M²</t>
  </si>
  <si>
    <t>LAMINA P/BISTURI N. 11</t>
  </si>
  <si>
    <t>LAMINA P/BISTURI N. 12</t>
  </si>
  <si>
    <t>LAMINA P/BISTURI N. 15</t>
  </si>
  <si>
    <t>POLIMIXINA B INJETAVEL 500000UI FRASCO AMPOLA</t>
  </si>
  <si>
    <t>HIPOCLORITO DE SODIO A 1% FRASCO PLASTICO ESCURO 5000 ML</t>
  </si>
  <si>
    <t>GENTAMICINA SOLUCAO INJETAVEL 40 MG/ML AMPOLA 2 ML</t>
  </si>
  <si>
    <t>SONDA ASPIRAÇÃO TRAQUEAL Nº 14</t>
  </si>
  <si>
    <t>SONDA PARA NUTRIÇAO ENTERAL ADULTO Nº 12</t>
  </si>
  <si>
    <t>SERINGA DESCARTAVEL DE 50 A 60ML COM BICO CATETER ESTERIL, PARA IRRIGAÇAO</t>
  </si>
  <si>
    <t>LAMINA P/BISTURI N. 22</t>
  </si>
  <si>
    <t>LAMINA P/BISTURI N. 24</t>
  </si>
  <si>
    <t>HEPARINA SODICA SOLUÇAO INJETAVEL 5000 UI/ML FRASCO AMPOLA 5 ML</t>
  </si>
  <si>
    <t>HEPARINA SODICA SOLUÇAO INJETAVEL 5000 UI/0,25 ML AMPOLA 0,25 ML</t>
  </si>
  <si>
    <t>CARIMBO, Material: borracha com base e cabo de madeira, Tipo: comum, Formato: redondo, Diâmetro: 3 cm.</t>
  </si>
  <si>
    <t>CARIMBO AUTOMÁTICO, Tipo: personalizado, Dimensões: 38 x 14 mm.</t>
  </si>
  <si>
    <t>TINTA PARA CARIMBO,Material Tubo: plástico, Cor: azul, Aplicação: almofada carimbo, Unidade De Fornecimento: tubo com 37 ml.</t>
  </si>
  <si>
    <t>ALMOFADA AZUL P/CARIMBO ENTINTAMENTO PERMANENTE 7X12CM.</t>
  </si>
  <si>
    <t>BOLSA VAZIA EM EVA (ETIL VINIL ALL-IN-ONE) 2000ML P/USO EM EQUIPAMENTO MISTURADOR AUTOMATICO P/NUTRICAO PARENTERAL</t>
  </si>
  <si>
    <t>NIFEDIPINA CAPSULA GELATINOSA MOLE 10 MG</t>
  </si>
  <si>
    <t>MILRINONA SOLUCAO INJETAVEL 1 MG/ML AMPOLA 10 ML</t>
  </si>
  <si>
    <t>LIPIDIOS EMULSAO INJETAVEL 20 % (200 MG/ML) FRASCO 100 ML</t>
  </si>
  <si>
    <t>LIPIDIOS EMULSAO INJETAVEL 10 % (100 MG/ML) FRASCO 500 ML</t>
  </si>
  <si>
    <t>AMINOACIDOS SOLUCAO INJETAVEL 8 % PARA NUTRIÇÃO PARENTERAL EM HEPATOPATA FRASCO OU BOLSA 500 ML</t>
  </si>
  <si>
    <t>LÂMPADA FLUORESCENTE UNIVERSAL 220v, Potência: 40 W.</t>
  </si>
  <si>
    <t>LÂMPADA ELETRÔNICA 20 W.</t>
  </si>
  <si>
    <t>LÂMPADA FLUORESCENTE, 220V, POTÊNCIA: 15 W.</t>
  </si>
  <si>
    <t>EXTENSÃO TIPO RÉGUA, 3 CONDUTORES, PINOTIPO 2P+T E 5 TOMADAS TRIPOLAR 2P+T, DE 10 A, 250V.</t>
  </si>
  <si>
    <t>FITA ELÉTRICA FIBRA VIDRO 19 mm</t>
  </si>
  <si>
    <t>PAPEL A4,Material: papel 100% reciclado, Gramatura: 75 g/m², Dimensões: 210 x 297 mm, Unidade De Fornecimento: resma</t>
  </si>
  <si>
    <t>DISCO CD-R GRAVÁVEL, Tipo: gravável 52x, Capacidade: 700 mb, 80 min, Unidade De Fornecimento: tubo fechado com 50 unidades</t>
  </si>
  <si>
    <t>FITA ADESIVA PARA EMPACOTAMENTO, Material: em pvc, Cor: transparente, Medidas: largura de 50 mm, Unidade De Fornecimento: rolo com 50m</t>
  </si>
  <si>
    <t>FITA ADESIVA PARA EMPACOTAMENTO,Material: em pvc, Cor: marrom, Medidas: largura de 50 mm, Unidade De Fornecimento: rolo com 50m</t>
  </si>
  <si>
    <t>ENVELOPE MED.31x41CM PARDO</t>
  </si>
  <si>
    <t>PAPEL ADESIVO, Material: plástico, Tipo contact, Transmitância: transparente, Comprimento: 10 m, Largura: 0,45m,   Unidade De Fornecimento: rolo com 10 metros.</t>
  </si>
  <si>
    <t>CANETA RETROPROJETOR, Material Ponta: poliester, Diâmetro Ponta: 1 mm, Cor: azul, Unidade de Fornecimento: unidade.</t>
  </si>
  <si>
    <t xml:space="preserve">BATERIA AUTOMOTIVA, 12 V, 60 A, Tipo Selada </t>
  </si>
  <si>
    <t>FITA ADESIVA,Material: papel crepe, Largura: 19 mm, Comprimento: 50 m, Tipo Face: comum, que garanta boa adesividade e não apresente vazamento nas laterais ou em sua face externa. Unidade De Fornecimento: rolo com 50 metros.</t>
  </si>
  <si>
    <t>SOLVENTE TIPO RAZ, A BASE DE HIDROCARBONETOS DE PETROLEO. EMBALAGEM COM 18 LITROS</t>
  </si>
  <si>
    <t>TRAMADOL (CLORIDRATO) SOLUCAO INJETAVEL 50 MG/ML AMPOLA 2 ML</t>
  </si>
  <si>
    <t>ADENOSINA (TRIFOSFATO) 3 MG/ML AMPOLA 2 ML</t>
  </si>
  <si>
    <t>DOPAMINA (CLORIDRATO) SOLUCAO INJETAVEL 5 MG/ML AMPOLA 10 ML</t>
  </si>
  <si>
    <t>FITA PARA IMPRESSORA EPSON EPSON 2190</t>
  </si>
  <si>
    <t>AGULHA HIPODERMICA DESCART. 40X12 C/BISEL S/MANDRIL</t>
  </si>
  <si>
    <t>SONDA ASPIRAÇÃO TRAQUEAL Nº 06</t>
  </si>
  <si>
    <t>SONDA ASPIRAÇÃO TRAQUEAL Nº 12</t>
  </si>
  <si>
    <t>COMPRESSA DE GAZE 91CM x 91M NAO ESTERIL TIPO QUEIJO</t>
  </si>
  <si>
    <t>LAMINA P/BISTURI N. 20</t>
  </si>
  <si>
    <t>SULFATO FERROSO SOLUCAO ORAL 125 MG/ML CORRESPONDENTE A 25 MG/ML DE FERRO ELEMENTAR FRASCO 30 ML</t>
  </si>
  <si>
    <t>GLICOSE 50 % SOLUÇAO INJETAVEL BOLSA OU FRASCO 1000 ML SISTEMA FECHADO DE INFUSAO</t>
  </si>
  <si>
    <t>ISOLADOR DE PRESSAO DO MANOMETRO P/MAQUINA DE HEMODIALISE</t>
  </si>
  <si>
    <t>OMEPRAZOL PO LIOFILIZADO PARA SOLUCAO INJETAVEL 40 MG FRASCO AMPOLA + SOLUCAO DILUENTE (AMPOLA 10 ML)</t>
  </si>
  <si>
    <t>DEXCLORFENIRAMINA XAROPE 2 MG / 5 ML FRASCO 100 ML COM DOSEADOR</t>
  </si>
  <si>
    <t>LORATADINA XAROPE 1 MG/ML FRASCO 100 ML</t>
  </si>
  <si>
    <t>FRASCO COLETOR SECREÇÃO, Aplicação: aspirador cirúrgico inquebrável, Características Adicionais: autoclavável, com graduação em alto relevo, tampa com vedação hermética, bóia automática; material de alta durabilidade, Tamanho/Capacidade: 5 litros</t>
  </si>
  <si>
    <t>TINTA PARA INTERIORES E EXTERIORES, cor: palha, semi-brilho, características adicionais: lata 18 l</t>
  </si>
  <si>
    <t>ROLO DE PINTURA, material rolo: espuma de poliéster, comprimento cabo: 15 cm, características adicionais: cabo de plástico.</t>
  </si>
  <si>
    <t>PINCEL Nº 4 Para pintura</t>
  </si>
  <si>
    <t>ROLO PARA PINTURA DE TINTAS a base de solventes óleos e esmalte sintético com cabo de metal de 23 cm</t>
  </si>
  <si>
    <t>ROLO DE PINTURA, material rolo: 100% lã de carneiro, comprimento cabo: 23 cm, características adicionais: cabo de plástico.</t>
  </si>
  <si>
    <t>ROLO PARA PINTURA, de espuma, de 05 cm com cabo</t>
  </si>
  <si>
    <t>FITA DE BORDA – 2,2mm na cor branca (rolo com 50 metros)</t>
  </si>
  <si>
    <t>CORREDIÇA PARA GAVETA de metal, tipo: TP-100, 45 cm de comprimento</t>
  </si>
  <si>
    <t>COMPENSADO de MDF de 2,75m de comprimento e 1,83m de largura e 0,006m de espessura.</t>
  </si>
  <si>
    <t>COMPENSADO de MDF de 2,75m de comprimento e 1,83m de largura e 0,009m de espessura, cor branca, 1ª qualidade, com 01 face.</t>
  </si>
  <si>
    <t>COMPENSADO de MDF de 2,75m de comprimento e 1,83m de largura e 0,015m de espessura, cor branca, 1ª qualidade, com 02 face.</t>
  </si>
  <si>
    <t>MDF – PAINEL DE FIBRAS, Densidade Média, tamanho: 18mm, cor branca e com 02 faces.</t>
  </si>
  <si>
    <t>PERFIL METÁLICO, Material: chapa n° 18 metalon, Dimensões: 30 x 30 mm, Unidade de fornecimento: barra de 6 metros.</t>
  </si>
  <si>
    <t>FERRO MACIÇO, Formato: Redondo, 3/8 pol. Acabamento superficial liso. Unidade de fornecimento: barra de 6 metros.</t>
  </si>
  <si>
    <t>SACO RECEM NASCIDO, Aplicação: uso do recém nascido, Material: Tecido flanela estampada padrão infantil, fundo amarelo, 100% algodão, Linha 100% algodão, Tamanho: Único, Características: Peça única: decote rente ao pescoço com 12 cm largura, revestido com viés do mesmo tecido com tiras para fechamento frontal, abertura vertical de 20cm abaixo da gola transpassada em 4cm, com mangas japonesas compridas medindo 27cm, largura do braço 11cm, abertura na parte inferior com transpasse de 29cm tipo envelope na parte interna, largura total 44cm e comprimento total 58cm,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 Código SES: 14049.</t>
  </si>
  <si>
    <t>CONJUNTO DE PIJAMA 6 A 12 MESES, Aplicação:  paciente pediátrico, Material: Tecido flanela amarela estampada padrão infantil, 100% algodão, Linha 100% algodão, Tamanho: 06 a 12 meses, Características: Camisa: Peça única, costuras laterais, mangas compridas medindo 35 cm comprimento e 11 cm punho, abertura na frente com transpasse de 10 cm e fechamento por 2 tiras, comprimento total 45cm, largura total 38cm, Apresentar na camisa logomarca SES-DF no bolso superior esquerdo e manga direita medindo 7x7cm na cor verde bandeira, sigla do hospital no lado superior direito e manga esquerda na cor preta, Calça: Peça simples, cintura com elástico, comprimento total 61 cm, largura da cintura 42 cm, largura da perna 18 cm. Costura reta e overlock com linha 100% algodão. Apresentar na calça logomarca SES-DF na parte anterior da perna esquerda medindo 7x7cm na cor verde bandeira e sigla do hospital na perna direita verticalmente na cor preta,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 Código SES: 15483.</t>
  </si>
  <si>
    <t>LENÇOL BERÇO 90X120 cm, Aplicação: forrar berço, Material: tecido  estampado padrão infantil, fundo amarelo, 50% algodão e 50% poliéster, Linha 100% algodão, Tamanho: 90x120cm, Características: Peça simples com barras estreitas, costura reta e overlock com linha 100% algodão, Tecido tela 50% algodão 50% poliéster  fio 30, 105 no urdume e 75 na trama, tingimento em idantrem encolhimento 5% no Urdume e 3% na trama, peso mínimo 126g/m²,Variação de medida do produto acabado ± 3 cm, Apresentar na peça a logomarca da SES-DF na cor verde bandeira medindo 7x7cm centralizada e a sigla do hospital em todos os cantos da peça na cor preta, Forma de Apresentação: Embalagem primária em saco plástico com 10 unidades e secundaria em caixa de papelão com no máximo 100 unidades, Unidade de Estoque: Unidade, Unidade de fornecimento: Unidade, Código SES 15645</t>
  </si>
  <si>
    <t>CAMPO DUPLO ALGODÃO CRU LISO 120x120 cm, Aplicação: embalagem de bandejas e pacotes, Material: Tecido algodão cru liso, 100% algodão, Linha 100% algodão, Tamanho: 120x120cm,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15338.</t>
  </si>
  <si>
    <t>LENÇOL INFANTIL 120X170 cm, Aplicação: forrar leito infantil, Material: tecido estampado padrão infantil, fundo amarelo, 50% algodão e 50% poliéster, Linha 100% algodão, Tamanho: 120x170cm, Características: Peça simples com barra estreita, costura resta e overlock com linha 100% algodão, Tecido tela 50% algodão 50% poliéster  fio 30, 105 no urdume e 75 na trama, tingimento em idantrem encolhimento 5% no Urdume e 3% na trama, peso mínimo 126g/m²,Variação de medida do produto acabado ± 3 cm, Apresentar na peça a logomarca da SES-DF na cor verde bandeira medindo 7x7cm centralizada e a sigla do hospital em todos os cantos da peça na cor preta, Forma de Apresentação: Embalagem primária em saco plástico com 10 unidades e secundaria em caixa de papelão com no máximo 100 unidades, Unidade de Estoque: Unidade, Unidade de fornecimento: Unidade, Código SES. 13948</t>
  </si>
  <si>
    <t>CAPOTE CIRURGICO, Aplicação: para equipe cirúrgica, Material: Tecido liso, cor azul, 100% algodão, Punho em malha ribana sanfonada 100% algodão cor azul, Linha 100% algodão, Tamanho: 56,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152 cm, largura total: 102 cm, comprimento da manga: 72 cm mais o punho, comprimento do cinto: 92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 Código SES: 16208.</t>
  </si>
  <si>
    <t>LENÇOL VIROL ADULTO 160X250 cm, Aplicação: cobrir o paciente, Material: tecido liso, cor branca, 50% algodão e 50% poliéster, Linha 100% algodão, Tamanho: 160x250cm, Características: Peça simples com barras estreitas, costura reta, Tecido tela 50% algodão 50% poliéster  fio 30, 105 no urdume e 75 na trama, tingimento em idantrem encolhimento 5% no Urdume e 3% na trama, peso mínimo 126g/m², Apresentar no lençol a logomarca da SES-DF medindo 22x22cm  na cor verde bandeira centralizada e sigla do hospital em todos os cantos do lençol na cor preta, Forma de Apresentação: Embalagem primária em saco plástico com 10 unidades e secundaria em caixa de papelão com no máximo 100 unidades, Unidade de Estoque: Unidade, Unidade de fornecimento: Unidade, Código SES 13952</t>
  </si>
  <si>
    <t>LENÇOL ESPECIAL 170X250 cm, Aplicação: forrar leito de UTI, Material: tecido liso, cor branca, 50% algodão e 50% poliéster, Linha 100% algodão, Tamanho: 170x250cm, Características: Peça simples, tipo envelope nas duas extremidades com barras estreitas, costura reta e overlock com linha 100% algodão, Tecido tela 50% algodão 50% poliéster  fio 30, 105 no urdume e 75 na trama, tingimento em idantrem encolhimento 5% no Urdume e 3% na trama, peso mínimo 126g/m²,Apresentar no lençol, logomarca da SES-DF medindo 22x22cm centralizada e sigla do hospital em todos os cantos do lençol, Forma de Apresentação: Embalagem primária em saco plástico com 10 unidades e secundaria em caixa de papelão com no máximo 100 unidades, Unidade de Estoque: Unidade, Unidade de fornecimento: Unidade, Código SES: 14000</t>
  </si>
  <si>
    <t>LENCOL PARA MACA,Material: algodão cru estampado, Tamanho: 1,20 x 2,20 m, Características Do Produto:  Composição: 100 % algodão cru; Armadura: 1 x 1 ; Número De Fios: 23 cm2 na trama e no urdume; Encolhimento: 8% urdume e 4% na trama; Peso: 140g x m2; Caracaterísticas Adicionais: costura reta e overlock com linha 100% algodão e  logtipo SES em toda sua extensão.</t>
  </si>
  <si>
    <t>CAMISOLA ADULTO, Aplicação: para pacientes, Material: Tecido liso, cor verde, 50% algodão e 50% poliéster,  Linha 100% algodão,Tamanho: 56, Características: Peça única, costuras laterais, mangas japonesas curtas, decote transpassado, fechado na altura da cintura por duas tiras laterais, Comprimento total: 140 cm, largura total: 94 cm, largura da manga: 40 cm, comprimento do cinto: 90 cm. Tecido tela 50% algodão 50% poliéster  fio 30, 105 no urdume e 75 na trama, tingimento em idantrem encolhimento 5% no Urdume e 3% na trama, peso mínimo 126g/m²,Variação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13947</t>
  </si>
  <si>
    <t>CAMISOLA ADULTO, Aplicação: para pacientes, Material: Tecido liso, cor verde, 50% algodão e 50% poliéster, Linha 100% algodão, Tamanho: 48, Características: Peça única, costuras laterais, mangas japonesas curtas, decote transpassado, fechado na altura da cintura por duas tiras laterais, Comprimento total: 130 cm, largura total: 84 cm, largura da manga: 30 cm, comprimento do cinto: 90 cm, Tecido tela 50% algodão 50% poliéster  fio 30, 105 no urdume e 75 na trama, tingimento em idantrem encolhimento 5% no Urdume e 3% na trama, peso mínimo 126g/m², 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15466.</t>
  </si>
  <si>
    <t>CAMISOLA ADULTO, Aplicação: para pacientes, Material: Tecido liso, cor verde, 50% algodão e 50% poliéster, Linha 100% algodão, Tamanho: 44, Características: Peça única, costuras laterais, mangas japonesas curtas, decote transpassado, fechado na altura da cintura por duas tiras laterais, Comprimento total: 125 cm, Largura total: 80 cm, Largura da manga: 26 cm, Comprimento do cinto: 90 cm. Costura reta e overlock com linha 100% algodão, Tecido tela 50% algodão 50% poliéster  fio 30, 105 no urdume e 75 na trama, tingimento em idantrem encolhimento 5% no Urdume e 3% na trama, peso mínimo 126g/m²,Variação de medida do produto acabado ± 3 cm, Apresentar na roupa logomarca da SES-DF medindo 15x15cm frontal esquerda na altura do peito e a sigla do hospital frontal direita, Forma de Apresentação: Embalagem primária em saco plástico com no máximo 10 unidades e secundaria em caixa de papelão com no máximo 100 unidades, Unidade de Estoque: Unidade, Unidade de fornecimento: Unidade, Código SES: 15457</t>
  </si>
  <si>
    <t>CONJUNTO DE PIJAMA ADULTO, Aplicação: para pacientes, Material: Tecido liso, cor verde, 50% algodão e 50% poliéster, Linha 100% algodão, Cadarço do mesmo tecido, Tamanho: 44, Características: camisa: costuras laterais, mangas japonesas curtas, abertura na frente e fechada por três tiras, bolsos laterais na parte inferior, Comprimento total: 80 cm, largura total: 75 cm, largura da manga: 26 cm, Apresentar logomarca SES-DF medindo 7x7cm no bolso esquerdo e manga direita, sigla do hospital no bolso direito e manga esquerda,Calça: peça simples cós com 3 cm por onde passa um cadarço para fechamento frontal, Comprimento total: 115 cm, largura total: 54 cm, largura da perna: 24 cm. Costura reta e overlock em linha 100% algodão. Apresentar logomarca SES-DF medindo 15x15cm na parte anterior da perna esquerda e sigla do hospital na perna direita verticalmente, Tecido tela 50% algodão 50% poliéster  fio 30, 105 no urdume e 75 na trama, tingimento em idantrem encolhimento 5% no Urdume e 3% na trama, peso mínimo 126g/m²,Variação de medida do produto acabado ± 3 cm, Forma de Apresentação: Embalagem primária em saco plástico com no máximo 10 unidades e secundaria em caixa de papelão com no máximo 100 unidades, Unidade de Estoque: Unidade, Unidade de fornecimento: Unidade, Código SES: 15473</t>
  </si>
  <si>
    <t>CONJUNTO DE PIJAMA ADULTO, Aplicação: para pacientes, Material: Tecido liso, cor verde, 50% algodão e 50% poliéster. Linha 100% algodão. Cadarço do mesmo, tecido, Tamanho: 48, Características: Camisa: peça única com costuras laterais, mangas japonesas curtas, abertura na frente e fechada por três tiras, bolsos laterais na parte inferior, Comprimento total: 90 cm, largura total: 86 cm, largura da manga: 30 cm, Apresentar logomarca SES-DF medindo 7x7cm no bolso esquerdo e manga direita, sigla do hospital no bolso direito e manga esquerda, Calça: peça simples cós com 3 cm por onde passa um cadarço para fechamento frontal, Comprimento total: 130 cm, largura total: 62 cm, largura da perna: 26 cm, Apresentar logomarca SES-DF medindo 15x15cm na parte anterior da perna esquerda e sigla do hospital na perna direita verticalmente, Tecido tela 50% algodão 50% poliéster  fio 30, 105 no urdume e 75 na trama, tingimento em idantrem encolhimento 5% no Urdume e 3% na trama, peso mínimo 126g/m², Variação de medida do produto acabado ± 3 cm, Forma de Apresentação: Embalagem primária em saco plástico com no máximo 10 unidades e secundaria em caixa de papelão com no máximo 100 unidades, Unidade de Estoque: Unidade, Unidade de fornecimento: Unidade, Código SES: 15474</t>
  </si>
  <si>
    <t>CONJUNTO DE PIJAMA ADULTO, Aplicação: para pacientes, Material: Tecido liso, cor verde, 50% algodão e 50% poliéster, Linha 100% algodão, Cadarço do mesmo tecido, Tamanho: 56, Características: camisa: peça única com costuras laterais, mangas japonesas curtas, abertura na frente e fechada por três tiras, bolsos laterais na parte inferior, Comprimento total: 98 cm, largura total: 94 cm, Largura da manga: 38 cm, Apresentar logomarca SES-DF medindo 7x7cm no bolso esquerdo e manga direita, sigla do hospital no bolso direito e manga esquerda,  Calça: peça simples cós com 3 cm por onde passa um cadarço para fechamento frontal, Comprimento total: 138 cm, largura da cintura: 70 cm, largura da perna: 34 cm, Apresentar logomarca SES-DF medindo 15x15cm na parte anterior da perna esquerda e sigla do hospital na perna direita, Tecido tela 50% algodão 50% poliéster  fio 30, 105 no urdume e 75 na trama, tingimento em idantrem encolhimento 5% no Urdume e 3% na trama, peso mínimo 126g/m², Variação de medida do produto acabado ± 3 cm, Forma de Apresentação: Embalagem primária em saco plástico com no máximo 10 unidades e secundaria em caixa de papelão com no máximo 100 unidades, Unidade de Estoque: Unidade, Unidade de fornecimento: Unidade, Código SES: 15482.</t>
  </si>
  <si>
    <t>SOLUÇAO DE OLIGOELEMENTOS (SULFATO DE ZINCO, COBRE, MANGANES, CLORETO DE CROMO) SOLUÇAO INJETAVEL AMPOLA 2ML PARA USO ADULTO</t>
  </si>
  <si>
    <t>SOLUCAO DE OLIGOELEMENTOS ( ZINCO, COBRE, MANGANES, CROMO) PARA NUTRIÇAO PARENTERAL AMPOLA 4ML (USO PEDIATRICO)</t>
  </si>
  <si>
    <t>VARFARINA SODICA COMPRIMIDO 5 MG</t>
  </si>
  <si>
    <t>GLICOSE SOLUÇAO INJETAVEL 50 % AMPOLA 10 ML</t>
  </si>
  <si>
    <t>MANITOL SOLUCAO INJETAVEL 200 MG/ML BOLSA OU FRASCO 250 ML SISTEMA FECHADO DE INFUSAO</t>
  </si>
  <si>
    <t>ONDANSETRONA COMPRIMIDO 8 MG</t>
  </si>
  <si>
    <t>FLUMAZENIL SOLUÇAO INJETAVEL 0,5 MG/ 5ML AMPOLA 5 ML</t>
  </si>
  <si>
    <t>CANETA PILOT HI - TETCPOINT V5 EXTRA FINE P/ELETROCARDIOGRAFO MOD. ELETROPAGINA EP - 3, MARCA DIXTAL</t>
  </si>
  <si>
    <t>PAPEL TYPE ( NORMAL ) UPP - 110 S,Aplicação: uso em aparelho de ecocardiograma, marca sony ou similar, Características Adicionais: High Quality Printing Paper, Forma De Apresentação: rolo de 110 mm x 20 cm, Prazo de validade: 75% do prazo total de validade do produto, Unidade De Estoque: rolo ( RL ), Código SES: 006532, Unidade De Fornecimento: rolo de 110 mm x 20 cm</t>
  </si>
  <si>
    <t>BOLSA VAZIA EM EVA (ETIL VINIL ALL-IN-ONE) 500ML P/USO EM EQUIPAMENTO MISTURADOR AUTOMATICO P/NUTRICAO PARENTERAL</t>
  </si>
  <si>
    <t>IBUPROFENO SUSPENSAO ORAL 50MG/ML FRASCO GOTAS 30ML</t>
  </si>
  <si>
    <t>NEOSTIGMINA SOLUCAO INJETAVEL 0,5 MG/ML AMPOLA 1 ML</t>
  </si>
  <si>
    <t>LIDOCAINA (CLORIDRATO) GELEIA 2 % BISNAGA 30 G</t>
  </si>
  <si>
    <t>HIPOCLORITO DE SODIO SOL. 100 A 120 MG/ML EM CLORO GALAO 20 L/TAMPA DISPOSITIVO P/SAIDDA DE GASES (NCM 2828.90.11)</t>
  </si>
  <si>
    <t>VIGABATRINA COMPRIMIDO 500 MG</t>
  </si>
  <si>
    <t>AMIODARONA SOLUCAO INJETAVEL 50 MG/ML AMPOLA 3 ML</t>
  </si>
  <si>
    <t>FENTANILA SOLUÇAO INJETAVEL 0,05 MG/ML FRASCO-AMPOLA 10 ML</t>
  </si>
  <si>
    <t>ISOSSORBIDA (DINITRATO) COMPRIMIDO SUBLINGUAL 5 MG</t>
  </si>
  <si>
    <t>CARBONATO DE CALCIO (EQUIVALENTE A 500 OU 600 MG DE CALCIO) + COLECALCIFEROL 400 UI COMPRIMIDO</t>
  </si>
  <si>
    <t>NITRATO DE PRATA SOLUCAO OFTALMICA 1 % FRASCO 2,5 A 5,0 ML</t>
  </si>
  <si>
    <t>ERITROMICINA (ESTOLATO) COMPRIMIDO 500MG</t>
  </si>
  <si>
    <t xml:space="preserve">ERITROMICINA (ESTOLATO) SUSPENSAO ORAL 50 MG/ML FRASCO </t>
  </si>
  <si>
    <t>LÂMPADA GERMICIDA FLUORESCENTE, Ultra Violeta para Autoclave</t>
  </si>
  <si>
    <t>PACOTE TESTE DESCARTAVEL ´ BOWIE &amp; DICK ´</t>
  </si>
  <si>
    <t>MEROPENEMA PO PARA SOLUCAO INJETAVEL 1 G FRASCO-AMPOLA</t>
  </si>
  <si>
    <t>CONTRASTE IODADO NAO IONICO BAIXA OSMOLARIDADE OU ISOSMOLAR USO EM TOMOGRAFIA UROGRAFIA ANGIOGRAFIA E HEMODINAMICA</t>
  </si>
  <si>
    <t>SURFACTANTE PULMONAR (FRAÇAO FOSFOLIPIDICA DE PULMAO PORCINO) 80 MG/ML SUSPENSAO FRASCO AMPOLA 1,5 ML</t>
  </si>
  <si>
    <t>SURFACTANTE EXOGENO PULMONAR NATURAL (EXTRATO DE TENSOATIVO DE PULMAO BOVINO OU PORCINO MODIFICADO) INJETAVEL 100 OU 120 MG (CÓDIGO SERÁ SUBSTITUÍDO)</t>
  </si>
  <si>
    <t>AMINOACIDOS 10 % (100 MG/ML) SOLUCAO INJETAVEL PARA NUTRICAO PARENTERAL FRASCO OU BOLSA 1000 ML</t>
  </si>
  <si>
    <t>POLIVITAMINICOS OU MULTIVITAMINICOS SEM MINERAIS SOLUCAO INJETAVEL AMPOLA 10 ML</t>
  </si>
  <si>
    <t>DICLOFENACO POTASSICO SOLUCAO INJETAVEL 25 MG/ML AMPOLA 3 ML</t>
  </si>
  <si>
    <t>PIPERACILINA + TAZOBACTAN PO LIOFILIZADO PARA SOLUCAO INJETAVEL 4,0 G + 500 MG FRASCO AMPOLA</t>
  </si>
  <si>
    <t>TUBO DE ENSAIO 18X180MM, VIDRO BOROSSILICATO, RESISTENTE A AUTOCLAVAGEM, COM TAMPA ROSQUEAVEL</t>
  </si>
  <si>
    <t>COPO PARA ALEITAMENTO MATERNO, em polipropileno atóxico, graduação de 10 em 10 ml, com tampa e esterilizáveis em autoclave, capacidade 60 ml.
COD. 25829.</t>
  </si>
  <si>
    <t>REVELADOR PROCESSAMENTO AUTOMÁTICO, Produto: com baixo odor e compativel com dosador/diluidor automático de químicos Embalagem: para preparo de 38 litros, sendo divididos em 02 galões de 19 litros cada carga , Características Adicionais: proporcionado melhor otimização no preparo e reposição dos químicos, Unidade De Fornecimento: Caixa com duas cargas de 19 litros.</t>
  </si>
  <si>
    <t>Lâmpada para LARINGOSCÓPIO CR 129 Tensão 2,5 VCC Com rosca, com acabamento cremalhada.</t>
  </si>
  <si>
    <t>RELE ELETRONICO de proteção contra falta de fase, trifásico 380V com 1NA + 1NF</t>
  </si>
  <si>
    <t>TORNEIRA JARDIM, Material: PVC rígido, Comprimento: curta, Bitola: 1/2 pol, Características Adicionais: com pressão</t>
  </si>
  <si>
    <t>TINTA ESMALTE SINTÉTICO, Cor: Bege, Unidade De Fornecimento: galão de 3,60 litros</t>
  </si>
  <si>
    <t>RODÍZIO SILICONE; Aplicação: Finalidade de proteção de equipamento e facilitação do transporte de materiais; Material: Chapa/base/núcleo de aço e rodas poliamida; Tamanho: Fornecida em altura total do rodízio de 125mm</t>
  </si>
  <si>
    <t>PARAFUSO para MDF medindo 4mmx25cm</t>
  </si>
  <si>
    <t>PARAFUSO para MDF medindo 4mmx16cm</t>
  </si>
  <si>
    <t>PARAFUSO auto-atarrachante cabeça chata; Aplicação: Para uso em MDF; Comprimento: 50mm; Diâmetro: 4,0mm</t>
  </si>
  <si>
    <t>Parafuso auto-atarrachante cabeça chata; Aplicação: para uso em MDF; Comprimento: 3mmx27mm</t>
  </si>
  <si>
    <t>PUXADOR; Material: Metal; Tipo: Circular; Medidas: 32mm</t>
  </si>
  <si>
    <t>ALCOOL ETILICO HIDRATADO 70% (70°GL) FRASCO 1000ML</t>
  </si>
  <si>
    <t>SONDA ASPIRAÇÃO TRAQUEAL Nº 08</t>
  </si>
  <si>
    <t>TUBO PORTA-LAMINAS EM POLIPROP.C/FECH.HERMET. CAP.3 LAMINAS</t>
  </si>
  <si>
    <t>DISCO DE SERRA: Para serra circular, com vídia aço rápido, com diâmetro 300mm e 96 dentes em ‘Z’, com furo de 30mm.</t>
  </si>
  <si>
    <t>RAIO PARA RODA 20 polegadas, niple aço carbono cromado zincado, diâmetro externo 2.0mm, borda 242mm, grosa com 144 unidades para roda traseira de cadeira de rodas.</t>
  </si>
  <si>
    <t>CABO PP 3 X 2,5 mm FLEXÍVEL</t>
  </si>
  <si>
    <t>FIXADOR RADIOLÓGICO, Aplicação: para processamento automático com baixo odor e compatível com dosagem/diluidor automático de químicos, capacidade: com embalagem para preparo de 38 litros, sendo dividida em 2 galões de 19 litros cada, proporcionando melhor otimização no preparo e reposição dos químicos destinados a exames de mamografia, Características Adicionais: compatível com filme tipo MIN R2000.
COD. 202042.</t>
  </si>
  <si>
    <t>AVENTAL CIRÚRGICO ESTÉRIL, Material: Descartável, falso tecido, 100% polipropileno composto por três camadas de SMS, duas camadas externas de spundbond e uma camada interna de meltblown, impermeável, com barreiras antimibrobiana, Apresentação: com tiras internas para fechamento nas costas e tiras externas para fechamento total, com decote rente ao pescoço, com mangas compridas, punho em algodão sanfonado, Características Adicionais: embalagem contendo no mínimo 03 unidades, em papel grau cirúrgico e filme plástico que favoreça abertura em técnica asséptica, dobrado de forma a falcilitar o uso, com comprimento mínimo de 110 cm, esterelizado em raio gama, ou óxido de etileno, que não cause nenhum tipo de irritação ao usuário.</t>
  </si>
  <si>
    <t>INVÓLUCRO PARA CADÁVER, Material: polietileno resistente, Tipo Uso: adulto, Dimensões: 0,90 x 2,10 m, Embalagem: embalados individualmente, Características Adicionais: material de  individualmente, Características Adicionais: material de alta qualidade, com abertura longitudinal em toda a sua extensão e fechamento através de zíper ou fitas. Deve acompanhar etiquetas de identificação.</t>
  </si>
  <si>
    <t>ELETRODO DESCARTÁVEL NEONATAL PARA ECG, Aplicação: monitoração eletrocardiográfica neonatal, Material: dorso de tecido perfurado,   adesivo  hipoalergênico, poroso, gél sólido de cloreto de potássio, pino de encaixe em aço  inox, contra pino de prata-cloreto de prata, Tamanho: 3,5cm de diâmetro, Características adicionais: Gel sólido de cloreto de potássio, capa plástica para manter a umidade do gel, selamento que evita o vazamento do gel, pino de encaixe de aço inox, conta pino de prata-cloreto de prata e papel protetor, Forma de apresentação: embalados em saco aluminizado, vedado e selado com 03 unidades, Unidade de fornecimento: um</t>
  </si>
  <si>
    <t>MÁSCARA DE SILICONE NÚMERO ZERO PARA REANIMAÇÃO NEONATAL, características adicionais: máscara número zero para reanimação de recém-nascidos prematuros, confeccionada em silicone</t>
  </si>
  <si>
    <t>MÁSCARA DE SILICONE NÚMERO UM PARA REANIMAÇÃO NEONATAL, características adicionais: máscara número um para reanimação de recém-nascidos prematuros, confeccionada em silicone , semitransparente, com bordas que se amolda à face do bebê, com conector adaptável ao ventilador pulmonar manual, resistente à limpeza com água e sabão.</t>
  </si>
  <si>
    <t>MÁSCARA DE SILICONE NÚMERO DOIS PARA REANIMAÇÃO NEONATAL, características adicionais: máscara número dois para reanimação de recém-nascidos prematuros, confeccionada em silicone , semitransparente, com bordas que se amolda à face do bebê, com conector adaptável ao ventilador pulmonar manual, resistente à limpeza com água e sabão.</t>
  </si>
  <si>
    <t>CATETER INTRAVENOSO RADIOPACO TEFLON/VIALON 14G</t>
  </si>
  <si>
    <t>CATETER INTRAVENOSO RADIOPACO TEFLON/VIALON 16G</t>
  </si>
  <si>
    <t>CATETER INTRAVENOSO RADIOPACO TEFLON/VIALON 18G</t>
  </si>
  <si>
    <t>CATETER INTRAVENOSO RADIOPACO TEFLON/VIALON 22G</t>
  </si>
  <si>
    <t>CATETER INTRAVENOSO RADIOPACO TEFLON/VIALON 24G</t>
  </si>
  <si>
    <t>ALGODAO HIDROFILO BRANCO 20CMX100CM EM ROLO 500G</t>
  </si>
  <si>
    <t>SALBUTAMOL (SULFATO) SPRAY 100 MCG/DOSE FRASCO 200 DOSES COM INALADOR</t>
  </si>
  <si>
    <t>BICARBONATO DE SODIO SOLUCAO INJETAVEL 8,4 %        (1 MEQ/ML) FRASCO 250 ML</t>
  </si>
  <si>
    <t>TUBO DE COBRE 1/4”</t>
  </si>
  <si>
    <t>TUBO DE COBRE 3/8”</t>
  </si>
  <si>
    <t>TUBO DE COBRE 1/2”</t>
  </si>
  <si>
    <t>TUBO DE COBRE 5/16”</t>
  </si>
  <si>
    <t>MANGUEIRA PLÁSTICA, Aplicação: para jardim, Diâmetro: interno de ¾ pol, Espessura parede: de 03 mm, Unidade de fornecimento metro</t>
  </si>
  <si>
    <t>CILINDRO, aplicação: gás refrigerante R22, Capacidade: 13,6 Kg</t>
  </si>
  <si>
    <t>COPO, Material: plástico, Capacidade: 50 ml, Tipo Uso: descartável, aplicação: café, Unidade De fornecimento: pacote com 100 unidades.</t>
  </si>
  <si>
    <t>COPO, Material, plástico, Capacidade; 200 ml, Tipo Uso: descartável, Aplicação água, Unidade de Fornecimento:  pacote com 100 unidades.</t>
  </si>
  <si>
    <t>GRAMPEADOR DE PAPEL,Material: metal, Tamanho Grampo: 26/6 mm, Tipo: mesa 
20 cm x 5 cm x 8,5 cm</t>
  </si>
  <si>
    <t>LÁPIS PRETO,Material Corpo: madeira, Material Carga: grafite nº 02</t>
  </si>
  <si>
    <t>BORRACHA, Material: látex, Cor: Bicolor:azul e vermelha, Dimensões Mínimas: 45 x 17 x 8 mm, Aplicação: grafite e tinta.</t>
  </si>
  <si>
    <t>PERFURADOR DE PAPEL, Material: confeccionado em chapa de aço, Capacidade: 100 folhas (75 gramas),  Características Adicionais: manual, dois furos, pintura epóxi, punções em aço temperado</t>
  </si>
  <si>
    <t>PORTA LÁPIS/CANETA/CLIPE/LEMBRETE,Material: acrílico, Cor: fumê</t>
  </si>
  <si>
    <t>PAPEL CARBONO, Material: película de poliéster ( filme ), Comprimento: 297 mm, Largura: 210 mm, Cor: azul, Tipo Face: mono face, Unidade De Fornecimento: caixa com 100 folhas. Fornecimento: caixa com 100 folhas.</t>
  </si>
  <si>
    <t>PINCEL ATOMICO, Material Corpo: plástico, Tipo Escrita: grossa, Tamanho: 10 cm, Cor: preta, Tipo Ponta: redonda.</t>
  </si>
  <si>
    <t>PINCEL ATÔMICO,Material Corpo: plástico, Tipo Escrita: fina, Tamanho: 10 cm, Cor: vermelha, Tipo Ponta: redonda</t>
  </si>
  <si>
    <t>ENVELOPE, Material: papel apergaminhado, Apresentação: ofício, Altura: 114 mm, Largura: 229 mm, Gramatura: 90 g/m², Tipo Formulário: plano, Tipo Indicação: grotesca normal meio preta, em corpo 10 caixa alta, Tipo Impressão: preta em uma face, Cor: branca alta alvura, Unidade De Fornecimento: unidade.</t>
  </si>
  <si>
    <t>ENVELOPE PLÁSTICO,Medidas: 216 x 330 mm (ofício), (+/- 5% de variação), sem furos, Unidade De Fornecimento: pacote com 100 unidades.</t>
  </si>
  <si>
    <t>CANETA MARCA TEXTO, Material Corpo: plástico, Cor: amarela.</t>
  </si>
  <si>
    <t>BANDEJA CORRESPONDÊNCIA,Material: acrílico fumê, Comprimento: 37 cm, Largura: 25 cm, Altura: 3 cm, Tipo: com duas bandejas de entrada e saída de documentos</t>
  </si>
  <si>
    <t>CORRETOR LÍQUIDO, Material: pigmento branco em solução aquosa, Aplicação: correções gráficas, Prazo de validade:2 anos, Características  Adicionais: não tóxico, Unidade de Fornecimento: frasco com 18 ml.</t>
  </si>
  <si>
    <t>PASTA CATÁLOGO,Material: capa em courvin liso, Cor: preta, Dimensões: 260 x 330, Lombada: 2,7cm, 50 envelopes, Capacidade:  50 envelopes plásticos de 12mm, Características Adicionais: 04 parafusos metálicos.</t>
  </si>
  <si>
    <t>PASTA CATÁLOGO,Material: capa em courvin liso, Cor: preta, Dimensões: 260 x 330, Lombada: 2,7cm, 100 envelopes, Capacidade:   50 envelopes plásticos de 12mm, Características Adicionais: 04 parafusos metálicos.</t>
  </si>
  <si>
    <t>CLIPE,  Material: metal, Tratamento Superficial: niquelado, Tamanho  nº 01, Unidade de Fornecimento: caixa com 100 unidades</t>
  </si>
  <si>
    <t>CLIPE, Material: metal, Tratamento Superficial: niquelado, Tamanho: nº 6/0, Unidade de Fornecimento: caixa com 50 unidades. 1</t>
  </si>
  <si>
    <t>CARTOLINA, Material: celulose vegetal, Gramatura: 180g/m2, Comprimento: 73 cm, Largura: 55 cm, Cor: branca, Unidade De Fornecimento: pacote com 100 folhas</t>
  </si>
  <si>
    <t>PASTA DE REGISTRO CLÍNICO, PADRÃO CRON - DALFA, COM 08 DÍGITOS,Medidas: aberta 320 x 438mm mais dobra de reforço de 25mm na lateral esquerda, Papel: kraft 290g/m² fibra longa, Cor: palha clara, Características Adicionais: com 04 ( quatro ) vincos no centro, com tarja dobrada, colada e inscrição e 0 ( zero ) a 9 ( nove ) e letra M, equipada com grampos especiais de tamanho padrão ( 08cm entre os braços ) com no mínimo 04 ( quatro ) presilhas inseridas sob pressão mecânica. a impressão da tarja, logotipo e indentificação da SES - DF e demais dizeres na cor preta.</t>
  </si>
  <si>
    <t>PANTOPRAZOL PO LIOFILIZADO PARA INJETAVEL 40 MG FRASCO-AMPOLA + DILUENTE AMPOLA 10 ML</t>
  </si>
  <si>
    <t>SUXAMETONIO (CLORETO) PO PARA SOLUCAO INJETAVEL 100 MG FRASCO-AMPOLA</t>
  </si>
  <si>
    <t>CARVEDILOL COMPRIMIDO 6,25 MG</t>
  </si>
  <si>
    <t>DOMPERIDONA COMPRIMIDO 10 MG</t>
  </si>
  <si>
    <t>CLONAZEPAM COMPRIMIDO 2 MG</t>
  </si>
  <si>
    <t>CLOBAZAM COMPRIMIDO 10MG</t>
  </si>
  <si>
    <t>SILICONE para rejunte (Rhodiastic multiuso ou equivalente) bisnaga c/240 g</t>
  </si>
  <si>
    <t>CANTONEIRA de 01 polegada</t>
  </si>
  <si>
    <t>FERRO redondo trifilado ½”</t>
  </si>
  <si>
    <t>LÂMINA ARCO DE SERRA; Material: aço rápido; Dimensões: ½ x 12 pol</t>
  </si>
  <si>
    <t>SACO DE HAMPER 52x95x95cm, Aplicação: coleta de roupa suja, Material: Tecido algodão cru liso, 100% algodão, Linha 100% algodão, Tamanho: 52x95x95cm, Características: Peça simples, medindo 95 cm de altura e 95 cm de largura, com fundo arredondado de 52 x 52 cm e barra na parte superior de 3 cm por onde passa o cadarço do mesmo tecido para ajuste do saco no hamper, Tecido com armação sarja 2x1cm², gramatura mínima 190g/m², fio urdume título 20, fio de trama título 16, encolhimento máximo 3%, variação de largura ± 2%, variação de peso ± 5g, Variação de medida do produto acabado ± 3 cm,. Apresentar no saco de hamper a logomarca da SES-DF centralizada em duas faces, medindo 15x15cm e a sigla do hospital na cor preta acima da logomarca, Forma de Apresentação: Embalagem primária em saco plástico com no máximo 10 unidades e secundaria em caixa de papelão com no máximo 100 unidades, Unidade de Estoque: Unidade, Unidade de Fornecimento: Unidade, Código SES: 13203.</t>
  </si>
  <si>
    <t>ALMOTOLIA DE 100ML (INCOLOR); Aplicação (finalidade): para acondicionamento de soluções; Material: polietileno; Tamanho/capacidade: 100 ml; Características: Almotolia confeccionada em polietileno atóxico, graduada em alto-relevo, capacidade: 100 ml; incolor, bico reto com tampa. Embalado individualmente em saco plástico selado; Processo de Esterilização: não estéril; Forma de apresentação: embalagem individual; Prazo de Validade: indeterminado; Unidade de estoque: unidade Código SES: 22606.</t>
  </si>
  <si>
    <t>GRAMPEADOR CIRCULAR INTRALUMINAL 31-33MM- TECIDO ESPESSO</t>
  </si>
  <si>
    <t>IBUPROFENO COMPRIMIDO 600 MG</t>
  </si>
  <si>
    <t>ÁLCOOL ETÍLICO,Tipo: hidratado, Teor Alcoólico: 96,00 % (96,00° GL), Apresentação: líquido, Unidade De Fornecimento: frasco com 1000 mll</t>
  </si>
  <si>
    <t>CATETER PARA OXIGENOTERAPIA NASAL TIPO ÓCULOS, ESTÉRIL</t>
  </si>
  <si>
    <t>CATETER MONO LUMEN DE ACESSO VENOSO CENTRAL 14GA X 20CM</t>
  </si>
  <si>
    <t>MANTA DE POLIPROPILENO, Tamanho:  75 x 75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</si>
  <si>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MANTA DE POLIPROPILENO, Tamanho:  100 x 100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</si>
  <si>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REMIFENTANILA (CLORIDRATO) PO LIOFILIZADO PARA SOLUÇAO INJETAVEL 2 MG FRASCO AMPOLA</t>
  </si>
  <si>
    <t>FENTANILA SOLUCAO INJETAVEL 0,05 MG/ML AMPOLA 2 ML</t>
  </si>
  <si>
    <t>ALFENTANILA (CLORIDRATO) SOLUÇAO INJETAVEL 0,5 MG/ML AMPOLA 5 ML</t>
  </si>
  <si>
    <t>SOLUCAO BASICA (COM BICARBONATO DE SODIO A 8,4 %) P/HEMODIALISE GALAO DE 5L MAQ. MISTURA PROPORCIONAL</t>
  </si>
  <si>
    <t>SERINGA HIPODERMICA DESCARTAVEL 10ML C/ AGULHA 25X7 OU 25X8</t>
  </si>
  <si>
    <t>SERINGA HIPODERMICA DESCARTAVEL 20ML C/AGULHA 25X8 OU 30X8</t>
  </si>
  <si>
    <t>SONDA NASOGASTRICA LONGA Nº 18</t>
  </si>
  <si>
    <t>SONDA NASOGÁSTRICA LONGA Nº 20</t>
  </si>
  <si>
    <t>SONDA URETRAL Nº 14</t>
  </si>
  <si>
    <t>SONDA ASPIRAÇÃO TRAQUEAL Nº 10</t>
  </si>
  <si>
    <t>CONJUNTO PARA DRENAGEM MEDIASTINAL Nº 38</t>
  </si>
  <si>
    <t>ALFAEPOETINA SOLUÇAO INJETAVEL 10.000 UI/ML SERINGA PREENCHIDA OU FRASCO AMPOLA 1 ML</t>
  </si>
  <si>
    <t>HALOPERIDOL SOLUCAO INJETAVEL 5 MG/ML AMPOLA 1 ML</t>
  </si>
  <si>
    <t>AMIDO HIDROXIETILICO SOLUÇAO COLOIDE INJETAVEL 6% BOLSA OU FRASCO 500ML SISTEMA FECHADO DE INFUSAO</t>
  </si>
  <si>
    <t>CLONIDINA (CLORIDRATO) SOLUÇAO INJETAVEL 150 MCG AMPOLA DE 1 ML</t>
  </si>
  <si>
    <t>EFEDRINA (SULFATO) SOLUCAO INJETAVEL 50 MG/ML AMPOLA 1 ML</t>
  </si>
  <si>
    <t>ENOXAPARINA SODICA SOLUCAO INJETAVEL 40 MG SERINGA PREENCHIDA 0,4 ML</t>
  </si>
  <si>
    <t>ENOXAPARINA SODICA SOLUCAO INJETAVEL 60 MG SERINGA PREENCHIDA 0,6 ML</t>
  </si>
  <si>
    <t>TECIDO COURVIM, Material: courvim com malha resistente, Cor: preta, Largura: 1,38 m</t>
  </si>
  <si>
    <t>LINHA DE NYLON GRANDE N. 40 PRETA P/CAPOTARIA 1</t>
  </si>
  <si>
    <t>HIDRALAZINA SOLUCAO INJETAVEL 20 MG/ML AMPOLA 1 ML</t>
  </si>
  <si>
    <t>AGULHA DE ESCLEROSE PARA ENDOSCÓPIO COM CANAL DE BIÓPSIA DE 2,8 MM DE DIÂMETRO E DE 200 CM A 230 CM DE COMPRIMENTO</t>
  </si>
  <si>
    <t>AGULHA DE ESCLEROSE PARA ENDOSCOPIO COM CANAL DE BIOPSIA DE 2.8MM DE DIAMETRO E CATETER COMPRIMENTO 160CM A 180CM</t>
  </si>
  <si>
    <t>KIT DE GASTROSTOMIA DE BAIXO PERFIL 20FR</t>
  </si>
  <si>
    <t>SALBUTAMOL (SULFATO) SOLUCAO INJETAVEL 0,5 MG/ML AMPOLA 1 ML</t>
  </si>
  <si>
    <t>BETAMETASONA (ACETATO + FOSFATO) SOLUCAO INJETAVEL (3 MG +3 MG)/ML AMPOLA 1 ML</t>
  </si>
  <si>
    <t>BOLSA VAZIA EM EVA (ETIL VINIL ALL-IN-ONE) 1000ML P/USO EM EQUIPAMENTO MISTURADOR AUTOMATICO P/NUTRICAO.</t>
  </si>
  <si>
    <t>BOLSA VAZIA EM EVA (ETIL VINIL ALL-IN-ONE) 150ML P/USO EM EQUIPAMENTO MISTURADOR AUTOMATICO P/NUTRICAO PARENTERAL.</t>
  </si>
  <si>
    <t>EQUIPO DE TRANSFERENCIA EM 6 VIAS PARA NUTRIÇAO PARENTERAL</t>
  </si>
  <si>
    <t>UMIDIFICADOR PARA REDE CANALIZADA DE OXIGÊNIO, Aplicação: dispositivo pneumático destinado à umidificação do oxigênio, para utilização em conjunto com o fluxômetro ou em circuitos ventilatórios, características adicionais: tampa de nylon injetada cor verde, frasco plástico com boca de 60 mm e graduação de 250 a 500ml, impressos os níveis mínimo e máximo, porca de adaptação cor verde conforme normas da ABNT.</t>
  </si>
  <si>
    <t>COLETOR DE URINA ABERTO ADULTO, NÃO ESTÉRIL</t>
  </si>
  <si>
    <t>HIDROCORTISONA (SUCCINATO SODICO) PO PARA SOLUCAO INJETAVEL100 MG FRASCO-AMPOLA</t>
  </si>
  <si>
    <t>PAPEL GRAU CIRURGICO 25 CM x 100M.</t>
  </si>
  <si>
    <t>LIDOCAINA + EPINEFRINA SOLUÇÃO INJETÁVEL 2% + 0,05 % FRASCO-AMPOLA 20 ML</t>
  </si>
  <si>
    <t>BACLOFENO COMPRIMIDO 10 MG.</t>
  </si>
  <si>
    <t>MÁSCARA DESCARTÁVEL, Composição: falso tecido que não solte fiapos, sem odor, que não provoque irritação quando em seu uso Gramatura: 40g/m2, Medindo: 17 x 17 cm, Características Adicionais: com clipe nasal embutido, pontas não perfurantes, aberta com pregas regulares, alça para amarração de no mínimo 30 cm, Embalagem : em plástico transparente, Unidade de Fornecimento: Unidade. Apresentação: Pacote com 100 unidades.</t>
  </si>
  <si>
    <t>SULFAMETOXAZOL + TRIMETROPIMA SOLUCAO INJETAVEL (400 MG + 80 MG)/5 ML AMPOLA 5 ML.</t>
  </si>
  <si>
    <t>TENOXICAM PO LIOFILIZADO PARA SOLUCAO INJETAVEL 20 MG FRASCO-AMPOLA.</t>
  </si>
  <si>
    <t>PAPEL GRAU CIRURGICO 10 CM x 100M.</t>
  </si>
  <si>
    <t>GEL CONDICIONADOR A 37% PARA ESMALTE DENTÁRIO FRASCO DE I0 ML</t>
  </si>
  <si>
    <t>SACO PLÁSTICO,Material: confeccionado com matéria-prima não reciclada, atóxico, onodoro, Cor: incolor, Largura: 40 cm, Altura: 60 cm, Espessura: 0,06 micras,</t>
  </si>
  <si>
    <t>ESPONJA MULTI-USO DUPLA FACE (ESPUMA/FIBRA ABRASIVA SINTETICA/VERDE/AMARELA)</t>
  </si>
  <si>
    <t>ESCOVA / ESPONJA PARA DEGERMAÇÃO DAS MÃOS, Material Corpo: plástico flexível, Apresentação: embebida em solução de PVPI de 10% de iodo em quantidade adequada que assegure uma degermação eficiente ( mínimo 10 ml ), Embalagem: individual estéril, Tipo Cerdas: macias, Tipo Uso: descartável, Características Adicionais: não provoque irritação na pele, permita limpeza do espaço interdigital.</t>
  </si>
  <si>
    <t>MASCARA DE PROTROTEÇÃO, Características adicionais: Para uso em unidade de isolamento em tuberculose (particulatefilterespiratorandsurgicalmask) modelo N NPRF95-170, modelo de respirar sem manutenção, peça semi facial em formato concha , indicado par proteção contra a Bactéria que causa Tuberculose , modelo N 95 R, Classificação NIOSH, Eficiência de até 99% de proteção contra aerossóis, com iras ajustáveis a todos os tamanhos de cabeça, de fácil manuseio e</t>
  </si>
  <si>
    <t>CATETER DUPLO LUMEN DE ACESSO VENOSO CENTRAL 14GA/18GA X 20CM</t>
  </si>
  <si>
    <t>FLUOXETINA COMPRIMIDO OU CÁPSULA 20 MG</t>
  </si>
  <si>
    <t>PARECOXIB PÓ LIOFILIZADO 40 MG FASCO-AMPOLA</t>
  </si>
  <si>
    <t>CERA P/OSSO</t>
  </si>
  <si>
    <t>MANGUITO para aparelho de pressão adulto</t>
  </si>
  <si>
    <t>MANGUITO para aparelho de pressão infantil</t>
  </si>
  <si>
    <t>BRAÇADEIRA carrapicho adulto</t>
  </si>
  <si>
    <t>PÊRA para reposição em aparelho de pressão - Esfignomanômetro</t>
  </si>
  <si>
    <t>BRAÇADEIRA carrapicho infantil</t>
  </si>
  <si>
    <t>CARIMBO AUTOMÁTICO, Tipo: de montar, Características Adicionais: com quatro linhas de texto, composto de estojo com pinça para montagem e duas placas de texto e refil de tinta na cor azul ou preta, Dimensões: 3 cm x 7 cm.</t>
  </si>
  <si>
    <t>TOMADA DE EMBUTIR, material placa: termoplástico, 4x2 pol, 20 A, 250 V. Seção 1. Apresentação: 2P+P. Tipo universal.</t>
  </si>
  <si>
    <t>PORCA SEXTAVADA RG 1/4</t>
  </si>
  <si>
    <t xml:space="preserve">FITA VEDA ROSCA, Material: teflon, 50 m x 18 mm. </t>
  </si>
  <si>
    <t>BUCHA FIXAÇÃO, material: nylon, tamanho: S-8. Acompanhada de parafuso em aço zincado, auto-atarrachante, cabeça chata, com fenda. Dimensões: 4,80 x 50 mm</t>
  </si>
  <si>
    <t>REATOR PARTIDA RÁPIDA, quantidade lâmpadas: 2, 40W, 220 V. Aplicação: lâmpadas fluorescentes. Características adicionais: alto fator de potência, frequência: 50/60 Hz.</t>
  </si>
  <si>
    <t>ÓLEO LUBRIFICANTE ANTI-CORROSIVO, desengripante, tipo: WD-40, aerosol.</t>
  </si>
  <si>
    <t>PLUG PVC Roscável de ½ polegada.</t>
  </si>
  <si>
    <t>SIFÃO CAIXA SIFONADA, Material: PVC, Bitola: 1.1/2 pol x 40 mm</t>
  </si>
  <si>
    <t>PARAFUSO RG CAB. SEXTAVADA 1/4 x 2”</t>
  </si>
  <si>
    <t>MUPIROCINA CREME 20 MG/G CREME BISNAGA 15 G</t>
  </si>
  <si>
    <t>TUBO PARA COLETA DE SANGUE SISTEMA À VACUO SEM ANTICOAGULANTE COM GEL SEPARADOR DE SORO, DE 3 A 5ML, COM TAMPA PLÁSTICA PROTETORA</t>
  </si>
  <si>
    <t>PASTA PLÁSTICA, Transparente com elástico.</t>
  </si>
  <si>
    <t>HIDROCORTISONA (SUCCINATO SODICO) PO PARA SOLUCAO INJETAVEL 500 MG FRASCO-AMPOLA</t>
  </si>
  <si>
    <t>DAPTOMICINA PO LIOFILO INJETAVEL 500 MG FRASCO AMPOLA</t>
  </si>
  <si>
    <t>ÁCIDO TRICLOROACÉTICO P.A. 250 G</t>
  </si>
  <si>
    <t>BATERIA SELADA VRLA, Aplicação: nobreak, Tensão: 12 Vcc, Capacidade: 7 A.</t>
  </si>
  <si>
    <t>OXIBUTININA XAROPE 1 MG/ML FRASCO 120 ML.</t>
  </si>
  <si>
    <t xml:space="preserve">REAGENTE ALCALINO para lavagem de Osmose reversa de 1 Litro.
</t>
  </si>
  <si>
    <t>LINEZOLIDA SOLUCAO INJETAVEL 600 MG/300 ML BOLSA OU FRASCO</t>
  </si>
  <si>
    <t>SPRAY LUBRIFICANTE P/PONTAS COM 200ML.</t>
  </si>
  <si>
    <t>CAPTOPRIL COMPRIMIDO SULCADO 50 MG</t>
  </si>
  <si>
    <t>POTE DE VIDRO DE PASTEURIZAÇÃO(TIPO MAIONESE) COM TAMPA DE PLÁSTICO AUTOCLAVÁVEL 500ML</t>
  </si>
  <si>
    <t>POTE DE VIDRO DE PASTEURIZAÇÃO(TIPO MAIONESE) COM TAMPA DE PLÁSTICO AUTOCLAVÁVEL 250ML;</t>
  </si>
  <si>
    <t>ARGAMASSA, material: argamassa cimento e cola (uso externo) AC-II, Aplicação: assentamento de cerâmica e pedra. Saco de 20 Kg.</t>
  </si>
  <si>
    <t>TAMPA DE FERRO FUNDIDO PARA ESGOTO T-33.</t>
  </si>
  <si>
    <t>ROLAMENTO 6308-Z PRIMEIRA LINHA.</t>
  </si>
  <si>
    <t>COLA SUPER ADESIVA, Tipo: Araldite, Cor: Incolor, Características adicionais: Secagem rápida, com dois componentes para mistura.</t>
  </si>
  <si>
    <t>COLA FÓRMICA, Aplicação: Para laminado de madeira, Unidade de fornecimento: Galão com 2.800 ml.</t>
  </si>
  <si>
    <t>SONDA PARA NUTRIÇÃO ENTERAL NEONATAL Nº 06</t>
  </si>
  <si>
    <t>N-ACETILCISTEINA SOLUCAO INJETAVEL 100 MG/ML AMPOLA 3 ML.</t>
  </si>
  <si>
    <t>ABSORVENTE HIGIÊNICO HOSPITALAR, Material: algodão macio, com filme plástico forrado de não tecido, Tamanho : mínimo 30 x 10 cm, Características Adicionais: contendo pétalas macias Características Adicionais: contendo pétalas macias e ventiladas.</t>
  </si>
  <si>
    <t>PORTA CRACHÁ, Material: plástico transparente, Dimensões: 8 x 12 cm, Características Adicionais: presilha tipo jacaré</t>
  </si>
  <si>
    <t>CATÉTER ELETRODO DE MARCA PASSO TEMPORÁRIO BIPOLAR. CALIBRE: 5Fr. ELETRODOS DE AÇO INOXIDÁVEL. COMPRIMENTO 110cm. DISTÂNCIA ENTRE OS ELETRÔDOS 10mm. ESTÉRIL. ESTERILIZADO EM ÓXIDO DE ETILENO. ESTERILIDADE MÍNIMA 75% DO PRAZO DE VALIDADE DO FABRICANTE.</t>
  </si>
  <si>
    <t>FILME RADIOLÓGICO, Tamanho: 35 x 43 cm, Aplicação: exames radiológicos, Características Adicionais:  ortocromático, sensível a écrans intensificadores de luz verde e que permita manuseio com luz de segurança e processamento automático, Ciclo Rápido: ( 48 segundos ), Padrão: estendido, Apresentação: caixa com 100 películas.</t>
  </si>
  <si>
    <t>CURATIVO DE ALGINATO E CARBOXIMETILCELULOSE EM RECIPIENTE AQUOSO TB OU BS DE 10 A 85 G (RECO EM G)</t>
  </si>
  <si>
    <t>CURATIVO HIDROCOLÓIDE 15 CM x 15 CM, ESTÉRIL
CURATIVO HIDROCOLÓIDE, Tamanho/Capacidade: 15 x 15 cm, Características Adicionais: camada interna composta por hidrocolóide, que proporcione ambiente úmido facilitando a cicatrização, com camada externa composta por poliuretano, impermeável a líquidos e microrganismos, Processo De Esterilização: estéril, Forma De Apresentação: placas embaladas individualmente, Prazo de validade: 75% do prazo total de validade do produto, Unidade De Estoque: unidade (UN), Código SES: 091131, Unidade De Fornecimento: unidade, Aplicação: manutenção do meio úmido / Estimulação da angiogênese / Não aderência à ferida / Desbridamento autolítico e manutenção de temperatura, Material: composto de hidrocolóides e camada externa de poliuretano.</t>
  </si>
  <si>
    <t>HALTER EMBORRACHADO 3 KG, Aplicação: Reabilitação, Tamanho: 13cm de altura x 27cm de largura x 29cm profundidade, Características: Halter revestido em PVC, Forma de apresentação: Ferro fundido com revestimento emborrachado, Unidade de estoque</t>
  </si>
  <si>
    <t>HALTER EMBORRACHADO 4 KG, Aplicação: Reabilitação, Tamanho: 14cm de altura x 28cm de largura x 34cm profundidade, Características: Halter revestido em PVC, Forma de apresentação: Ferro fundido com revestimento emborrachado, Unidade de estoque</t>
  </si>
  <si>
    <t xml:space="preserve">HALTER EMBORRACHADO 1 KG, Aplicação: rabilitação, Material: halter revestido em PVC, Características: 1 halter emborrachado 1 kg, altura 22,00 centímetros, largura 25,00 centímetros, profundidade 28,00 centímetros, peso 1000,00 gramas </t>
  </si>
  <si>
    <t xml:space="preserve">HALTER EMBORRACHADA 2KG, Aplicação: reabilitação, Material: halter revestido em PVC, Características: 1 halter emborrachado 2 kg, altura 18,00 centímetros, largura 27,00 centímetros, profundidade 27,00 centímetros e peso 2,00 quilos, Foma de Apresentação: ferro fundido com revestimento emborrachado </t>
  </si>
  <si>
    <t>EXERCITADOR ELÁTICO THERA BAND, Cor: preta, Aplicação: fortalecimento de membros superiores e inferiores,  Material: faixa de borracha de resistência forte, Tamanho: 01 m, de comprimento, 0,10 m de largura.</t>
  </si>
  <si>
    <t>EXERCITADOR ELÁSTICO THERA BAND, Cor: amarela, Aplicação: fortalecimento de membros superiores e inferiores,  Material: faixa de borracha de resistência leve, Tamanho: 01m de comprimento, 0,10 de largura.</t>
  </si>
  <si>
    <t>EXERCITADOR ELÁSTICO THERA BAND, Cor: azul, Aplicação: fortalecimento de membros superiores e inferiores,  Material: faixa de borracha de resistência média-forte, Tamanho: 01m de comprimento, 0,10m de largura</t>
  </si>
  <si>
    <t xml:space="preserve">JOGO DE CANELEIRAS AJUSTAVEIS COM SISTEMA DE VELCRO,REVESTIDA DE MATERIAL SINTETICO IMPERMEAVEL  PREENCHIDO POR AREIA OU MATERIAL SIMILAR COM VARIACAO DE PESOS ENTRE 0,5KG; 1,0KG; 2,0KG; 3,0KG E 4,0KG CADA PAR   </t>
  </si>
  <si>
    <t>EXERCITADOR RESPIRATÓRIO, Tipo: Respiron, Material: fabricado em material totalmente inerte (poliestireno, polipropileno, polietileno), sem cola, Aplicação: utilizado em fisioterapia na reabilitação de pacientes com comprometimento respiratório, para ganho de amplitude pulmonar, prevenção e tratamento de atelectasias, Características Adicionais: expansão alveolar, graduação das câmaras 600/900/1200 CC/segundo, Peso: 150g (variação de +/- 5%), Código SES: 201223, Unidade De Fornecimento: unidade.</t>
  </si>
  <si>
    <t>EXERCITADOR DE MÃO E DEDOS, Características Técnicas Mínimas: tela emborrachada com resistência forte (cor verde), tamanho grande</t>
  </si>
  <si>
    <t>EXERCITADOR DE MÃO E DEDOS, Características Técnicas Mínimas: tela emborrachada com resistência média (cor vermelha), tamanho pequeno.</t>
  </si>
  <si>
    <t xml:space="preserve">TINTA esmalte sintético, acetinado; lata com 3,600 ML </t>
  </si>
  <si>
    <t>TINTA a base de látex; Composição: base látex PVA; Cor: branco neve; aplicação: alvenaria, interiores e exteriores; Características adicionais: fosca, rendimento mínimo 90 m2/lata 2 demão; Unidade de fornecimento: lata de 18 litros.</t>
  </si>
  <si>
    <t>TINTA esmalte sintético; cor: cinza médio; Características adicionais: secagem rápida; Unidade de fornecimento: galão de 3,6 litros.</t>
  </si>
  <si>
    <t>TINTA esmalte sintética automotiva; Cor: branca real; Características adicionais: secagem rápida; Unidade de fornecimento: lata com 0,90 litros</t>
  </si>
  <si>
    <t xml:space="preserve">TINTA acrílica p/piso; Cor: concreto – 18 litros. </t>
  </si>
  <si>
    <t>AMBROXOL XAROPE 3 MG/ML FRASCO 100 A 120 ML COM DOSEADOR</t>
  </si>
  <si>
    <t>SAIS PARA REIDRATACAO ORAL FORMULA PRECONIZADA PELA OMS/UNICEF PO P/PREPARO DE 1 LITRO DE SOLUCAO ENVELOPE</t>
  </si>
  <si>
    <t>CICLOBENZAPRINA (CLORIDRATO) COMPRIMIDO REVESTIDO 10 MG</t>
  </si>
  <si>
    <t>SUFENTANILA (CITRATO) SOLUCAO INJETAVEL 5 MCG/ML AMPOLA 2 ML</t>
  </si>
  <si>
    <t xml:space="preserve">PLUG PARA TOMADA, Material: PVC, Tensão: 250 V, Amperagem: 10 A, Quantidade Pino: 3, Tipo: macho, Características Adicionais: para extensão.  (Verificar 2.4 - Observações) </t>
  </si>
  <si>
    <t xml:space="preserve">CONECTORES RJ-45; aplicação: para cabo de rede RJ45xRJ45; Tipo: cabo UTP REDE ETHERNET, 10/100; Base: T </t>
  </si>
  <si>
    <t>TOMADA RJ-45 para caixa de passagem</t>
  </si>
  <si>
    <t>CONECTOR; Tipo: RJ-11; Características adicionais: para cabo de 04 vias</t>
  </si>
  <si>
    <t xml:space="preserve">ABRAÇADEIRA de nylon T-20 </t>
  </si>
  <si>
    <t xml:space="preserve">ABRAÇADEIRA tipo copo de ½” </t>
  </si>
  <si>
    <t>BRAÇADEIRA; Material: metal; tipo: copinho; Diâmetro: ¾ polegadas com bucha S-6.</t>
  </si>
  <si>
    <t>CANALETA p/passagem de fio, mod.X, em PVC rígido de 20x10mm, barra com 2,2 metros</t>
  </si>
  <si>
    <t>FERRO CHATO; Largura: 3/16x1 polegada; Material: ferro chato; unidade de fornecimento; barra de 3 metros.</t>
  </si>
  <si>
    <t>FITA DE BORDA 3,3mm na cor branca (rolo com 50 metros).</t>
  </si>
  <si>
    <t>CAIBRO madeira; Material: Castanheira; Dimensões: 0,05x0,05x4m.</t>
  </si>
  <si>
    <t>SAPATA 20Z, 1/4x1, vincada com bucha; Material utilizado no acabamento de mesas e armários.</t>
  </si>
  <si>
    <t>COMPENSADO; Material: virola rosa; Comprimento: 2,20m; Largura: 1,6m; Espessura: 0,015m; Características adicionais: 1ª qualidade.</t>
  </si>
  <si>
    <t>COMPENSADO; Material: Sumauma; Comprimento: 2,20m; largura: 1,60m; espessura: 0,015m; Características adicionais: 1ª qualidade.</t>
  </si>
  <si>
    <t>BUCHA Fixação; material: Nylon; Tamanho: S-8</t>
  </si>
  <si>
    <t>BROCA; Material corpo: Aço rápido; Diâmetro: 1/8 polegadas.</t>
  </si>
  <si>
    <t>BROCA de aço rápido 5/32 polegadas</t>
  </si>
  <si>
    <t>BROCA de aço rápido 1/4 polegadas.</t>
  </si>
  <si>
    <t>BROCA de aço rápido 2mm.</t>
  </si>
  <si>
    <t>BROCA de aço rápido 3mm</t>
  </si>
  <si>
    <t>BROCA de aço rápido 4mm.</t>
  </si>
  <si>
    <t>BROCA de aço rápido 7/32 polegadas</t>
  </si>
  <si>
    <t>BROCA de aço rápido 1/16 polegadas</t>
  </si>
  <si>
    <t>BROCA; Material corpo: Aço rápido; Diâmetro: 3/16 polegadas</t>
  </si>
  <si>
    <t>BROCA de aço rápido 1mm</t>
  </si>
  <si>
    <t xml:space="preserve">RECARGA PARA GRAMPEADOR LINEAR CORTANTE 75 MM AJUSTÁVEL </t>
  </si>
  <si>
    <t>ANLODIPINO (BESILATO) COMPRIMIDO 10 MG</t>
  </si>
  <si>
    <t>AZITROMICINA COMPRIMIDO 500 MG</t>
  </si>
  <si>
    <t>AVENTAL DE PROTEÇÃO, Material: napa impermeavel, Tamanho:G, Caracteristicas Adicionais: leve, forrado, cem centimetros de comprimento, observando o item 6.9.3 da NR-6 da Portaria nº 3.214/78 do Ministério do Trabalho e emprego.</t>
  </si>
  <si>
    <t>AVENTAL DE PROTEÇÃO, Material: napa impermeavel, Tamanho:P, Caracteristicas Adicionais: leve, forrado, cem centimetros de comprimento, observando o item 6.9.3 da NR-6 da Portaria nº 3.214/78 do Ministério do Trabalho e emprego</t>
  </si>
  <si>
    <t>AVENTAL DE PROTEÇÃO, Material: napa impermeavel, Tamanho:M, Caracteristicas Adicionais: leve, forrado, cem centimetros de comprimento, observando o item 6.9.3 da NR-6 da Portaria nº 3.214/78 do Ministério do Trabalho e emprego</t>
  </si>
  <si>
    <t>AVENTAL DE PROTEÇÃO, Material: napa impermeavel, Tamanho:GG, Caracteristicas Adicionais: leve, forrado, cem centimetros de comprimento, observando o item 6.9.3 da NR-6 da Portaria nº 3.214/78 do Ministério do Trabalho e emprego</t>
  </si>
  <si>
    <t>CANETA ESFEROGRÁFICA,Material Corpo: Caneta esferográfica , tampa ventilada, corpo sextavado, ponta em esfera de Tungstênio, Tipo Escrita: ESCRITA MÉDIA, Cor: na cor AZUL, Características Adicionais: Marca BIC, a marca indicada serve apenas como referência para cotação devendo o produto cotado ter desempenho igual ou superior</t>
  </si>
  <si>
    <t>CANETA ESFEROGRÁFICA, Material Corpo: Caneta esferográfica , tampa ventilada, corpo sextavado, ponta em esfera de Tungstênio, Tipo Escrita: ESCRITA MÉDIA, Cor: na cor PRETA, Características Adicionais: Marca BIC, a marca indicada serve apenas como referência para cotação devendo o produto cotado ter desempenho igual ou superior</t>
  </si>
  <si>
    <t>CANETA ESFEROGRÁFICA, Material Corpo: Caneta esferográfica , tampa ventilada, corpo sextavado, ponta em esfera de Tungstênio, Tipo Escrita: ESCRITA MÉDIA, Cor: na cor VERMELHA, Características Adicionais: Marca BIC, a marca indicada serve apenas como referência para cotação devendo o produto cotado ter desempenho igual ou superior</t>
  </si>
  <si>
    <t>PILHA,Tipo Carga: alcalina, Tamanho: pequeno AAA, Aplicação: uso geral, Unidade De Fornecimento: unidade, Apresentação: cartela com 02 unidades</t>
  </si>
  <si>
    <t>LIVRO  PROTOCOLO, Material Capa: papel cartão ( capa dura ), Altura: 23 cm, Largura: 16 cm, Características Adicionais:  folhas numeradas, Unidade De Fornecimento: livro com 100 fo Unidade De Fornecimento: livro com 100 folhas</t>
  </si>
  <si>
    <t xml:space="preserve">PRANCHETA ESCOLAR,  Material: acrílico, Largura: 230 mm, Comprimento: 330 mm. 1 </t>
  </si>
  <si>
    <t>PILHA,Tipo Carga: alcalina, Tamanho: pequeno AA2, Aplicação: uso geral, Unidade De Fornecimento: unidade</t>
  </si>
  <si>
    <t>CAPOTE CIRURGICO, Aplicação: para equipe cirúrgica, Material: Tecido liso, cor azul, 100% algodão, Punho em malha ribana sanfonada 100% algodão cor azul. Linha 100% algodão, Tamanho: 44,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140 cm, largura total: 90 cm, comprimento da manga: 70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t>
  </si>
  <si>
    <t>CAPOTE CIRURGICO, Aplicação: para equipe cirúrgica, Material: Tecido liso,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e a sigla do hospital nas mangas próximo do ombro, Forma de Apresentação: Embalagem primária em saco plástico com no máximo 10 unidades e secundaria em caixa de papelão com no máximo 100 unidades, Unidade de Estoque: Unidade, Unidade de fornecimento: Unidade</t>
  </si>
  <si>
    <t>CAPOTE PARA ÁREA RESTRITA, Aplicação: para servidor de área restrita, Material: Tecido liso, cor branco, 100% algodão, Linha 100% algodão, Tamanho: 44, Características: Peça única, costuras laterais, mangas raglãs compridas com punho em malha ribana sanfonada 100% algodão cor branca, decote rente ao pescoço com tiras para amarrar, abertura nas costas com transpasse, cinto preso as laterais, Comprimento total: 140 cm, largura total: 90cm, comprimento da manga: 70cm mais o punho, 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t>
  </si>
  <si>
    <t>CAPOTE PARA ÁREA RESTRITA, Aplicação: para servidor de área restrita, Material: Tecido liso, cor branco, 100% algodão, Linha 100% algodão, Tamanho: 48, Características: Peça única, costuras laterais, mangas raglãs compridas com punho em malha ribana sanfonada 100% algodão cor branca,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t>
  </si>
  <si>
    <t>LENÇOL PARA MACA 120X220 cm, Aplicação: Proteção de colchão de maca e mesa de exame, Material: tecido liso, cor branca, 50% algodão e 50% poliéster. Linha 100% algodão, Tamanho: 120x220cm, Características: Peça simples com barras estreitas, costura reta e overlock com linha 100% algodão, Tecido tela 50% algodão 50% poliésterfio 30, 105 no urdume e 75 na trama, tingimento em idantrem encolhimento 5% no Urdume e 3% na trama, peso mínimo 126g/m², Apresentar no lençol a logomarca da SES-DF medindo 22x22cm centralizada e sigla do hospital em todos os cantos do lençol, Forma de Apresentação: Embalagem primária em saco plástico com 10 unidades e secundaria em caixa de papelão com no máximo 100 unidades, Unidade de Estoque: Unidade, Unidade de fornecimento: Unidade</t>
  </si>
  <si>
    <t>FRONHA ADULTO, Aplicação: forrar travesseiro de paciente, Material: tecido liso, cor branca, 50% algodão e 50% poliéster, Linha 100% algodão, Tamanho: 50x70cm, Características: Peça simples com costuras laterais, fechamento tipo envelope, Tecido tela 50% algodão 50% poliéster  fio 30, 105 no urdume e 75 na trama, tingimento em idantrem encolhimento 5% no Urdume e 3% na trama, peso mínimo 126g/m², Apresentar na fronha a logomarca da SES-DF medindo 15x15cm centralizada e sigla do hospital em todos os cantos, Forma de Apresentação: Embalagem primária em saco plástico com 10 unidades e secundaria em caixa de papelão com no máximo 100 unidades, Unidade de Estoque: Unidade, Unidade de fornecimento: Unidade</t>
  </si>
  <si>
    <t>COBERTOR ADULTO 150X220CM, Aplicação: paciente adulto, Material 100% poliéster, Cor azul petróleo, Tamanho: 150x220cm, Características: cobertor microfibra, acabamento nos quatro cantos, antialérgicos, antipiling, resistente à lavagem industrial, Apresentar no cobertor a logomarca da SES-DF na cor verde bandeira medindo 22x22cm centralizada e a sigla do hospital em todos os cantos do cobertor na cor preta, Forma de Apresentação: Embalagem individual em saco plástico e embalagem secundária em caixa de papelão, Unidade de Estoque: Unidade, Unidade de fornecimento: Unidade</t>
  </si>
  <si>
    <t>FRONHA MAYO, Aplicação: procedimento cirúrgico, Material: Tecido liso, cor azul e 100% algodão, Linha 100% algodão, Tamanho: 70x80cm, Características: Peça simples, retangular em forma de saco com costuras laterais medindo 70x80cm, Tecido com armação sarja 2x1cm², gramatura mínima 190g/m², fio urdume título 20, fio de trama título 16, encolhimento máximo 3%, variação de largura ± 2%, variação de peso ± 5g, Variação de medida do produto acabado ± 3 cm, Apresentar na fronha a logomarca da SES-DF medindo 15x15cm centralizada e a sigla do hospital em todos os cantos da fronha, nas duas faces, Forma de Apresentação: Embalagem primária em saco plástico com no máximo 10 unidades e secundaria em caixa de papelão com no máximo 100 unidades, Unidade de Estoque: Unidade, Unidade de fornecimento: Unidade</t>
  </si>
  <si>
    <t>CAMPO DUPLO ALGODÃO CRU LISO 50X50 cm, Aplicação: embalagem de bandejas e pacotes, Material: Tecido algodão cru liso, 100% algodão, Linha 100% algodão, Tamanho: 50x50 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t>
  </si>
  <si>
    <t>CAMPO SIMPLES 50X50 cm, Aplicação: procedimentos, Material: Tecido liso, cor azul e 100% algodão, Linha 100% algodão, Tamanho: 50x50 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7x7cm centralizada e a sigla do hospital em todos os cantos do campo, Forma de Apresentação: Embalagem primária em saco plástico com no máximo 10 unidades e secundaria em caixa de papelão com no máximo 100 unidades, Unidade de Estoque: Unidade, Unidade de fornecimento: Unidade</t>
  </si>
  <si>
    <t>CAMPO SIMPLES 170x220cm, Aplicação: procedimento cirúrgico, Material: Tecido liso, cor azul e 100% algodão, Linha 100% algodão, Tamanho: 170x220cm,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05 unidades e secundaria em caixa de papelão com no máximo 50 unidades, Unidade de Estoque: Unidade, Unidade de fornecimento: Unidade</t>
  </si>
  <si>
    <t>CAMPO SIMPLES 70X70 cm, Aplicação: procedimento cirúrgico, Material: Tecido liso, cor azul e 100% algodão, Linha 100% algodão, Tamanho: 70x70cm,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15x15cm centralizada e a sigla do hospital em todos os cantos do campo, Forma de Apresentação: Embalagem primária em saco plástico com no máximo 10 unidades e secundaria em caixa de papelão com no máximo 100 unidades, Unidade de Estoque: Unidade, Unidade de fornecimento: Unidade</t>
  </si>
  <si>
    <t>MOLA, Material: corpo de metal, Aplicação: para porta, Tipo: hidráulica, Características Adicionais: aérea, automática, com pintura eletrostática, velocidade de fechamento da porta ajustável</t>
  </si>
  <si>
    <t>CADEADO, material corpo: latão maciço, material haste: aço inoxidável, altura haste: 20 mm, com 2 chaves simples</t>
  </si>
  <si>
    <t>TINTA ACRÍLICA para piso; cor: Branco; aplicação: Em piso; capacidade: Lata com 18 litros</t>
  </si>
  <si>
    <t xml:space="preserve">TARJETA Zincada de 40mm </t>
  </si>
  <si>
    <t xml:space="preserve">TAMPA VASO SANITÁRIO, Material: plástico resistente, Modelo: tradicional, Cor: branca </t>
  </si>
  <si>
    <t xml:space="preserve">LÂMPADA INFRAVERMELHA C-220/230v – 250w (Philips-B-7) ou similar </t>
  </si>
  <si>
    <t>FLUTICASONA (DIPROPIONATO) SOL SPRAY ORAL 50MCG/DOSE FRASCO MÍNIMO 60 DOSES</t>
  </si>
  <si>
    <t xml:space="preserve">AMOXICILINA + CLAVULANATO DE POTÁSSIO COMPRIMIDO REVESTIDO 500MG +125MG </t>
  </si>
  <si>
    <t>PAPEL GRAU CIRÚRGICO 15CM x 100M. COD25759</t>
  </si>
  <si>
    <t xml:space="preserve">AMOXICILINA PO PARA SUSPENSAO ORAL 250 MG/5ML FRASCO 150 ML COM DOSEADOR </t>
  </si>
  <si>
    <t>ESPECULO VAGINAL DESCART.C/VALVULAS LARG.32MM,COMP.ACIMA  DE105MM C/PARAFUSO QUE ABRE AS VALVULAS,ESTERIL OU NAO ESTERIL</t>
  </si>
  <si>
    <t>PILHA,Tipo Carga: alcalina, Tamanho: médio, Aplicação: uso geral, Unidade De Fornecimento: unidade, Tensão: 1,5 V</t>
  </si>
  <si>
    <t>BATERIA PARA GLICOSÍMETRO:Lithium Cell CR 2032.</t>
  </si>
  <si>
    <t xml:space="preserve">FIO DE SUTURA SEDA PRETA 3-0 C/AG.TRIANG.3/8 CIRC.DE 2,5CM </t>
  </si>
  <si>
    <t xml:space="preserve">FIO DE SUTURA DE SEDA TRANCADA 2-0, 45CM, COM 01 AGULHA DE 3,0CM PONTA E CORPO CILINDRICOS 1/2 CIRCULO </t>
  </si>
  <si>
    <t xml:space="preserve">ESTREPTOQUINASE PO ESTERIL LIOFILIZADO 750.000 UI FRASCO AMPOLA </t>
  </si>
  <si>
    <t>BACIA EM AÇO INOXIDÁVEL, Aplicação: recipientes de liquidos em geral, capacidade  de 3100 ml, medindo aproximadamente 32 cm de diâmetro, borda de 07 cm de altura;Material: Aço inoxidável AISI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esterilização:Não estéril, Forma de apresentação:  Unidade, Prazo de validade:   IndeterminadoV.</t>
  </si>
  <si>
    <t>BANDEJA DE AÇO INOXIDÁVEL: Aplicação: bandeja para armazenar instrumentais; Material: aço inoxidável; Tamanho: dimensões 30 x 20 x 1,5 cm, sem tampa; Características: deve possuir resistência a diversos processos de desinfecção e esterilização, isenta de rebarba. O peso deverá ser o menor possível e o polimento isento de buracos ou defeitos superficiais que possam provocar manchas ou corrosão.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</si>
  <si>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BALDE INOX, características adicionais: material aço  inoxidável, capacidade para 05 litros, com alça e borda</t>
  </si>
  <si>
    <t>HIPROMELOSE SOLUÇAO OFTALMICA 3 MG/ML FRASCO 10 ML.</t>
  </si>
  <si>
    <t>CLONAZEPAM SOLUÇÃO ORAL 2,5 MG/ML FRASCO 20 ML</t>
  </si>
  <si>
    <t>VALPROATO DE SODIO COMPRIMIDO (EQUIVALENTE 500 MG ACIDO VALPROICO)</t>
  </si>
  <si>
    <t xml:space="preserve">CARVEDILOL COMPRIMIDO 3,125 MG. </t>
  </si>
  <si>
    <t xml:space="preserve">METOCLOPRAMIDA COMPRIMIDO 10 MG. </t>
  </si>
  <si>
    <t xml:space="preserve">CLARITROMICINA COMPRIMIDO 250 MG. </t>
  </si>
  <si>
    <t>PASTA PLÁSTICA, Material Capa: plástico, Tipo Capa: dura, Comprimento: 34 cm, Largura: 25 cm, altura 04 cm, Características adicionais: com aba e elástico.</t>
  </si>
  <si>
    <t>BANDEJA EXPEDIENTE, Material: acrílico, Cor: fumê, Comprimento: 37 cm, Largura: 25 cm, Altura: 3 cm,  1.</t>
  </si>
  <si>
    <t>BLOCO RECADO, Material: celulose vegetal, Tipo: post lit, Dimensões: 38 x 50 mm, Características Adicionais: auto-adesivo na parte superior, Unidade De Fornecimento: bloco com 100 folhas.</t>
  </si>
  <si>
    <t>BLOCO RECADO, Material: celulose vegetal, Tipo: post lit, Dimensões: 76 x 102 mm, Características Adicionais: auto-adesivo na parte superior, Unidade De Fornecimento: bloco com 100 folhas.</t>
  </si>
  <si>
    <t xml:space="preserve">GRAMPEADOR PARA PAPEL, Material: estrutura metálica, Tamanho Grampo: 106/4/6/8, tipo: mesa, capacidade: até 100 folhas. </t>
  </si>
  <si>
    <t>SENSOR NEONATAL, aplicação: oximetro de pulso, características adicionais: marca Dixtal modelo DX2515</t>
  </si>
  <si>
    <t>SENSOR SPO2 DEDO, Aplicação: monitores DX2010LCD/DX2020/DX2515/DX2405</t>
  </si>
  <si>
    <t xml:space="preserve">ALGODAO HIDROFILO DENTARIO EM ROLETES DE 04 CM PACOTE C/100 UNIDADES </t>
  </si>
  <si>
    <t>AGULHA HIPODERMICA DESCART. 25X8,0 C/BISEL S/MANDRIL</t>
  </si>
  <si>
    <t>AGULHA HIPODERMICA DESCART. 30X8,0 C/BISEL S/MANDRIL.</t>
  </si>
  <si>
    <t>APONTADOR LAPIS,Material: plástico,Aplicação: escolar, Características Adicionais:manual .</t>
  </si>
  <si>
    <t>RÉGUA,Material: plástico transparente, Espessura: 3 mm, Graduação: em milímetros, Comprimento: 30 cm</t>
  </si>
  <si>
    <t>GIZ DE CERA, Aplicação: uso escolar, Apresentação: formato redondo, Unidade De Fornecimento: estojo com 12 cores Características Adicionais: não borra e não mancha as mãos, não esfarela, produto não tóxico.</t>
  </si>
  <si>
    <t>LÁPIS DE COR, Material Corpo: madeira, Tamanho: grande, Cor: 12 cores, Un. Fornecimento: caixa com 12UN.</t>
  </si>
  <si>
    <t>CANETAS HIDROCOR(ESTOJO C/24 CORES)FABER CASTELL 1.</t>
  </si>
  <si>
    <t>APAGADOR QUADRO, Material Corpo: madeira, Material Base: feltro, Aplicação: quadro magnético.</t>
  </si>
  <si>
    <t>PINCEL, Tipo: para quadro magnético, Tamanho: 10 cm, Cor: vermelho</t>
  </si>
  <si>
    <t>PINCEL, Tipo: para quadro magnético, Tamanho: 10 cm, Cor: preta.</t>
  </si>
  <si>
    <t>PINCEL, Tipo: para quadro magnético, Tamanho: 10 cm, Cor: azul.</t>
  </si>
  <si>
    <t>PINCEL, Tipo: para quadro magnético, Tamanho: 10 cm, Cor: verde</t>
  </si>
  <si>
    <t>NITROGLICERINA SOLUCAO INJETAVEL 5 MG/ML AMPOLA 5 ML</t>
  </si>
  <si>
    <t>SERINGA HIPODERMICA DE INSULINA DESCARTAVEL 0,5ML (50U) COMAGULHA FIXA 12,7 X 0,33MM.</t>
  </si>
  <si>
    <t>DIALIZADOR DE ALTO FLUXO PARA HEMODIALISE E HEMODIAFILTRAÇAO COM AREA DE SUPERFICIE DE 1,7 A 2,1M²</t>
  </si>
  <si>
    <t>LÂMPADA HALÓGENA; tensão: 220v; potência: 100w (OBSERVAÇÃO: Lâmpada tipo PAR 38 luz branca).</t>
  </si>
  <si>
    <t>VIDRO LISO; transmitância: transparente; cor: incolor; espessura: 5mm. (OBSERVAÇÃO: A medida deve ser 1,0mx0,85m e a espessura deve ser 6mm).
COD. 202125.</t>
  </si>
  <si>
    <t>BOCAL para lâmpada incandescente com rabicho.</t>
  </si>
  <si>
    <t>LÂMPADA INCANDESCENTE, tensão: 220 V, Potência: 100 W, tipo bulbo: pera, acabamento bulbo: claro, tipo base: E-27.</t>
  </si>
  <si>
    <t>TÊ ROSCÁVEL PARA ÁGUA DE ¾ POLEGADAS, aplicação: hidráulica, material: PVC.</t>
  </si>
  <si>
    <t>CONJUNTO PARA DRENAGEM MEDIASTINAL Nº 30.</t>
  </si>
  <si>
    <t>CONJUNTO PARA DRENAGEM MEDIASTINAL Nº 32.</t>
  </si>
  <si>
    <t>CURATIVO ADESIVO DE HIDROPOLIMERO 11X11CM.</t>
  </si>
  <si>
    <t>VÁLVULA DE IMPACTO, completa para VÁCUO; características adicionais: sem etiqueta de identificação e sem plaqueta de fixação. Aplicação/finalidade: leito de UTI e enfermarias.</t>
  </si>
  <si>
    <t>VÁLVULA DE IMPACTO, completa para uso em AR COMPRIMIDO; características adicionais: sem etiqueta de identificação e sem plaqueta de fixação. Aplicação/finalidade: leito de UTI e enfermarias.</t>
  </si>
  <si>
    <t>VÁLVULA DE IMPACTO, completa para uso em OXIGÊNIO; características adicionais: sem etiqueta de identificação e sem plaqueta de fixação. Aplicação/finalidade: leito de UTI e enfermarias.</t>
  </si>
  <si>
    <t>IPRATROPIO (BROMETO) SOLUCAO PARA INALACAO 0,25 MG/ML FRASCO 20 ML</t>
  </si>
  <si>
    <t>PLACA DE BISTURI, Tipo Uso: adulto descartável, Formato: anatômico, Aplicação: adaptável a qualquer tipo de bisturi eletrônico, Características Adicionais: auto adesiva ( placa eletro-cirúrgica ) boa adesividade a pele do paciente.</t>
  </si>
  <si>
    <t>PLACA BISTURI , Tipo Uso: infantil descartável, Formato: anatômico, Aplicação: adaptável a qualquer tipo de bisturí eletrônico, .características Adicionais: auto adesiva ( placa ele.. Adicionais: auto adesiva ( placa eletro-cirúrgica ) boa adesividade a pele do paciente.</t>
  </si>
  <si>
    <t>GRAMPEADOR DE PAPEL,Material: metal, Tamanho Grampo: 26/6 mm, Tipo: mesa grande, Características Adicionais: mola resistente com retração automática, estrutura interna em aço inoxidável, Dimensões: 20 x 5 x 9 cm (variação de +/- 5%)</t>
  </si>
  <si>
    <t>GRAMPO GRAMPEADOR,Material: arame de aço, Tamanho: 23/13( ½pol), prof. 13mm, Unidade De Fornecimento: caixa com 5000 unidades, Aplicação: para grampeador profissional tipo rapid 09, Características Adicionais: para grampear até 100 folhas.</t>
  </si>
  <si>
    <t>ESPAÇADOR DIGITAL,Aplicação: para endodontia, Tamanho: 25 mm, Forma De Apresentação: caixa com 04 unidades, Prazo de validade: não se aplica, Unidade De Fornecimento: caixa com 04 unidades</t>
  </si>
  <si>
    <t>SELADOR TEMPORARIO DE CAVIDADES</t>
  </si>
  <si>
    <t>PASTA PROFILÁTICA DE USO ODONTOLÓGICO,Aplicação: periodontia, Forma De Apresentação: bisnaga 90 g, Prazo de validade: 75 % do prazo total de validade do produto, Unidade De Estoque: bisnaga ( BS ), Unidade De Fornecimento: bisnaga 90 g.</t>
  </si>
  <si>
    <t>LIMA HEDSTROEN,Aplicação: endodontia, Número Referência: primeira série ( 15 - 40 ), Tamanho: 25 mm, Forma De Apresentação: caixa com 06 unidades, Prazo de validade: não se aplica, Unidade De Estoque: caixa ( CX ), Unidade De Fornecimento: caixa com 06 unidades.</t>
  </si>
  <si>
    <t>ESPELHO PLANO BUCAL N.05 DESEMBACANTE ESTERELIZAVEL AS TEMPERATURAS DE 180/200 GRAUS</t>
  </si>
  <si>
    <t>PARA-MONO-CLORO-FENOL CANFORADO 20ml</t>
  </si>
  <si>
    <t>FIO DENTAL 100 MTS.</t>
  </si>
  <si>
    <t>EXTIRPADOR DE NERVOS,Aplicação: endodôntico, Forma De Apresentação: caixa com dez unidades, Prazo de validade: não se aplica, Unidade De Estoque: CX (caixa), Unidade De Fornecimento: caixa com dez unidades.</t>
  </si>
  <si>
    <t>LAMINA P/BISTURI N. 10</t>
  </si>
  <si>
    <t>DETERGENTE,Composição: ph neutro,glicerinado, Aspecto Físico: líquido, Aplicação: para pia, Características  Adicionais: Altamente Concentrado Biodegradável,ausência de    eletrolitos espessantes,Unidade De Fornecimento: frasco com 500 ml</t>
  </si>
  <si>
    <t>BOBINA DE PAPEL PARA IMPRESSORA de autoclave Hi Vac Plus e termodesinfetadora da marca Baumer. Papel térmico, 22m, 57mm, impressora matricial Custom FH190 Código Baumer: 88216 Apresentação: embalagens individuais, acondicionadas em caixa. Unidade de Estoque: unidade (UN).</t>
  </si>
  <si>
    <t>SULFATO DE MAGNESIO SOLUÇÃO INJETÁVEL 50 % (4 MEQ/ML) AMPOLA 10 ML</t>
  </si>
  <si>
    <t>FOSFATO TRICALCICO SOLUÇÃO ORAL 12,9% FRASCO 100ML</t>
  </si>
  <si>
    <t>SISTEMA FECHADO DE ASPIRAÇÃO TRAQUEAL VIA CÂNULA DE TRAQUEOSTOMIA 10 FR INFANTIL, ESTÉRIL</t>
  </si>
  <si>
    <t xml:space="preserve">FAIXA DE ESMARCH 12CMX200CM </t>
  </si>
  <si>
    <t>CURATIVO TIPO MEMBRANA NATURAL PARA CICATRIZACAO MEDIDA 8 X 8CM ESTERIL EMBALAGEM INDIVIDUAL.</t>
  </si>
  <si>
    <t>PINCA CLINICA P/ALGODAO N.317 (USO ODONTOLOGICO) 1.</t>
  </si>
  <si>
    <t>SERINGA CARPULE, para anestesia, uso odontológico, dobrável, em aço inox, tamanho padrão.</t>
  </si>
  <si>
    <t>CABO DE ESPELHO, Aplicação: odontológica, Características Adicionais: em aço inox, Tamanho: padrão.</t>
  </si>
  <si>
    <t>AVENTAL DE PROTEÇÃO: 1,40x1,20m TNT face interna impermeável, 30g/m2, punho em elástico látex, com tiras costuradas, cor branca, embalado individual não estéril.</t>
  </si>
  <si>
    <t>RANITIDINA SOLUCAO INJETAVEL 25 MG/ML AMPOLA 2 ML</t>
  </si>
  <si>
    <t>ADAPTADOR P/ ASPIRADOR DE MECONIO 1
MARCA: FANEN – COD. 14885.</t>
  </si>
  <si>
    <t>FENOTEROL (BROMIDRATO) SOLUÇAO ORAL 0,5 % FRASCO 20 ML</t>
  </si>
  <si>
    <t>CLORETO DE POTASSIO SOLUÇAO ORAL 60 MG/ML FRASCO 100 ML COM DOSEADOR.</t>
  </si>
  <si>
    <t>CURATIVO ADESIVO DE HIDROPOLÍMERO/ESPUMA SACRAL COM TAMANHO MÍNIMO 18 CM X 18 CM, ESTÉRIL.</t>
  </si>
  <si>
    <t>CATETER MONO LUMEN DE ACESSO VENOSO CANTRAL 16GA X 20CM.</t>
  </si>
  <si>
    <t>CAPA DE PRONTUÁRIO- PADRÃO CRON - DALFA, COM 08 DÍGITOS, Medidas:aberta 320x 438mm mais dobra de reforço de  25mm na lateral esquerda, Papel: kraft 290g/m² fibra longa, Cor: palha clara, Características Adicionais: com 04 ( quatro ) vincos no centro, com tarja dobrada, colada e inscrição e 0 ( zero ) a 9 ( nove ) e letra M, equipada com grampos especiais de tamanho padrão ( 08cm entre os braços ) com no mínimo 04 ( quatro ) presilhas inseridas sob pressão mecânica. a impressão da tarja, logotipo e indentificação da SES - DF e demais dizeres na cor preta</t>
  </si>
  <si>
    <t>PINCA DISSECCAO ANATOMICA,COM SERRILHA 160MM 1.</t>
  </si>
  <si>
    <t>PINCA CHERRON DESCART. EM POLIESTILENO CRISTAL, BRANCA , C/FECHAMENTO E TRAVAMENTO ATRAVES DE SIST. DENTADO, C/4 NIVEIS DE PRESSAO, E C/APROXIMADAMENTE 26CM DE COMPRIMENTO TOTAL E APRESENTANDO CURVATURA NA PORCAO TERMINAL DO SEU FECHO PRINCIPAL.</t>
  </si>
  <si>
    <t>PINCA POZZI DE 25CM RETA 1</t>
  </si>
  <si>
    <t>CUBA RETANGULAR DE 30X20X4CM EM ACO INOXIDAVEL 1.</t>
  </si>
  <si>
    <t>CUBA RETANGULAR EM AÇO INOX MED.20X30X1,5CM (USO ODONTÓLOGICO).</t>
  </si>
  <si>
    <t>CUBA RIM,Aplicação: Utensíio hospitalar.Material: Aço inoxidável AISI,Tamanho:  260 x 120 mm; 700 ml Superfícies arredondadas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individual.Processo de esterilização: Não estéril, Forma de apresentação:  Unidade,Prazo de validade: Indeterminado.</t>
  </si>
  <si>
    <t>TOMADA TRIPLA P/REDE CANALIZADA DE OXIGENIO C/ VALVULA DE RETENCAO.</t>
  </si>
  <si>
    <t>AMBU ADULTO COMPLETO COM MÁSCARA E UMIDIFICADOR PARA OXIGÊNIO.</t>
  </si>
  <si>
    <t>VACUOMETRO, Aplicação: para rede canalizada, Características Adicionais: com frasco coletor de 500 ml, corpo e porca de adptação em metal.</t>
  </si>
  <si>
    <t>GUIA PARA CÂNULA ENDOTRAQUEAL INFANTIL; Aplicação: auxiliar intubação orotraqueal; Material: metal coberto com borracha ou PVC; Tamanho: 15 a 25 cm; Características: fio guia metálico envolto por material plástico ou borracha maleável, podendo ser reutilizado; Processo de esterelização: dispensado; Forma de apresentação: embalagem individual; Prazo de validade: indeterminado.</t>
  </si>
  <si>
    <t>VÁLVULA DE EXALAÇÃO, para Ventilador Pulmonar DIXTAL DR 00002, modelo DX 3010.</t>
  </si>
  <si>
    <t>CARIMBO, Material: borracha especial macia, em fotopolímero, base e cabo em madeira, Dimensões: a serem definidas na nota de empenho.</t>
  </si>
  <si>
    <t>ALMOFADA CARIMBO, Entintamento: permanente, Cor: vermelho, Referência: 03</t>
  </si>
  <si>
    <t>RELE DE NIVEL D`AGUA - 220V</t>
  </si>
  <si>
    <t>CABIDE Duplo branco. (Observação: deve ser cabide de metal médio, simples, para fixação em parede).</t>
  </si>
  <si>
    <t>CORREIA B-53. (Observação: A correia deverá ser a B-47)</t>
  </si>
  <si>
    <t>PAPEL TERMO-SENSÍVEL, Aplicação: vídeo printer (color) Type IV (High Glossy) UPP 110 hg,  Forma De Apresentação: rolo com 110 mm x 18 m, Prazo de validade: 75% do prazo total de validade do produto, Unidade De Estoque: rolo (RL), Código SES: 013254, Unidade De Fornecimento: rolo com 110 mm x 18 m.</t>
  </si>
  <si>
    <t>FILME PARA DIAGNÓSTICO MAMOGRÀFICO, Tamanho: 20 x 25 cm, Tipo: DVM+, Aplicação: exclusivamente na impressora DRYVIEW 5850 (processadora a seco). Unidade de Fornecimento: caixa com 100 películas.</t>
  </si>
  <si>
    <t>PRESERVATIVO SIMPLES SEM LUBRIFICANTES</t>
  </si>
  <si>
    <t>EXTENSOR DE SERINGA INJETORA ALTA PRESSAO 1200PSI 120CM.</t>
  </si>
  <si>
    <t>PREDNISOLONA SOLUCAO ORAL 3 MG/ML FRASCO DE 100 ML COM DOSEADOR.</t>
  </si>
  <si>
    <t>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t>
  </si>
  <si>
    <t>CURATIVO NÃO ADERENTE COM PETROLATUM 7,6 CM x 152,4 CM, ESTÉRIL. Aplicação: proteção do leito da ferida e proteção de área doadora de enxerto. Material: tela em tecido de malha de acetato de celulose impregnada com emulsão de petrolatum, estéril. Apresentação: rolo embalado individualmente. Unidade de Estoque: unidade (UN). Código SES: 091220.</t>
  </si>
  <si>
    <t>PASTA PROTETORA DE PELE SEM ÁLCOOL, NÃO ESTÉRIL. Aplicação: proteger a pele periestoma, preencher pregas e/ou cavidades, aumentar a fixação e o tempo de uso do dispositivo. Material: pasta protetora em resina sintética, composta por carboximetilcelulose sódica, gelatina e pectina. Tamanho/Capacidade: tiras de no mínimo 6 gramas. Características Adicionais: não alcoólica, em tiras em forma de blister de no mínimo 6 gramas cada, não provocar ardência na pele, maleável, de fácil manuseio e remoção. Apresentação: acondicionadas em caixa com no mínimo 5(cinco) tiras, embaladas individualmente. Unidade de Estoque: caixa(cx).</t>
  </si>
  <si>
    <t>LORATADINA COMPRIMIDO 10 MG</t>
  </si>
  <si>
    <t>ADESIVO PLÁSTICO AUTOCOLANTE: medindo: 7,3cm x 7,3cm, dizeres a definir, a ser usados na identificação de veículos que têm acesso aos estacionamentos privativos dos Hospitais e Unidades Básicas de Saude.</t>
  </si>
  <si>
    <t>FERULA METALICA C/19MM LARG.x1M COMP., DE ALUMINIO E ESPUMA.</t>
  </si>
  <si>
    <t>FERULA METALICA C/16MM LARG.X 1M COMP., DE ALUMINIO E ESPUMA.</t>
  </si>
  <si>
    <t>TESTE PARA DETERMINAÇÃO QUALITATIVA DE BETA-HCG(SORO,URINA E PLASMA), METODOLOGIA POR IMUNOCROMATOGRAFIA, COM SENSIBILIDADE DE DETECÇÃO MÍNIMA DE 25 MIU/ML</t>
  </si>
  <si>
    <t>PREDNISONA COMPRIMIDO 5 MG.</t>
  </si>
  <si>
    <t>CURATIVO COM CARVÃO ATIVADO E PRATA 10,5 CM x 10,5 CM, ESTÉRIL. Aplicação: Controle de infecção da ferida. Material: Composto de uma manta externa de não tecido e uma camada interna de carvão ativado impregnado com ions de prata. Características adicionais: selado em toda sua extensão para que não haja extravasamento de carvão. A</t>
  </si>
  <si>
    <t>CURATIVO COM CARVÃO ATIVADO E PRATA 10,5 CM x 19,5 CM, ESTÉRIL. Aplicação: Controle de infecção da ferida. Material: Composto de uma manta externa de não tecido e uma camada interna de carvão ativado impregnado com ions de prata. Características adicionais: selado em toda sua extensão para que não haja extravasamento de carvão. Apresentação: embalado individualmente. Unidade de Estoque: unidade (UN). Código SES: 091162.</t>
  </si>
  <si>
    <t>CURATIVO ADESIVO DE HIDROPOLÍMERO/ESPUMA COM TAMANHO MÍNIMO 15 CM x 15 CM, ESTÉRIL. Aplicação: absorção de moderado a excessivo exsudato, não aderente à ferida. Material: composto de polímeros e camada externa adesiva de poliuretano. Características Adicionais: borda adesiva e protetora, que evite o extravasamento do exsudato e impeça a entrada de água, sabão e outros, formato quadrado. Apresentação: embalado individualmente. Unidade de Estoque: unidade (UN). Código SES: 25058.</t>
  </si>
  <si>
    <t>PAPILOTOMO TRIPLO LUMEN COM PONTA TIPO AGULHA PARA PRÉ CORTE. (PAPILOTOMO, PONTA AFUN. 5 MM, FIO DE CORTE 30MM, DIAM. 2.55 MM AFUN. PARA 2.05 MM,COMP. 200 CM.)</t>
  </si>
  <si>
    <t>FIO GUIA TEFLONADO, STANDART, PONTA RETA 0,035´´ X 260 cm (Fio guia teflonado standart, ponta reta, 0,035´´ X 260 cm, biocompatível, radiopaco, estéril, em embalagem individual, contendo identificação do material, número do lote, data de fabricação, validade, tipo de esterilização e registro na ANVISA. Prazo de validade: mínimo de 75% da data de fabricação.)</t>
  </si>
  <si>
    <t>PAPEL GRAU CIRURGICO 45CM x 100M</t>
  </si>
  <si>
    <t>FIO DE SUTURA DE POLIAMIDA MONOFILAMENTAR 3-0, 45CM, COM 01 AGULHA DE 3,0CM PONTA E CORPO CORTANTE 3/8 CIRCULO Aplicação: transplante de pele em caso de tumores de pele e queimaduras e transplante de auréola em caso de construção mamária, Material: poliamida monofilamentar, Características Adicionais: fio 3-0, cor preta, comprimento 45 cm, com 1 agulha, tipo agulha ponta cortante, 3/8 círculo, comprimento da agulha entre 3,0 e 3,2 cm, estéril. Forma De Apresentação: 1 fio por envelope, com identificação do lote, data de fabricação, data de validade impressos em língua portuguesa no envelope e na caixa. Deverá seguir a Norma do INMETRO ABNT 13904/2003.</t>
  </si>
  <si>
    <t>PARAFUSO para MDF Medindo 4MM X 45MM.</t>
  </si>
  <si>
    <t>CANTONEIRA CROMADA Pequena p/mala. (OBS: Este item será CIOBA de 2 furos)</t>
  </si>
  <si>
    <t>AGULHA HIPODERMICA DESCART. 25X7,0 C/BISEL S/MANDRIL</t>
  </si>
  <si>
    <t>EQUIPO PARENTERAL PARA BOMBA DE INFUSÃO, ESTÉRIL.  Aplicação: administração de soluções parenterais. Material: PVC atóxico. Características adicionais:  equipo parenteral simples, específico para para bomba infusora Infusomat B.BRAUN. Com ponta perfurante ISO, com tampa protetora, AIR, com filtro de ar hidrófobo e bacteriológico, porosidade de 0.22 micron, com tampa reversível para uso em frasco-ampola; câmara de gotejamento flexível, com linha indicadora do nível ideal de solução, gotejador ajustado para 1ml = 20 gotas, com filtro para retenção de partículas, porosidade de 15 micra, tubo extensor de PVC, pinça tipo rolete; segmento de silicone,; injetor lateral tipo T, com membrana autocicatrizante, sem látex; intermediário luer com tampa protetora; comprimento total de 2.15 m.  Embalado individualmente em papel grau cirúrgico que facilite a abertura em técnica asséptica e que assegure a esterilidade do produto durante o transporte e armazenamento até o seu uso.  Apresentação: embalagem individual acondicionada em caixa.</t>
  </si>
  <si>
    <t>CURATIVO DE HIDROCOLOIDE, MED. 10 X 10CM(MAIS OU MENOS 1CM)ESTERIL, COM PARTE INTERNA FORMADA POR NO MINIMO 02(DOIS)...</t>
  </si>
  <si>
    <t>ELÁSTICO,Material: borracha natural, Cor: natural, Referência: nº 18, Aplicação: escritório, Características Adicionais: alta resistência, alta qualidade, Unidade De Fornecimento: pacote com 100 unidades
Código do Item: 3.3.90.30.16.01.0035.000004-01</t>
  </si>
  <si>
    <t>BARBEADOR, Material Corpo: plástico, Tipo Uso: descartável, Unidade De Fornecimento: unidade</t>
  </si>
  <si>
    <t>GRAMPEADOR LINEAR CORTANTE 75 MM COM FECHAMENTO AJUSTÁVEL (Grampeador linear cortante 75mm, que dispare 6 linhas de grampos cortando simultaneamente entre a terceira e a quarta linha de grampo. Instrumento descartável. Possuir trava de Segurança para evitar o disparo acidental do grampeador com carga utilizada e pino de retenção na ponta distal. Site ma que possibilita o disparo tanto pelo lado esquerdo quanto pelo lado direito do grampeador. Possuir, no mínimo, 1,5 grampo além da linha de corte e sistema de compressão tecidual. Possuir manopla emborrachada anti-deslizante em sua estrutura, para manuseio mais seguro e eficaz. Possuir seletor de ajuste para escolha de altura de fechamento de grampo, em três diferentes e possíveis indicações para tecidos normais (fechamento de 1,50mm), tecidos intermediários (fechamento de 1,80mm) e tecidos espessos(fechamento de 2,00mm); ou seja possuir em uma única carga e único grampeador três tamanhos possíveis de fechamento de altura de grampo, por meio de seletor. Esterilização valida 3 anos.</t>
  </si>
  <si>
    <t>REBOLO reforçado em fibra de vidro 7’x1/48’ para lixadeira.</t>
  </si>
  <si>
    <t>DEXAMETASONA (ACETATO) CREME 0,1 % BISNAGA 10 G.</t>
  </si>
  <si>
    <t>FIXADOR DE TUBO OROTRAQUEAL ADULTO USO UNICO NAO ESTERIL. Aplicação: propiciar posicionamento e fixação seguros do tubo endotraqueal e prevenir extubações acidentais. Material: confeccionado em material de fibra de algodão e velcro. Características Adicionais: permitir fixação de tubos endotraqueais de uso adulto, possibilitando ajuste aos diversos tamanhos de tubo, que não deslize, não restrinja o volume de ar que passa pelo tubo, que permita ajuste ao tamanho do pescoço do paciente e que não libere resíduos nem solte fiapos quando molhado ou na presença de fluidos corporais do paciente, flexível, com sistema de fixação com trava de segurança, antialérgico, atóxico. Apresentação: unidade embalada individualmente. Unidade de estoque: Unidade (UN). Código SES: 23667. BR0279972</t>
  </si>
  <si>
    <t>CURETA PERIODONTAL GRACEY Nº 07-08</t>
  </si>
  <si>
    <t>CURETA PERIODONTAL GRACEY Nº 11-12</t>
  </si>
  <si>
    <t>CURETA PERIODONTAL GRACEY Nº 13-14</t>
  </si>
  <si>
    <t>SONDA MILIMETRADA TIPO WILLIANS, Aplicação: periodontal, Características Adicionais: em aço inox, Tamanho: padrão</t>
  </si>
  <si>
    <t>TESOURA CIRÚRGICA, Aplicação: uso odontlógica, Características Adicionais: ponta aguda em aço inox, Tamanho: 14 cm.</t>
  </si>
  <si>
    <t>ESPUMA de 10 cm de espessura medindo 1,90 m de largura, densidade 28 em rolos com 05 m de comprimento.</t>
  </si>
  <si>
    <t>FITA ISOLANTE; Tipo: anti-chama; Dimensões: 20m (C) x 19mm (L); Unidade de Fornecimento: rolo com 20m x 19mm.</t>
  </si>
  <si>
    <t>CAIXA GORDURA; MATERIAL: PVC rígido; Características Adicionais: sifonada, acompanhada de porta tampa e tampa em PVC rígido, entrada DN 50mm e saída DN 100mm.</t>
  </si>
  <si>
    <t>ELETRODO, Aplicação: captador de sinal ECG- ADULTO- DESCARTAVEL.</t>
  </si>
  <si>
    <t>AMPICILINA + SULBACTAM PO PARA SOLUCAO INJETAVEL (2000 MG + 1000 MG)/FRASCO-AMPOLA</t>
  </si>
  <si>
    <t>ENALAPRIL COMPRIMIDO SULCADO 20 MG.</t>
  </si>
  <si>
    <t>CATETER RADIOPACO P/ACESSO VENOSO DUPLO LUMEM N. 16</t>
  </si>
  <si>
    <t>EQUIPO PARENTERAL FOTOSSENSIVEL PARA BOMBA DE INFUSAO HOSPIRA PLUM A+, SISTEMA FECHADO, ESTERIL.</t>
  </si>
  <si>
    <t>REDUCAO DE PVC P/AGUA 50MM X 40 MM</t>
  </si>
  <si>
    <t>REDUCAO PVC SOLDAVEL DE 85 X 60MM</t>
  </si>
  <si>
    <t>REDUCAO DE PVC SOLDAVEL 60MM X 50MM</t>
  </si>
  <si>
    <t>LUVA EM PVC 85MM COMUM</t>
  </si>
  <si>
    <t>LUVA DE UNIAO EM PVC 85MM</t>
  </si>
  <si>
    <t xml:space="preserve">LUVA DE CORRER P/TUBO SOLDAVEL DE 50MM. </t>
  </si>
  <si>
    <t>ENVELOPE PARDO TAMANHO OFÍCIO.</t>
  </si>
  <si>
    <t>CADEADO, Material Corpo: aço, Material Haste: aço inoxidável, Altura Haste: 20 mm, Quantidade Chaves: duas simples.</t>
  </si>
  <si>
    <t>BROMETO DE N BUTIL-ESCOPOLAMINA SOLUCAO INJETAVEL 20 MG/ML AMPOLA 1 ML.</t>
  </si>
  <si>
    <t>FERRO CHATO, Largura: 5/8 pol, Material: ferro chato, unidade de fornecimento: barra 6 metros.</t>
  </si>
  <si>
    <t>REJUNTE PARA PORCELANATO, características: especial para aplicação em porcelanato (flexível), na cor bege.</t>
  </si>
  <si>
    <t>VALPROATO DE SODIO XAROPE (EQUIVALENTE 250 MG/5 ML ACIDO VALPROICO) FRASCO 100 ML</t>
  </si>
  <si>
    <t>AGULHA PARA PUNÇÃO DE MEDULA ÓSSEA 30CM DIÂMETRO 16G</t>
  </si>
  <si>
    <t>AGULHA PARA PUNÇÃO DE MEDULA ÓSSEA 30CM DIÂMETRO 18G</t>
  </si>
  <si>
    <t>LANCETA DESCARTÁVEL PARA USO HOSPITALAR</t>
  </si>
  <si>
    <t>ENOXAPARINA SODICA SOLUCAO INJETAVEL 20 MG SERINGA PREENCHIDA 0,2 ML</t>
  </si>
  <si>
    <t>TINTA ACRÍLICA PARA PISO; Cor: cinza chumbo. Aplicação: em piso. Capacidade: Lata de 18 litros.</t>
  </si>
  <si>
    <t xml:space="preserve">TINTA PARA CIMENTADO, Cor: Verde, Unidade de fornecimento: lata de 18 litros. </t>
  </si>
  <si>
    <t>BRITA, Material: Rocha fragmentada,  Tamanho: brita nº 1.</t>
  </si>
  <si>
    <t>REVELADOR RADIOLÓGICO, (compatível com filme tipo MIN R2000) Aplicação: para processamento automático com baixo odor e compatível com dosagem / diluidor automático de químicos, Capacidade: com embalagem para preparo de 38 litros, sendo divididos em 2 galões de 19 litros cada carga proporcionando melhor otimização no preparo e reposição dos químicos destinados a exames de mamografia, Unidade De Fornecimento: galão com 19 litros., Características Adicionais: compatível com filme tipo MIN R2000</t>
  </si>
  <si>
    <t>Item</t>
  </si>
  <si>
    <t>TESTE DE PLANILHA</t>
  </si>
  <si>
    <t>Limite de prazo (dias)</t>
  </si>
  <si>
    <t>Und.</t>
  </si>
  <si>
    <t>AMP</t>
  </si>
  <si>
    <t>FR</t>
  </si>
  <si>
    <t>FA</t>
  </si>
  <si>
    <t>UM</t>
  </si>
  <si>
    <t>item 1</t>
  </si>
  <si>
    <t>item 2</t>
  </si>
  <si>
    <t>item 3</t>
  </si>
  <si>
    <t>item 4</t>
  </si>
  <si>
    <t>item 5</t>
  </si>
  <si>
    <t>item 6</t>
  </si>
  <si>
    <t>item 7</t>
  </si>
  <si>
    <t>item 8</t>
  </si>
  <si>
    <t>item 9</t>
  </si>
  <si>
    <t>item 10</t>
  </si>
  <si>
    <t>item 11</t>
  </si>
  <si>
    <t>item 12</t>
  </si>
  <si>
    <t>CABO UTP; Apresentação: 4P x 24 Cat. 6E; Unidade de fornecimento: caixa com 305 metros.</t>
  </si>
  <si>
    <t>HIDRALAZINA 50MG COMPRIMIDO OU DRAGEA</t>
  </si>
  <si>
    <t>NITRAZEPAM COMPRIMIDO 5MG</t>
  </si>
  <si>
    <t>Qtd./Und./ Marca</t>
  </si>
  <si>
    <t>Prazo (dias)</t>
  </si>
  <si>
    <t>Cotação</t>
  </si>
  <si>
    <t>Qtd.</t>
  </si>
  <si>
    <t>ALLIMED</t>
  </si>
  <si>
    <t>MIX MED</t>
  </si>
  <si>
    <t>PRISMA</t>
  </si>
  <si>
    <t>LÂMPADA FLUORESCENTE UNIVERSAL TIPO TUBULAR, Tensão: 220V, Potência: 20W, Cor: luz do dia. (Obs.: deverá ser de fabricação nacional)</t>
  </si>
  <si>
    <t>WINNER</t>
  </si>
  <si>
    <t>CAMPO DUPLO BRIM PESADO LISO 70X70 cm, Aplicação: embalagem debandejas e pacotes, Material: Tecido brim pesado, 100% algodão, Linha 100%algodão, Tamanho: 0,70x0,70cm, Características: Peça dupla costura reta, comcostura cruzada no meio do tecido, Tecido algodão 7,8 OZ/yd sarja 3x1cm²,gramatura mínima 270g/m², fio de urdume -1,5 a + 1,5%, fio de trama -1,5 a +1,5%,encolhimento até 08% na trama e 15% no urdume, Variação de medida do produtoacabado ± 3 cm, Apresentar no campo a logomarca da SES-DF centralizada,medindo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15393.</t>
  </si>
  <si>
    <t>LIVRO ATA, Material Capa: papel cartão ( capa dura ), Altura: 33 cm, Largura: 22 cm, características Adicionais: folhas numeradas, Unidade De Fornecimento: livro com 100 folhas. De Fornecimento: livro com 100 folhas.</t>
  </si>
  <si>
    <t>DMI</t>
  </si>
  <si>
    <t>MARTINS</t>
  </si>
  <si>
    <t>VIDAFARMA</t>
  </si>
  <si>
    <t>RIOCLARENSE</t>
  </si>
  <si>
    <t>TOPIRAMATO COMPRIMIDO 100 MG.</t>
  </si>
  <si>
    <t>TORNEIRA LAVATÓRIO, Material: metal cromado, Bitola: ½ pol.</t>
  </si>
  <si>
    <t>FERRAGENS GAMA</t>
  </si>
  <si>
    <t>CARRAPETA EM BORRACHA PARA TORNEIRA DE ¾”.</t>
  </si>
  <si>
    <t>CARRAPETA EM BORRACHA PARA TORNEIRA ½”.</t>
  </si>
  <si>
    <t>CABO FLEXÍVEL 2,5MM². (Observação: Deverá ser fio
flexível 2,5mm, sendo 100mt na cor branca, 100mt na cor
vermelha, 100mt na cor azul e 100mt na cor preta.).</t>
  </si>
  <si>
    <t>MASSA CORRIDA, composição: a base de látex, PVA, aplicação: pintura de parede. Unidade de fornecimento: lata de 18 litros.</t>
  </si>
  <si>
    <t>AUROBINDO</t>
  </si>
  <si>
    <t>FARMACONN</t>
  </si>
  <si>
    <t>PLANTÃO</t>
  </si>
  <si>
    <t>BRASMÉDICA</t>
  </si>
  <si>
    <t>BOCAL ENDOSCÓPIO, Aplicação: utilizados para a proteção dos aparelhos endoscópios, Material: manufaturados com compostos plásticos resistentes que não se deformam, Características Adicionais: apresentam características anatômicas para evitar lesões na cavidade oral, fixação na cavidade elástico que evitam a saída do acessório da cavidade oral.</t>
  </si>
  <si>
    <t>PROMEDICAL</t>
  </si>
  <si>
    <t>ROCURÔNIO SOLUÇÃO INJETÁVEL 10 MG/ML FRASCO AMPOLA 5ML</t>
  </si>
  <si>
    <t>INSULINA HUMANA NPH SUSPENSÃO INJETÁVEL 100UI/ML FRASCO-AMPOLA 10ML</t>
  </si>
  <si>
    <t>DIGOXINA COMPRIMIDO 0,25MG</t>
  </si>
  <si>
    <t>NOVAMED</t>
  </si>
  <si>
    <t>TUBO ENDOTRAQUEAL SEM CUFF P.V.C. EXTRAFLEXIVEL 2,5MM.</t>
  </si>
  <si>
    <t>BANCADA EM AÇO INOX, 1 CUBA, sem furo, medida: 200cm x 0,56cm</t>
  </si>
  <si>
    <t>RIBON, Aplicação: impressora Zebra TPL 2844, Tamanho: 110mm x 74m.</t>
  </si>
  <si>
    <t>ALPROSTADIL PO LIOFILIZADO PARA SOLUÇAO INJETAVEL 20 MCG FRASCOAMPOLA OU AMPOLA.</t>
  </si>
  <si>
    <t>CONJUNTO PARA COLORAÇÃO DE GRAM contendo frascos de 500ml (cristal violeta, lugol estabilizado, solução descorante alcool-acetona e fucsina fenicada ou safranina).</t>
  </si>
  <si>
    <t>AMPICILINA (SODICA) PO PARA SOLUCAO INJETAVEL 500 MG FRASCO AMPOLA.</t>
  </si>
  <si>
    <t>AGULHA HIPODÉRMICA 13 X 4,5 COM DISPOSITIVO DE SEGURANÇA, DESCARTÁVEL.</t>
  </si>
  <si>
    <t>SHOPPING DO ALUNO</t>
  </si>
  <si>
    <t>Fio sintético zero 70cm absorvível por volta de 70 dias trançado violeta 1 agulha 4cm, ponta cilíndrica, corpo cilíndrico 1/2 círculo</t>
  </si>
  <si>
    <t>BASZI</t>
  </si>
  <si>
    <t>GAMACORP</t>
  </si>
  <si>
    <t>LACRE - SELO TIK AN / TIGRE SEQ. PP Ref. azul claro
personal - próxima numeração 90.901, pacote com 100 unidades.</t>
  </si>
  <si>
    <t>RGN</t>
  </si>
  <si>
    <t xml:space="preserve">HASTE FLEXÍVEL COM PONTA DE ALGODÃO(COTONETE), Material Haste: plástico, Tipo Haste: com rantura, Material Ponta: 100% algodão,  Aplicação: higiêne pessoal, Características Adicionais: com pontas arredondadas, algodão com tratamento antigermes, Unidade de Fornecimento: caixa com 75 unidades. </t>
  </si>
  <si>
    <t xml:space="preserve">UMIDIFICADOR DE DEDOS (MOLHA DEDO) ,Material: pasta atóxica, Características Adicionais: não contém glicerina e não mancha, Formato: redondo, Unidade De Fornecimento: embalagem com no mínimo 12 gramas. </t>
  </si>
  <si>
    <t xml:space="preserve">PASTA PROTETORA, Material: plástico pvc flexível, Comprimento: 340 mm, Largura: 240 mm, Tipo: L, Aplicação: guardar documentos, Unidade De Fornecimento: unidade. </t>
  </si>
  <si>
    <t xml:space="preserve">TINTA PARA CARIMBO, Material tubo: plástico, cor preta, Aplicação: almofada carimbo, unidade de fornecimento: tubo com 37 ml. </t>
  </si>
  <si>
    <t xml:space="preserve">ALMOFADA PARA CARIMBO TAMANHO 16CM DE COMPRIMENTO X 10CM DE LARGURA (COR PRETA OU AZUL) </t>
  </si>
  <si>
    <t xml:space="preserve">PINCEL ATOMICO, -Material Corpo: plástico, Tipo Escrita: grossa, Tamanho: 10 cm, Cor: azul, Tipo Ponta: redonda. </t>
  </si>
  <si>
    <t>CLIPE, Material: metal, Tratamento Superficial: niquelado, Tamanho nº 02, Unidade de Fornecimento:  caixa com 100 .</t>
  </si>
  <si>
    <t xml:space="preserve">RÉGUA,Material: plástico transparente, Espessura: 2 mm, Graduação: em milímetros, Comprimento: 30 cm. </t>
  </si>
  <si>
    <t>ITEM</t>
  </si>
  <si>
    <t>CAIXA DESCARGA, Material: PVC, Aplicação: externa, Características Adicionais: completa, acompanhada de tubo de descida.</t>
  </si>
  <si>
    <t>BRACADEIRA REGULAVEL DE 1/2´´</t>
  </si>
  <si>
    <t>CADEADO, Material Corpo: latão maciço, Material Haste: aço inoxidável, Altura Haste: 30 mm, Quantidade Chaves: duas simples</t>
  </si>
  <si>
    <t>CIMENTO PORTLAND, Composição: cimento portland composto com filer calcáreo em teor entre 6 a 10%, Classe: CP II - F - 32, Cor: cinza.</t>
  </si>
  <si>
    <t>UN</t>
  </si>
  <si>
    <t>KOLPLAST</t>
  </si>
  <si>
    <t>PORTAL DE MADEIRA,Material: cedrinho, Comprimento: 2,10 m, Largura: 80 cm, Apresentação: completo, Características Adicionais: 1ª qualidade</t>
  </si>
  <si>
    <t>FILME PLÁSTICO PVC,Aplicação: embalagem de produtos, Comprimento: 250 m, Largura: 50 cm, Unidade De Fornecimento: bobina, Características Adicionais: bobina de papel filme plástico, em PVC, esticável, transparente.</t>
  </si>
  <si>
    <t>RL</t>
  </si>
  <si>
    <t>METOPROLOL SOLUCAO INJETAVEL 1 MG/ML SERINGA PRONTO USO OU AMPOLA 5 ML</t>
  </si>
  <si>
    <t>HELP FARMA</t>
  </si>
  <si>
    <t>TUBO EXTENSOR DE ALTA PRESSAO 120 - 150CM P/BOMBA INJETORA DE CONTRASTE PARA EXAME DE TOMOGRAFIA
COMPUTADORIZADA</t>
  </si>
  <si>
    <t>EFICÁCIA</t>
  </si>
  <si>
    <t>CAMPO DUPLO BRIM PESADO LISO 120 x 120 cm, Aplicação: embalagem de bandejas e pacotes, Material: Tecido brim pesado, 100% algodão, Linha 100% algodão, Tamanho: 120x120cm, Características: Peça dupla costura reta, com costura cruzada no meio do tecido, Tecido algodão 7,8 OZ/yd sarja 3x1cm², gramatura mínima 270g/m², fio de urdume -1,5 a + 1,5%, fio de trama -1,5 a +1,5%, encolhimento até 08% na trama e 15% no urdume, variação de peso ± 5g, Variação de medida do produto acabado ± 3 cm, Apresentar no campo a logomarca da SES-DF
centralizada, medindo 22x22 cm e a sigla do hospital em todos os
cantos do campo, Forma de Apresentação: Embalagem primária em
saco plástico com no máximo 10 unidades e secundaria em caixa de
papelão com no máximo 100 unidades,</t>
  </si>
  <si>
    <t>PMH</t>
  </si>
  <si>
    <t>FRASCO PARA COLETA DE SECREÇÃO, Aplicação: para
aspirador cirúrgico, Características Adicionais: inquebrável,
autoclavável, com graduação em alto relevo, tampa com vedação
hermética, bóia automática, capacidade de 05 litros, Código</t>
  </si>
  <si>
    <t>Serviço</t>
  </si>
  <si>
    <t>BALONNY</t>
  </si>
  <si>
    <t>REATOR PARTIDA RÁPIDA,Quantidade Lâmpadas: 2, Potência: 20 W, Tensão: 220 V, Aplicação: Lâmpadas fluorescentes, Características Adicionais: alto fator de potência, Frequência: 50/60 Hz</t>
  </si>
  <si>
    <t>KIT</t>
  </si>
  <si>
    <t>PHARMAC</t>
  </si>
  <si>
    <t>AGULHA HIPODÉRMICA 40 X 12 C/ DISPOSITIVO DE SEGURANÇA DESCARTÁVEL. Aplicação: administração
de medicamentos. Material: cânula em aço polido, canhão em polipropileno cor padrão (rosa).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t>
  </si>
  <si>
    <t>BBRAUN</t>
  </si>
  <si>
    <t>TORNEIRA PIA, Material: metal cromado,
Características Adicionais: de bancada, bica móvel</t>
  </si>
  <si>
    <t>ELEMENTO FILTRANTE PARA PURIFICAÇÃO DE ÁGUA;
Aplicação: Retenção de partículas de areia, barro e ferrugem da água para posterior destilação; Comprimento: de 230 a 247 mm; Diâmetro externo: de 56 a 66 mm; Rosca: ½ polegada; Composição: pol.</t>
  </si>
  <si>
    <t>TER FILTROS</t>
  </si>
  <si>
    <t>CORREIA PARA MÁQUINA DE LAVAR BAUMER, referência B-55. (Observação: Será correia B-57)</t>
  </si>
  <si>
    <t>FENOBARBITAL SOLUCAO ORAL GOTAS 40
MG/ML FRASCO 20 ML.</t>
  </si>
  <si>
    <t>COMPLEXO B DRAGEA.</t>
  </si>
  <si>
    <t>DEXAMETASONA (ACETATO OU FOSFATO)
SOLUCAO INJETAVEL 4 MG/ML 2,5 ML FRASCOAMPOLA</t>
  </si>
  <si>
    <t>VANCOMICINA PO PARA SOLUCAO INJETAVEL 500 MG FRASCOAMPOLA.</t>
  </si>
  <si>
    <t>LT</t>
  </si>
  <si>
    <t>CURATIVO COM FILME TRANSPARENTE PARA CATETER VASCULAR,Aplicação: cobertura de inserção de cateter vascular, aterial: composto por película transparente, com adesivo hipoalergênico, mpermeável à água e com barreira becteriana, permeável ao oxigênio e ao vapor d`água, Tamanho/Capacidade: 10 x 12 cm (+ ou - 1 cm), Processo De Esterilização: estéril, Forma De Apresentação: embalado ndividualmente, Prazo de validade: 75% do prazo total de validade do produto, Unidade De Estoque: unidade (UM), Código SES: 091120, Unidade De Fornecimento: unidade</t>
  </si>
  <si>
    <t>ENV</t>
  </si>
  <si>
    <t xml:space="preserve">INTEGRADOR QUÍMICO INTERNO NÃO ESTÉRIL. Aplicação: para controle da eficácia do processo de esterilização a vapor. Material: consiste de uma mecha de papel e de uma pílula química sensível à temperatura e ao vapor; acondicionada em uma embalagem composta em uma das faces por papel/filme e na outra por papel/ alumínio laminado. Durante a esterilização a vapor, a substância química funde e migra como um líquido de coloração escura através da mecha de papel. A migração é visível através da janela identificada por `` ACCEPT`` ou pela outra janela identificada por `` REJECT``; a extensão da migração depende do vapor, tempo e temperatura do equipamento. Tamanho: padrão. Características Adicionais: integrador químico que permite efetuar a monitoração das condições de esterilização a vapor no interior das embalagens com leitura rápida aceita (accept) ou rejeita (reject). Apresentação: pacote de papel laminado térmico contendo 500 unidades. Unidade De Estoque: unidade (UN). </t>
  </si>
  <si>
    <t>FRASCO DESCARTAVEL PARA COLETA DE URINA, BOCA LARGA C/TAMPA - 50ML</t>
  </si>
  <si>
    <t>CONJUNTO PARA DETERMINAÇAO DE BILIRRUBINA DIRETA Aplicação: analise bioquimica. Características adicionais: equipamento automatizado. For ma de Apresentação: conjunto (kit). Prazo de Validade: 75% do prazo de validade do produto. EQUIPAMENTO WIENER-LAB</t>
  </si>
  <si>
    <t>BIOTÉCNICA</t>
  </si>
  <si>
    <t>FITA DUPLA FACE, Tamanho: 16 mm x 30 m.</t>
  </si>
  <si>
    <t>THYSSENKRUPP</t>
  </si>
  <si>
    <t xml:space="preserve">1º Colocado / Unitário / Total </t>
  </si>
  <si>
    <t xml:space="preserve">2º Colocado / Unitário / Total </t>
  </si>
  <si>
    <t xml:space="preserve">3º Colocado / Unitário / Total </t>
  </si>
  <si>
    <t xml:space="preserve">            Solicitamos os seguintes materiais a serem entregues conforme cotação. A compra só será reconhecida com o atesto da Nota Fiscal, que deverá acompanhar os materiais abaixo solicitados:</t>
  </si>
  <si>
    <t>DESCRIÇÃO</t>
  </si>
  <si>
    <t>QTD.</t>
  </si>
  <si>
    <r>
      <t xml:space="preserve">*Favor discriminar na Nota Fiscal o valor </t>
    </r>
    <r>
      <rPr>
        <b/>
        <sz val="10"/>
        <color theme="1"/>
        <rFont val="Times New Roman"/>
        <family val="1"/>
      </rPr>
      <t xml:space="preserve">UNITÁRIO </t>
    </r>
    <r>
      <rPr>
        <sz val="10"/>
        <color theme="1"/>
        <rFont val="Times New Roman"/>
        <family val="1"/>
      </rPr>
      <t>e a</t>
    </r>
    <r>
      <rPr>
        <b/>
        <sz val="10"/>
        <color theme="1"/>
        <rFont val="Times New Roman"/>
        <family val="1"/>
      </rPr>
      <t xml:space="preserve"> QUANTIDADE </t>
    </r>
    <r>
      <rPr>
        <sz val="10"/>
        <color theme="1"/>
        <rFont val="Times New Roman"/>
        <family val="1"/>
      </rPr>
      <t>de cada item, conforme esta</t>
    </r>
    <r>
      <rPr>
        <b/>
        <sz val="10"/>
        <color theme="1"/>
        <rFont val="Times New Roman"/>
        <family val="1"/>
      </rPr>
      <t xml:space="preserve"> Ordem de Compra.</t>
    </r>
  </si>
  <si>
    <r>
      <t>FONE</t>
    </r>
    <r>
      <rPr>
        <b/>
        <sz val="10"/>
        <color theme="1"/>
        <rFont val="Times New Roman"/>
        <family val="1"/>
      </rPr>
      <t>:</t>
    </r>
  </si>
  <si>
    <t>CONTATO:</t>
  </si>
  <si>
    <t>FORNECEDOR:</t>
  </si>
  <si>
    <t>GOVERNO DO DISTRITO FEDERAL</t>
  </si>
  <si>
    <t>SECRETARIA DE ESTADO DE SAÚDE</t>
  </si>
  <si>
    <t xml:space="preserve">DIRETORIA ADMINISTRATIVA </t>
  </si>
  <si>
    <t>Brasília – Patrimônio Cultural da Humanidade</t>
  </si>
  <si>
    <t>SILVANA ROCHA</t>
  </si>
  <si>
    <t>EDICLEIDE  / MÁRCIA</t>
  </si>
  <si>
    <t>JUNIOR</t>
  </si>
  <si>
    <t>VILMA</t>
  </si>
  <si>
    <t>FARMACONN LTDA.</t>
  </si>
  <si>
    <t>WAGNER SANTOS</t>
  </si>
  <si>
    <t>GLEIDSON PASSO</t>
  </si>
  <si>
    <t>IVALDO JUNIOR</t>
  </si>
  <si>
    <t>HUDSON</t>
  </si>
  <si>
    <t>DANIELA G.</t>
  </si>
  <si>
    <t>CARLA HIDLAGO</t>
  </si>
  <si>
    <t>VILMAR</t>
  </si>
  <si>
    <t>RENATO</t>
  </si>
  <si>
    <t>ANÍBAL</t>
  </si>
  <si>
    <t>ALEXANDRE / TALITA</t>
  </si>
  <si>
    <t>RONALDO ROCHA</t>
  </si>
  <si>
    <t>WILLIAN LEAL</t>
  </si>
  <si>
    <t>ANGELA CAMPOS</t>
  </si>
  <si>
    <t>EDMILSON</t>
  </si>
  <si>
    <t>FÁBIO HOSOKAWA</t>
  </si>
  <si>
    <t>KÉLVIA / ANA CAROLINA</t>
  </si>
  <si>
    <t>CATARINA DE JESUS</t>
  </si>
  <si>
    <t>-</t>
  </si>
  <si>
    <t>ITALO CRUZ</t>
  </si>
  <si>
    <t>ALEXANDRE</t>
  </si>
  <si>
    <t>LEONARDO SILVA</t>
  </si>
  <si>
    <t>FERNANDO JOSÉ</t>
  </si>
  <si>
    <t>MARCOS BURITIZAL</t>
  </si>
  <si>
    <t>ANDERSON LEÃO MEIRELES BARBOSA</t>
  </si>
  <si>
    <t>CAROLINE</t>
  </si>
  <si>
    <t>GISLENE DE FÁTIMA</t>
  </si>
  <si>
    <t>ANILSON</t>
  </si>
  <si>
    <t>GILSON SANTOS</t>
  </si>
  <si>
    <t>PATRÍCIA</t>
  </si>
  <si>
    <t>KOLPLAST CI LTDA.</t>
  </si>
  <si>
    <t>SUSANA PERES</t>
  </si>
  <si>
    <t>MURILO FERNANDES</t>
  </si>
  <si>
    <t>DENISE BUENO</t>
  </si>
  <si>
    <t>JÚLIO CÉSAR</t>
  </si>
  <si>
    <t>ANA LÍDIA</t>
  </si>
  <si>
    <t>ANMED PRODUTOS E SERVIÇOS MEDICOS HOSPITALARES LTDA.</t>
  </si>
  <si>
    <t>BRASMÉDICA HOSPITALAR E ORTOPÉDICA LTDA.</t>
  </si>
  <si>
    <t>BSB MEDICAL LTDA.</t>
  </si>
  <si>
    <t>FARQUÍMICA DISTRIBUIDORA DE MEDICAMENTOS LTDA.</t>
  </si>
  <si>
    <t>MEDCOMERCE COMERCIAL DE MEDICAMENTOS E PRODUTOS HOSPITALARES LTDA.</t>
  </si>
  <si>
    <t>PLANTÃO COMÉRCIO E REPRESENTAÇÕES LTDA.</t>
  </si>
  <si>
    <t>SAÚDE COMÉRCIO DE PRODUTOS HOSPITALARES LTDA.</t>
  </si>
  <si>
    <t>SCIENTIFIC COMÉRCIO E IMPORTAÇÃO LTDA.</t>
  </si>
  <si>
    <t>BRASÍLIA CARTUCHOS</t>
  </si>
  <si>
    <t>DISJUNTOR MONOFÁSICO; Amperagem: 6ª; SIEMENS</t>
  </si>
  <si>
    <t>SINVASTATINA COMPRIMIDO 20 MG.</t>
  </si>
  <si>
    <t>CP</t>
  </si>
  <si>
    <t>SINVASTATINA COMPRIMIDO 40 MG.</t>
  </si>
  <si>
    <t xml:space="preserve">ESPECULO VAGINAL DESCART. C/VALVULAS, LARG.25MM, COMP. ACIMA DE105MM C/PARAFUSO QUE ABRE AS VALVULAS, ESTERIL OU NAO ESTERIL. </t>
  </si>
  <si>
    <t>PROMEDH</t>
  </si>
  <si>
    <t>GL</t>
  </si>
  <si>
    <t>LÂMPADA MISTA PARA BOCAL, Tensão: 220V, Potência: 250W, Tipo base: E27.</t>
  </si>
  <si>
    <t>CHUVEIRO ELÉTRICO; Material: PVC; Tipo: ducha; Tensão:
220 volts; Potência: mínimo 4.400 wats; Características adicionais:
três temperaturas.</t>
  </si>
  <si>
    <t>TORNEIRA JARDIM; Material: metal; Comprimento: curta;
Bitola: ½ polegada.</t>
  </si>
  <si>
    <t>REPARO VÁLVULA DESCARGA; Apresentação: completo;
Bitola: 1.1/2 pol.; Modelo: Hidra ref. 2530 e 2531.</t>
  </si>
  <si>
    <t>LÂMPADA FLUORESCENTE UNIVERSAL; Tensão: 220V; Potência: 20W; Cor: luz do dia. PROCEDÊNCIA NACIONAL.</t>
  </si>
  <si>
    <t>NUMERADOR DE CHUMBO P/IDENTIFICACAO DE RADIOGRAFIAS.</t>
  </si>
  <si>
    <t>LUMINÁRIA TIPO TARTARUGA.</t>
  </si>
  <si>
    <t>RABICHO; Material: PVC; Dimensões: ½” x 40cm.</t>
  </si>
  <si>
    <t>REGULADOR DE PRESSÃO FIXA DE 3,5 KGF/CM2, em latão cromado, com manômetros de 0-300 KGF/CM2, para cilindro de oxigênio.</t>
  </si>
  <si>
    <t>SAÚDE</t>
  </si>
  <si>
    <t>SCIENTIFIC</t>
  </si>
  <si>
    <t>ELETRO TERRÍVEL</t>
  </si>
  <si>
    <t>FERRO CANTONEIRA ´´L´´ 2.1/2X3/16´</t>
  </si>
  <si>
    <t>SÃO BERNARDO</t>
  </si>
  <si>
    <t>LAMPADA HALOGENA de 220V x 50W com refletor; com
lente de proteção; base bipino - Lâmpada Dicróica.</t>
  </si>
  <si>
    <t>FECHADURA de metal para gaveta, referência: 301</t>
  </si>
  <si>
    <t>GELÉIA ECOGEL, Aplicação: monitor fetal, Apresentação: acondicionada em frasco com 1000 gramas.</t>
  </si>
  <si>
    <t>TB</t>
  </si>
  <si>
    <t>DISJUNTOR 10Ax220V, Monofásico SIEMENS</t>
  </si>
  <si>
    <t>NEOMICINA (SULFATO) + BACITRACINA (ZINCICA) POMADA(5 MG + 250 UI)/G BISNAGA 15 G.</t>
  </si>
  <si>
    <t xml:space="preserve">EQUIPO PARENTERAL FOTOPROTETOR PARA BOMBA DE INFUSÃO, ESTÉRIL. Aplicação: administração de soluções com princípio ativo fotossensível. Características adicionais: equipo específico para bomba infusora Infusomat B.BRAUN. </t>
  </si>
  <si>
    <t>TUBO ENDOTRAQUEAL SEM CUFF P.V.C. EXTRA-FLEXIVEL 3,0MM. De</t>
  </si>
  <si>
    <t>DMG</t>
  </si>
  <si>
    <t>EN</t>
  </si>
  <si>
    <t>BOLSA PARA ESTOMIA OPACA ADULTO 2 PEÇAS, NÃO ESTÉRIL. Aplicação: drenagem de fezes para portadores de estomia intestinal. Material: Base adesiva recortável com barreira protetora em resina sintética composta por carboximetilcelulose sódica associada à gelatina e/ou pectina, em sua área interna da flange. Saco opaco e drenável, composto por duas películas plásticas, atóxica, silenciosas, macias, hipoalergênica com selagem de alta resistência nas bordas assegurando a integridade do saco e tela protetora não aderente, resistente e que não desprenda facilmente do conjunto. Tamanho/ Capacidade: saco coletor com comprimento e largura mínima de 20 cm e 12 cm respectivamente, com flange/aro compatível com a base adesiva. Base adesiva com diâmetro recortável entre 15 mm e 70 mm com flange/aro. Características Adicionais: bolsa com sistema de duas peças, com flange/aro compatível com a base adesiva, acompanhada de disco adesivo, com filtro antiodor acoplado, com proteção que não permita contato com líquidos e/ou efluentes, acompanhada de no mínimo 1(um) clamp para cada 10 bolsas, resistente, com pontas que não provoque lesão ao paciente, que permita perfeito fechamento da área de drenagem, sem o extravasamento de efluentes, favorecendo o manuseio e  Higienização da mesma, não estéril.</t>
  </si>
  <si>
    <t>ANMED</t>
  </si>
  <si>
    <t>CONFITECH</t>
  </si>
  <si>
    <t>NIMODIPINA COMPRIMIDO 30 MG</t>
  </si>
  <si>
    <t>ATD</t>
  </si>
  <si>
    <t>FABRICON</t>
  </si>
  <si>
    <t>BSB MEDICAL</t>
  </si>
  <si>
    <t>CONDOR</t>
  </si>
  <si>
    <t>COMERCIAL PLENITUDE</t>
  </si>
  <si>
    <t>EXATECH</t>
  </si>
  <si>
    <t>FARQUÍMICA</t>
  </si>
  <si>
    <t>FERRAGENS LÍDER</t>
  </si>
  <si>
    <t>JL E B</t>
  </si>
  <si>
    <t>LF</t>
  </si>
  <si>
    <t>MEDCOMERCE</t>
  </si>
  <si>
    <t>SMITHS</t>
  </si>
  <si>
    <t>STOCK</t>
  </si>
  <si>
    <t>TECNO4</t>
  </si>
  <si>
    <t>TMR</t>
  </si>
  <si>
    <t>TOPMED</t>
  </si>
  <si>
    <t xml:space="preserve">AMICACINA (SULFATO) SOLUCAO INJETAVEL 125 MG/ML AMPOLA 2 ML </t>
  </si>
  <si>
    <t>FIO DE SUTURA. Material: glicolida + lactida trançado, fio 2-0, cor violeta, comprimento 70 cm, com 1 agulha, tipo agulha ponta cilíndrica, corpo cilíndrico, 1/2 círculo, comprimento da agulha 3,5 cm, estéril. Forma De Apresentação: 1 fio por envelope, com identificação do lote, data de fabricação, data de validade impressos em língua portuguesa no envelope e na caixa. Deverá seguir a Norma do INMETRO ABNT 13904/2003.</t>
  </si>
  <si>
    <t>SOLICITAÇÃO DE ADJUDICAÇÃO PARA O PEDIDO DE COTAÇÃO PDPAS</t>
  </si>
  <si>
    <t>Atenciosamente,</t>
  </si>
  <si>
    <t>De acordo, em função do exposto acima.</t>
  </si>
  <si>
    <t xml:space="preserve">                           Aceita essa solicitação, procederemos à etapa do envio de Ordem de Compra do material cotado.</t>
  </si>
  <si>
    <r>
      <t xml:space="preserve">                          Adjudico e Homologo</t>
    </r>
    <r>
      <rPr>
        <sz val="10"/>
        <color theme="1"/>
        <rFont val="Times New Roman"/>
        <family val="1"/>
      </rPr>
      <t xml:space="preserve"> o presente. Proceda-se à desaplicação dos recursos necessários para fazer face ao pagamento da presente aquisição, assim que os materiais forem entregues e a NOTA FISCAL for atestada. </t>
    </r>
  </si>
  <si>
    <t xml:space="preserve">                          Solicito que seja afixado em mural localizado em área de grande circulação, informando aos interessados, por intermédio de e-mail, quanto ao prazo do fiel cumprimento de entrega, sob pena de sofrerem as penalidades da Lei 8.666/93.</t>
  </si>
  <si>
    <t>FABRICON (ATHOS E.B. DA COSTA COM. E SERVIÇOS DE SERRALHERIA EPP).</t>
  </si>
  <si>
    <t>ENTREGA IMEDIATA APÓS A SOLICITAÇÃO AO FORNECEDOR</t>
  </si>
  <si>
    <r>
      <t>DESTINATÁRIO:</t>
    </r>
    <r>
      <rPr>
        <sz val="11"/>
        <color theme="1"/>
        <rFont val="Times New Roman"/>
        <family val="1"/>
      </rPr>
      <t xml:space="preserve"> FORNECEDORES INTERESSADOS</t>
    </r>
  </si>
  <si>
    <t>Prezados Senhores,</t>
  </si>
  <si>
    <t>Na oportunidade, informamos que a DISPENSA DE LICITAÇÃO será levada a efeito com fundamento no INCISO II, ARTIGO 24, LEI Nº 8. 666/93.</t>
  </si>
  <si>
    <t>CÓD.</t>
  </si>
  <si>
    <t>OBSERVAÇÕES:</t>
  </si>
  <si>
    <t>DEMAIS ESPECIFICAÇÕES NO PROJETO BÁSICO!</t>
  </si>
  <si>
    <r>
      <t>1.</t>
    </r>
    <r>
      <rPr>
        <b/>
        <sz val="7"/>
        <color theme="1"/>
        <rFont val="Times New Roman"/>
        <family val="1"/>
      </rPr>
      <t xml:space="preserve">   </t>
    </r>
    <r>
      <rPr>
        <u/>
        <sz val="10"/>
        <color theme="1"/>
        <rFont val="Times New Roman"/>
        <family val="1"/>
      </rPr>
      <t xml:space="preserve">Certidão </t>
    </r>
    <r>
      <rPr>
        <u/>
        <sz val="9"/>
        <color theme="1"/>
        <rFont val="Times New Roman"/>
        <family val="1"/>
      </rPr>
      <t>Negativa de Débitos de Tributos e Contribuições Federais</t>
    </r>
    <r>
      <rPr>
        <sz val="9"/>
        <color theme="1"/>
        <rFont val="Times New Roman"/>
        <family val="1"/>
      </rPr>
      <t xml:space="preserve"> – SRF-IN N. 80/1997; </t>
    </r>
  </si>
  <si>
    <r>
      <t>2.</t>
    </r>
    <r>
      <rPr>
        <b/>
        <sz val="7"/>
        <color theme="1"/>
        <rFont val="Times New Roman"/>
        <family val="1"/>
      </rPr>
      <t xml:space="preserve">   </t>
    </r>
    <r>
      <rPr>
        <u/>
        <sz val="9"/>
        <color theme="1"/>
        <rFont val="Times New Roman"/>
        <family val="1"/>
      </rPr>
      <t>Certidão Negativa de Débitos Previdenciários – INSS</t>
    </r>
    <r>
      <rPr>
        <sz val="9"/>
        <color theme="1"/>
        <rFont val="Times New Roman"/>
        <family val="1"/>
      </rPr>
      <t xml:space="preserve"> – art. 47, inciso I, alínea a, da Lei n. 8.212/1991; </t>
    </r>
  </si>
  <si>
    <r>
      <t>3.</t>
    </r>
    <r>
      <rPr>
        <b/>
        <sz val="7"/>
        <color theme="1"/>
        <rFont val="Times New Roman"/>
        <family val="1"/>
      </rPr>
      <t xml:space="preserve">   </t>
    </r>
    <r>
      <rPr>
        <u/>
        <sz val="9"/>
        <color theme="1"/>
        <rFont val="Times New Roman"/>
        <family val="1"/>
      </rPr>
      <t>Certificado de Regularidade do FGTS/CEF</t>
    </r>
    <r>
      <rPr>
        <sz val="9"/>
        <color theme="1"/>
        <rFont val="Times New Roman"/>
        <family val="1"/>
      </rPr>
      <t xml:space="preserve"> – art. 27 da Lei n.8.036/1990;</t>
    </r>
  </si>
  <si>
    <r>
      <t>4.</t>
    </r>
    <r>
      <rPr>
        <b/>
        <sz val="7"/>
        <color theme="1"/>
        <rFont val="Times New Roman"/>
        <family val="1"/>
      </rPr>
      <t xml:space="preserve">   </t>
    </r>
    <r>
      <rPr>
        <u/>
        <sz val="9"/>
        <color theme="1"/>
        <rFont val="Times New Roman"/>
        <family val="1"/>
      </rPr>
      <t>Certidão Negativa de Débitos Estadual – DF</t>
    </r>
    <r>
      <rPr>
        <sz val="9"/>
        <color theme="1"/>
        <rFont val="Times New Roman"/>
        <family val="1"/>
      </rPr>
      <t xml:space="preserve"> – para todos os fornecedores - art. 56, § único, inciso VI Do Decreto Distrital n. 16.098/94;</t>
    </r>
  </si>
  <si>
    <t>O Critério de Julgamento será o MENOR PREÇO e/ou MENOR PRAZO DE ENTREGA.</t>
  </si>
  <si>
    <t>A QUANTIDADE A SER ADQUIRIDA PODERÁ SER MENOR DO QUE A SOLICITADA NESTE PEDIDO.</t>
  </si>
  <si>
    <t xml:space="preserve">Setor Solicitante: </t>
  </si>
  <si>
    <t xml:space="preserve">PEDIDO DE COTAÇÃO PDPAS </t>
  </si>
  <si>
    <t>Saldo remanescente</t>
  </si>
  <si>
    <t>Cod.</t>
  </si>
  <si>
    <t>Item(ns)</t>
  </si>
  <si>
    <t>Descrição</t>
  </si>
  <si>
    <t>Valor Unitário</t>
  </si>
  <si>
    <t>Valor Total</t>
  </si>
  <si>
    <t>GENÉTICA</t>
  </si>
  <si>
    <t>ADRIANO WESLEY. F. PAIVA</t>
  </si>
  <si>
    <t>CS</t>
  </si>
  <si>
    <t>FIO CATGUT CROMADO 0 70CM 1 AG. 4,0CM PTA CIL. CORPO CIL. 1/2 CIRC.</t>
  </si>
  <si>
    <t>CIANOCOBALAMINA (VITAMINA B12) SOLUÇAO INJETAVEL 1000 MCG AMPOLA 1 ML A 2 ML</t>
  </si>
  <si>
    <t>FITA MÉTRICA, Material: tecido encerado, Comprimento: 1,50 m, Graduação: graduada em cm, Características: medidas nos dois lados da fita.</t>
  </si>
  <si>
    <t xml:space="preserve">TORNEIRA DESCARTÁVEL COM TRÊS VIAS, ESTÉRIL. Aplicação: para ampliação da via de acesso venoso. Características: dividida em corpo e núcleo; o corpo da peça em plástico cristal deve possuir três vias com duas extremidades tipo luer lock e uma tipo macho com tampa; o núcleo em plástico opaco colorido deve possuir perfurações e o movimento de permitir ou bloquear o fluxo de líquidos através de movimento giratório da manopla, deve conter setas claramente visíveis na sua superfície indicando a liberação do fluxo; em tamanho padrão; que apresente perfeita adaptação aos dispositivos de infusão, não apresentando vazamento. Embalagem individual em papel grau cirúrgico, que permita a abertura em técnica asséptica, capaz de assegurar a esterilidade do produto durante o transporte, armazenamento, até o momento do uso. Apresentação: embalagem individual acondicionada em caixa.  </t>
  </si>
  <si>
    <t>CASA DA QUIMICA</t>
  </si>
  <si>
    <t>ROBERTO MARTINS</t>
  </si>
  <si>
    <t>BRAKKO</t>
  </si>
  <si>
    <t>IMUNOGLOBULINA HUMANA INJETAVEL 5G A 6G FRASCO AMPOLA</t>
  </si>
  <si>
    <t>MARTINS COMÉRCIO DE MEDICAMENTOS LTDA.</t>
  </si>
  <si>
    <t>X</t>
  </si>
  <si>
    <t>JOSENI BASTOS DE MOURA</t>
  </si>
  <si>
    <t>CONJUNTO PARA DETERMINAÇAO DE AMILASE CINETICO, AUTOMAÇAO. Aplicação:analise bioquimica. Características adicionais: equipamento automatizado. Forma de Apresentação: conjunto (kit). Prazo de Validade: 75% do prazo de validade do produto.</t>
  </si>
  <si>
    <t>TE</t>
  </si>
  <si>
    <t>G.A.C. FREITAS</t>
  </si>
  <si>
    <t>MAURO SÍRIO SIMON</t>
  </si>
  <si>
    <t>GLUCAGON PO LIOFILIZADO PARA SOLUCAO INJETAVEL 1 MG FRASCO-AMPOLA + SERINGA PRE-CARREGADA COM DILUENTE</t>
  </si>
  <si>
    <t>D2MA</t>
  </si>
  <si>
    <t>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t>
  </si>
  <si>
    <t>CONJUNTO PARA DETERMINAÇAO DE PROTEINAS TOTAIS, AUTOMACAO. Aplicação:analise bioquimica. Características adicionais: equipamento automatizado. Forma de Apresentação: conjunto (kit). Prazo de Validade: 75% do prazo de validade do produto.</t>
  </si>
  <si>
    <t>CONJUNTO PARA DETERMINAÇAO DE FOSFORO, AUTOMAÇAO. Aplicação:analise bioquimica. Características adicionais: equipamento automatizado. Forma de Apresentação: conjunto (kit). Prazo de Validade:75% do prazo de validade do produto.</t>
  </si>
  <si>
    <t>ELEMENTO FILTRANTE. Elemento filtrante microporoso de 5 micras, sem rosca, tamanho 10.</t>
  </si>
  <si>
    <t>CONJUNTO PARA DETERMINAÇAO DE SODIO, POTASSIO E CLORETOS EM SANGUE TOTAL,SORO E URINA, AUTOMAÇAO</t>
  </si>
  <si>
    <t>SISTEMA DE ANESTESIA BARAKA EM BORRACHA COMPLETO (Traquéia, Com Borracha Completo Tipo Duplo T, Bolsa De Reinalação De 500 Ml - Pediátrico. Traquéia, Conexões, Bolsa, Mascara Com Coxim). Cada sistema de anestesia deverá conter: * 01 Traqueia de Silicone 30cm; * 02 Intermediários com entrada lateral; * 01 Balão de reinalação (tamanhos listados abaixo); *01 Máscara facial pediátrica; e * 01 Conector 90º. Os balões de reinalação devem ser de tamanhos variados: *2 balões de 500ml; *2 balões de 1 litro; *2 balões de 2 litros; *2 balões de 3 litros; e *2 balões de 5 litros.</t>
  </si>
  <si>
    <t>KG</t>
  </si>
  <si>
    <t>ELETRODO P/ACO INOX OK 61,30 0 2,5MM</t>
  </si>
  <si>
    <t>LIXA PARA MADEIRA , Referência Grão: nº 100, Dimensões: 120 x 200 mm, Características Adicionais: costado de papel.</t>
  </si>
  <si>
    <t>FL</t>
  </si>
  <si>
    <t>LIXA PARA MADEIRA, Referência Grão: nº 150, Dimensões: 120 x 200 mm, Características Adicionais: costado de papel.</t>
  </si>
  <si>
    <t>LIXA PARA MADEIRA, Referência Grão: nº 220, Dimensões: 275 x 225 mm, Características Adicionais: costado de papel</t>
  </si>
  <si>
    <t>TARUGO DE PINHO APARELHADA NAS 4 FACES S/NOS MEDINDO 7CMX7CM ACIMA DE 4,50M DE 1a QUALIDADE</t>
  </si>
  <si>
    <t>MT</t>
  </si>
  <si>
    <t>VERNIZ PARA MADEIRA,Cor: incolor, Aplicação: multiuso, Características Adicionais: verniz marítimo, Unidade De Fornecimento: galão de 3,60 litros</t>
  </si>
  <si>
    <t>DISCO DE CORTE PARA LIXADEIRA MED. 10X1/8´´X3/4´´</t>
  </si>
  <si>
    <t>DISCO P/MAQUINA POLICORTE C/02TELAS 10X1/2´´X1/8´´.</t>
  </si>
  <si>
    <t>LIXA PARA MATERIAIS FERROSOS,Material: carbureto de silício, Aplicação: material ferroso, Referência Grão: nº 80, Dimensões: 275 x 225 mm</t>
  </si>
  <si>
    <t>BROCA DE VIDEA S-8</t>
  </si>
  <si>
    <t>BROCA DE VIDEA S-6</t>
  </si>
  <si>
    <t>TINTA ESMALTE SINTÉTICO; Cor: preto auto-brilho; Galão 3.600 ML.</t>
  </si>
  <si>
    <t>TINTA ESMALTE SINTÉTICO; Cor: preto fosco; Unidade de fornecimento: galão 3,60 litros.</t>
  </si>
  <si>
    <t>TINTA esmalte sintética automotiva; Cor: branca real; Características adicionais: secagem rápida; Unidade de fornecimento: lata com 0,90 litros.</t>
  </si>
  <si>
    <t>COLA abrasiva Epoxi c/ 2 Bisnagas, 01 c/ resina epóxi p/ mistura c/ 01 endurecedor a base de polimercaptona c/ secagem rápida.</t>
  </si>
  <si>
    <t>CX</t>
  </si>
  <si>
    <t>COLA; Material: plástica; apresentação: adesivo instantâneo; Aplicação: múltipla; Unidade de fornecimento: tubo com 03 gramas.</t>
  </si>
  <si>
    <t>ADAPTADOR UNIVERSAL para tomadas elétricas – Padrão antigo, conversão para novo com 03 pinos. (Obs: pinos 2P+T).</t>
  </si>
  <si>
    <t>ADAPTADOR UNIVERSAL para tomadas elétricas – Padrão novo 3 pinos, conversão para padrão antigo. (Obs: padrão antigo 2P+T).</t>
  </si>
  <si>
    <t>CESAR</t>
  </si>
  <si>
    <t>MH</t>
  </si>
  <si>
    <t>FLUXÔMETRO PARA REDE CANALIZADA DE OXIGÊNIO</t>
  </si>
  <si>
    <t>FRASCO PLASTICO DESCARTAVEL BOCA LARGA ESTERIL PARA UROCULTURA</t>
  </si>
  <si>
    <t>CONJUNTO PARA DETERMINAÇAO DO TEMPO DE TROMBOPLASTINA ATIVADA (TTPA) EM EQUIPAMENTO SEMI-AUTOMATIZADO DE NO MINIMO DOIS CANAIS METODOLOGIA COAGULOMETRICA</t>
  </si>
  <si>
    <t>KIT P/GASTROSTOMIA ENDOSCOPICA SISTEMA PULL MODELO ADULTO</t>
  </si>
  <si>
    <t xml:space="preserve">IMUNOGLOBULINA  ANTI-RHO (D) SOLUÇAO INJETAVEL DE  250 MCG A 300 MCG FRASCO -AMPOLA OU SERINGA PREENCHIDA  </t>
  </si>
  <si>
    <t>Adesivo para PVC, Composição: cola plástica, Aplicação: tubos e conexões em PVC, Unidade de fornecimento: lata de 850 gramas</t>
  </si>
  <si>
    <t xml:space="preserve">PAPEL P/COPIA COLORIDO 75GR/M2 MEDINDO 210X297MM FORMATO A4 RESMA COM 500 FOLHAS 1. </t>
  </si>
  <si>
    <t>FILTRO DE TRIPLA FILTRAÇÃO FLEX PARA FILTRO PURIFICADOR</t>
  </si>
  <si>
    <t>CONJUNTO ARSTOP DE 20A 220V COMPLETO (COMPOSTO DE CAIXA , TOMADA E DISJUNTOR)</t>
  </si>
  <si>
    <t>FITA SIMPLES FACE DE ALUMÍNIO</t>
  </si>
  <si>
    <t>GÁS FREON R 22</t>
  </si>
  <si>
    <t>GÁS REFRIGERANTE SULVA MP 39</t>
  </si>
  <si>
    <t>PLACA DE SUPORTE PLATEAU TIBIAL 14 FUROS: placa ortopédica, material aço inoxidável, tipo suporte plateau tibial, com 14 furos, para parafuso de 4,5mm</t>
  </si>
  <si>
    <t>PLACA DE SUPORTE PLATEAU TIBIAL 12 FUROS: placa ortopédica, material aço inoxidável, tipo suporte plateau tibial, com 12 furos, para parafuso de 4,5mm.</t>
  </si>
  <si>
    <t>CALDO TIOGLICOLATO - 500G</t>
  </si>
  <si>
    <t>JOSÉ LUIZ</t>
  </si>
  <si>
    <t>ADRIANA LIRA</t>
  </si>
  <si>
    <t>EQUIPEMED</t>
  </si>
  <si>
    <t>JOSÉ AIRTON</t>
  </si>
  <si>
    <t>SANTÉ</t>
  </si>
  <si>
    <t>SANTÉ PRODUTOS HOSPITALARES LTDA.</t>
  </si>
  <si>
    <t>BIOLOG</t>
  </si>
  <si>
    <t>LUIZ A. PINEDO</t>
  </si>
  <si>
    <t>PLAST LABOR</t>
  </si>
  <si>
    <t>PLAST LABOR INDÚSTRIA E COMÉRCIO DE E H LAB LTDA.</t>
  </si>
  <si>
    <t>RECMED</t>
  </si>
  <si>
    <t>SUZANA / VALDINEIDE / JUAREZ</t>
  </si>
  <si>
    <t>THEMED</t>
  </si>
  <si>
    <t>JOSÉ RAIMUNDO</t>
  </si>
  <si>
    <t>TRAUMA SUGIRCAL</t>
  </si>
  <si>
    <t>MARK FREEZER</t>
  </si>
  <si>
    <t>TERESA FILHA FONTINELE</t>
  </si>
  <si>
    <t>BRASÍLIA UTILIDADES</t>
  </si>
  <si>
    <t>KARINA OLIVEIRA DA SILVA</t>
  </si>
  <si>
    <t>BRASFREEZER</t>
  </si>
  <si>
    <t>ALEXANDRE ALARCÃO</t>
  </si>
  <si>
    <t>KIT PARA ASPIRACAO MANUAL INTRA UTERINA (AMIU) C/SERINGA VALVULA DUPLA 8 CANULAS TAM.4/5/6/7/8/9/10 E 12.</t>
  </si>
  <si>
    <t>KIT DE BIOPSIA DE ENDOMETRIO COM 1 SERINGA VALVULA SIMPLES, 2 CANULAS Nº 4, 1 CANULA Nº 5, 1 CANULA Nº 6, 1 FRASCO DE SILICONE</t>
  </si>
  <si>
    <t xml:space="preserve">CONJUNTO PARA DETERMINAÇÃO DE TEMPO E ATIVIDADE DA PROTROMBINA (TAP) ISE MAXIMO DE 1.2 EM EQUIPAMENTO SEMI-AUTOMATIZADO DE NO MINIMO DOIS CANAIS METODOLOGIA COAGULOMETRICA. </t>
  </si>
  <si>
    <t>SILVANA</t>
  </si>
  <si>
    <t>BS</t>
  </si>
  <si>
    <t>CAIXA ORGANIZADORA, Material:***, Características Adicionais: Caixa plástica organizadora, tipo maleta, confeccionada em polipropileno resistente, lavável, com trava frontal, tampa articulada e alça para transporte. Dimensões Aproximadas:omprimento: 40 cm x LARGURA: 20 cm, x Altura: 20 cm. Uma bandeja interna, móvel e subdividida, e compartimento inferior, abaixo da bandeja, sem divisórias, Unidade de Fornecimento: unidade.</t>
  </si>
  <si>
    <t>PC</t>
  </si>
  <si>
    <t xml:space="preserve">FRASCO COM MEIO LÍQUIDO PARA HEMOCULTURA ADULTO - AUTOMACAO (deve ser compatívél para o uso em maquinas da marca BACTEC) </t>
  </si>
  <si>
    <t>AMINOFILINA SOLUCAO INJETAVEL 24 MG/ML AMPOLA 10 ML</t>
  </si>
  <si>
    <t>GLICERINA SOLUÇÃO ENEMA (CLISTER) 12 % FRASCO 500 ML COM SONDA RETAL</t>
  </si>
  <si>
    <t>MEPIVACAINA 2% C/V 1:100.000 UI (TUBETE)</t>
  </si>
  <si>
    <t xml:space="preserve">FRASCO COM MEIO LÍQUIDO PARA HEMOCULTURA INFANTIL - AUTOMACAO (deve ser compatívél para o uso em maquinas da marca BACTEC) </t>
  </si>
  <si>
    <t>CART.</t>
  </si>
  <si>
    <t>BS MADEIRAS</t>
  </si>
  <si>
    <t>SELMA ALVES FERREIRA</t>
  </si>
  <si>
    <t>AVENTAL DESCARTÁVEL, Material: tecido TNT impermeável, Apresentação: com mangas longas, Tamanho: grande, Gramatura: 40 g/m², Cor: branca, Aplicação: para UTI.</t>
  </si>
  <si>
    <t>CALÇA PRIVATIVA, Aplicação: para servidor da área restrita e semirestrita, Material: Tecido liso, cor azul, 50% algodão e 50% poliéster, Linha 100% algodão, Tamanho: 44 Características: Peça simples, cintura com elástico Costura dupla, linha 100% algodão, Comprimento total: 115 cm, Largura da cintura: 54 cm, Largura da perna: 24 cm, Tecido tela 50% algodão 50% poliésterfio 30, 105 no urdume e 75 na trama, tingimento em idantrem encolhimento 5% no Urdume e 3% na trama, peso mínimo 126g/m², Variação de medida do produto acabado ± 3 cm, Apresentar na calça logomarca SES-DF na parte anterior da perna esquerda medindo 15x15cm na cor verde bandeira e sigla do hospital na perna direita verticalmente na cor preta, Forma de Apresentação: Embalagem primária em saco plástico com no máximo 10 unidades e secundaria em caixa de papelão com no máximo 100 unidades, Unidade de Estoque: Unidade, Unidade de fornecimento: Unidade, Código SES. 13961</t>
  </si>
  <si>
    <t>PAPELARIA ÁGAPE</t>
  </si>
  <si>
    <t>IGOR DA SILVA ROSA</t>
  </si>
  <si>
    <t xml:space="preserve">FILTRO DE AR, Aplicação: para ar condicionado central, fabricado em moldura de papelão rígido com telas metálicas em ambos os lados e meio filtrante em manta de poliéster. Conforme a norma 16401 ABNT.  Medida: 593 X 593 X 45 mm. </t>
  </si>
  <si>
    <t>ENGATE RÁPIDO; material: latão; aplicação: para água; características adicionais: conexão rosca interna de 3/4, Para ser utilizado em máquinas de OSMOSE REVERSA.</t>
  </si>
  <si>
    <t>AZITROMICINA PO PARA SUSPENSAO ORAL COM 900 MG PARA PREPARO DE SUSPENSAO DE 40 MG/ML FRASCO 22,5 ML</t>
  </si>
  <si>
    <t>BETAMETASONA (VALERATO) CREME 0,1 % BISNAGA 15 G</t>
  </si>
  <si>
    <t>CETOCONAZOL CREME 2 % BISNAGA 30 G</t>
  </si>
  <si>
    <t>DEXAMETASONA (ACETATO OU FOSFATO) ELIXIR 0,1 MG/ML FRASCO 100 ML COM DOSEADOR</t>
  </si>
  <si>
    <t>HIDROXIDO DE ALUMINIO + HIDROXIDO DE MAGNESIO SUSPENSAO ORAL (60 MG + 40 MG)/ML FRASCO COM NO MINIMO 100 ML</t>
  </si>
  <si>
    <t>METRONIDAZOL GELEIA VAGINAL 100MG/G BISNAGA 50G +APLICADOR</t>
  </si>
  <si>
    <t>CJ</t>
  </si>
  <si>
    <t>ACICLOVIR (SODICO) PO PARA SOLUCAO INJETAVEL 250 MG FRASCO-AMPOLA</t>
  </si>
  <si>
    <t>CIENTÍFICA</t>
  </si>
  <si>
    <t>MARK FREEZER (TERESA FILHA FONTINELE - ME).</t>
  </si>
  <si>
    <t xml:space="preserve">MICONAZOL CREME VAGINAL 20MG/G BISNAGA 80 G + APLICADOR </t>
  </si>
  <si>
    <t xml:space="preserve">PROPATILNITRATO COMPRIMIDO 10 MG  </t>
  </si>
  <si>
    <t xml:space="preserve">CORTADOR DE FIOS ARTICULADO, Aplicação: Cirurgia Ortopédica Material: Aço inoxidável AISI,  Tamanho: 216 mm, com capacidade para cortar fios de até 2,4 mm de espessura. Características: A peça deverá apresentar um bom acabamento superficial e adequada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 </t>
  </si>
  <si>
    <t xml:space="preserve">ALICATE  CORTA FIO DE KISCHNER, aplicação: cirurgia ortopédica, material: aço inox, comprimento: aproximadamente de 25 cm, para fios de até 2.0. </t>
  </si>
  <si>
    <t xml:space="preserve">ALICATE CORTA FIO DE STEIMNANN, aplicação: uso em cirurgia ortopédica, material: aço inox, tamanho: aproximadamente 45 cm, para corte de fio de 2.5 mm acima. </t>
  </si>
  <si>
    <t xml:space="preserve">ALICATE DE CORTE PARA CERCLAGEM, Aplicação:Cirurgia Ortopédica, Material:Aço inoxidável AISI, Tamanho: 220 mm de comprimento, com capacidade para corte até 2,5mm de diâmetro, Alicate de corte grande para arame de cerclagem. Características: A peça deverá apresentar um bom acabamento superficial e adequada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  </t>
  </si>
  <si>
    <t>ADESIVO com abertura central utilizando para proteger a pele do bebe que esta em fototerapia, objetivando o uso do billirubinômetro não invasivo. Aplicação/finalidade: Protetor adesivo para separar uma área a ser analisada (medição),durante a fototerapia; Material/composição: Protetor foto-opaco com adesividade;Tamanho/capacidade: Características (quando necessário): Embalagem individual Processo de esterilização: Uso único Forma de apresentação: Pacote com 50 unidades; Prazo de validade:02 anos-após data de fabricação.</t>
  </si>
  <si>
    <t>BRASÍLIA UTILIDADES (KARINA OLIVEIRA DA SILVA - EPP).</t>
  </si>
  <si>
    <t>PULSEIRA DE IDENTIFICAÇÃO BRANCA,  Aplicação: Identificação para classificação de risco, Material:fibra de polietileno de alta densidade, Tamanho: Dimensão:2,0 cm (largura) x 24 cm (comprimento).  Características: polipropileno , descartável, anti-alérgica , macia e resistente, lacre com fechamento auto colante, medida: 24 x 2cm. Processo de esterilização: Não se aplica, Forma de apresentação: unidade, Prazo de validade: Não se aplica. Unidade de Estoque: Unidade (Unid)</t>
  </si>
  <si>
    <t>PULSEIRA DE IDENTIFICAÇÃO AZUL,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</si>
  <si>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VERDE,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</si>
  <si>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AMARELO,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</si>
  <si>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LARANJA,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</si>
  <si>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PULSEIRA DE IDENTIFICAÇÃO VERMELHO,  Aplicação:Identificação para classificação de risco, Material:fibra de polietileno de alta densidade, Tamanho: Dimensão:2,0 cm (largura) x 24 cm (comprimento).  Características: polipropileno , descartável, anti-alérgica, macia e resistente, lacre com fechamento auto colante, medida: 24 x 2cm.  Processo de esterilização: Não se aplica, Forma de apresentação: unidade, Prazo de validade: Não se aplica, Unidade de estoque: Unidade (Unid).</t>
  </si>
  <si>
    <t>KELLY / RODRIGO TOLEDO</t>
  </si>
  <si>
    <t>AZUL PATENTE V SOLUÇÃO INJETÁVEL 2,5 % CORANTE ESTERIL</t>
  </si>
  <si>
    <t>CONJUNTO PARA DETERMINAÇAO DE MAGNESIO. Aplicação:analise bioquimica. Características adicionais: equipamento automatizado. Forma de Apresentação:conjunto (kit). 
Prazo de Validade: 75% do prazo de validade do produto.</t>
  </si>
  <si>
    <t xml:space="preserve">AGULHA HIPODÉRMICA 40 X 16, C/ DISPOSITIVO DE SEGURANÇA, DESCARTÁVEL. Aplicação: administração de medicamentos. Material: cânula em aço polido, canhão em polipropileno cor padrão (branco).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 </t>
  </si>
  <si>
    <t>AGULHA HIPODÉRMICA 20 X 5,5 COM DISPOSITIVO DE SEGURANÇA, DESCARTÁVEL. Aplicação: administração de medicamentos. Material: cânula em aço polido, canhão em polipropileno cor padrão (lilás). Características adicionais: estéril, cânula siliconizada, polida, isenta de aspereza, com lúmen limpo, bisel trifacetado, afiado, livre de rebarbas. Canhão que proporcione encaixe perfeito às seringas, cateteres, escalpes, etc. Que a junção canhão cânula não se desprenda com o uso e o manuseio. Com dispositivo de segurança de fácil ativação, que não interfira no desenvolvimento da técnica e que ofereça segurança ao profisisonal de saúde. Embalada individualmente em papel grau cirúrgico que facilite a abertura em técnica asséptica e que assegure a esterilidade do produto durante o transporte e armazenamento até o seu uso. Apresentação: embalagem individual acondicionada em caixa.</t>
  </si>
  <si>
    <t>ATADURA DE ALGODAO ORTOPEDICO 20CMX150CM (COMP.MINIMO)</t>
  </si>
  <si>
    <t>POLARFIX</t>
  </si>
  <si>
    <t>KELLY</t>
  </si>
  <si>
    <t>IODOPOVIDONA SOLUCAO DEGERMANTE 10 MG/ML EM IODO FRASCO 1000 ML</t>
  </si>
  <si>
    <t>KIT C/CATETER 18G POLIURETANO RADIOPACO P/ACESSO VENOSO CENTRAL GUIA METALICA AGULHA DE PUNCAO BISTURI E FIXADORES</t>
  </si>
  <si>
    <t>MIDAZOLAM SOLUCAO INJETAVEL 5 MG/ML AMPOLA 10 ML</t>
  </si>
  <si>
    <t>CORRENTE, Material: ferro polido, Dimensões dos Elos: 3/8 pol.</t>
  </si>
  <si>
    <t>NOVA HOSPITALAR</t>
  </si>
  <si>
    <t>ADRIANO CIPRIANO</t>
  </si>
  <si>
    <t>ASTEM</t>
  </si>
  <si>
    <t xml:space="preserve">CONJUNTO DE DERIVAÇÕES REUTILIZÁVEIS DE ECG, 3 vias, tipo clip, padrão IEC, aplicável a pacientes neonatais, modelo EL6306A. Aplicação/Finalidade: Conectar o corpo humano ao monitor de ECG modelos iPM9800 e BeneView, marca Mindray, através de eletrodos e do cabo tronco, para a captação e transferência de sinais de ECG. Material/Composição: Não contém látex. Tamanho/Capacidade: Os 3 fios de extensão tem 1m de comprimento cada.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com um pano umedecido em álcool 70%, retirar o excesso de álcool com um pano umedecido em água e deixar secar ao ar. Forma de Apresentação: Unitário em saco plástico com desumidificador. </t>
  </si>
  <si>
    <t xml:space="preserve">EXTENSÃO(MANGUEIRA) PARA PRESSÃO NÃO INVASIVA, com conectores, aplicável a manguitos descartáveis neonatais, para monitores modelo iPM9800 e BeneView. Aplicação/Finalidade: Transmitir a pressão não invasiva captada pelo manguito pelo método oscilométrico, ao monitor de Pressão Não Invasiva, modelos iPM9800 e BeneView. Material/Composição: Não contém látex. Tamanho/Capacidade: A mangueira tem 3m de comprimento. Processo de Esterilização: Não mergulhar em líquidos; não molhar o conector; limpar com pano úmido com solução de água + detergente líquido; secar completamente o interior da mangueira para não danificar o equipamento ou alterar as medidas; desinfetar com um pano umedecido em álcool 70%. Forma de Apresentação: Unitário em saco plástico. Prazo de Validade: Indeterminado.
</t>
  </si>
  <si>
    <t>CABO TRONCO REUTILIZÁVEL DE ECG, 12 pinos, 3 vias, proteção contra desfibrilador, modelo EV6202 Neonatal. Aplicação/Finalidade: Conectar o corpo humano ao monitor de ECG modelos iPM9800 e BeneView, marca Mindray, através do conjunto de devações(rabichos), para a trasferência de sinais de ECG. Material/Composição: Não contém látex. Tamanho/Capacidade: 2,9 metros de comprimento. Características Adicionais: O cabo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com um pano umedecido em álcool 70%, retiar o excesso de álcool com um pano umedecido em água e deixar secar ao ar. Forma de Apresentação: Unitário em saco plástico com desumidificador.</t>
  </si>
  <si>
    <t>BRAÇADEIRA DESCARTÁVEL PARA PRESSÃO NÃO INVASIVA, para pacientes neonatos, ref. CM1500A, n°1. Aplicação/finalidade: Captar a Pressão Não Invasiva de pacientes neonatais tamanho 1, pelo método oscilométrico, para o monitores de Pressão Não Invasiva. Material/composição: Silicone. Não contém látex. Não contém PVC. Tamanho/capacidade: Para pacientes neonatos com circunferência de braço entre 3,1cm e 5,7cm.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</si>
  <si>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CM1500B, n°2. Aplicação/finalidade: Captar a Pressão Não Invasiva de pacientes neonatais tamanho 2, pelo método oscilométrico, para o monitores de Pressão Não Invasiva.
Material/composição: Silicone. Não contém látex. Não contém PVC. Tamanho/capacidade: Para pacientes neonatos com circunferência de braço entre 4,3cm e 8,0cm.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</si>
  <si>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CM1500C, n°3. Aplicação/finalidade: Captar a Pressão Não Invasiva de pacientes neonatais tamanho 3, pelo método oscilométrico, para o monitores de Pressão Não Invasiva. Material/composição: Silicone. Não contém látex. Não contém PVC. Tamanho/capacidade: Para pacientes neonatos com circunferência de braço entre 5,8cm e 10,9cm. Características Adicionais: Mangueira única. Processo de esterilização: Não se aplica. Uso único. Forma de apresentação: Unitário em saco plástico. Prazo de validade: Indeterminado.</t>
  </si>
  <si>
    <t>BRAÇADEIRA DESCARTÁVEL PARA PRESSÃO NÃO INVASIVA, para pacientes neonatos, ref. CM1500D, n°4. Aplicação/finalidade: Captar a Pressão Não Invasiva de pacientes neonatais tamanho 4, pelo método oscilométrico, para o monitores de Pressão Não Invasiva. Material/composição: Silicone. Não contém látex. Não contém PVC. Tamanho/capacidade: Para pacientes neonatos com circunferência de braço entre 7,1cm e 13,1cm. Características Adicionais: Mangueira única. Processo de esterilização: Não se aplica. Uso único. Forma de apresentação: Unitário em saco plástico. Prazo de validade: Indeterminado.</t>
  </si>
  <si>
    <t>SENSOR DE TEMPERATURA REUTILIZÁVEL, 2 pinos, tipo endocavitário (retal ou esofágico) , aplicável a pacientes pediátricos e neonatais, série MR400. Aplicação/finalidade: Conectar o corpo humano ao monitor de temperatura modelos iPM9800 e BeneView, marca Mindray, para a medida contínua de temperatura. Material/composição: Não contém látex. Tamanho/capacidade: O sensor tem 3m de comprimento.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 (somente quando for estritamente necessário) com um pano umedecido em álcool 70%, retirar o excesso de álcool com um pano umedecido em água e deixar secar ao ar. Forma de apresentação: Unitário em saco plástico com desumidificador.</t>
  </si>
  <si>
    <t>SENSOR DE TEMPERATURA REUTILIZÁVEL, 2 pinos, tipo superficial(cutânea), aplicável a pacientes pediátricos e neonatais, série MR400. Aplicação/finalidade: Conectar o corpo humano ao monitor de temperatura modelos iPM9800 e BeneView, marca Mindray, para a medida contínua de temperatura. Material/composição: Não contém látex. Tamanho/capacidade: O sensor tem 3m de comprimento. Características Adicionais: O conjunto de cabos cumpre com os requisitos das normas IEC60601-1 e ANSI/AAMI EC53. Componente externo tipo CF, ou seja, possui alto grau de proteção contra choques elétricos. Processo de esterilização: Não mergulhar em líquidos; não molhar os pinos de conexão; limpar com pano umedecido em água, secar com pano seco e deixar secar ao ar; desinfetar(somente quando for estritamente necessário)com um pano umedecido em álcool 70%, retirar o excesso de álcool com um pano umedecido em água e deixar secar ao ar.
Forma de apresentação: Unitário em saco plástico com desumidificador</t>
  </si>
  <si>
    <t>LUANA / LEWANDER</t>
  </si>
  <si>
    <t>ALÇA CALIBRADA DESCARTÁVEL, CAPACIDADE 1 MICROLITRO(1mcL) EM EMBALAGEM INDIVIDUAL</t>
  </si>
  <si>
    <t>ALÇA CALIBRADA DESCARTAVEL, CAPACIDADE 10 MICROLITROS(10mcL) EM EMBALAGEM INDIVIDUAL</t>
  </si>
  <si>
    <t>FLÁVIO MAIA</t>
  </si>
  <si>
    <t>PRO DOCTOR</t>
  </si>
  <si>
    <t>PRO DOCTOR (A F MANUTENÇÃO ODONTO-HOSPITALAR LTDA - ME.)</t>
  </si>
  <si>
    <t>MARCOS JOSÉ</t>
  </si>
  <si>
    <t>CAIXA COLETORA,Capacidade 7 litros, Aplicação: coletora de material perfurocortante, Material: resistente a perfuração, impermeável, Tamanho/Capacidade: Características Adicionais: com alça para transporte, símbolo da ABNT, Prazo de validade: 75% do prazo total de validade do produto, Unidade De Estoque: unidade ( UM ), Código SES: 004977, Unidade De Fornecimento: unidade</t>
  </si>
  <si>
    <t>CAIXA COLETORA, Capacidade: 13 litros, Aplicação: coletora de material perfurocortante, Material: resistente a perfuração, impermeável Características Adicionais: com alça para transporte, símbolo da ABNT, Tamanho/Capacidade: 13 litros, Prazo de validade: 75% do prazo total de validade do produto, Unidade De Estoque: unidade ( UM ), Código SES: 004978, Unidade De Fornecimento: unidade</t>
  </si>
  <si>
    <t>PONTA DESCARTAVEL P/ SUGADORES DE SALIVA PCT. C/ 40 UNIDADES</t>
  </si>
  <si>
    <t>ESCOVA DE ROBSON TIPO PINCEL P/CONTRA-ÂNGULO</t>
  </si>
  <si>
    <t>ANESTESICO TOPICO EM BISNAGA OU POTE</t>
  </si>
  <si>
    <t>TIRAS DE ACO P/ACABAMENTO RESTAURADOR GRANULACAO FINA 4MM</t>
  </si>
  <si>
    <t>AP TORTELLI</t>
  </si>
  <si>
    <t>LUCIANO TORTELLI</t>
  </si>
  <si>
    <t>DENTAL PRINCIPAL</t>
  </si>
  <si>
    <t>RIBEIRO DE JESUS MARTINS</t>
  </si>
  <si>
    <t>KIT P/GASTROSTOMIA PERCUTANEA PEG 24 PULL</t>
  </si>
  <si>
    <t>SONDA DE TROCA DE  GASTROSTOMIA PERCUTÂNEA 24Fr, UTILIZADO PARA SUBSTITUIÇAO DO TUBO DE GASTROSTOMIA PERCUTÂNEA COM BALÃO,COMPOSTO DE 1 TUBO DE SILICONE PARA ALIMENTAÇÃO 24 Fr E BALÃO DE SILICONE DE 24 CC DE CAPACIDADE.1 BANDEJA PARA PREPARO, COM 5 COMPRESSAS DE GAZES, UMA FITA, UM MANUAL DE INSTRUÇOES, UM MANUAL DE CUIDADOS DO PACIENTE, UMA TABEELA DE PRECAUÇOES, UMA PRESILHA DO TUBO, UM ADAPTADOR UNIVERSAL, 2 SERINGAS DE 10 CC.CONFECIONADO EM SILICONE TRANSPARENTE, AÇO INOXIDÁVEL, CLORETO DE POLIVINILA, ALÇGODÃO HIDRÓFILO, NAYLON E POLITETRAFLUORETILENO. ACONDICIONADO EM EMBALAGEM INDIVIDUAL, ESTERELIZADO EM ÓXDO DE ETILENO, COM VALIDADE DE 75% DO PRAZO TOTAL DE VALIDADE DO PRODUO.</t>
  </si>
  <si>
    <t>FUROSEMIDA SOLUCAO INJETAVEL 10 MG/ML AMPOLA 2 ML</t>
  </si>
  <si>
    <t>ACIDO TRANEXAMICO SOLUCAO INJETAVEL 50 MG/ML AMPOLA 5 ML</t>
  </si>
  <si>
    <t>RENOVADOR DE INSTRUMENTAL:  Aplicação: remoção de oxidações, crostas, manchas e placas de minerais de artigos cirúrgicos. Ser permeáveis ao agente esterilizante. Material: para instrumental cirúrgico de aço inoxidável. Não estéril. Forma de apresentação: produto a base de ácido fosfórico e detergente não iônico, específico para remoção de oxidação, crostas, manchas e placas de minerais dos artigos. Possiu pH 1,0, concentração de 2 a 5% em água fria ou quente, por um tempo de imersão de 1 hora. Pode ser utilizado de forma manual ou em máquina automatizada. Forma de apresentação: recipiente de 1 litro. Constando na embalágem o número do lote, data da fabricação, prazo de validade, procedência, marca comercial, registro no Ministério da Saúde e farmacêutico responsável. Odor suave e agradável.</t>
  </si>
  <si>
    <t>ENXAGUANTE COM EFEITO LUBRIFICANTE E ATIVADOR DE SECAGEM PARA INSTRUMENTAIS CIRÚRGICOS. Aplicação: lubrificar as articulaçãoes e ativar a secagem dos instrumentais cirúrgicos, reduzindo o atrito direto do metal preservando-os assim por mais tempo. Ser permeáveis ao agente esterilizante Forma de apresentação: Possui pH neutro, não corrosivo, composto de óleo mineral ou monopropilenoglicol e água; específico para enxágue e lubrificação de instrumentais cirúrgicos, pode ser usado de forma manual ou automatizada. Atóxico, resistente ao calor e totalmente permeável ao vapor da autoclave não interferindo no processo de esterilização. Forma de apresentação: recipiente de 1 litro. Acondicionado em material que garanta a integridade do produto, rótulo com número do lote, data de fabricação, validade, procedência e notificação no Ministério da Saúde. Com odor suave e agradável.</t>
  </si>
  <si>
    <t>LI</t>
  </si>
  <si>
    <t>DTUDO</t>
  </si>
  <si>
    <t>FILME RADIOLÓGICO, Tamanho: 18 x 24 cm, Aplicação: exames radiológicos, Características Adicionais:  ortocromáticos, sensível  a écrans intensificadores de luz verde e que permita manuseio com luz de segurança e processamento automático, Ciclo Rápido: ( 48 segundos ), Padrão: estendido, Apresentação: caixa com 100 películas.</t>
  </si>
  <si>
    <t>FILME RADIOLÓGICO, Tamanho: 24 x 30 cm, Aplicação: exames radiológicos,Características Adicionais: ortocromáticos, sensível a écrans, intensificadores de luz verde e que permita manuseio com luz de segurança e processamento automático, Ciclo rápido: ( 48 segundos ), Padrão: estendido, Apresentação: caixa com 100 películas.</t>
  </si>
  <si>
    <t>FERRO CHATO Largura: 1 pol, Espessura: 3/16 pol, Material: ferro chato, Unidade de Fornecimento: barra 6 metros.</t>
  </si>
  <si>
    <t>BR</t>
  </si>
  <si>
    <t>FUSIVEL DE VIDRO 1A PEQUENO.</t>
  </si>
  <si>
    <t>FUSIVEL DE VIDRO PEQUENO DE 4A.</t>
  </si>
  <si>
    <t>FUSIVEL DE VIDRO PEQUENO DE 6A.</t>
  </si>
  <si>
    <t>FUSIVEL DE VIDRO GRANDE 4A.</t>
  </si>
  <si>
    <t>FUSIVEL DE VIDRO GRANDE 6A.</t>
  </si>
  <si>
    <t>FUSIVEL DE VIDRO GRANDE – 10A.</t>
  </si>
  <si>
    <t>RODYNEI DARELLA</t>
  </si>
  <si>
    <t>DALTON SANTOS</t>
  </si>
  <si>
    <t>MM MIX</t>
  </si>
  <si>
    <t>MARINA LACERDA</t>
  </si>
  <si>
    <t>ELÉTRICA ESTRELA</t>
  </si>
  <si>
    <t>EDINALDO</t>
  </si>
  <si>
    <t>CISATRACURIO (BESILATO) SOLUCAO INJETAVEL 2 MG/ML AMPOLA 5 ML</t>
  </si>
  <si>
    <t>CONJUNTO PARA DETERMINAÇAO DE UREIA ENZIMATICA, AUTOMAÇAO</t>
  </si>
  <si>
    <t>CONJUNTO PARA DETERMINAÇAO DE HDL COLESTEROL, AUTOMAÇAO</t>
  </si>
  <si>
    <t>RANITIDINA XAROPE 15 MG/ML FRASCO 120 ML</t>
  </si>
  <si>
    <t>FIO DE SUTURA DE POLIAMIDA MONOFILAMENTAR 2-0, 45CM, COM 01 AGULHA DE 4,0CM PONTA E CORPO CORTANTE 3/8 CIRCULO</t>
  </si>
  <si>
    <t>FIO DE SUTURA DE SEDA TRANCADA 2-0, 15X45CM, SEM AGULHA.</t>
  </si>
  <si>
    <t>LÂMPADA COR AZUL ESPECIAL 20W P/ FOTOTERAPIA (FLUORESCENTE)</t>
  </si>
  <si>
    <t>KRISTA</t>
  </si>
  <si>
    <t>SALVANDI</t>
  </si>
  <si>
    <t xml:space="preserve">NALOXONA (CLORIDRAT0) SOLUÇÃO INJETÁVEL 0,4 MG/ML AMPOLA 1 ML </t>
  </si>
  <si>
    <t xml:space="preserve">METRONIDAZOL COMPRIMIDO 400 MG </t>
  </si>
  <si>
    <t>JÉSSICA FERNANDES / ELIANE PIRES</t>
  </si>
  <si>
    <t>PRINT MASTER</t>
  </si>
  <si>
    <t>KARLA SILVA</t>
  </si>
  <si>
    <t>CONJUNTO PARA DETERMINACAO DE HEMOGLOBINA GLICADA, SISTEMA AUTOMATIZADO POR METODOLOGIA HPLC-CROMATOGRAFIA LIQUIDA DE ALTA PERFORMANCE</t>
  </si>
  <si>
    <t>ATADURA DE ALGODAO ORTOPEDICO 10CMX150CM (COMP.MINIMO)</t>
  </si>
  <si>
    <t>ATADURA DE ALGODAO ORTOPEDICO 15CMX150CM (COMP.MINIMO)</t>
  </si>
  <si>
    <t>VD</t>
  </si>
  <si>
    <t>ESPONJA DE FIBRINA P/HEMOSTASIA</t>
  </si>
  <si>
    <t>TACA DE BORRACHA BRANCA P/CONTRA ANGULO P/PROFILAXIA C/INTERMEDIARIOL PEQUENO</t>
  </si>
  <si>
    <t>MATRIZ EM ACO 5X0,05</t>
  </si>
  <si>
    <t>ACIDO ACETILSALICILICO COMPRIMIDO 100 MG</t>
  </si>
  <si>
    <t>AZITROMICINA PO PARA SOLUCAO INJETAVEL 500 MG FRASCO AMPOLA</t>
  </si>
  <si>
    <t>CEFEPIMA PO PARA SOLUCAO INJETAVEL 1 G FRASCO-AMPOLA</t>
  </si>
  <si>
    <t xml:space="preserve">RESPIRADOR FACIAL COMPLETO: Aplicação: BV Costal e pesado e atividades com concentração de produtos químicos ou a critério do NSHMT. Material: visor rígido recoberto de policarbonato, lábios duplos de vedação, peça facial em silicone, tamanhos pequenos pequeno, médio e grande. espaço adequado para o queixo, projetada para cobrir inteiramente a face do usuário. Os filtros têm uma rosca interna para conexão e amarra com 5 pontos de fixação, membrana acústica e tria para o pescoço. Deverá ter o certificado de aprovação (CA) do MTE. </t>
  </si>
  <si>
    <t>AVENTAL DE PROTEÇÃO em PVC ou Trevira, impermeável, lavável, leve, forrado, com ilhoses, cadarço nas costas e alça no pescoço e de cor branca. Tamanhos: 1,20 x 0,70cm.</t>
  </si>
  <si>
    <t>STEFANY GOMES</t>
  </si>
  <si>
    <t>KLÉLIA SILVA</t>
  </si>
  <si>
    <t>FRAGMENTADOR E EXTRATOR PERCUTANEO 16CMX1,5MM COM MECANISMO AUTOMATICO DE DISPARO.CONFECCIONADO EM PLASTICO E METAL.</t>
  </si>
  <si>
    <t>GISELE / TÂNIA</t>
  </si>
  <si>
    <t>COLETOR DE URINA PARA INCONTINÊNCIA URINÁRIA MASCULINA (COMPLETO), ESTÉRIL. Aplicação: drenagem de urina para pacientes com  incontinência urinária. Material: Composto por preservativo masculino tipo condon de látex de alta resistência, tubo extensor de vinil. Tamanho/Capacidade: Tubo extensor de no mínimo 1 m de comprimento com diâmetro interno de 4 mm,  preservativo tamanho padrão. Características Adicionais: dispositivo para incontinência urinária masculina, preservativo em látex conectado ao tubo extensor isento de substancias tóxicas e/ou irritantes, deve apresentar no ponto de junção do tubo extensor com o preservativo, boa fixação, de forma que não desprenda com o manuseio e/ou durante o  uso, estéril. Apresentação:acondicionado em  embalagem plástica individual que garanta a esterilidade. Unidade de Estoque: unidade (un), Código SES: 91103.</t>
  </si>
  <si>
    <t>COLCHONETE PARA MESA CIRÚRGICA, marca Barrfab, mod. 683. Aplicação: Conforto e posicionamento dos pacientes durante e cirurgia. Material: Poliuretano. Tamanho: Cabeceira (255x305x48mm), Fixa (498x360x48mm), Renal (498x93x48mm), Dorso/pernas (498x550x48mm), Preenchimento (498x90x488mm). Características: Conjunto de colchonetes separados para facilitar posicionamento cirúrgico. Processo de esterilização: Não. Formas de apresentação: Colchão.</t>
  </si>
  <si>
    <t>BUCHA FIXAÇÃO; Material: Nylon; Tamanho: S- 6; Dimenções: 4,20 x 40 mm; Características adicionais: Acompanhada de parafuso em aço zincado, auto-atarrachante, cabeça chata com fenda.</t>
  </si>
  <si>
    <t>CALDO LACTOSADO BILE VERDE BRILHANTE FRASCO 500GR</t>
  </si>
  <si>
    <t>PAPEL TERMO SENSIVEL 5,7CM X 25M, Aplicação: aparelho de gasometria ABL/30 ou similar, Referência: 8217A, Forrma De Apresentação: rolo com 5,7 cm x 25 m, Unidade De Fornecimento: rolo com 5,7 cm x 25 m.</t>
  </si>
  <si>
    <t>PAULO CARVALO</t>
  </si>
  <si>
    <t>TESOURA CIRÚRGICA PARA CORTAR BANDAGEM TIPO LISTER. Características adicionais: 
1. Deve ser confeccionado em Aço Inoxidável AISI-420;
2. Deve ter o tamanho de aproximadamente 14 cm;
3. Tipo de embalagem: plástica individual, constando os dados de identificação e procedência.</t>
  </si>
  <si>
    <t>PAPILOTOMO DUPLO LUMEN C/CONEXAO EM 3 VIAS E VIA P/LIMPEZA DE CANAL DE FIO DE CORTE TIPO PONTA FINA C/CORTE DE 25MM</t>
  </si>
  <si>
    <t xml:space="preserve">DISPOSITIVO tipo ponteira de calibração individual para uso em billirubinômetro não invasivo.  Aplicação/finalidade: Medidor do paciente (bilirrubina),calibrador individual a cada exame e protetor de sonda de fibra ótica. Material/composição: Ponteira transparente com protetor foto-opaco Tamanho/capacidade: Embalagem unitária (pacote com 50 unidades); Características (quando necessário): Ponteira com embalagem individual Processo de esterilização: Produto de uso único – proibido reprocessar; Forma de apresentação: Pacote com 50 unidades;Prazo de validade:02 anos –após data de fabricação
</t>
  </si>
  <si>
    <t>OCTALAB</t>
  </si>
  <si>
    <t>OCTALAB FARMÁCIA DE MANIPULAÇÃO LTDA.</t>
  </si>
  <si>
    <t>BATERIA NÃO RECARREGÁVEL, Tipo: alcalina, Tensão: 9V</t>
  </si>
  <si>
    <t>FIO DE SUTURA NYLON MONOFILAMENTAR 4-0 PRETO, MATÉRIA PRIMA POLIAMIDA 6, 6.6 OU 6/6, COM AGULHA CORTANTE, COM CORTE TRIANGULAR REVERSO, FORMATO 3/8 DE CÍRCULO, TAMANHO 20 MM, COMPRIMENTO 45 MM.</t>
  </si>
  <si>
    <t>FIO DE SUTURA CATGUT CROMADO 2-0 C/AG 1/2 CIRC.CIL. 2,5CM FIO 70 CM 1</t>
  </si>
  <si>
    <t>FIO DE SUTURA CATGUT SIMPLES 0 2-0 70CM C/AG. 3CM 3/8 CIRC. PONTA CILINDRICA - GASTROINT. 1</t>
  </si>
  <si>
    <t xml:space="preserve">BOLSA PARA ESTOMIA RETRAÍDA ADULTO TRANSPARENTE 1 PEÇA, NÃO ESTÉRIL. Aplicação: drenagem de fezes para portadores de estomia intestinal. Material: bolsa plástica com base adesiva e  protetora em resina sintética composta de carboximetilcelulose sódica associada à gelatina e/ou pectina. Tamanho/Capacidade: saco coletor transparente com comprimento e largura mínima de 20 cm e 12 cm respectivamente, base protetora com diâmetro recortável entre 15 mm e 50 mm, convexidade de 1,58mm a 6,35mm. protegida por invólucro plástico silencioso, resistente e que não desprenda facilmente do conjunto. Características Adicionais: bolsa sistema de uma peça, retraída. Saco coletor transparente e drenável, composto por duas películas plásticas, antiodor, atóxica, silenciosas, macias, hipoalergênica com selagem de alta resistência nas bordas, assegurando a integridade do saco e tela protetora não aderente, resistente e que não desprenda facilmente do conjunto, com filtro antiodor acoplado, com proteção que não permita contato com líquidos e/ou efluentes, acompanhado de no mínimo 1(um) clamp para cada 10 bolsas, resistente, com pontas que não provoque lesão ao paciente, que permita perfeito fechamento da área de drenagem, sem extravasamento de efluentes, favorecendo o manuseio e higienização da mesma. </t>
  </si>
  <si>
    <t>ELEMENTO FILTRANTE. Filtro de carvão ativado bloco de 5 micras, sem rosca, tamanho 10.</t>
  </si>
  <si>
    <t>CARVÃO ATIVADO PÓ FRASCO OU ENVELOPE 25 G.</t>
  </si>
  <si>
    <t>FIO DE SUTURA POLIGLACTINA 910 REVESTIDO COM POLIGLACTINA 310 E ESTEARATO DE CÁLCIO VIOLETA TRANÇADO NÚMERO 0-0, COM AGULHA DE 36,4 MM, COM FORMATO 1/2  CÍRCULO, PONTA CORTANTE TRIANGULAR, CORTE REVERSO TRIANGULAR, COMPRIMENTO 70 CM.</t>
  </si>
  <si>
    <t xml:space="preserve">FIO DE SUTURA. Material: polipropileno monofilamentar, Características Adicionais: fio 0, cor azul, comprimento 75 cm, com 1 agulha, tipo agulha ponta cilíndrica, corpo cilíndrico, 1/2 círculo, comprimento da agulha 4,0 cm, estéril. Forma De Apresentação: 1 fio por envelope, com identificação do lote, data de fabricação, data de validade impressos em língua portuguesa no envelope e na caixa. Deverá seguir a Norma do INMETRO ABNT 13904/2003.
</t>
  </si>
  <si>
    <t>GLUTARALDEIDO SOLUÇÃO, Características: concentração de 20 mg/ml.  Forma De Apresentação: solução 20 mg/ml em frasco, Unidade De Fornecimento: litro. Capaz de esterilizar o equipamento em no máximo 60 minutos.</t>
  </si>
  <si>
    <t>ETIQUETA ADESIVA TÉRMICA, Tipo de Papel: couchê, Tamanho: 50 x 25 mm, Aplicação/Finalidade: para impressora zebra TLP 2844, Características Adicionais : 02 colunas - rolo com 3 mil etiquetas.</t>
  </si>
  <si>
    <t>DIPIRONA SOLUÇÃO INJETÁVEL 500 MG/ML 2 ML</t>
  </si>
  <si>
    <t>DEL GRANDI</t>
  </si>
  <si>
    <t>JOÃO DEL GRANDI JR.</t>
  </si>
  <si>
    <t>PIPETA DE WESTERGREN (deve ser pipeta tipo Takives de vidro graduado com aplicador)</t>
  </si>
  <si>
    <t>ONDANSETRONA SOLUÇAO INJETAVEL 2 MG/ML AMPOLA 4 ML</t>
  </si>
  <si>
    <t>POINT SUTURE</t>
  </si>
  <si>
    <t>RODRIGO TOLEDO</t>
  </si>
  <si>
    <t xml:space="preserve">BISACODIL DRAGEA 5 MG </t>
  </si>
  <si>
    <t>DG</t>
  </si>
  <si>
    <t>CONECTOR, Tipo Conector: RJ-45, Características Adicionais: macho</t>
  </si>
  <si>
    <t>CABO UTP,Apresentação: 4P x 24 Cat. 5E - azul, Unidade De Fornecimento: caixa com 305 metros</t>
  </si>
  <si>
    <t xml:space="preserve">MIDAZOLAM SOLUÇAO INJETAVEL 15 MG AMPOLA 3 ML </t>
  </si>
  <si>
    <t>MEDCORP</t>
  </si>
  <si>
    <t xml:space="preserve">OXIBUTININA (CLORIDRATO) COMPRIMIDO 5 MG </t>
  </si>
  <si>
    <t xml:space="preserve">PROPOFOL EMULSAO INJETAVEL 10 MG/ML AMPOLA 20 ML </t>
  </si>
  <si>
    <t xml:space="preserve">PROPOFOL EMULSAO INJETAVEL 20 MG/ML FRASCO-AMPOLA 50 ML </t>
  </si>
  <si>
    <t>IODOPOVIDONA SOLUCAO AQUOSA 10 MG/ML EM IODO FRASCO 1000 ML</t>
  </si>
  <si>
    <t>Dados para emissão de Nota Fiscal e local para entrega de materiais:</t>
  </si>
  <si>
    <t xml:space="preserve"> - Bruno</t>
  </si>
  <si>
    <t xml:space="preserve"> - Clayton</t>
  </si>
  <si>
    <t xml:space="preserve"> - Jefferson</t>
  </si>
  <si>
    <t>PATRÍCIO</t>
  </si>
  <si>
    <t>PEDAGÓGICA</t>
  </si>
  <si>
    <t>PEDAGÓGICA.COM (JBF COMÉRCIO DE EQUIPAMENTOS LTDA)</t>
  </si>
  <si>
    <t>SÔNIA RODRIGUES</t>
  </si>
  <si>
    <t>CAPA DE COLCHÃO PARA CAMA PRÉ-PARTO/PARTO/PÓS-PARTO, Aplicação: Capa utilizada nos colchões das camas de Pré-parto/parto/pós-parto, Tamanho: Medidas: 85 cm x 140 cm (dorso) com abertura de 50 cm x 25cm; 85cm x 35cm com extensão em parte mediana para encaixe de 50cm x 25cm; e 10cm de espessura, Características: Colchão para camas da marca FANEM modelo MP-7097. Referencia: FANEM 400.230.600, Processo de esterilização: Não aplicado, Forma de apresentação: Conjunto de capa para colchão bipartido. Prazo de validade: Não aplicado, Unidade de estoque: Conjunto.</t>
  </si>
  <si>
    <t xml:space="preserve">COLCHÃO PARA CAMA PRÉ-PARTO/PARTO/PÓS-PARTO, Aplicação: Colchão utilizado para camas de Pré-parto/parto/pós-parto, Material: Espuma de Poliuretano, Tamanho: Medidas: 85 cm x 140 cm (dorso) com abertura de 50cm x 25cm; 85 cm x 35cm com extensão em parte mediana para encaixe de 50cm x 25cm; e 10cm de espessura, Características: Colchão para camas da marca FANEM modelo MP-7097. Referencia: FANEM 400.204.600, Processo de esterilização: Não aplicado, Forma de apresentação: Conjunto de colchão bipartido para posição de parto, Prazo de validade: Não aplicado, Unidade de estoque: Conjunto. </t>
  </si>
  <si>
    <t xml:space="preserve">OXIDO DE ZINCO + VITAMINA A + VITAMINA D POMADA DERMATOLOGICA (150 MG + 5000 UI + 900 UI)/G BISNAGA 45 G </t>
  </si>
  <si>
    <t>DIPIRONA SODICA SOLUCAO ORAL 500 MG / ML FRASCO 10 ML</t>
  </si>
  <si>
    <t>FENITOINA SODICA COMPRIMIDO 100 MG</t>
  </si>
  <si>
    <t>RITHELY</t>
  </si>
  <si>
    <t>MW</t>
  </si>
  <si>
    <t>MEURIN R MAIA</t>
  </si>
  <si>
    <t xml:space="preserve">CLINDAMICINA (CLORIDRATO) CAPSULA 300 MG  </t>
  </si>
  <si>
    <t xml:space="preserve">IVERMECTINA COMPRIMIDO 6 MG </t>
  </si>
  <si>
    <t>CLAUDIA NUNES / GISELE BADAUY</t>
  </si>
  <si>
    <t>CATETER INTRAVENOSO PERIFÉRICO 16G, COM DISPOSITIVO DE SEGURANÇA, ESTÉRIL. Aplicação: acesso venoso periférico. Material: poliuretano/teflon. Tamanho: diâmetro 16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(cinza)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</si>
  <si>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PLACA PRONTA PARA USO AGAR MUELLER HINTON 90 X 15MM</t>
  </si>
  <si>
    <t>AGAR SCREENING CROMOGENICO PARA IDENTIFICAÇAO DE BACTERIAS PRODUTORAS DE CARBAPENEMASE</t>
  </si>
  <si>
    <t>PCT</t>
  </si>
  <si>
    <t>SWAB ESTERIL SECO</t>
  </si>
  <si>
    <t>PR</t>
  </si>
  <si>
    <t>SONDA DE FOLEY 2 VIAS LÁTEX Nº 18</t>
  </si>
  <si>
    <t>HCS</t>
  </si>
  <si>
    <t>HENRIQUE</t>
  </si>
  <si>
    <t>CUEIRO 100X100, Aplicação: uso do recém nascido, Material: Tecido flanela estampada padrão infantil, fundo amarelo 100% algodão, Linha 100% algodão, Tamanho: 100X100cm, Características: Peça simples com barras estreitas com costura reta e overlock com linha 100% algodão, Tecido flanela sarjada, 100% algodão, Peso mínimo 165g/m², armação: 2x2cm², Apresentar modelo de estampa para a Gerencia de Hotelaria/SAS, Forma de Apresentação: Embalagem primária em saco plástico com no máximo 10 unidades e secundaria em caixa de papelão com no máximo 100 unidades, Unidade de Estoque: Unidade, Unidade de fornecimento: Unidade</t>
  </si>
  <si>
    <t>CONJUNTO  PARA DETERMINAÇÃO DE PCR AUTOMAÇÃO</t>
  </si>
  <si>
    <t>MISOPROSTOL COMPRIMIDO VAGINAL 25 MCG</t>
  </si>
  <si>
    <t>PUBLICART</t>
  </si>
  <si>
    <t>ALAN JORGE PEREIRA MACIEL</t>
  </si>
  <si>
    <t>COLCHÃO PARA LEITO HOSPITALAR, material espuma flexível de poliuretano D-33, Dimensão: 1,90x0,90x0,10m, Revestimento: Napa, Densidade: KG/M3, 16,7 Minimo. Cor Preta, azul ou cinza. Finalidade: Material para utilização em leito hospitalar. Forma de Apresentação: Unidade.</t>
  </si>
  <si>
    <t>FIO DE SUTURA. Material: poliéster + polibutilato trançado, Características Adicionais: fio nº 05 4X75cm, cor verde/azul, comprimento 75 cm, com 1 agulha, tipo agulha ponta cortante corpo cilindrico 1/2 circulo, comprimento da agulha 4,7cm, estéril. Forma De Apresentação: 1 fio por envelope, com identificação do lote, data de fabricação, data de validade impressos em língua portuguesa no envelope e na caixa. Deverá seguir a Norma do INMETRO ABNT 13904/2003.</t>
  </si>
  <si>
    <t>ALBUMINA HUMANA SOLUÇAO INJETAVEL 20 % FRASCO AMPOLA OU BOLSA 50 ML + EQUIPO</t>
  </si>
  <si>
    <t>ATALAIA</t>
  </si>
  <si>
    <t>ELAIS GOMES</t>
  </si>
  <si>
    <t xml:space="preserve">AMICACINA (SULFATO) SOLUCAO INJETAVEL 50 MG/ML AMPOLA 2 ML </t>
  </si>
  <si>
    <t>TIGECICLINA PO LIOFILIZADO PARA SOLUCAO INJETAVEL 50 MG FRASCO AMPOLA</t>
  </si>
  <si>
    <t>COLA PARA MADEIRA,Cor: branca, Unidade De Fornecimento: frasco de 1 kg</t>
  </si>
  <si>
    <t>ADESIVO PLÁSTICO 70 GR.</t>
  </si>
  <si>
    <t>SIMETICONA EMULSAO ORAL GOTAS 75 MG/ML FRASCO 15 ML.</t>
  </si>
  <si>
    <t>FIO DE SUTURA CATGUT SIMPLES 0 2-0 70CM C/AG. 2,5 CM 1/2 CIRC. PONTA CILINDRICA - GASTROINT.</t>
  </si>
  <si>
    <t>Origem</t>
  </si>
  <si>
    <t>FDF HOSPITALAR</t>
  </si>
  <si>
    <t>ADRIANO</t>
  </si>
  <si>
    <t>CONJUNTO PARA DETERMINAÇAO DE CALCIO. Aplicação:analise bioquimica. Características adicionais: equipamento automatizado. Forma de Apresentação:conjunto (kit). Prazo de Validade: 75% do prazo de validade do produto.</t>
  </si>
  <si>
    <t>CONJUNTO PARA DETERMINAÇAO DE CREATININA. Aplicação:analise bioquimica. Características adicionais: equipamento automatizado. Forma de Apresentação:conjunto (kit). 
Prazo de Validade: 75% do prazo de validade do produto.</t>
  </si>
  <si>
    <t>DISTRIBUIDORA BRASIL</t>
  </si>
  <si>
    <t>LAMINULA DE VIDRO PARA MICROSCOPIA 24MM X 32MM CX COM 100 UND</t>
  </si>
  <si>
    <t xml:space="preserve">HALOPERIDOL COMPRIMIDO 5 MG </t>
  </si>
  <si>
    <t xml:space="preserve">SULFATO FERROSO DRAGEA 40 MG </t>
  </si>
  <si>
    <t>FARMAGREEN</t>
  </si>
  <si>
    <t>FARMAGREEN MANIPULAÇÕES E HOMEOPATIA</t>
  </si>
  <si>
    <t>ALÍPIO GOMES</t>
  </si>
  <si>
    <t>HEMOSTATICO ABSORVIVEL DE CELULOSE OXIDADA REGENERADA 5X7,5CM</t>
  </si>
  <si>
    <t>MANTA DE POLIPROPILENO, Tamanho: 120 x 120 cm (+- 5 cm), Produto: 100% em 03 camadas (SMS), Aplicação/finalidade: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Uso: único, não estéril, composta por 03 camadas (SMS) soldadas termicamente, sendo as 2 ( duas ) camadas externas de spunbond e 1 (uma) camada interna de meltblown, as camadas de spunbond deverão oferecer hidrorepelência, maleabilidade, resistência ao manuseio contra rasgos e não liberar fibras e partículas, a camada de meltblown deverá oferecer barreira microbiológica, Tamanho/capacidade: 1,20 x 1,20 cm, Características (quando necessário):assegurada por laudo de eficiência de filtração bacteriana (BFE). Forma de apresentação: Plástico resistente. Unidade de estoque: Unidade.</t>
  </si>
  <si>
    <t>MANTA DE POLIPROPILENO, Tamanho:  90 x 90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</si>
  <si>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MANTA DE POLIPROPILENO, Tamanho:  50 x 50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t>
  </si>
  <si>
    <t>CONJUNTO PARA DETERMINAÇAO DE TGP CINETICO, AUTOMAÇAO</t>
  </si>
  <si>
    <t>BRUNO / RONALDO</t>
  </si>
  <si>
    <t>CDB</t>
  </si>
  <si>
    <t>CDB - CIRURGICA DOM BOSCO</t>
  </si>
  <si>
    <t>Kléia Leite</t>
  </si>
  <si>
    <t>DIMACI</t>
  </si>
  <si>
    <t>JULIO CESAR</t>
  </si>
  <si>
    <t>CAMILA SAMARA FERNANDES</t>
  </si>
  <si>
    <t>CATETER URETRAL DUPLO J 6 FR ADULTO 28CM HIDROFILICO COM CURVA HELICA DE 360 GRAUS</t>
  </si>
  <si>
    <t xml:space="preserve">KIT PARA NEFROSTOMIA PERCUTANEA COM CATETER PIGTAIL 12FR DE 25CM COM FUROS LATERAIS DILATADORES E GUIA 0,38 X 60CM E AGUDORES GUIA E AGULHA </t>
  </si>
  <si>
    <t xml:space="preserve">TEICOPLANINA PO PARA SOLUCAO INJETAVEL 200 MG FRASCO-AMPOLA </t>
  </si>
  <si>
    <t xml:space="preserve">BICARBONATO DE SODIO SOLUCAO INJETAVEL 8,4 % (1 MEQ/ML) AMPOLA 10 ML  </t>
  </si>
  <si>
    <t xml:space="preserve">ACICLOVIR COMPRIMIDO 200 MG </t>
  </si>
  <si>
    <t xml:space="preserve">ACIDO TRANEXAMICO COMPRIMIDO 250 MG  </t>
  </si>
  <si>
    <t xml:space="preserve">TUBO PARA COLETA DE SANGUE A VACUO. Aplicação: microcoleta de sangue capilar. Tamanho/Capacidade: capacidade para 250 a 500 microlitros de sangue. Características adicionais: tubo em propileno para microcoleta de sangue capilar, com EDTA K2 ou K3, com bico coletor ou funil acoplado ao tubo e tampa plástica protetora. </t>
  </si>
  <si>
    <t xml:space="preserve">CARBAMAZEPINA COMPRIMIDO 200 MG </t>
  </si>
  <si>
    <t>DIAZEPAM COMPRIMIDO 5 MG</t>
  </si>
  <si>
    <t>TRINO</t>
  </si>
  <si>
    <t>CONJUNTO PARA DETERMINAÇAO DE CK. Aplicação:analise bioquimica. Características adicionais: equipamento automatizado. Forma de Apresentação:conjunto (kit).  Prazo de Validade: 75% do prazo de validade do produto</t>
  </si>
  <si>
    <t>ML COMÉRCIO</t>
  </si>
  <si>
    <t>MARIANA ALVES DOS SANTOS</t>
  </si>
  <si>
    <t xml:space="preserve">TUBO EXTENSOR PARA BOMBA DE SERINGA, ESTÉRIL. Aplicação: utilização na pediatria e neonatologia para linha de infusão. Material: PVC flexível e transparente. Características Adicionais: comprimento de 120cm, diâmetro interno de 1,5mm e diâmetro externo de 2,4mm, volume interno de 1,6ml, compatível com bomba perfurosa de seringa da marca B.Braun; com conector luer fêmea com tampa em uma das extremidades e conector luer lock na outra extremidade. Embalagem individual em papel grau cirúrgico, que permita a abertura em técnica asséptica, capaz de assegurar a esterilidade do produto durante o transporte, armazenamento, até o momento do uso. Apresentação: embalagem individual acondicionada em caixa. </t>
  </si>
  <si>
    <t>MEDSONDA</t>
  </si>
  <si>
    <t>FERNANDO SEMEDO</t>
  </si>
  <si>
    <t>CURATIVO DE ESPUMA DE POLIURETANO COM PRATA, COM OU SEM ALGINATO, NÃO ADERENTE, TAMANHO MÍNIMO 15 CM x 15 CM, ESTÉRIL. Aplicação: absorção e controle de exsudato, ação antimicrobiana. Material: composto de polímeros impregnados com prata. Características adicionais: espuma de poliuretano recortável, não aderente ao leito da ferida, estéril, sem bordas aderentes. Apresentação: embalagem individual. Unidade de Estoque: unidade (UN). Código SES: 25060. BR0327161</t>
  </si>
  <si>
    <t>KT</t>
  </si>
  <si>
    <t>DELTA</t>
  </si>
  <si>
    <t>LM FARMA</t>
  </si>
  <si>
    <t>JG</t>
  </si>
  <si>
    <t>JOGO DE OLIVAS PARA IMITANCIOMETRO, Marca: Interacoustics, Composto de 05 Olivas de 08 diferentes tamanhos compatível com o imitanciometro marca GSI.</t>
  </si>
  <si>
    <t>CIBELE CRISTINA / Alice (Asses. Técnica)</t>
  </si>
  <si>
    <t>CLOREXIDINA SOLUCAO DEGERMANTE 40 MG/ML,4%, FRASCO 1000 ML</t>
  </si>
  <si>
    <t>DETERGENTE E DESINFETANTE HOSPITALAR PARA SUPERFÍCIES FIXAS. Aplicação: limpeza e desinfecção de superfícies hospitalares, equipamentos e artigos médicos não críticos. Composição: solução a base de cloreto de didecildimetilamônio e cloridrato de polihexametileno biguanida; bactericida, fungicida: cândida albicans e aspergillus niger, viruscida: HIV-1, BVDV, PRV, rotavirus, vírus da herpes e vírus da influenza (H5N1) e callicivírus felino. Características adicionais: Pronto para uso. Inodoro, sem álcool e não corrosivo. Apresentação em frasco spray 750 ML. Siafísico nº 337598-6. Para ser utilizado principalmente em incubadoras de acrílico.</t>
  </si>
  <si>
    <t>DRENO EM T N. 14</t>
  </si>
  <si>
    <t>DRENO EM T N. 16</t>
  </si>
  <si>
    <t>DRENO EM T N. 18</t>
  </si>
  <si>
    <t>LOSARTANA POTASSICA COMPRIMIDO REVESTIDO 50 MG</t>
  </si>
  <si>
    <t>CAIXA TÉRMICA, Material: Poliuretano, Capacidade: 12 L, Espessura: 3cm, Altura: 20cm, Largura: 23cm, Profundidade: 33cm, Densidade Mínima: 35kg/m3, Características Adicionais: confeccionadas externamente em estrutura de polietileno de impacto praticamente indestrutível, texturizada, resistente a impactos e arranhões. Alças duplas moldadas, bidirecionais projetadas para fora e com levantamento para facilitar o transporte. Tampa reta com fechamento hermétrico, dobradiças e trinco embutido tipo veda-tampa. Revestimento interno com isolamento em espuma de poliuretano resistente a infiltrações, vazamentos e corrosões. Fácil de ser lavado (para impedir o aparecimento de manchas e odores).</t>
  </si>
  <si>
    <t>CAIXA TÉRMICA 9,5 L: Material: rígida, polietileno na camada externa, polipropileno na camada interna e poliuretano no enchimento. Todos os materiais são atóxicos e inodoros. Capacidade: medidas aproximadas 30,5 cm X 20,5 cm X 26,5 cm. Características Adicionais: alça central, tampa fixa escamoteável.</t>
  </si>
  <si>
    <t>CAIXA PLÁSTICA organizadora contêiner de 30 Litros; Finalidade: guarda de material para atender às normas da DIVISA; Material: Plástico transparente; Tamanho: 30 litros com variação de até 10%; Características: Caixa plástica com tampa; Forma de apresentação:</t>
  </si>
  <si>
    <t>CAIXA PLÁSTICA organizadora contêiner de 50 Litros; Finalidade: guarda de material para atender às normas da DIVISA; Material: Plástico transparente; Tamanho: 50 litros com variação de até 10%; Características: Caixa plástica com tampa; Forma de apresentação: Unidade; Unidade de Estoque: Unidade (Unid)</t>
  </si>
  <si>
    <t>CAIXA PLÁSTICA ORGANIZADORA, Material: polipropileno/plástica, Cor azul, Características adicionais: com medidas externas: 18,0 X 22,0 X 34,0 cm, (Nº 7).</t>
  </si>
  <si>
    <t>CLORETO DE SODIO 0,9 % SOLUÇAO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</si>
  <si>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SONDA PARA GASTROSTOMIA. Aplicação: alimentação enteral, Material: silicone, Tamanho/Capacidade:12FR, Características adicionais: balão interno inflável (05 - 10CC) com água para retenção interna, anel em silicone para retenção externa, conector em y ,estéril,de fácil manuseio, bom fluxo para a dieta e resistente, Processo de esterilização: oxido de etileno, Forma de apresentação:embalagem individual, em papel grau cirúrgico</t>
  </si>
  <si>
    <t>IMED</t>
  </si>
  <si>
    <t>IMED SOLUÇÕES PARA SAÚDE</t>
  </si>
  <si>
    <t>CAIO</t>
  </si>
  <si>
    <t>APARELHO PARA TRICOTOMIA ( BARBA ), Material: plástico, Tipo Uso: descartável, Formato Cabo: anatômico, Emabalagem:   individual, Características Adicionais:  02 (duas) lâminas paralelas afiadas, e capa protetora para as lâminas.</t>
  </si>
  <si>
    <t>ESCOVA DE AÇO: Aplicação: escova reutilizável para limpeza de instrumentais cirúrgicos (ortopedia) com cerdas suaves e extremamente finas em aço inoxidável medindo aproximadamente 38 mm de comprimento e 12,7 mm de diâmetro com cabo plástico em formato anatômico e comprimento total entre 17,78 e 18,4 cm. Possuir cabo antiderrapante para facilitar o uso (variação +/- 5%). Forma de apresentação: Unidade.</t>
  </si>
  <si>
    <t>ESCOVA NYLON: Aplicação: escova para limpeza de instrumentais cirúrgicos em geral com cerdas em nylon macias medindo aproximadamente 38 mm de comprimento e diâmetro de aproximadamente 12,7 mm com cabo plástico em formato anatômico e comprimento total entre 17,78 a 18,4 cm. Possuir cabo antiderrapante para facilitar o uso (variação +/- 5%). Forma de apresentação: Unidade.</t>
  </si>
  <si>
    <t>KIT ESCOVA PARA LIMPEZA INTERNA DE AUTOCLAVE: Aplicação:  limpeza interna de autoclave. Material: não estéril, escova de nylon com cerdas arredondadas entre 13 x 21,5 cm e cabo telescópio de alumínio com variação entre 60 cm a 122 cm de comprimento e escova de mão em nylon entre 10 x 14 cm de comprimento. Deve promover a limpeza sem danificar o equipamento. Forma de apresentação: Kit.</t>
  </si>
  <si>
    <t>COMPRESSA CAMPO OPERATORIO 45CM x 50CM NAO ESTERIL PACOTE COM 50 UND. Aplicação: absorção de fluídos e sangue em cavidade cirúrgica. Material: 100 % algodão. Características Adicionais: com alça de algodão, 04 camadas sobrepostas, cor branca, acabamento com auréola e bainha em overlock, com ausência de branco óptico, de amido, de sujidade e de fiapos, pesando, no mínimo, 35 gramas por compressa; deve oferecer absorção imediata de fluídos e sangue, deve permitir lavagem, secagem e esterilização com o mínimo de encolhimento, mantendo o padrão de qualidade que permita o uso. Embalagem plástica que garanta proteção ao produto durante transporte até o momento do uso. Apresentação: pacote plástico com 50 unidades. Unidade De Estoque: pacote (PCT). Código SES: 091108. BR0270013</t>
  </si>
  <si>
    <t>KIT CIRÚRGICO UNIVERSAL, DESCARTÁVEL, ESTÉRIL,Aplicação: kit composto de campos adequados para cobertura de mesas e paciente em sala cirúrgica, Material: confeccionado em SMS 60g/m², 100% polipropileno: composto por três camadas, sendo duas externas de Spuyndbond e uma interna de meltblown: impermeável; com barreira antimicrobiana comprovada por laudo de BFE, Tamanho/Capacidade: kit composto de: 01 campo de mesa - cobertura impermeável para mesa auxiliar, medindo 150 X 210 cm com variação ± 10 cm. 02 campos cirúrgicos laterais medindo 150 X 120 cm com variação ± 10 cm, com reforço absorvente e fita adesiva hipoalergênica. 01 campo cirúrgico inferior medindo 180 X 150 cm, com variação ± 10cm; com reforço absorvente e fita adesiva hipoalergênica. 01 campo cirúrgico superior medindo 260 X 150 cm com variação ± 10 cm, com reforço absorvente e fita adesiva hipoalergênica. 01 fronha de mayo - cobertura impermeável para mesa de mayo, medindo 60 X 140 cm com variação ± 05 cm. 01 capa de caneta de bisturi, Características Adicionais: SMS composto por três camadas, sendo duas externas de Spuyndbond e uma interna de Meltblown: impermeável; com barreira antimicrobiana comprovada por laudo de BFE, Processo De Esterilização: Estéril com raio gama ou óxido de etileno, Forma De Apresentação: kit embalado em papel grau cirúrgico, que favoreça a abertura em técnica asséptica, Prazo de validade: 75% do prazo total de validade do produto, Unidade De Estoque: kit (KT), Unidade De Fornecimento: kit.</t>
  </si>
  <si>
    <t>ADEMILTON DANTAS</t>
  </si>
  <si>
    <t>LINHA ARTERIAL DE ENTRADA SIMPLES PARA HEMODIÁLISE 8 MM</t>
  </si>
  <si>
    <t>MISOPROSTOL COMPRIMIDO VAGINAL 200 MCG</t>
  </si>
  <si>
    <t>CALDO CEREBRO E CORACAO (BHI) - 500G</t>
  </si>
  <si>
    <t>ELETROSPITALAR</t>
  </si>
  <si>
    <t>ELETROSPITALAR COMÉRCIO E ASSISTÊNCIA TÉCNICA LTDA</t>
  </si>
  <si>
    <t>JORNEI MONTEIRO</t>
  </si>
  <si>
    <t>SENSOR DE SPO2 REUSÁVEL, ADULTO, NELLCOR. 9000-10-05161. Aplicação: monitorar saturação sanguínea em monitor de sinais vitais. Marca: MINDRAY. Material: plástico. Forma de apresentação: cabo com peça plástica 1m. Prazo de validade: indeterminado. Unidade de estoque: UM.</t>
  </si>
  <si>
    <t>CALL MED</t>
  </si>
  <si>
    <t>ACACCIO ALVES CAVALCANTE</t>
  </si>
  <si>
    <t>ESPARADRAPO CIRURGICO 10CM x 4,5M EM CARRETEL PLASTICO COM CAPA PROTETORA. Aplicação: fixação de curativos, cateteres e outros. Material: 100% em algodão, adesivo em borracha atóxica. Características Adicionais: impermeável, que apresente excelente adesividade, fixação e resistência, que apresente facilidade de corte sem utilização de instrumentos de corte, que não cause trauma a pele quando da remoção, em carretel plástico com capa protetora que ofereça proteção ao produto. Unidade De Estoque: rolo (RL) acondicionado em caixa.</t>
  </si>
  <si>
    <t>PARAFUSO S-8; 4,8 X 50mm</t>
  </si>
  <si>
    <t>DOBRADIÇA DEPRESSÃO CURVA, em aço inox, com regulagem para nivelamento de porta, com sistema de deslocamento máximo de 94 graus, com caneca (cilindro) de 35mm de diâmetro, completa, com calço e parafusos.</t>
  </si>
  <si>
    <t>FIXADOR PARA CANULA DE TRAQUEOSTOMIA ADULTO NAO ESTERIL</t>
  </si>
  <si>
    <t>FIXADOR PARA CANULA DE TRAQUEOSTOMIA INFANTIL NAO ESTERIL</t>
  </si>
  <si>
    <t>POINTER</t>
  </si>
  <si>
    <t>POINTER HOSPITALAR LTDA.</t>
  </si>
  <si>
    <t>TÂNIA F. DOURADO</t>
  </si>
  <si>
    <t>ANTÔNIO UILAME FELIX DA SILVA</t>
  </si>
  <si>
    <t>HOSPSERVICE</t>
  </si>
  <si>
    <t>HOSPSERVICE (RC &amp; A INDÚSTRIA E COMÉRCIO DE SERVIÇOS LTDA</t>
  </si>
  <si>
    <t>HOSPITECH (ROGENS LINO GONÇALVES BARBOSA ME)</t>
  </si>
  <si>
    <t>ROGENS LINO</t>
  </si>
  <si>
    <t>HOSPITECH</t>
  </si>
  <si>
    <t>0701020296</t>
  </si>
  <si>
    <t>ORTESE TLSO / TIPO COLETE</t>
  </si>
  <si>
    <t>PROMEDIC</t>
  </si>
  <si>
    <t>DAIANE MILLARCH</t>
  </si>
  <si>
    <t>FIXADOR ADESIVO DE CÂNULA, SONDA E CATETER NASAL ADULTO NÃO ESTÉRIL. Aplicação: para fixação externa de cânula, sonda e cateter nasal. Material: fita não tecido em rayon. Tamanho: comprimento e largura de 10 cm x 5,5cm, respectivamente. Características dicionais: adesivo de uso médico-hospitalar, hipoalergênico, livre de látex, longa permanência e de fácil remoção. Apresentação: acondicionados em embalagem com 10 unidades. Unidade de Estoque: Unidade(UN), Código SES: 12329.</t>
  </si>
  <si>
    <t>ARTWARE</t>
  </si>
  <si>
    <t>BROCA ENDO-Z</t>
  </si>
  <si>
    <t>CONES DE GUTA PERCHA SECUNDARIOS N.R-8 1</t>
  </si>
  <si>
    <t>LIMA FLEXOFILE PRIMEIRA SERIE (15-40) 25MM</t>
  </si>
  <si>
    <t>CORTADOR DE FIOS GROSSOS, Aplicação: Cirurgia Ortopédica, Material: Aço inoxidável AISI,  Tamanho: 555 mm; corta fios de até 6,3 mm de espessura, Características: A peça deverá apresentar um bom acabamento superficial e adequado ao trabalho a que se destina. A área de corte deverá apresentar boa afiação. O material deverá ter tratamento térmico integral, a fim de atingir a dureza e a flexibilidade adequadas a um perfeito desempenho.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</si>
  <si>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MACOM</t>
  </si>
  <si>
    <t>COMLAB</t>
  </si>
  <si>
    <t>SYNTHES</t>
  </si>
  <si>
    <t>ATENOLOL COMPRIMIDO 50 MG</t>
  </si>
  <si>
    <t>PROPANOLOL (CLORIDRATO) COMPRIMIDO 40 MG</t>
  </si>
  <si>
    <t>AMBROXOL XAROPE 6 MG/ML FRASCO 100 A 120 ML COM DOSEADOR</t>
  </si>
  <si>
    <t>FIO DE STEINMANN 5.0MM X 300MM.</t>
  </si>
  <si>
    <t>FIO DE STEINMANN 4.5MM A 5.0MM X 300MM.</t>
  </si>
  <si>
    <t>FIO DE STEINMANN 3,5MM X 300MM.</t>
  </si>
  <si>
    <t>FIO DE STEINMANN 3.0MM X 300MM.</t>
  </si>
  <si>
    <t>FIO DE STEINMANN 2.5MM X 300MM.</t>
  </si>
  <si>
    <t>TCA FARMA</t>
  </si>
  <si>
    <t>JÉSSICA REIS / MÔNICA COPOLLA</t>
  </si>
  <si>
    <t>ROPIVACAINA (CLORIDRATO) SOLUÇÃO INJETÁVEL 10 MG/ML AMPOLA 20 ML</t>
  </si>
  <si>
    <t>ESCOVA PARA LIMPEZA DO CANAL DE BIOPSIA DO COLONOSCOPIO. Aplicação: escova circular para uso em limpeza manual interna do canal de biopsia do colonoscopio com lúmen estreito e longo. Material: não estéril, confeccionado com cerdas de nylon resistentes e macias, parte distal de material em aço inox flexível, diâmetro da escova: de 4.6 mm a 6 mm, de 200 a 240 centímetros de comprimento, com cerdas em uma extremidade e ponta arredondada.  Deve promover a limpeza sem danificar o material devendo ser reutilizável e autoclavável. Registro no Ministério da Saúde. Quantidade: unidade. Forma de apresentação: embalagem individual.</t>
  </si>
  <si>
    <t>TAGUASUL</t>
  </si>
  <si>
    <t>PAULO SILVEIRA PASSOS</t>
  </si>
  <si>
    <t>ESCOVA PARA LIMPEZA DO CANAL DE BIOPSIA DO GASTROSCOPIO. Aplicação: escova circular para uso em limpeza manual interna do canal de biopsia do gastroscopio com lúmen estreito e longo. Material: não estéril, confeccionado com cerdas de nylon resistentes e macias, parte distal de material em aço inox flexível, diâmetro da escova: de 4 mm a 5 mm, de 160 a 180 centímetros de comprimento, com cerdas em uma extremidade e ponta arredondada.  Deve promover a limpeza sem danificar o material devendo ser reutilizável e autoclavável. Registro no Ministério da Saúde. Quantidade: unidade. Forma de apresentação: embalagem individual. Cód.: BR 0342368/0026</t>
  </si>
  <si>
    <t>JULIANA / ROSANA</t>
  </si>
  <si>
    <t>SILDENAFIL (CITRATO) COMPRIMIDO REVESTIDO 20MG</t>
  </si>
  <si>
    <t>OLTEC</t>
  </si>
  <si>
    <t>OLTEC DO BRASIL LTDA.</t>
  </si>
  <si>
    <t>IOLANDA PIMENTA</t>
  </si>
  <si>
    <t>R&amp;A MEDICAL</t>
  </si>
  <si>
    <t>ROSÂNGELA</t>
  </si>
  <si>
    <t>Teste</t>
  </si>
  <si>
    <t>ALBENDAZOL COMPRIMIDO MASTIGAVEL 400 MG</t>
  </si>
  <si>
    <t>AMOXICILINA CAPSULA OU COMPRIMIDO 500 MG</t>
  </si>
  <si>
    <t>CIPROFLOXACINO (CLORIDRATO) COMPRIMIDO 500 MG</t>
  </si>
  <si>
    <t>ENALAPRIL COMPRIMIDO SULCADO 5 MG</t>
  </si>
  <si>
    <t>PROMETAZINA (CLORIDRATO) COMPRIMIDO 25 MG</t>
  </si>
  <si>
    <t>GLICLAZIDA COMPRIMIDO DE LIBERACAO PROLONGADA 30 MG</t>
  </si>
  <si>
    <t>HIDROCLOROTIAZIDA COMPRIMIDO 25 MG</t>
  </si>
  <si>
    <t>OMEPRAZOL CAPSULA 20MG</t>
  </si>
  <si>
    <t>CPS</t>
  </si>
  <si>
    <t>TIAMINA (VITAMINA B1) COMPRIMIDO 300 MG</t>
  </si>
  <si>
    <t>MEBENDAZOL SUSPENSAO ORAL 100 MG/5ML FRASCO 30 ML COM DOSEADOR</t>
  </si>
  <si>
    <t>ATROPINA (SULFATO) SOLUÇÃO INJETÁVEL 0,25 MG/ML AMPOLA 1 ML</t>
  </si>
  <si>
    <t>METILPREDNISOLONA (SUCCINATO) PO PARA SOLUÇÃO INJETAVEL 500MG FRASCO AMPOLA</t>
  </si>
  <si>
    <t>GR</t>
  </si>
  <si>
    <t>DIAZEPAM SOLUCAO INJETAVEL 5 MG/ML AMPOLA 2 ML</t>
  </si>
  <si>
    <t>FILTRO BARREIRA HIDROFOBO P/RETENCAO DE VIRUS/BACTERIA AUTO UMIDIFICADORES P/ADAPTACAO CIRCUITO TRAQUEIA AVPM PEDIATRICO</t>
  </si>
  <si>
    <t>FUROSEMIDA COMPRIMIDO 40 MG</t>
  </si>
  <si>
    <t>RENAN DE OLIVEIRA</t>
  </si>
  <si>
    <t>PEDRO BARBOSA</t>
  </si>
  <si>
    <t>VIDAMED</t>
  </si>
  <si>
    <t>CONJUNTO PARA PESQUISA DE SANGUE OCULTO FECAL, sem necessidade de dieta.</t>
  </si>
  <si>
    <t>ALBENDAZOL SUSPENSAO ORAL 40 MG/ML FRASCO 10 ML.</t>
  </si>
  <si>
    <t>SARAH BASSO / GABRIELA VARUSSA</t>
  </si>
  <si>
    <t>PROTEC</t>
  </si>
  <si>
    <t>METOCLOPRAMIDA SOLUÇÃO INJETÁVEL 5MG/ML AMPOLA 2 ML</t>
  </si>
  <si>
    <t>SOQUETE PARA LÂMPADA, destinada ao Foco Cirúrgico marca Bauner, Modelo: F - 450-2. Soquete de Porcelana.</t>
  </si>
  <si>
    <t>CODEINA (FOSFATO) COMPRIMIDO 30MG</t>
  </si>
  <si>
    <t>FENOBARBITAL SOLUCAO INJETAVEL 200 MG AMPOLA</t>
  </si>
  <si>
    <t>RIMTEC</t>
  </si>
  <si>
    <t>PAULO HENRIQUE DE SOUZA RIBEIRO</t>
  </si>
  <si>
    <t>COLUNA C/RESINA TROCADORAS DE IONS P/DEIONIZADORES DA M/PERMUTION OU SIMILAR</t>
  </si>
  <si>
    <t>TESTE IDENTIFICACAO BACTERIANA COM CONCENTRACAO INIBITORIA MINIMA (MIC) POR AUTOMACAO</t>
  </si>
  <si>
    <t>CINARIZINA COMPRIMIDO 75 MG</t>
  </si>
  <si>
    <t>HALOPERIDOL COMPRIMIDO 1 MG</t>
  </si>
  <si>
    <t>METOPROLOL (SUCCINATO) COMPRIMIDO DE LIBERAÇÃO CONTROLADA 50 MG</t>
  </si>
  <si>
    <t>CLORPROMAZINA (CLORIDRATO) SOLUCAO INJETAVEL 5 MG/ML AMPOLA 5 ML</t>
  </si>
  <si>
    <t xml:space="preserve">ESPAÇADOR PARA INALADOR DOSIMETRADO PRESSURIZADO VOLUME DA CÂMARA DE NO MÍNIMO 140 ML E MÁXIMO DE 350 ML NÃO ESTÉRIL, USO INDIVIDUAL
</t>
  </si>
  <si>
    <t>LAMINULA DE VIDRO PARA MICROSCOPIA 24MM X 50MM CX COM 100 UND</t>
  </si>
  <si>
    <t>CONJUNTO PARA DETERMINAÇÃO DE TROPONINA ´I´ OU ´T´- AUTOMAÇÃO</t>
  </si>
  <si>
    <t>METRONIDAZOL (BENZOIL) SUSPENSÃO ORAL 40MG/ML FRASCO 100 ML COM DOSEADOR</t>
  </si>
  <si>
    <t>BENZILPENICILINA POTASSICA PO PARA SOLUCAO INJETAVEL 5.000.000 UI FRASCO AMPOLA COM CAPACIDADE PARA 10 ML DE DILUENTE</t>
  </si>
  <si>
    <t>CEFTAZIDIMA PO PARA SOLUCAO INJETAVEL 1 G FRASCO AMPOLA</t>
  </si>
  <si>
    <t>ASTHAMED</t>
  </si>
  <si>
    <t>ANDRESSA CRISTINA</t>
  </si>
  <si>
    <t>TUBO ENDOTRAQUEAL SEM CUFF P.V.C. 4,0MM</t>
  </si>
  <si>
    <t>L-CARNITINA SOLUÇAO ORAL 100MG/ML FRASCO 90ML</t>
  </si>
  <si>
    <t>SISTEMA FECHADO DE ASPIRAÇÃO TRAQUEAL VIA TUBO OROTRAQUEAL 5 FR NEONATAL, Tamanho/Capacidade: neonatal - 5 FR, adaptável a tubos de tamanho inferior a 3.0,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t>
  </si>
  <si>
    <t>SISTEMA FECHADO DE ASPIRAÇÃO TRAQUEAL VIA TUBO OROTRAQUEAL 6 FR NEONATAL/ INFANTIL, ESTÉRIL. Tamanho/Capacidade: neonatal/infantil - 6 FR,adaptável a tubos de tamanho 3.0 - 3.5,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t>
  </si>
  <si>
    <t>NOVA ANALÍTICA</t>
  </si>
  <si>
    <t>JAQUELINE LIMA</t>
  </si>
  <si>
    <t xml:space="preserve">UNISCIENCE </t>
  </si>
  <si>
    <t>TASSIA BARROS</t>
  </si>
  <si>
    <t>CAMP MED</t>
  </si>
  <si>
    <t>JACSON ANDRADE</t>
  </si>
  <si>
    <t>BANDAGEM ELASTICA NAO ESTERIL. Aplicação: compressão de sítio de punção de cateterismo. Material: algodão e rayon recobertos com adesivo de borracha natural (látex). Tamanho: comprimento total variando de 4 a 5 metros e largura de 4 a 6 cm. Características adicionais: rolo de algodão, viscose e látex. Apresentação: embalagem individual.</t>
  </si>
  <si>
    <t>CANETA PARA BISTURI ELÉTRICO AUTOCLAVÁVEL, Características Adicionais: com eletrodo em forma de faca e o fio com  plug de 01 pino para bisturi marca WEM.</t>
  </si>
  <si>
    <t xml:space="preserve">CAIXA ORGANIZADORA, Material: polietileno/plástico, Cor: transparente, Características Adicionais: Aplicação: armazenamento de medicações e materiais medico-hospitalares, com medidas externas: 23,0 X 39,0 X 58,0 cm, (N° 8 ou 9), Unidade De Fornecimento: unidade
</t>
  </si>
  <si>
    <t>MAYARA SANTOS / CAROLINA RONDON</t>
  </si>
  <si>
    <t>DANIEL BRASSL /CRIS JANUÁRIA</t>
  </si>
  <si>
    <t>ELISÂNGELA / RICARDO ARAÚJO.</t>
  </si>
  <si>
    <t>FITA PRETA PARA IMPRESSORA, com fita de nylon entintada para impressora de autoclave Hi Vac Plus e termodesinfetadora da marca Baumer; medidas da faixa de impressão 7mmx62mm; compatível com impressora de 40 colunas, tipo Custom; Código Baumer: 87917. Apresentação: embalagens individuais, acondicionadas em caixa.</t>
  </si>
  <si>
    <t>CÓDIGO SES:</t>
  </si>
  <si>
    <t>IBF</t>
  </si>
  <si>
    <t>CLASSE A</t>
  </si>
  <si>
    <t>LUZICON</t>
  </si>
  <si>
    <t>TSL</t>
  </si>
  <si>
    <t>MONTEGGIA</t>
  </si>
  <si>
    <t>PAPELARIA FARAGO</t>
  </si>
  <si>
    <t>DIAGLAB</t>
  </si>
  <si>
    <t>ORTOP</t>
  </si>
  <si>
    <t>EQUIPLEX</t>
  </si>
  <si>
    <t>WL SERVIÇOS</t>
  </si>
  <si>
    <t>Item /
Código</t>
  </si>
  <si>
    <t>URSODESOXICOLICO (Ácido) Comprimido 300MG</t>
  </si>
  <si>
    <r>
      <t xml:space="preserve">– </t>
    </r>
    <r>
      <rPr>
        <b/>
        <sz val="14"/>
        <color rgb="FFFF0000"/>
        <rFont val="Times New Roman"/>
        <family val="1"/>
      </rPr>
      <t>1</t>
    </r>
    <r>
      <rPr>
        <b/>
        <sz val="14"/>
        <rFont val="Times New Roman"/>
        <family val="1"/>
      </rPr>
      <t xml:space="preserve">ª PUBLICAÇÃO </t>
    </r>
  </si>
  <si>
    <t>CLOPIDOGREL COMPRIMIDO 75 MG</t>
  </si>
  <si>
    <t>DILTIAZEM (CLORIDRATO) COMPRIMIDO 60 MG</t>
  </si>
  <si>
    <t>NEOMED</t>
  </si>
  <si>
    <t>ACIDO POLIACRILICO GEL LIQUIDO OFTALMICO 2 MG/G BISNAGA 10 G</t>
  </si>
  <si>
    <t>RETINOL (ACETATO) + AMINOACIDOS + DL-METIONINA + CLORANFENICOL POMADA OFTALMICA (10000 UI + 25 MG + 5 MG + 5 MG)/G BISNAGA 3,5 G</t>
  </si>
  <si>
    <t>Projeto Básico Nº</t>
  </si>
  <si>
    <t xml:space="preserve">       Em tempo, solicitamos envio ao </t>
  </si>
  <si>
    <t xml:space="preserve">para acompanhamento do prazo de entrega. </t>
  </si>
  <si>
    <t>XXX</t>
  </si>
  <si>
    <t>THUANE MELO</t>
  </si>
  <si>
    <t>PATRÍCIA MEDEIROS / PABLO MIRANDA</t>
  </si>
  <si>
    <t>CAIXA ORGANIZADORA, em plástico  resistente (polietileno), TRANSPARENTE INCOLOR. Formato retangular com tampa e travas que permitem fácil fechamento. Medidas: 28 cm de Largura, 35 cm de comprimento, 25 cm de altura.</t>
  </si>
  <si>
    <t>HALISSON</t>
  </si>
  <si>
    <t>NILVA SOUZA</t>
  </si>
  <si>
    <t>LÂMINA PARA SERRA DE GESSO DE 2,5'' , Aplicação serra de gesso, Características adicionais: marca da serra: NEVONI, tipo SG02. Para cortar gesso normal.</t>
  </si>
  <si>
    <t>CAIXAS DE AÇO INOX AISI com tripla função,  caixa de esterilização, caixa cirúrgica para armazenamento e caixa de transporte de instrumental, medindo 236mm de largura, 456 mm de comprimento e 100mm da altura, com orifícios de 7mm de diâmetros, com tampa com os mesmos orifícios.</t>
  </si>
  <si>
    <t>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t>
  </si>
  <si>
    <t>CABO DA CHAVE DE FLUXO COM LED, PARA CHILLER DA MARCA CARRIER; Aplicação/finalidade: Uso na ligação do controlador de fluxo à placa eletrônica do Chiller da marca Carrie; Material/composição: Conector com cabo em termoplástico; Tamanho/capacidade: Aproximadamente 3m; Características: Cabo com conector para sensor de fluxo de água do Chiller Carrie; Forma de apresentação: Unidade; Unidade de estoque: Unidade</t>
  </si>
  <si>
    <t>CONTROLADOR DE FLUXO – ELETRÔNICO, PARA CHILLER DA MARCA CARRIER; Aplicação/finalidade: Uso no controle de fluxo de água do Evaporador do Chiller; Material/composição: Termoplástico com partes eletrônicas (Sensor eletrônico de fluxo); Características:Controlador de fluxo de água para Chiller da marca Carrier para evitar o congelamento do evaporador; Forma de apresentação: Unidade; Unidade de estoque: Unidade</t>
  </si>
  <si>
    <t>SISTEMA FECHADO DE ASPIRAÇÃO TRAQUEAL VIA TUBO OROTRAQUEAL INFANTIL 8 FR, ESTÉRIL. Tamanho/Capacidade: infantil-8 FR,adaptável a tubos de tamanho 4.0 - 4.5, Aplicação: aspiração de secreção traqueal via tubo orotraqueal,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t>
  </si>
  <si>
    <t>AMITRIPTILINA (CLORIDRATO) COMPRIMIDO 25 MG</t>
  </si>
  <si>
    <t>VULCÃO DA BORRACHA</t>
  </si>
  <si>
    <t>FRANCIVALDO</t>
  </si>
  <si>
    <t>SUZANA / WILLIAN SANTOS</t>
  </si>
  <si>
    <t>AGUA PARA INJETAVEIS FRASCO OU BOLSA 500 ML</t>
  </si>
  <si>
    <t>OLEO MINERAL 100 % PURO FRASCO 100 ML</t>
  </si>
  <si>
    <t>ROLAMENTO Nº 6309-C3. Qualidade igual ou superior à da marca SKF.</t>
  </si>
  <si>
    <t>ROLAMENTO Nº 6209-2C3 PRIMEIRA LINHA.  Qualidade igual ou superior à da marca SKF.</t>
  </si>
  <si>
    <t>GRACIELI LORENZETTI</t>
  </si>
  <si>
    <t>EMILIO</t>
  </si>
  <si>
    <t>CONJUNTO PARA DETERMINAÇAO DE GLICOSE ENZIMATICA, Aplicação:analise bioquimica. Características adicionais: equipamento  automatizado. Forma de Apresentação:conjunto (kit). Prazo de Validade: 75% do prazo de validade do produto.</t>
  </si>
  <si>
    <t>FIO DE SUTURA DE GLICOLIDA + LACTIDA TRANÇADO 3-0, 70CM, COM 01 AGULHA DE 3,0CM PONTA E CORPO CILINDRICOS 3/8 CIRCULO</t>
  </si>
  <si>
    <t>MEDICAL INNOVATION</t>
  </si>
  <si>
    <t>DANIELY ARAÚJO</t>
  </si>
  <si>
    <t>FIO DE SUTURA NYLON MONOFILAMENTAR 8-0 PRETO, AGULHA CILÍNDRICA, 3/8 DE CÍRCULO, BV 5, FIO NYLON MONOFILAMENTAR 8-0, 13 CM, 130 MICRA 6,5MM.</t>
  </si>
  <si>
    <t>TERMOMETRO PARA REGISTRO/VERIFICACAO DE TEMPERATURA AMBIENTE</t>
  </si>
  <si>
    <t>ETIQUETA ADESIVA, Inkjet laser - medindo: 21,2mm x 38,2 mm - A4351 - 100 folhas A4 com 6500 - cada fl tem 65 etiquetas, Unidade cx com 100 folhas de 65 etiquetas.</t>
  </si>
  <si>
    <t>PINÇA DE MAGGIL ADULTO, Aplicação: auxiliar em intubação nasotraqueal, Material: aço inoxidável AISI, Tamanho: 250 mm, Características Adicionais: as pontas deverão ser delicadas, com bom acabamento, de modo a atender a finalidade a qual se destina. A peça não deverá apresentar buracos, frestas ou folga no encaixe. O funcionamento geral da peça deverá ser suave, sem raspar no encaixe, sem machucar os dedos. O polimento deverá ser o mais perfeito possível, naturalmente compatível com a aplicação que se destina o instrumento. O tratamento térmico deverá ser integral a fim de conferir à peça a dureza e flexibilidade necessária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validade:Indeterminado.</t>
  </si>
  <si>
    <t>PINÇA DE MAGGIL INFANTIL, Aplicação: auxiliar em intubação nasotraqueal, Material: aço inoxidável AISI, Tamanho: 180 mm, Características Adicionais: as pontas deverão ser delicadas, com bom acabamento, de modo a atender a finalidade a qual se destina. A peça não deverá apresentar buracos, frestas ou folga no encaixe. O funcionamento geral da peça deverá ser suave, sem raspar no encaixe, sem machucar os dedos. O polimento deverá ser o mais perfeito possível, naturalmente compatível com a aplicação que se destina o instrumento. O tratamento térmico deverá ser integral a fim de conferir à peça a dureza e flexibilidade necessária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validade:Indeterminado.</t>
  </si>
  <si>
    <t>CONJUNTO PARA DETERMINAÇAO DE TGO CINETICO, AUTOMAÇAO</t>
  </si>
  <si>
    <t>GLICONATO DE CALCIO SOLUÇAO INJETAVEL 100 MG/ML AMPOLA 10 ML</t>
  </si>
  <si>
    <t>ISOSSORBIDA (MONONITRATO) SOLUCAO INJETAVEL 10 MG/ML AMPOLA1 ML.</t>
  </si>
  <si>
    <t>LÂMPADA HALOGENA 6V 20W COD.80480-0480-0 P/ MICROSCOPIO NIKON MOD.LABOPHOT</t>
  </si>
  <si>
    <t>LÂMPADA LAMPADA HALOGENA de 12V x 50W com refletor; com lente de proteção; base bipino - Lâmpada Dicróica.</t>
  </si>
  <si>
    <t>ECOPRINT</t>
  </si>
  <si>
    <t>TIAGO GOMES</t>
  </si>
  <si>
    <t>BATERIA PARA VENTILADOR PULMONAR DIXTAL DX 3010; Aplicação/finalidade: Bateria para Ventilador Dixtal Dx 3010; Material/composição: Bateria de chumbo-ácida selada, 12V 9Hh; Forma de apresentação: Unidade
Unidade de estoque: Unidade</t>
  </si>
  <si>
    <t>PASTILHA TRASEIRA MASTER PARA VEICULO DA LINHA  RENAULT MASTER 2010/2011.</t>
  </si>
  <si>
    <t>PE</t>
  </si>
  <si>
    <t>PASTILHA DIANTEIRA MASTER PARA VEICULO DA LINHA RENAULT MASTER 2010/2011.</t>
  </si>
  <si>
    <t>AMOLADOR DIAMANTADO PARA TESOURAS CIRURGICAS. Aplicação/Finalidade: amolador e afiador de tesouras cirurgicas. Na Secretaria as tesouras cirurgicas perdem a afiação muito rápido, ficando inutilizadas ainda novas. Todas as regionais de saúde estão com um número considerado de tesouras cegas, e que tem possibilidade de serem utilizadas por um bom tempo. Material/Composição: ferramenta prática, fabricada com a união do diamante e do cobalto. Tamanho/Capacidade: ferramenta prática, pequena, portátil e altamente eficaz, dispensa o uso de qualquer tipo de energia a não ser a de quem a manuseia. Características: com a mistura do diamante e do cobalto, na afiação não ocorre danos no corte das tesouras cirurgicas. Processo de Esterilização: não se aplica. Forma de Apresentação: amolador diamantado de tesouras cirurgicas - prática, portátil, não necessita de energia. Prazo de Validade: indeterminado. Unidade de Estoque: unidade - un.</t>
  </si>
  <si>
    <t>OREGON</t>
  </si>
  <si>
    <t>FLÁVIA FERREURA</t>
  </si>
  <si>
    <t>CAPTOPRIL COMPRIMIDO SULCADO 25
MG</t>
  </si>
  <si>
    <t>CONJUNTO PARA DETERMINAÇÃO DE CK MB - MASSA - AUTOMAÇÃO</t>
  </si>
  <si>
    <t>CONJUNTO PARA DETERMINAÇÃO DE MIOGLOBINA - AUTOMAÇÃO</t>
  </si>
  <si>
    <t>FIO DE SUTURA CATGUT CROMADO 2-0 C/AG 1/2 CIRC.CIL. 5-0CM FIO 70/90 CM</t>
  </si>
  <si>
    <t>SERINGA HIPODÉRMICA 5ML COM AGULHA 25 X 7, COM DISPOSITIVO DE SEGURANÇA, DESCARTÁVEL, ESTÉRIL. Aplicação: administração de medicamentos. Material: seringa: confeccionada em plástico transparente; Agulha: confeccionada em aço inoxidável.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embalada individualmente, acondicionadas em caixas.</t>
  </si>
  <si>
    <t>NITROPRUSSETO DE SODIO PO LIOFILIZADO OU SOLUCAO INJETAVEL 50 MG FRASCO-AMPOLA OU AMPOLA</t>
  </si>
  <si>
    <t>FILTRO DE AR P/INCUBADORA FANEM C 186 TS 1</t>
  </si>
  <si>
    <t>FILTRO DE AR PARA INCUBADORA MARCA GIGANTE MOD. GRN 1</t>
  </si>
  <si>
    <t>LIDOCAÍNA (CLORIDRATO) SOLIÇÃO INJETÁVEL 2% FRASCO-AMPOLA 20 ML</t>
  </si>
  <si>
    <t>ALESSANDRA CARDOSO</t>
  </si>
  <si>
    <t>TOPMEDLAR</t>
  </si>
  <si>
    <t>CLINDAMICINA (FOSFATO) SOLUCAO INJETAVEL 150 MG/ML AMPOLA 4 ML</t>
  </si>
  <si>
    <t>M3</t>
  </si>
  <si>
    <t>SC</t>
  </si>
  <si>
    <t>CN</t>
  </si>
  <si>
    <t>MUNDO DOS COUROS</t>
  </si>
  <si>
    <t>FLUCONAZOL CAPSULA  100 MG</t>
  </si>
  <si>
    <t>PROMETAZINA (CLORIDRATO) SOLUÇAO INJETAVEL 25 MG/ML AMPOLA 2 ML</t>
  </si>
  <si>
    <t>SULFAMETOXAZOL +TRIMETROPRIMA COMPRIMIDO 400 MG +80 MG</t>
  </si>
  <si>
    <t xml:space="preserve"> CP</t>
  </si>
  <si>
    <t>()</t>
  </si>
  <si>
    <t>SERINGA HIPODERMICA 3ML COM AGULHA 25 X 7, COM DISPOSITIVO DE SEGURANÇA, DESCARTAVEL, ESTERIL</t>
  </si>
  <si>
    <t>SIMETICONA EMULSAO OU SOLUÇAO OU SUSPENSAO ORAL GOTAS 75 MG/ML FRASCO 10 A 15 ML</t>
  </si>
  <si>
    <t>NISTATINA SUSPENSAO ORAL 100.000 UI/ML FRASCO 50 ML COM DOSEADOR</t>
  </si>
  <si>
    <t>METILERGOMETRINA (MALEATO) SOLUCAO INJETAVEL 0,2 MG/ML AMPOLA 1 ML</t>
  </si>
  <si>
    <t>TUBO PARA COLETA DE SANGUE A VACUO. Aplicação: microcoleta de sangue capilar. Tamanho/Capacidade: capacidade até 800 microlitros de sangue. Características adicionais: tubo com gel separador e ativador de coágulo, em polipropileno na cor âmbar para microcoleta de sangue capilar, com bico coletor ou funil acoplado ao tubo e tampa plástica protetora. Deverá vir acompanhado de tubo extensor, para adequação do tamanho.</t>
  </si>
  <si>
    <t>MÁSCARA CIRÚRGICA DESCARTÁVEL. Aplicação: proteção de vias aéreas, para uso em serviços de saúde. Composição: Máscara em tecido não tecido (TNT) a base de polipropileno, em três camadas, com elemento filtrante e eficiência superior a 95% para particulas de 3,2µm, clipe nasal embutido não perfurante, sem memória, com tiras ajustáveis de amarrar. Tamanho:   mínimo 17cmx17cm aberta. Processo de esterilização: não estéril. Forma de apresentação: Unidade (UN)</t>
  </si>
  <si>
    <t>FENOBARBITAL COMPRIMIDO 100 MG</t>
  </si>
  <si>
    <t>CIPROFLOXACINO SOLUCAO INJETAVEL 200 MG/100 ML BOLSA OU FRASCO 100 ML SISTEMA FECHADO DE INFUSAO</t>
  </si>
  <si>
    <t>CATETER INTRAVENOSO PERIFÉRICO 20G, COM DISPOSITIVO DE SEGURANÇA, ESTÉRIL. Aplicação: acesso venoso periférico.  Material: poliuretano/teflon. Tamanho: diâmetro 20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(rosa)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</si>
  <si>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CATETER INTRAVENOSO PERIFÉRICO 22G, COM DISPOSITIVO DE SEGURANÇA, ESTÉRIL. Aplicação: acesso venoso periférico.  Material: poliuretano/teflon. Tamanho: diâmetro 22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(azul)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</si>
  <si>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 xml:space="preserve">CATETER INTRAVENOSO PERIFÉRICO 24G, COM DISPOSITIVO DE SEGURANÇA, ESTÉRIL. Aplicação: acesso venoso periférico.  Material: poliuretano/teflon. Tamanho: diâmetro 24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(amarelo)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 </t>
  </si>
  <si>
    <t>REBOLO REFORÇADO EM FIBRA DE VIDRO 7"x1/48" PARA LIXADEIRA.</t>
  </si>
  <si>
    <t>COLCHÃO DE ESPUMA SOLTEIRO D33, Aplicação/finalidade: para leito hospitalar, Material/composição: Espuma densidade D33, Tamanho: 1,90 x 0,80 x 0,12m, Características Adicionais: Revestimento em courvin na cor preta, perda de espessura % 4 máximo, selo de qualidade impresso ao fixado no colchão, Forma de Apresentação: Unidade , Prazo de validade: Garantia mínima de 02 anos. Unidade de Estoque: Unidade.</t>
  </si>
  <si>
    <t>APARELHO PARA TRICOTOMIA ( BARBA ), Material: plástico, Tipo Uso: descartável, Formato Cabo: anatômico, Emabalagem:   individual, Características Adicionais:  02 ( duas ) lâminas paralelas afiadas, e capa protetora para as lâminas.</t>
  </si>
  <si>
    <t>PAPEL MILIMETRADO TAMANHO A-4 PARA ELETROCARDIOGRAFO EP3 MARCA DIXTAL , PACOTE COM 1000 folhas</t>
  </si>
  <si>
    <t>CABO PP 2,5MM 1</t>
  </si>
  <si>
    <t>BUCHA FIXAÇÃO, Material: nylon, Tamanho: S-6, Características Adicionais: acompanhada de parafuso em aço zincado, auto-atarrachante, cabeça chata, com fenda, Dimensões: 4,20 x 40 mm</t>
  </si>
  <si>
    <t>PHARMATEX</t>
  </si>
  <si>
    <t>LM COMUNICAÇÃO VISUAL DE PROJETOS LTDA - EPP.</t>
  </si>
  <si>
    <t>KÁTIA MOREIRA</t>
  </si>
  <si>
    <t>RQ TECNOLOGIA</t>
  </si>
  <si>
    <t>DEISE</t>
  </si>
  <si>
    <t>WL DE OLIVEIRA</t>
  </si>
  <si>
    <t>ODAIR FREITAS</t>
  </si>
  <si>
    <t>JÉSSICA REIS / PEDRO RICARDO</t>
  </si>
  <si>
    <t>FITA ADESIVA, DE ALTA QUALIDADE E RESISTENCIA,P/COLAR ANTROPOMETRO A PAREDE. Características: Dupla face; tamanho: 19mm x 20m.</t>
  </si>
  <si>
    <t>CAIXA TÉRMICA, características adicionais: capacidade aproximada de 57 litros, com tampa,  estrutura em  plástico reforçado , isolamento térmico  interno, alça retrátil, rodas na traseira,  dreno com tampa na parte inferior, dimensões aproximadas: internas de 42 X 37 X 44 cm e externa de 50 X 45 X 50 cm.</t>
  </si>
  <si>
    <t>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t>
  </si>
  <si>
    <t>FIO DE SUTURA. Material: polipropileno monofilamentar, Características Adicionais: fio2-0, cor azul, comprimento 75cm, com 1 agulha em cada ponta do fio, tipo agulha ponta cilíndrica, corpo cilíndrico, ½ circulo, comprimento da agulha 2,0cm, estéril. Forma De Apresentação: 1 fio por envelope, com identificação do lote, data de fabricação, data de validade impressos em língua portuguesa no envelope e na caixa. Deverá seguir a Norma do INMETRO ABNT 13904/2003.</t>
  </si>
  <si>
    <t>ESCALPE N° 21,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</si>
  <si>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ESCALPE N° 23,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</si>
  <si>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ESCALPE N° 25,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</si>
  <si>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t>
  </si>
  <si>
    <t>RAFAELA ARRUDA</t>
  </si>
  <si>
    <t>CLAUDINEY / DENISE</t>
  </si>
  <si>
    <t>BATERIA. Tamanho/capacidade: Pilha de 1,5 volts,. Modelo AG13. Características: tipo botão. Forma de apresentação Botão. Unidade de estoque: Unidade.</t>
  </si>
  <si>
    <t>QUALITY</t>
  </si>
  <si>
    <t>FLÁVIA</t>
  </si>
  <si>
    <t>CEFAZOLINA SODICA PO PARA SOLUCAO INJETAVEL 1 G FRASCO AMPOLA</t>
  </si>
  <si>
    <t>CEFTRIAXONA (SODICA) PO PARA SOLUCAO INJETAVEL 1G FRASCO AMPOLA</t>
  </si>
  <si>
    <t>ESPIRONOLACTONA COMPRIMIDO 25 MG</t>
  </si>
  <si>
    <t>CEFALEXINA PÓ PARA SUSPENSAO ORAL 50 MG/ML FRASCO 100 ML COM DOSEADOR</t>
  </si>
  <si>
    <t>PÁS ELETRODOS MULTIFUNCIONAIS PARA DESFIBRILAÇÃO ADULTO PLUS, compatíveis com o Desfribrilador PHILIPS HEARTSTAR MRX, com possibilidades de uso para desfibrilação cardíaca externa, monitorização e cardioversão.</t>
  </si>
  <si>
    <t>SOLUÇÃO DE LUGOL 5% PARA EPF. Aplicação: Coloração de lâminas para exames parasitológicos de fezes. Frasco de 1000 ML</t>
  </si>
  <si>
    <t>FERNANDA</t>
  </si>
  <si>
    <t>ANDREA / VERA</t>
  </si>
  <si>
    <t>TRAVESSEIRO, Material: Revestido em courvim, preenchimento 100% espuma, Dimensões: 54 x 34 cm.</t>
  </si>
  <si>
    <t>BRUNO ALVES</t>
  </si>
  <si>
    <t>ANILSON RAMOS</t>
  </si>
  <si>
    <t>METADONA (CLORIDRATO) COMPRIMIDO 10 MG</t>
  </si>
  <si>
    <t>LÂMPADA DICROICA, Tensão: 12 V, Potência: 50 W, Aplicação: ILUMINAÇÃO DE AMBIENTE</t>
  </si>
  <si>
    <t>HAOXI</t>
  </si>
  <si>
    <t>TACROLIMUS CAPSULA 1 MG</t>
  </si>
  <si>
    <t>SOLUÇÃO DE LUGOL 5% PARA EPF. Aplicação: Coloração de lâminas para exames parasitológicos de fezes.
Frasco de 1000 ML</t>
  </si>
  <si>
    <t xml:space="preserve">CABO PARA PÁS ADESIVAS – M3508A, Aplicação: Uso em desfibrilador Philips/possibilita uso de pás adesivas em desfibrilação e marca passo transcutâneo. Acessório de uso obrigatório na execução do teste operacional do desfibrilador Philips modelo MRX M3535A. Características: Reutilizável. Prazo de validade:  Indeterminada. Unidade de estoque: Unidade. </t>
  </si>
  <si>
    <t>FITOMENADIONA (VITAMINA K) SOLUCAO INJETAVEL 2 MG /0,2 ML  AMPOLA 0,2 ML</t>
  </si>
  <si>
    <t>COMPRESSA ALGODONADA PARA CURATIVO TIPO COXIM 15CM x 30CM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algodãos, medindo aberta 15 cm x 60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BR0283949.</t>
  </si>
  <si>
    <t>BOLSA VÁLVULA MÁSCARA MANUAL, ADULTO COM
BALÃO INFLÁVEL DE LATEX, Ressucitador Manual, Ambú,
Reanimador Manual, Dispositivo bolsa-valva, que quando
conectado à máscara. tubo traqueal ou tubo de traqueostomia, é
destinado a fornecer ventilação ao paciente. Características
Mínimas: Balão de parede dupla em silicone, com limitador de
pressão embutido para segurança do paciente; Sistema de
válvula com obturador único, que permite observar claramente a
operação da válvula e torna mais prático administrar o fluxo de
ar do paciente; Alça integrada para compressão uniformizada e
conforto do usuário; Reservatório de oxigênio reutilizável,
autoclavável; Máscara facial traansparente de silicone; Todas as
peças do ressucitador, incluindo o reservatório, devem ser
autoclavadas a 134 graus.</t>
  </si>
  <si>
    <t>DISPOMED</t>
  </si>
  <si>
    <t>BSD DROGARIA</t>
  </si>
  <si>
    <t>ESCOVA PARA LIMPEZA DE RASPAS ACETABULARES: Aplicação: escova com duas extremidades para limpeza de raspas acetabulares, autoclavável, possui cerdas de nylon Anti Microbiais, com cabo reforçado. Medindo entre 16,51 cm a 17,90 cm de comprimento e a extremidade com ponta circular mede entre 4,40 cm a 4,50 cm de diâmetro e a extremidade reta mede 0,8 cm de diâmetro. Forma de apresentação: Unidade.</t>
  </si>
  <si>
    <t>CATETER INTRAVENOSO PERIFÉRICO 18G, COM DISPOSITIVO DE SEGURANÇA, ESTÉRIL. Aplicação: acesso venoso periférico.  Material: poliuretano/teflon. Tamanho: diâmetro 18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(rosa)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</si>
  <si>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ALESSANDRA FARNEZE / THIAGO LAGE</t>
  </si>
  <si>
    <t>CBA</t>
  </si>
  <si>
    <t>THIAGO MENDES</t>
  </si>
  <si>
    <t>UND</t>
  </si>
  <si>
    <t>GLIBENCLAMIDA COMPRIMIDO 5MG</t>
  </si>
  <si>
    <t xml:space="preserve">CONTRASTE A BASE DE ESTER ETILICO DO OLEO DE PAPOULA SOLUÇAO INJETAVEL 48% AMPOLA 10ML </t>
  </si>
  <si>
    <t>PARACETAMOL COMPRIMIDO 500 MG</t>
  </si>
  <si>
    <t>HALOPERIDOL (DECANOATO) SOLUCAO INJETAVEL 50 MG/ML AMPOLA 1 ML.</t>
  </si>
  <si>
    <t>CEI</t>
  </si>
  <si>
    <t>METILDOPA COMPRIMIDO REVESTIDO 250 MG</t>
  </si>
  <si>
    <t>METFORMINA (CLORIDRATO) COMPRIMIDO 850MG</t>
  </si>
  <si>
    <t>DOBUTAMINA (CLORIDRATO) SOLUCAO INJETAVEL 12,5 MG/ML AMPOLA 20 ML</t>
  </si>
  <si>
    <t>REGULADOR DE PRESSÃO MEDICINAL DE GÁS CARBÔNICO( Co2 ) PARA CILINDRO, Material: fabricado em latão polido e cromado  e completamente limpo, conexão em aço inox, entrada e saída normatizadas pela ABNT manômetro de alta pressão indicando capacidade atual do cilindro, diafrágma em aço inox.</t>
  </si>
  <si>
    <t>CANULA P/TRAQUEOSTOMIA COM CUFF P.V.C. 8,0MM N. 34. CUFF DE ALTO VOLUME E BAIXA PRESSÃO, CILÍNDRICO EM MATERIAL MALEÁVEL DE ALTA QUALIDADE MOLDÁVEL À TRAQUEIA QUANDO AQUECIDO À TEMPERATURA CORPÓREA
(TERMOSSENSÍVEL). OBTURADO ARREDONDADO ESPECIAL PARA MINIMIZAR TRAUMAS DURANTE A INSERÇÃO.</t>
  </si>
  <si>
    <t>KIT PARA NEFROSTOMIA PERCUTANEA COM CATETER PIGTAIL 14FR DE 25CM COM FUROS LATERAIS DILATADORES E GUIA 0,38 X 60CM E AGUDORES GUIA E AGULHA.</t>
  </si>
  <si>
    <t>AMINOACIDOS 10 % (100 MG/ML) SOLUÇAO INJETAVEL PARA NUTRIÇAO PARENTERAL USO PEDIATRICO FRASCO OU BOLSA 250 ML</t>
  </si>
  <si>
    <t>MORFINA SOLUCAO INJETAVEL 10MG/ML AMPOLA 1ML</t>
  </si>
  <si>
    <t>MARCELO</t>
  </si>
  <si>
    <t>CONTRASTE RADIOLOGICO NAO IONICO HIPOSMOLAR SOLUÇÃO INJETAVEL TEOR EM IODO DE 300MG/ML A 350 MG/ML FRASCO AMPOLA 50 ML</t>
  </si>
  <si>
    <t>MORFINA SOLUÇAO INJETAVEL 0,2 MG/ML AMPOLA 1 ML</t>
  </si>
  <si>
    <t>FOSFATO DE SODIO MONOBASICO + FOSFATO DE SODIO DIBASICO SOLUCAO ENEMA (16 G +6 G)/100 ML FRASCO OU BOLSA 130 ML</t>
  </si>
  <si>
    <t>FIO SUTURA SINTETICO ZERO ABSORVIVEL POR VOLTA DE 70 DIAS TRANÇADO VERDE VIOLETA 70CM COM AGULHA 3,5 OU 3,7 CM 1/2 CIRCULO PONTA CILINDRICA FECH/OBST/GINEC</t>
  </si>
  <si>
    <t>SHALON</t>
  </si>
  <si>
    <t>PAPEL TERMOSSENSÍVEL ECG, Material: papel termossensível compatível com o equipamento da marca BIONET, Aplicação: Registro do traçado eletrocardiográfico, Tamanho: 216 mm x 30 m, Forma de apresentação: Rolo. Unidade de estoque: Rolo.</t>
  </si>
  <si>
    <t>FERRAGENS BRILHAR</t>
  </si>
  <si>
    <t>JOSÉ ESPEDITO CAVALCANTE</t>
  </si>
  <si>
    <t>DEXCLORFENIRAMINA (MALEATO) COMPRIMIDO 2 MG</t>
  </si>
  <si>
    <t>SONDA DE FOLEY 2 VIAS LÁTEX Nº 16. Aplicação: drenagem e controle da diurese. Material: látex. Características Adicionais: 2 vias, estéril, uso único, descartável, siliconizado, atóxico medindo no mínimo 40cm, apresentando flexibilidade adequada e maleabilidade adequada ao fim a que se destina, que não cause irritação ao paciente, apresentando espessura uniforme, isento de manchas ou quaisquer defeitos: com válvula do balão fixa que permita perfeita adaptação em seringas, com balão com capacidade de 05 a 15 ml e boa distensibilidade; com ponta arredondada e fechada, apresentando 2 orifícios ovais próximos a ponta, situados em lados opostos, delimitados e proporcionais ao diâmetro do calibre, isentos de rebarbas e ou saliências que possam traumatizar o paciente; com dupla embalagem, sendo a externa em papel grau cirúrgico e a interna em polietileno picotado nas extermidades, favorecendo a abertura em técnica asséptica e garantindo a esterilidade do produto. Apresentação: embalagem individual, acondicionada em caixa com 10 unidades. Unidade de Estoque: unidade (UN).</t>
  </si>
  <si>
    <t>DOMPERIDONA SUSPENSAO ORAL 1 MG/ML FRASCO 100 ML</t>
  </si>
  <si>
    <t>BIANCA GUEDES/ PAULA TAVARES</t>
  </si>
  <si>
    <t>THAYANE MENDEZ / SILVANA</t>
  </si>
  <si>
    <t>XERXES LUIZ BORGES</t>
  </si>
  <si>
    <t>SACARATO DE HIDROXIDO DE FERRO III SOLUÇAO INJETAVEL ENDOVENOSA 20MG/ML AMPOLA 5ML</t>
  </si>
  <si>
    <t>BRUNO / MILTON AIRES</t>
  </si>
  <si>
    <t>CARBONATO DE LITIO COMPRIMIDO 300 MG</t>
  </si>
  <si>
    <t>DAYSE DYANE</t>
  </si>
  <si>
    <t>CLORETO DE SODIO SOLUÇAO INJETAVEL 20 % (3,4 MEQ/ML) AMPOLA 10 ML</t>
  </si>
  <si>
    <t>ALCOOL ETILICO SOLUÇAO 70% (P/PV) FRASCO 1000 ML</t>
  </si>
  <si>
    <t>FACEPLATE PARA BOMBA INFUSORA DE CONTRASTE CT 9000 ADV; Aplicação: Suporte para acoplamento de seringa de contraste de 200 ml; Material: Peça em Acrílico.Unidade de estoque: unidade.</t>
  </si>
  <si>
    <t>CAPOTE PARA ÁREA RESTRITA, Aplicação: para servidor de área restrita, Material: Tecido liso, cor azul, 100% algodão, Linha 100% algodão, Tamanho: 48, Características: Peça única, costuras laterais, mangas raglãs compridas com punho em malha ribana sanfonada 100% algodão cor azul,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parte superior frontal na cor verde bandeira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 Código SES: 15464.</t>
  </si>
  <si>
    <t>COLA PARA JUNTA DE MOTOR DIESEL; Aplicação/finalidade: É indicado para colagem e vedação de juntas de motores diesel, a gasolina e a álcool, além de juntas de cambio e diferenciais de veículos, onde há a necessidade de um adesivo resistente às pressões e temperaturas elevadas. Exibe excelente adesão ao aço, madeira, cerâmica, couro, plásticos em geral, e a um grande número de superfícies não porosas e semiporosas; Tamanho/capacidade:  Tubo com 73 gr; Forma de apresentação:  Tubo; Unidade de estoque: Unidade. Qualidade da marca 3M ou superior.</t>
  </si>
  <si>
    <t>ALICATE REBITADOR, TIPO: MANUAL, Características Adicionais: equipado com bicos intercambiáveis e chave para troca dos mesmos, para rebites de alumínio medindo 3,2mm x 8mm e outros.
Material de 1ª qualidade com alta resistência/durabilidade.</t>
  </si>
  <si>
    <t xml:space="preserve">ROLAMENTO AS 206 30X30X62X16/24" </t>
  </si>
  <si>
    <t>ROLAMENTO UC 206 19.1.1/16"</t>
  </si>
  <si>
    <t xml:space="preserve">VASOPRESSINA  20U/ML SOLUÇÃO INJETÁVEL AMPOLA 1 ML </t>
  </si>
  <si>
    <t>ROLAMENTO UC 206 19.1.1/16” 1ª LINHA; Aplicação/finalidade: Equipamento utilizado em ventoinha de Ar-Condicionado Central; Material/composição: Metal; Unidade de estoque: Unidade</t>
  </si>
  <si>
    <t>ROLAMENTO SA 206 30X30X62X16/24” 1ª LINHA; Aplicação/finalidade: Equipamento utilizado em ventoinha de Ar-Condicionado Central; Material/composição: Metal; Unidade de estoque: Unidade</t>
  </si>
  <si>
    <t>KELCY HAYANNA</t>
  </si>
  <si>
    <t>EQUIPO COM CÂMARA GRADUADA, ESTÉRIL. Aplicação: administração de soluções parenterais. Material: PVC atóxico. Características adicionais: Tipo gravitacional, com tubo de comprimento mínimo de 1,20 m, câmara graduada com capacidade de 150 ml com precisão de leitura de 1 ml e com numeração de 5 em 5 ml, câmara gotejadora  transparente, flexível, com comprimento de 40 mm, que assegure que 60 microgotas seja equivalente a 1 ml.  Com injetor lateral, apirogênico, com ponta perfurante que permita conexão segura, que facilite a introdução em recipientes de soluções, sem risco de desconectar durante o seu uso, contendo em sua parte superior injetor de borracha autocicatrizante, que permita várias punções e filtro de entrada de ar; que não permita vazamento em suas junções. Tubo transparente, flexível, atóxico, com regulador de fluxo tipo rolete que garanta perfeito controle de gotejamento, com terminal distal, que permita perfeita adaptação aos dispositivos de acesso venoso, com tampa protetora de fácil remoção.  Embalagem individual em papel grau cirúrgico, que permita a abertura em técnica asséptica, capaz de assegurar a esterilidade do produto durante o transporte, armazenamento, até o momento do uso. Apresentação: embalagem individual acondicionada em caixa.</t>
  </si>
  <si>
    <t>EQUIPO PARENTERAL PARA BOMBA DE INFUSAO, ESTÉRIL. Aplicação: administração de medicamentos por bomba infusora que requeiram infusão precisa e programada. Material: PVC atóxico, livre, de látex. Tamanho/Capacidade: tamanho apoximado de 264 cm. Volume de  preenchimento de aproximadamente 19 ml. Característica adicional: equipo macrogotas com saída para o canal secundário, específico para a bomba de infusão Plum A+ Hospira. Entrada secundária e injetor lateral que permitam conexão Luer Look e/ou Luer Slip, permitindo encaixe perfeito a outros dispositivos de infusão. Extremidade distal com adaptador macho que se adapte a todos os tipos de cateteres. Sistema Aberto.  Comprimento total aproximado 2,6 m. Embalados individualmente. Apresentação: embalagem individual acondicionada em caixa.</t>
  </si>
  <si>
    <t>ALFAEPOETINA SOLUÇAO INJETAVEL 4000 UI SERINGA PREENCHIDA OU FRASCO-AMPOLA OU AMPOLA</t>
  </si>
  <si>
    <t>Escova de Limpeza para Endoscopia Digestiva 2.4X220 EG290 KP- EC 380 KP (A escova deverá ser reutilizável, de acço inoxidável, 5mm de diâmetro)</t>
  </si>
  <si>
    <t>Basket- Extrator de cálculos.</t>
  </si>
  <si>
    <t>ETIFLEX</t>
  </si>
  <si>
    <t>ETIFLEX RÓTULOS E ETIQUETAS LTDA.</t>
  </si>
  <si>
    <t>SIMONE</t>
  </si>
  <si>
    <t>CASA DAS ETIQUETAS</t>
  </si>
  <si>
    <t>LAÍS BITTENCOURT</t>
  </si>
  <si>
    <t>LACTULOSE XAROPE 667 MG/ML FRASCO 120 ML
NÂO pode ser a Lactulife da Naturelife.</t>
  </si>
  <si>
    <t>FERRAGENS LÍDER COMÉRCIO E SERVIÇOS LTDA.</t>
  </si>
  <si>
    <t>LENÇOL ADULTO, Material: algodão cru estampado, Tamanho: 1,60 x 2,50 m, Características Do Produto:  Composição: 100 % algodão cru; Armadura: 1 x 1 ; Número De Fios: 23 cm2 na trama e no urdume; Encolhimento: 8% urdume e 4% na trama; Peso: 140g x m2; Caracaterísticas Adicionais: costura reta e overlock com linha 100% algodão e  logtipo SES em toda sua extensão.</t>
  </si>
  <si>
    <t>FIO DE SUTURA DE POLIPROPILENO MONOFILAMENTAR 3-0, 75CM, COM 01 AGULHA DE 2,0 A 2,6CM PONTA E CORPO CILINDRICOS 1/2 CIRCULO. Material: polipropileno monofilamentar, Características Adicionais: fio 3-0, cor azul, comprimento 75 cm, com 1 agulha, tipo agulha ponta cilíndrica, corpo cilíndrico, 1/2 círculo, comprimento da agulha 2,0 a 2,6cm, estéril. Forma De Apresentação: 1 fio por envelope, com identificação do lote, data de fabricação, data de validade impressos em língua portuguesa no envelope e na caixa. Deverá seguir a Norma do INMETRO ABNT 13904/2003.</t>
  </si>
  <si>
    <t>FIO DE SUTURA DE POLIPROPILENO MONOFILAMENTAR 3-0, 75CM, COM 01 AGULHA DE 3,0 A 3,1CM PONTA E CORPO CILINDRICOS 3/8 CIRCULO. Material: polipropileno monofilamentar, Características Adicionais: fio 3-0, cor azul, comprimento 75 cm, com 1 agulha, tipo agulha ponta cilíndrica, corpo cilíndrico, 3/8 círculo, comprimento da agulha 3,0 a 3,1 cm, estéril. Forma De Apresentação: 1 fio por envelope, com identificação do lote, data de fabricação, data de validade impressos em língua portuguesa no envelope e na caixa. Deverá seguir a Norma do INMETRO ABNT 13904/2003.</t>
  </si>
  <si>
    <t>SONDA DE FOLEY 2 VIAS LÁTEX  Nº 22.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092449.</t>
  </si>
  <si>
    <t>GABAPENTINA CAPSULA 300MG</t>
  </si>
  <si>
    <t>CAIXA PLÁSTICA ORGANIZADORA, Material: polipropileno/plástica, Cor: preta, Características adicionais: com medidas externas: 23,0 X 39,0 X 58,0 cm, ( N° 8 ou 9).</t>
  </si>
  <si>
    <t>BRASILIA SCIENTIFIC</t>
  </si>
  <si>
    <t>MAURÍSIO / JANAÍNA</t>
  </si>
  <si>
    <t>SONDA DE TROCA PARA GASTROSTOMIA PERCUTÂNEA, COM CALIBRE ESPECÍFICO DE 12 FR. BALÃO DE RETENÇÃO INTERNO INFLÁVEL E ANEL DE RETENÇÃO EXTERNO. CONECTOR UNIVERSAL PARA PORTA DE ALIMENTAÇÃO E PORTA DE MEDICAMENTO. MATERIAL RADIOPACO. USO ÚNICO. ESTÉRIL. PRAZO DE VALIDADE DE NO MÍNIMO 75% DO PRAZO TOTAL DE FABRICAÇÃO DO PRODUTO</t>
  </si>
  <si>
    <t>ERTAPENEM PO PARA SOLUÇÃO INEJTAVEL 1G FRASCO AMPOLA</t>
  </si>
  <si>
    <t>ROPIVACAINA (CLORIDRATO) SOLUÇÃO INJETÁVEL 7,5MG/ML AMPOLA 20ML</t>
  </si>
  <si>
    <t xml:space="preserve">                           A cotação foi finalizada com menos de três propostas para o(s) item(ns) xx, uma vez que, alcançada a 2ª PUBLICAÇÃO, não foram apresentadas outras propostas.</t>
  </si>
  <si>
    <t>IDENTIFICADOR DE LEITO EM ACRÍLICO CRISTAL; Aplicação: Identificar o leito do paciente; Material: Acrílico cristal; Tamanho: 32 cm de largura X 24 cm de altura; Caracetísticas: Identificador de leito em acrílico cristal.</t>
  </si>
  <si>
    <t>BUPIVACAINA (CLORIDRATO) SOLUCAO INJETAVEL 5 MG/ML FRASCO-AMPOLA 20 ML</t>
  </si>
  <si>
    <t>BSB GASES</t>
  </si>
  <si>
    <t>RICARDO / MARIA ROSADO</t>
  </si>
  <si>
    <t xml:space="preserve">TRANSDUTOR (CRISTAL) MODELO  MD 1000 PARA DETECTOR FETAL MICROEM. Aplicação/finalidade: Peça  utilizada em equipamento detector fetal, Patrimônio: 403425; 709068; 709073; 709074; 709075 E 709077. Material/composição: Metal/Cristal; Unidade de estoque: Unidade.. 
Esta peça deverá ser acompanhada do conector
</t>
  </si>
  <si>
    <t>SUPERMÉDICA</t>
  </si>
  <si>
    <t>SWAB DESCARTAVEL COM MEIO DE STUART</t>
  </si>
  <si>
    <t>PASSEVIP</t>
  </si>
  <si>
    <t>GEISIANE</t>
  </si>
  <si>
    <t>OCTREOTIDA SOLUCAO INJETAVEL 0,1MG/ML AMPOLA 1ML</t>
  </si>
  <si>
    <t>AVENTAL DESCARTÁVEL, Material: confeccionado em SMS (não tecido), Apresentação: com mangas longas, hidro e hemorrepelente, com tiras adicionais no pescoço e cintura, Gramatura: 50 g/m², Características Adicionais: com abertura nas costas, com tiras externas laterais para fechamento, com punho em malha (com elástico), que não cause nenhuma irritação no usuário, seja de fácil uso, que não proporcione liberação de partículas, embalado um a um embalagem plástica e contenha numeração por tamanho único e identificação, com comprimento/altura mínima de 1,20m, seja maleável de cor branca, verde ou azul.</t>
  </si>
  <si>
    <t>CONJUNTO DE PECAS FACIAIS, Características adicionais, Aplicação: Respirador  semi-facial, série 6200, Confeccionado em silicone, Tamanho: Médio, Composto das seguintes peças:  Válvula de exalação, Válvula de inalação, Anel vedador (para uso na entrada da adaptação dos cartuchos), Tirantes, Tirantes deslizantes.</t>
  </si>
  <si>
    <t>VILLI FARM</t>
  </si>
  <si>
    <t xml:space="preserve">TIRZA CINTRA BASTOS </t>
  </si>
  <si>
    <t xml:space="preserve">EQUIPO SIMPLES PARA INFUSÃO DE SOLUÇÕES PARENTERAIS, TIPO GRAVITACIONAL, ESTÉRIL.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que impeça a passagem de ar ao término da infusão da solução gravitacional, que não permita vazamento em suas junções, com tubo gotejador no interior da mesma que assegure que 20 gotas sejam equivalentes a 1 ml e comprimento mínimo de 40 mm; tubo transparente flexível, atóxico, com comprimento mínimo de 1,20m, com regulador de fluxo tipo rolete que garanta perfeito controle de gotejamento; injetor lateral valvulado com uso livre de agulhas em sistema fechado, acionado por conectores luer slip ou luer lock reversível, livre de látex; conector distal tipo 'luer-lock' giratório, que permita perfeita adaptação aos dispositivos de acesso venoso , que possibilite a  realização do priming sem a desconexão do protetor do cone e tampa protetora de fácil remoção. Embalagem individual em papel grau cirúrgico, que permita a abertura em técnica asséptica, capaz de assegurar a esterilidade do produto durante o transporte, armazenamento, até o momento do uso. </t>
  </si>
  <si>
    <t>CATETER DUPLO LUMEN DE ACESSO VENOSO CENTRAL PEDIATRICO 4FR X 13CM. Aplicação: uso em pacientes graves, e potencialmente graves, com necessidade de infusões múltiplas, como NPT, etc., Material: poliuretano II, termosensível, radiopaco, centimetrado, estéril, descartável.  Tamanho/Capacidade: cateter duplo lúmen 4FR X 13CM, introdutor 21 G X 3,81cm, dilatador de vaso, fio guia metálico  0,18'' (.46mm) X 45cm,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</si>
  <si>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CATETER DUPLO LUMEN DE ACESSO VENOSO CENTRAL PEDIATRICO 5FR X 13CM. Aplicação: uso em pacientes graves, e potencialmente graves, com necessidade de infusões múltiplas, como NPT, etc., Material: poliuretano II, termosensível, radiopaco, centimetrado, estéril, descartável.  Tamanho/Capacidade: cateter duplo lúmen 5FR X 13CM, introdutor 20 G X 3,81cm, dilatador de vaso, fio guia metálico  0,21'' (.53mm) X 45cm,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</si>
  <si>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FIO DE SUTURA. Material: seda trançada, Características Adicionais: fio 0, cor preta, 15 x 45cm, sem agulha, estéril. Forma De Apresentação: 1 fio por envelope, com identificação do lote, data de fabricação, data de validade impressos em língua portuguesa no envelope e na caixa. Deverá seguir a Norma do INMETRO ABNT 13904/2003</t>
  </si>
  <si>
    <t>PAULO LESSA</t>
  </si>
  <si>
    <t>VPHARMA</t>
  </si>
  <si>
    <t>ESPIRONOLACTONA COMPRIMIDO 100 MG</t>
  </si>
  <si>
    <t xml:space="preserve">ACIDO FOLICO COMPRIMIDO 5 MG </t>
  </si>
  <si>
    <t>NAYGILA</t>
  </si>
  <si>
    <t>FRALDA DESCARTÁVEL PARA RECÉM NASCIDO.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recém nascido, para bebês até 05 Kg. Formato: anatômico. Características Adicionais: que não apresente gravuras de bicos, chupetas e mamadeira, cobertura interna hipoalergênica, espessa camada de gel superabsorvente, barreiras antivazamento que proporcione proteção extra e evite transbordamento. Atender à NBR 12005 e 14797. Tipo Fixação: abre e fecha (fita adesiva trilaminada). Embalagem: pacotes de 10 a 20 unidades acondicionados em caixa de papelão ou fardo, Unidade De Fornecimento: pacote de 10 a 20 unidades.</t>
  </si>
  <si>
    <t>FRALDA DESCARTÁVEL PARA CRIANÇAS DE 5 A 11 KG.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criança de 5 a 11 kg, Formato: anatômico. Características Adicionais: que não apresente gravuras de bicos, chupetas e mamadeira, cobertura interna hipoalergênica, espessa camada de gel superabsorvente, barreiras antivazamento que proporcione proteção extra e evite transbordamento. Atender à NBR 12005 e 14797. Tipo Fixação: abre e fecha (fita adesiva trilaminada). Embalagem: pacotes de 10 a 20 unidades acondicionados em caixa de papelão ou fardo</t>
  </si>
  <si>
    <t>FRALDA DESCARTAVEL PARA CRIANÇA ACIMA DE 10 KG TAMANHO "G ". Material: forro interno em falso tecido microperfurado, manta de celulose regular e flocos absorventes, com acabamento em elástico regular e próximo à manta de celulose, cobertura externa impermeável em polietileno, indicador de umidade e fitas adesivas trilaminadas para fixação, Tipo Uso: crianças acima de 10 kg, Formato: anatômico, Tamanho: G, Características Adicionais: material que retenha a umidade longe da pele, que não apresente gravuras de bicos, chupetas e mamadeiras;  cobertura interna hipoalergênica, espessa camada de gel superabsorvente, barreiras antivazamento que proporcione proteção extra e evite transbordamento. Atender à NBR 12005 e 14797. Tipo de Fixação: abre e fecha (fita adesiva trilaminada), Embalagem: pacotes de 8 a 20 unidades acondicionados em caixas de papelão ou fardos,</t>
  </si>
  <si>
    <t>FRALDA DESCARTÁVEL INFANTIL XG, Material: tecido microperfurado manta de celulose regular e flocos absorventes que retêm a umidade longe da pele, com acabamento em elástico regular e próximo à manta de celulose, cobertura externa impermeável em polietileno, indicador de umidade e fitas trilaminadas para fixação (tipo abre e fecha), Tipo Uso: descartável, Formato: anatômico, forro interno em falso tecido microperfurado, Tamanho: XG extra grande, para crianças acima de 12 kg, Características Adicionais: que não apresente gravuras do tipo: bicos, chupetas, e mamadeiras; cobertura interna hipoalergênica, espessa camada de gel superabsorvente, barreiras antivazamento que proporcione proteção extra e evite transbordamento. Atender à NBR 12005 e 14797. Embaladas em pacotes que garantam a proteção do produto até o seu consumo final, contendo de 08 a 24 unidades por pacotes</t>
  </si>
  <si>
    <t>FRALDA DESCARTÁVEL, ADULTO P ATÉ 40 KG . Material: camada externa em polietileno, camada em não-tecido, indicador de umidade, papel absorvente, polpa de celulose + sap, camada superior com não-tecido, fita adesiva trilaminada, com acabamento em elástico regular e próximo à manta de celulose, formato anatômico que proporcione conforto e segurança aos movimentos do corpo. Tipo Uso: adulto de até 40 Kg, Formato: anatômico, Tamanho: pequeno (adulto de até 40 Kg), Características Adicionais: indicador de umidade, que muda de cor alertando para a mudança da fralda, com quatro fitas reposicionáveis para ajuste (tipo abre e fecha), cobertura interna hipoalergênica resistente, mantendo a pele seca, espessa camada de gel superabsorvente, barreiras antivazamento que proporcione proteção extra e evite transbordamento. Tamanho Cintura: máximo de 80 cm.  Tipo Fixação: abre e fecha (fita adesiva trilaminada) Atender à NBR 12005 e 14797. Embalagem: acondicionados em embalagem plástica,</t>
  </si>
  <si>
    <t>FRALDA DESCARTÁVEL, ADULTO M DE 40 a 70 KG. Material: camada externa em polietileno, camada em não-tecido, indicador de umidade,  papel absorvente, polpa de celulose+sap, camada superior com não-tecido, fita adesiva trilaminada, com acabamento em elástico regular e próximo à manta de celulose,  formato anatômico que proporcione conforto e segurança aos movimentos do corpo. Tipo Uso: adulto de 40 até 70 kg, Formato: anatômico, Tamanho: médio (adulto de 40 a 70 kg), Características Adicionais: indicador de umidade, que muda de cor alertando para a mudança da fralda, com quatro fitas reposicionáveis para ajuste (tipo abre e fecha), cobertura interna hipoalergênica resistente, mantendo a pele seca, espessa camada de gel superabsorvente, barreiras antivazamento que proporcione proteção extra e evite transbordamento. Tamanho Cintura: de 80 a 115 cm. Atender à NBR 12005 e 14797. Embalagem: pacotes com 08 a 20 unidades para tamanho médio, acondicionados em embalagem plástica,</t>
  </si>
  <si>
    <t>FRALDA DESCARTÁVEL ADULTO G  DE 70 A 90KG, Material: forro interno em falso tecido microperfurado, manta de celulose regular e flocos absorventes, com acabamento em elástico regular e próximo à manta de celulose, cobertura externa impermeável em polietileno, indicador de umidade  que muda de cor alertando para a mudança da fralda, quatro fitas trilaminadas reposicionáveis para ajuste (tipo abre e fecha), Tipo Uso: adulto de 70 a 90 kg, Formato: anatômico que proporcione conforto e segurança aos movimentos do corpo, com barreira protetora delicada para evitar extravazamentos, indicador de umidade, espessa camada de gel superabsorvente, cobertura interna hipoalergênica.  Tamanho: G, Tamanho Cintura: entre 115 e 155 cm, Tipo Fixação: abre e fecha (fita adesiva trilaminada). Atender à NBR 12005 e 14797. Embalagem: pacotes de 8 a 20 unidades acondicionados em caixas de papelão ou fardos</t>
  </si>
  <si>
    <t>FRALDA DESCARTÁVEL ADULTO XG, acima de 90 KG, Material: forro interno em falso tecido microperfurado, manta de celulose regular, com flocos absorventes, com acabamento regular, cobertura externa impermeável em polietileno, com indicador de umidade. Fita adesiva trilaminada. Uso: adulto com peso acima de 90 kg. Características Adicionais: formato anatômico proporcionando conforto e segurança aos movimentos do corpo; indicador de umidade, que muda de cor alertando para a mudança da fralda; com quatro fitas reposicionáveis para ajuste (tipo abre e fecha); cobertura interna hipoalergênica; espessa camada gel superabsorvente; barreiras antivazamento que proporcione proteção extra e evite transbordamento.  Que atenda a NBR 12005 e NBR 14797.  Tamanho da cintura: de 140 a 165 cm. Embalagem: pacotes com 07 a 20 unidades,</t>
  </si>
  <si>
    <t>MARAÍZA SILVA</t>
  </si>
  <si>
    <t>Algarismo em Aço para marcação em placas de patrimônio, com Estojo; Aplicação/finalidade: Marcar números de patrimônio em placas virgens do GDF, efetuando assim geração de 2ª via de tombamentos desaparecidos; Material/composição: Em aço; Tamanho/capacidade: 6 mm; Características: Com algarismos de 0 a 9; Forma de apresentação: Acompanha estojo resistente para armazenamento e organização dos algarismos, com dimensões da embalagem: 8 cm x 4 cm x 4 cm; Unidade de estoque: Um conjunto.</t>
  </si>
  <si>
    <t>FENITOINA SOLUCAO INJETAVEL 50 MG/ML AMPOLA 5 ML</t>
  </si>
  <si>
    <t>FOSFATO TRICÁLCIO PURÍSSIMO</t>
  </si>
  <si>
    <t>KOMPAZO SAÚDE</t>
  </si>
  <si>
    <t>RAMON ESPINDOLA</t>
  </si>
  <si>
    <t>ESPONJA LIMPEZA,Material: espuma de poliéster, Apresentação: dupla face (macia e áspera),  Comprimento: 115 mm, Largura: 70 mm, Altura: 21 mm, Características Adicionais: antibactericida,com fibra sintética, abrasive e microse/sules</t>
  </si>
  <si>
    <t>ALCOOL ETILICO ABSOLUTO 99,5 GL, Aplicação: fixação de material em lâminas, Características Adicionais: líquido odor agradável inflamável, Forma De Apresentação: frasco 1000ml</t>
  </si>
  <si>
    <t>EUROPA</t>
  </si>
  <si>
    <t>SONDA ASPIRAÇÃO TRAQUEAL  Nº 04. Aplicação: aspiração orotraqueal. Material: polivinil atóxico. Características Adicionais: estéril descartável, incolor, flexível, siliconizada, medindo aproximadamente 40 cm, com conector na parte proximal em PVC que permita perfeita adaptação em seringas, equipos, e tubo latex, etc.; com tampa na porção média do conector (presa ou solta); com extremidade distal arredondada, aberta, apresentando 02 orifícios ovais próximo à ponta, situados em lados opostos, delimitados e proporcionais ao diâmetro da sonda, isentos de rebarbas e ou saliências que possam traumatizar o paciente; apresentando flexibilidade e maciez adequada ao fim a que se destina; espessura uniforme; isenta de manchas ou quaisquer defeitos. Embalada em saco plástico ou papel grau cirúrgico que forneça abertura técnica asséptica e que garanta a integridade e esterilização do produto. Apresentação: embalagem individual, acondicionada em caixa. Unidade de Estoque: unidade (UN). Código SES: 092434.  BR0283987</t>
  </si>
  <si>
    <t>PANCURONIO (BROMETO) SOLUCAO INJETAVEL 2 MG/ML AMPOLA 2 ML</t>
  </si>
  <si>
    <t>ELETRODO DE MARCAPASSO TEMPORARIO ENDOCARDICO, BIPOLAR 5F/ 6F, COM AGULHA INTRODUTORA. CONFECCIONADO EM POLIURETANO. ELETRODOS: PLATINA IRIDIUM, COM MARCAS DE PROFUNDIDADE A CADA 10 CM, COM POLOS POSITIVO E NEGATIVO, CONEXÃO DISTAL COM PINOS DE 2 MM BANHADOS A OURO. IDENTIFICAÇÃO DOS POLOS DISTAIS COMO POSITIVO E NEGATIVO. ACOMPANHA 01 INTRODUTOR PEEL-AWAY 6 CM, COM AGULHA DE PUNÇÃO. COMPRIMENTO: 110 CM. DIÂMETRO: 4, 5, 6, 7 FRENCH. COM CURVA PARA VENTRÍCULO DIREITO ACESSO SUPERIOR, INFERIOR E CURVA PARA ÁTRIO DIREITO. UNIDADE DE ESTOQUE: UNIDADE</t>
  </si>
  <si>
    <t>DALIA HOSPITALAR</t>
  </si>
  <si>
    <t>KAIRITA</t>
  </si>
  <si>
    <t>BSB HOSPITALAR (BSB COMÉRCIO DE PRODUTOS HOSPITALARES LTDA)</t>
  </si>
  <si>
    <t>CONJUNTO PARA DETERMINAÇAO DE ACIDO URICO. Aplicação:analise bioquimica. Características adicionais: equipamento automatizado. Forma de Apresentação:conjunto (kit). Prazo de Validade: 75% do prazo de validade do produto.</t>
  </si>
  <si>
    <t>TUBO CONECTOR/EXTENSOR de alta pressão espiralado 120 - 150 cm, de 8 fr a 12 fr; 300 PSI, caixa contendo 100 unidades. (Compatível com Injetora CT 9000 ADV).</t>
  </si>
  <si>
    <t>FARMACE</t>
  </si>
  <si>
    <t>CATIANE LANDIM</t>
  </si>
  <si>
    <t>CAMISA DE PROTEÇÃO DESCARTÁVEL PARA CABO ÓPTICO DE VÍDEO CIRURGIA Aplicação/finalidade: Proteção da câmera e da fibra óptica utilizada para as vídeo cirurgias. Material/composição: Polietileno. Tamanho/capacidade: Aproximadamente 2 metros de comprimento por 15 centímetros de largura. Unidade de estoque: unidade</t>
  </si>
  <si>
    <r>
      <t>5.</t>
    </r>
    <r>
      <rPr>
        <b/>
        <sz val="7"/>
        <color theme="1"/>
        <rFont val="Times New Roman"/>
        <family val="1"/>
      </rPr>
      <t xml:space="preserve">   </t>
    </r>
    <r>
      <rPr>
        <u/>
        <sz val="9"/>
        <color theme="1"/>
        <rFont val="Times New Roman"/>
        <family val="1"/>
      </rPr>
      <t>Certidão Negativa de Débitos Trabalhistas</t>
    </r>
    <r>
      <rPr>
        <sz val="9"/>
        <color theme="1"/>
        <rFont val="Times New Roman"/>
        <family val="1"/>
      </rPr>
      <t xml:space="preserve"> - Lei 12.440 de 07/07/2011.</t>
    </r>
  </si>
  <si>
    <t>DIALISADOR DE BAIXO FLUXO COM AREA DE SUPERFICIE DE 2,2 A 2,3 M2, MEMBRANA DE POLIAMIDA, ESTERIL</t>
  </si>
  <si>
    <t>SISTEMA PARA CORREÇÃO DE INCONTINÊNCIA URINÁRIA, CONSTITUÍDO POR FAIXA DE PROLENE MONOFILAMENTAR E TELA DE MACROPOROS, COM UM FIO DE SUTURA ABSORVÍVEL PARA O AJUSTE DA TENSÃO, PRÉ-CORTADO A 1,1 CM DE LARGURA X 35 CM DE COMPRIMENTO, MODELO TRANSOBURATÓRIO, ACESSO DE FORA PARA DENTRO, COM PASSADORES HELICOIDAIS ANATÔMICOS.</t>
  </si>
  <si>
    <t>SOLUÇAO DE ACIDO CITRICO 50%, Aplicação: para desinfecção de máquina de hemodiálise que trabalha a no mínimo 90°C, Característica adicional: produto incolor, constituído por ácido cítrico, álcool e água acondicionada em galão de 5 litros. Não tóxico e totalmente biodegradável.</t>
  </si>
  <si>
    <t>TESTE PARA HEMOGRAMA COMPLETO, EM EQUIPAMENTO DE ANALISE AUTOMATICO HEMATOLOGICO COM MINIMO DE 22 PARAMETROS: WBC, RBC, HCT, VCM, HCM, CHCM, HGB, RDW, NEUT%, LINF%, MON%, EOS%, BAS%, NEUT#, LINF#, MON#, EOS#, BAS#, PLQ, PDW, MPV e PCT - CONTROLES / USO DIÁRIO / 3 NIVEIS</t>
  </si>
  <si>
    <t>CANETA DEMARCAÇÃO CIRÚRGICA PONTA GROSSA; Aplicação Para marcação do local cirúrgico; Material: Tinta genciana não tóxica. Cor preta; Tamanho/capacidade: Comprimento de 130 mm com variação de 10 mm. Ponta grossa de 1.0 mm; Característica: Caneta para demarcação do local cirúrgico. Deve ser reutilizável, tipo ponta grossa. Não tóxica. Deve ser resistente, secar rapidamente, não escorrer, porém ser removível. Deve acompanhar régua milimétrica flexível de 150 mm; Processo de Esterilização: Não estéril; Forma de apresentação: Unidade; Prazo de Validade: 75%; Unidade de estoque: Unidade.</t>
  </si>
  <si>
    <t>COLCHÃO ESPUMA SOLTEIRO D-33, Material: espuma flexível de poliuretano D-33, Espessura: mínima 18 cm, Dimensões: 0,78 x 1,88m, Revestimento: courvim ou napa, Densidade: mínima Kg/m3, 29,7 mínimo, Tensão: Kpa, 90 mínimo, Alongamento: %120 mínimo, Fasgamento: N/m, 450 mínimo, Resiliência: %40 mínimo, Deformação Permanente: 90%, 7 máximo, Suporte De Carga: 65%N, 270 mínimo, Fator De Conforto: 2,2 mínimo, Conteúdo De Cinzas: %0,50 máximo, Perda De Espessura: % 4 máximo, Perda De Suporte: 25%, máximo, Cor: suave, Garantia: mínima de 2 anos, Características Adicionais: selo de qualidade impresso ou fixado no colchão, sem fitilho ou cadarço</t>
  </si>
  <si>
    <t>COLCHÃO ESPUMA SOLTEIRO D-45, Material: espuma flexível de poliuretano D-45, Espessura: mínima 18 cm, Dimensões: 0,78 x 1,88 m, Revestimento: courvim ou napa, sem estampas, Densidade: Kg/m3, 42 mínimo, Tensão: Kpa, 90 mínimo, Alongamento: % 100 mínimo, Fasgamento: N/w, 450 mínimo, Resiliência: % 40 mínimo, Fator De Conforto: 1,8 mínimo, Conteúdo De Cinzas: % 0,50 máximo, Perda De Espessura: % 5, máximo, Perda De Suporte: 25%, máximo, Garantia: mínima de 2 anos, Características Adicionais: selo de qualidade impresso ou fixado no colchão</t>
  </si>
  <si>
    <t>FILTRO PARA FLUÍDO DE DIÁLISE DIALOG HDF, Aplicação: remover bactérias e pirogênicos, utilizado na fabricação de fluído de diálise de alta pureza e preparação de soluções de reposição para processos HBD e HB on-line, usadas durante o tratamento, Características Adicionais: atóxico, estéril e apirogênico; item exclusivo para funcionamento da máquina DIALOG HDF on line marca B. BRAUN. A detentora da marca é a única empresa fornecedora.</t>
  </si>
  <si>
    <t>PULSEIRA DE IDENTIFICAÇÃO, ADULTO, BRANCA. Aplicação: identificar pacientes internados, Material: confeccionada em material plástico resistente, sem elasticidade, atóxico, hipoalergênico, bordas atraumáticas e ajustável ao uso adulto. Características Adicionais: fecho confeccionado em material inviolável, seguro, atraumático e pulseira impermeável, que não retenha umidade, que permita a realização de exames radiológicos durante uso. Com área de identificação, que permita impressão e uso de caneta esferográfica. Medindo aproximadamente 270 mm (+/- 20 mm) de comprimento e 25 mm de largura (+/- 5mm)  Apresentação: não estéril. Unidade de Estoque: unidade (UN). Código BR 0364040/0021</t>
  </si>
  <si>
    <t>ISABEL FERNANDES / VINÍCIUS LOBO</t>
  </si>
  <si>
    <t>GLICOSE SOLUÇÃO INJETÁVEL 25% AMPOLA 10ML</t>
  </si>
  <si>
    <t>DEXAMETASONA SOLUCAO INJETAVEL 4 MG/ML 2,5 ML AMPOLA OU FRASCO-AMPOLA</t>
  </si>
  <si>
    <t>ELETRODO 6013 OK 46,00 3,25 MM</t>
  </si>
  <si>
    <t>Escova de aço 2" p/limpeza de tubos de ferro.</t>
  </si>
  <si>
    <t>DILUENTE, Tipo: THINNER 2800, Composição: mistura balanceada de alcoois, ésteres, cetonas, glicoésteres e  hidrocarbonetos, Aplicação: diluiçao de tintas sitéticas automotivas, Características Adicionais: isento de benzeno, Unidade De Fornecimento: galão de 5,00 litros</t>
  </si>
  <si>
    <t>CONJUNTO PARA DETERMINAÇAO DE CK MB.Aplicação:analise bioquimica. Características adicionais: equipamento automatizado. Forma de Apresentação:conjunto (kit). |Prazo de Validade: 75% do prazo de validade do produto.</t>
  </si>
  <si>
    <t>CIRURGICA ALSTYN</t>
  </si>
  <si>
    <t>RUTE TRINDADE</t>
  </si>
  <si>
    <t>RKM</t>
  </si>
  <si>
    <t>RAIMUNDO MACEDO</t>
  </si>
  <si>
    <t>ARAME, Material arame ferro galvanizado. Referência nº 12.</t>
  </si>
  <si>
    <t>BAUMER</t>
  </si>
  <si>
    <t>KELLY LEMES</t>
  </si>
  <si>
    <t>TEUNÍSIO / FRANCISCO REIS / GIVAN</t>
  </si>
  <si>
    <t>ETIQUETA AUTO-ADESIVA, Material: celulose vegetal em adesivo sintético,Tamanho: 210mm X 297mm,1(uma) etiqueta/folha.</t>
  </si>
  <si>
    <t>CONJUNTO DE REAGENTES PARA COLORAÇÃO DE LAMINAS HEMATOLOGICAS EM EQUIPAMENTO CORADOR AUTOMATIZADO, Aplicação: hematologia, Característica Adicional: equipamento corador automatizado composto por: solução corante (Eosina Azul de metileno), solução aquosa tamponada, solução hidrometanólicato, conservantes e surfactante</t>
  </si>
  <si>
    <t>FIO DE SUTURA DE POLIDIOXANONA MONOFILAMENTAR Nº 1, 120 CM, COM 1 AGULHA DE 6,5CM 1/2 CIRCULO CILINDRICA FIO ENLAÇADO.</t>
  </si>
  <si>
    <t>NITROGÊNIO INDUSTRIAL, APLICAÇÃO: PARA RECARGA DE CILINDROS, CAPACIDADE: VOLUMES DIVERSOS</t>
  </si>
  <si>
    <t>M³</t>
  </si>
  <si>
    <t>MANUELA / GERALDO VELOSO</t>
  </si>
  <si>
    <t>WERBRAN</t>
  </si>
  <si>
    <t>NANCY TERESINHA</t>
  </si>
  <si>
    <t>KIT DE GASTROSTOMIA ,Aplicação: realização de gavagem e/ou drenagem de gastrostomia, Material: silicone grau médio, Tamanho/Capacidade: baixo perfil calibre 14 FR, Características Adicionais: transparente, com fita radiopaca ao longo do seu comprimento. Balão de silicone para fixação interna, válvula para enchimento do balão e dispositivo anti-refluxo. Sistema de trava para conexão de sondas extensoras para alimentação. Conjunto completo com tubo de gastrostomia, sonda extensora com pinça para alimentação em bolus, seringa para alimentação de 35 cc, Processo De Esterilização: óxido de etileno, Forma De Apresentação: Kit</t>
  </si>
  <si>
    <t>EQUIPO PARA TRANSFUSÃO DE SANGUE USO PEDIÁTRICO, ESTÉRIL. Aplicação: para transfusão de sangue. Características Adicionais: filtro câmara graduada 100/150 ml sem agulha. Embalagem individual em papel grau cirúrgico, que permita a abertura em técnica asséptica, capaz de assegurar a esterilidade do produto durante o transporte, armazenamento, até o momento do uso. Apresentação: embalagem individual acondicionada em caixa.</t>
  </si>
  <si>
    <t>JOYCE</t>
  </si>
  <si>
    <t>HEMOGRAM</t>
  </si>
  <si>
    <t>RESERVATÓRIO, MATERIAL ACRÍLICO, CAPACIDADE 300ML, CONTEÚDO COM GEL, CARACTERÍSTICAS ADICIONAIS TUBO PVC CRISTAL 100CM PARA USO ESPONJA HIDRÓFOBA. 
Utilizado para possibilitar utilização de curativo a vácuo.</t>
  </si>
  <si>
    <t>TESTE RÁPIDO PARA DIAGNÓSTICO DE DENGUE POR IGA</t>
  </si>
  <si>
    <t>EQUIPO PARA TRANSFUSÃO DE SANGUE, ESTÉRIL. Características Adicionais: com conexão para bolsa com filtro e câmara dupla. Embalagem individual em papel grau cirúrgico, que permita a abertura em técnica asséptica, capaz de assegurar a esterilidade do produto durante o transporte, armazenamento, até o momento do uso. Apresentação: embalagem individual acondicionada em caixa.</t>
  </si>
  <si>
    <t>SISTEMA FECHADO DE DRENAGEM POR SUCÇÃO. Estéril, descartável, radiopaco, confeccionado em PVC siliconizado ou outro material compatível. Contendo cânula/agulha de 4,8MM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t>
  </si>
  <si>
    <t>RESERVATÓRIO, MATERIAL ACRÍLICO, CAPACIDADE 500 ML, CONTEÚDO COM GEL, CARACTERÍSTICAS ADICIONAIS TUBO PVC CRISTAL 100CM PARA USO ESPONJA HIDRÓFOBA</t>
  </si>
  <si>
    <t xml:space="preserve">ADESIVO TISSULAR A BASE DE N-2-BUTIL-CIANOACRILATO
</t>
  </si>
  <si>
    <t>Os contribuintes que realizarem venda de mercadoria deverão emitir Nota Fiscal Eletrônica (NF-E) modelo 55 conforme dispõe a cláusula segunda, inciso I, do protocolo 42, de 03/07/2009. 
Os contribuintes que prestarem serviços deverão emitir Nota Fiscal Eletrônica (NF-E) modelo 55, conforme o §4º do Inciso II do art. 3º da Portaria Nº 259, de 09/12/2013. O MEI está dispensado conforme o §5º art. 3 da portaria citada.</t>
  </si>
  <si>
    <t>ETIQUETA AUTO-ADESIVA,Material: celulose vegetal em adesivo sintético, Tamanho Etiqueta: 107x36 mm, Aplicação:  formulário contínuo, Número Colunas: 2, Cor: branca.
AS MEDIDAS SÃO APROXIMADAS, podem variar para + ou - 5MM.</t>
  </si>
  <si>
    <t>MILHEIROS</t>
  </si>
  <si>
    <t>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t>
  </si>
  <si>
    <t>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t>
  </si>
  <si>
    <t>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t>
  </si>
  <si>
    <t>PAPEL CREPADO, Tamanho: 30 x 30 cm,  Composição: 100% celulose,Tipo Uso: único para embalagem hospitalar, Gramatura  Mínima: 60g/m2, Cor: azul ou verde, Características Adicionais:atóxico, antiestático, hidrorepelente, resistente ao manuseio, boa drapeabilidade, que não libere fribras ou partículas</t>
  </si>
  <si>
    <t>PAPEL CREPADO, Tamanho: 40 x 40 cm,  Composição: 100% celulose,Tipo Uso: único para embalagem hospitalar, Gramatura  Mínima: 60g/m2, Cor: azul ou verde, Características Adicionais:atóxico, antiestático, hidrorepelente, resistente ao manuseio, boa drapeabilidade, que não libere fribras ou partículas.</t>
  </si>
  <si>
    <t>PAPEL CREPADO, Tamanho: 50 x 50 cm,  Composição: 100% celulose,Tipo Uso: único para embalagem hospitalar, Gramatura  Mínima: 60g/m2, Cor: azul ou verde, Características Adicionais:atóxico, antiestático, hidrorepelente, resistente ao manuseio, boa drapeabilidade, que não libere fribras ou partículas.</t>
  </si>
  <si>
    <t>ANGÉLICA DAYANE / PRISCILA ROSA</t>
  </si>
  <si>
    <t>PONTEIRA DESCARTÁVEL P/PIPETA MICROVOLUMÉTRICA 500 A 1000 MICROLITROS. PACOTE COM 50UNIDADES</t>
  </si>
  <si>
    <t>LIMP BEM</t>
  </si>
  <si>
    <t>ROSE</t>
  </si>
  <si>
    <t>Reanimador/Ressuscitador manual neonatal em silicone (tipo Ambú - BMV) - Aplicação: ventilação pulmonar manual; Composição: máscara facial, balão de ventilação, reservatório para oxigênio, conectores e válvulas. Material: máscara facial em silicone - balão de ventilação - em silicone resistente com capacidade para + ou - 500ml; reservatório para oxigênio - confeccionado em material maleável e resistente com capacidade compatível com o tamanho neonatal;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200259</t>
  </si>
  <si>
    <t>SONDA INTESTINAL PARA INCONTINENCIA FECAL ESTERIL. Aplicação: manejo de pacientes com evacuações líquidas e/ou pastosa. Composição: cateter de silicone flexível com ponteira moldada em forma de balonete inflável com capacidade para 45 ml. Capacidade: bolsa descartável transparente com válvula anti-refluxo, graduada, com capacidade para 1000ml. Características adicionais: válvula do tipo luer lock na via para insuflar o balonete. Apresentação: embalagem individual.</t>
  </si>
  <si>
    <t>BOLSA COLETORA PARA INCONTINENCIA FECAL NAO ESTERIL. Aplicação: manejo de pacientes com evacuações líquidas e/ou pastosas. Composição: bolsa descartável, transparente, com válvula anti-refluxo e tampa de fechamento. Características adicionais: graduada com capacidade para 1000 ml</t>
  </si>
  <si>
    <t>JUSCILENE</t>
  </si>
  <si>
    <t>SG DISTRIBUIDORA</t>
  </si>
  <si>
    <t>FILTRO BARREIRA HIDRÓFOBO ADULTO, ESTÉRIL. Aplicação: para retenção de vírus/bactérias. Características Adicionais: auto umidificadores para adaptação circuito de traquéia AVPM, 2 membranas diferenciadas, descartável, compatibilidade saída capnografia, volume corrente de 150 a 1000ml, componente tubo extensor corrugado flexível,conexão universal. Unidade De Estoque: unidade (UN). Código SES: 091204.</t>
  </si>
  <si>
    <t>FÁBIO ALVES PEREIRA</t>
  </si>
  <si>
    <t>CINCO CONFIANÇA</t>
  </si>
  <si>
    <t>CEFOTAXIMA (SODICA) PO PARA SOLUCAO INJETAVEL 500 MG FRASCO AMPOLA</t>
  </si>
  <si>
    <t>DS MEDICAL</t>
  </si>
  <si>
    <t>DIEGO CABRAL</t>
  </si>
  <si>
    <t>EQUIPO FOTOPROTETOR MICROGOTAS PARA INFUSÃO DE SOLUÇÕES PARENTERAIS, TIPO GRAVITACIONAL, ESTÉRIL. Aplicação: administração de drogas fotosensíveis. Material: PVC âmbar atóxico. Características Adicionais: Apirogênico, com ponta perfurante que permita conexão segura e facilite a introdução em recipientes de soluções sem risco de desconectar durante o uso, com protetor adequado; com câmara gotejadora com filtro, transparente e flexível, com comprimento mínimo de 40 mm, que não permita vazamento em suas junções, com tubo gotejador no interior da mesma que assegure que 60 microgotas sejam equivalentes a 1 ml. Entrada de ar com filtro bacteriológico. Tubo flexível, atóxico, com comprimento mínimo de 1,20m, com regulador de fluxo tipo rolete que garanta perfeito controle de gotejamento; injetor lateral com membrana autocicatrizante, livre de látex,  com conector distal tipo 'luer-lock' giratório, que permita perfeita adaptação aos dispositivos de acesso venoso, com tampa protetora de fácil remoção. Acompanhado de capa para proteção do frasco. Embalagem individual em papel grau cirúrgico, que permita a abertura em técnica asséptica, capaz de assegurar a esterilidade do produto durante o transporte, armazenamento, até o momento do uso. Apresentação: embalagem individual acondicionada em caixa.</t>
  </si>
  <si>
    <t>TUBO DE LÁTEX Nº 200.  Aplicação: garroteamento de membro superior ou inferior em punção venosa periférica. Material: látex, Tamanho: diâmetro interno: 3mm, diâmetro externo: 5,5 mm, comprimento:15 m. Características Adicionais: tubo de látex, liso, maleável, com espessura regular na parede interna e externa, textura homogênea, ausência de resíduo interno. Apresentação: rolo com 15 metros, embalado individualmenteem saco plástico resistente. Unidade de Estoque: metro (M). Código SES: 092512. BR265626</t>
  </si>
  <si>
    <t>Prazo de entrega</t>
  </si>
  <si>
    <t>BROMOCRIPTINA (MESILATO) COMPRIMIDO 2,5MG</t>
  </si>
  <si>
    <t>CEFALEXINA CAPSULA OU DRAGEA OU COMPRIMIDO 500 MG</t>
  </si>
  <si>
    <t>NAGMP/HRSM</t>
  </si>
  <si>
    <t>TIRADENTES - MATRIZ</t>
  </si>
  <si>
    <t>TIRADENTES - FILIAL</t>
  </si>
  <si>
    <t xml:space="preserve">PINCA DISSECCAO COM DENTE DE RATO 160MM </t>
  </si>
  <si>
    <t>PINCA HALSTEAD MOSQUITO CURVA 12CM</t>
  </si>
  <si>
    <t>PINÇAS CRILE CURVA, Aplicação: Hemostática.Material: 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 Forma de apresentação: Unidade,Prazo de validade: Indeterminado.</t>
  </si>
  <si>
    <t>UA</t>
  </si>
  <si>
    <t>PINÇA COLIBRI COM DENTE, Para Cirurgia oftalmológica, Material: Titânio, Tamanho: Pinça com dente 1.12mm e comprimento de 10,7  (colibri) e com Dente de 2x1 (não estéril).</t>
  </si>
  <si>
    <t>PINÇA TIPO COLIBRI LONGA PARA CÓRNEA, Para Cirurgia oftalmológica, Material: Titânio, Tamanho: 110 mm,  Características adicionais: Dente micro 2x1, tamanho 0.12 mm, para córnea, com plataforma para fio 10.0 de 6 mm, comprimento 110mm (não estéril).</t>
  </si>
  <si>
    <t>PINÇA COLIBRI 0.12 mm - Pinça para Cirurgia de córnea modelo colibri com dente 0.12 mm Reta 102 mm de comprimento composta em aço inoxidável 420</t>
  </si>
  <si>
    <t>PINÇA DE CÓRNEA UNIVERSAL (RETA) – Pinça para Cirurgia de córnea modelo colibri com dente 0.12 mm e plataforma Curva 106 mm de comprimento composta em aço inoxidável 420</t>
  </si>
  <si>
    <t>CABO DE BISTURI Nº 3,Aplicação: Cabo para adaptar lâminas de bisturi,Material: Aço inoxidável AISI,Tamanho: Número 3,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  Não estéril, Forma de apresentação: Unidade, Prazo de validade: Indeterminado.</t>
  </si>
  <si>
    <t>CABO DE BISTURI Nº 4,Aplicação:  Cabo para adaptar lâminas de bisturi, Material: Aço inoxidável AISI,Tamanho: Número 4,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  Não estéril, Forma de apresentação:  Unidade, Prazo de validade: Indeterminado.</t>
  </si>
  <si>
    <t>CODEINA (FOSFATO) + PARACETAMOL COMPRIMIDO 30 MG + 500 MG</t>
  </si>
  <si>
    <t>AGULHA DE BIÓPSIA, APLICAÇÃO ÓSSEA, MATERIAL AÇO INOXIDÁVEL, DIMENSÃO 11G X 10CM, TIPO PONTA PONTA PIRAMIDAL, COMPONENTE EMPUNHADURA ANATÔMICA POLICARBONATO, COMPONENTE II COM MANDRIL CENTIMETRADO, CARACTERÍSTICA ADICIONAL PENETRAÇÃO ROSQUEÁVEL, CONECTOR CONECTOR LUER LOCK, TIPO USO DESCARTÁVEL, ESTERILIDADE ESTÉRIL</t>
  </si>
  <si>
    <t>Grampeador linear cortante 75-80mm, que dispare 4 linhas de grampos cortando simultaneamente entre a segunda e terceira linha de grampos. Instrumento descartável,Modelo Recarregável . Esterilização com validade mínima de 3 anos.</t>
  </si>
  <si>
    <t>ABAIXADOR DE LINGUA CONVENCIONAL EM MADEIRA, PACOTE COM 100 UND. Material: madeira na cor natural, Características Adicionais: formato convencional, superfície lisa e sem rebarbas, bordas arredondadas e bem acabadas, descartável. Embalagem plástica ou similar que garanta proteção ao produto até o momento do uso, Apresentação: pacote com 100 unidades, Unidade De Estoque: pacote ( PCT ), Código SES: 091180. BR348807</t>
  </si>
  <si>
    <t>FIO GUIA HIDROFILICO EM NITINOL ZEBRADO 0,035', PARA ACESSO BILIAR E SUAVE NAVEGAÇÃO, E AUXILIAR NA CANULAÇÃO . COM MARCAÇÕES PARA REFERÊNCIA  A CADA 1 CM, RADIOPACO, 0,035' E CATETER COM 480 CM DE COMPRIMENTO. MATERIAL ESTERILIZADO EM ÓXIDO DE ETILENO, DESCARTÁVEL, DESTINADO A USO ÚNICO. COM PRAZO DE VALIDADE DE 75% DA DATA DE FABRICAÇÃO DO PRODUTO.</t>
  </si>
  <si>
    <t>BROMETO DE N BUTIL-ESCOPOLAMINA COMPRIMIDO OU DRAGEA 10MG</t>
  </si>
  <si>
    <t>QUALIMED</t>
  </si>
  <si>
    <t>DAIANY GONÇALVES</t>
  </si>
  <si>
    <t>FRAGA</t>
  </si>
  <si>
    <t>DAVID ROBERTO</t>
  </si>
  <si>
    <t>LÃ DE AÇO-ESPONJA,Material: lã de aço, Peso: 60 g, Unidade De Fornecimento: pacote com 8 unidades.</t>
  </si>
  <si>
    <t>SABÃO COCO,Composição Básica: coco natural, Aspecto Físico: sólido, Unidade De Fornecimento: barra de 200 gramas</t>
  </si>
  <si>
    <t>SABÃO COMUM, Composição: básica glicerinado, Aspecto Físico: sólido, Unidade De Fornecimento: barra de 200 gramas</t>
  </si>
  <si>
    <t>SABONETE, Aspecto Físico: sólido, Material: neutro, Tipo Uso: infantil, Unidade De Fornecimento: barra de 80 gramas.</t>
  </si>
  <si>
    <t>SABONETE, Aspecto Físico: sólido, Aplicação: higienização, Características Adicionais: embalagem individual,  Unidade De Fornecimento: barra com 15 gramas</t>
  </si>
  <si>
    <t>ESCOVA PARA UNHAS, Material: sintético, Dimensões: 2,5 x 8 cm, Unidade De Estoque: unidade (UN), Unidade De Fornecimento: unidade</t>
  </si>
  <si>
    <t>CONJUNTO PARA DETERMINAÇAO DE ALBUMINA.Aplicação: analise bioquimica. Características adicionais: equipamento automatizado. Forma de Apresentação:conjunto (kit). 
Prazo de Validade: 75% do prazo de validade do produto.</t>
  </si>
  <si>
    <t>CONJUNTO PARA DETERMINAÇAO DE BILIRRUBINA. Aplicação:analise bioquimica. 
Características adicionais: equipamento automatizado. Forma de Apresentação:conjunto (kit). 
Prazo de Validade: 75% do prazo de validade do produto.</t>
  </si>
  <si>
    <t>CONJUNTO PARA DETERMINAÇAO DE FOSFATASE ALCALINA. Aplicação:analise bioquimica. Características adicionais: equipamento automatizado. Forma de Apresentação:conjunto (kit). 
Prazo de Validade: 75% do prazo de validade do produto.</t>
  </si>
  <si>
    <t>CONJUNTO PARA DETERMINAÇAO DE FERRO SERICO TOTAL. Aplicação:analise bioquimica. Características adicionais: equipamento automatizado. Forma de Apresentação:conjunto (kit). 
Prazo de Validade: 75% do prazo de validade do produto.</t>
  </si>
  <si>
    <t>CONJUNTO PARA DETERMINAÇAO DE COLESTEROL. Aplicação:analise bioquimica. Características adicionais: equipamento automatizado. Forma de Apresentação:conjunto (kit).
Prazo de Validade: 75% do prazo de validade do produto</t>
  </si>
  <si>
    <t>CONJUNTO PARA DETERMINAÇAO DE TRIGLICERIDEOS. Aplicação:analise bioquimica. Características adicionais: equipamento automatizado. Forma de Apresentação:conjunto (kit). 
Prazo de Validade: 75% do prazo de validade do produto.</t>
  </si>
  <si>
    <t>NAYANE</t>
  </si>
  <si>
    <t>MULTIWORKS</t>
  </si>
  <si>
    <t>SOLANGE</t>
  </si>
  <si>
    <t>KCA</t>
  </si>
  <si>
    <t>NECFM</t>
  </si>
  <si>
    <t>DRENO DE PENROSE ESTERIL ENV.C/01UND. CADA N. 40</t>
  </si>
  <si>
    <t xml:space="preserve">DRENO DE PENROSE ESTERIL ENV.C/01UND. CADA N. 20 </t>
  </si>
  <si>
    <t>MANDRIL P/INTUBACAO ADULTO, CONFECCIONADO EM METALDE FÁCIL MANUSÉIO, REVESTIDO</t>
  </si>
  <si>
    <t>SACO DE HAMPER PARA COLETA DE ROUPA HOSPITALAR ? Aplicação: para uso em suporte tipo hamper, visando ao acondicionamento e transporte de roupa hospitalar suja, contaminada ou não. Cor: amarela (cor forte). Material: fabricado com resinas termoplásticas de alta resistência, não transparente. Tamanho: aproximadamente 90 cm de largura x 110 cm de altura. Capacidade: 100 a 120 litros. Características: Descartável, impermeável, com alta resistência a tração, a rasgamento e a impacto. Deve ser opaco e com baixo brilho. Lateral com solda homogênea, contínua e uniforme, proporcionando uma perfeita vedação e garantindo que não haja perda de conteúdo líquido durante o transporte/manuseio. Sem solda no fundo. Deve possuir sistema de amarração na boca, tipo cordão ou fita plástica, para fechamento rápido e seguro. Deve constar em cada saco a identificação do fabricante e símbolo de substância infectante conforme NBR 7500/ABNT. Forma de Apresentação: Embalagem primária em saco plástico com 50 unidades, e embalagem secundária em caixa de papelão com 100 unidades, dobradas individualmente e trazendo externamente os dados de identificação e procedência. Unidade de Estoque: Unidade, Unidade de fornecimento: Unidade.</t>
  </si>
  <si>
    <t>BIOPLASMA</t>
  </si>
  <si>
    <t>MARCELINO ANDRADE</t>
  </si>
  <si>
    <t>PRIMEIRA LINHA</t>
  </si>
  <si>
    <t>RAIMUNDO NONATO</t>
  </si>
  <si>
    <t>SERINGA HIPODERMICA 10ML SEM AGULHA, DESCARTAVEL, ESTERIL, BICO LUER SLIP. Aplicação: administração de medicamentos. Material: plástico transparente.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luer slip que favoreça boa fixação em agulha, com escala de mililitro visível cuja impressão não saia facilmente e que garanta precisão de dosagens. Embalada individualmente em papel grau cirúrgico que facilite a abertura em técnica asséptica e que assegure a esterilidade do produto durante o transporte e armazenamento até o seu uso. Apresentação: embalagem individual acondicionada em caixa.</t>
  </si>
  <si>
    <t>SERINGA HIPODÉRMICA 20ML SEM AGULHA, DESCARTÁVEL, ESTÉRIL. Aplicação: administração de medicamentos. Material: plástico transparente. Características Adicionais: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luer lock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embalagem individual acondicionada em caixa.</t>
  </si>
  <si>
    <t>AGULHA PERIDURAL DESCARTÁVEL,Material: Aço inoxidáve AISI, Características Adicionais: com mandril, Aplicação: Realização de bloqueio peridural, Tamanho/ capacidade: 17G X 3 1/4 X 1.5 X 80MM, Processo de esterilização: Estéril, Forma de apresentação: Embalagem individual</t>
  </si>
  <si>
    <t>LIDOCAINA 2% C/V 1:50.000</t>
  </si>
  <si>
    <t>AGULHA PERIDURAL DESCARTAVEL C/BISEL TIPO TOUHY 16G X 3 1/4 1,7 X 80MM 1</t>
  </si>
  <si>
    <t>EQUIPO PARA PRESSÃO VENOSA CENTRAL, ESTÉRIL. Aplicação: para medir pressão venosa central. Material: PVC atóxico. Características Adicionais: Com ponta perfurante que permita conexão segura e facilite a introdução em recipientes de soluções sem risco de desconectar durante o seu uso, com protetor adequado; com câmara gotejadora transparente e flexível; com comprimento mínimo de 40 mm, que não permita vazamento em suas junções, com tubo gotejador no interior da mesma que assegure que 20 gotas seja equivalente a 01 ml. Tubo transparente com comprimento mínimo de 1,20 m, flexível, atóxico, com regulador de fluxo tipo rolete que não permita a passagem de líquido quando totalmente fechado e que garanta o controle de gotejamento com suavidade, com conector tipo luer macho em sua extremidade distal, que proporcione perfeito encaixe em catéteres, com protetor adequado; com derivação em Y em terço médio de tubo, medindo no mínimo 45 cm, com corta fluxo de fácil manuseio, com conector e tampa protetora que garanta a esterilidade do produto. Com fita de 40 cm, com graduação de 1 em 1 cm de ``0`` a ``40`` com adesivo na parte posterior das suas extremidades. Embalagem individual em papel grau cirúrgico, que permita a abertura em técnica asséptica, capaz de assegurar a esterilidade do produto durante o transporte, armazenamento, até o momento do uso. Apresentação: embalagem individual acondicionada em caixa.</t>
  </si>
  <si>
    <t>MB TEXTIL</t>
  </si>
  <si>
    <t>LIDOCAINA SOLUCAO TOPICA SPRAY 100MG/ML FRASCO 50 ML</t>
  </si>
  <si>
    <t>CAMB</t>
  </si>
  <si>
    <t>FLÁVIO / RENAN</t>
  </si>
  <si>
    <t>MANOELA SIMONE</t>
  </si>
  <si>
    <t>ALPROSTADIL SOLUÇÃO INJETÁVEL 500 MCG/ML AMPOLA 1 ML</t>
  </si>
  <si>
    <t>SATÉLITE</t>
  </si>
  <si>
    <t>MERIVAN SUELY / EDMILSON</t>
  </si>
  <si>
    <t>NLF/HRSM</t>
  </si>
  <si>
    <t>NECFM/HRSM</t>
  </si>
  <si>
    <t>CURATIVO ESTERIL NAO ADERENTE IMPREGNADO COM PRATA.  Aplicação: adjuvante no tratamento de lesões infectadas. Composição: malha de poliéster ou nylon. Características adicionais: dimensões de 10cmx20cm, aproximadamente. Apresentação: embalagem individual acondicionada em caixa.</t>
  </si>
  <si>
    <t>CITOPHARMA</t>
  </si>
  <si>
    <t>CITOPHARMA - MANIPULAÇÕES PARENTERAIS.</t>
  </si>
  <si>
    <t>JOSÉ JORGE</t>
  </si>
  <si>
    <t>TUBO ENDOTRAQUEAL, MATERIAL PVC SILICONIZADO ATÓXICO, TAMANHO 5.0, APLICAÇÃO ORAL, CARACTERÍSTICAS ADICIONAIS CURVA PRÉ-FORMADA, TIPO CONECTOR ADAPTÁVEL,SUPERFÍCIE LISA, TRANSMITÂNCIA LINHA RADIOPACA DE PONTA A PONTA, COMPONENTES BALÃO DE ALTO VOLUME E BAIXA PRESSÃO, TIPO USO DESCARTÁVEL, ESTERILIDADE ESTÉRIL, EMBALAGEM INDIVIDUAL.</t>
  </si>
  <si>
    <t>FILME RADIOLÓGICO, Tamanho: 30 x 40 cm, Aplicação: exames radiológicos, Características Adicionais  ortocromático, sensível a écrans intensificadores de luz verde e que permita o manuseio com luz de segurança e processamento automático, Ciclo Rápido: ( 48 segundos ) , Padrão: estendido, Apresentação: caixa com 100 películas.</t>
  </si>
  <si>
    <t>ÁCIDOS GRAXOS ESSENCIAIS + TRIGLICERÍDEOS (ACELERADOR DE CICATRIZAÇÃO),Forma Farmacêutica: solução tópica, Forma De Apresentação: frasco com 200 ml, Unidade De Fornecimento: frasco com 200 ml</t>
  </si>
  <si>
    <t>Tesoura, Aplicação: para recorte de gesso em unidade ortopédica, Material: confeccionada em aço inoxidável, Dimensões: 200mm de comprimento</t>
  </si>
  <si>
    <t>TELA CIRÚRGICA DE BAIXA DENSIDADE PARCIALMENTE ABSORVÍVEL 6,0 X 11,0 CM, COMPOSTA POR POLIPROPILENO DE BAIXA DENSIDADE E POLIGRECAPONE 25, COM 75% DE VALIDADE DA DATA DE FABRICAÇÃO.</t>
  </si>
  <si>
    <t>FLUKKA</t>
  </si>
  <si>
    <t>SUPERINTENDÊNCIA DA REGIÃO DE SAÚDE SUL</t>
  </si>
  <si>
    <t>CANULA PARA TRAQUEOSTOMIA COM CUFF PVC N.5,0
Comprimento máximo de 45mm.</t>
  </si>
  <si>
    <t>PULSEIRA DE IDENTIFICAÇÃO NA COR BRANCA .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BR: 225101.</t>
  </si>
  <si>
    <t>SAPATILHA DESCARTÁVEL ANTIDERRAPANTE e IMPERMEABILIZADA em toda a sua superfície. Material: polipropileno. Características: gramatura mínima de 30g/m², resistente, com acabamento elástico que permita bom ajuste e cobertura completa do calçado até o tornozelo. Tamanho único com 35 cm de comprimento por 18 cm de altura, em embalagem com 50 pares, na cor verde ou azul. Prazo de validade: 75% do prazo total de validade do produto. Unidade de estoque: par (PAR). Unidade de fornecimento: par.</t>
  </si>
  <si>
    <t>PAR</t>
  </si>
  <si>
    <t>GUARNIÇÃO PARA AUTOCLAVE, MODELO HI-VAC MX 360 LITROS, REF. 80142. MARCA BAUMER</t>
  </si>
  <si>
    <t xml:space="preserve">CONJUNTO CAMISA E CALÇA PRIVATIVA. Aplicação: servidor de área restrita e semi-restrita. Material: tecido liso, cor verde, 50% algodão e 50% poliéster, com variação de ±5%. Linha 100% algodão. Tamanho: M.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 </t>
  </si>
  <si>
    <t>CONJUNTO CAMISA E CALÇA PRIVATIVA. Aplicação: servidor de área restrita e semi-restrita. Material: tecido liso, cor verde, 50% algodão e 50% poliéster, com variação de ±5%. Linha 100% algodão. Tamanho: G.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t>
  </si>
  <si>
    <t>ACETAZOLAMIDA COMPRIMIDO 250 MG</t>
  </si>
  <si>
    <t>TUBO COL. SANGUE SIST. A VACUO CITRATADO 13X75MM 3,5 A 5,0ML</t>
  </si>
  <si>
    <t>TUBO PARA COLETA DE SANGUE A VACUO. Aplicação: para uso pediátrico/geriátrico. Tamanho/Capacidade: aspiração de 1 a 2ml. Característica adicional: Tudo para coleta de sangue a vácuo, em vidro ou plástico, transparente, incolor, estéril, aspiração de 1 a 2 ml, com Citrato de Sódio 3,2% (conteúdo líquido por tubo: 0,2 mL de solução de Citrato Tamponado 0,105M - 3,2%) proporção 1:10. O tubo deve ter aspiração total. Tubo não siliconizado, rolha de borracha.</t>
  </si>
  <si>
    <t>SALBUTAMOL (SULFATO) SOLUÇAO PARA INALAÇAO 5 MG/ML FRASCO 10 ML</t>
  </si>
  <si>
    <t>SULFATO DE ALUMINIO E AMONIO P.A. FRASCO DE 500 G</t>
  </si>
  <si>
    <t>GIEMSA EM PO. Aplicação: preparação de corante, Tamanho/Capacidade: 25g, Forma de apresentação: frasco 25g</t>
  </si>
  <si>
    <t>ETOMIDATO SOLUÇAO INJETAVEL 2 MG/ML AMPOLA 10 ML</t>
  </si>
  <si>
    <t>TUBO PARA MICROHEMATOCRITO, Aplicação: análise laboratorial, Características Adicionais: não heparinizado, Transmitância: transparente, Forma De Apresentação: frasco com 500 unidades</t>
  </si>
  <si>
    <t>PIPETADOR, Aplicação: análise laboratorial, Características: Macro automático ou manual, adaptavel a pipetas de 1 a 10 ml e volumetricas, com botão ejetor de resíduos liquídos</t>
  </si>
  <si>
    <t>NAGMP</t>
  </si>
  <si>
    <t>TINTA ESMALTE SINTÉTICO, Cor: branca, Tipo Acabamento: brilhante, Unidade De Fornecimento: galão de 3,60 litros.</t>
  </si>
  <si>
    <t>PONTEIRA, Material: plástico, Formato: quadrado, Tipo Uso: interna, Dimensões: 30 x 30 mm, Cor: preta</t>
  </si>
  <si>
    <t>NMPAT/HRSM</t>
  </si>
  <si>
    <t xml:space="preserve"> - Lorena</t>
  </si>
  <si>
    <t xml:space="preserve"> ELETRODO ADULTO ADESIVO DESCARTÁVEL MARCA PHILIPS, Aplicação: para adaptar no equipamento marca philips modelo FR2, Características Adicionais: auto-aderente e multi-funções com uma área de superfície ativa nominal de 100cm2.</t>
  </si>
  <si>
    <t>AGULHA PARA FISTULA ARTERIO-VENOSA 16X01, ESTÉRIL, Aplicação: em hemodiálise, Material: Cânula aço inox. Características Adicionais: 16 x 01; com bisel; sem mandril. Embalagem individual em papel grau cirúrgico, que permita a abertura em técnica asséptica, capaz de assegurar a esterilidade do produto durante o transporte, armazenamento, até o momento do uso. Apresentação: embalagem individual acondicionada em caixa.</t>
  </si>
  <si>
    <t>SACO DE HAMPER PARA COLETA DE ROUPA HOSPITALAR – Aplicação: para uso em suporte tipo hamper, visando ao acondicionamento e transporte de roupa hospitalar suja, contaminada ou não. Cor: (cor forte). Material: fabricado com resinas termoplásticas de alta resistência, não transparente. Tamanho: 90 cm de largura x 110 cm de altura, com variação de no máximo 5 cm para mais ou menos. Espessura mínima: 10 micra. Características: Descartável, impermeável, com alta resistência a tração, a rasgamento e a impacto. Deve ser opaco e com baixo brilho. Lateral com solda homogênea, contínua e uniforme, proporcionando uma perfeita vedação e garantindo que não haja perda de conteúdo líquido durante o transporte/manuseio. Sem solda no fundo. Deve possuir sistema de amarração na boca, tipo cordão, para fechamento rápido e seguro. Deve constar em cada saco a identificação do fabricante.</t>
  </si>
  <si>
    <t>CARBONATO DE CALCIO COMPRIMIDO OU DRAGEA (EQUIVALENTE 500MG DE CALCIO)</t>
  </si>
  <si>
    <t>CLASSE A - COMÉRCIO E SERVIÇOS LTDA - ME.</t>
  </si>
  <si>
    <t>SÉRGIO DE LA-ROCQUE</t>
  </si>
  <si>
    <t>IGARAÇU</t>
  </si>
  <si>
    <t>EDJ</t>
  </si>
  <si>
    <t>MB TEXTIL LTDA.</t>
  </si>
  <si>
    <t>MEDCAM COMÉRCIO E REPRESENTAÇÃO</t>
  </si>
  <si>
    <t>ROSILDA PESSOA PEREIRA</t>
  </si>
  <si>
    <t>MEDCAM</t>
  </si>
  <si>
    <t>FILME RADIOLÓGICO, Tamanho: 35 x 35 cm, Aplicação: exames radiológicos, Características Adicionais: ortocromático, sensível a écrans intensificadores de luz verde e que permita manuseio com luz de segurança e processamento automático, Ciclo rápido: ( 48 segundos ), Padrão: estendido, Apresentação: caixa com 100 películas</t>
  </si>
  <si>
    <t>TERMÔMETRO DIGITAL, Aplicação: avaliação/monitoração da temperatura corporal, Material: termômetro em material plástico, ponta emborrachada flexível com terminal metálico inoxidável para captação da temperatura corporal, pode ou não ter corpo emborrachado, Tamanho: dimensões aproximadas: (AxLxP) 10 x 130 x 23 mm, Características Adicionais: termômetro com ponta flexível para maior conforto do paciente recém-nascido durante a medição. Totalmente a prova d'água. Apresenta o resultado da medição em até 1 minuto através de beep sonoro, visor de cristal líquido de fácil visualização, memória da última medição. Bateria LR41 (1,5V) inclusa, recambiável. Temperatura medida em centígrados. Deve ter registro na ANVISA. Itens Inclusos: Manual de instruções e caixa acrílica para a conservação do produto. Garantia: 24 Meses, Forma de Apresentação: embalagem individual em caixa acrílica, Prazo de Validade: 75% do prazo total de validade do produto, Código SES: 15058.</t>
  </si>
  <si>
    <t>FLOXINA B 1</t>
  </si>
  <si>
    <t>METHABIO</t>
  </si>
  <si>
    <t>METHABIO FARMACÊUTICA DO BRASIL LTDA.</t>
  </si>
  <si>
    <t>STAIKOS</t>
  </si>
  <si>
    <t xml:space="preserve">TUBO PARA COLETA DE SANGUE SISTEMA A VACUO COM EDTA 13X75MM 3,5 A 5,0ML </t>
  </si>
  <si>
    <t>LABS</t>
  </si>
  <si>
    <t>FELIPE NOVAES DE CARVALHO</t>
  </si>
  <si>
    <t>CAMPO SIMPLES EM CRETONE, Dimensões: 1,50 x 1,50 cm REF 127, Cor: azul, Apresentação:   exigências técnicas para o produto: cretone, estampado com o logotipo da SES em toda a sua extensão, Composição: 100% algodão, armadura: 1 x1; nº de fios: 23 cm² na trama e no urdume; encolhimento: 8% urdume e 4% na trama, Peso: 300 g/m², Características Adicionais: costura reta e overlock com linha 100 % algodão</t>
  </si>
  <si>
    <t>COLCHÃO PARA CAMA FAWLER - ref: Cama de recuperação motorizada base tubos retangulares, com acabamento pintado em tinta epóxi (pó). Base revestida com tampa de proteção em ABS pintada. Leito articulado, construído em chapas de aço dobradas e perfuradas com acabamento pintado em tinta epóxi (pó). Leitos divididos em partes, sendo: Dorso, assento, flexão e perneira. Equipado com suporte de soro em quatro pontos do leito e colocação de trapézio em um ponto do leito. Estrado em chapa dobrada em forma de canaleta, com tubos nas extremidades para colocação da cabeceira e perneira, acabamento pintado em tinta epóxi (pó). Ganchos de fixação de dreno e indicador de ângulo do tredelemburg e reverso do tredelemburg. Rodas giratórias, cinco ou seis de diâmetro, revestidas com borracha termoplástica, com sistema de freio, sistema direcional ou de melhor qualidade.</t>
  </si>
  <si>
    <t>(Em despadronização - Compra Suspensa no SIS) FIO DE SUTURA CATGUT SIMPLES, Aplicação: gastrointestinal, Tamanho/Capacidade: 5-0; 70 cm, com 1 agulha 1,5 a 1,7 cm, ponta cilíndrica e corpo cilíndrico, 1/2 circular, Prazo de validade: 75% do prazo total de validade do produto.</t>
  </si>
  <si>
    <t>(Em despadronização - Compra Suspensa no SIS) FIO CATGUT SIMPLES 0 70CM 1 AG. 4,0CM PTA CIL. AORPO CIL. 1/2CIRC</t>
  </si>
  <si>
    <t>OPX DIAGNÓSTICA</t>
  </si>
  <si>
    <t>OPX DIAGNÓSTICA (PEIXOTO TECNOLOGIA IMP E EXP DE PROD. E SERV. LABORATORIAIS EIRELI - ME.</t>
  </si>
  <si>
    <t>RAFAEL PEIXOTO</t>
  </si>
  <si>
    <t>Fio de nylon 10-0 Preto - 13 cm Agulha cilíndrica 3/8 5,0 mm 70 micras Esterilizado em óxido de etileno Microvascular.</t>
  </si>
  <si>
    <t>KIT CIRÚRGICO UNIVERSAL, DESCARTÁVEL, ESTÉRIL. Aplicação: kit composto de campos adequados para cobertura de mesas e paciente em sala cirúrgica. Material: confeccionado em SMS 60g/m², 100% polipropileno: composto por três camadas, sendo duas externas de Spunbond e uma interna de Meltblown: impermeável; com barreira antimicrobiana comprovada por laudo de BFE, Tamanho/Capacidade: kit composto de: 01 campo de mesa - cobertura impermeável para mesa auxiliar, medindo 110 X 155 cm com variação ± 10 cm. 02 campos cirúrgicos laterais medindo 120 X 155 cm com variação ± 10 cm, com reforço absorvente e fita adesiva hipoalergênica. 02 campo cirúrgico inferior medindo 155 X 070 cm, com variação ± 10 cm; com reforço absorvente e fita adesiva hipoalergênica. 03 campo cirúrgico superior medindo 075 X 075 cm com variação ± 10 cm, com reforço absorvente e fita adesiva hipoalergênica DEVERÃO TER 5 CM DE LARGURA. 01 fronha de mayo - cobertura impermeável para mesa de mayo, medindo 60 X 075 cm com variação ± 05 cm. , Processo De Esterilização: Estéril com raio gama ou óxido de etileno, Forma De Apresentação: kit embalado em papel grau cirúrgico, que favoreça a abertura em técnica asséptica, Prazo de validade: 75% do prazo total de validade do produto, Unidade De Estoque: kit (KT), Unidade De Fornecimento: kit.</t>
  </si>
  <si>
    <t>COMPRESSA CIRÚRGICA RADIOPACA - pré-lavada - estéril. Tamanho: no mínimo 23 cm x 25 cm. Pacote com 05 unidades. Aplicação: absorção de fluídos e sangue em cavidade cirúrgica. Material: 100% algodão. Características Adicionais: com alça de algodão, 04 camadas sobrepostas com fio radiopaco, cor branca, acabamento com auréola e bainha em overlock, com ausência de branco óptico, de amido, de sujidade e de fiapos, deve oferecer absorção imediata de fluídos e sangue. Uso exclusivo em Centro Cirúrgico/ Obstétrico. Apresentação: Embalagem com selagem que assegure a esterilidade em papel grau cirúrgico, ou similar, que permita abertura e transferência em técnica asséptica, sem delaminar. Pacote com 5 unidades.</t>
  </si>
  <si>
    <t>LEILA REGIANE / MARINA</t>
  </si>
  <si>
    <t>HELLEN BORGES (DF) / JANINE (Goiânia)</t>
  </si>
  <si>
    <t>RRX</t>
  </si>
  <si>
    <t>RRX COMÉRCIO DE PRODUTOS HOSPITALARES EIRELI - EPP.</t>
  </si>
  <si>
    <t>RAFAEL ARATANI</t>
  </si>
  <si>
    <t>WILLIAN</t>
  </si>
  <si>
    <t>GUARNIÇÃO DE SILICONE P/AUTOCLAVE B-526P REF.80289 MAR.BAUMER.</t>
  </si>
  <si>
    <t>ELETRODO ADESIVO MULTIFUNÇÃO, Aplicação: para marcapasso externo, para uso em cardioversor modelo N-Series da marca Zoll, Características Adicionais: cardioversão sincronizada, estimulação cardíaca e monitoração de ECG.</t>
  </si>
  <si>
    <t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t>
  </si>
  <si>
    <t>CURATIVO EM PELICULA. Aplicação: fixação de cateter venoso central, reduzindo a colonização no sítio de inserção. Material: filme transparente de poliuretano com placa de gel transparente a base de gluconato de clorexidina 2%. Tamanho/Capacidade: 8 x 11 cm (+/ -1 cm). Característica adicional: película transparente adesiva, semi-permeável. Fixação nas bordas com material adesivo hipoalergênico. Tempo de pemanência mínima de 7 dias com atividade antimicrobiana comprovada. Processo de Esterilização: estéril. Forma de apresentação: unidade embalada individualmente  acondicionadas em caixas.</t>
  </si>
  <si>
    <t>GOLD GÁS</t>
  </si>
  <si>
    <t>GOLD GÁS (BHC COMÉRCIO DE GASES E TRANSPORTES LTDA-ME)</t>
  </si>
  <si>
    <t>ÁUREA ALVES</t>
  </si>
  <si>
    <t>MEDICAL TECH</t>
  </si>
  <si>
    <t>SUZANA ROLLEMBERG</t>
  </si>
  <si>
    <t>CLEIDSON SOUSA AGUIAR</t>
  </si>
  <si>
    <t>ETIQUETA AUTOADESIVA, Cor: Azul, Tamanho: 4cm x 5cm com os dizeres:  HRSM, Data, Acompanhante, Clínica Médica; conforme modelo.</t>
  </si>
  <si>
    <t>ETIQUETA AUTOADESIVA, Cor: Verde, Tamanho: 4cm x 5cm com os dizeres: HRSM, Data, Acompanhante, Clínica Cirúrgica; conforme modelo.</t>
  </si>
  <si>
    <t>ETIQUETA AUTOADESIVA, Cor: Vermelho, Tamanho: 4cm x 5cm com os dizeres: HRSM, Data, Acompanhante, P.S. Obs. Masculina, conforme modelo.</t>
  </si>
  <si>
    <t>ETIQUETA AUTOADESIVA, Cor: Lilás, Tamanho: 4cm x 5cm com os dizeres: 
HRSM, Data, Acompanhante, UTI Neonatal; conforme modelo.</t>
  </si>
  <si>
    <t>ETIQUETA AUTOADESIVA, Cor: Rosa claro, Tamanho: 4cm x 5cm com os dizeres: HRSM, Data, Acompanhante, Maternidade.</t>
  </si>
  <si>
    <t>CARTUCHO TONER IMPRESSORA SAMSUNG ML-2165-W . Toner 
MLT-D1015 Laser Samsung, do equipamento 
IMPEDANCIÔMETRO InBody 230, patrimônio no 974995. Cartucho com carga completa.</t>
  </si>
  <si>
    <t>FIO CATGUT CROMADO 4-0 70 CM 1A AG. 2,0 CM PONTA CILINDRICA CORPO CILINDRICO 1/2 CIRC.</t>
  </si>
  <si>
    <t>VACUOMETRO, Aplicação: destinado à aspiração de secreções, utiliza como fonte propulsora o sistema de vácuo centralizado, características adicionais: construído em corpo de metal cromado, manômetro de 1 a 30Hg, botão de regulagem de aspiração, frasco coletor de vidro com rosca e graduado de 0 a 500 ml e bóia de segurança que impede a passagem de secreção para a rede canalizada de vácuo.</t>
  </si>
  <si>
    <t>SOLUCAO PEROXIDO DE HIDROGENIO 90 A 92% + ACIDO ACETICO 8,0% + ÁCIDO PERACÉTICO 3,4% GALAO COM 5 LITROS (USO EXCLUSIVO PARA DESINFECÇAO DAS MAQUINAS DE HEMODIALISE FRESENIUS). Segundo a empresa que realiza manutenção da máquina, o único material compatível é da marca PURISTERIL.</t>
  </si>
  <si>
    <t>CONJUNTO CAMISA E CALÇA PRIVATIVA. Aplicação: servidor de área restrita e semi-restrita. Material: tecido liso, cor azul, 50% algodão e 50% poliéster, com variação de ±5%. Linha 100% algodão. Tamanho: GG. Características: CAMISA - peça única, costuras laterais, mangas curtas, fechada, com decote em V, com 02 bolsos na parte inferior. CALÇA - peça simples, cintura com elástico, costura dupla, linha 100% algodão. Gramatura mínima: 120g/m². Apresentar logomarca SES-DF medindo 7x7cm no bolso inferior esquerdo da camisa e na parte anterior da perna esquerda da calça, na cor verde bandeira. Forma de Apresentação: embalagem primária em saco plástico com no máximo 10 unidades e secundária em caixa de papelão com no máximo 100 unidades. Unidade de Estoque: Unidade. Unidade de fornecimento: Unidade.</t>
  </si>
  <si>
    <t>PIRIMETAMINA COMPRIMIDO 25MG</t>
  </si>
  <si>
    <t>DEXTROCETAMINA SOLUÇAO INJETAVEL 50MG/ML FRASCO-AMPOLA 2ML</t>
  </si>
  <si>
    <t>RESERVATÓRIO, MATERIAL ACRÍLICO, CAPACIDADE 1000ML, CARACTERÍSTICAS ADICIONAIS TUBO PVC CRISTAL 100CM PARA USO ESPONJA HIDRÓFOBA</t>
  </si>
  <si>
    <t>TELA CIRÚRGICA DE BAIXA DENSIDADE PARCIALMENTEABSORVÍVEL 10,0 X 12,0 CM.COMPOSTA POR POLIPROPILENO DE BAIXA DENSIDADE E POLIGRECAPONE 25, COM 75% DE VALIDADE DA DATA DE FABRICAÇÃO.</t>
  </si>
  <si>
    <t>ATADURA GESSADA (SEC.RAPIDA) 15CMX300CM (COMP.MINIMO)</t>
  </si>
  <si>
    <t>AGULHA, PARA PUNÇÃO DE CATETER TOTALMENTE IMPLANTÁVEL, 20G X 15 mm, ESTÉRIL. Aplicação: punção de cateter totalmente implantável. Material: agulha em aço inoxidável e extensor confeccionado em material compatível com quimioterápicos. Características Adicionais: descartável, dispositivo para fixação. Extensor com conector Luer Lock e pinça de fechamento. Agulha biselada do tipo Huber com dispositivo de segurança. Embalado individualmente em papel grau cirúrgico que facilite a abertura em técnica asséptica e que assegure a esterilidade do produto durante o transporte e armazenamento até o seu uso. Apresentação: embalagem individual acondicionadas em caixa.</t>
  </si>
  <si>
    <t>ATADURA GESSADA (SEC.RAPIDA) 20CMX350CM (COMP.MINIMO)</t>
  </si>
  <si>
    <t>CATETER DUPLO LÚMEN P/ HEMODIÁLISE TEMPORÁRIO ADULTO CONFECCIONADO POLIURETANO, DIÂMETRO  11,5  A 14FR, C/ TAMANHO TOTAL 19,5 A 20CM DE COMPRIMENTO. COMPOSTO DE KIT C/  DILATADOR,</t>
  </si>
  <si>
    <t>DIMENIDRINATO + PIRIDOXINA (CLORIDRATO) + GLICOSE + FRUTOSE SOLUCAO INJETAVEL 30 MG +50 MG + 1000 MG + 1000 MG AMPOLA 10 ML</t>
  </si>
  <si>
    <t>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t>
  </si>
  <si>
    <t>POLIVITAMINICO COM ACETATO DE TOCOFEROL SOLUCAO ORAL GOTAS FRASCO 20 ML   
DEVE CONTER: TODAS AS VITAMINAS: A, C,D, E e Complexo B e o frasco deve conter 20 ML</t>
  </si>
  <si>
    <t>O não cumprimento do prazo de entrega ensejará sanções impostas no decreto nº 26.851 de 30/05/2006 - art. 4º inc. I, II, III.</t>
  </si>
  <si>
    <t>SULFATO DE MAGNESIO SOLUCAO INJETAVEL 10 % AMPOLA 10 ML</t>
  </si>
  <si>
    <t>SONDA DE FOLEY 2 VIAS LÁTEX Nº 08.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 Apresentação: embalagem individual, acondicionada em caixa com 10 unidades. Unidade de Estoque: unidade (UN). Código SES: 092442.  BR0357171</t>
  </si>
  <si>
    <t>MARTINS - FERNANDO VECCHI</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</si>
  <si>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10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</si>
  <si>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12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</si>
  <si>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14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</si>
  <si>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16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</si>
  <si>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18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</si>
  <si>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20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</si>
  <si>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 xml:space="preserve">Kit de Drenagem torácica mediastinal infantil contendo: dreno tubular multiperfurado ( orifícios laterais ), constituído de material plástico macio ( confeccionado com cloreto de povinila - PVC ou silicone ou poliuretano) com filamento radiopaco por todas extensão, ponta arredondada atraumática e extremidade distal chanfrada. Diâmetro de acordo com escala French, 22 FR, comprimento de 40 a 50 cm. Frasco Coletor com etiqueta volumétrica graduada ( volume padrão variando de 250 a 500 ml ), apresentando tudo de drenagem, presilha, respiro de saída de gases, tubo selo d'água e alça de transporte. Conector cônico para a conexão entre o dreno tubular multiperfurado e o frasco coletor. </t>
  </si>
  <si>
    <t>HERMILTON ARAÚJO</t>
  </si>
  <si>
    <t>TUBO ENDOTRAQUEAL SEM CUFF P.V.C. EXTRA-FLEXIVEL 3,5MM</t>
  </si>
  <si>
    <t>AGULHA HIPODÉRMICA 30 X 8 COM DISPOSITIVO DE SEGURANÇA, DESCARTÁVEL.</t>
  </si>
  <si>
    <t>AGULHA HIPODÉRMICA 25 X 8,0 COM DISPOSITIVO DE SEGURANÇA, DESCARTÁVEL.</t>
  </si>
  <si>
    <t>KIT DE GASTROSTOMIA PERCUTÂNEA COM DIÂMETRO DA SONDA DE 24FR,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POLITETRAFLUORETILENO.EMBALAGEM INDIVIDUAL, ESTERELIZADO EM ÓXIDO DE ETILENO, COM VALIDADE DE 75% DO PRAZO TOTAL DE FABRICAÇÃO DO PRODUTO.</t>
  </si>
  <si>
    <t>SULFADIAZINA DE PRATA CREME DERMATOLÓGICO 1% FRASCO OU POTE 400 G</t>
  </si>
  <si>
    <t>CANCELADO</t>
  </si>
  <si>
    <t>CATETER INTRAVENOSO RADIOPACO TEFLON/VIALON 20G</t>
  </si>
  <si>
    <t>TUBO EXTENSOR PARA ASPIRAÇÃO Nº 204 COMPRIMENTO 3M</t>
  </si>
  <si>
    <t>ATADURA GESSADA (SEC.RAPIDA) 10CMX300CM (COMP.MINIMO)</t>
  </si>
  <si>
    <t>Empenhado</t>
  </si>
  <si>
    <t>Saldo</t>
  </si>
  <si>
    <t>Projeto Básico</t>
  </si>
  <si>
    <t>Recebimento</t>
  </si>
  <si>
    <t>Status</t>
  </si>
  <si>
    <t>Responsável</t>
  </si>
  <si>
    <t>CÓDIGO</t>
  </si>
  <si>
    <t>Descrição resumida dos itens adjudicados à empresa</t>
  </si>
  <si>
    <t>V. unitário</t>
  </si>
  <si>
    <t>V. Total</t>
  </si>
  <si>
    <t>Fechamento</t>
  </si>
  <si>
    <t>Nº DANFE</t>
  </si>
  <si>
    <t>Data DANFE</t>
  </si>
  <si>
    <t>Nº TED</t>
  </si>
  <si>
    <t>Data TED</t>
  </si>
  <si>
    <t>Observações</t>
  </si>
  <si>
    <t>Entradas de recurso</t>
  </si>
  <si>
    <t>Total de recursos do exercício</t>
  </si>
  <si>
    <t>Data</t>
  </si>
  <si>
    <t>Bimestre</t>
  </si>
  <si>
    <t>Bimestres</t>
  </si>
  <si>
    <t>1º bimestre</t>
  </si>
  <si>
    <t>2º bimestre</t>
  </si>
  <si>
    <t>3º bimestre</t>
  </si>
  <si>
    <t>4º bimestre</t>
  </si>
  <si>
    <t>5º bimestre</t>
  </si>
  <si>
    <t>6º bimestre</t>
  </si>
  <si>
    <t>Saldo remanescente para compra</t>
  </si>
  <si>
    <t>Setores</t>
  </si>
  <si>
    <t>E-mail</t>
  </si>
  <si>
    <t>Físico</t>
  </si>
  <si>
    <t>Ok</t>
  </si>
  <si>
    <t>Bruno</t>
  </si>
  <si>
    <t>Clayton</t>
  </si>
  <si>
    <t>Jefferson</t>
  </si>
  <si>
    <t>*CANCELADO</t>
  </si>
  <si>
    <r>
      <rPr>
        <b/>
        <sz val="10"/>
        <rFont val="Rockwell"/>
        <family val="1"/>
      </rPr>
      <t>**Não Padronizado**</t>
    </r>
    <r>
      <rPr>
        <sz val="10"/>
        <rFont val="Rockwell"/>
        <family val="1"/>
      </rPr>
      <t xml:space="preserve"> BANDEJA DE GASTROSTOMIA PERCUTÂNEA 24 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POLITETRAFLUORETILENO.EMBALAGEM INDIVIDUAL, ESTERELIZADO EM ÓXIDO DE ETILENO, COM VALIDADE DE 75% DO PRAZO TOTAL DE FABRICAÇÃO DO PRODUTO.</t>
    </r>
  </si>
  <si>
    <r>
      <rPr>
        <b/>
        <sz val="10"/>
        <rFont val="Rockwell"/>
        <family val="1"/>
      </rPr>
      <t xml:space="preserve">USAR CÓDIGO DA SES 330... </t>
    </r>
    <r>
      <rPr>
        <sz val="10"/>
        <rFont val="Rockwell"/>
        <family val="1"/>
      </rPr>
      <t>FRALDA DESCARTÁVEL ADULTO, acima de 70 kg, atóxica, capa polimérica, núcleo absorvente, primeira camada composta por algodão hifrófilo; Polpa de celulose e/ou materiais poliméricos absorventes , elásticos nas pernas, ajuste lateral ;  Unidade de fornecimento: UN</t>
    </r>
  </si>
  <si>
    <r>
      <t>AVENTAL CIRÚRGICO, ESTÉRIL, DESCARTÁVEL; Aplicação: paramentação em procedimentos cirúrgicos; Material: Confeccionado em SMS mínimo 50g/m², 100% polipropileno, composto por três camadas, sendo duas externas de Spundbond e uma interna de meltblown, hidrorrepelente; Tamanho: Médio, comprimento mínimo de 110cm; Características: Avental resistente, maleável, impermeável; com barreira antimicrobiana comprovada por laudo de BFE; com tiras internas para fechamento nas costas e tiras externas para fechamento com transpasse lateral,  com  decote  rente  ao  pescoço,  com mangas  longas  e  punho  em tecido sanfonado; que não cause nenhuma irritação ao usuário e que não proporcione liberação de partículas; dobradura asséptica; acompanha toalha de mão em não tecido absorvente. Processo de Esterilização: Estéril; Forma de apresentação: Embalagem individual com abertura em técnica asséptica; Prazo de Validade: 75% do prazo total de validade do produto; Unidade de estoque: Unidade (un)</t>
    </r>
    <r>
      <rPr>
        <b/>
        <sz val="10"/>
        <rFont val="Rockwell"/>
        <family val="1"/>
      </rPr>
      <t>.***DEVERÁ APRESENTAR AMOSTRA***</t>
    </r>
  </si>
  <si>
    <r>
      <t>AGULHA ANESTÉSICA, APLICAÇÃO P/RAQUIDIANA, MATERIAL AÇO INOXIDÁVEL, DIMENSÃO 25 G X 3 1/2´(90 CM), TIPO PONTA QUINCKE, COMPONENTE C/ MANDRIL, CONECTOR UNIVERSAL CONECTOR LUER  LOCK, CÔNICO E TRANSPARENTE, TIPO USO DESCARTÁVEL, ESTERILIDADE ESTÉRIL, EMBALAGEM INDIVIDUAL.</t>
    </r>
    <r>
      <rPr>
        <b/>
        <sz val="10"/>
        <rFont val="Rockwell"/>
        <family val="1"/>
      </rPr>
      <t xml:space="preserve"> ***A marca PROCARE/SOLIDOR apresentou problemas***</t>
    </r>
  </si>
  <si>
    <t>Entradas</t>
  </si>
  <si>
    <t>Total de recursos recebidos</t>
  </si>
  <si>
    <t>Total de recursos executados</t>
  </si>
  <si>
    <t>TOTAL</t>
  </si>
  <si>
    <t>CNPJ</t>
  </si>
  <si>
    <t>Nº</t>
  </si>
  <si>
    <t>15.236.054/0001-28</t>
  </si>
  <si>
    <t>ADESIFLEX (REIS GRÁFICA E COMÉRCIO DE ETIQUETAS EIRELI ME)</t>
  </si>
  <si>
    <t>22.233.033/0001-14</t>
  </si>
  <si>
    <t>ALEX SARKIS</t>
  </si>
  <si>
    <t>ALEX SARKIS COMÉRCIO E SERVIÇOS EM AÇO INOX LTDA - ME.</t>
  </si>
  <si>
    <t>03.959.708/0001-62</t>
  </si>
  <si>
    <t>ALLIMED COMÉRCIO DE MATERIAL MEDICO LTDA.</t>
  </si>
  <si>
    <t>03.022.982/0001-00</t>
  </si>
  <si>
    <t>ALPHA SUPRIMENTOS DE INFORMATICA LTDA-ME.</t>
  </si>
  <si>
    <t>10.772.736/0001-31</t>
  </si>
  <si>
    <t>01.378.750/0001-64</t>
  </si>
  <si>
    <t>AP TORTELLI COMÉRCIO E REP. DE PROD. MED.E HOSP. LTDA.</t>
  </si>
  <si>
    <t>78.451.614/0001-87</t>
  </si>
  <si>
    <t>ARTMED HOSPITALAR LTDA.</t>
  </si>
  <si>
    <t>04.094.782/0001-26</t>
  </si>
  <si>
    <t>ARTWARE PRODUTOS E SERVIÇOS LTDA.</t>
  </si>
  <si>
    <t>02.820.312/0001-77</t>
  </si>
  <si>
    <t>ASTEM COMÉRCIO, REPRESENTAÇÕES E SERVIÇOS LTDA.</t>
  </si>
  <si>
    <t>03.864.631/0001-47</t>
  </si>
  <si>
    <t>ASTHAMED COMÉRCIO DE PROD. E EQUIP. HOSP. LTDA.</t>
  </si>
  <si>
    <t>07.955.424/0001-59</t>
  </si>
  <si>
    <t>ATALAIA HOSPITALAR LTDA ME.</t>
  </si>
  <si>
    <t>13.333.966/0001-92</t>
  </si>
  <si>
    <t>05.896.738/0001-00</t>
  </si>
  <si>
    <t>AUROBINDO PHARMA INDÚSTRIA FARMACEUTICA LTDA.</t>
  </si>
  <si>
    <t>04.301.884/0001-75</t>
  </si>
  <si>
    <t>BALONNY CARIMBOS INDÚSTRIA E COMÉRCIO LTDA.</t>
  </si>
  <si>
    <t>11.966.923/0001-19</t>
  </si>
  <si>
    <t>BASZI COMERCIAL EIRELI - ME.</t>
  </si>
  <si>
    <t>15.086.174/0001-96</t>
  </si>
  <si>
    <t>BAUMER HOSPITALAR LTDA.</t>
  </si>
  <si>
    <t>59.870.816/0001-19</t>
  </si>
  <si>
    <t>BBRAUN (LABORATÓRIOS B. BRAUN S.A)</t>
  </si>
  <si>
    <t>31.673.254/0001-02</t>
  </si>
  <si>
    <t>BIOLOG ENGENHARIA BIOMEDICA LTDA.</t>
  </si>
  <si>
    <t>00.673.426/0001-06</t>
  </si>
  <si>
    <t>BIOPLASMA PRODUTOS PARA LABORATÓRIO E CORRELATOS LTDA.</t>
  </si>
  <si>
    <t>04.086.552/0001-15</t>
  </si>
  <si>
    <t>BIOTÉCNICA COMÉRCIO E ASS. DE EQUIP. HOSPITALARES LTDA</t>
  </si>
  <si>
    <t>37.107.117/0001-89</t>
  </si>
  <si>
    <t>BRAKKO COMÉRCIO E IMPORTAÇÃO LTDA.</t>
  </si>
  <si>
    <t>01.085.207/0001-79</t>
  </si>
  <si>
    <t>BRASFREEZER REFRIGERAÇÃO E SERVIÇOS LTDA.</t>
  </si>
  <si>
    <t>01.587.856/0001-78</t>
  </si>
  <si>
    <t>BRASÍLIA CARTUCHOS E SUPRIMENTOS DE INFORMATICA LTDA - ME.</t>
  </si>
  <si>
    <t>05.371.858/0001-86</t>
  </si>
  <si>
    <t>BRASÍLIA SCIENTIFIC PRODUTOS HOSPITALARES LTDA-EPP.</t>
  </si>
  <si>
    <t>10.552.138/0001-57</t>
  </si>
  <si>
    <t>00.625.186/0001-74</t>
  </si>
  <si>
    <t>BS MADEIRAS (BS MATERIAL DE CONSTRUÇÃO LTDA)</t>
  </si>
  <si>
    <t>26.426.817/0001-10</t>
  </si>
  <si>
    <t>BSB DISTRIBUIÇÃO</t>
  </si>
  <si>
    <t>BSB DISTRIBUIÇÃO (BSB CENTRO DE DISTRIBUIÇÃO E LOGÍSTICA EIRELLI-EPP.)</t>
  </si>
  <si>
    <t>04.246.726/0001-60</t>
  </si>
  <si>
    <t>BSB GASES E EQUIPAMENTOS MEDICINAIS LTDA - ME.</t>
  </si>
  <si>
    <t>15.361.476/0001-25</t>
  </si>
  <si>
    <t>05.777.772/0001-58</t>
  </si>
  <si>
    <t>07.195.028/0001-70</t>
  </si>
  <si>
    <t>BSD DROGARIA E HOSPITLAR LTDA - ME.</t>
  </si>
  <si>
    <t>20.680.760/0001-02</t>
  </si>
  <si>
    <t>CALL MED DISTRIBUIDORA DE PRODUTOS FARMACÊUTICOS LTDA.</t>
  </si>
  <si>
    <t>09.135.378/0001-77</t>
  </si>
  <si>
    <t>CAMB COMÉRCIO E REPRESENTACOES LTDA</t>
  </si>
  <si>
    <t>42.901.835/0001-62</t>
  </si>
  <si>
    <t>CAMP MED COMÉRCIO E REPRESENTAÇÕES EIRELI-EPP.</t>
  </si>
  <si>
    <t>19.082.400/0001-11</t>
  </si>
  <si>
    <t>CASA DA QUÍMICA LTDA</t>
  </si>
  <si>
    <t>05.823.296/0001-64</t>
  </si>
  <si>
    <t>CASA DAS ETIQUETAS BSB LTDA ME.</t>
  </si>
  <si>
    <t>00.494.560/0001-40</t>
  </si>
  <si>
    <t>CBA COMÉRCIO DE PRODUTOS HOSPITALARES LTDA.</t>
  </si>
  <si>
    <t>38.071.866/0001-66</t>
  </si>
  <si>
    <t>CEI COMÉRCIO, EXPORTAÇÃO E IMPORTAÇÃO DE MATERIAIS MÉDICOS LTDA.</t>
  </si>
  <si>
    <t>40.175.705/0001-64</t>
  </si>
  <si>
    <t>CENTRO OESTE HOSPITALAR LTDA.</t>
  </si>
  <si>
    <t>10.983.327/0001-84</t>
  </si>
  <si>
    <t>CIENTÍFICA MÉDICA HOSPITALAR LTDA.</t>
  </si>
  <si>
    <t>07.847.837/0001-10</t>
  </si>
  <si>
    <t>CINCO CONFIANÇA INDÚSTRIA E COMÉRCIOLTDA.</t>
  </si>
  <si>
    <t>05.075.964/0001-12</t>
  </si>
  <si>
    <t>CIRÚRGICA ALSTYN EIRELI - ME.</t>
  </si>
  <si>
    <t>23.141.314/0001-00</t>
  </si>
  <si>
    <t>CIRÚRGICA FERNANDES COMÉRCIO DE MATERIAIS CIRÚRGICOS E HOSP.</t>
  </si>
  <si>
    <t>61.418.042/0001-31</t>
  </si>
  <si>
    <t>COMERCIAL PLENITUDE (CLÉIA REGINA DE SOUSA)</t>
  </si>
  <si>
    <t>05.653.000/0001-04</t>
  </si>
  <si>
    <t>COMERCIAL RIO</t>
  </si>
  <si>
    <t>COMERCIAL RIO (EDMILSON FRANCISCO DE OLIVEIRA - ME)</t>
  </si>
  <si>
    <t>19.449.959/0001-37</t>
  </si>
  <si>
    <t>COMLAB PARTES E SERVICOS LTDA</t>
  </si>
  <si>
    <t>04.186.630/0001-53</t>
  </si>
  <si>
    <t>CONDOR COMÉRCIO DE SUPRIMENTOS DE INFORMÁTICA LTDA-ME.</t>
  </si>
  <si>
    <t>09.665.157/0001-00</t>
  </si>
  <si>
    <t>CONFITECH ASSISTÊNCIA TÉCNICA HOSPITALAR LTDA.</t>
  </si>
  <si>
    <t>12.419.502/0001-30</t>
  </si>
  <si>
    <t>CRISTÁLIA</t>
  </si>
  <si>
    <t>CRISTÁLIA PRODUTOS QUÍMICOS FARMACÊUTICOS LTDA.</t>
  </si>
  <si>
    <t>44.734.671/0001-51</t>
  </si>
  <si>
    <t>CTI COMÉRCIO REPRESENTAÇÕES E ASSISTENCIA TÉCNICA LTDA.</t>
  </si>
  <si>
    <t>26.462.804/0001-04</t>
  </si>
  <si>
    <t>D2MA COMÉRCIO E SERVIÇOS DE INFORMATICA ME.</t>
  </si>
  <si>
    <t>08.777.561/0001-03</t>
  </si>
  <si>
    <t>DALIA HOSPITALAR LTDA.</t>
  </si>
  <si>
    <t>05.960.774/0001-88</t>
  </si>
  <si>
    <t>DEL GRANDI COMERCIAL LTDA - EPP.</t>
  </si>
  <si>
    <t>47.683.602/0001-54</t>
  </si>
  <si>
    <t xml:space="preserve">DELTA MED COMÉRCIO DE PRODUTOS HOSPITALARES LTDA. </t>
  </si>
  <si>
    <t>08.835.955/0001-70</t>
  </si>
  <si>
    <t>DENTAL PRINCIPAL (PRINCIPAL ARTIGOS DENTARIOS LTDA EPP).</t>
  </si>
  <si>
    <t>09.485.458/0001-52</t>
  </si>
  <si>
    <t>DIAGLAB PRODUTOS PARA LABORATÓRIO LTDA - EPP.</t>
  </si>
  <si>
    <t>12.702.376/0001-27</t>
  </si>
  <si>
    <t>DIMACI MATERIAL CIRURGICO LTDA.</t>
  </si>
  <si>
    <t>90.251.109/0001-94</t>
  </si>
  <si>
    <t>DISPOMED PRODUTOS MÉDICOS LTDA.</t>
  </si>
  <si>
    <t>12.563.882/0001-82</t>
  </si>
  <si>
    <t>DISTRIBUIDORA BRASIL COMÉRCIO PROD. HOSP. LTDA.</t>
  </si>
  <si>
    <t>07.640.617/0001-10</t>
  </si>
  <si>
    <t>DMG COMÉRCIO E REPRESENTACOES LTDA.</t>
  </si>
  <si>
    <t>36.753.739/0001-11</t>
  </si>
  <si>
    <t>DMI MATERIAL MÉDICO HOPITALAR LTDA - ME.</t>
  </si>
  <si>
    <t>37.109.097/0001-85</t>
  </si>
  <si>
    <t>DS MEDICAL COMÉRCIO E SERVIÇOS DE EQUIPAMENTOS MÉD. HOSP. EIRELI.</t>
  </si>
  <si>
    <t>22.146.429/0001-24</t>
  </si>
  <si>
    <t>DTUDO DISTRIBUIDORA HOSPITALAR EIRELI - ME.</t>
  </si>
  <si>
    <t>17.270.495/0001-71</t>
  </si>
  <si>
    <t>ECOMED</t>
  </si>
  <si>
    <t>ECOMED COMÉRCIO DE PRODUTOS MEDICOS LTDA.</t>
  </si>
  <si>
    <t>29.992.682/0001-48</t>
  </si>
  <si>
    <t>ECOPRINT LOCAÇÃO E COMÉRCIO DE EQUIPAMENTOS ELETRÔNICOS</t>
  </si>
  <si>
    <t>15.410.164/0001-64</t>
  </si>
  <si>
    <t>23.725.069/0001-88</t>
  </si>
  <si>
    <t>EFICÁCIA MANIPULAÇÕES E DROGARIA LTDA-ME.</t>
  </si>
  <si>
    <t>09.629.785/0001-30</t>
  </si>
  <si>
    <t>ELETRICA ESTRELA LTDA.</t>
  </si>
  <si>
    <t>00.927.007/0001-53</t>
  </si>
  <si>
    <t>ELETRO TERRIVEL LTDA.</t>
  </si>
  <si>
    <t>61.467.528/0001-60</t>
  </si>
  <si>
    <t>00.584.060/0001-07</t>
  </si>
  <si>
    <t>EQUIPEMED (JS PRODUTOS MEDICO-HOSPITALARES LTDA).</t>
  </si>
  <si>
    <t>10.661.383/0001-00</t>
  </si>
  <si>
    <t>EQUIPLEX INDÚSTRIA  FARMACEUTICA LTDA.</t>
  </si>
  <si>
    <t>01.784.792/0001-03</t>
  </si>
  <si>
    <t>EUROPA MEDICO SERVICE LTDA.</t>
  </si>
  <si>
    <t>00.118.694/0001-66</t>
  </si>
  <si>
    <t>EXATECH INDÚSTRIA E COMÉRCIO LTDA.</t>
  </si>
  <si>
    <t>01.072.992/0001-25</t>
  </si>
  <si>
    <t>FARMACE INDÚSTRIA QUIMICO FARMACEUTICA CEARENSE LTDA.</t>
  </si>
  <si>
    <t>06.628.333/0001-46</t>
  </si>
  <si>
    <t>04.159.816/0001-13</t>
  </si>
  <si>
    <t>10.524.194/0001-88</t>
  </si>
  <si>
    <t>FDF HOSPITALAR (FDF DISTRIBUIDORA DE MEDICAMENTOS HOSP LTDA).</t>
  </si>
  <si>
    <t>18.117.137/0001-96</t>
  </si>
  <si>
    <t>FERRAGENS BRILHAR (JOSÉ ESPEDITO CAVALCANTI - ME)</t>
  </si>
  <si>
    <t>02.055.765/0001-54</t>
  </si>
  <si>
    <t>FERRAGENS GAMA COMÉRCIO LTDA-ME.</t>
  </si>
  <si>
    <t>05.407.881/0001-83</t>
  </si>
  <si>
    <t>01.649.554/0001-87</t>
  </si>
  <si>
    <t>19.915.068/0001-29</t>
  </si>
  <si>
    <t>FLUKKA LABORATÓRIO DE MANIPULAÇÃO.</t>
  </si>
  <si>
    <t>10.450.805/0001-90</t>
  </si>
  <si>
    <t>FÓRMULAS MAGISTRAIS</t>
  </si>
  <si>
    <t>FÓRMULAS MAGISTRAIS MANIPULAÇÕES ESPECIAIS LTDA-EPP.</t>
  </si>
  <si>
    <t>07.316.691/0001-86</t>
  </si>
  <si>
    <t>FORT</t>
  </si>
  <si>
    <t>FORT PAPELARIA E INFORMÁTICA  E SERVIÇOS LTDA-ME</t>
  </si>
  <si>
    <t>FRADEL</t>
  </si>
  <si>
    <t>FRADEL MED INDÚSTRIA E COMÉRCIO APAR. MEDICOS LTDA.</t>
  </si>
  <si>
    <t>02.916.028/0001-07</t>
  </si>
  <si>
    <t>FRAGA PRODUTOS HOSPITALARES LTDA.</t>
  </si>
  <si>
    <t>07.758.951/0001-73</t>
  </si>
  <si>
    <t>G.A.C FREITAS COMERCIAL.</t>
  </si>
  <si>
    <t>08.174.783/0001-31</t>
  </si>
  <si>
    <t>GAMACORP HOSPITALAR - COMÉRCIO DE MEDICAMENTOS LTDA - EPP.</t>
  </si>
  <si>
    <t>04.970.285/0001-44</t>
  </si>
  <si>
    <t>GENÉTICA COMÉRCIO IMPORTAÇÃO E EXPORTAÇÃO EIRELI.</t>
  </si>
  <si>
    <t>00.596.529/0001-10</t>
  </si>
  <si>
    <t>GOIÂNIA</t>
  </si>
  <si>
    <t>GOIÂNIA MÉDICA PRODUTOS HOSPITALARES LTDA.</t>
  </si>
  <si>
    <t>01.468.098/0001-79</t>
  </si>
  <si>
    <t>H &amp; F SALES LTDA (TIRADENTES COMÉRCIO EXTERIOR)</t>
  </si>
  <si>
    <t>09.415.220/0001-50</t>
  </si>
  <si>
    <t>HALEX ISTAR</t>
  </si>
  <si>
    <t>HALEX ISTAR INDÚSTRIA FARMACEUTICA LTDA.</t>
  </si>
  <si>
    <t>01.571.702/0001-98</t>
  </si>
  <si>
    <t>05.678.146/0001-04</t>
  </si>
  <si>
    <t>HCS (HENRIQUE CANDIDO SANTANA HCS DISTRIBUIDORA ODONTO-HOSPITALAR - ME).</t>
  </si>
  <si>
    <t>16.433.631/0001-34</t>
  </si>
  <si>
    <t>HELP FARMA PRODUTOS FARMACÊUTICOS LTDA.</t>
  </si>
  <si>
    <t>02.460.736/0001-78</t>
  </si>
  <si>
    <t>HEMOGRAM IND E COMÉRCIO DE PROD. HOSP. LTDA.</t>
  </si>
  <si>
    <t>59.300.418/0001-67</t>
  </si>
  <si>
    <t>HOSPFAR INDÚTRIA E COMÉRCIO DE PRODUTOS HOSPITALARES LTDA.</t>
  </si>
  <si>
    <t>26.921.908/0001-21</t>
  </si>
  <si>
    <t>ISS</t>
  </si>
  <si>
    <t>JL E B LOGISTICA E REPRESENTAÇÕES LTDA.</t>
  </si>
  <si>
    <t>03.581.869/0001-65</t>
  </si>
  <si>
    <t>KCA COMERCIAL EIRELI-ME.</t>
  </si>
  <si>
    <t>08.754.008/0001-55</t>
  </si>
  <si>
    <t>59.231.530/0005-17</t>
  </si>
  <si>
    <t>KOMPAZO SAUDE SERVIÇOS HOSPITALARES LTDA.</t>
  </si>
  <si>
    <t>05.992.055/0001-49</t>
  </si>
  <si>
    <t>KRISTA ELETRONICA LTDA.</t>
  </si>
  <si>
    <t>38.058.475/0001-01</t>
  </si>
  <si>
    <t>LABINBRAZ</t>
  </si>
  <si>
    <t>LABINBRAZ COMERCIAL LTDA.</t>
  </si>
  <si>
    <t>73.008.682/0001-52</t>
  </si>
  <si>
    <t>LABS DISTRIBUIDORA DE PROD, E SERV. PARA SAÚDE LTDA ME</t>
  </si>
  <si>
    <t>25.178.555/0001-59</t>
  </si>
  <si>
    <t>LARISSA</t>
  </si>
  <si>
    <t>LARISSA AQUINO DE MEDEIROS – ME</t>
  </si>
  <si>
    <t>LF MATERIAL HOSPITALAR CIRURGICA LTDA - EPP.</t>
  </si>
  <si>
    <t>04.068.541/0001-02</t>
  </si>
  <si>
    <t>LIMP BEM COMERCIAL DE PRODUTOS DE LIMPEZA.</t>
  </si>
  <si>
    <t>23.304.005/0001-03</t>
  </si>
  <si>
    <t>LM DISTRIBUIDORA</t>
  </si>
  <si>
    <t>LM DISTRIBUIDORA COMÉRCIO E REPRESENTACOES DE PAPEIS LTDA</t>
  </si>
  <si>
    <t>01.608.702/0001-15</t>
  </si>
  <si>
    <t>LM FARMA INDÚSTRIA E COMÉRCIOLTDA.</t>
  </si>
  <si>
    <t>57.532.343/0001-14</t>
  </si>
  <si>
    <t>LUZICON PRODUTOS MÉDICOS E HOSPITALARES LTDA.</t>
  </si>
  <si>
    <t>19.332.698/0001-70</t>
  </si>
  <si>
    <t>59.650.556/0001-76</t>
  </si>
  <si>
    <t>02.614.637/0001-01</t>
  </si>
  <si>
    <t>MEDCORP PRODUTOS HOSPITALARES LTDA.</t>
  </si>
  <si>
    <t>01.331.989/0001-89</t>
  </si>
  <si>
    <t>MÉDICA PRO</t>
  </si>
  <si>
    <t>02.278.922/0001-90</t>
  </si>
  <si>
    <t>MEDICAL INNOVATION (MI COMÉRCIO DE PROD. HOSP. E EQUIPAMENTOS LTDA.)</t>
  </si>
  <si>
    <t>33.484.007/0001-85</t>
  </si>
  <si>
    <t>MEDICAL PEÇAS</t>
  </si>
  <si>
    <t>MEDICAL PEÇAS (RM VIEIRA COMERCIAL ME.)</t>
  </si>
  <si>
    <t>22.861.417/0001-81</t>
  </si>
  <si>
    <t>MEDICAL TECH COMÉRCIO DE PRODUTOS E EQUIPAMENTOS MÉDICOS E HOSPITALARES LTDA - ME</t>
  </si>
  <si>
    <t>15.388.471/0001-96</t>
  </si>
  <si>
    <t>MEDLINN HOSPITALAR LTDA-ME.</t>
  </si>
  <si>
    <t>10.492.871/0001-23</t>
  </si>
  <si>
    <t>MEDSONDA INDÚSTRIA E COMÉRCIO DE PRODUTOS HOSPITALARES LTDA.</t>
  </si>
  <si>
    <t>05.150.338/0001-43</t>
  </si>
  <si>
    <t>METRÓPOLE</t>
  </si>
  <si>
    <t>METRÓPOLE COMÉRCIO E REP. DE PRODUTOS HOSPITALARES LTDA.</t>
  </si>
  <si>
    <t>26.453.860/0001-74</t>
  </si>
  <si>
    <t>MIX MED PRODUTOS HOSPITALAR LTDA.</t>
  </si>
  <si>
    <t>11.207.257/0001-35</t>
  </si>
  <si>
    <t>ML COMÉRCIO, IMPORTAÇÃO E EXPORTAÇÃO DE MAT. MÉDICO HOSP. LTDA.</t>
  </si>
  <si>
    <t>04.909.848/0002-70</t>
  </si>
  <si>
    <t>MM MIX (MM LIVROS E PAPEIS).</t>
  </si>
  <si>
    <t>05.248.279/0001-40</t>
  </si>
  <si>
    <t>MONTEGGIA - PRODUTOS HOSPITALARES LTDA.</t>
  </si>
  <si>
    <t>05.032.608/0001-11</t>
  </si>
  <si>
    <t>MS HOSPITALAR LTDA - ME.</t>
  </si>
  <si>
    <t>15.224.444/0001-88</t>
  </si>
  <si>
    <t>MULTIWORKS COMÉRCIO DE PRODUTOS E EQUIPAMENTOS PROFISSIONAIS LTDA.</t>
  </si>
  <si>
    <t>02.176.719/0001-03</t>
  </si>
  <si>
    <t>MUNDO DOS COUROS E PLASTICOS LTDA - ME.</t>
  </si>
  <si>
    <t>04.516.032/0001-03</t>
  </si>
  <si>
    <t>MW DISTRIBUIDORA DE MEDICAMENTOS LTDA EPP.</t>
  </si>
  <si>
    <t>14.459.413/0001-43</t>
  </si>
  <si>
    <t>NEOMED COMÉRCIO E SERVIÇOS DE PRODUTOS MEDICOS E HOSPITALAR ME.</t>
  </si>
  <si>
    <t>11.158.653/0001-10</t>
  </si>
  <si>
    <t>NEW DESC</t>
  </si>
  <si>
    <t>NEW DESC INDÚSTRIA DESCARTAVEIS MEDICOS E HOSPITALARES.</t>
  </si>
  <si>
    <t>03.720.369/0001-67</t>
  </si>
  <si>
    <t>10.750.894/0001-90</t>
  </si>
  <si>
    <t>NOVA ANALITICA IMPORTACAO E EXPORTACAO LTDA.</t>
  </si>
  <si>
    <t>67.774.679/0001-47</t>
  </si>
  <si>
    <t>NOVA HOSPITALAR LTDA-ME.</t>
  </si>
  <si>
    <t>10.792.105/0001-84</t>
  </si>
  <si>
    <t>NOVA GOIÁS COMÉRCIO E SERVICOS TÉCNICOS LTDA-ME.</t>
  </si>
  <si>
    <t>09.404.116/0001-60</t>
  </si>
  <si>
    <t>NOVAMED MATERIAL MÉDICO HOSPITALAR E REPRESENTAÇÕES LTDA.</t>
  </si>
  <si>
    <t>09.641.828/0001-01</t>
  </si>
  <si>
    <t>04.943.149/0001-65</t>
  </si>
  <si>
    <t>02.941.559/0001-41</t>
  </si>
  <si>
    <t>OREGON FARMACEUTICA LTDA.EPP.</t>
  </si>
  <si>
    <t>06.027.816/0001-95</t>
  </si>
  <si>
    <t>ORTOP INSTRUMENTAL CIRURGICO LTDA.</t>
  </si>
  <si>
    <t>02.510.577/0001-79</t>
  </si>
  <si>
    <t>16.895.454/0001-08</t>
  </si>
  <si>
    <t>PAPELARIA FARAGO (HÉLIO FARAGO GUEDES - ME)</t>
  </si>
  <si>
    <t>13.166.594/0001-57</t>
  </si>
  <si>
    <t>38.004.529/0001-56</t>
  </si>
  <si>
    <t>PERMUTION</t>
  </si>
  <si>
    <t>PERMUTION (E.J.KRIEGER E CIA LTDA.)</t>
  </si>
  <si>
    <t>02.074.242/0001-55</t>
  </si>
  <si>
    <t>PHARMAC (PHARMACIA MAMEDE LTDA.)</t>
  </si>
  <si>
    <t>04.745.752/0001-32</t>
  </si>
  <si>
    <t>PHARMATEX COMERCIAL DE PRODUTOS HOSPITALARES LTDA.</t>
  </si>
  <si>
    <t>07.946.202/0001-70</t>
  </si>
  <si>
    <t>PHARMÉDICE</t>
  </si>
  <si>
    <t>10.461.807/0001-85</t>
  </si>
  <si>
    <t>01.830.715/0001-34</t>
  </si>
  <si>
    <t>31.864.051/0001-95</t>
  </si>
  <si>
    <t>PMH PRODUTOS MEDICO HOSPITALARES LTDA.</t>
  </si>
  <si>
    <t>00.740.696/0001-92</t>
  </si>
  <si>
    <t>POINT SUTURE DO BRASIL INDÚSTRIA DE FIOS CIRÚRGICOS LTDA.</t>
  </si>
  <si>
    <t>12.340.717/0001-61</t>
  </si>
  <si>
    <t>03.098.826/0001-23</t>
  </si>
  <si>
    <t>POLAR FIX INDÚSTRIA E COMÉRCIO DE PRODUTOS HOSPITALARES LTDA</t>
  </si>
  <si>
    <t>02.881.877/0001-64</t>
  </si>
  <si>
    <t>22.577.298/0001-30</t>
  </si>
  <si>
    <t>PRIMEIRA LINHA COMERCIAL ROLAMENTOS LTDA.</t>
  </si>
  <si>
    <t>24.907.602/0001-95</t>
  </si>
  <si>
    <t>PRINT MASTER COMÉRCIO E SERVIÇOS LTDA.</t>
  </si>
  <si>
    <t>16.674.627/0001-68</t>
  </si>
  <si>
    <t>PRISMA (JA PRODUTOS HOSPITALARES LDTA).</t>
  </si>
  <si>
    <t>13.043.719/0001-51</t>
  </si>
  <si>
    <t>PRÓ ÁGUA</t>
  </si>
  <si>
    <t>PRO ÁGUA (BIOPURE COMÉRCIO DE PRODUTOS PARA LIMPEZA DE ÁGUA).</t>
  </si>
  <si>
    <t>13.332.007/0001-52</t>
  </si>
  <si>
    <t>PRÓ SAÚDE</t>
  </si>
  <si>
    <t>PRÓ SAÚDE DISTRIBUIDORA DE MEDICAMENTOS EIRELI - ME</t>
  </si>
  <si>
    <t>21.297.758/0001-03</t>
  </si>
  <si>
    <t>PROMEDH PRODUTOS MEDICO HOSPITALARES LTDA.</t>
  </si>
  <si>
    <t>00.372.797/0001-58</t>
  </si>
  <si>
    <t>PROMÉDICA</t>
  </si>
  <si>
    <t>PROMÉDICA PRODUTOS HOSPITALARES LTDA.</t>
  </si>
  <si>
    <t>02.004.624/0001-02</t>
  </si>
  <si>
    <t>PROMEDICAL EQUIPAMENTOS MÉDICOS LTDA.</t>
  </si>
  <si>
    <t>10.829.779/0001-06</t>
  </si>
  <si>
    <t>PROTEC INDÚSTRIA, COMÉRCIO, IMPORTAÇÃO DE EQUIP. MED. HOSP. LTDA.</t>
  </si>
  <si>
    <t>06.207.441/0001-45</t>
  </si>
  <si>
    <t>PUBLICART (ALAN JORGE PEREIRA MACIEL-MEI).</t>
  </si>
  <si>
    <t>10.933.354/0001-42</t>
  </si>
  <si>
    <t>QUALIMED COMÉRCIO E REPRSENTAÇÕES.</t>
  </si>
  <si>
    <t>01.933.422/0001-82</t>
  </si>
  <si>
    <t>13.416.841/0001-26</t>
  </si>
  <si>
    <t>R&amp;A MEDICAL DISTRIBUIDORA DE PRODUTOS MEDICOS HOSPITALARES LTDA.</t>
  </si>
  <si>
    <t>10.583.635/0001-12</t>
  </si>
  <si>
    <t>R&amp;D</t>
  </si>
  <si>
    <t>R&amp;D MEDIQ EQUIPAMENTOS E SERVIÇOS ESP. LTDA.</t>
  </si>
  <si>
    <t>01.212.789/0001-07</t>
  </si>
  <si>
    <t>RAVA</t>
  </si>
  <si>
    <t>RAVA EMBALAGENS INDÚSTRIA E COMÉRCIO LTDA.</t>
  </si>
  <si>
    <t>41.150.160/0001-02</t>
  </si>
  <si>
    <t>RECMED COMÉRCIO MAT, HOSPITALARES LTDA</t>
  </si>
  <si>
    <t>06.696.359/0001-21</t>
  </si>
  <si>
    <t>RGN SOM ELETRÔNICA E INFORMÁTICA LTDA.</t>
  </si>
  <si>
    <t>05.428.208/0001-20</t>
  </si>
  <si>
    <t>RHOSS 1</t>
  </si>
  <si>
    <t>RHOSS 1 (MATERIAL CIRURGICO GONÇALVES)</t>
  </si>
  <si>
    <t>02.729.476/0001-93</t>
  </si>
  <si>
    <t>RHOSS 2</t>
  </si>
  <si>
    <t>RHOSS 2 (RAPHAEL CONÇALVES NICESIO - ME)</t>
  </si>
  <si>
    <t>22.654.814/0001-82</t>
  </si>
  <si>
    <t>RIMTEC MANUTENÇÃO DE EQUIPAMENTOS HOSPITALARES LTDA.</t>
  </si>
  <si>
    <t>06.157.808/0001-63</t>
  </si>
  <si>
    <t>RIOCLARENSE (COMERCIAL CIRURGICA RIOCLARENSE LTDA.)</t>
  </si>
  <si>
    <t>67.729.178/0004-91</t>
  </si>
  <si>
    <t>RKM ASSISTÊNCIA E MANUTENÇÃO HOSPITALAR LTDA.</t>
  </si>
  <si>
    <t>11.028.928/0001-09</t>
  </si>
  <si>
    <t>RQ TECNOLOGIA (KARINA BACCAR QUEIROZ ME).</t>
  </si>
  <si>
    <t>03.657.827/0001-60</t>
  </si>
  <si>
    <t>06.238.171/0001-30</t>
  </si>
  <si>
    <t>SÃO BERNARDO (CIRURGICA SÃO BERNARDO LTDA.)</t>
  </si>
  <si>
    <t>00.838.896/0001-82</t>
  </si>
  <si>
    <t>SATÉLITE PROMOÇÕES E COMÉRCIO LTDA.</t>
  </si>
  <si>
    <t>05.927.075/0001-36</t>
  </si>
  <si>
    <t>33.498.171/0001-41</t>
  </si>
  <si>
    <t>07.207.970/0001-01</t>
  </si>
  <si>
    <t>SG DISTRIBUIDORA HOSPITALAR EIRELI - ME</t>
  </si>
  <si>
    <t>22.047.810/0001-36</t>
  </si>
  <si>
    <t>SHALON FIOS CIRÚRGICOS LTDA.</t>
  </si>
  <si>
    <t>33.348.467/0004-29</t>
  </si>
  <si>
    <t>04.068.690/0001-71</t>
  </si>
  <si>
    <t>SÍNTESE</t>
  </si>
  <si>
    <t>SÍNTESE COMERCIAL HOSPITALAR LTDA.</t>
  </si>
  <si>
    <t>24.801.201/0001-56</t>
  </si>
  <si>
    <t>SITEC MEDICAL COMÉRCIO E MANUTENÇÃO DE EQUIPAMENTOS MÉDICOS.</t>
  </si>
  <si>
    <t>14.016.934/0001-26</t>
  </si>
  <si>
    <t>SMITHS MEDICAL DO BRASIL</t>
  </si>
  <si>
    <t>06.019.570/0001-00</t>
  </si>
  <si>
    <t xml:space="preserve">START UP </t>
  </si>
  <si>
    <t>START UP COMÉRCIO E SERVIÇOS LTDA.</t>
  </si>
  <si>
    <t>00.708.768/0001-14</t>
  </si>
  <si>
    <t>STEFANY GOMES DE FREITAS LTDA</t>
  </si>
  <si>
    <t>13.713.696/0001-45</t>
  </si>
  <si>
    <t>STOCK COMERCIAL HOSPITALAR LTDA</t>
  </si>
  <si>
    <t>00.995.371/0001-50</t>
  </si>
  <si>
    <t>SUPERMÉDICA DISTRIBUIDORA HOSPITALAR EIRELI - ME.</t>
  </si>
  <si>
    <t>06.065.614/0001-38</t>
  </si>
  <si>
    <t>SYNTHES INDÚSTRIA E COMÉRCIO LTDA.</t>
  </si>
  <si>
    <t>58.577.370/0001-76</t>
  </si>
  <si>
    <t>TAGUASUL (ELÉTRICA E HIDRÁULICA TAGUASUL LTDA.)</t>
  </si>
  <si>
    <t>37.148.178/0001-94</t>
  </si>
  <si>
    <t>TCA FARMA COMÉRCIO LTDA.</t>
  </si>
  <si>
    <t>73.679.623/0001-06</t>
  </si>
  <si>
    <t>04.124.669/0001-46</t>
  </si>
  <si>
    <t>12.302.694/0001-09</t>
  </si>
  <si>
    <t>THEMED PRODUTOS MÉDICOS E HOSPITALARES.</t>
  </si>
  <si>
    <t>11.191.828/0001-90</t>
  </si>
  <si>
    <t>THYSSENKRUPP ELEVADORES SA.</t>
  </si>
  <si>
    <t>90.347.840/0006-22</t>
  </si>
  <si>
    <t>TIRADENTES - FILIAL (TIRADENTES MÉDICO HOSPITALAR LTDA.)</t>
  </si>
  <si>
    <t>01.536.135/0002-10</t>
  </si>
  <si>
    <t>TIRADENTES - MATRIZ (TIRADENTES MÉDICO HOSPITALAR LTDA.)</t>
  </si>
  <si>
    <t>01.536.135/0001-39</t>
  </si>
  <si>
    <t>TMR SILVA ME. (ENTREGUE REFORMAS E SERVIÇOS DE MANUTENÇÃO).</t>
  </si>
  <si>
    <t>16.554.497/0001-20</t>
  </si>
  <si>
    <t>TOPMED PRODUTOS HOSPITALARES LTDA.</t>
  </si>
  <si>
    <t>08.257.493/0001-51</t>
  </si>
  <si>
    <t>TOPMEDLAR NUTRIÇÃO CLÍNICA E PRODUTOS HOSPITALARES LTDA.</t>
  </si>
  <si>
    <t>10.266.935/0001-78</t>
  </si>
  <si>
    <t>TRAUMA SURGICAL PRODUTOS MEDICOS E HOSPITALARES LTDA.</t>
  </si>
  <si>
    <t>07.722.554/0001-41</t>
  </si>
  <si>
    <t>TRINO HOSPITALAR LTDA.</t>
  </si>
  <si>
    <t>14.146.636/0001-50</t>
  </si>
  <si>
    <t>TSL COMÉRCIO E REP. DE MATERIAL MEDICO HOSPITALAR LTDA</t>
  </si>
  <si>
    <t>37.065.885/0001-17</t>
  </si>
  <si>
    <t>UNISCENCE DO BRASIL INDÚSTRIA COMÉRCIOLTDA.</t>
  </si>
  <si>
    <t>53.994.497/0001-77</t>
  </si>
  <si>
    <t>UNITEC INFORMÁTICA E SUPRIMENTOS</t>
  </si>
  <si>
    <t>13.493.530/0001-60</t>
  </si>
  <si>
    <t>VIDAFARMA DISTRIBUIDORA DE MEDICAMENTOS LTDA.</t>
  </si>
  <si>
    <t>06.219.757/0001-57</t>
  </si>
  <si>
    <t>VILLI FARM MERCANTIL LTDA.</t>
  </si>
  <si>
    <t>08.713.922/0001-58</t>
  </si>
  <si>
    <t>VITA MEDICAL</t>
  </si>
  <si>
    <t>VITA MEDICAL MATERIAL MEDICO HOSPITALAR</t>
  </si>
  <si>
    <t>10.545.970/0001-26</t>
  </si>
  <si>
    <t>VIVA</t>
  </si>
  <si>
    <t>VIVA PRODUTOS HOSPITALARES LTDA.</t>
  </si>
  <si>
    <t>07.173.013/0001-01</t>
  </si>
  <si>
    <t>VOGUE</t>
  </si>
  <si>
    <t>VOGUE TEXTIL LTDA.</t>
  </si>
  <si>
    <t>26.616.334/0001-88</t>
  </si>
  <si>
    <t>VPHARMA HOSPITALAR LTDA - EPP.</t>
  </si>
  <si>
    <t>21.595.412/0001-91</t>
  </si>
  <si>
    <t>VULCÃO DA BORRACHA (W2 COMERCIAL LTDA).</t>
  </si>
  <si>
    <t>03.809.833/0001-96</t>
  </si>
  <si>
    <t>WERBRAN DISTRIBUIDORA DE MEDICAMENTOS LTDA.</t>
  </si>
  <si>
    <t>04.372.020/0001-44</t>
  </si>
  <si>
    <t>WINNER INDÚSTRIA DE DESCATÁVEIS LTDA.</t>
  </si>
  <si>
    <t>05.421.585/0001-37</t>
  </si>
  <si>
    <t>WL DE OLIVEIRA MATERAIS ELÉTRICOS.</t>
  </si>
  <si>
    <t>00.101.253/0001-51</t>
  </si>
  <si>
    <t>WL SERVIÇOS E COMUNICAÇÃO VISUAL LTDA.</t>
  </si>
  <si>
    <t>06.254.659/0001-50</t>
  </si>
  <si>
    <t>PAPELARIA LÍDER</t>
  </si>
  <si>
    <t>PAPELARIA LÍDER (PAPELARIA E LIVRARIA LÍDER).</t>
  </si>
  <si>
    <t>SITEC</t>
  </si>
  <si>
    <t>Brasil</t>
  </si>
  <si>
    <t>BRB</t>
  </si>
  <si>
    <t>208</t>
  </si>
  <si>
    <t>600.924-5</t>
  </si>
  <si>
    <t>0452-9</t>
  </si>
  <si>
    <t>400.872-3</t>
  </si>
  <si>
    <t>430.339-3</t>
  </si>
  <si>
    <t>1.003-0</t>
  </si>
  <si>
    <t>430.913-8</t>
  </si>
  <si>
    <t>CAIXA</t>
  </si>
  <si>
    <t>4511</t>
  </si>
  <si>
    <t>3382-0</t>
  </si>
  <si>
    <t>427.148-3</t>
  </si>
  <si>
    <t>SANTANDER</t>
  </si>
  <si>
    <t>209</t>
  </si>
  <si>
    <t>Itaú</t>
  </si>
  <si>
    <t>06.575-3</t>
  </si>
  <si>
    <t>3.413-4</t>
  </si>
  <si>
    <t>6.132-8</t>
  </si>
  <si>
    <t>4.319</t>
  </si>
  <si>
    <t>07.933-3</t>
  </si>
  <si>
    <t>3692-7</t>
  </si>
  <si>
    <t>2902-5</t>
  </si>
  <si>
    <t>13.237-3</t>
  </si>
  <si>
    <t>3380-4</t>
  </si>
  <si>
    <t>40.458-6</t>
  </si>
  <si>
    <t>024</t>
  </si>
  <si>
    <t>034.694-7</t>
  </si>
  <si>
    <t>2.803-7</t>
  </si>
  <si>
    <t>10.018-8</t>
  </si>
  <si>
    <t>BRADESCO</t>
  </si>
  <si>
    <t>0.587</t>
  </si>
  <si>
    <t>34.010-0</t>
  </si>
  <si>
    <t>3368-5</t>
  </si>
  <si>
    <t>2.672-7</t>
  </si>
  <si>
    <t>1.841-4</t>
  </si>
  <si>
    <t>41.882-X</t>
  </si>
  <si>
    <t>1510-5</t>
  </si>
  <si>
    <t>020.614-8</t>
  </si>
  <si>
    <t>2901-7</t>
  </si>
  <si>
    <t>26.313-3</t>
  </si>
  <si>
    <t>3359-6</t>
  </si>
  <si>
    <t>11.878-8</t>
  </si>
  <si>
    <t>1216-5</t>
  </si>
  <si>
    <t>2.071-0</t>
  </si>
  <si>
    <t>007.646-6</t>
  </si>
  <si>
    <t>SICREDI</t>
  </si>
  <si>
    <t>0715</t>
  </si>
  <si>
    <t>42.883-3</t>
  </si>
  <si>
    <t>1887-2</t>
  </si>
  <si>
    <t>13.182-2</t>
  </si>
  <si>
    <t>05.154-5</t>
  </si>
  <si>
    <t>3.475-4</t>
  </si>
  <si>
    <t>8.112-4</t>
  </si>
  <si>
    <t>1235-1</t>
  </si>
  <si>
    <t>139.680-3</t>
  </si>
  <si>
    <t>3394-4</t>
  </si>
  <si>
    <t>7.886-7</t>
  </si>
  <si>
    <t>285</t>
  </si>
  <si>
    <t>000.138-9</t>
  </si>
  <si>
    <t>209.317-0</t>
  </si>
  <si>
    <t>2881-9</t>
  </si>
  <si>
    <t>5.877-7</t>
  </si>
  <si>
    <t>3061-9</t>
  </si>
  <si>
    <t>10.515-5</t>
  </si>
  <si>
    <t>6549-8</t>
  </si>
  <si>
    <t>160.002-8</t>
  </si>
  <si>
    <t>2867-3</t>
  </si>
  <si>
    <t>26.392-3</t>
  </si>
  <si>
    <t>3455-X</t>
  </si>
  <si>
    <t>5482-8</t>
  </si>
  <si>
    <t>104</t>
  </si>
  <si>
    <t>0198</t>
  </si>
  <si>
    <t>41.936-8</t>
  </si>
  <si>
    <t>020.941-9</t>
  </si>
  <si>
    <t>6589-7</t>
  </si>
  <si>
    <t>42.421-8</t>
  </si>
  <si>
    <t>1916-X</t>
  </si>
  <si>
    <t>5.817-3</t>
  </si>
  <si>
    <t>24.264-0</t>
  </si>
  <si>
    <t>053</t>
  </si>
  <si>
    <t>049.931-7</t>
  </si>
  <si>
    <t>0022-1</t>
  </si>
  <si>
    <t>34.026-X</t>
  </si>
  <si>
    <t>BRASIL</t>
  </si>
  <si>
    <t>41.297-X</t>
  </si>
  <si>
    <t>18497-7</t>
  </si>
  <si>
    <t>3002</t>
  </si>
  <si>
    <t>3.656-0</t>
  </si>
  <si>
    <t>14.510-6</t>
  </si>
  <si>
    <t>4148-3</t>
  </si>
  <si>
    <t>6.051-8</t>
  </si>
  <si>
    <t>054</t>
  </si>
  <si>
    <t>009.825-6</t>
  </si>
  <si>
    <t>1604-7</t>
  </si>
  <si>
    <t>4997-2</t>
  </si>
  <si>
    <t>3517-3</t>
  </si>
  <si>
    <t>28.618-4</t>
  </si>
  <si>
    <t>1.452-4</t>
  </si>
  <si>
    <t>122.276-7</t>
  </si>
  <si>
    <t>24.396-5</t>
  </si>
  <si>
    <t>3848-2</t>
  </si>
  <si>
    <t>22.896-6</t>
  </si>
  <si>
    <t>4.534-9</t>
  </si>
  <si>
    <t>6.325-8</t>
  </si>
  <si>
    <t>3373-1</t>
  </si>
  <si>
    <t>11.401-4</t>
  </si>
  <si>
    <t>3311-1</t>
  </si>
  <si>
    <t>35.344-2</t>
  </si>
  <si>
    <t>3229-8</t>
  </si>
  <si>
    <t>42257-6</t>
  </si>
  <si>
    <t>Bradesco</t>
  </si>
  <si>
    <t>2219-5</t>
  </si>
  <si>
    <t>29176-5</t>
  </si>
  <si>
    <t>3659-5</t>
  </si>
  <si>
    <t>40.248-6</t>
  </si>
  <si>
    <t>3485-1</t>
  </si>
  <si>
    <t>41.935-4</t>
  </si>
  <si>
    <t>6986</t>
  </si>
  <si>
    <t>17.665-6</t>
  </si>
  <si>
    <t>0941-5</t>
  </si>
  <si>
    <t>42.495-1</t>
  </si>
  <si>
    <t>055.852-1</t>
  </si>
  <si>
    <t>2912-2</t>
  </si>
  <si>
    <t>30.969-9</t>
  </si>
  <si>
    <t>3304-9</t>
  </si>
  <si>
    <t>590.100-6</t>
  </si>
  <si>
    <t>27.458-5</t>
  </si>
  <si>
    <t>13.640-9</t>
  </si>
  <si>
    <t>3.486-X</t>
  </si>
  <si>
    <t>35.641-7</t>
  </si>
  <si>
    <t>35.738-3</t>
  </si>
  <si>
    <t>43.579-1</t>
  </si>
  <si>
    <t>3398</t>
  </si>
  <si>
    <t>3001</t>
  </si>
  <si>
    <t>0484-7</t>
  </si>
  <si>
    <t>129.597-7</t>
  </si>
  <si>
    <t>2608-5</t>
  </si>
  <si>
    <t>1016-2</t>
  </si>
  <si>
    <t>OP:003 CC:958-8</t>
  </si>
  <si>
    <t>3648-X</t>
  </si>
  <si>
    <t>500.487-X</t>
  </si>
  <si>
    <t>419.742-9</t>
  </si>
  <si>
    <t>1041</t>
  </si>
  <si>
    <t>OP:003 CC:1535-1</t>
  </si>
  <si>
    <t xml:space="preserve"> 2912-2</t>
  </si>
  <si>
    <t>34.559-8</t>
  </si>
  <si>
    <t>1.041</t>
  </si>
  <si>
    <t>OP:003 CC:1606-4</t>
  </si>
  <si>
    <t>65.987-2</t>
  </si>
  <si>
    <t>2733</t>
  </si>
  <si>
    <t>25.015-5</t>
  </si>
  <si>
    <t>0.656</t>
  </si>
  <si>
    <t>02.482-5</t>
  </si>
  <si>
    <t>1.216-5</t>
  </si>
  <si>
    <t>5.480-1</t>
  </si>
  <si>
    <t>5079</t>
  </si>
  <si>
    <t>66.592-2</t>
  </si>
  <si>
    <t>1842-2</t>
  </si>
  <si>
    <t>3.324-3</t>
  </si>
  <si>
    <t>064</t>
  </si>
  <si>
    <t>030.008-1</t>
  </si>
  <si>
    <t>57.128-8</t>
  </si>
  <si>
    <t>015</t>
  </si>
  <si>
    <t>015.400-3</t>
  </si>
  <si>
    <t>3.953</t>
  </si>
  <si>
    <t>21.804-9</t>
  </si>
  <si>
    <t>2.902-5</t>
  </si>
  <si>
    <t>36.095-3</t>
  </si>
  <si>
    <t>1242-4</t>
  </si>
  <si>
    <t>44.923-7</t>
  </si>
  <si>
    <t>21.265-9</t>
  </si>
  <si>
    <t>SICOOB</t>
  </si>
  <si>
    <t>4364</t>
  </si>
  <si>
    <t>25.657-9</t>
  </si>
  <si>
    <t>2274-8</t>
  </si>
  <si>
    <t>1.700-0</t>
  </si>
  <si>
    <t>0710</t>
  </si>
  <si>
    <t>09960-7</t>
  </si>
  <si>
    <t>7.266-4</t>
  </si>
  <si>
    <t>4981</t>
  </si>
  <si>
    <t xml:space="preserve">3.307-3 </t>
  </si>
  <si>
    <t xml:space="preserve">313.073-8 </t>
  </si>
  <si>
    <t>23.446-X</t>
  </si>
  <si>
    <t>00.001-2</t>
  </si>
  <si>
    <t>0101-5</t>
  </si>
  <si>
    <t>200.572-7</t>
  </si>
  <si>
    <t>33.255.787/0001-91</t>
  </si>
  <si>
    <t>3437-1</t>
  </si>
  <si>
    <t>110.000-9</t>
  </si>
  <si>
    <t>4.148-3</t>
  </si>
  <si>
    <t>5.297-3</t>
  </si>
  <si>
    <t>13.002.691-3</t>
  </si>
  <si>
    <t>37.396.017/0006-24</t>
  </si>
  <si>
    <t>3.388-x</t>
  </si>
  <si>
    <t>4.265-x</t>
  </si>
  <si>
    <t>0216</t>
  </si>
  <si>
    <t>604.134-0</t>
  </si>
  <si>
    <t>205.541-4</t>
  </si>
  <si>
    <t>3455-x</t>
  </si>
  <si>
    <t>6256-1</t>
  </si>
  <si>
    <t>1614-4</t>
  </si>
  <si>
    <t>9079-4</t>
  </si>
  <si>
    <t>5115-2</t>
  </si>
  <si>
    <t>2.014-1</t>
  </si>
  <si>
    <t>1.832-5</t>
  </si>
  <si>
    <t>7.622-8</t>
  </si>
  <si>
    <t>206.551-7</t>
  </si>
  <si>
    <t>0480</t>
  </si>
  <si>
    <t>60.590-5</t>
  </si>
  <si>
    <t>3355-3</t>
  </si>
  <si>
    <t>301.097-X</t>
  </si>
  <si>
    <t>0442-1</t>
  </si>
  <si>
    <t>01.931-3</t>
  </si>
  <si>
    <t>5119-5</t>
  </si>
  <si>
    <t>700.000-6</t>
  </si>
  <si>
    <t>3396-0</t>
  </si>
  <si>
    <t>62.000-9</t>
  </si>
  <si>
    <t>200.095-4</t>
  </si>
  <si>
    <t>07.560</t>
  </si>
  <si>
    <t>33.205-4</t>
  </si>
  <si>
    <t>H &amp; F SALES</t>
  </si>
  <si>
    <t>LOCAL</t>
  </si>
  <si>
    <t>VALOR</t>
  </si>
  <si>
    <t>%</t>
  </si>
  <si>
    <t>BIMESTRE:</t>
  </si>
  <si>
    <t>12.047.164/0001-53</t>
  </si>
  <si>
    <t>CIRÚRGICA FERNANDES</t>
  </si>
  <si>
    <t>0616-5</t>
  </si>
  <si>
    <t>9.553-2</t>
  </si>
  <si>
    <t>08.766.992/0001-74</t>
  </si>
  <si>
    <t xml:space="preserve">GLOBAL HOSPITALAR IMPORTAÇÃO E COMÉRCIO LTDA </t>
  </si>
  <si>
    <t>UNITEC</t>
  </si>
  <si>
    <t>TUBO ENDOTRAQUEAL SEM CUFF P.V.C. EXTRA-FLEXIVEL 2,0MM N.1-0. Descrição: Tubo em PVC especial, atóxico, siliconizado, com linha azul radiopaca, uma via, curvado anatomicamente, para assegurar a centralização da ponta no interior da traquéia. Ponta distal é biselada com angulação de 37,5; Ponta proximal com conector de 15 mm (universal); a indicação do diâmetro está no corpo do tubo, que também é graduado; O diâmetro varia de 1,0 a 11,0 mm. Marca PORTEX, pois esta cânula é mais flexível e maleável. A marca indicada serve apenas como referência para cotação devendo o produto cotado ter desempenho igual ou superior.
A vencedora deverá apresentar</t>
  </si>
  <si>
    <t>LUVA DE PROTEÇÃO NÍTRÍLICA PARA CME; Aplicação: uso em expurgos hospitalares para lavagem de intrumentais e materiais contaminados, evitando contato da pele com exudatos corpóreos e soluções químicas; Material: Borracha Nitrílica Sintética; Tamanho/capacidade: número 7 (sete); Carcterísiticas: Luva nitrílica, com punho super longo medindo 46 cm de comprimento e 0,55 mm de espessura, interior liso, palma antiderrapante em alto relevo, acabamento clorinado, com grande resistência a produtos ácidos e alcalinos, como desengraxante, desencrostante, solvente e desengordurante; objetos abrasivos e perfurantes que suporte esterilização em autoclave (134C), que tenha Certificado de Aprovação (CA) do Ministério do Trabalho; Processo de Esterilizção: Não Estéril; Forma de apresentação: Par; Prazo de validade: 75% do prazo total de validade do produto; Unidade de estoque: Par</t>
  </si>
  <si>
    <t xml:space="preserve">TERMÔMETRO DIGITAL PARA GELADEIRA, FREEZER E ESTUFA, Temperaturas de Trabalho: de -50º C a + 70º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 C e +/- 1,8º C e resolução do display de 0,1 C, com bateria de 1.5V já incluída no produto. </t>
  </si>
  <si>
    <t>TERMÔMETRO DIGITAL PARA GELADEIRA, FREEZER E ESTUFA, Temperaturas de Trabalho: de 30º C a - 80º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 C e +/- 1,8º C e resolução do display de 0,1 C, com bateria de 1.5V já incluída no produto.</t>
  </si>
  <si>
    <t xml:space="preserve">TERMÔMETRO DIGITAL TIPO ESPETO com alarme e a prova d´agua, com escala de -50+300ºC; resolução de 1C; exatidão de ±1C; dimensionamento da haste entre 70 e 150 mm; diâmetro da haste 4 mm; alimentação 1,5V, com calibração certificada pelo INMETRO. </t>
  </si>
  <si>
    <t xml:space="preserve">Mapa de propostas - Cotação Nº </t>
  </si>
  <si>
    <t>Qtd. A</t>
  </si>
  <si>
    <t>Qtd. S</t>
  </si>
  <si>
    <t>Prazo do 1º colocado</t>
  </si>
  <si>
    <t>GAS LIQUEFEITO DE PETROLEO -GLP, Material: gás butano, Unidade fornecimento: botijão com 13 quilos</t>
  </si>
  <si>
    <t>BT</t>
  </si>
  <si>
    <t>VÁLVULA REDUTORA DE PRESSÃO, Aplicação: utilizadas em cilindros de ar comprimido medicinal, reduzem a pressão do gás a um  determinado fluxo, características adicionais: corpo em monobloco de metal, monômetro de alta, pressão graduada até 300 Kgfcm2, filtro de entrada em bronze sintetizado para retenção de partículas, vazão máxima de fluxo: 60 l/ min, pressão de saída fixa, 01 estágio, precisão + ou - 10%, conexão de entrada e saída normatizada pela ABNT, cor: amarela.</t>
  </si>
  <si>
    <t xml:space="preserve">TUBO ENDOTRAQUEAL ARAMADO 8,0MM(34) COM CUFF.Aplicação:entubação orotraqueal,material:PVC e espiral em aço inox,Tamanho/Capacidade:calibre de 8,0mm(34),Característica:estéril,confeccionada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 </t>
  </si>
  <si>
    <t>SELANTE DE FOSSULAS E FISSURAS FOTOPOLIMERIZAVEL C/CARGA A BASE DE IONOMERO DE VIDRO</t>
  </si>
  <si>
    <t>RESINA COMPOSTA, TIPO FOTOPOLIMERIZÁVEL, TAMANHO PARTÍCULAS MICROHÍBRIDA, ASPECTO FÍSICO PASTOSA COR A2. Características Adicionais: com partículas cerâmica. Tamanho/Capacidade: tamanho médio de partículas entre 0,5 a 0,7 micrometros. Unidade de fornecimento: Unidade.</t>
  </si>
  <si>
    <t>RESINA FOTOPOLIMERIZÁVEL MICROHÍBRIDA PASTOSA COR A3 
Aplicação: Restauração Dentária.Características Adicionais: com partículas cerâmica, Tamanho/Capacidade: tamanho médio partículas entre 0,5 a 0,7 micrometros. Unidade de Fornecimento: unidade. Unidade de Estoque: Unidade.</t>
  </si>
  <si>
    <t>RESINA FOTOPOLIMERIZÁVEL MICROHÍBRIDA PASTOSA  COR A3.5 1
Características Adicionais: com partículas cerâmica, Tamanho/Capacidade: tamanho médio partículas entre 0,5 a 0,7 micrometros, Cor: A 3,5, Unidade de Fornecimento: Unidade. Unidade de Estoque: Unidade.</t>
  </si>
  <si>
    <t>RESINA FOTOPOLIMERIZAVEL MICROHIBRIDA C/PARTICULAS CERAMICA C/TAM. MEDIO PARTICULAS ENTRE 0,5 A 0,7 MICROMETROS COR B1</t>
  </si>
  <si>
    <t>RESINA FOTOPOLIMERIZAVEL MICROHIBRIDA PASTOSA COR B2.
Características adicionais: com partículas cerâmica, Tamanho/Capacidade: tamanho médio partículas entre 0,5 a 0,7 micrometros. Unidade</t>
  </si>
  <si>
    <t>RESINA FOTOPOLIMERIZAVEL MICROHIBRIDA C/PARTICULAS CERAMICA C/TAM. MEDIO PARTICULAS ENTRE 0,5 A 0,7 MICROMETROS COR C1 1</t>
  </si>
  <si>
    <t>COLA DE CONTATO, Aplicação: colagem de compensação em sapatos, palmilhas e demais órteses, Unidade de Fornecimento: galão com 18 litros</t>
  </si>
  <si>
    <t xml:space="preserve">TELA SINTETICA DE POLIPROPILENO TAMANHO 30CM X30CM </t>
  </si>
  <si>
    <t>EUCALIPTOL FRASCO. Unidade de Estoque: Frasco. Unidade de fornecimento: ml</t>
  </si>
  <si>
    <t>GUTA PERCHA EM BASTAO</t>
  </si>
  <si>
    <t>TUBO ENDOTRAQUEAL ARAMADO 7,0MM(30) COM CUFF.Aplicação:entubação orotraqueal,material:PVC e espiral em aço inox,Tamanho/Capacidade:calibre de 7,0mm(30),Característica:estéril,confeccionada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t>
  </si>
  <si>
    <t>TUBO ENDOTRAQUEAL ARAMADO 7,5MM(32) COM CUFF.Aplicação:entubação orotraqueal,material:PVC e espiral em aço inox,Tamanho/Capacidade:calibre de 7,5mm(32),Característica:estéril,confeccionada em PVC,flexível,transparente,atóxico,superfície lisa com demarcação de posicionamento e ponta distal biselada atraumática,devendo ser provida internamente de arame com formato em espiral,com flexibilidade adequada,devidamente localizado;balonete de baixa pressão e alto volume;balão piloto com cobertura de proteção e valvula externa reguladora de pressão;conector de padrão universal,Processo de esterilização:estéril,Forma de apresentação:embalagem individual</t>
  </si>
  <si>
    <t>AGULHA DESCARTAVEL PARA PUNCAO LOMBAR N.22 1</t>
  </si>
  <si>
    <t>CAMPO DUPLO CRETONE AZUL, Tamanho: 1,70 x 1,70 cm, Composição: 100% algodão, Armadura: 1 x 1 , Número De Fios:  23 cm2 na trama e no urdume, Encolhimento: 8% urdume e 4% trama, Peso: 160g/m2, Caracterísiticas Adicionais: produto cretone estampado em toda sua extensão com logotipo da SES e costura reta e overlock com linha 100% algodão.</t>
  </si>
  <si>
    <t>CAMPO DUPLO EM CRETONE, Dimensões: 1,20 x 1,20 m, Apresentação: para recém-nascido, exigências técnicas para o produto: cretone verde, estampado com logotipo da SES em toda extensã Composição: 100% algodão; armadura 1x1; nº. de fios: 23cm² na trama e no urdume; encolhimento: 8% urdume e 4% na trama, Peso: 160g/m², Características Adicionais: costura reta e overlock com linha 100% algodão.</t>
  </si>
  <si>
    <t>PILHA, Tipo Carga: alcalina, Tamanho: pequeno AA2, Aplicação: uso geral, Unidade De Fornecimento: pacote com 2 unidades</t>
  </si>
  <si>
    <t>CONJUNTO PARA DETERMINAÇAO SERICA DE PSA LIVRE. Aplicação:marcador tumoral. Características adicionais: equipamento automatizado. Forma de Apresentação:conjunto (kit).  Prazo de Validade: 75% do prazo de validade do produto.</t>
  </si>
  <si>
    <t>DILUENTE, Composição: à base de hidrocarbonetos de petróleo, Aplicação: dissolver tintas a óleo, esmaltes e vernizes sintéticos, limpeza de máquinas, ferramentas, motores, remoção de ceras, graxas, óleos e gorduras; lavagem à seco. Tipo: raz, Unidade de Fornecimento: lata de 5 litros</t>
  </si>
  <si>
    <t>CATETER URETERAL DUPLO J. 6.0 FR comprimento de 24 a 30 cm. Cateter confeccionado em poliuretano. Permite posicionamento tanto anterógrado quanto retrógrado. Estéril em óxido de etileno. Embalagem única. Esterilização mínima  de 75% do prazo de validade do fabricante.</t>
  </si>
  <si>
    <t>PILHA, Tipo Carga: alcalina, Tamanho: palito AAA2, Aplicação: uso geral, Unidade De Fornecimento: pacote com 2 unidades</t>
  </si>
  <si>
    <t>AGULHA PARA FISTULA ARTERIO-VENOSA 17G X 1, ESTÉRIL. Aplicação:indicada para punção de fístula artério-venosa com finalidade de realizar a hemodiálise. Material:metal(agulha) e PVC(tubo). Características adicionais: agulha de metal com borboleta para fixação na pele e tubo flexível de PVC plastificado de grau médico de aproximadamente 30cm de comprimento, com pinça acoplada(trava clamp) e fechamento em tampa de rosca(luerlok). Embalagem individual em papel grau cirúrgico, que permita a abertura em técnica asséptica, capaz de assegurar a esterilidade do produto durante o transporte, armazenamento, até o momento do uso. Apresentação: embalagem individual acondicionada em caixa.</t>
  </si>
  <si>
    <t>ROALMENTO UC 206 1,3/16 (30,16 MM) PRIMEIRA LINHA.</t>
  </si>
  <si>
    <t>TECIDO COURVIM, Material: courvim com malha resistente, Cor: cinza, Largura: 1,38 m</t>
  </si>
  <si>
    <t>ESPELHO CRISTAL PRATA, Espessura: 4 mm, Tamanho: 1,70m x 0,65m, Características adicionais: comum.</t>
  </si>
  <si>
    <t>CO2 USP (UNITED STATE PHARMACOTY) - DIOXIDO DE CARBONO</t>
  </si>
  <si>
    <t xml:space="preserve">RESPIRADOR PEÇA SEMIFACIAL FILTRANTE PFF2/VO, sem manutenção, camadas de filtros químicos e mecânicos de eficiência vo/p2, tirante duplo de elástico. Com válvula de exalação. 
Será utilizado para proteger o servidor contra Vapores Orgânicos durante a desinfecção do endoscópio em Glutaraldeído. </t>
  </si>
  <si>
    <t>Pinça Halstead mosquito reta de 12 cm</t>
  </si>
  <si>
    <t>TESOURA METZEMBAUM RETA, APLICAÇÃO: CIRURGIA VASCULAR, MATERIAL: AÇO INOXIDÁVEL AISI , TAMANHO: 180 MM</t>
  </si>
  <si>
    <t>LENCOL DESCARTAVEL, Cor verde, azul ou branca, Material: não tecido (TNT), Gramatura: mínima 30g/m2, Dimensões: 2,00 x 0,90 m,   Embalagem:embalados individualmente e acondicionados em pacotes de 50 ou 100 unidades em caixa de papelão.</t>
  </si>
  <si>
    <t>Estilete para proctologia 16 cm Bioliva</t>
  </si>
  <si>
    <t>Pinça Adson sem dente 120 mm</t>
  </si>
  <si>
    <t>Pinça Adson com dente 120 mm</t>
  </si>
  <si>
    <t>Pinça Baby cock de 25 mm</t>
  </si>
  <si>
    <t>Pinça Crile curva 14 cm</t>
  </si>
  <si>
    <t>Pinça anatômica dissecção de 20 cm</t>
  </si>
  <si>
    <t>CAMISA PRIVATIVA, Aplicação: para servidor da área restrita e semirestrita, Material: Tecido liso, cor azul, 50% algodão e 50% poliéster. Linha 100% algodão, Tamanho: 44, Características: Peça única com costuras laterais, mangas japonesas curtas, fechado com decote "V", com 02 bolsos na parte frontal inferior e 01 bolso na parte frontal superior esquerda, Comprimento total: 80 cm, Largura total: 75 cm, largura da manga: 26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15433</t>
  </si>
  <si>
    <t>CAMISA PRIVATIVA, Aplicação: para servidor da área restrita e semirestrita, Material: Tecido liso, cor azul, 50% algodão e 50% poliéster, Linha 100% algodão, Tamanho: 48, Características: Peça única com costuras laterais, mangas japonesas curtas, fechado com decote "V", com 02 bolsos na parte frontal inferior e 01 bolso na parte frontal superior esquerda, Comprimento total: 90 cm, Largura total: 86 cm, largura da manga: 30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15438</t>
  </si>
  <si>
    <t>CAMISA PRIVATIVA, Aplicação: para servidor da área restrita e semirestrita, Material: Tecido liso, cor azul, 50% algodão e 50% poliéster, Linha 100% algodão, Tamanho: 56, Características: Peça única com costuras laterais, mangas japonesas curtas, fechado com decote "V", com 02 bolsos na parte frontal inferior e 01 bolso na parte frontal superior esquerda, Comprimento total: 98 cm, Largura total: 94 cm, largura da manga: 38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15439</t>
  </si>
  <si>
    <t>CAMISA PRIVATIVA, Aplicação: para servidor da área restrita e semirestrita, Material: Tecido liso, cor verde, 50% algodão e 50% poliéster, Linha 100% algodão, Tamanho: 44, Características: Peça única com costuras laterais, mangas japonesas curtas, fechado com decote "V", com 02 bolsos na parte frontal inferior e 01 bolso na parte frontal superior esquerda, Comprimento total: 80 cm, largura total: 75 cm, largura da manga: 26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medindo 7x7cm na cor verde bandeira, sigla do hospital no lado superior direito na cor preta, Forma de Apresentação: Embalagem primária em saco plástico com no máximo 10 unidades e secundaria em caixa de papelão com no máximo 100 unidades, Unidade de Estoque: Unidade, Unidade de fornecimento: Unidade, Código SES 15440</t>
  </si>
  <si>
    <t>CAMISA PRIVATIVA, Aplicação: para servidor da área restrita e semirestrita, Material: Tecido liso, cor verde, 50% algodão e 50% poliéster, Linha 100% algodão, Tamanho: 48, Características: Peça única com costuras laterais, mangas japonesas curtas, fechado com decote "V", com 02 bolsos na parte frontal inferior e 01 bolso na parte frontal superior esquerda, Comprimento total: 90 cm, Largura total: 86 cm, Largura da manga: 30 cm, Costura dupla no ombro e nas laterais, linha 100% algodão, Tecido tela 50% algodão 50% poliéster  fio 30, 105 no urdume e 75 na trama, tingimento em idantrem encolhimento 5% no Urdume e 3% na trama, peso mínimo 126g/m²,Variação de medida do produto acabado ± 3 cm, Apresentar na camisa logomarca SES-DF no bolso superior esquerdo e manga direita medindo 7x7cm na cor verde bandeira, sigla do hospital no lado superior direito na cor preta e manga esquerda, Forma de Apresentação: Embalagem primária em saco plástico com no máximo 10 unidades e secundaria em caixa de papelão com no máximo 100 unidades, Unidade de Estoque: Unidade, Unidade de fornecimento: Unidade, Código SES  15451</t>
  </si>
  <si>
    <t>CAMISA PRIVATIVA Aplicação: servidor de área restrita e semirestrita, Material: Tecido liso, cor verde, 50% algodão e 50% poliéster, Linha 100% algodão, Tamanho: 56, Características:  Peça única, costuras laterais, mangas curtas medindo 38cm a partir do ombro no comprimento e 27 cm de diâmetro na barra,  Fechado, com decote em V, com 2 bolsos na parte inferior comprimento total 92cm, largura total 88cm, largura da manga 32cm. Costura dupla no ombro e nas laterais, linha 100% algodão, Tecido tela 50% algodão 50% poliéster  fio 30, 105 no urdume e 75 na trama, tingimento em idantrem encolhimento 5% no Urdume e 3% na trama, peso mínimo 126g/m², Variação de medida do produto acabado ± 3 cm, Apresentar na camisa logomarca SES-DF no bolso superior esquerdo e manga direita medindo 7x7cm na cor verde bandeira, sigla do hospital no lado superior direito e manga esquerda na cor preta, Forma de Apresentação: Embalagem primária em saco plástico com no máximo 10 unidades e secundaria em caixa de papelão com no máximo 100 unidades, Unidade de Estoque: Unidade, Unidade de fornecimento: Unidade, Código SES 16204</t>
  </si>
  <si>
    <t>UMIDIFICADOR DE OXIGÊNIO PARA REDE CANALIZADA DE O2, Aplicação: umidificação das vias áereas, Material: plástico, Capacidade: 200- 250 ml, Forma de Apresentação: material plástico, adaptação com rosca de metal, bico de saída, metal cromado</t>
  </si>
  <si>
    <t>TINTA ESMALTE SINTÉTICO, Cor: amarela, Tipo Acabamento: brilhante, Unidade De Fornecimento: galão de 3,60 litros.</t>
  </si>
  <si>
    <t xml:space="preserve">USAR CÓDIGO DA SES 330... FRALDA DESCARTÁVEL,Material: tecido microperfurado manta de celulose regular e flocos absorventes que retêm a umidade longe da pele, comacabamento em elástico regular e próximo à manta de celulose, cobertura externa impermeável em plietileno e fitas para fixação (tipo abre e fecha), Tipo Uso: descartável, Formato: anatômico, forro interno em falso tecido microperfurado, Tamanho: XG extra grande, para crianças acima de 12 kg, </t>
  </si>
  <si>
    <t xml:space="preserve">CONECTOR RJ-45 FEMEA </t>
  </si>
  <si>
    <t>USAR CÓDIGO DA SES 330... FRALDA DESCARTÁVEL,ADULTO 40 a 70 KG, Material: camada externa em polietileno, camada em não-tecido, indicador de umidade, papel absorvente, polpa de celulose+sap, camada superior com não-tecido, fita adesiva trilaminada, Tipo Uso: adultode celulose + sap, camada superior com não-tecido, fita adesiva trilaminada, Tipo Uso: adulto de 40 até 70 kg, Formato: anatômico, Tamanho: médio (adulto de 40 a 70 kg), Características Adicionais: indicador de umidade,que muda de cor alertando para a mudança da fralda, com quatro fitas reposicionáveis para ajuste (tipo abre e fecha), cobertura interna hipoalergênica resistente, mantendo a pele seca, Tamanho Cintura: máximo de 100 cm, Tipo Fixação: abre e fecha (fita adesiva), Embalagem: pacotes com 08 a 20 unidades para tamanho médio, acondicionados em embalagem plástica, Unidade De Fornecimento: pacote cotendo 08 a 20 unidades</t>
  </si>
  <si>
    <t>USAR CÓDIGO DA SES 330... FRALDA DESCARTÁVEL, ADULTO ATÉ 40 KGS,Material: camada externa em polietileno, camada em não-tecido, indicador de umidade, papel absorvente, polpa de celulose + sap, camada superior com não-tecido, fita adesiva trilaminada, Tipo Uso: adulto de celulose + sap, camada superior com não-tecido, fita adesiva trilaminada, Tipo Uso: adulto de até 40 Kg, Formato: anatômico, Tamanho: pequeno (adulto de até 40 Kg), Características Adicionais: indicador de umidade,que muda de cor alertando para a mudança da fralda, com quatro fitas reposicionáveis para ajuste (tipo abre e fecha), cobertura interna hipoalergênica resistente, mantendo a pele seca, Tamanho Cintura: máximo de 80 cm, Tipo Fixação: abre e fecha (fita adesiva), Embalagem: acondicionados em embalagem plástica, Unidade De Fornecimento: pacote contendo 08 a 20 unidades</t>
  </si>
  <si>
    <t>CAPA DESCARTAVEL PARA CAMERA DE VIDEOLAPAROSCOPIA. Aplicação: manutenção da esterilidade do campo cirúrgico durante aspiração folicular e videolaparoscopia. Características Adicionais: estéril, embalada individualmente, polietileno transparente e flexível, com abertura nas duas extremidades para inserção do transdutor, indicador de posicionamento da inserção do transdutor transvaginal. Tamanho/Capacidade: 50 cm de comprimento e 15 cm de largura.</t>
  </si>
  <si>
    <t>TORNIQUETE. Aplicação: para estase venosa. Características adicionais: torniquete em borracha sintética, sem látex, descartável, não estéril. Forma de apresentação: rolo com 25 unidades</t>
  </si>
  <si>
    <t>TINTA ESMALTE SINTÉTICO, Cor: preto, Tipo Acabamento: brilhante, Unidade De Fornecimento: galão de 3,60 litros.</t>
  </si>
  <si>
    <t>ESPUMA, Características adicionais: 5 cm de espessura medindo 1,90 x 5,0 m , Densidade 28.</t>
  </si>
  <si>
    <t>ESPUMA, Características adicionais: 10 cm de espessura medindo 1,90 x 5,0 m , Densidade 28.</t>
  </si>
  <si>
    <t>TERMÔMETRO CLÍNICO, DIGITAL. Aplicação: verificação de temperatura axilar. Material: haste rígida, visor digital em cristal líquido. Características Adicionais: Indicador sonoro tipo bip, Faixa de medição: +32 a +42ºC, Resolução: 0,1ºC, Precisão: +/- 0,1ºC, Resultado: em 1 minuto através de sinais sonoros , desligamento automático, Funcionamento: bateria de 1,5V LR41, que permita troca da bateria, resistente a água. Acompanha01 estojo de plástico rígido transparente. Verificado e atestado pelo Inmetro. Processo de esterilização: não estéril. Forma de apresentação: Unidade (UN).</t>
  </si>
  <si>
    <t>LUVA DE PROTEÇÃO NÍTRÍLICA PARA CME; Aplicação: uso em expurgos hospitalares para lavagem de intrumentais e materiais contaminados, evitando contato da pele com exudatos corpóreos e soluções químicas; Material: Borracha Nitrílica Sintética; Tamanho/capacidade: número 8 (oito); Carcterísiticas: Luva nitrílica, com punho super longo medindo 46 cm de comprimento e 0,55 mm de espessura, interior liso, palma antiderrapante em alto relevo, acabamento clorinado, com grande resistência a produtos ácidos e alcalinos, como desengraxante, desencrostante, solvente e desengordurante; objetos abrasivos e perfurantes que suporte esterilização em autoclave (134ºC), que tenha Certificado de Aprovação (CA) do Ministério do Trabalho; Processo de Esterilizção: Não Estéril; Forma de apresentação: Par; Prazo de validade: 75% do prazo total de validade do produto; Unidade de estoque: Par</t>
  </si>
  <si>
    <t>Pinça dissecção sem dente de rato 16 cm</t>
  </si>
  <si>
    <t>Pinça dissecção com dente de 16 cm</t>
  </si>
  <si>
    <t>FILME DE IMAGEM DE LASER DRY VIEW, (DVB), BASE DE POLIESTER AZUL , CARTUCHO COM 100 FOLHAS. TAMANHO 35 X 43.</t>
  </si>
  <si>
    <t>FILME DE IMAGEM DE LASER DRY VIEW, (DVB), BASE DE POLIESTER AZUL , CARTUCHO COM 100 FOLHAS. TAMANHO 25 X 30.</t>
  </si>
  <si>
    <t>FILME DE IMAGEM DE LASER DRY VIEW, (DVB), BASE DE POLIESTER AZUL , CARTUCHO COM 100 FOLHAS. TAMANHO 20 X 25.</t>
  </si>
  <si>
    <t xml:space="preserve">USAR CÓDIGO DA SES 330... FRALDA DESCARTÁVEL,Material: camada externa em polietileno, camada em não-tecido, indicador de umidade, papel absorvente, polpa de celulose + sap, camada superior com não-tecido, fita adesiva trilaminada, Tipo Uso: adulto acima de 70 kg, Formato: anatômico, Tamanho: grande (adulto acima de 70 kg), Características Adicionais: indicador de umidade,que muda de cor alertando para a mudança da fralda, com quatro fitas reposicionáveis para ajuste (tipo abre e fecha), cobertura interna hipoalergênica resistente, mantendo a pele seca, Tamanho Cintura: máximo de 125 cm, Tipo Fixação: abre e fecha (fita adesiva), Unidade De Fornecimento: embalagem primária plástica , acondicionada em caixa de papelão ou fardo 
Código do Item: 3.3.90.30.22.02.0004.000018-01
</t>
  </si>
  <si>
    <t>LUVA SINTÉTICA PARA PROCEDIMENTO NÃO ESTÉRIL TAMANHO "G". Aplicação: uso em procedimento não estéril para profissionais que apresentam hipersensibilidade ao látex. Material: nitrile ou vinil, Tamanho: grande.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Unidade De Estoque: unidade (UN), Código SES: 24899 BR0313652</t>
  </si>
  <si>
    <t>ATADURA DE CREPOM 13 FIOS ROLO 25CM X 1,8M. Aplicação: terapia compressiva, aplicações ortopédicas e outros. Tamanho:  25cm X 1,8m em repouso e , no mínimo, 2,7m esticada, com 13 fios/cm², pesando aproximadamente 54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24927.  BR0361756</t>
  </si>
  <si>
    <t>CURATIVO ADESIVO DE HIDROPOLÍMERO/ESPUMA COM TAMANHO MÍNIMO 10 CM x 10 CM, ESTÉRIL. Aplicação: uso em lesões de moderado e excessivo exsudato. Material: composto de polímeros e camada externa adesiva de poliuretano. Características Adicionais: borda adesiva e protetora, que evite o extravasamento do exsudato e impeça a entrada de água, sabão e outros, formato quadrado. Apresentação: embalado individualmente. Unidade de Estoque: unidade (UN). Código SES: 25057.</t>
  </si>
  <si>
    <t>COMPRESSA DE GAZE 91CM x 91M NAO ESTERIL TIPO QUEIJO. Aplicação: confecção de coxim, dissectores e outros. Material: 100% algodão. Características Adicionais: 09 fios/cm², com 8 camadas e 3 dobras uniformemente enroladas sobre si, com trama e urdume regulares com ausência de fiapos, alvejante óptico, amido e sujidade, que permita absorção imediata de fluídos e sangue, peso mínimo 1,2 Kg, Apresentação: rolo embalado individualmente. Unidade De Estoque: rolo (RL). BR269989</t>
  </si>
  <si>
    <t>CATETER INTRAVENOSO PERIFÉRICO 14G, COM DISPOSITIVO DE SEGURANÇA, ESTÉRIL. Aplicação: acesso venoso periférico. Material: poliuretano/teflon. Tamanho: diâmetro 14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(laranja) que possibilite perfeita adaptação à seringa e equipos, e com protetor plástico. Com câmara de refluxo transparente para visualização do refluxo sanguíneo, com filtro e tampa oclusiva tipo luer. Embalado individualmente em papel grau cirúrgico que facilite a abertura em técnica asséptica e que assegure a esterilidade do produto durante o transporte e armazenamento até o seu uso. Apresentação: embalagem individual acondicionadas em caixa.</t>
  </si>
  <si>
    <t>AGULHA PARA ASPIRAÇÃO DE MEDICAMENTO1,2 x 25 mm PONTA ROMBA, DESCARTÁVEL. Aplicação: aspiração de medicamentos e limpeza de ferimentos. Material: cânula em aço polido, canhão em polipropileno cor padrão (vermelho). Características adicionais: estéril, cânula siliconizada, polida, isenta de aspereza, com lúmen limpo, com bisel simples de afiação adequada para a perfuração de frascos-ampola e que permita maior segurança na limpeza de ferimentos, livre de rebarbas. Canhão que proporcione encaixe perfeito às seringas. Que a junção canhão cânula não se desprenda com o uso e o manuseio</t>
  </si>
  <si>
    <t>COLETE HUMANIZA DF - Aplicação: Material: TERGAL LEVE,  antipilling, encolhimento máximo 3%, cor definida no projeto básico. Tamanho: PEQUENO. Características: peça simples, gola V, com fechamento nas laterais na altura da cintura com elástico encapado com mesmo tecido da mesma cor. Comprimento total: 69cm de altura e 42cm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</si>
  <si>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COLETE HUMANIZA DF - Aplicação: Material: TERGAL LEVE,  antipilling, encolhimento máximo 3%, cor definida no projeto básico. Tamanho: MÉDIO. Características: peça simples, gola V, com fechamento nas laterais na altura da cintura com elástico encapado com mesmo tecido da mesma cor. Comprimento total: 72cm de altura e 46cm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</si>
  <si>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COLETE HUMANIZA DF - Aplicação: Material: TERGAL LEVE,  antipilling, encolhimento máximo 3%, cor definida no projeto básico. Tamanho: GRANDE. Características: peça simples, gola V, com fechamento nas laterais na altura da cintura com elástico encapado com mesmo tecido da mesma cor. Comprimento total: 77cm de altura e 49cm de largura. Apresenta serigrafia na frente e nas costas em caixa alta, altura tamanho 11, cor preta, centralizado na parte superior, centro e inferior Forma de Apresentação: Embalagem primária em saco plástico com no máximo 10 unidades e secundária em caixa de papelão com no máximo 100 unidades, Unidade de Estoque: Unidade, Unidade de fornecimento: Unidade.</t>
  </si>
  <si>
    <t>ETIQUETA AUTOADESIVA, Cor: Vermelho, Tamanho: 4cm x 5cm com os dizeres: 
“HRG, VISITANTE, MATERNIDADE, Data” Conforme anexo.</t>
  </si>
  <si>
    <t>ETIQUETA AUTOADESIVA, Cor: Verde folha, Tamanho: 4cm x 5cm com os dizeres:
“HRG, VISITANTE, CLÍNICA, Data” Conforme anexo.</t>
  </si>
  <si>
    <t>USAR CÓDIGO DA SES 330... FRALDA DESCARTÁVEL ADULTO, acima de 70 kg, atóxica, capa polimérica, núcleo absorvente, primeira camada composta por algodão hifrófilo; Polpa de celulose e/ou materiais poliméricos absorventes e com capa de apoio estrutural, elásticos nas pernas, ajuste lateral anatômico; Garantir proteção e conforto, permitindo total discrição e liberdade de movimentos; Maior absorção e retenção de líquidos; Cobertura filtrante suave, fitas adesivas reposicionáveis. Unidade de fornecimento: UN</t>
  </si>
  <si>
    <t>ETIQUETA AUTOADESIVA, Cor: Laranja, Tamanho: 4cm x 5cm com os dizeres:
“HRG, VISITANTE, PRONTO SOCORRO, Data”. Conforme anexo.</t>
  </si>
  <si>
    <t>ETIQUETA AUTOADESIVA, Cor: Cinza, Tamanho: 4cm x 5cm com os dizeres:
 “HRG, VISITANTE, Nome, Setor, Data” Conforme anexo.</t>
  </si>
  <si>
    <t>ETIQUETA AUTOADESIVA, Cor: Branca, Tamanho: 4cm x 5cm com os dizeres: 
“HRG, VISITANTE, UTI, Data”. Conforme anexo.</t>
  </si>
  <si>
    <t>Cabo de Rede composto de material condutor trançado, com diâmetro do fio condutor de 0,24 mm², com padrão de cabeamento UTP 5E.</t>
  </si>
  <si>
    <t>AGULHA DE CROCHÊ, COMPOSIÇÃO: AÇO INOXIDÁVEL. 
Nº 08 e 10 (conforme Projeto Básico)</t>
  </si>
  <si>
    <t>CONJUNTO PRIVATIVO TAM 44 VERDE CLARO Aplicação: servidor de área restrita e semirestrita, Material: Tecido tela 50% algodão 50% poliéster estampado em toda extensão com logotipo SES/DF, cor verde, fio 30, 105 fios no urdume e 75 fios na trama, tingimento em idantrem encolhimento 5% no Urdume e 3% na trama, peso mínimo 126g/m², Linha 100% algodão, Tamanho: 44, Características: CAMISA - Peça simples, costuras laterais, mangas curtas medindo 34cm a partir do ombro no comprimento e 23 cm de diâmetro na barra,  largura da manga 28cm .Fechado, com decote em V transpassado, com 2 bolsos na parte inferior e 01 bolso na parte superior esquerdo, sigla do hospital no lado superior direito e manga esquerda na cor preta, comprimento total 88cm, largura total 84cm,. Costura dupla no ombro e nas laterais, linha 100% algodão. CALÇA - Peça simples, cintura com cadarço do mesmo tecido, Costura dupla, linha 100% algodão, Comprimento total: 115 cm, Largura da cintura: 54 cm, largura da perna: 24 cm. Apresentar sigla do hospital na perna direita verticalmente na cor preta medindo 15x15cm, Variação de medida do produto acabado ± 3 cm, Forma de Apresentação: Embalagem primária em saco plástico com no máximo 10 unidades e secundaria em caixa de papelão com no máximo 100 unidades, Unidade de Estoque: Unidade, Unidade de fornecimento: Unidade</t>
  </si>
  <si>
    <t>CONJUNTO PRIVATIVO TAM 48 VERDE CLARO Aplicação: servidor de área restrita e semirestrita para atendimento infantil, Material: Tecido tela 50% algodão 50% poliéster estampado em toda extensão com logotipo SES/DF, cor verde, fio 30, 105 fios no urdume e 75 fios na trama, tingimento em idantrem encolhimento 5% no Urdume e 3% na trama, peso mínimo 126g/m², Linha 100% algodão, Tamanho: 48 Características: CAMISA - Peça simples, costuras laterais, mangas curtas medindo 36 cm a partir do ombro no comprimento e 25 cm de diâmetro na barra, Fechado, com decote em V transpassado, com 02 bolsos na parte inferior e 01 bolso na parte superior esquerdo, sigla do hospital no lado superior direito e manga esquerda na cor preta medindo 7x7 cm, comprimento total 90 cm, largura total 86 cm, largura da manga 30 cm. Costura dupla no ombro e nas laterais, linha 100% algodão. CALÇA - Peça simples, cintura com cadarço do mesmo tecido, Costura dupla, linha 100% algodão, Comprimento total: 130 cm, Largura da cintura: 62 cm, Largura da perna: 26 cm, Variação de medida do produto acabado ± 3 cm, Apresentar sigla do hospital na perna direita verticalmente na cor preta medindo 15x15cm Forma de Apresentação: Embalagem primária em saco plástico com no máximo 10 unidades e secundaria em caixa de papelão com no máximo 100 unidades, Unidade de Estoque: Unidade, Unidade de fornecimento: Unidade</t>
  </si>
  <si>
    <t>CONJUNTO PRIVATIVO TAM 56 VERDE CLARO Aplicação: servidor de área restrita e semirestrita para atendimento infantil, Material: Tecido tela 50% algodão 50% poliéster estampado em toda extensão com logotipo SES/DF, cor verde, fio 30, 105 fios no urdume e 75 fios na trama, tingimento em idantrem encolhimento 5% no Urdume e 3% na trama, peso mínimo 126g/m², Linha 100% algodão, Tamanho: 56 Características: CAMISA - Peça única com costuras laterais, mangas japonesas curtas, fechado com decote 'V' transpassado, com 02 bolsos na parte frontal inferior e 01 bolso na parte frontal superior esquerda, Comprimento total: 98 cm, Largura total: 94 cm, Largura da manga: 38 cm,  Costura dupla no ombro e nas laterais, linha 100% algodão, sigla do hospital no lado superior direito e manga esquerda na cor preta medindo 7x7 cm. CALÇA - Peça simples, cintura com cadarço do mesmo tecido, Costura dupla, linha 100% algodão, Comprimento total: 138 cm, Largura da cintura: 70 cm, Largura da perna: 34 cm, Variação de medida do produto acabado ± 3 cm, Apresentar sigla do hospital na perna direita verticalmente na cor preta medindo 15x15cm Forma de Apresentação: Embalagem primária em saco plástico com no máximo 10 unidades e secundaria em caixa de papelão com no máximo 100 unidades, Unidade de Estoque: Unidade, Unidade de fornecimento: Unidade</t>
  </si>
  <si>
    <t>LACRE DE SEGURANÇA: modelo Trava ùnica, tipo Espinha de peixe de apenas um lado, podendo ser corte fácil, produzido em Polipropileno (PP), misturado com Polietileno(PE), para melhor flexibilidade, medindo 16cm, cor diversa.</t>
  </si>
  <si>
    <t>ETIQUETA AUTOADESIVA, Cor: Vermelho, Tamanho: 4cm x 5cm com os dizeres:
“HRG, ACOMPANHANTE, MATERNIDADE, Data”. Conforme anexo.</t>
  </si>
  <si>
    <t>ETIQUETA AUTOADESIVA, Cor: Azul claro, Tamanho: 4cm x 5cm com os dizeres:
“HRG, ACOMPANHANTE, CLÍNICA, Data”. Conforme anexo.</t>
  </si>
  <si>
    <t>ETIQUETA AUTOADESIVA, Cor: Amarelo, Tamanho: 4cm x 5cm com os dizeres:
 “HRG, ACOMPANHANTE, PRONTO SOCORRO, Data”. Conforme anexo.</t>
  </si>
  <si>
    <t>Equipo para uso exclusivo em bombas de infusão de marca SAMTRONIC ST1000 SET, para soluções fotossensíveis, com 240cm de comprimento, prime de 15ml, câmara gotejadora flexível com filtro de retenção de partículas de 15 microns, entrada de ar lateral com filtro bacteriológico de 0,2 microns e tampa. Tubo conector intermediário de silicone, injetor lateral em Y com membrana autocicatrizante, pinça rolete e luer lock retrátil com tampa protetora com filtro de membrana hidrofóbica. Fabricado com material atóxico e fotoprotetor, possui capa protetora da solução na cor âmbar para soluções fotossensíveis, embalagem individual em papel grau cirúrgico. Estéril, invólucro resistente ao manuseio, lacre capaz de manter sua integridade e esterilidade. Apresentação: embalagem individual.</t>
  </si>
  <si>
    <t>Pinça dissecção com dente de rato 25 cm</t>
  </si>
  <si>
    <t>CABO EXTENSOR PARA SENSOR DE SPO2, NELLCOR. 0010-20-42712. Aplicação: utilização como cabo extensor de SPO2 para monitorar saturação sanguínea em monitor de sinais vitais. Marca: MINDRAY. Material: plástico. Forma de apresentação: cabo com peça plástica 1M. Prazo de estabilidade: indeterminado. Unidade de estoque: UM.</t>
  </si>
  <si>
    <t>FILME DE IMAGEM DE LASER DRY VIEW, (DVB), BASE DE POLIESTER AZUL , CARTUCHO COM 125 FOLHAS. TAMANHO 35 X 43.</t>
  </si>
  <si>
    <t>FILME DE IMAGEM DE LASER DRY VIEW, (DVB), BASE DE POLIESTER AZUL , CARTUCHO COM 125 FOLHAS. TAMANHO 25 X 30.</t>
  </si>
  <si>
    <t>FILME DE IMAGEM DE LASER DRY VIEW, (DVB), BASE DE POLIESTER AZUL , CARTUCHO COM 125 FOLHAS. TAMANHO 20 X 25.</t>
  </si>
  <si>
    <t xml:space="preserve">BICARBONATO DE SODIO USO ODONTOLOGICO SACHE 40G. Aplicação: periodontia; para aparelho de profilaxia bucal. Características adicionais: alto grau de pureza (mínimo de 99%), granulometria específica. </t>
  </si>
  <si>
    <t>OXIDO AMARELO DE MERCURIO - Reagente citológico e histológico básico para colorações de rotina (Papanicolau e H/E). Reagente P/A, em cristias, peso molecular 216,59; referência química cas 21098-53-2</t>
  </si>
  <si>
    <t>EOSINA AMARELA - Corante citopatológico e histopatológico para colorações de rotina (Papanicolau e H/E). Corante tipo eosina amarela, em pó, CI 45380.</t>
  </si>
  <si>
    <t>FUCSINA AMARELA - FUCSINA, ASPECTO FÍSICO PÓ CRISTALINO AMARELO, FÓRMULA QUÍMICA C17H20N4S, MASSA MOLECULAR 312,43, GRAU DE PUREZA PUREZA MÍNIMA DE 99,5, NÚMERO DE REFERÊNCIA QUÍMICA CAS 132539-06-1</t>
  </si>
  <si>
    <t>CLOREXIDINA SOLUCAO AQUOSA 10 MG/ML (1%) FRASCO 1000 ML - SOLUCAO TOPICA</t>
  </si>
  <si>
    <t>CATETER PARA TERAPIA RENAL LONGA PERMANENCIA 15 FR 50 CM . Cateter para terapia renal, uso hemodiálise, durabilidade longa permanência, tipo implante tunelizado, modelo duplo lúmen, material poliuretano radiopaco, diâmetro cerca de 15 FR, comprimento cerca de 50 cm, tipo fixação anel poliéster. Componente 1 KIT com fio guia, dilatador, introdutor bipartido, com estilete tunelizador. Estéril, uso único.</t>
  </si>
  <si>
    <t>Solução Lisante Celular para equipamento automatizado de hematologia CELL-DYN Ruby. Lyse NOC. Galão 4 l.</t>
  </si>
  <si>
    <t>COMPRESSA CIRÚRGICA PARA CAMPO OPERATÓRIO 45 X 45 CM - Compressa cirúrgica para campo operatório exclusivo para procedimento cirúrgico. Material 100% algodão alvejado. Tamanho: 45 cm x 45 cm. Peso mínimo de 30 gramas. Livre de amido e branqueadores ópticos, com camadas sobrepostas fechadas nas extremidades com acabamento tipo overlock ou similar que não desfie e nem solte fiapos. Pré-lavada e pré-encolhida. Com alça/cadarço de segurança em uma das extremidades que não se desprenda durante o uso; com marcador radiopaco podendo ser do tipo fio ou placa flexível. Estéril por ETO ou Raios GAMA. Dobradas no padrão hospitalar embaladas em papel grau cirúrgico ou similar que assegure a esterilidade do
produto e que permite transferência em técnica asséptica. Pacote com 5 unidades.</t>
  </si>
  <si>
    <t xml:space="preserve">USAR CÓDIGO DA SES 330... FRALDA DESCARTÁVEL PARA RECÉM NASCIDO, Material: forro interno em falso tecido microperfurado, manta de  celulose regular e flocos absorventes, com acabamento em elástico regular e próximo à manta de celulose, cobertura externa impermeável em polietileno e fitas adesivas para fixação, Tipo Uso: recém nascido, para bebês até 05 Kg, </t>
  </si>
  <si>
    <t>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t>
  </si>
  <si>
    <t>LENÇOL DESCARTÁVEL. Material: falso tecido viscoso, Gramatura: mínima 40g/m2, Dimensões: 02 m X 0,90 m. Apresentação: Dobrado individualmente, pacote devidamente identificado com 10 unidades com inscrição “Proibida venda no Comércio”, em fardo com 10 pacotes.***DEVERÁ APRESENTAR AMOSTRA***</t>
  </si>
  <si>
    <t>VÁLVULA ESTABILIZADORA PARA REDE CANALIZADA DE AR MEDICINAL - AR COMPRIMIDO , Aplicação: destinada ao uso em postos de utilização, permitindo estabilizar a pressão de trabalho a níveis compatíveis com as especificações técnicas dos ventiladores e aparelhos de anestesia, destinadas também a reduzir a pressão da rede canalizada a 3,5 Kg, Características adicionais: dotada de manômetro de 0 a 10 Kgf/cm2 , corpo de duro alumínio, controle de ajuste e pressão de saída, conexões padronizadas segundo as normas da ABNT, COR: AMARELA - padrão ABNT</t>
  </si>
  <si>
    <t>VÁLVULA ESTABILIZADORA PARA REDE CANALIZADA DE OXIGÊNIO,  Aplicação: destinada ao uso em postos de utilização, permitindo estabilizar a pressão de trabalho a níveis compatíveis com as especificações técnicas dos ventiladores e aparelhos de anestesia, destinadas também a reduzir a pressão da rede canalizada a 3,5 Kg, Características adicionais: dotada de manômetro de 0 a 10 Kgf/cm2 , corpo de duro alumínio, controle de ajuste e pressão de saída, conexões padronizadas segundo as normas da ABNT, COR: VERDE - padrão ABNT</t>
  </si>
  <si>
    <t>TOMADA DUPLA PARA REDE CANALIZADA DE AR MEDICINAL - AR COMPRIMIDO,  características adicionais: corpo em alumínio anodizado, niple em metal cromado padrão ABNT com válvula de impacto.COR: AMARELA.</t>
  </si>
  <si>
    <t>USAR CÓDIGO DA SES 330... FRALDA DESCARTÁVEL GERIÁTRICA ACIMA DE 70 KG, Material: forro interno em falso tecido microperfurado, manta  de celulose regular e flocos absorventes, com acabamento em elástico regular e próximo à manta de celulose, cobertura externa impermeável em polietileno e fitas adesivas para fixação, Tipo Uso: adulto acima de 70 kg, Formato: anatômico, Tamanho: G, Tamanho Cintura: entre 80 e 140 cm, Tipo Fixação: abre e fecha (fita adesiva), Embalagem: pacotes de 8 a 20 unidades acondicionados em caixas de papelão ou fardos, Unidade De Fornecimento: pacote de 8 a 20 unidades.</t>
  </si>
  <si>
    <t>TECIDO COURVIM, Material: courvim com malha resistente, Cor: terracota, Largura: 1,38 m</t>
  </si>
  <si>
    <t>LAMPADA DE HALOGENIO 21V X 150W P/ FONTE DE LUZ FRIA C/REFLETOR P/MICROSCOPIO CIRURGICO. DNF, 150W, 21V, BASE GX7.9.
(Compatível com a marca Microscópio DF VASCONCELOS)</t>
  </si>
  <si>
    <t>FITA PARA AUTOCLAVE,Material: confeccionada em duas faces, sendo o dorso em papel crepado tratado,   com impressão de sinalizador visual que indique passagem pelo processo de esterilização em autoclave (listas brancas na diagonal) e a outra face em adesivo especial resistente a altas temperaturas, Tamanho/Capacidade: 17 a 20mm x 30m, Características Adicionais: embaladas individualmente em saco plástico, Forma De Apresentação: rolo com 17a 20mm x 30m, Prazo de validade: 75% do prazo total de validade do produto, Unidade De Estoque: rolo (RL), Código SES: 076695, Unidade De Fornecimento: rolo com 17a 20mm x 30m. ***A marca CIEX, não apresenta boa qualidade.***</t>
  </si>
  <si>
    <t>ATRACURIO (BESILATO) SOLUCAO INJETAVEL 10 MG/ML AMPOLA 2,5 ML</t>
  </si>
  <si>
    <t>PROPOFOL EMULSAO INJETAVEL 10 MG/ML SERINGA PREENCHIDA 50 ML</t>
  </si>
  <si>
    <t>PARACETAMOL SOLUCAO ORAL 200 MG/ML FRASCO 15 ML</t>
  </si>
  <si>
    <t>OCITOCINA SOLUCAO INJETAVEL 5 UI AMPOLA 1 ML
NÃO pode ser Termolábil.</t>
  </si>
  <si>
    <t>ETANOLAMINA (OLEATO) SOLUCAO INJETAVEL 50 MG/ML AMPOLA 2 ML</t>
  </si>
  <si>
    <t>AGULHA PARA ACUPUNTURA DESCARTAVEL TAMANHO 0,25X40MM. Características adicionais: material aço inoxidável, tipo capilar cilíndrica (filiforme), ponta cônica divulsionante, cabo em espiral banhado com prata ou cobre, com mandril plástico individual ou 1 para cada 10 agulhas. Esterilização: óxido de etileno ou raio gama.</t>
  </si>
  <si>
    <t xml:space="preserve">AGULHA PARA ACUPUNTURA DESCARTAVEL TAMANHO 0,20 A 0,25MM X 13 A 15MM. Características adicionais: material aço inoxidável, tipo capilar cilíndrica (filiforme), dimensões de 0,20 a 0,25mm x 13 a 15mm, ponta cônica divulsionante, cabo em espiral banhado com prata ou cobre, com mandril plástico individual ou 1 para cada 10 agulhas. Esterilização: óxido de etileno ou raio gama. </t>
  </si>
  <si>
    <t xml:space="preserve">AGULHA PARA ACUPUNTURA DESCARTAVEL TAMANHO 0,25MM X 25 A 30MM. Características adicionais: material aço inoxidável, tipo capilar cilíndrica (filiforme), dimensões de 0,25mm x 25 a 30mm, ponta cônica divulsionante, cabo em espiral banhado com prata ou cobre, com mandril plástico individual ou 1 para cada 10 agulhas. Esterilização: óxido de etileno ou raio gama. </t>
  </si>
  <si>
    <t>ATADURA GESSADA (SEC.RAPIDA) 12CMX300CM (COMP.MINIMO)</t>
  </si>
  <si>
    <t>EQUIPO INTERMEDIÁRIO 2 VIAS, 15 CM (+/-2CM), ESTÉRIL. Aplicação: duplicador de vias acessos aos dispositivos de administração de soluções parenterais. Material: PVC atóxico. Características adicionais: descartávelm, com conectores que encaixe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nas duas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t>
  </si>
  <si>
    <t xml:space="preserve">CONJUNTO PARA NEBULIZAÇÃO COMPLETO ADULTO, NÃO ESTÉRIL. Aplicação: terapia por inalação, Material: polietileno e polipropileno atóxico. Características Adicionais: Conjunto composto por máscara compatível com tamanho adulto, maleável, anatômica, que não exale odor desagradável. Copo nebulizador com capacidade 15ml, resistente, transparente, adaptável a mascara em sistema de encaixe. Tubo extensor com comprimento de 1,5m, transparente, flexível, adaptável em uma das extremidades ao copo nebulizador e outra extremidade ao ponto de oxigênio, que permita perfeita adaptação. Apresentação: embalagem individual acondicionado em caixas. Unidade De Estoque: conjunto (CJ), Código SES: 091182. </t>
  </si>
  <si>
    <t xml:space="preserve">ESPÁTULA DE AYRES EM MADEIRA NÃO ESTÉRIL. Aplicação: coleta de material endocervical. Material: madeira. Características Adicionais: confeccionada em madeira lisa, isenta de rebarbas, com superfícies devidamente acabadas, formato convencional. Embalagem plástica com 100 unidades acondicionados em caixa. Unidade De Estoque: pacote (PCT). Código SES: 091183.BR0244715
</t>
  </si>
  <si>
    <t>CANULA PARA TRAQUEOSTOMIA COM CUFF PVC N.9,0 N.38</t>
  </si>
  <si>
    <t>CATÉTER PARA ANESTESIA PERIDURAL, EPIDURAL OU CAUDAL CONTÍNUA 16G, EM POLIAMIDA, RADIOPACO, COMPRIMENTO 1.0M, DISPOSITIVO FACILITADOR PARA INTRODUÇÃO DO CATÉTER, PONTA 3 ORIFÍCIO LATERAIS, CONEXÃO LUER LOCK, DESCARTÁVEL, EMBALAGEM INDIVIDUAL, PAPEL GRAU CIRÚRGICO.</t>
  </si>
  <si>
    <t>DRENO DE PENROSE ESTERIL ENV.C/01UND. CADA N.80</t>
  </si>
  <si>
    <t>FIO DE SUTURA DE POLIAMIDA MONOFILAMENTAR 4-0, 45CM, COM 01 AGULHA DE 2,5 A 2,6CM 1/2 CIRCULO CORTANTE</t>
  </si>
  <si>
    <t>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t>
  </si>
  <si>
    <t>SONDA NASOGÁSTRICA LONGA Nº 16. Aplicação: administração de soluções e dieta, drenagem e lavagem gástrica. Material: polivinil atóxico. Características Adicionais: estéril, descartável, medindo aproximadamente 100 cm, incolor, siliconizada,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(UN). Código SES: 092471.  BR0311089</t>
  </si>
  <si>
    <t xml:space="preserve">SONDA URETRAL  Nº 04. Aplicação: sondagem vesical de alivio - uso neonatal. Material: polivinil atóxico incolor, Características Adicionais: estéril, descartável, flexível, siliconada, medindo aproximadamente 40 cm, com conector na parte proximal em PVC que permita perfeita adaptação a equipos, tubo de látex, etc.; com tampa na porção média do conector ( presa ou solta ), com extremidade distal fechada e arredondada, apresentando orifício oval próximo à ponta, delimitado e proporcional ao calibre e diâmetro da sonda, isenta de rebarbas e/ou saliências que possam traumatizar o paciente, apresentando flexibilidade e maciez adequada ao fim que se destina, deve apresentar espessura uniforme, isenta de manchas ou quaisquer defeitos. Embalada em saco plástico ou papel grau cirúrgico que favoreça abertura em técnica assépticae que garanta a integridade e esterilidade do produto. </t>
  </si>
  <si>
    <t xml:space="preserve">SONDA URETRAL Nº 06. Aplicação: sondagem vesical de alivio - uso pediátrico.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 presa ou solta ),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t>
  </si>
  <si>
    <t>TUBO DE SILICONE Nº 204, Tamanho/Capacidade: diâmetro interno: 6 mm, diâmetro externo: 12 mm, comprimento:15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clabar em suas paredes, com registro no Ministério da Saúde, Apresentação: rolo com 15 m, embalado individualmente em saco plástico resistente, Unidade De Estoque: rolo (RL), Código SES: 092514. BR260079</t>
  </si>
  <si>
    <t>FORMO-CRESOL 10CC 1</t>
  </si>
  <si>
    <t>GESSO USO ODONTOLÓGICO, COMUM TIPO II, Aplicação: prótese dental, forma de apresentação: pacote com 1Kg. Unidade de estoque: quilograma (Kg), unidade de fornecimento: pacote com 1Kg, Prazo de validade: 75% do prazo total de validade do produto.</t>
  </si>
  <si>
    <t>GESSO USO ODONTOLÓGICO, PEDRA TIPO III, Aplicação: prótese dental, forma de apresentação: pacote com 1Kg. Unidade de estoque: quilograma (Kg), unidade de fornecimento: pacote com 1Kg, Prazo de validade: 75% do prazo total de validade do produto.</t>
  </si>
  <si>
    <t>APLICADOR DESC.TIPO MICROBRUSH CX. C/ 100 UNIDADES 1</t>
  </si>
  <si>
    <t>LIDOCAÍNA CLORIDRATO, DOSAGEM 2%, APRESENTAÇÃO INJETÁVEL SEM VASOCONSTRICTOR. Aplicação: anestesia local. Unidade de fornecimento: Tubo de 1,8ml. Unidade de estoque: Tubo.</t>
  </si>
  <si>
    <t>POTE TIPO DAPPEN DE PLASTICO TAMANHO ÚNICO</t>
  </si>
  <si>
    <t>SISTEMA ADESIVO (PRIMER/ADESIVO) FOTOPOLIMERIZAVEL C/ GEL CONDICIONADOR. Aplicação: Dentística, Características adicionais: fotopolimerizável; com gel condicionador, Unidade De Fornecimento: kit com 01(FR) magic bonde - 4 ml / 1 seringa de magic acid 37% com 2,5 ml / 1 caixa com 50 microbush / 01 bula técnica. Unidade de Estoque: Kit.</t>
  </si>
  <si>
    <t xml:space="preserve">GEL DE FLUORETO DE SÓDIO 1,23%. TIXOTRÓPICO, ACIDULADO. Aplicação: Remineralização dentária. Informações Adicionais:  C/DENSIDADE SUFICIENTE P/ NAO ESCOAR AO SER APLICADO SOBRE A ESCOVA Unidade de apresentação: frasco com 200ml. Unidade de estoque: Unidade. </t>
  </si>
  <si>
    <t xml:space="preserve">PAPEL CARBONO P/ARTICULACAO DUPLA FACE ESPESSURA FINA </t>
  </si>
  <si>
    <t>BL</t>
  </si>
  <si>
    <t>AZUL DE METILENO "B", CI 52015, 25G</t>
  </si>
  <si>
    <t>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t>
  </si>
  <si>
    <t>CONJUNTO PARA DETERMINAÇÃO DE PSA, Aplicação:marcador tumoral.  Características adicionais: equipamento automatizado. Forma de Apresentação:conjunto (kit).  Prazo de Validade: 75% do prazo de validade do produto</t>
  </si>
  <si>
    <t>Pinça Baby cock de 20 mm</t>
  </si>
  <si>
    <t>KIT PARA DRENAGEM TORACICA INFANTIL
DEVEMOS CONFIRMAR O TAMANHO COM A FARMÁCIA.</t>
  </si>
  <si>
    <t>Conserto de aparelho de ar condicionado SPRINGER, Air Split, silencioso do centro cirúrgico que fica na sala C. Patrimônio: 802816 GDF</t>
  </si>
  <si>
    <t>Conserto aparelho de desfibrilador marca ZOLL, modelo M-SÉRIES, nº série UO9C92879, chapa patrimonial nº 20211.</t>
  </si>
  <si>
    <t>Conserto aparelho de desfibrilador marca ZOLL, modelo M-SÉRIES, nº série UO9C92879, chapa patrimonial nº 20214.</t>
  </si>
  <si>
    <r>
      <rPr>
        <u/>
        <sz val="10"/>
        <rFont val="Rockwell"/>
        <family val="1"/>
      </rPr>
      <t>CAMPO SIMPLES BRIM PESADO 150X150cm,</t>
    </r>
    <r>
      <rPr>
        <sz val="10"/>
        <rFont val="Rockwell"/>
        <family val="1"/>
      </rPr>
      <t xml:space="preserve"> Aplicação: procedimento cirúrgico, Material: Tecido liso, cor azul e 100% algodão, Linha 100% algodão, Tamanho: 150x150cm,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no máximo 10 unidades e secundaria em caixa de papelão com no máximo 100 unidades, Unidade de Estoque: Unidade, Unidade de fornecimento: Unidade, Código SES: 15642.</t>
    </r>
  </si>
  <si>
    <r>
      <t xml:space="preserve">EQUIPO EXTENSOR DE 2 VIAS, PRIMER REDUZIDO, 40 CM COMPRIMENTO, ESTÉRIL
</t>
    </r>
    <r>
      <rPr>
        <u/>
        <sz val="10"/>
        <rFont val="Rockwell"/>
        <family val="1"/>
      </rPr>
      <t>NÃO PADRONIZADO</t>
    </r>
  </si>
  <si>
    <r>
      <t xml:space="preserve">TUBO PARA GASTROSTOMIA A NÍVEL DE PELE, EM SILICONE GRAU MÉDICO,TRASPARENTE, COM FITA RADIOPACA AO LONGO DO SEU COMPRIMENTO.BALÃO DE SILICONE PARA FIXAÇÃO INTERNA, VÁLVULA PARA ENCHIMENTO DO BALÃO,  E DISPOSITIVO ANTI -REFLUXO. SISTEMA DE TRAVA PARA CONEXÃO DE SONDAS EXTENSORAS PARA ALIMENTAÇÃO. CONJUNTO COMPLETO COM: TUBO PARA GASTROSTOMIA, SONDA EXTENSORA DE 12" COM PINÇA, SONDA EXTENSORA DE 12" COM PINÇA PARA ALIMENTAÇÃO EM BOLUS, SERINGA PARA ALIMENTAÇÃO DE 35 CC. COM TAMANHOS ENTRE 14 Fr a 24 Fr. COMPRIMENTO DE 0.8 A 4.0 CM.ESTERELIZAÇÃO EM ÓXIDO DE ETILENO. COM VALIDADE DE 75% DA VALIDADE TOTAL DO PRODUTO.
</t>
    </r>
    <r>
      <rPr>
        <i/>
        <sz val="10"/>
        <rFont val="Rockwell"/>
        <family val="1"/>
      </rPr>
      <t>Confirmar tamanho com a Farmácia.</t>
    </r>
  </si>
  <si>
    <r>
      <t xml:space="preserve">COLA INSTANTÂNEA </t>
    </r>
    <r>
      <rPr>
        <u/>
        <sz val="10"/>
        <rFont val="Rockwell"/>
        <family val="1"/>
      </rPr>
      <t>TIPO</t>
    </r>
    <r>
      <rPr>
        <sz val="10"/>
        <rFont val="Rockwell"/>
        <family val="1"/>
      </rPr>
      <t xml:space="preserve"> SUPERBONDER OU SUPERCIANO</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</si>
  <si>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5 x 100 x 400 mm</t>
    </r>
    <r>
      <rPr>
        <sz val="10"/>
        <rFont val="Rockwell"/>
        <family val="1"/>
      </rPr>
      <t>.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</si>
  <si>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6 x 60 x 450 mm.</t>
    </r>
    <r>
      <rPr>
        <sz val="10"/>
        <rFont val="Rockwell"/>
        <family val="1"/>
      </rPr>
      <t xml:space="preserve">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</si>
  <si>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diâmetro circular de 4 x 60 x 450 mm</t>
    </r>
    <r>
      <rPr>
        <sz val="10"/>
        <rFont val="Rockwell"/>
        <family val="1"/>
      </rPr>
      <t>. Forma de apresentação: Unidade.</t>
    </r>
  </si>
  <si>
    <r>
      <t>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t>
    </r>
    <r>
      <rPr>
        <u/>
        <sz val="10"/>
        <rFont val="Rockwell"/>
        <family val="1"/>
      </rPr>
      <t xml:space="preserve"> diâmetro circular de 5 x 100 x 500 mm.</t>
    </r>
    <r>
      <rPr>
        <sz val="10"/>
        <rFont val="Rockwell"/>
        <family val="1"/>
      </rPr>
      <t xml:space="preserve"> Forma de apresentação: Unidade.</t>
    </r>
  </si>
  <si>
    <r>
      <t xml:space="preserve">ESCOVA PARA LIMPEZA DE MATERIAL CANULADO: Aplicação: escova circular para uso em limpeza manual de lúmen estreito, dos materiais usados em procedimentos cirúrgicos. Material: não estéril, confeccionado com cerdas macias de nylon e haste em aço inox torcido, deve promover a limpeza sem danificar o lúmen do material, podendo ser lavada logo após o uso. Tamanho: aproximadamente com </t>
    </r>
    <r>
      <rPr>
        <u/>
        <sz val="10"/>
        <rFont val="Rockwell"/>
        <family val="1"/>
      </rPr>
      <t xml:space="preserve">diâmetro circular de 10 x 100 x 600 mm. </t>
    </r>
    <r>
      <rPr>
        <sz val="10"/>
        <rFont val="Rockwell"/>
        <family val="1"/>
      </rPr>
      <t>Forma de apresentação: Unidade.</t>
    </r>
  </si>
  <si>
    <r>
      <t xml:space="preserve">SONDA DE TROCA PARA GASTROSTOMIA PERCUTÂNEA EM SILICONE, COM CALIBRE ESPECÍFICO DE </t>
    </r>
    <r>
      <rPr>
        <u/>
        <sz val="10"/>
        <rFont val="Rockwell"/>
        <family val="1"/>
      </rPr>
      <t>12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</si>
  <si>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14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</si>
  <si>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16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</si>
  <si>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18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</si>
  <si>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20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</si>
  <si>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SONDA DE TROCA PARA GASTROSTOMIA PERCUTÂNEA EM SILICONE, COM CALIBRE ESPECÍFICO DE </t>
    </r>
    <r>
      <rPr>
        <u/>
        <sz val="10"/>
        <rFont val="Rockwell"/>
        <family val="1"/>
      </rPr>
      <t>24 FR</t>
    </r>
    <r>
      <rPr>
        <sz val="10"/>
        <rFont val="Rockwell"/>
        <family val="1"/>
      </rPr>
      <t>, BALÃO DE DE RETENÇÃO INTERNO INFLÁVEL EM SILICONE, ANEL DE RETENÇÃO EXTERNO, CONECTOR UNIVERSAL PARA PORTA DE ALIMENTAÇÃO E PORTA DE MEDICAMENTO. MATERIAL RADIOPACO. USO ÚNICO. ESTÉRIL. PRAZO DE VALIDADE MÍNIMO DE 75% DO PRAZO DO FABRICANTE.</t>
    </r>
  </si>
  <si>
    <r>
      <t xml:space="preserve">DIALISADOR DE BAIXO FLUXO COM AREA DE SUPERFICIE DE 1,9 A 2,1 M2, MEMBRANA DE </t>
    </r>
    <r>
      <rPr>
        <u/>
        <sz val="10"/>
        <rFont val="Rockwell"/>
        <family val="1"/>
      </rPr>
      <t>POLISULFONA</t>
    </r>
    <r>
      <rPr>
        <sz val="10"/>
        <rFont val="Rockwell"/>
        <family val="1"/>
      </rPr>
      <t>, ESTERIL. Aplicação: hemodiálise. Material: membrana sintética confeccionada em polisulfona. Características adicionais: esterilizado em raio gama ou vapor, embalado individualmente em invólucro que permita a abertura em técnica asséptica e que assegure a esterilidade do produto durante o transporte e armazenamento até o seu uso. Apresentação: embalagens individuais acondicionadas em caixa.</t>
    </r>
  </si>
  <si>
    <r>
      <t xml:space="preserve">DIALISADOR DE BAIXO FLUXO COM AREA DE SUPERFICIE DE 1,9 A 2,1 M2, MEMBRANA DE </t>
    </r>
    <r>
      <rPr>
        <u/>
        <sz val="10"/>
        <rFont val="Rockwell"/>
        <family val="1"/>
      </rPr>
      <t>POLIAMIDA</t>
    </r>
    <r>
      <rPr>
        <sz val="10"/>
        <rFont val="Rockwell"/>
        <family val="1"/>
      </rPr>
      <t>, ESTERIL. Aplicação: hemodiálise. Material: membrana sintética confeccionada em poliamida. Características adicionais: esterilizado em raio gama ou vapor, embalado individualmente em invólucro que permita a abertura em técnica asséptica e que assegure a esterilidade do produto durante o transporte e armazenamento até o seu uso. Apresentação: embalagens individuais acondicionadas em caixa</t>
    </r>
  </si>
  <si>
    <r>
      <t xml:space="preserve">UTILIZAR O CÓDIGO 200655 </t>
    </r>
    <r>
      <rPr>
        <sz val="10"/>
        <rFont val="Rockwell"/>
        <family val="1"/>
      </rPr>
      <t xml:space="preserve">- NITROGÊNIO LÍQUIDO, </t>
    </r>
  </si>
  <si>
    <t xml:space="preserve">Pincel, Material cerdas: naylon; Formato: chato; Tamanho: ½ polegada. 
</t>
  </si>
  <si>
    <t>LINHA DE SUSBSTITUIÇÃO DE HEMODIÁLISE DIALOG HDF, Aplicação: transporte da solução de reposição online preparada nas máquinas de hemodiálise em terapias de hemodiafiltração online, Material: tubos de PVC, Tamanho/Capacidade: diâmetros internos e externos correspondentes a 6 e 10 mm. Comprimento total de 128 mm com 1 válvula de segurança de não-retorno removível na extremidade que se conecta ao circuito extracorpóreo, Características Adicionais: atóxico, estéril e apirogênico. Item exclusivo para funcionamento da máquina DIALOG HDF online marca B. BRAUN. A detentora da marca é a única empresa fornecedora, processo de esterilização: radiação gama.</t>
  </si>
  <si>
    <t>CONTROLE - GAMA</t>
  </si>
  <si>
    <r>
      <t xml:space="preserve">SUPERINTENDÊNCIA DA REGIÃO DE SAÚDE SUL - </t>
    </r>
    <r>
      <rPr>
        <b/>
        <sz val="14"/>
        <color rgb="FF000000"/>
        <rFont val="Times New Roman"/>
        <family val="1"/>
      </rPr>
      <t>HRG</t>
    </r>
  </si>
  <si>
    <t xml:space="preserve">A Superintendência da Região de Saúde Sul convoca as empresas interessadas em participar da DISPENSA DE LICITAÇÃO, em caráter emergencial, que será levada a efeito no Hospital Regional do Gama, situado na ÁREA ESPECIAL Nº 01 - Setor Central GAMA – Brasília – DF, para aquisição dos materiais constantes deste Pedido de Cotação PDPAS. </t>
  </si>
  <si>
    <t>PDPAS HRG / Diretoria Administrativa / SRSSU / SES</t>
  </si>
  <si>
    <t>ÁREA ESPECIAL Nº 01 - Setor Central GAMA/DF. CEP: 72.405-610</t>
  </si>
  <si>
    <t>NAGMP/HRG</t>
  </si>
  <si>
    <t>Os materiais constantes neste pedido deverão ser entregues no Núcleo de Manutenção e Reparos / NAGMP/HRG  no horário de 08 h às 12h, e de 14h às 17h, de segunda a sexta-feira.</t>
  </si>
  <si>
    <r>
      <t xml:space="preserve">Local de Entrega/prestação do Serviço: </t>
    </r>
    <r>
      <rPr>
        <b/>
        <sz val="10"/>
        <color theme="1"/>
        <rFont val="Times New Roman"/>
        <family val="1"/>
      </rPr>
      <t>NAGMP / HRG</t>
    </r>
  </si>
  <si>
    <t>NECFM/HRG</t>
  </si>
  <si>
    <r>
      <t xml:space="preserve">Local de Entrega/prestação do Serviço: </t>
    </r>
    <r>
      <rPr>
        <b/>
        <sz val="10"/>
        <color theme="1"/>
        <rFont val="Times New Roman"/>
        <family val="1"/>
      </rPr>
      <t>NECFM / HRG</t>
    </r>
  </si>
  <si>
    <t>Os materiais constantes neste pedido deverão ser entregues no Núcleo de Manutenção e Reparos / NECFM/HRG  no horário de 08 h às 12h, e de 14h às 17h, de segunda a sexta-feira.</t>
  </si>
  <si>
    <t>GOVERNO DO DISTRITO FEDERAL
SECRETARIA DE ESTADO DE SAÚDE
SUPERINTENDÊNCIA DA REGIÃO DE SAÚDE SUL
DIRETORIA ADMINISTRATIVA 
PROGRAMA DE DESCENTRALIZAÇÃO PROGRESSIVA DE AÇÕES DE SAÚDE - PDPAS/HRG</t>
  </si>
  <si>
    <t>COMISSÃO DO PDPAS/HRG.</t>
  </si>
  <si>
    <t xml:space="preserve">PDPAS/ HRG / Diretoria Administrativa / SRSSU / SES </t>
  </si>
  <si>
    <t>HOSPITAL REGIONAL DO GAMA - DF</t>
  </si>
  <si>
    <t xml:space="preserve">CNPJ: 00.394.700/0006-12 </t>
  </si>
  <si>
    <t>Endereço: ÁREA ESPECIAL Nº 01 - Setor Central GAMA/DF. CEP: 72.405-610</t>
  </si>
  <si>
    <t>DENTAL FORTE</t>
  </si>
  <si>
    <t>MAZIMUS</t>
  </si>
  <si>
    <t>MEDICALMED</t>
  </si>
  <si>
    <t>XX</t>
  </si>
  <si>
    <t>A/A</t>
  </si>
  <si>
    <t>Ano anterior</t>
  </si>
  <si>
    <t>Saldo ideal</t>
  </si>
  <si>
    <t>LUCIAMARA CARLINI</t>
  </si>
  <si>
    <t>CURATIVO DE ALGINATO DE CÁLCIO 10 CM x 20 CM, ESTÉRIL. Aplicação: controle de excesso de exsudato, desbridante, hemostasia. Material: Alginato de cálcio derivado de algas marinhas. Características adicionais: não aderente, com alta capacidade de absorção de exsudato. Apresentação: embalado individualmente</t>
  </si>
  <si>
    <t>CLOREXIDINA SOLUCAO ALCOOLICA 5 MG/ML FRASCO 1000 ML</t>
  </si>
  <si>
    <t>MS</t>
  </si>
  <si>
    <t>ANUSCOPIO DESCARTAVEL</t>
  </si>
  <si>
    <t>TELA SINTETICA DE POLIPROPILENO TAMANHO 15CM X20CM</t>
  </si>
  <si>
    <t>INSULINA HUMANA REGULAR SOLUCAO INJETAVEL 100 UI/ML FRASCO-AMPOLA 10 ML</t>
  </si>
  <si>
    <t>Compressa cirúrgica para campo operatório exclusivo para procedimentos cirúrgicos. Material 100% algodão alvejado. Tamanho: aproximadamente 25 cm x 28 cm. Peso mínimo de 20 gramas. Livre de amido e branqueadores ópticos, com camadas sobrepostas fechadas nas extremidades com acabamento tipo overlock ou similar que não desfie e nem solte fiapos. Pré-lavada e pré-encolhida. Com alça/cadarço de segurança em uma das extremidades que não se desprenda durante o uso; com marcador radiopaco podendo ser do tipo fio ou placa flexível. Estéril por ETO ou Raios GAMA. Dobradas no padrão hospitalar embaladas em papel grau cirúrgico ou similar que assegure a esterilidade do produto e que permite transferência em técnica asséptica. Pacote com 5 unidades.</t>
  </si>
  <si>
    <t>GLOBAL</t>
  </si>
  <si>
    <t>ENOXAPARINA SODICA SOLUCAO INJETAVEL 100 MG SERINGA PREENCHIDA 1 ML</t>
  </si>
  <si>
    <t>ENOXAPARINA SODICA SOLUCAO INJETAVEL 80 MG SERINGA PREENCHIDA 0,8 ML</t>
  </si>
  <si>
    <t>FITA CIRURGICA HIPOALERGENICA MICROPOROSA 5CM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092363.  BR0281523</t>
  </si>
  <si>
    <t>COMPLEXO B SOLUCAO INJETAVEL AMPOLA 2 ML</t>
  </si>
  <si>
    <t>AMICACINA (SULFATO) SOLUCAO INJETAVEL 250 MG/ML AMPOLA 2 ML</t>
  </si>
  <si>
    <t>CURATIVO DE ALGINATO DE CÁLCIO 10 CM x 10 CM, ESTÉRIL.  Aplicação: controle de excesso de exsudato, desbridante, hemostasia. Material: Alginato de cálcio derivado de algas marinhas. Características adicionais: não aderente, com alta capacidade de absorção de exsudato. Apresentação: embalado individualmente. Unidade de Estoque: unidade (UN). Código SES: 091137. BR226687</t>
  </si>
  <si>
    <t>ETIQUETA AUTO-ADESIVA TÉRMICA; APLICAÇÃO/FINALIDADE: PARA IMPRESSORA TÉRMICA ZEBRA GC420D; MATERIAL/COMPOSIÇÃO: ADESIVO SINTÉTICO, TIPO DE PAPEL: COUCHÊ; TAMA-NHO/CAPACIDADE: 50MM X 27MM; NÚMERO DE COLUNAS: 02; ROLO COM 3 MIL ETIQUETAS; CARACTERÍSTICAS: COR BRANCA; UNIDADE DE ESTOQUE: ROLO.</t>
  </si>
  <si>
    <t>CATETER CENTRAL DE INSERÇÃO PERIFÉRICA (PICC), ESTÉRIL. Aplicação: terapia endovenosa de longa permanência em recém nascidos. Material: silicone. Tamanho: 1,9 - 2 FR x 50 cm. Características adicionais: tipo percutâneo, extramacio, totalmente demarcado de 1 em 1 centímetro, radiopaco,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Apresentação: embalagem individual acondicionada em caixa (kit). **A marca GMI da GABISA apresentou problemas.**</t>
  </si>
  <si>
    <t>CATETER CENTRAL DE INSERÇÃO PERIFÉRICA (PICC), ESTÉRIL. Aplicação: terapia endovenosa de longa permanência uso infanto juvenil e em idosos. Material: silicone. Tamanho: 3.8 - 4 FR x 50 - 65 cm. Características adicionais: tipo percutâneo, extramacio, totalmente demarcado de 1 em 1 centímetro, radiopaco, bainha plástica,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 marca GMI da GABISA apresentou problemas.**</t>
  </si>
  <si>
    <t>CATETER CENTRAL DE INSERÇÃO PERIFÉRICA (PICC), ESTÉRIL. Aplicação: terapia endovenosa de longa permanência em crianças. Material: silicone. Tamanho: 2.8 - 3 FR x 50 - 65 cm. Características adicionais: tipo percutâneo, extramacio, totalmente demarcado de 1 em 1 centímetro, radiopaco, bainha plástica, acompanhado de introdutor bi partível e bisel trifacetado que permita a visualização do fluxo sanguíneo, com tampa filtro e fita métrica descartável para medição exata do catéter. Com estrutura confeccionada em uma única peça, evitando a migração de partes do catéter. Que assegure tempo de permanência de 06 meses à 01 ano de uso, resistente a dobras, com baixa aderência bacteriana até o fim do tratamento. Embalagem individual rígida que permita a abertura em técnica asséptica, capaz de assegurar a esterilidade do produto durante o transporte, armazenamento, até o momento do uso. **A marca GMI da GABISA apresentou problemas.**</t>
  </si>
  <si>
    <t>CATETER UMBILICAL MONO LÚMEN 3,5 A 4FR USO NEONATAL EM POLIURETANO II FLEXÍVEL RADIOPACO COM MARCAÇÃO DE PROFUNDIDADE A CADA 1CM EXTREMIDADE ARRENDONDADA E ATRAUMÁTICA CONECTOR LUER  ESTÉRIL. **A marca GMI da GABISA apresentou problemas.**</t>
  </si>
  <si>
    <t>CATETER UMBILICAL MONO LÚMEN 5 A 6FR USO NEONATAL EM POLIURETANO II FLEXÍVEL RADIOPACO COM MARCAÇÃO DE PROFUNDIDADE A CADA 1CM EXTREMIDADE ARRENDONDADA E ATRAUMÁTICA CONECTOR LUER  ESTÉRIL. **A marca GMI da GABISA apresentou problemas.**</t>
  </si>
  <si>
    <t>**Não Padronizado** CÂNULA DE TRAQUEOSTOMIA COM CUFF PVC 8,5MM N36</t>
  </si>
  <si>
    <t>AMINOFILINA COMPRIMIDO 100 MG</t>
  </si>
  <si>
    <t>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t>
  </si>
  <si>
    <t>CIRÚRGICA RIBEIRÃO PRETO</t>
  </si>
  <si>
    <t>MARCOS VINÍCIUS</t>
  </si>
  <si>
    <t>Conserto de detector fetal, marca MEDJET, modelo DF4000 patrimônio Nº 65315</t>
  </si>
  <si>
    <t>Conserto de detector fetal, marca MEDJET,modelo DF4000 Patrimônio Nº 65884</t>
  </si>
  <si>
    <t>Conserto de detector fetal, marca MEDJET, modelo DF4000 patrimônio Nº 69104</t>
  </si>
  <si>
    <t>Conserto monitor multiparâmetro da marca DIXTAL, modelo DX 2020, patrimônio nº 807911</t>
  </si>
  <si>
    <t>Conserto do Autoclave marca BAUMER, modelo B-365-V-5P, patrimônio nº 113728</t>
  </si>
  <si>
    <t>Vencimento CND</t>
  </si>
  <si>
    <t>DENTAL FORTE (RAFAEL SILVA ARAUJO 74509535104)</t>
  </si>
  <si>
    <t>RAFAEL SILVA</t>
  </si>
  <si>
    <t>18.597.860/0001-10</t>
  </si>
  <si>
    <t>1894</t>
  </si>
  <si>
    <t>MAZIMUS ENGENHARIA EIRELI</t>
  </si>
  <si>
    <t>105</t>
  </si>
  <si>
    <t>30.253-0</t>
  </si>
  <si>
    <t>PONTEIRA DESCARTÁVEL, POLIPROPILENO P/PIPETA MICROVOLUMÉTRICA 10 A 100 MCL PACOTE C/1000 UNIDADES</t>
  </si>
  <si>
    <t>CONJUNTO PARA DETERMINAÇÃO DE FSH, Aplicação:analise hormonal. |Características adicionais: equipamento automatizado. Forma de Apresentação:conjunto (kit). |Prazo de Validade: 75% do prazo de validade do produto</t>
  </si>
  <si>
    <t>CONJUNTO PARA DETERMINAÇÃO DE LH, Aplicação:analise hormonal. |Características adicionais: equipamento automatizado. Forma de Apresentação:conjunto (kit).|Prazo de Validade: 75% do prazo de validade do produto.</t>
  </si>
  <si>
    <t>CONJUNTO PARA DETERMINAÇÃO DE PROLACTINA. Aplicação:analise hormonal. Características adicionais: equipamento automatizado. Forma de Apresentação:conjunto (kit). |Prazo de Validade: 75% do prazo de validade do produto.</t>
  </si>
  <si>
    <t>CONJUNTO PARA DETERMINAÇÃO DE T4 LIVRE. Aplicação:analise hormonal. |Características adicionais: equipamento automatizado. Forma de Apresentação:conjunto (kit). |Prazo de Validade: 75% do prazo de validade do produto.</t>
  </si>
  <si>
    <t>CONJUNTO PARA DETERMINAÇÃO DE TSH. Aplicação:analise hormonal. |Características adicionais: equipamento automatizado. Forma de Apresentação:conjunto (kit). |Prazo de Validade: 75% do prazo de validade do produto.</t>
  </si>
  <si>
    <t>429.331-2</t>
  </si>
  <si>
    <t>MORFINA COMPRIMIDO 30MG</t>
  </si>
  <si>
    <t>SONDA NASOGÁSTRICA LONGA Nº 14. Aplicação: administração de soluções e dieta, drenagem e lavagem gástrica. Material: polivinil atóxico. Características Adicionais: estéril, descartável, medindo aproximadamente 100 cm, incolor, siliconizada,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(UN). Código SES: 092471.  BR0311089</t>
  </si>
  <si>
    <t>GLICOSE 5 % SOLUÇAO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</si>
  <si>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FIO DE KIRSCHNER 1.2 A 2.0 X 300MM - Fio de kirschner, material aço
inoxidável, comprimento 300mm, diâmetro 1.2 a 2.0mm. Autoclavável.
*** CONFIRMAR TAMNAHOS NO PROJETO BÁSICO ***</t>
  </si>
  <si>
    <t>FIO DE KIRSCHINER, AÇO INOXIDÁVEL, 300MM, 2,5MM., ESTÉRIL,
COM ESTERELIDADE MÍNIMA DE 75% DO PRAZO DE VALIDADE DO
FABRICANTE.</t>
  </si>
  <si>
    <t>DEXAMETASONA COMPRIMIDO 4 MG</t>
  </si>
  <si>
    <t>CAPACETE CIRCULAR PARA OXIGENOTERAPIA, MÉDIO.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15 cm de altura externa x 22 cm de diâmetro; Abertura para o pescoço de no mínimo: 9 cm x 9 cm, com variação + / - 2 cm em quaisquer das medidas. Tamanho: médio.</t>
  </si>
  <si>
    <t>11.014-0</t>
  </si>
  <si>
    <t xml:space="preserve">**MATERIAL PERMANENTE** LARINGOSCÓPIO INFANTIL,Características Técnicas Mínimas: cabo pequeno em metal recartilhado tampa de rosca e mola em aço inox para pilhas médias, com encaixe de lâminas para lâmina em padrão internacional, com 02 lâminas curvas: tamanho 1 e 2; 02 lâminas retas tamanho 0 e 2; com lâmpada especial de alta luminosidade, com pino de aço substituível, acondicionado em estojo de couro com zíper. </t>
  </si>
  <si>
    <t xml:space="preserve">**MATERIAL PERMANENTE**  JOGO DE LARINGOSCÓPIO ADULTO,Características Mínimas: em aço inox contendo 7 peças: 01 Cabo para laringoscópio adulto a pilha; 01 Lâmina curva (75 mm) nº0; 01 Lâmina curva (95mm) nº1; 01 Lâmina curva (115 mm) nº2; 01 Lâmina curva (135 mm) nº3; 01 Lâmina curva (155 mm) nº4; Estojo em couro com zíper para acondicionar o produto. </t>
  </si>
  <si>
    <t>**Compra Suspensa SIS. Item em fase de Despadronização.** INDICADOR BIOLOGICO AUTOCONTIDO C/TEMPO DE RESPOSTA
DE NO MAXIMO TRES HORAS POR METODO DE FLUORESCENCIA</t>
  </si>
  <si>
    <t>TED</t>
  </si>
  <si>
    <t>TJDFT</t>
  </si>
  <si>
    <t>MEDICALMED (ANDERSON DE LIMA VERLINDO-ME)</t>
  </si>
  <si>
    <t>Ana Paula Sudatti</t>
  </si>
  <si>
    <t>06.745.630/0001-71</t>
  </si>
  <si>
    <t>0439</t>
  </si>
  <si>
    <t>OP:003 CC:1625-1</t>
  </si>
  <si>
    <t>Washington / ADRIANA</t>
  </si>
  <si>
    <t>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t>
  </si>
  <si>
    <t>TJDFT - BLOQUEIO JUDICIAL</t>
  </si>
  <si>
    <t>BLOQUEIO JUDICIAL TJDFT - PROCESSO Nº  072.964.808.2016.807.001.6</t>
  </si>
  <si>
    <t>FIO DE SUTURA NYLON MONOFILAMENTAR 5-0 PRETO, MATÉRIA PRIMA POLIAMIDA 6, 6.6 OU 6/6, COM AGULHA CORTANTE, COM CORTE TRIANGULAR REVERSO, FORMATO 3/8 DE CÍRCULO, TAMANHO 19 MM, COMPRIMENTO 45 MM.</t>
  </si>
  <si>
    <t>FIO DE SUTURA DE GLICOLIDA + LACTIDA TRANÇADO 4-0, 70CM, COM 01 AGULHA DE 1,7CM 1/2 CIRCULO CILINDRICA. Material: glicolida + lactida trançado, Características Adicionais: fio 4-0, cor violeta, comprimento 70 cm, com 1 agulha, tipo agulha ponta cilíndrica, corpo cilíndrico, 1/2 círculo, comprimento da agulha 1,7 cm, estéril. Forma De Apresentação: 1 fio por envelope, com identificação do lote, data de fabricação, data de validade impressos em língua portuguesa no envelope e na caixa. Deverá seguir a Norma do INMETRO ABNT 13904/2003.</t>
  </si>
  <si>
    <t>FIO DE SUTURA DE SEDA TRANCADA 3-0, 15X45CM, SEM AGULHA. Características Adicionais: fio 3-0, cor preta, 15 x 45cm, sem agulha, estéril. Forma de Apresentação: 1 fio por envelope, com identificação do lote, data de fabricação, data de validade impressos em língua portuguesa no envelope e na caixa. Deverá seguir a Norma do INMETRO ABNT 13904/2003.</t>
  </si>
  <si>
    <t>COLAGENASE POMADA DERMATOLOGICA 0,6 UI/G OU 1,2 UI/G BISNAGA 30 G</t>
  </si>
  <si>
    <t>CURATIVO DE HIDROFIBRA, ESTERIL. Composição: carboximetilcelulose associada à prata, estéril, não aderente. Tamanho: 15x15cm. Apresentação: embalagem individual.</t>
  </si>
  <si>
    <t>SONDA DE FOLEY 2 VIAS SILICONE Nº 06. Aplicação: drenagem e controle da diurese, pediátrica. Material: 100%
silicone atóxico. Características Adicionais: estéril, descartável, transparente, medindo aproximadamente 35cm,
apresentando flexibilidade e maleabilidade adequada ao fim a que se destina, que não cause irritação ao paciente,
apresentando espessura uniforme, isento de manchas ou quaisquer defeitos. Balão com capacidade de 1,5 a 5 ml e boa
distensibilidade, com válvula fixa que permita perfeita adaptação em seringas. Ponta arredondada e fechada,
apresentando 2 orifícios ovais situados em lados opostos, delimitados e proporcionais ao diâmetro da sonda, isentos de
rebarbas ou saliências que possam traumatizar o paciente. Embalagem dupla, sendo a externa em papel grau cirúrgico e
a interna em polietileno picotado nas extermidades, favorecendo a abertura em técnica asséptica e garantindo a
esterilidade do produto. Apresentação: embalagem individual, acondicionado em caixa com 10 unidades. Unidade de
Estoque: unidade (UN). Código SES: 092454. BR0361543</t>
  </si>
  <si>
    <t>GRIFOLS</t>
  </si>
  <si>
    <t>GRIFOLS BRASIL LTDA</t>
  </si>
  <si>
    <t>JOÃO OLIVEIRA / GILMAR</t>
  </si>
  <si>
    <t>02.513.899/0001-71</t>
  </si>
  <si>
    <r>
      <t xml:space="preserve">Conserto do </t>
    </r>
    <r>
      <rPr>
        <b/>
        <sz val="10"/>
        <color theme="1"/>
        <rFont val="Rockwell"/>
        <family val="1"/>
      </rPr>
      <t>aparelho VIDEOGASTROSCÓPIO</t>
    </r>
    <r>
      <rPr>
        <sz val="10"/>
        <color theme="1"/>
        <rFont val="Rockwell"/>
        <family val="1"/>
      </rPr>
      <t xml:space="preserve">, marca </t>
    </r>
    <r>
      <rPr>
        <b/>
        <sz val="10"/>
        <color theme="1"/>
        <rFont val="Rockwell"/>
        <family val="1"/>
      </rPr>
      <t>OLYMPUS</t>
    </r>
    <r>
      <rPr>
        <sz val="10"/>
        <color theme="1"/>
        <rFont val="Rockwell"/>
        <family val="1"/>
      </rPr>
      <t xml:space="preserve">, modelo </t>
    </r>
    <r>
      <rPr>
        <b/>
        <sz val="10"/>
        <color theme="1"/>
        <rFont val="Rockwell"/>
        <family val="1"/>
      </rPr>
      <t>GIF-Q 150 n° de Patrimônio 802742</t>
    </r>
    <r>
      <rPr>
        <sz val="10"/>
        <color theme="1"/>
        <rFont val="Rockwell"/>
        <family val="1"/>
      </rPr>
      <t xml:space="preserve">, </t>
    </r>
    <r>
      <rPr>
        <b/>
        <sz val="10"/>
        <color theme="1"/>
        <rFont val="Rockwell"/>
        <family val="1"/>
      </rPr>
      <t>n° de série 2002585</t>
    </r>
    <r>
      <rPr>
        <sz val="10"/>
        <color theme="1"/>
        <rFont val="Rockwell"/>
        <family val="1"/>
      </rPr>
      <t>.</t>
    </r>
  </si>
  <si>
    <r>
      <t xml:space="preserve">Conserto do aparelho </t>
    </r>
    <r>
      <rPr>
        <b/>
        <sz val="10"/>
        <color theme="1"/>
        <rFont val="Rockwell"/>
        <family val="1"/>
      </rPr>
      <t>VIDEOCOLONOSCOPIO</t>
    </r>
    <r>
      <rPr>
        <sz val="10"/>
        <color theme="1"/>
        <rFont val="Rockwell"/>
        <family val="1"/>
      </rPr>
      <t xml:space="preserve">, </t>
    </r>
    <r>
      <rPr>
        <b/>
        <sz val="10"/>
        <color theme="1"/>
        <rFont val="Rockwell"/>
        <family val="1"/>
      </rPr>
      <t>marca OLYMPUS</t>
    </r>
    <r>
      <rPr>
        <sz val="10"/>
        <color theme="1"/>
        <rFont val="Rockwell"/>
        <family val="1"/>
      </rPr>
      <t xml:space="preserve">, </t>
    </r>
    <r>
      <rPr>
        <b/>
        <sz val="10"/>
        <color theme="1"/>
        <rFont val="Rockwell"/>
        <family val="1"/>
      </rPr>
      <t>modelo CF-VL n° de Patrimônio 154737, n° de série 28104443</t>
    </r>
    <r>
      <rPr>
        <sz val="10"/>
        <color theme="1"/>
        <rFont val="Rockwell"/>
        <family val="1"/>
      </rPr>
      <t>.</t>
    </r>
  </si>
  <si>
    <t>JOSEMAR, RUBIANE / ITALO BELON</t>
  </si>
  <si>
    <t>empresa</t>
  </si>
  <si>
    <t>FENOBARBITAL SOLUCAO INJETAVEL 200 MG AMPOLA (VIA DE ADMINISTRAÇÃO Intra Venosa)</t>
  </si>
  <si>
    <t>ISOSSORBIDA (MONONITRATO) COMPRIMIDO 40MG</t>
  </si>
  <si>
    <t>GENTAMICINA (SULFATO) SOLUÇAO INJETAVEL 10 MG/ML AMPOLA 1 ML</t>
  </si>
  <si>
    <t>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t>
  </si>
  <si>
    <t>CATETER BALAO P/EMBOLECTOMIA ARTERIAL OU VENOSA 5F, TIPO FOGARTY, MATERIAL EM POLIURETANO FLEXÍVEL. COM COMPRIMENTO DE 80 CM, DESCARTÁVEL, ESTÉRIL, PRAZO DE VALIDADE: MÍNIMO DE 75% DA DATA DE FABRICAÇÃO.</t>
  </si>
  <si>
    <t>02.736.951/0001-59</t>
  </si>
  <si>
    <t>6504-8</t>
  </si>
  <si>
    <t>1.062-6</t>
  </si>
  <si>
    <t>3.411-8</t>
  </si>
  <si>
    <t>24.369-8</t>
  </si>
  <si>
    <t>3.129-1</t>
  </si>
  <si>
    <t>75.815-9</t>
  </si>
  <si>
    <t>427.194-7</t>
  </si>
  <si>
    <t>AGULHA PARA COLETA MULTIPLA DE SANGUE A VACUO. Aplicação: para coleta múltipla de sangue a vácuo. Tamanho/Capacidade: 21G, Características adicionais: com dispositivo exclusivo de segurança, que após acionado recobrirá completamente a agulha 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t>
  </si>
  <si>
    <t>CLORETO DE SODIO 0,9 % SOLUÇAO INJETAVEL BOLSA OU FRASCO 100 ML SISTEMA FECHADO DE INFUSAO .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</si>
  <si>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FACOS / ADJAILTON "TOM"</t>
  </si>
  <si>
    <t>MARILENE</t>
  </si>
  <si>
    <t>SINGULAR</t>
  </si>
  <si>
    <t>SINGULAR PRODUTOS E EQUIPAMENTOS HOSPITALARES EIRELI -ME</t>
  </si>
  <si>
    <t>DANILO RIBEIRO</t>
  </si>
  <si>
    <t>17.273.311/0001-27</t>
  </si>
  <si>
    <t>CONTROL THERM</t>
  </si>
  <si>
    <t>Edivan</t>
  </si>
  <si>
    <t>03.890.724/0001-46</t>
  </si>
  <si>
    <t>FIO DE SUTURA. Material: poliamida monofilamentar, Características Adicionais: fio 10-0, cor preta, comprimento 30 cm, com 1 agulha em cada ponta do fio, tipo agulha ponta espatular, corpo espatular, 1/2 círculo, comprimento da agulha 0,55 cm, estéril. Forma De Apresentação: 1 fio por envelope, com identificação do lote, data de fabricação, data de validade impressos em língua portuguesa no envelope e na caixa. Deverá seguir a Norma do INMETRO ABNT 13904/2003.</t>
  </si>
  <si>
    <t>GLICOSE 5 % SOLUÇAO INJETAVEL BOLSA OU FRASCO 250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</si>
  <si>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MÁSCARA DE VENTURI ADULTO ESTÉRIL. Aplicação: Oxigenoterapia.  Material: Másacara: Vinil transparente. Tubo: PVC flexível. Conectores: Misturados. Características Adicionais: A máscara confeccionada em material macio e flexível, com rigidez adequada, resistente, transparente, que permita limpeza por métodos usuais de desifecção e esterilização, com elástico resistente para adequar ao diâmetrodacabeça. Com conexões adequadas que se adaptam à máscara e ao sistema de nebulização, anatômica, e com acabamento perfeitopar evitar lesões, sem rebarbas com extensão transparente para umidificador de oxigênio, com conexão padrão universal. Acompanhada de seis diluidores codificados em seis cores diferentes concentração de oxigênio 24%, 28%,31%,35%, 40%, e 50%. Apresentação: embalagem individual. Unidade de Estoque: unidade (UN). Código SES: 25056. BR368204</t>
  </si>
  <si>
    <t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</si>
  <si>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MAFRA</t>
  </si>
  <si>
    <t>MAFRA (CM HOSPITALAR S.A)</t>
  </si>
  <si>
    <t>MANTA EMBORRACHADA ANTIDERRAPANTE, Tipo moeda ou canelado, Tamanho: 7,00 X 2,50</t>
  </si>
  <si>
    <t>NFL</t>
  </si>
  <si>
    <t>SERINGA PARA BOMBA INJETORA DE CONTRASTE - Seringa Para Bomba Injetora de Contraste Angiomatic Ilumena, utilizada em procedimentos para injeção de solução de contraste em exames de: Tomografia Computadorizada, Angiografia e Ressonância Magnética.Confeccionada em PVC.Com capacidade de 150 ml até 200ml.Esterelizada em óxido de Etileno com validade de 75% da data de fabricação.</t>
  </si>
  <si>
    <t>PHARMÉDICE MANIPULAÇÕES ESPECIALIZADAS LTDA.</t>
  </si>
  <si>
    <t xml:space="preserve">Cânula para traqueostomia, material polivinil flexível, formato ponta arredondada, tamanho 7, características adicionais balão de baixa pressão, tipo estéril e descartável. </t>
  </si>
  <si>
    <t xml:space="preserve">Cânula para traqueostomia, material polivinil flexível, formato ponta arredondada, tamanho 7,5, características adicionais balão de baixa pressão, tipo estéril e descartável. </t>
  </si>
  <si>
    <t>CANULA P/TRAQUEOSTOMIA COM CUFF P.V.C. 8,0MM N. 34. CUFF DE ALTO VOLUME E BAIXA PRESSÃO, CILÍNDRICO EM MATERIAL MALEÁVEL DE ALTA QUALIDADE MOLDÁVEL À TRAQUEIA QUANDO AQUECIDO À TEMPERATURA CORPÓREA (TERMOSSENSÍVEL). OBTURADO ARREDONDADO ESPECIAL PARA MINIMIZAR TRAUMAS DURANTE A INSERÇÃO.</t>
  </si>
  <si>
    <t xml:space="preserve">Cânula para traqueostomia, material polivinil flexível, formato ponta arredondada, tamanho 04, características adicionais balão de baixa pressão, tipo estéril e descartável. </t>
  </si>
  <si>
    <t xml:space="preserve">Cânula para traqueostomia, material polivinil flexível, formato ponta arredondada, tamanho 4,5, características adicionais balão de baixa pressão, tipo estéril e descartável. </t>
  </si>
  <si>
    <t xml:space="preserve">Cânula para traqueostomia, material polivinil flexível, formato ponta arredondada, tamanho 6, características adicionais balão de baixa pressão, tipo estéril e descartável. </t>
  </si>
  <si>
    <r>
      <t xml:space="preserve">KIT CESAREA (ESPECIFICACAO COMPLEMENTAR) Fio Sintético Absorvível.
</t>
    </r>
    <r>
      <rPr>
        <u/>
        <sz val="10"/>
        <rFont val="Rockwell"/>
        <family val="1"/>
      </rPr>
      <t>USP     FIO                 CURVA     PONTA       AGULHA</t>
    </r>
    <r>
      <rPr>
        <sz val="10"/>
        <rFont val="Rockwell"/>
        <family val="1"/>
      </rPr>
      <t xml:space="preserve">
</t>
    </r>
    <r>
      <rPr>
        <u/>
        <sz val="10"/>
        <rFont val="Rockwell"/>
        <family val="1"/>
      </rPr>
      <t>4-0      75 CM             3/8            T                 2,4 CM</t>
    </r>
    <r>
      <rPr>
        <sz val="10"/>
        <rFont val="Rockwell"/>
        <family val="1"/>
      </rPr>
      <t xml:space="preserve">
</t>
    </r>
    <r>
      <rPr>
        <u/>
        <sz val="10"/>
        <rFont val="Rockwell"/>
        <family val="1"/>
      </rPr>
      <t>2-0      90 CM             1/2            R                 3,5 CM
2-0      2 X 90 CM      1/2            R                 2 X 3,5 CM
0         2 X 90 CM      1/2            R                 2 X 4,0 CM</t>
    </r>
  </si>
  <si>
    <t>0971</t>
  </si>
  <si>
    <t>13.000.457-3</t>
  </si>
  <si>
    <t>2189</t>
  </si>
  <si>
    <t>13.000.029-1</t>
  </si>
  <si>
    <t>RV GRÁFICA</t>
  </si>
  <si>
    <t>00.635.623/0001-30</t>
  </si>
  <si>
    <t>12.420.164/0009-04</t>
  </si>
  <si>
    <t>27.241.535/0001-00</t>
  </si>
  <si>
    <t>0522</t>
  </si>
  <si>
    <t>20.716-6</t>
  </si>
  <si>
    <t>AGULHA DE BIÓPSIA, APLICAÇÃO ÓSSEA, MATERIAL AÇO INOXIDÁVEL, DIMENSÃO 8G X 10CM, TIPO PONTA PONTA PIRAMIDAL, COMPONENTE EMPUNHADURA ANATÔMICA POLICARBONATO, COMPONENTE II COM MANDRIL, CARACTERÍSTICA ADICIONAL PENETRAÇÃO ROSQUEÁVEL, CONECTOR CONECTOR LUER LOCK, TIPO USO DESCARTÁVEL, ESTERILIDADE ESTÉRIL</t>
  </si>
  <si>
    <t>CABO DE OXÍMETRO ADULTO, para aferição de saturação arterial de oxigênio, compatível com monitor Philips IntelliVue MP20, Ref. M1191B.</t>
  </si>
  <si>
    <t>MANGUITO PARA PRESSÃO NÃO INVASIVA, de monitores fisiológicos multiparamétricos; Características Adicionais: com uma via de 25-35 cm, adulto, para monitor modelo BeneView-T8, marca MINDRAY.</t>
  </si>
  <si>
    <t>MANGUITO DE PRESSÃO NÃO-INVASIVA - compatível com modelo PHILIPS INTELLIVUE MP20- Aplicação/Finalidade: Aferição de pressão não-invasiva para uso exclusivo nos monitores PHILIPS INTELLIVUE MP20. Material: Bolsa em borracha revestida de nylon. Tamanho/Capacidade: Adulto: 13x27cm, com circuferência máxima de 35 cm. Características Adicionais: lavável, reutilizável, confeccionado de material livre de latéx.</t>
  </si>
  <si>
    <t>CABOS DE PRESSÃO ARTERIAL NÃO INVASIVA, tamanho adulto,compatíveis com o Desfibrilador PHILIPS HEARTSTART MRX</t>
  </si>
  <si>
    <t>CABO DE ECG 04 VIAS MEMBRO (12 DERIVAÇÕES), Aplicação: para monitoração da frequência e ritmo cardíaco dos pacientes, Características Adicionais: para uso em monitor-cardioversor LIFEPAK 12, marca Medtronic.</t>
  </si>
  <si>
    <t>ETIQUETA AUTOADESIVA, Cor: Vermelho, Tamanho: 4cm x 5cm com os dizeres: ATENÇÃO! MEDICAMENTO DE ALTA VIGILÂNCIA.</t>
  </si>
  <si>
    <t>2513-5</t>
  </si>
  <si>
    <t>DISPLAY DE PAREDE para exposição de uma folha tamanho A4 na posição horizontal. Transparência total; Aplicação/finalidade: Para a correta identificação do paciente, reduzindo a ocorrência de incidentes. Para cumprimento da meta 1 (identificação correta do paciente) prevista no Plano Nacional de Segurança do Paciente do MS; Material/composição: Acrílico de 2mm de espessura; Tamanho/capacidade: 21 x 30cm; Características: Identificador em Acrílico, para Leito, para colocação de informações sobre o paciente, com fita dupla-face para fixação; Processo de esterilização: Álcool 70%; Forma de apresentação: Embalagem individual; Unidade de estoque: Unidade.</t>
  </si>
  <si>
    <t>MEROPENEM PO INJETÁVEL 1 G + SOLUÇÃO DILUENTE 100 ML, SISTEMA FECHADO DE INFUSAO</t>
  </si>
  <si>
    <t>Luva nitrílica descartável, não estéril, sem talco, punho curto, cor azul, tamanho grande. Aplicação: trabalhos que exijam tato e proteção contra reagentes químicos.
Aplicação (finalidade) Controle de Qualidade de Medicamentos, Cosméticos e Saneantes.
Tamanho/capacidade Grande
Características adicionais Proteção contra reagentes químicos
Forma de apresentação Unidade
Prazo de validade 75 % da validade total do produto
Unidade de fornecimento Unidade</t>
  </si>
  <si>
    <t>Luva nitrílica descartável, não estéril, sem talco, punho curto, cor azul, tamanho médio. Aplicação: trabalhos que exijam tato e proteção contra reagentes químicos.
Aplicação (finalidade) Controle de Qualidade de Medicamentos, Cosméticos e Saneantes.
Tamanho/capacidade Médio
Características adicionais Proteção contra reagentes químicos
Forma de apresentação Unidade
Prazo de validade 75 % da validade total do produto
Unidade de fornecimento Unidade</t>
  </si>
  <si>
    <t>NILTON DOS SANTOS</t>
  </si>
  <si>
    <t>TAÍS PORTUGAL</t>
  </si>
  <si>
    <t>FIO DE SUTURA DE POLIAMIDA MONOFILAMENTAR 4-0, 45CM, COM 01 AGULHA DE 1,9 A 2,0CM 3/8 CIRCULO CORTANTE. Aplicação: sutura de pele - cuticular ou plástica, Material: poliamida monofilamentar, Características Adicionais: fio 4-0, cor preta, comprimento 45 cm, com 1 agulha, tipo agulha ponta cortante, 3/8 círculo, comprimento da agulha entre 1,9 e 2,0 cm, estéril. Forma de Apresentação: 1 fio por envelope, com identificação do lote, data de fabricação, data de validade impressos em língua portuguesa no envelope e na caixa. Deverá seguir a Norma do INMETRO ABNT 13904/2003.</t>
  </si>
  <si>
    <t>EQUIPO MÚLTIPLO PARA DPI (DIALISE PERITONEAL INTERMITENTE), ESTÉRIL. Aplicação: para infusão e drenagem do banho de diálise peritonial intermitente. Material: PVC atóxico. Características adicionais: descartável, cinco vias. Embalagem individual em papel grau cirúrgico, que permita a abertura em técnica asséptica, capaz de assegurar a esterilidade do produto durante o transporte, armazenamento, até o momento do uso. Apresentação: embalagem individual acondicionada em caixa.</t>
  </si>
  <si>
    <t>PULSEIRA IDENTIFICAÇÃO PACIENTE, Aplicação: parturiente e seu recém-nascido, Material: plástico lavável,   atóxico, com lacre plástico inviolável, Tamanho/Capacidade: lacre com vários diâmetros de braço, Características Adicionais: geminadas, com números idênticos em ambas as pulseiras, seriadas com espaço para autenticação que permita o uso de caneta esferográfica que não saia a tinta ao ser molhada, Unidade De Fornecimento: unidade.</t>
  </si>
  <si>
    <t xml:space="preserve">MISSNER </t>
  </si>
  <si>
    <t>MISSNER &amp; MISSNER LTDA.</t>
  </si>
  <si>
    <t>JÚLIO CÉSAR XAVIER</t>
  </si>
  <si>
    <t>03.225.411/0001-73</t>
  </si>
  <si>
    <t>BHIO SUPPLY</t>
  </si>
  <si>
    <t>73.297.509/0001-11</t>
  </si>
  <si>
    <t>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t>
  </si>
  <si>
    <t>SONDA DE FOLEY 2 VIAS LÁTEX  Nº 24.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092449.</t>
  </si>
  <si>
    <t>TIOPENTAL (SAL SODICO) PO PARA SOLUÇAO INJETAVEL 500 MG FRASCO AMPOLA</t>
  </si>
  <si>
    <t xml:space="preserve">LUVA DE LÁTEX: Aplicação: Limpeza em geral: Lavanderia, SVS ou a critério do NSHMT. Material: látex, com forro flocado em algodão, palma antiderrapante, punho médio, com virola, comprimento de 29 cm, cor amarela. Tamanho: G. </t>
  </si>
  <si>
    <t>BOTA DE PVC, solado antiderrapante (com alto teor de borracha nitrilica), com forro, cano médio: nº 37</t>
  </si>
  <si>
    <t>BOTA DE PVC, solado antiderrapante (com alto teor de borracha nitrilica), com forro, cano médio: nº 38</t>
  </si>
  <si>
    <t>BOTA DE PVC, solado antiderrapante (com alto teor de borracha nitrilica), com forro, cano médio: nº 39</t>
  </si>
  <si>
    <t>BOTA DE PVC, solado antiderrapante (com alto teor de borracha nitrilica), com forro, cano médio: nº 40</t>
  </si>
  <si>
    <t>BOTA DE PVC, solado antiderrapante (com alto teor de borracha nitrilica), com forro, cano médio: nº 41</t>
  </si>
  <si>
    <t>BOTA DE PVC, solado antiderrapante (com alto teor de borracha nitrilica), com forro, cano médio: nº 42</t>
  </si>
  <si>
    <t>BOTA DE SEGURANÇA, Material Bota: PVC em uma única peça, Modelo: capataz, Tipo Cano : médio, Material Cano : PVC, Material Forro: meia de poliéster ou nylon, Altura Cano: 35 cm, Tratamento Superficial: solado antiderrapante, Tamanho: 44</t>
  </si>
  <si>
    <t>SAPATO DE SEGURANÇA, Material: couro curtido ao cromo hidrofugado 12 horas, forro em raspa natural, Material Palmilha: couro, Material Solado: antiderrapante em poliuretano (PU) injetado diretamente no cabedal com borda acolchoada. Sendo 05 pares tamanho 39; 10 pares tamanho 40; 10 pares tamanho 41; 10 pares tamanho 42 e 10 pares tamanho 43</t>
  </si>
  <si>
    <t>CAIXA PLÁSTICA (BINS), Material: prolipropileno, Dimensões: 12 x 15 x 25 cm</t>
  </si>
  <si>
    <t>CAIXA PLÁSTICA (BINS), Material: prolipropileno, Dimensões: 17,5 x 22 x 34 cm</t>
  </si>
  <si>
    <t>CAIXA PLÁSTICA (BINS), Material: polipropileno, Dimensões: 17 x 41 x 34 cm</t>
  </si>
  <si>
    <t>INJEX</t>
  </si>
  <si>
    <t>INJEX INDÚSTRIAS CIRÚRGICAS LTDA.</t>
  </si>
  <si>
    <t>PAULO ROBERTO DE CARVALHO</t>
  </si>
  <si>
    <t>59.225.268/0001-74</t>
  </si>
  <si>
    <t>0045</t>
  </si>
  <si>
    <t>09.009-9</t>
  </si>
  <si>
    <t>RV GRÁFICA (RV COMERCIO E SERVICOS LTDA EPP)</t>
  </si>
  <si>
    <t>02.071.707/0001-14</t>
  </si>
  <si>
    <t>4.364-8</t>
  </si>
  <si>
    <t>27.139-0</t>
  </si>
  <si>
    <t>021.328-4</t>
  </si>
  <si>
    <t>Conserto de uma centrifuga da marca FANEM, n°de Patrimônio 1152310</t>
  </si>
  <si>
    <t>Conserto de uma centrifuga da marca FANEM, n°de Patrimônio 1152311</t>
  </si>
  <si>
    <t>Conserto de uma centrifuga da marca FANEM, n°de Patrimônio 1152314</t>
  </si>
  <si>
    <t>Cancel</t>
  </si>
  <si>
    <t>CATETER PARA TERAPIA RENAL LONGA PERMANENCIA 15 FR 45 CM. Cateter para terapia renal, uso hemodiálise, durabilidade longa permanência, tipo implante tunelizado, modelo duplo lúmen, material poliuretano radiopaco, diâmetro cerca de 15 FR, comprimento cerca de 45 cm, tipo fixação anel poliéster. Componente 1 KIT com fio guia, dilatador, introdutor bipartido, com estilete tunelizador. Estéril, uso único.</t>
  </si>
  <si>
    <t>CIMENTO DE IONÔMERO DE VIDRO, RESTAURAÇÃO, AUTOPOLIMERIZÁVEL, EROSÃO MÁXIMA 0,17 MM, MÁXIMO 5 MIN, CONJUNTO COMPLETO. Unidade de Fornecimento: Caixa contendo um pote com 10g de pó e um frasco com 8ml de líquido. Unidade de Estoque: Caixa.</t>
  </si>
  <si>
    <t>CIMENTO DE IONÔMERO DE VIDRO, TIPO RESTAURAÇÃO, ATIVAÇÃO FOTOPOLIMERIZÁVEL, ASPECTO FÍSICO PÓ + LÍQUIDO, APRESENTAÇÃO CONJUNTO COMPLETO, CARACTERÍSTICA ADICIONAL EROSÃO MÁXIMA 0,17 MM, TEMPO DE PRESA MÁXIMO 5, COMPONENTE ADICIONAL PRIMER + GLAZER. Aplicação: Dentística restauradora. Característica: kit com pó, líquido, primer e glazer, cor A2. Unidade de fornecimento: Kit contendo frasco com pó, frasco com líquido, frasco para primer e frasco com glazer. Unidade de estoque: Unidade.</t>
  </si>
  <si>
    <t>A02</t>
  </si>
  <si>
    <t>ITATIAIA</t>
  </si>
  <si>
    <t>DISTRIMIX</t>
  </si>
  <si>
    <t>DISTRIMIX DISTRIBUIDORA DE MEDICAMENTOS LTDA</t>
  </si>
  <si>
    <t>CYNDI HELEINNE</t>
  </si>
  <si>
    <t>S</t>
  </si>
  <si>
    <t>T</t>
  </si>
  <si>
    <t>Adjudicado</t>
  </si>
  <si>
    <t>41483</t>
  </si>
  <si>
    <t>CABOS DE ELETROCARDIOGRAMA COM 5 DERIVAÇÕES, tamanho adulto, compatíveis com o Desfibrilador PHILIPS HEARTSTART MRX.</t>
  </si>
  <si>
    <t>CABO DE PACIENTE P/ELETROCARDIOGRAFO ECG 4 PACIENTE</t>
  </si>
  <si>
    <t>CABO DE PACIENTE COM 05 VIAS, Aplicação: para monitoração da frequência e ritmo cardíaco dos pacientes, Características Adicionais: para uso em cardioversor , marca dixtal.</t>
  </si>
  <si>
    <t>Cabo para sensor de Oxímetro neonatal “Y”, reutilizável, não descartável, compatível com Monitor DIXTAL DX2020 e DX2515; Aplicação/finalidade: Leitura de sinais vitais; Material/composição: Cabo flexível Confeccionado em silicone hospitalar; Tamanho/capacidade: 2metros e 75 centímetros; Processo de esterilização: Álcool 70%; Unidade de estoque: Unidade;</t>
  </si>
  <si>
    <t>MANGUEIRA DUPLA DX 2010/2021, Composição: confeccionada em plástico rígido, Características Adicionais: para equipamento médico, mangueira dupla, compatível com DIXTAL.</t>
  </si>
  <si>
    <t>ITATIAIA COMERCIAL DE MATERIAL PARA CONSTRUÇÃO LTDA</t>
  </si>
  <si>
    <t>ALBERTO CARLOS</t>
  </si>
  <si>
    <t>06.862.927/0001-17</t>
  </si>
  <si>
    <t>8469</t>
  </si>
  <si>
    <t>01.587-2</t>
  </si>
  <si>
    <t>AGULHA PARA BIOPSIA DE MAMA. Material: aço inox e plástico, Tamanho/Capacidade: calibre 14G com 10 CM de comprimento, Característica adicional: descartável, estéril, adaptável a pistola MAGNUM, Forma de apresentação: embalagem individual.</t>
  </si>
  <si>
    <t xml:space="preserve">FIO DE KIRSCHINER, AÇO INOXIDÁVEL, 300MM, 2,0MM, ESTÉRIL, COM ESTERELIDADE MÍNIMA DE 75% DO PRAZO DE VALIDADE DO FABRICANTE. </t>
  </si>
  <si>
    <t>15.340.450/0001-09</t>
  </si>
  <si>
    <t>3478-9</t>
  </si>
  <si>
    <t>110.508-6</t>
  </si>
  <si>
    <t xml:space="preserve">ARTMED </t>
  </si>
  <si>
    <t xml:space="preserve">ARS </t>
  </si>
  <si>
    <t xml:space="preserve">ALPHA </t>
  </si>
  <si>
    <t xml:space="preserve">ADESIFLEX </t>
  </si>
  <si>
    <t>Data da proposta</t>
  </si>
  <si>
    <t>FITA CIRURGICA HIPOALERGENICA MICROPOROSA 10CM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092361. BR0290824</t>
  </si>
  <si>
    <t>PERFIL</t>
  </si>
  <si>
    <t>PERFIL HOSPITALAR LTDA</t>
  </si>
  <si>
    <t>ELÉTRICA PISTÃO (JAIRO LOPES FERREIRA - EPP)</t>
  </si>
  <si>
    <t>FANCIVALDO</t>
  </si>
  <si>
    <t>02.907.464/0001-01</t>
  </si>
  <si>
    <t>ELÉTRICA PISTÃO</t>
  </si>
  <si>
    <t>DANTROLENO (SODICO) PO LIOFILO INJETAVEL 20 MG FRASCO-AMPOLA</t>
  </si>
  <si>
    <t>Conserto da Serra elétrica para Gesso, marca Nevoni, chapa patrimonial nº 1051494</t>
  </si>
  <si>
    <t>Conserto da Serra elétrica para Gesso, marca Nevoni, chapa patrimonial nº 1051495</t>
  </si>
  <si>
    <t>Conserto da Serra elétrica para Gesso, marca Nevoni, chapa patrimonial nº 1051524</t>
  </si>
  <si>
    <t xml:space="preserve">Conserto da Serra elétrica para Gesso, marca Nevoni, nº de Patrimônio 1051547 </t>
  </si>
  <si>
    <t xml:space="preserve">COLOCAR Nº PATRIMÔNIO. Conserto da Serra elétrica para Gesso, marca Nevoni, nº de Série 27919 </t>
  </si>
  <si>
    <t>CIENTÍFICA (700617)</t>
  </si>
  <si>
    <t>Os pagamentos da Região Sul são efetuados por TED, entre dias 20 e 30 de cada mês.</t>
  </si>
  <si>
    <t>NÃO PADRONIZADO - PARAFINA HISTOLÓGICA, SÓLIDA, BRANCA, INODOR, PONTO DE FUSÃO DE 60 A 62,8ºC, EM PASTILHAS, PCT 500G</t>
  </si>
  <si>
    <t>Conserto em Aparelho de Raio X, Marca PHILIPS, Modelo COMPACTO PLUS, n° de Série 160001.010, Patrimônio n° 691834.</t>
  </si>
  <si>
    <t>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t>
  </si>
  <si>
    <t>7929</t>
  </si>
  <si>
    <t>16.263-9</t>
  </si>
  <si>
    <t xml:space="preserve">PROTETOR AURICULAR TIPO CONCHA: Aplicação: Locais com exposição ao ruído. Material: Plástico e Espuma. Características: o protetor ou abafador auricular tipo concha deve ser constituído de duas (2) conchas em plástico, resistente a choque mecânico, revestido com almofadas de espuma em suas laterais e no interior das conchas. Possuindo um arco deslizante com ajuste que serve para manter as conchas firmemente seladas contra a região das orelhas do usuário com atenuação de 20 a 25dB Deverá ter certificado de aprovação (CA) do MTE. Processo de esterilização: não estéril; Forma de apresentação: unidade; Prazo de validade: indeterminado; Unidade de estoque: unidade; </t>
  </si>
  <si>
    <t xml:space="preserve">PROTETOR AURICULAR TIPO PLUG: Aplicação: Locais com exposição ao ruído. Material: Polietileno ou PVC. Características: Silicone Antialérgico, com três flanges e cordão em Polietileno ou PVC, confortável, de fácil ajuste, elasticamente moldável no canal auditivo; com atenuação de ruído mínima de 14dB. Deverá ter certificado de aprovação (CA) do MTE. Processo de esterilização: não estéril; Forma de apresentação: unidade; Prazo de validade: indeterminado; Unidade de estoque: unidade; </t>
  </si>
  <si>
    <t>MÁSCARA RESPIRADOR CONTRA POEIRA: Aplicação: trabalho de pintura, marcenaria, lixamento de parede, manutenção ou a critério do NSHMT. Material: descartável, resistência menor de (Pa) 45. Peso 7,5g. Tempo de uso: 3h. Máscara Respirador e purificador de ar para proteção das vias respiratórias contra poeiras e névoas; acima de 80%. Tamanhos: P. Deverá ter o certificado de aprovação (CA) do MTE.</t>
  </si>
  <si>
    <t>MÁSCARA, Características adicionais: visor amplo com cartucho, com carvão ativado, respirador e válvulas de exalação, conforme precauções e padrões estabelecidos (CDC), máscara tipo N95 ou PFF - 2.</t>
  </si>
  <si>
    <t>MASCARA FACIAL, Características adicionais: Confeccionada em silicone ou elastômetro  e com filtro para trabalho com substâncias tóxicas voláteis, Tamanho: Médio.</t>
  </si>
  <si>
    <t>FILTRO PARA MÁSCARA PANORÂMICA FACIAL; Aplicação/finalidade: Aplicação: reposição de filtros com carvão ativado para  máscara tipo N95 ou PFF ? 2; Material/composição: Com carvão ativado; Tamanho/capacidade: único; Características: Para respiradores com certificado de aprovação (CA) do MTE; Forma de apresentação: Refil de filtro; Prazo de validade: 24 meses.</t>
  </si>
  <si>
    <t>LUVA DE RASPA,Material: raspa de couro, Tamanho Cano: curto, Tamanho: único, Características Adicionais: com reforço na palma, polegar e indicador
Código do Item: 3.3.90.30.28.01.0035.000001-01</t>
  </si>
  <si>
    <t>LUVA DE RASPA,Material: raspa de couro, Tamanho Cano: médio, Tamanho: único,  Características Adicionais: com reforço na palma da mão.</t>
  </si>
  <si>
    <t>LUVA DE VAQUETA, vaqueta corte estilo montpelier ( não- reversível), com forqueta e tira de reforço entre o polegar e o indicador em vaqueta, elástico na  face dorsal do punho e debrum na borda.Comprimento total 27 cm.Vaqueta de couro bovino macia e flexível, de primeira qualidade, curtida ao cromo, cor natural. Tamanho: M</t>
  </si>
  <si>
    <t>AVENTAL DE NAPA IMPERMEÁVEL, características adicionais: leve, forrado , lavável, tamanho: grande.</t>
  </si>
  <si>
    <t>TENECTEPLASE PO LIOFILIZADO 40 MG FRASCO AMPOLA + SERINGA PREENCHIDA COM 8 ML DILUENTE + ADAPTADOR + AGULHA</t>
  </si>
  <si>
    <t>CONJUNTO PARA DETERMINAÇAO DE VDRL, PRONTO PARA USO, Aplicação: Imunologia, utilização em amostras de SANGUE TOTAL, SORO E LÍQUOR.</t>
  </si>
  <si>
    <t>Oberdan</t>
  </si>
  <si>
    <t>Robson</t>
  </si>
  <si>
    <t xml:space="preserve"> - Oberdan</t>
  </si>
  <si>
    <t xml:space="preserve"> - Robson</t>
  </si>
  <si>
    <t>ACICLOVIR POMADA OFTALMICA 0,03 G/G BISNAGA 4,5 G</t>
  </si>
  <si>
    <t xml:space="preserve">KIT CIRURGICO - UNIVERSAL (COM AVENTAIS) 
Pacote cirúrgico, estéril, de uso único, em sms, anti-estático, biocompativel, repelente a água e ao álcool, com baixo índice de desprendimento de partículas, isento de látex, composto por 1 campo superior adesivado com reforço absorvente e passante em SMS para fios e cabos, medindo 274cm x 127cm, 1 campo inferior adesivado com reforço absorvente e passante em SMS para fios e cabos com medida de 193cm x 193cm, 2 campos laterais adesivados e reforçados de 112cm x 193m, 1 saco de papel descartável e adesivado para embalagem de fios de sutura, 1 cobertura de mesa mayo em polietileno impermeável tipo fronha de 58cm x 137cm com bainha para proteção das mãos e reforço em SMS e 1 mesa auxiliar em polietileno impermeável medindo 152cm x 229cm com reforço em SMS, 4 campos adesivados com 63cm x 38cm. 2 aventais, com manga reta,em SMS tamanho grande repelentes a água e álcool, com mangas seladas ultrassonicamente, fecho da gola em vélcro, e cartão para fechamento, acompanha toalha absorvente de alta resistência que não desprende partículas medindo 38cm x 56cm.. Dupla embalagem (interna em folha de sms e externa em envelope de papel grau cirúrgico e filme em polietileno). Esterilizado em óxido de etileno. Validade mínima da esterilização - 5 anos. Registro no ministério da saúde. </t>
  </si>
  <si>
    <t>AVENTAL DESCARTÁVEL MANGA LONGA. Material: confeccionado em filme de polietileno matéria prima não reciclada, espessura mínima de 0,06 micras, 100% impermeável Tam M comprimento/altura comprimento mínimo de 1,50 cm ,Característica, com elástico nos punhos, sem costuras fechamento total em solda eletrônica, , com logo marca da SES, do lado esquerdo do peito, medindo 7cm x 7cm. Apresentar Registro na ANVISA. Unidade De Estoque: Un, Unidade de Fornecimento: Un.</t>
  </si>
  <si>
    <t>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t>
  </si>
  <si>
    <t>143.897-1</t>
  </si>
  <si>
    <t>ATIVA MÉDICO CIRÚRGICA EIRELI</t>
  </si>
  <si>
    <t>TATIANA GUIDINE</t>
  </si>
  <si>
    <t>09.182.725/0001-12</t>
  </si>
  <si>
    <t>0126</t>
  </si>
  <si>
    <t>2159-8</t>
  </si>
  <si>
    <t>ATIVA</t>
  </si>
  <si>
    <t>CMC PRODUTOS HOSPITALARES LTDA</t>
  </si>
  <si>
    <t>13.470.384/0001-58</t>
  </si>
  <si>
    <t>4.198-X</t>
  </si>
  <si>
    <t>11.186-4</t>
  </si>
  <si>
    <t>CMC</t>
  </si>
  <si>
    <t>POTE PLASTICO DESCARTAVEL COM TAMPA ROSQUEAVEL, Aplicação: coleta de material, Tamanho/Capacidade: 80 a 100 ml,  Prazo de validade: não se aplica, Unidade De Fornecimento: pote com 80 a 100 ml</t>
  </si>
  <si>
    <t>TR</t>
  </si>
  <si>
    <t>1000 MARCAS</t>
  </si>
  <si>
    <t>CATETER CENTRAL DE INSERÇÃO PERIFÉRICA (PICC), MONO LÚMEN 1FR X 20-30 CM, NEONATAL, ESTÉRIL.Finalidade: administração de medicamentos em dispositivo vascular de inserção periférica com localização central em pacientes neonatos. Aplicação: terapia endovenosa de longa permanência em recém-nascidos. MATERIAL: silicone ou poliuretano, biocompatível. TAMANHO: 1,0 FR x 20 - 30 cm, (neonatal), CARACTERÍSTICAS ADICIONAIS: tipo percutânio, extramacio totalmente demarcado de 1 em 1 cm, (centimetrado), radiopaco, acompanhado de introdutor bipartível e bisel trifacetado, transparente que permita a visualização do fluxo sanguíneo, com tampa filtro e fita métrica descartável para medição exata do cateter. Com estrutura confeccionada em única peça, evitando a migração de partes do cateter. Que assegure tempo de permanência de 06 meses a 01 ano de uso, resistente a dobras,baixa aderência bacteriana até o fim do tratamento. Embalagem individual rígida que permita a abertura em técnica asséptica, capaz de assegurar a esterilidade do produto durante o transporte, armazenamento até o momento do uso. tipo USO ÚNICO. ESTÉRIL; Já vem estéril de fabrica 75% do prazo de validade do produto. APRESENTAÇÃO:  embalagem individual (unidade) acondicionada em caixa (kit)</t>
  </si>
  <si>
    <t>LEVOFLOXACINO COMPRIMIDO 250 MG</t>
  </si>
  <si>
    <t>DESLANOSIDEO SOLUCAO INJETAVEL 0,2 MG/ML AMPOLA 2 ML</t>
  </si>
  <si>
    <t>3483-5</t>
  </si>
  <si>
    <t>AGIMED</t>
  </si>
  <si>
    <t>AGIMED COMÉRCIO DE EQUIPAMENTOS LTDA.</t>
  </si>
  <si>
    <t>ANDRÉIA ESTELITA PERNÉ</t>
  </si>
  <si>
    <t>03.852.519/0001-96</t>
  </si>
  <si>
    <t>1000 MARCAS SAFETY BRASIL EIRELI</t>
  </si>
  <si>
    <t>RONALDO AMORAS</t>
  </si>
  <si>
    <t>23.622.391/0001-81</t>
  </si>
  <si>
    <t>3519-X</t>
  </si>
  <si>
    <t>001</t>
  </si>
  <si>
    <t>ITAÚ</t>
  </si>
  <si>
    <t>HSBC</t>
  </si>
  <si>
    <t>1299</t>
  </si>
  <si>
    <t>06.831-29</t>
  </si>
  <si>
    <t>399</t>
  </si>
  <si>
    <t>Banco</t>
  </si>
  <si>
    <t>CHEQUE</t>
  </si>
  <si>
    <t>ITAU</t>
  </si>
  <si>
    <t>033</t>
  </si>
  <si>
    <t>756</t>
  </si>
  <si>
    <t>2424-4</t>
  </si>
  <si>
    <t>28.263-4</t>
  </si>
  <si>
    <t>CÉSAR AMBROSI / MARILENE SILVA</t>
  </si>
  <si>
    <t>00.331.788/0057-73</t>
  </si>
  <si>
    <t>0654</t>
  </si>
  <si>
    <t>02.866-1</t>
  </si>
  <si>
    <t>METRONIDAZOL SOLUÇAO INJETAVEL 5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</si>
  <si>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BOLSA COLETORA PARA ARMAZENAGEM E DESCARTE DE GRANDES VOLUMES DE SECREÇÃO SEM SISTEMA ANTI-TRANSBORDANTE 2000 ML</t>
  </si>
  <si>
    <t>BIOSYS LTDA</t>
  </si>
  <si>
    <t>JUCELIO ARAUJO</t>
  </si>
  <si>
    <t>BIOSYS</t>
  </si>
  <si>
    <t xml:space="preserve">MAWED COMERCIAL LTDA - ME </t>
  </si>
  <si>
    <t>LIVIA</t>
  </si>
  <si>
    <t>12.252.118/0001-96</t>
  </si>
  <si>
    <t>MAWED</t>
  </si>
  <si>
    <t>Conserto de Aparelho Ar condicionado marca MIDEA, nº de Patrimônio 776520</t>
  </si>
  <si>
    <t>Conserto de Aparelho Ar condicionado marca SANSUNG, N° de   patrimônio 776513</t>
  </si>
  <si>
    <t>Conserto de Aparelho Ar condicionado marca MIDEA, N°   patrimônio 776521</t>
  </si>
  <si>
    <t>Conserto de Aparelho Ar condicionado marca SAMSUNG, N° de patrimônio 776510</t>
  </si>
  <si>
    <t>Conserto de Aparelho Ar condicionado marca MIDEA, N°   patrimônio 776512</t>
  </si>
  <si>
    <t>Conserto de Aparelho Ar condicionado marca MIDEA, N°   patrimônio 776509</t>
  </si>
  <si>
    <t>Conserto da FOTOTERAPIA, Chapa patrimonial n°438888</t>
  </si>
  <si>
    <t>Conserto de Monitor fetal, marca GE, modelo COROMETRICS 172, patrimônio Nº 1246884</t>
  </si>
  <si>
    <t>Conserto de Monitor fetal, marca GE, modelo COROMETRICS 170, patrimônio Nº 1246883</t>
  </si>
  <si>
    <t>Conserto de Monitor fetal, marca GE, modelo COROMETRICS 172, patrimônio Nº 1246882</t>
  </si>
  <si>
    <t>CAMPO FENESTRADO 70X70 cm, Aplicação: procedimento cirúrgico, Material: Tecido liso, cor azul e 100% algodão, Linha 100% algodão, Tamanho: 70x70cm Características: Peça simples com a parte fenestrada centralizada, reforço duplo em volta da fenestra de 10 cm de largura, fenestra de 10x5 cm, costura reta e overlock com linha 100% algodão, Tecido com armação sarja 2x1cm², gramatura mínima 190g/m² com variação de ± 5%. Variação de medida do produto acabado ± 5%. Apresentar no campo a logomarca da SES-DF medindo 15x15cm localizada 10 cm acima da fenestra. Forma de Apresentação: Embalagem primária em saco plástico com no máximo 10 unidades e secundaria em caixa de papelão com no máximo 100 unidades, Unidade de Estoque: Unidade, Unidade de fornecimento: Unidade, Código SES: 13927.</t>
  </si>
  <si>
    <t>FRONHA MAYO, Aplicação: procedimento cirúrgico, Material: Tecido liso, cor azul e 100% algodão, Linha 100% algodão, Tamanho: 70x80cm, Características: Peça simples, retangular em forma de saco com costuras laterais medindo 60x1,05cm, Tecido c</t>
  </si>
  <si>
    <t>TROPICAMIDA SOLUCAO OFTALMICA 10 MG/ML FRASCO 5 ML</t>
  </si>
  <si>
    <t>Conserto de aparelho de ar condicionado, MIDEA, Patrimônio 776514 GDF;</t>
  </si>
  <si>
    <t>Conserto de aparelho de ar condicionado, MIDEA, Air Split, Patrimônio 776519 GDF.</t>
  </si>
  <si>
    <t>Conserto de aparelho de ar condicionado, ELETROLUX Air Split, silencioso do centro cirúrgico - Sala A, Patrimônio 776511 GDF;</t>
  </si>
  <si>
    <t>Conserto de aparelho de ar condicionado, ELETROLUX, Air Split, silencioso do centro cirúrgico - Sala E, Patrimônio 776515 GDF;</t>
  </si>
  <si>
    <t>METOTREXATO COMPRIMIDO 2,5MG</t>
  </si>
  <si>
    <t>FIO DE KIRSCHNER 1,5 X 300MM. Material aço inoxidável, comprimento 300mm, diâmetro 1,5mm. Autoclavável</t>
  </si>
  <si>
    <t>FIO DE KIRSCHNER 2,0 X 300MM. Material aço inoxidável, comprimento 300mm, diâmetro 2,0mm. Autoclavável</t>
  </si>
  <si>
    <t>CENTRAL MÉDICA LTDA</t>
  </si>
  <si>
    <t>GLAUBER HUDSON</t>
  </si>
  <si>
    <t>05.747.352/0001-29</t>
  </si>
  <si>
    <t>CENTRAL MEDICA</t>
  </si>
  <si>
    <t>MACRONEBULIZADOR,  COMPOSTO DE : nebulizador com tampa e corpo ABS e frasco de polipropileno graduado de 0 a 500 ml. Haste com rosca 9/16 x 18 fios, para saída de fluxômetro e adaptávela circuitos de respiradores. Traquéia em PVC, lisa internamente com 22mm de diâmetro. Máscara facial transparente com presilha para fixação na cabeça..</t>
  </si>
  <si>
    <t>RBR COMERCIO DE PRODUTOS HOSPITALARES EIRELLI EPP</t>
  </si>
  <si>
    <t>RBR</t>
  </si>
  <si>
    <t>17.908.982/0002-06</t>
  </si>
  <si>
    <t>ANE01</t>
  </si>
  <si>
    <t>ACO01</t>
  </si>
  <si>
    <t>ACO02</t>
  </si>
  <si>
    <t>ACO03</t>
  </si>
  <si>
    <t>ACO04</t>
  </si>
  <si>
    <t>ACO05</t>
  </si>
  <si>
    <t>ACO06</t>
  </si>
  <si>
    <t>ACO07</t>
  </si>
  <si>
    <t>ACO08</t>
  </si>
  <si>
    <t>ACO09</t>
  </si>
  <si>
    <t>ACO10</t>
  </si>
  <si>
    <t>ACO11</t>
  </si>
  <si>
    <t>ACO12</t>
  </si>
  <si>
    <t>ACO13</t>
  </si>
  <si>
    <t>ACO14</t>
  </si>
  <si>
    <t>ACO15</t>
  </si>
  <si>
    <t>ACO16</t>
  </si>
  <si>
    <t>Conserto de aparelho de ar condicionado marca ELETROLUX, modelo ciclofrio 18000, chapa patrimonial Nº 412567</t>
  </si>
  <si>
    <t>Conserto de aparelho de ar condicionado marca ELGIN PULL 30000, modelo/tensão (V), chapa patrimonial Nº 824223.</t>
  </si>
  <si>
    <t>Conserto de aparelho de ar condicionado SPRINGER, Air Split, silencioso do centro cirúrgico que fica na sala B. Patrimônio: 1900171541 FHDF</t>
  </si>
  <si>
    <t>Conserto de aparelho de ar condicionado marca LG modelo TSNC182KBA1, Nº de patrimônio 900445</t>
  </si>
  <si>
    <t>Conserto de aparelho de ar condicionado marca LG modelo TSNC182KBA1, Nº de patrimônio 900446</t>
  </si>
  <si>
    <r>
      <t xml:space="preserve">**FALTA Nº PATRIMÔNIO CORRETO, foi citado como sendo do Videogastro da marca OLYMPUS, projeto 014/2017**.
 Conserto do aparelho VIDEOGASTROSCOPIO, marca FUJINON, </t>
    </r>
    <r>
      <rPr>
        <b/>
        <sz val="10"/>
        <rFont val="Rockwell"/>
        <family val="1"/>
      </rPr>
      <t>SEM</t>
    </r>
    <r>
      <rPr>
        <sz val="10"/>
        <rFont val="Rockwell"/>
        <family val="1"/>
      </rPr>
      <t xml:space="preserve">  n° de Patrimônio </t>
    </r>
  </si>
  <si>
    <t>ACI01</t>
  </si>
  <si>
    <t>ACI02</t>
  </si>
  <si>
    <t>TUR01</t>
  </si>
  <si>
    <t>TUR02</t>
  </si>
  <si>
    <t>AUT01</t>
  </si>
  <si>
    <t>AUT02</t>
  </si>
  <si>
    <t>BEL01</t>
  </si>
  <si>
    <t>BAQ01</t>
  </si>
  <si>
    <t>BAQ02</t>
  </si>
  <si>
    <t>BAQ03</t>
  </si>
  <si>
    <t>BAQ04</t>
  </si>
  <si>
    <t>BAQ05</t>
  </si>
  <si>
    <t>BAQ06</t>
  </si>
  <si>
    <t>BAQ07</t>
  </si>
  <si>
    <t>BEL02</t>
  </si>
  <si>
    <t>BEL03</t>
  </si>
  <si>
    <t>BEL04</t>
  </si>
  <si>
    <t>CEN01</t>
  </si>
  <si>
    <t>CEN02</t>
  </si>
  <si>
    <t>CEN03</t>
  </si>
  <si>
    <t>CAU01</t>
  </si>
  <si>
    <t>CAU02</t>
  </si>
  <si>
    <t>CAU03</t>
  </si>
  <si>
    <t>CHI01</t>
  </si>
  <si>
    <t>CHI02</t>
  </si>
  <si>
    <t>CAM01</t>
  </si>
  <si>
    <t>CAM02</t>
  </si>
  <si>
    <t>CAM03</t>
  </si>
  <si>
    <t>CAM04</t>
  </si>
  <si>
    <t>CAM05</t>
  </si>
  <si>
    <t>CAM06</t>
  </si>
  <si>
    <t>CAM07</t>
  </si>
  <si>
    <t>CAM08</t>
  </si>
  <si>
    <t>CAM09</t>
  </si>
  <si>
    <t>CAM10</t>
  </si>
  <si>
    <t>CAM11</t>
  </si>
  <si>
    <t>CAM12</t>
  </si>
  <si>
    <t>CAM13</t>
  </si>
  <si>
    <t>CAM14</t>
  </si>
  <si>
    <t>CAM15</t>
  </si>
  <si>
    <t>CAM16</t>
  </si>
  <si>
    <t>DES01</t>
  </si>
  <si>
    <t>DES02</t>
  </si>
  <si>
    <t>DFE01</t>
  </si>
  <si>
    <t>DFE02</t>
  </si>
  <si>
    <t>DFE03</t>
  </si>
  <si>
    <t>DFE04</t>
  </si>
  <si>
    <t>DFE05</t>
  </si>
  <si>
    <t>DFE06</t>
  </si>
  <si>
    <t>ECO01</t>
  </si>
  <si>
    <t>VDG01</t>
  </si>
  <si>
    <t>VDG02</t>
  </si>
  <si>
    <t>VDG03</t>
  </si>
  <si>
    <t>VDC01</t>
  </si>
  <si>
    <t>EXA01</t>
  </si>
  <si>
    <t>FOT02</t>
  </si>
  <si>
    <t>FOT03</t>
  </si>
  <si>
    <t>FOT04</t>
  </si>
  <si>
    <t>FOT05</t>
  </si>
  <si>
    <t>FOT06</t>
  </si>
  <si>
    <t>FOT07</t>
  </si>
  <si>
    <t>FOT08</t>
  </si>
  <si>
    <t>FOT09</t>
  </si>
  <si>
    <t>FOT10</t>
  </si>
  <si>
    <t>FOT11</t>
  </si>
  <si>
    <t>FOT12</t>
  </si>
  <si>
    <t>FOT01</t>
  </si>
  <si>
    <t>MIC01</t>
  </si>
  <si>
    <t>MIC02</t>
  </si>
  <si>
    <t>MIC03</t>
  </si>
  <si>
    <t>MIC04</t>
  </si>
  <si>
    <t>MIC05</t>
  </si>
  <si>
    <t>MIC06</t>
  </si>
  <si>
    <t>MCA01</t>
  </si>
  <si>
    <t>MCI01</t>
  </si>
  <si>
    <t>MCI02</t>
  </si>
  <si>
    <t>MCI03</t>
  </si>
  <si>
    <t>MCI04</t>
  </si>
  <si>
    <t>MCI05</t>
  </si>
  <si>
    <t>MFE01</t>
  </si>
  <si>
    <t>MFE02</t>
  </si>
  <si>
    <t>MFE03</t>
  </si>
  <si>
    <t>MMU05</t>
  </si>
  <si>
    <t>MMU08</t>
  </si>
  <si>
    <t>MMU09</t>
  </si>
  <si>
    <t>MMU10</t>
  </si>
  <si>
    <t>MMU11</t>
  </si>
  <si>
    <t>MMU12</t>
  </si>
  <si>
    <t>MMU13</t>
  </si>
  <si>
    <t>MMU15</t>
  </si>
  <si>
    <t>MMU14</t>
  </si>
  <si>
    <t>MMU01</t>
  </si>
  <si>
    <t>MMU02</t>
  </si>
  <si>
    <t>MMU03</t>
  </si>
  <si>
    <t>MMU04</t>
  </si>
  <si>
    <t>MMU06</t>
  </si>
  <si>
    <t>MMU07</t>
  </si>
  <si>
    <t>MVI01</t>
  </si>
  <si>
    <t>MVI02</t>
  </si>
  <si>
    <t>MVI03</t>
  </si>
  <si>
    <t>MVI04</t>
  </si>
  <si>
    <t>OPU01</t>
  </si>
  <si>
    <t>OPU02</t>
  </si>
  <si>
    <t>PAU01</t>
  </si>
  <si>
    <t>PAU02</t>
  </si>
  <si>
    <t>REF01</t>
  </si>
  <si>
    <t>REF02</t>
  </si>
  <si>
    <t>REF03</t>
  </si>
  <si>
    <t>REF04</t>
  </si>
  <si>
    <t>REF05</t>
  </si>
  <si>
    <t>Consertar REFRIGERADOR da marca Consul, Modelo Frost Free, nº de série JM9469081, Patrimônio nº 782850 GDF.</t>
  </si>
  <si>
    <t>RAI01</t>
  </si>
  <si>
    <t>RAI02</t>
  </si>
  <si>
    <t>RAI03</t>
  </si>
  <si>
    <t>SFO01</t>
  </si>
  <si>
    <t>SFO02</t>
  </si>
  <si>
    <t>SEL01</t>
  </si>
  <si>
    <t>SEG01</t>
  </si>
  <si>
    <t>SEG02</t>
  </si>
  <si>
    <t>SEG03</t>
  </si>
  <si>
    <t>SEG04</t>
  </si>
  <si>
    <t>SEG05</t>
  </si>
  <si>
    <t>ULT01</t>
  </si>
  <si>
    <t>VME03</t>
  </si>
  <si>
    <t>VME01</t>
  </si>
  <si>
    <t>VME02</t>
  </si>
  <si>
    <t>Conserto do Arco Cirúrgico marca PHILIPS, modelo BV Ventura. Patrimônio 1170358</t>
  </si>
  <si>
    <t>Conserto do Arco Cirúrgico marca PHILIPS, modelo BV Ventura. Patrimônio 1170359</t>
  </si>
  <si>
    <t>Conserto da Autoclave, marca Baumer, Modelo B100. Chapa Patrimonial nº 130870.</t>
  </si>
  <si>
    <t>Conserto do BISTURI ELÉTRICO marca WEM, modelo SS-501, série . Patrimônio GDF 518677</t>
  </si>
  <si>
    <t>Conserto de bisturi eletrosurgical generator, modelo SS-501S, chapa patrimonial Nº 518678</t>
  </si>
  <si>
    <t>Conserto de bisturi eletrosurgical generator, modelo SS-501S, chapa patrimonial Nº 018320</t>
  </si>
  <si>
    <t>Conserto de bisturi elétrico modelo SS-601 MCA, marca WEM, chapa patrimonial nº 1009029</t>
  </si>
  <si>
    <t>CARRO HIDRÁULICO PARA PALLET,Capacidade: para 3.000 (três mil) Kg, Características Mínimas: peso do equipamento= 78kg; comprimento útil dos garfos= mínimo de 1.000 mm; largura externa dos garfos= mínimo de 530 mm; altura dos garfos abaixados: 80mm. Altura dos garfos elevados: mínimo de 180mm, curso total: 100 mm. Rodas de nylon ou poliuretano medindo 170 x 50 mm de diâmetro. Com rolamento de blindagem dupla. Sistema de giro: com rolamento de encosto axial. Espessura mínima de chapa do chassis: 3,2 mm. Patrimônio GDF 747447</t>
  </si>
  <si>
    <t>CARRO HIDRÁULICO PARA PALLET,Capacidade: para 3.000 (três mil) Kg, Características Mínimas: peso do equipamento= 78kg; comprimento útil dos garfos= mínimo de 1.000 mm; largura externa dos garfos= mínimo de 530 mm; altura dos garfos abaixados: 80mm. Altura dos garfos elevados: mínimo de 180mm, curso total: 100 mm. Rodas de nylon ou poliuretano medindo 170 x 50 mm de diâmetro. Com rolamento de blindagem dupla. Sistema de giro: com rolamento de encosto axial. Espessura mínima de chapa do chassis: 3,2 mm. Patrimônio GDF 747434</t>
  </si>
  <si>
    <t>Conserto Detector Fetal , marca Microem. Patrimônio nº 876013.</t>
  </si>
  <si>
    <t>Conserto Detector Fetal , marca Microem. Patrimônio nº 65884.</t>
  </si>
  <si>
    <t>Conserto de EXAUSTOR para máquina de autoclave, chapa patrimonial nº 285412</t>
  </si>
  <si>
    <t>Conserto do Equipamento de Fototerapia, chapa patrimonial Nº 126004.</t>
  </si>
  <si>
    <t>Conserto da FOTOTERAPIA, Chapa patrimonial n° 400170</t>
  </si>
  <si>
    <t>Conserto da FOTOTERAPIA, Chapa patrimonial n° 126005</t>
  </si>
  <si>
    <t>Conserto da FOTOTERAPIA, Chapa patrimonial n° 438891</t>
  </si>
  <si>
    <t>Conserto da FOTOTERAPIA, Chapa patrimonial n° 438889</t>
  </si>
  <si>
    <t>Conserto da FOTOTERAPIA, Chapa patrimonial n° 400171</t>
  </si>
  <si>
    <t>Conserto da FOTOTERAPIA, Chapa patrimonial n° 126006</t>
  </si>
  <si>
    <t>Conserto da FOTOTERAPIA, Chapa patrimonial n° 40168</t>
  </si>
  <si>
    <t>Conserto da FOTOTERAPIA, Chapa patrimonial n° 40169</t>
  </si>
  <si>
    <t>Conserto da FOTOTERAPIA, Chapa patrimonial n° 438890</t>
  </si>
  <si>
    <t>Conserto Mesa Cirúrgica, marca MAQUET. Patrimônio 1142226</t>
  </si>
  <si>
    <t>Conserto Mesa Cirúrgica, marca MAQUET. Patrimônio 1142227</t>
  </si>
  <si>
    <t>Conserto Mesa Cirúrgica, marca MAQUET. Patrimônio 1142228</t>
  </si>
  <si>
    <t>Conserto Mesa Cirúrgica, marca MAQUET. Patrimônio 1037156</t>
  </si>
  <si>
    <t>Conserto Mesa Cirúrgica, marca MAQUET. Patrimônio 137157</t>
  </si>
  <si>
    <t>Conserto de aparelho Microscópio da sala de Parasitologia da marca OLYMPUS CX 31. Patrimônio: Nº 593682</t>
  </si>
  <si>
    <t>Conserto de aparelho Microscópio da sala de Parasitologia da marca LEICA DM 1000, Patrimônio: Nº 580285</t>
  </si>
  <si>
    <t>Conserto de aparelho Microscópio da sala de Hematologia da marca OLYMPUS BX 41, Patrimônio Nº 561874.</t>
  </si>
  <si>
    <t>Conserto de aparelho de Microscópio da sala de Emergência marca LEICA DM 1000, Patrimônio Nº 931648</t>
  </si>
  <si>
    <t>Conserto de aparelho de Microscópio da sala de Emergência marca LEICA DM 1000, Patrimônio Nº 931647</t>
  </si>
  <si>
    <t>Conserto de aparelho de Microscópio da sala de Emergência marca LEICA DM 1000, Patrimônio Nº 931649</t>
  </si>
  <si>
    <t>Conserto monitor multiparamétrico da PHILIPS, modelo INTELLIVUE MP20, nº de série DE72862876, chapa patrimonial Nº 922322</t>
  </si>
  <si>
    <t>Conserto monitor multiparamétrico da PHILIPS, modelo INTELLIVUE MP20, nº de série DE72862855, chapa patrimonial nº 922320.</t>
  </si>
  <si>
    <t>Conserto monitor multiparamétrico da PHILIPS, modelo INTELLIVUE MP20, nº de série DE72862876 chapa patrimonial nº 922319.</t>
  </si>
  <si>
    <t>Conserto monitor multiparamétrico da PHILIPS, modelo INTELLIVUE MP30, chapa patrimonial Nº 878003</t>
  </si>
  <si>
    <t>Conserto monitor multiparamétrico da PHILIPS, modelo INTELLIVUE MP30, chapa patrimonial nº 878010.</t>
  </si>
  <si>
    <t>Conserto Monitor Multiparâmetro, Marca Mindray, Modelo IPM 9800. Patrimônio GDF 1002014.</t>
  </si>
  <si>
    <t>Conserto Monitor Multiparâmetro, Marca Mindray, Modelo IPM 9800. Patrimônio GDF 1002013.</t>
  </si>
  <si>
    <t>Conserto Monitor Multiparâmetro, Marca Mindray, Modelo IPM 9800. Patrimônio GDF 1002004</t>
  </si>
  <si>
    <t>Conserto Monitor Multiparâmetro, Marca Mindray, Modelo IPM 9800. Patrimônio GDF 1002006.</t>
  </si>
  <si>
    <t>Conserto Monitor Multiparâmetro, Marca Mindray, Modelo IPM 9800. Patrimônio GDF 1002007.</t>
  </si>
  <si>
    <t>Conserto de monitor Multiparâmetros, marca PHILIPS INTELLIVUE, MP20, patrimônio nº 922327.</t>
  </si>
  <si>
    <t>Conserto de monitor Multiparâmetros, marca PHILIPS INTELLIVUE, MP20, patrimônio nº 922313</t>
  </si>
  <si>
    <t>Conserto Monitor de Sinais Vitais, Marca MINDRAY, Modelo VS-800. Patrimônio GDF 881302.</t>
  </si>
  <si>
    <t>Conserto Monitor de Sinais Vitais, Marca MINDRAY, Modelo VS-800. Patrimônio GDF 881303.</t>
  </si>
  <si>
    <t>Conserto Monitor de Sinais Vitais, Marca MINDRAY, Modelo VS-800. Patrimônio GDF 881304.</t>
  </si>
  <si>
    <t>Conserto Monitor de Sinais Vitais, Marca MINDRAY, Modelo VS-800. Patrimônio GDF 881305.</t>
  </si>
  <si>
    <t>Conserto Oximetro de Pulso, marca MINDRAY, Modelo PM60 2010-05. Patrimônio GDF 958767.</t>
  </si>
  <si>
    <t>Conserto Oximetro de Pulso, marca MINDRAY, Modelo PM60 2010-05. Patrimônio GDF 958766.</t>
  </si>
  <si>
    <t>Conserto do aparelho PROCESSADOR AUTOMÁTICO DE TECIDOS, marca LEICA, modelo TP1020 n°de Patrimônio 161526</t>
  </si>
  <si>
    <t>Conserto do aparelho PROCESSADOR DE TECIDOS, marca LUPE, modelo PT05-TS n°de Patrimônio 1025429</t>
  </si>
  <si>
    <t>Conserto em APARELHO DE RAIO X, marca PHILIPS, modelo COMPACTO PLUS Patrimônio: 684210.</t>
  </si>
  <si>
    <t>Conserto do REFRIGERADOR, marca BOSH, N° de Patrimônio 663997.</t>
  </si>
  <si>
    <t>Conserto do REFRIGERADOR, marca ELETROSPITALAR, N° de Patrimônio 994902.</t>
  </si>
  <si>
    <t>Conserto do REFRIGERADOR, marca ELETROSPITALAR, N° de Patrimônio 994906.</t>
  </si>
  <si>
    <t>Conserto do REFRIGERADOR, marca ELETROSPITALAR N° de Patrimônio 994907.</t>
  </si>
  <si>
    <t>Conserto de Seladora, Marca BAUMER, Modelo: SB-650N. Patrimônio GDF 730375.</t>
  </si>
  <si>
    <t>Conserto do SUPORTE DE FOCO DE LUZ, n° de Patrimônio 995654</t>
  </si>
  <si>
    <t>Conserto do SUPORTE DE FOCO DE LUZ, n° de Patrimônio 995648</t>
  </si>
  <si>
    <t>Solicitação de Conserto/manutenção em Aparelho de Ultrassom, marca ALOKA, modelo SSD-630 Patrimônio n° 121782.</t>
  </si>
  <si>
    <t>Conserto de ventilador mecânico da marca MAQUET, modelo SERVO-S, chapa patrimonial Nº 1001751.</t>
  </si>
  <si>
    <t>Conserto de ventilador mecânico da marca MAQUET, modelo SERVO-S, chapa patrimonial Nº 1001752</t>
  </si>
  <si>
    <t>Manutenção do Berço Aquecido da marca FANEM, modelo BA/L Chapa patrimonial n° 170855.</t>
  </si>
  <si>
    <t>Manutenção do Berço Aquecido da marca GIGANTE, modelo BA/L Chapa patrimonial n° 170856</t>
  </si>
  <si>
    <t>Manutenção do Berço Aquecido da marca GIGANTE, modelo BA/S Chapa patrimonial n° 159847.</t>
  </si>
  <si>
    <t>Manutenção do Berço Aquecido da marca GIGANTE, modelo BA/S Chapa patrimonial n° 419673.</t>
  </si>
  <si>
    <t>Manutenção do Berço Aquecido da marca GIGANTE, modelo BA/L Chapa patrimonial n° 170876.</t>
  </si>
  <si>
    <t>Manutenção do Berço Aquecido da marca GIGANTE, modelo GRN Chapa patrimonial n° 438892.</t>
  </si>
  <si>
    <t>Conserto da Cama marca ARSON, Chapa patrimonial n° 1017982</t>
  </si>
  <si>
    <t>Conserto da Cama marca ARSON, Chapa patrimonial n° 1018010.</t>
  </si>
  <si>
    <t>Conserto da Cama marca HOSPIMETAL, Chapa patrimonial n° 878156.</t>
  </si>
  <si>
    <t>Conserto da Cama marca HOSPIMETAL, Chapa patrimonial n° 878167.</t>
  </si>
  <si>
    <t>Conserto da Cama marca HOSPIMETAL, Chapa patrimonial n° 878163.</t>
  </si>
  <si>
    <t>Conserto da Cama marca HOSPIMETAL, Chapa patrimonial n° 878130</t>
  </si>
  <si>
    <t>Conserto da Cama marca ARJO HUNTLEIGH, Chapa patrimonial n° 1018009.</t>
  </si>
  <si>
    <t>Conserto da Cama marca ARJO HUNTLEIGH, Modelo ENTERPRISE 5000, Chapa patrimonial n° 1017864</t>
  </si>
  <si>
    <t>Conserto e Manutenção Corretiva da Cama PPP marca FANEM, modelo MP7097 Chapa patrimonial n° 936670</t>
  </si>
  <si>
    <t>Conserto e Manutenção Corretiva da Cama PPP marca FANEM, modelo MP7097 Chapa patrimonial n° 936671</t>
  </si>
  <si>
    <t>Conserto e Manutenção Corretiva da Cama PPP marca FANEM, modelo MP7097 Chapa patrimonial n° 936673</t>
  </si>
  <si>
    <t>Conserto e Manutenção Corretiva da Cama PPP marca FANEM, modelo MP7097 Chapa patrimonial n° 936674</t>
  </si>
  <si>
    <t>Conserto e Manutenção Corretiva da Cama PPP marca FANEM, modelo MP7097 Chapa patrimonial n° 936677</t>
  </si>
  <si>
    <t>Conserto e Manutenção Corretiva da Cama PPP marca FANEM, modelo MP7097 Chapa patrimonial n° 996670</t>
  </si>
  <si>
    <t>Conserto e Manutenção Corretiva da Cama marca FANEM, modelo MV6090 Chapa patrimonial n° 421880</t>
  </si>
  <si>
    <t>Conserto e Manutenção Corretiva da Cama PPP marca FANEM, modelo MP7097 Chapa patrimonial n° 936676</t>
  </si>
  <si>
    <t>Conserto da Cadeira automática Chapa patrimonial n° 1037200</t>
  </si>
  <si>
    <t>Conserto da Cadeira automática Chapa patrimonial n° 1037201</t>
  </si>
  <si>
    <t>Conserto da Cadeira automática Chapa patrimonial n° 1037202</t>
  </si>
  <si>
    <t>Conserto da FOTOTERAPIA, Chapa patrimonial n° 126003</t>
  </si>
  <si>
    <t>Conserto de monitor Capnógrafo modelo DX1265, marca DIXTAL, chapa patrimonial n° 170413.</t>
  </si>
  <si>
    <t>Conserto monitor multiparamétrico da marca DIXTAL, modelo DX 2020, chapa patrimonial n° 427914.</t>
  </si>
  <si>
    <t>Conserto monitor multiparamétrico da marca DIXTAL, modelo DX 2020, chapa patrimonial n° 427913.</t>
  </si>
  <si>
    <t>Conserto em Aparelho de Raio X, Marca PHILIPS, Modelo COMPACTO PLUS 500, n° de Série 1124001471, Patrimônio n° 691833.</t>
  </si>
  <si>
    <t>Conserto do aparelho Turbilhão chapa patrimonial n° 545921</t>
  </si>
  <si>
    <t>Conserto do aparelho Turbilhão chapa patrimonial n° 545922</t>
  </si>
  <si>
    <t>Conserto do aparelho VIDEOGASTROSCOPIO, marca OLYMPUS, modelo GIF-V n° de Patrimônio 684027, n° de série 2600323.</t>
  </si>
  <si>
    <t>6 - Pelo filtro inserido na célula A1 (código) selecione a opção "Classificar do menor para o maior".</t>
  </si>
  <si>
    <t>8 - Dê um  duplo clique com o botão esquedo do mouse. Isso estenderá a formula da seleção para todas a células diretamente abaixo e atualizará a planilha.</t>
  </si>
  <si>
    <t>TUBO DE SILICONE Nº 204, Tamanho/Capacidade: diâmetro interno: 6 mm, diâmetro externo: 12 mm, comprimento em unidade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colabar em suas paredes, com registro no Ministério da Saúde, Apresentação: embalado individualmente em saco plástico resistente.</t>
  </si>
  <si>
    <t>MICROPIPETA AUTOMATICA VOLUME VARIAVEL CAPACIDADE DE 10,0 A 100,0MICROLITROS</t>
  </si>
  <si>
    <t>AGULHA PARA COLETA MULTIPLA DE SANGUE A VACUO. Aplicação: para coleta múltipla de|sangue a vácuo. Tamanho/Capacidade: 22G, Características adicionais: com dispositivo exclusivo de segurança, que após acionado recobrirá completamente a agulhagarantindo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t>
  </si>
  <si>
    <t>EMEDCAL COMÉRCIO DE PRODUTOS HOSPITALARES LTDA</t>
  </si>
  <si>
    <t>EMILY PAZ</t>
  </si>
  <si>
    <t>10.747.420/0001-90</t>
  </si>
  <si>
    <t>1.231-9</t>
  </si>
  <si>
    <t>39.532-3</t>
  </si>
  <si>
    <t>EMEDCAL</t>
  </si>
  <si>
    <t>FITA CIRURGICA HIPOALERGENICA MICROPOROSA 2,5CM x 10M. Aplicação: fixação de curativos, cateteres e outros em regiões do corpo com alta sensibilidade. Material: Raiom de viscose não-tecido e adesivo sintético. Características Adicionais: de espessura fina, na cor branca, características microporosas que permitam livre transpiração da pele, permeável ao ar e aos vapores d'água, repelente a água, radiotransparente, que apresente boa adesividade, se amolde aos contornos e não provoque traumatismo na pele quando da remoção. Apresentação: rolo plástico com capa que ofereça proteção ao produto. Unidade De Estoque: rolo (RL), Código SES: 092361. BR0290824</t>
  </si>
  <si>
    <t>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t>
  </si>
  <si>
    <t>**FALTA Nº DO PATRIMÔNIO GDF. TONER preto para a impressora, MARCA: LEXMARK     MODELO:                                            C792 N° DE SÉRIE: 50620194012 ZT</t>
  </si>
  <si>
    <t>PILHA ELETROQUÍMICA ALCALINA, Tensão: 1,5 V, Tamanho: médio, Unidade De Fornecimento: pacote com 2 unidades</t>
  </si>
  <si>
    <t>BLEFAROSTATO ADULTO, Características adicionais: Material arame de Aço inoxidável, para uso em Cirurgia oftalmológica, Tamanho de 45mm e com haste de 12mm, abertura máxima 40mm, Fechado ou aberto e não estéril, Embalagem individual.</t>
  </si>
  <si>
    <t>TESOURA PARA CONJUNTIVA WESTCOTT, CURVA, Para Cirurgia oftalmológica, Material: Aço inox aisi420, Tamanho: 115 mm, Características adicionais: Lâmina de ponta semi-romba com 21mm do centro do eixo até a ponta com 115mm de comprimento (não estéril).</t>
  </si>
  <si>
    <t>PINÇA COM DENTE PARA CONJUNTIVA, Para Cirurgia oftalmológica, Material: Titânio, Tamanho: 110 mm, Características adicionais: Dente ou serrinha (não estéril).</t>
  </si>
  <si>
    <t>CAUTÉRIO TIPO PASSARINHO, Para Cirurgia oftalmológica, Material: Aço inox, Tamanho: 125 mm, Características adicionais: Resistente ao calor (não estéril).</t>
  </si>
  <si>
    <t>PINÇA DE PÁLPEBRA PEQUENA PARA CALÁZIO, Para Cirurgia oftalmológica, Material: Aço inox, Tamanho: 115 mm, Características adicionais: . pinça oval furada (não estéril)</t>
  </si>
  <si>
    <t>CURETA PARA EVISCERAÇÃO, TAMANHO PEQUENO, Para Cirurgia oftalmológica, Material: Aço inox, Tamanho: 125 mm, Características adicionais: Material cortante (não estéril).</t>
  </si>
  <si>
    <t>CURETA PARA EVISCERAÇÃO, TAMANHO MÉDIO, Para Cirurgia oftalmológica, Material: Aço inox, Tamanho: 125 mm, Características adicionais: Material cortante (não estéril).</t>
  </si>
  <si>
    <t>CURETA PARA EVISCERAÇÃO, TAMANHO GRANDE, Para Cirurgia oftalmológica, Material: Aço inox, Tamanho: 125 mm, Características adicionais: Material cortante (não estéril).</t>
  </si>
  <si>
    <t>PORTA AGULHA DE TRHOUTMAN OU SINSKEY PARA FIO MONONYLON 10-0 SEM TRAVA, Para Cirurgia oftalmológica, Material: Titânio, Tamanho: 125 mm, Características adicionais: Mola tipo lâmina (não estéril).</t>
  </si>
  <si>
    <t>PINÇA DE PONTO CURVA – Pinça de Ponto Curva Modelo Bonn 100 mm de Comprimento cabo chato composta em Aço Inoxidável 420</t>
  </si>
  <si>
    <t>PORTA AGULHA DERF DELICADO COM WÍDEA PARA FIO 6, Aplicação: Fixação da agulha em sutura de tecidos, Material: Aço inoxidável AISI, Tamanho: 120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t>
  </si>
  <si>
    <t>Pinça de ponto para fio 10.0 delicada 0,12 reta cabo reto. Aplicação/finalidade: Microcirurgia oftalmológica em olhos humanos, Material/composição: Aço inoxidável, Tamanho/capacidade: Aproximados 10 cm, Características: Instrumental para microcirurgia oftalmológica humana, preciso, delicado, seguro, resistente, autoclavável, com acabamento primoroso, Processo de esterilização: autoclave, Prazo de validade: indeterminado, Unidade de estoque: Un.</t>
  </si>
  <si>
    <t>19.430.036/0001-33</t>
  </si>
  <si>
    <t xml:space="preserve">IODOPOVIDONA SOLUCAO ALCOOLICA 10 MG/ML EM IODO ATIVO FRASCO 1000 ML
</t>
  </si>
  <si>
    <t>IMAGEM PRODUTOS HOSPITALARES LTDA</t>
  </si>
  <si>
    <t>JACKSON AMARAL</t>
  </si>
  <si>
    <t>07.094.705/0001-64</t>
  </si>
  <si>
    <t>IMAGEM</t>
  </si>
  <si>
    <t>1231-9</t>
  </si>
  <si>
    <t>53.172-3</t>
  </si>
  <si>
    <t>02.220.795/0001-79</t>
  </si>
  <si>
    <t>4767-8</t>
  </si>
  <si>
    <t>103.944-X</t>
  </si>
  <si>
    <t>7.647-3</t>
  </si>
  <si>
    <t>TIRA REAGENTE PARA URINALISE COM MINIMO DE 10 AREAS , para leitura em equipamento automatizado URISCAN. **A MARCA YD (Yeong Dong), É A ÚNICA COMPATÍVEL COM O EQUIPAMENTO URISCAN PRO II (URINE CHEMISTRY ANALYSER) UTILIZADO NO HRG**</t>
  </si>
  <si>
    <t>MADRE PRODUTOS MEDICOS HOSPITALARES LTDA - EPP</t>
  </si>
  <si>
    <t>Mário Cunha</t>
  </si>
  <si>
    <t>23.696.820/0001-65</t>
  </si>
  <si>
    <t>0655</t>
  </si>
  <si>
    <t>OP:003 CC:4015-7</t>
  </si>
  <si>
    <t>MADRE</t>
  </si>
  <si>
    <t>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t>
  </si>
  <si>
    <t>ELÉTRICA REGIONAL (REGIONAL MATERIAL ELÉTRICO LTDA)</t>
  </si>
  <si>
    <t>72.619.265/0001-83</t>
  </si>
  <si>
    <t>ELÉTRICA REGIONAL</t>
  </si>
  <si>
    <t>CAR01</t>
  </si>
  <si>
    <t>Conserto de Compressor de ar Odontologia, Chapa patrimonial nº 313700</t>
  </si>
  <si>
    <t>CONJUNTO PRIVATIVO TAM 44 AZUL CLARO Aplicação: servidor de área restrita e semirestrita, Material: Tecido tela 50% algodão 50% poliéster estampado em toda extensão com logotipo SES/DF, cor azul claro, fio 30, 105 fios no urdume e 75 fios n</t>
  </si>
  <si>
    <t>CONJUNTO PRIVATIVO TAM 48 AZUL CLARO Aplicação: servidor de área restrita e semirestrita para atendimento infantil, Material: Tecido tela 50% algodão 50% poliéster estampado em toda extensão com logotipo SES/DF, cor azul claro, fio 30, 105</t>
  </si>
  <si>
    <t>CONJUNTO PRIVATIVO TAM 56 AZULE CLARO  Aplicação: servidor de área restrita e semirestrita para atendimento infantil, Material: Tecido tela 50% algodão 50% poliéster estampado em toda extensão com logotipo SES/DF, cor azul claro, fio 30, 10</t>
  </si>
  <si>
    <t>CONJUNTO PARA COLORAÇÃO DE ZIEHL-NEELSEN CONTENDO FRASCOS DE 500ML (SOLUÇÃO DE FUCSINA FENICADA, SOLUÇÃO DESCORANTE-ÁCIDO CLORÍDRICO-ALCOOL, SOLUÇÃO AZUL-DE-METILENO OU VERDE-MALAQUITA)</t>
  </si>
  <si>
    <t>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t>
  </si>
  <si>
    <t>CAN01</t>
  </si>
  <si>
    <t>CAN02</t>
  </si>
  <si>
    <t>CAN03</t>
  </si>
  <si>
    <t>CAN04</t>
  </si>
  <si>
    <t>CAN05</t>
  </si>
  <si>
    <t>Conserto do Carro de ANESTESIA, Marca MINDRAY, Modelo WATO EX-65, Chapa patrimonial n°930652.</t>
  </si>
  <si>
    <t>16.666-3</t>
  </si>
  <si>
    <t>ECOPRINT (701495)</t>
  </si>
  <si>
    <t>BOLSA COLETORA PARA ARMAZENAGEM E DESCARTE DE PEQUENOS VOLUMES DE SECREÇÃO 1000 ML</t>
  </si>
  <si>
    <t>2.219-5</t>
  </si>
  <si>
    <t>8.777-7</t>
  </si>
  <si>
    <t>TROCATER 11MM EXTRA LONGO, TIPO ÓTICO, TIPO VISIPORT. CONTENDO VÁLVULAS PARA EVITAR PERDA PNEUMOPERITÔNIO COM TORNEIRA DE 3 VIAS PARA INSUFLAÇÃO. EMBALAGEM INDIVIDUAL. ESTÉRIL. DESCARTÁVEL</t>
  </si>
  <si>
    <t>TROCATER, 5 MM DIÂMETRO, DESCARTÁVEL E DE USO ÚNICO, EMBALAGEM ESTÉRIL, SEM LÂMINA, COM SEPARADORES BILATERAIS DE TECIDOS, 100 MM COMPRIMENTO, COM RANHURA ESTABILIZADORA E PONTA CÔNICA, CÂNULA TRANSPARENTE, ERGONÔMICO E ?DESIGN? SUPERIOR COM CAIMENTO FACILITADOR DE ACESSO DE INSTRUMENTOS.</t>
  </si>
  <si>
    <t>SILVANA MARQUES ROCHA LIMA</t>
  </si>
  <si>
    <t>28.685.008/0001-58</t>
  </si>
  <si>
    <t>CIPROFLOXACINO POMADA OFTALMICA 0,3 % BISNAGA 3,5 G</t>
  </si>
  <si>
    <t>SEMED</t>
  </si>
  <si>
    <t>SEMED EQUIPAMENTOS HOSPITALARES LTDA</t>
  </si>
  <si>
    <t xml:space="preserve">SEBASTIÃO FEITOSA </t>
  </si>
  <si>
    <t>24.732.126/0001-19</t>
  </si>
  <si>
    <t>SEMED (703277)</t>
  </si>
  <si>
    <t>SEI</t>
  </si>
  <si>
    <t>Conserto da Cama marca HOSPIMETAL, Chapa patrimonial n° 878420</t>
  </si>
  <si>
    <t>Conserto da Cama marca HOSPIMETAL, Chapa patrimonial n° 878297</t>
  </si>
  <si>
    <t>Conserto da Cama marca HOSPIMETAL, Chapa patrimonial n° 878117</t>
  </si>
  <si>
    <t>CAM17</t>
  </si>
  <si>
    <t>CAM18</t>
  </si>
  <si>
    <t>CAM19</t>
  </si>
  <si>
    <t>ELE01</t>
  </si>
  <si>
    <t xml:space="preserve">Cânula para traqueostomia, material metal, tamanho n° 4, características adicionais com introdutor mandril guia, tipo reutilizável, não estéril. </t>
  </si>
  <si>
    <t>Conserto do FREEZER industrial, Chapa patrimonial n°01902.001.023 GDF.</t>
  </si>
  <si>
    <t>Conserto do FREEZER industrial, Chapa patrimonial n°01902.000.926 GDF.</t>
  </si>
  <si>
    <t>Conserto do FREEZER horizontal, Chapa patrimonial n°172.923 GDF.</t>
  </si>
  <si>
    <t>FRE01</t>
  </si>
  <si>
    <t>FRE02</t>
  </si>
  <si>
    <t>FRE03</t>
  </si>
  <si>
    <t xml:space="preserve">BATERIA RECARREGÁVEL PARA DESFIBRILADOR/CARDIOVERSOR MODELO M-SERIES - ZOLL Indicada para reposição em Cardioversor/ Desfibrilador ZOLL;
Construída chumbo-ácido seladas para linha  AED Pro da ZOLL.
Dados técnicos:
Modelos PD1400, 1600, 2000, 4410, M Series;
10 Volts;
Amperes 2.5Ah ou superior;
Selada </t>
  </si>
  <si>
    <t>TESTE DE IDENTIFICAÇÃO BACTERIANA DE GRAM NEGATIVOS POR MIC - Painel ou cartão para provas de identificação e teste de sensibilidade a antimicrobianos por concentração inibitória mínima (MIC) in vitro de bactérias Gram negativas em equipamento automatizado, acompanhado de todos os reagentes e acessórios necessários à sua execução, conjugados ou separados</t>
  </si>
  <si>
    <t>TESTE DE IDENTIFICAÇÃO BACTERIANA DE GRAM POSITIVOS POR MIC - Painel ou cartão para provas de identificação e teste de sensibilidade a antimicrobianos por concentração inibitória mínima (MIC) in vitro de bactérias Gram positivas em equipamento automatizado, acompanhado de todos os reagentes e acessórios necessários à sua execução, conjugados ou separados.</t>
  </si>
  <si>
    <t>CT01</t>
  </si>
  <si>
    <t>Conserto da Central Telefônica MD 110, Marca Ericsson, Patrimônio 320591 GDF, do Hospital Regional do Gama</t>
  </si>
  <si>
    <r>
      <t xml:space="preserve">Instruções para cadastro de códigos de </t>
    </r>
    <r>
      <rPr>
        <b/>
        <sz val="14"/>
        <color rgb="FF0070C0"/>
        <rFont val="Rockwell"/>
        <family val="1"/>
      </rPr>
      <t>produtos</t>
    </r>
    <r>
      <rPr>
        <b/>
        <sz val="14"/>
        <color theme="1"/>
        <rFont val="Rockwell"/>
        <family val="1"/>
      </rPr>
      <t xml:space="preserve"> do Sistema de Gestão de Materiais (SIS) no Banco de Dados (BD).</t>
    </r>
  </si>
  <si>
    <t>Para cadastrar códigos de produtos do SIS no BD deve-se seguir os seguintes passos:</t>
  </si>
  <si>
    <t>1 - Clique na Aba BD com o botão direito do mouse e selecione a opção "Desproteger planilha"</t>
  </si>
  <si>
    <r>
      <t xml:space="preserve">2 - Identificar a posição númerica na qual será inserido o novo código na coluna A, levando em consideração a </t>
    </r>
    <r>
      <rPr>
        <b/>
        <sz val="12"/>
        <rFont val="Rockwell"/>
        <family val="1"/>
      </rPr>
      <t>ordem númerica</t>
    </r>
    <r>
      <rPr>
        <sz val="12"/>
        <color theme="1"/>
        <rFont val="Rockwell"/>
        <family val="1"/>
      </rPr>
      <t xml:space="preserve"> do menor para o maior número. Como exemplo, caso o novo código a ser inserido seja o número 90151, deve-se buscar o</t>
    </r>
    <r>
      <rPr>
        <b/>
        <sz val="12"/>
        <color theme="1"/>
        <rFont val="Rockwell"/>
        <family val="1"/>
      </rPr>
      <t xml:space="preserve"> número cadastrado imediatamente superior</t>
    </r>
    <r>
      <rPr>
        <sz val="12"/>
        <color theme="1"/>
        <rFont val="Rockwell"/>
        <family val="1"/>
      </rPr>
      <t xml:space="preserve"> àquele (90152 ou superior).</t>
    </r>
  </si>
  <si>
    <t>3 - Clique com o botão direito do mouse no número da linha do código cadastrado no BD de número imediatamente superior ao número que se pretende cadastrar e em seguida a copie.</t>
  </si>
  <si>
    <t>4 - Clique novamente no número da linha copiada com o botão direito do mouse e selecione a opção "Iserir células copiadas".</t>
  </si>
  <si>
    <t>5 - Altere manualmente o número do código copiado para o número do código que se pretende cadastrar e sua respectiva descrição, tipo de unidade e setor de origem do Projeto Básico.</t>
  </si>
  <si>
    <t>7 - Selecione na linha 2 as céluas de G até N (G2 até N2). No canto inferior direito da seleção aparecerá um pequeno quadrado verde, no qual ao se deverá posicionar o cursor do mouse que se tornará uma pequena "cruz" preta.</t>
  </si>
  <si>
    <t>9 - Clique na Aba BD com o botão direito do mouse e selecione a opção "Proteger planilha"</t>
  </si>
  <si>
    <r>
      <t xml:space="preserve">Instruções para cadastro de códigos de </t>
    </r>
    <r>
      <rPr>
        <b/>
        <sz val="14"/>
        <color rgb="FF0070C0"/>
        <rFont val="Rockwell"/>
        <family val="1"/>
      </rPr>
      <t>serviços</t>
    </r>
    <r>
      <rPr>
        <b/>
        <sz val="14"/>
        <color theme="1"/>
        <rFont val="Rockwell"/>
        <family val="1"/>
      </rPr>
      <t xml:space="preserve"> no Banco de Dados (BD).</t>
    </r>
  </si>
  <si>
    <t>Para cadastrar códigos de serviços no BD deve-se seguir os seguintes passos:</t>
  </si>
  <si>
    <r>
      <t xml:space="preserve">2 - Os códigos de serviço: tem a particularidade de serem criados por nós, membros do PDPAS, para controle interno das demandas de serviços de manutenção e consertos, uma vez que para cada </t>
    </r>
    <r>
      <rPr>
        <b/>
        <sz val="12"/>
        <color theme="1"/>
        <rFont val="Rockwell"/>
        <family val="1"/>
      </rPr>
      <t>tipo de equipamento</t>
    </r>
    <r>
      <rPr>
        <sz val="12"/>
        <color theme="1"/>
        <rFont val="Rockwell"/>
        <family val="1"/>
      </rPr>
      <t xml:space="preserve"> (exemplo: ar condicionado) tem-se R$ 8.000,00 de saldo anual independente de marca, modelo ou quantidade de equipamentos a serem consertados. Tendo em vista o exposto, para a criação de códigos deve-se observar os seguintes métodos: </t>
    </r>
  </si>
  <si>
    <r>
      <rPr>
        <b/>
        <sz val="12"/>
        <color theme="1"/>
        <rFont val="Rockwell"/>
        <family val="1"/>
      </rPr>
      <t>Método 1</t>
    </r>
    <r>
      <rPr>
        <sz val="12"/>
        <color theme="1"/>
        <rFont val="Rockwell"/>
        <family val="1"/>
      </rPr>
      <t xml:space="preserve"> - Caso o equipamento possua nome simples, formado por uma única palavra, o código será formado pelas três primeiras letras da palavra, independentemente de ser vogal ou consoante, somado a dois digitos que indicarão a sequencia de equipamentos do mesmo tipo cadastrados. Exemplo: </t>
    </r>
    <r>
      <rPr>
        <b/>
        <sz val="12"/>
        <color theme="1"/>
        <rFont val="Rockwell"/>
        <family val="1"/>
      </rPr>
      <t>Aut</t>
    </r>
    <r>
      <rPr>
        <sz val="12"/>
        <color theme="1"/>
        <rFont val="Rockwell"/>
        <family val="1"/>
      </rPr>
      <t xml:space="preserve">oclave - </t>
    </r>
    <r>
      <rPr>
        <b/>
        <sz val="12"/>
        <color theme="1"/>
        <rFont val="Rockwell"/>
        <family val="1"/>
      </rPr>
      <t>AUT01</t>
    </r>
    <r>
      <rPr>
        <sz val="12"/>
        <color theme="1"/>
        <rFont val="Rockwell"/>
        <family val="1"/>
      </rPr>
      <t xml:space="preserve">. </t>
    </r>
  </si>
  <si>
    <r>
      <rPr>
        <b/>
        <sz val="12"/>
        <color theme="1"/>
        <rFont val="Rockwell"/>
        <family val="1"/>
      </rPr>
      <t>Método 2</t>
    </r>
    <r>
      <rPr>
        <sz val="12"/>
        <color theme="1"/>
        <rFont val="Rockwell"/>
        <family val="1"/>
      </rPr>
      <t xml:space="preserve"> - Caso o equipamento  possua nome composto por duas palavras, o código será formado pela inicial da primeira palavra e as duas primeiras letras da segunda palavra. Exemplo:</t>
    </r>
    <r>
      <rPr>
        <b/>
        <sz val="12"/>
        <color theme="1"/>
        <rFont val="Rockwell"/>
        <family val="1"/>
      </rPr>
      <t xml:space="preserve"> A</t>
    </r>
    <r>
      <rPr>
        <sz val="12"/>
        <color theme="1"/>
        <rFont val="Rockwell"/>
        <family val="1"/>
      </rPr>
      <t xml:space="preserve">r </t>
    </r>
    <r>
      <rPr>
        <b/>
        <sz val="12"/>
        <color theme="1"/>
        <rFont val="Rockwell"/>
        <family val="1"/>
      </rPr>
      <t>Co</t>
    </r>
    <r>
      <rPr>
        <sz val="12"/>
        <color theme="1"/>
        <rFont val="Rockwell"/>
        <family val="1"/>
      </rPr>
      <t xml:space="preserve">ndicionado - </t>
    </r>
    <r>
      <rPr>
        <b/>
        <sz val="12"/>
        <color theme="1"/>
        <rFont val="Rockwell"/>
        <family val="1"/>
      </rPr>
      <t>ACO01</t>
    </r>
    <r>
      <rPr>
        <sz val="12"/>
        <color theme="1"/>
        <rFont val="Rockwell"/>
        <family val="1"/>
      </rPr>
      <t>.</t>
    </r>
  </si>
  <si>
    <r>
      <rPr>
        <b/>
        <sz val="12"/>
        <color theme="1"/>
        <rFont val="Rockwell"/>
        <family val="1"/>
      </rPr>
      <t>Método 3</t>
    </r>
    <r>
      <rPr>
        <sz val="12"/>
        <color theme="1"/>
        <rFont val="Rockwell"/>
        <family val="1"/>
      </rPr>
      <t xml:space="preserve"> - Em casos em que o equipamento possua nome simples, mas suas iniciais já tenham sido utilizadas em outro código por conta da utilização de um dos métodos anteriores, o código deverá ser formado pelas três primeiras consoantes do nome. Exemplo: O equipamento </t>
    </r>
    <r>
      <rPr>
        <b/>
        <sz val="12"/>
        <color theme="1"/>
        <rFont val="Rockwell"/>
        <family val="1"/>
      </rPr>
      <t>Sel</t>
    </r>
    <r>
      <rPr>
        <sz val="12"/>
        <color theme="1"/>
        <rFont val="Rockwell"/>
        <family val="1"/>
      </rPr>
      <t>adora ocupa o código</t>
    </r>
    <r>
      <rPr>
        <b/>
        <sz val="12"/>
        <color theme="1"/>
        <rFont val="Rockwell"/>
        <family val="1"/>
      </rPr>
      <t xml:space="preserve"> SEL01</t>
    </r>
    <r>
      <rPr>
        <sz val="12"/>
        <color theme="1"/>
        <rFont val="Rockwell"/>
        <family val="1"/>
      </rPr>
      <t xml:space="preserve">. Não será possivel cadastar o equipamento </t>
    </r>
    <r>
      <rPr>
        <b/>
        <sz val="12"/>
        <color theme="1"/>
        <rFont val="Rockwell"/>
        <family val="1"/>
      </rPr>
      <t>S</t>
    </r>
    <r>
      <rPr>
        <sz val="12"/>
        <color theme="1"/>
        <rFont val="Rockwell"/>
        <family val="1"/>
      </rPr>
      <t xml:space="preserve">erra </t>
    </r>
    <r>
      <rPr>
        <b/>
        <sz val="12"/>
        <color theme="1"/>
        <rFont val="Rockwell"/>
        <family val="1"/>
      </rPr>
      <t>el</t>
    </r>
    <r>
      <rPr>
        <sz val="12"/>
        <color theme="1"/>
        <rFont val="Rockwell"/>
        <family val="1"/>
      </rPr>
      <t>etrica com o método 2, então o código será formado pelas três primeiras consoantes (</t>
    </r>
    <r>
      <rPr>
        <b/>
        <sz val="12"/>
        <color theme="1"/>
        <rFont val="Rockwell"/>
        <family val="1"/>
      </rPr>
      <t>S</t>
    </r>
    <r>
      <rPr>
        <sz val="12"/>
        <color theme="1"/>
        <rFont val="Rockwell"/>
        <family val="1"/>
      </rPr>
      <t>e</t>
    </r>
    <r>
      <rPr>
        <b/>
        <sz val="12"/>
        <color theme="1"/>
        <rFont val="Rockwell"/>
        <family val="1"/>
      </rPr>
      <t>rr</t>
    </r>
    <r>
      <rPr>
        <sz val="12"/>
        <color theme="1"/>
        <rFont val="Rockwell"/>
        <family val="1"/>
      </rPr>
      <t xml:space="preserve">a eletrica) - </t>
    </r>
    <r>
      <rPr>
        <b/>
        <sz val="12"/>
        <color theme="1"/>
        <rFont val="Rockwell"/>
        <family val="1"/>
      </rPr>
      <t>SRR01</t>
    </r>
    <r>
      <rPr>
        <sz val="12"/>
        <color theme="1"/>
        <rFont val="Rockwell"/>
        <family val="1"/>
      </rPr>
      <t>.</t>
    </r>
  </si>
  <si>
    <r>
      <rPr>
        <b/>
        <sz val="12"/>
        <color theme="1"/>
        <rFont val="Rockwell"/>
        <family val="1"/>
      </rPr>
      <t>Método 4</t>
    </r>
    <r>
      <rPr>
        <sz val="12"/>
        <color theme="1"/>
        <rFont val="Rockwell"/>
        <family val="1"/>
      </rPr>
      <t xml:space="preserve"> - Em nomes compostos por mais de duas palavras e no qual não foi possível aplicar nenhum dos métodos anteriores, deve-se utilizar a inicial das três primeiras palavras para formar o código. Exemplo - </t>
    </r>
    <r>
      <rPr>
        <b/>
        <sz val="12"/>
        <color theme="1"/>
        <rFont val="Rockwell"/>
        <family val="1"/>
      </rPr>
      <t>S</t>
    </r>
    <r>
      <rPr>
        <sz val="12"/>
        <color theme="1"/>
        <rFont val="Rockwell"/>
        <family val="1"/>
      </rPr>
      <t xml:space="preserve">erra </t>
    </r>
    <r>
      <rPr>
        <b/>
        <sz val="12"/>
        <color theme="1"/>
        <rFont val="Rockwell"/>
        <family val="1"/>
      </rPr>
      <t>E</t>
    </r>
    <r>
      <rPr>
        <sz val="12"/>
        <color theme="1"/>
        <rFont val="Rockwell"/>
        <family val="1"/>
      </rPr>
      <t xml:space="preserve">létrica para </t>
    </r>
    <r>
      <rPr>
        <b/>
        <sz val="12"/>
        <color theme="1"/>
        <rFont val="Rockwell"/>
        <family val="1"/>
      </rPr>
      <t>G</t>
    </r>
    <r>
      <rPr>
        <sz val="12"/>
        <color theme="1"/>
        <rFont val="Rockwell"/>
        <family val="1"/>
      </rPr>
      <t xml:space="preserve">esso. Nesse caso,  não é possivel utilizar o método 02, pois o código SEL01 já está sendo utilizado. Não é possivel utilizar o método 03, pois o código </t>
    </r>
    <r>
      <rPr>
        <b/>
        <sz val="12"/>
        <color theme="1"/>
        <rFont val="Rockwell"/>
        <family val="1"/>
      </rPr>
      <t xml:space="preserve">SRR01 </t>
    </r>
    <r>
      <rPr>
        <sz val="12"/>
        <color theme="1"/>
        <rFont val="Rockwell"/>
        <family val="1"/>
      </rPr>
      <t xml:space="preserve">já está sendo utilizado.Resta utilizar o método 4 para formar o código </t>
    </r>
    <r>
      <rPr>
        <b/>
        <sz val="12"/>
        <color theme="1"/>
        <rFont val="Rockwell"/>
        <family val="1"/>
      </rPr>
      <t>SEG01</t>
    </r>
    <r>
      <rPr>
        <sz val="12"/>
        <color theme="1"/>
        <rFont val="Rockwell"/>
        <family val="1"/>
      </rPr>
      <t>.</t>
    </r>
  </si>
  <si>
    <r>
      <t xml:space="preserve">2 - Identificar a posição </t>
    </r>
    <r>
      <rPr>
        <b/>
        <sz val="12"/>
        <color theme="1"/>
        <rFont val="Rockwell"/>
        <family val="1"/>
      </rPr>
      <t>alfabética</t>
    </r>
    <r>
      <rPr>
        <sz val="12"/>
        <color theme="1"/>
        <rFont val="Rockwell"/>
        <family val="1"/>
      </rPr>
      <t xml:space="preserve"> na qual será inserido o novo código na coluna A, levando em consideração a </t>
    </r>
    <r>
      <rPr>
        <b/>
        <sz val="12"/>
        <rFont val="Rockwell"/>
        <family val="1"/>
      </rPr>
      <t>ordem alfabética</t>
    </r>
    <r>
      <rPr>
        <sz val="12"/>
        <color theme="1"/>
        <rFont val="Rockwell"/>
        <family val="1"/>
      </rPr>
      <t xml:space="preserve"> do menor para o maior número. </t>
    </r>
  </si>
  <si>
    <t>3 - Clique com o botão direito do mouse no número da linha do código cadastrado no BD de ordem alfabética imediatamente superior ao número que se pretende cadastrar e em seguida a copie.</t>
  </si>
  <si>
    <r>
      <t xml:space="preserve">5 - Altere manualmente o código copiado para aquele que se pretende cadastrar e sua respectiva descrição, tipo de unidade como </t>
    </r>
    <r>
      <rPr>
        <b/>
        <sz val="12"/>
        <color theme="1"/>
        <rFont val="Rockwell"/>
        <family val="1"/>
      </rPr>
      <t>serviço</t>
    </r>
    <r>
      <rPr>
        <sz val="12"/>
        <color theme="1"/>
        <rFont val="Rockwell"/>
        <family val="1"/>
      </rPr>
      <t xml:space="preserve"> e setor de origem do Projeto Básico.</t>
    </r>
  </si>
  <si>
    <t>CATETER MONO LUMEN DE ACESSO VENOSO CENTRAL 6,5 FR (14GA X 20CM): Tamanho/Capacidade: mono lumen 14GA X aproximadamente 20cm. Material: poliuretano, biocompatível, radiopaco, quimicamente inerte, centimetrado, paredes finas, superfície lisa, ponta distal flexível e atraumática, termomoldável.  Acompanha introdutor 18 GA X 6,35cm, tipo gatilho, resistente à dobras, dilatador de vaso, fio guia metálico  0,32" (81mm) X 45cm, demarcado com ponta distal em 'J', agulha de punção e seringa, clamps e dispositivos para fixação do cateter, conexão em 'luer lock', tampas removíveis com membrana auto cicatrizante. Implantação pela técnica de Seldinger.  Aplicação: cateterização venosa profunda em pacientes graves, e potencialmente graves, para infusões , como NPT e de fármacos. Embalagem estéril, descartável</t>
  </si>
  <si>
    <t>ERIDATA TELEINFORMATICA LTDA</t>
  </si>
  <si>
    <t>EDILSON/FÁTIMA RAMALHO</t>
  </si>
  <si>
    <t>00.893.372/0001-94</t>
  </si>
  <si>
    <t>459.951-9</t>
  </si>
  <si>
    <t>ERIDATA</t>
  </si>
  <si>
    <t>TUBO CONECTOR ESPIRALADO 60'' BAIXA PRESSÃO, Aplicação: Tomografia computadorizada.</t>
  </si>
  <si>
    <t>FRASCO DE VIDRO COM TAMPA, CAPACIDADE DE 5 LITROS, PARA ASPIRADOR CIRÚRGICO MARCA PROTEC</t>
  </si>
  <si>
    <t>TAMPA DO FRASCO DO ASPIRADOR/COMPRESSOR MOD.45</t>
  </si>
  <si>
    <t>VIDRO COLETOR 5L P/ASPIRADOR/COMPRESSSOR MOD.AC 45</t>
  </si>
  <si>
    <t>CVS DE OLIVEIRA COMERCIAL E SERVIÇOS EIRELI-ME</t>
  </si>
  <si>
    <t>CVS</t>
  </si>
  <si>
    <t>DISCO DE CORTE,Aplicação: material ferroso, Tipo Uso: serra rápida (policorte), Dimensões: 10 pol, Diâmetro Furo: 5/8 pol, Características Adicionais: com reforço em tela , 2 lados</t>
  </si>
  <si>
    <t>DISCO ESMERILHADEIRA ELÉTRICA ANGULAR, Material: reforçado com tela, Diâmetro Disco: 7 pol, Diâmetro Furo: 7/8 pol, Aplicação: desbaste material ferroso, Espessura: 1/4 pol</t>
  </si>
  <si>
    <t>ARAME,Material: arame recozido, Referência: nº 18.</t>
  </si>
  <si>
    <t>PERFIL TRILHO STANLEY, Material: chapa de aço carbono SAE 1006/1010 nº. 18, Dimensões: 60 X 54mm, Peso: 2,060 kg/m, Unidade de Fornecimento: barra de 03 metros.</t>
  </si>
  <si>
    <t>ESPUMA D28 5CM 1,90X1,0 1</t>
  </si>
  <si>
    <t>GRAMPO GRAMPEADOR, Material: arame de aço, Tamanho: 50/7 para grampedor pneumático Imeco,  Unidade de Fornecimento: caixa com 8.000 unidades</t>
  </si>
  <si>
    <t xml:space="preserve">COLA FÓRMICA, Aplicação: madeira e laminado, Unidade De Fornecimento: galão de 3,6 litros </t>
  </si>
  <si>
    <t>Código do Item: 3.3.90.30.24.01.0021.000002-01</t>
  </si>
  <si>
    <t>BEB01</t>
  </si>
  <si>
    <t>BEB02</t>
  </si>
  <si>
    <t>BEB03</t>
  </si>
  <si>
    <t>BEB04</t>
  </si>
  <si>
    <t>BEB05</t>
  </si>
  <si>
    <t>Conserto do bebedouro de pressão Modelo BAG, Marca IBBL, Patrimônio: 1198929, tipo coluna, com ajuste automático de temperatura, com 1 torneira para boca e 1 torneira para copo.</t>
  </si>
  <si>
    <t>Conserto do bebedouro de pressão Modelo BAG, Marca IBBL, Patrimônio: 1198931, tipo coluna, com ajuste automático de temperatura, com 1 torneira para boca e 1 torneira para copo.</t>
  </si>
  <si>
    <t>Conserto do bebedouro de pressão Modelo BAG, Marca IBBL, Patrimônio: 1198932, tipo coluna, com ajuste automático de temperatura, com 1 torneira para boca e 1 torneira para copo.</t>
  </si>
  <si>
    <t>Conserto do bebedouro de pressão Modelo BAG, Marca IBBL, Patrimônio: 1198930, tipo coluna, com ajuste automático de temperatura, com 1 torneira para boca e 1 torneira para copo.</t>
  </si>
  <si>
    <t>Conserto do bebedouro de pressão Modelo BAG, Marca IBBL, Patrimônio: 1900 154 014, tipo coluna, com ajuste automático de temperatura, com 1 torneira para boca e 1 torneira para copo.</t>
  </si>
  <si>
    <t>BATERIA AUTOMOTIVA, Tensão: 12 volts, Amperagem: 70 ampéres, tipo: selada</t>
  </si>
  <si>
    <t>SERINGA HIPODÉRMICA DESCARTÁVEL PARA INSULINA 50U, AGULHADA, COM DISPOSITIVO DE SEGURANÇA, ESTÉRIL. Aplicação: administração de insulina no ambiente hospitalar. Material: seringa em plástico transparente e agulha em aço.</t>
  </si>
  <si>
    <t>SERINGA HIPODÉRMICA 1ML, AGULHADA, COM DISPOSITIVO DE SEGURANÇA, DESCARTÁVEL, ESTÉRIL. Aplicação: administração de vacinas e gasometria em neonatos. Material: seringa em plástico transparente e agulha em aço. Características Adicionais: com agulha de 13x4,5, no espaço destinado ao fluído não pode haver sujidade, manchas ou matérias orgânicas; cilindro deve ser de plástico transparente com acabamento perfeito que permita o movimento livre e suave do êmbolo, deve apresentar anel de retenção na extremidade distal que impeça a saída livre do êmbolo, a flange deve ter formato adequado para servir de apoio - aos dedos e deve impedir que a seringa role quando colocada em superfície inclinada; o pistão deve ajustar-se com precisão no interior do cilindro de modo a permitir aspiração e/ou injeção com movimento suave em todo percurso e não deve separar-se da haste, deve ter bico que favoreça boa fixação em agulha, com escala de mililitro visível e que garanta precisão de dosagens. Embalada individualmente em papel grau cirúrgico que facilite a abertura em técnica asséptica e que assegure a esterilidade do produto durante o transporte e armazenamento até o seu uso. Apresentação: embalada individualmente, acondicionadas em caixas.</t>
  </si>
  <si>
    <t>BENZILPENICILINA BENZATINA SUSPENSÃO INJETAVEL 1.200.000 UI FRASCO AMPOLA</t>
  </si>
  <si>
    <t>RECARGA PARA GRAMPEADOR LINEAR CORTANTE 75MM, PARA TECIDO INTERMEDIÁRIO, MEDINDO, NO MÍNIMO: COROA 3,00MM X ALTURA DE PERNA 4,20MM, E ALTURA DO GRAMPO FECHADO DE 1,80MM. COM COMPRIMENTO DE LINHA DE GRAMPOS DE 77MM E LINHA DE CORTE DE 73MM. POSSUIR, NO MÍNIMO, 1,5 GRAMPO ALÉM DA LINHA DE CORTE E 76 GRAMPOS NO TOTAL.  Carga Azul.</t>
  </si>
  <si>
    <t>AMIODARONA (CLORIDRATO) COMPRIMIDO 200 MG</t>
  </si>
  <si>
    <t xml:space="preserve">EQUIPO SIMPLES MACROGOTAS PARA BOMBA DE INFUSÃO DE SISTEMA LINEAR OU CASSETE OU TIPO SHUTTLE para administração de soluções parenterais, estéril, descartável. Ponta perfurante ISO, filtro de ar de 0,22 micras. Câmara gotejadora flexível e transparente que permita visualização e cadência das gotas contendo filtro de partícula de 15 micras. Segmento intermediário de silicone ou cassete, caso seja especificação relativa a bomba, injetor lateral autocicatrizante ou valvulado, presença de sistema de parada automática do fluxo, que evite o risco de vazão livre durante a abertura da porta, instalação e remoção do equipo. Pinça rolete, com tubo extensor em PVC atóxico, de mínimo 2,00 metros de comprimento. Conexão ao cateter no padrão luer lock e tampa protetora contendo membrana hidrófoba. Fabricado com material atóxico, embalado individualmente em papel grau cirúrgico, estéril. </t>
  </si>
  <si>
    <t>EQUIPO FOTOSSENSÍVEL, LIVRE DE DEHP PARA BOMBA DE INFUSÃO DE SISTEMA LINEAR OU CASSETE OU TIPO SHUTTLE, para administração de soluções parenterais fotossensíveis, estéril, descartável. Ponta perfurante ISO, filtro de ar de 0,22 micras. Câmara gotejadora flexível e transparente que permita visualização e cadência de gotas, contendo filtro de solução de 15  micras. Segmento intermediário de silicone ou cassete, caso seja especificação relativa a bomba, injetor lateral autocicatrizante ou valvulado, presença de sistema de parada automática do fluxo, que evita o risco de vazão livre durante a abertura da porta, instalação e remoção do equipo. Pinça rolete, tubo extensor em PVC, livre de DEHP e mínimo de 2,00m de comprimento, acompanhado de saco plástico protetor de soluções fotossensíveis.  Conexão ao cateter no padrão luer lock e tampa protetora contendo membrana hidrófoba.  Fabricado com material atóxico, embalado individualmente em papel grau cirúrgico, estéril.</t>
  </si>
  <si>
    <t>LUZ.COM ELETRICA LTDA ME</t>
  </si>
  <si>
    <t>ALMIR</t>
  </si>
  <si>
    <t>11.047.184/0001-61</t>
  </si>
  <si>
    <t>LUZ.COM</t>
  </si>
  <si>
    <t>MÁRCIO</t>
  </si>
  <si>
    <t>FLUORESCEINA (SODICA) A 1%. Aplicação: para diagnóstico de ceratite, úlceras de córnea e lesões de conjuntiva, Característica adicional: solução oftálmica para uso tópico, acondicionada em frasco conta-gotas, hermeticamente fechado e estéril, com 3 ml</t>
  </si>
  <si>
    <t>CASSETE CONTENDO TIRAS REAGENTES PARA URINÁLISE, com leitura automatizada.</t>
  </si>
  <si>
    <t>EBULIDOR DE ÁGUA (MERGULHÃO),Tamanho: médio, com no mínimo 28 cm de comprimento, Voltagem: 220 v</t>
  </si>
  <si>
    <t>CLOREXIDINA DIGLUCONATO, CONCENTRAÇÃO 0,12%, FORMA FARMACÊUTICA COLUTÓRIO. Aplicação: utilização em profilaxia, infecção cariogênica, gengivite, anti-séptico bucal contra micro-organismos gram-positivo e gram-negativos e para algumas leveduras. Unidade de fornecimento: frasco aproximadamente 1 litro com bomba dosadora. Unidade de estoque: Frasco.</t>
  </si>
  <si>
    <t>ATADURA DE CREPOM 13 FIOS ROLO 15CM X 1,8M. Aplicação: terapia compressiva, aplicações ortopédicas e outros. Tamanho:  15cm X 1,8m em repouso e , no mínimo, 2,7m esticada, com 13 fios/cm², pesando aproximadamente 33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24925. BR0361770</t>
  </si>
  <si>
    <t>COLCHÃO ESPUMA SOLTEIRO D-45,Material: espuma flexível de poliuretano D-45, Espessura: mínima 18 cm, Dimensões: 0,88 x 1,88 m, Revestimento: tecido liso, sem estampas, Densidade: Kg/m3, 42 mínimo, Tensão: Kpa, 90 mínimo, Alongamento: % 100 mínimo, Fasgamento: N/w, 450 mínimo, Resiliência: % 40 mínimo, Fator De Conforto: 1,8 mínimo, Conteúdo De Cinzas: % 0,50 máximo, Perda De Espessura: % 5, máximo, Perda De Suporte: 25%, máximo, Garantia: mínima de 2 anos, Características Adicionais: selo de qualidade impresso ou fixado no colchão</t>
  </si>
  <si>
    <t>ULT02</t>
  </si>
  <si>
    <t>ULT03</t>
  </si>
  <si>
    <t>Conserto do Aparelho de ULTRA-SOM TERAPEUTICO, Marca MEGSON KC 713V Chapa patrimonial n°753518.</t>
  </si>
  <si>
    <t>Conserto do Aparelho de ULTRA-SOM TERAPEUTICO, Marca MEGSON KC 713V Chapa patrimonial n°753519</t>
  </si>
  <si>
    <t>TEN01</t>
  </si>
  <si>
    <t>TEN02</t>
  </si>
  <si>
    <t>Conserto do Aparelho TENS/FES Marca KINESIS NEW, Chapa patrimonial n°776007.</t>
  </si>
  <si>
    <t>Conserto do Aparelho TENS/FES Marca KINESIS NEW, Chapa patrimonial n°776010.</t>
  </si>
  <si>
    <t>OCU01</t>
  </si>
  <si>
    <t>Conserto do Aparelho ONDAS CURTAS Marca EMAI 350 PLUS, Chapa patrimonial n°545919.</t>
  </si>
  <si>
    <t>TUR03</t>
  </si>
  <si>
    <t>Conserto do aparelho Turbilhão chapa patrimonial n°545920</t>
  </si>
  <si>
    <t>CHAPA AÇO,Material: aço carbono preto, Referência: nº 16, Comprimento: 200 cm, Largura: 100 cm 1</t>
  </si>
  <si>
    <t>RODÍZIO GIRATÓRIO, Características adicionais: com placa de fixação de 2 pol.</t>
  </si>
  <si>
    <t>GARRAFA TÉRMICA, Material Corpo: plástico, Material Cilindro: vidro espelhado, capacidade: 1000 ml, Formato: cilindrico.Características Mínimas: vedação térmica com bocal de torneira roscável e com
tampa.</t>
  </si>
  <si>
    <t>TECMED MANUTENÇÃO HOSPITALAR (WELLINGTON COSTA DA SILVA)</t>
  </si>
  <si>
    <t>WELLIGTON COSTA DA SILVA</t>
  </si>
  <si>
    <t>TECMED</t>
  </si>
  <si>
    <t>BOTA DE PVC, solado antiderrapante (com alto teor de borracha nitrilica), com  forro, cano médio: nº 43</t>
  </si>
  <si>
    <t>ÉTICA HOSPITALAR EIRELI-ME</t>
  </si>
  <si>
    <t>ÉTICA</t>
  </si>
  <si>
    <t>ÉTICA (703252)</t>
  </si>
  <si>
    <t>MF HOSPITALAR (MENDES MOURA MATERIAL HOSPITALAR CIRURGICA EIRELLI-ME)</t>
  </si>
  <si>
    <t>LUIZ OLIVEIRA</t>
  </si>
  <si>
    <t>26.228.413/0001-11</t>
  </si>
  <si>
    <t>1.228-9</t>
  </si>
  <si>
    <t>88.917-2</t>
  </si>
  <si>
    <t>MF HOSPITALAR</t>
  </si>
  <si>
    <t>FENIX MATERIAIS DE CONSTRUÇÃO</t>
  </si>
  <si>
    <t>28.128.604/0001-37</t>
  </si>
  <si>
    <t>CATETER DUPLO LUMEN DE ACESSO VENOSO CENTRAL ADULTO 7FR X 20CM. Tamanho/Capacidade: duplo lumen (14G/18G) X aproximadamente 20cm. Material: poliuretano, biocompatível, radiopaco, quimicamente inerte, centimetrado, paredes finas, superfície lisa, ponta distal flexível e atraumática, termomoldável.  Acompanha introdutor18 G X 6,35cm, tipo gatilho, resistente à dobras, dilatador de vaso, fio guia metálico  0,32'' (.81mm) X 60cm, demarcado com ponta distal em 'J', agulha de punção e seringa, clamps e dispositivos para fixação do cateter, conexão em 'luer lock', tampas removíveis com membrana auto cicatrizante. Implantação pela técnica de Seldinger.  Aplicação: cateterização venosa profunda em pacientes graves, e potencialmente graves, para infusões múltiplas, como NPT, etc.,  medida hemodinâmica e infusão de fármacos. Embalagem estéril, descartável.</t>
  </si>
  <si>
    <t>SERINGA HIPODÉRMICA DESCARTÁVEL PARA INSULINA 50U, AGULHADA, ESTÉRIL. Aplicação: administração de insulina no ambiente domiciliar. Material: seringa em plástico transparente e agulha em aço. Características Adicionais: com escala de graduação de 1 em 1 unidade visível e que garanta precisão nas doses pares e ímpares de insulina; com agulha fixa de 8mm X 0,33mm de forma a evitar o desperdício de insulina, não apresentando espaço morto, com perfeita adaptação ao bico do cilindro; no espaço destinado ao fluído não pode haver sujidade, manchas ou matérias orgânicas; o cilindro deve ser de plástico transparente com acabamento perfeito que permita o movimento livre e suave do êmbolo, deve ter anel de retenção na extremidade distal que impeça a saída livre do êmbolo, a flange deve ter formato adequado para servir de apoio aos dedos e deve impedir que a seringa role quando colocada em superfície inclinada; o êmbolo deve ajustar-se com precisão no interior do cilindro de modo a permitir aspiração e/ou injeção com movimento suave em todo percurso. Com protetor de agulha e êmbolo de forma a garantir a esterilide do produto. Apresentação: embalagem plástica com 10 seringas acondicionada em caixa.</t>
  </si>
  <si>
    <t>ESCOVA PARA LIMPEZA INTERNA DE VIDRO: Aplicação: escova reutilizável para limpeza de frascos com cerdas em nylon macias, confeccionado com nylon e poliéster em toda a sua extremidade com 125 mm de comprimento por 75 mm de diâmetro com cabo resistente em aço inox torcido e comprimento total de 26,4 cm. (variação +/- 5%). Forma de apresentação: Unidade.</t>
  </si>
  <si>
    <t>2272</t>
  </si>
  <si>
    <t>OP:003 CC:4684-1</t>
  </si>
  <si>
    <t>2437</t>
  </si>
  <si>
    <t>OP 003:CC 1111-4</t>
  </si>
  <si>
    <t>28.788.524/0001-08</t>
  </si>
  <si>
    <t xml:space="preserve">                           Em função do que se apresenta na planilha acima, das necessidades expostas no Projeto Básico e que o(s) produto(s) ofertado(s) atende(m) ao(s) requisito(s) de melhor proposta, prevista no edital referente à presente cotação, solicitamos de V.Sª o respaldo administrativo para declarar vencedora, por terem apresentado o menor preço e/ou menor prazo de entrega, a(s) seguinte(s) empresa(s) para o(s) respectivo(s) item(ns): </t>
  </si>
  <si>
    <t>Monitor LCD , 18.5” Widescreen D1960, Lenovo, Patrimônio GDF 844915</t>
  </si>
  <si>
    <t>Monitor LCD , 18.5” Widescreen D1960, Lenovo, Patrimônio GDF 845035</t>
  </si>
  <si>
    <t>Monitor LCD , 18.5” Widescreen D1960, Lenovo, Patrimônio GDF 1034207</t>
  </si>
  <si>
    <t>Monitor LCD , 18.5” Widescreen D1960, Lenovo, Patrimônio GDF 844932</t>
  </si>
  <si>
    <t>Monitor LCD , 18.5” Widescreen D1960, Lenovo, Patrimônio GDF 845086</t>
  </si>
  <si>
    <t>Monitor LCD , 18.5” Widescreen D1960, Lenovo, Patrimônio GDF 1033168</t>
  </si>
  <si>
    <t>Monitor LCD , 18.5” Widescreen D1960, Lenovo, Patrimônio GDF 845085</t>
  </si>
  <si>
    <t>Monitor LCD , 18.5” Widescreen D1960, Lenovo, Patrimônio GDF 844951</t>
  </si>
  <si>
    <t>Monitor LCD , 18.5” Widescreen D1960, Lenovo, Patrimônio GDF 844933</t>
  </si>
  <si>
    <t>Monitor LCD , 18.5” Widescreen D1960, Lenovo, Patrimônio GDF 844834</t>
  </si>
  <si>
    <t>Monitor LCD , 18.5” Widescreen D1960, Lenovo, Patrimônio GDF 844916</t>
  </si>
  <si>
    <t>Monitor LCD , 18.5” Widescreen D1960, Lenovo, Patrimônio GDF 844754</t>
  </si>
  <si>
    <t>Monitor LCD , 18.5” Widescreen D1960, Lenovo, Patrimônio GDF 844900</t>
  </si>
  <si>
    <t>Monitor LCD , 18.5” Widescreen D1960, Lenovo, Patrimônio GDF 844869</t>
  </si>
  <si>
    <t>Monitor LCD , 18.5” Widescreen D1960, Lenovo, Patrimônio GDF 848265</t>
  </si>
  <si>
    <t>Monitor LCD , 18.5” Widescreen D1960, Lenovo, Patrimônio GDF 844979</t>
  </si>
  <si>
    <t>Monitor LCD , 18.5” Widescreen D1960, Lenovo, Patrimônio GDF 844940</t>
  </si>
  <si>
    <t>Monitor LCD , 18.5” Widescreen D1960, Lenovo, Patrimônio GDF 844736</t>
  </si>
  <si>
    <t>Monitor LCD , 18.5” Widescreen D1960, Lenovo, Patrimônio GDF 844739</t>
  </si>
  <si>
    <t>Monitor LCD , 18.5” Widescreen D1960, Lenovo, Patrimônio GDF 844708</t>
  </si>
  <si>
    <t>Monitor LCD , 18.5” Widescreen D1960, Lenovo, Patrimônio GDF 844706</t>
  </si>
  <si>
    <t>Monitor LCD , 18.5” Widescreen D1960, Lenovo, Patrimônio GDF 844725</t>
  </si>
  <si>
    <t>Monitor LCD , 18.5” Widescreen D1960, Lenovo, Patrimônio GDF 844819</t>
  </si>
  <si>
    <t>MON01</t>
  </si>
  <si>
    <t>MON02</t>
  </si>
  <si>
    <t>MON03</t>
  </si>
  <si>
    <t>MON04</t>
  </si>
  <si>
    <t>MON05</t>
  </si>
  <si>
    <t>MON06</t>
  </si>
  <si>
    <t>MON07</t>
  </si>
  <si>
    <t>MON08</t>
  </si>
  <si>
    <t>MON09</t>
  </si>
  <si>
    <t>MON10</t>
  </si>
  <si>
    <t>MON11</t>
  </si>
  <si>
    <t>MON12</t>
  </si>
  <si>
    <t>MON13</t>
  </si>
  <si>
    <t>MON14</t>
  </si>
  <si>
    <t>MON15</t>
  </si>
  <si>
    <t>MON16</t>
  </si>
  <si>
    <t>MON17</t>
  </si>
  <si>
    <t>MON18</t>
  </si>
  <si>
    <t>MON19</t>
  </si>
  <si>
    <t>MON20</t>
  </si>
  <si>
    <t>MON21</t>
  </si>
  <si>
    <t>MON22</t>
  </si>
  <si>
    <t>MON23</t>
  </si>
  <si>
    <t>FIO DE SUTURA. Material: seda trançada, Características Adicionais: fio 3-0, cor preta, comprimento 45 cm, com 1 agulha, tipo agulha ponta cilíndrica, corpo cilíndrico, 1/2 cÍrculo, comprimento da agulha 3,0 cm, estéril. Forma De Apresentação: 1 fio por envelope, com identificação do lote, data de fabricação, data de validade impressos em língua portuguesa no envelope e na caixa. Deverá seguir a Norma do INMETRO ABNT 13904/2003.</t>
  </si>
  <si>
    <t>FPS REPRESENTAÇÃO E COMÉRCIO DE MATERIAL MÉDICO HOSPITALAR LTDA</t>
  </si>
  <si>
    <t>07.628.264/0001-33</t>
  </si>
  <si>
    <t>45.091-X</t>
  </si>
  <si>
    <t>FPS</t>
  </si>
  <si>
    <t>LORENA SILVA FLOR</t>
  </si>
  <si>
    <t>33.250.713/0002-43</t>
  </si>
  <si>
    <t>STRATTNER</t>
  </si>
  <si>
    <t>BOLSA TÉRMICA, Descrição: bolsa térmica, Material: borracha, Características adicionais: com gel / revestimento maleável, capacidade 300.</t>
  </si>
  <si>
    <t>CONE DE SINALIZAÇÃO COMPOSTO DE MATERIAL SINTÉTICO, COM ALTURA DE 75 CM, NA COR LARANJA COM 02 (DUAS) FAIXAS BRANCAS REFLETIVAS.  Deve ser flexível e resistente a impacto com veículo e conter acessórios base c/ 08 sapatas, suporte e faixa de isolamento. A marca da SES/DF deverá ser impressa em serigrafia, com diâmetro de 7,0 cm; após a faixa branca superior, na cor preta. A identificação do fabricante, lote e a referência do produto deverão estar na base do cone.</t>
  </si>
  <si>
    <t>DIRK LABIMED LTDA ME</t>
  </si>
  <si>
    <t>01.624.271/0001-80</t>
  </si>
  <si>
    <t>DIRK</t>
  </si>
  <si>
    <t>PREDNISONA COMPRIMIDO 20 MG.</t>
  </si>
  <si>
    <t>NFH</t>
  </si>
  <si>
    <t>Nº de processo SEI</t>
  </si>
  <si>
    <t>3599-8</t>
  </si>
  <si>
    <t>BROMOPRIDA SOLUCAO INJETAVEL 5MG/ML AMPOLA 2ML</t>
  </si>
  <si>
    <t>CONJUNTO PARA DETERMINAÇÃO DE DOENÇA DE CHAGAS - REACAO HEMAGLUTINAÇAO INDIRETA</t>
  </si>
  <si>
    <t>PROXIMETACAINA (CLORIDRATO) SOLUÇAO OFTALMICA 0,5 % FRASCO CONTA-GOTA 5 ML</t>
  </si>
  <si>
    <t xml:space="preserve"> NFH</t>
  </si>
  <si>
    <t>FIO DE SUTURA DE POLIESTER + POLIBUTILATO TRANÇADO 2-0, 75CM, COM 02 AGULHAS DE 2,0 A 2,2CM PONTA CILINDRICA CORPO RETANGULAR 1/2 CIRCULO. Material: poliéster + polibutilato trançado, Características Adicionais: fio 2-0, cor verde/azul, comprimento 75 cm, com 1 agulha em cada ponta do fio, tipo agulha ponta cilindrica corpo retangular 1/2 circulo, comprimento da agulha 2,0 a 2,2cm, estéril. Forma De Apresentação: 1 fio por envelope, com identificação do lote, data de fabricação, data de validade impressos em língua portuguesa no envelope e na caixa. Deverá seguir a Norma do INMETRO ABNT 13904/2003.</t>
  </si>
  <si>
    <t>RT COMERCIO E SERVIÇOS LTDA-ME</t>
  </si>
  <si>
    <t>10.336.598/0001-48</t>
  </si>
  <si>
    <t>999000-3</t>
  </si>
  <si>
    <t>RT COMERCIO</t>
  </si>
  <si>
    <t>VERA CRUZ</t>
  </si>
  <si>
    <t xml:space="preserve">CURATIVO BOTA DE UNNA 7,6CM x 9M (+ ou - 1 cm), NAO ESTERIL. Aplicação: tratamento de úlceras vasculares venosas e edema linfático. Material: bandagem flexível com aproximadamente 70% de poliéster e 30% de algodão, impregnada com pasta de óxido de zinco, podendo ter adição de acácia, glicerina, óleo de rícino (ou óleo de castor) e petrolato branco. Características Adicionais: rolo, não estéril. Apresentação: embalado individualmente. </t>
  </si>
  <si>
    <t>CAMISOLA ADULTO EM CRETONE BRANCO TAM 48,  Peça única, costuras laterais, mangas japonesas curtas,  decote frontal transpassado, fechado na altura do ombro e cintura por tiras laterais, comprimento total 133cm, largura total 84cm, largura da manga 30cm. Costura reta e Overlock com linha 100% algodão.Tecido: Cretone Branco Estampado com logotipo da SES em toda extensão, composição: 100% algodão, armadura 1x1, nº de fios:23/cm2 na trama e no urdume, encolhimento 8% urdume e 4%  trama, peso:160g/m2</t>
  </si>
  <si>
    <t>FITOMENADIONA (VITAMINA K) SOLUÇAO INJETAVEL INTRA-MUSCULAR 10 MG/ML AMPOLA 1 ML</t>
  </si>
  <si>
    <t>AUTORIZO A PRESENTE DISPENSA DE LICITAÇÃO nos termos do inciso II, do art. 24 da Lei 8.666/93. Caso não seja alcançado o número mínimo de três propostas para cada item constante neste edital, fica autorizada a republicação.</t>
  </si>
  <si>
    <t>1 - Matrix de cotação gerada.</t>
  </si>
  <si>
    <t>2 - Matrix de cotação - pedido de cotação gerado.</t>
  </si>
  <si>
    <t>3 - Interrupção - aguardando liberação de códigos.</t>
  </si>
  <si>
    <t>4 - SIS - cadastro iniciado.</t>
  </si>
  <si>
    <t>5 - SEI - Pedido de cotação anexada ao processo.</t>
  </si>
  <si>
    <t>6 - SEI - Pedido de cotação incluído no Bloco de Assinatura.</t>
  </si>
  <si>
    <t>7 - SEI - Pedido de cotação assinado.</t>
  </si>
  <si>
    <t>8 - Pedido de cotação publicado.</t>
  </si>
  <si>
    <t>9 - Matrix de cotação - 2ª publicação</t>
  </si>
  <si>
    <t>10 - SEI - E-mail(s) anexado(s).</t>
  </si>
  <si>
    <t>11 - Prazo para recebimento de propostas encerrado.</t>
  </si>
  <si>
    <t>12 - Matrix de cotação - Propostas apuradas.</t>
  </si>
  <si>
    <t>13 - Matrix de cotação - Adjudicação e Orden(s) de compra(s) geradas.</t>
  </si>
  <si>
    <t>14 - SIS - Cadastro realizado até a fase de parecer.</t>
  </si>
  <si>
    <t>15 - SIS - Pedido de cotação SIS e mapa comparativo gerados</t>
  </si>
  <si>
    <t>17 - SEI - Adjudicação e Ordem(ns) de compra(s) incluídos no Bloco de Assinatura</t>
  </si>
  <si>
    <t>18 - SEI - Adjudicação e Ordem(ns) de compra(s) assinados.</t>
  </si>
  <si>
    <t>19 - Ordem(ns) de compra enviada(s) ao fornecedor.</t>
  </si>
  <si>
    <t>20 - SEI - Processo encaminhado ao setor solicitante para inclusão de nota fiscal.</t>
  </si>
  <si>
    <t>21 - Matrix geral - Nota Fiscal cadastrada</t>
  </si>
  <si>
    <t>22 - Matrix geral - TED anexada.</t>
  </si>
  <si>
    <t>16 - SEI - Pedido SIS, prop., mapa, adju. e Orden(s) de anexadas ao processo.</t>
  </si>
  <si>
    <t>24 - Processo finalizado.</t>
  </si>
  <si>
    <t>23 - SEI - certidões compiladas anexadas.</t>
  </si>
  <si>
    <t>Status da cotação</t>
  </si>
  <si>
    <t>VG</t>
  </si>
  <si>
    <t>NC</t>
  </si>
  <si>
    <t xml:space="preserve">CORDA DE NYLON (POLIAMIDA) TRANÇADA COM 10 MM (MILÍMETROS) DE
DIÂMETRO. Material/Composição: nylon (poliamida) trançado. Diâmetro: 10 mm (milímetros). Características: com excelente durabilidade, boa elasticidade, elevada absorção de água,
</t>
  </si>
  <si>
    <t>POLIDOCANOL 3% AMPOLA 2ML</t>
  </si>
  <si>
    <t>SONDA DE FOLEY 3 VIAS LÁTEX Nº 20. Aplicação: drenagem e controle da diurese e irrigação vesical. Material: látex atóxico.  Características Adicionais: estéril, descartável, siliconizada,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da sonda,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092451. BR0277025</t>
  </si>
  <si>
    <t>AUTORIZO A PRESENTE DISPENSA DE LICITAÇÃO nos termos do inciso II, do art. 24 da Lei 8.666/93. Caso não seja alcançado o número mínimo de três propostas para cada item constante na 1ª Publicação, fica autorizada a republicação.</t>
  </si>
  <si>
    <t>BEL05</t>
  </si>
  <si>
    <t>Conserto de Bisturi elétrico marca WEM, modelo SS 501, número de patrimônio 518674.</t>
  </si>
  <si>
    <t>BEL06</t>
  </si>
  <si>
    <t>Conserto de Bisturi elétrico marca WEM, modelo SS 601 , número de patrimônio 1009028.</t>
  </si>
  <si>
    <t>MÃO FRANCESA DE 40 CM (Reforçada), Aplicação: sustentação de prateleira, Material: Ferro/Aço, Validade: Indeterminado.</t>
  </si>
  <si>
    <t>BUCHA FIXAÇÃO, Material: nylon, Tamanho: S-10. 1</t>
  </si>
  <si>
    <t>CARBAMAZEPINA SUSPENSAO ORAL 100 MG/5 ML FRASCO 100 ML</t>
  </si>
  <si>
    <t>CIRÚRGICA FERNANDES (3510)</t>
  </si>
  <si>
    <t>NFH/HRG</t>
  </si>
  <si>
    <t>LIGA CLIPE DE TITANIO MEDIO-LARGO REF.LT 300 , COM RANHURAS LONGITUDINAIS, TIPO EMBALAGEM CAIXA COM 30 CARTUCHOS DE 6 CLIPES.</t>
  </si>
  <si>
    <t>AGULHA PARA ANESTESIA PERIDURAL, EPIDURAL OU CAUDAL, 16G 3 1/2' , BISEL TIPO TUOHY, MARCAÇÃO EM CM PARA CONTROLE DE PROFUNDIDADE, COMPRIMENTO 8.1CM, EMPUNHADURA ANATÔMICA, CANHÃO TRANSPARENTE, EMBALAGEM INDIVIDUAL, PAPEL GRAU CIRÚRGICO.</t>
  </si>
  <si>
    <t>452-9</t>
  </si>
  <si>
    <t>16.695-2</t>
  </si>
  <si>
    <t>V Total</t>
  </si>
  <si>
    <t>ATD (700657)</t>
  </si>
  <si>
    <t>RV GRÁFICA (703134)</t>
  </si>
  <si>
    <t xml:space="preserve">SONDA URETRAL Nº 12.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(UN). Código SES: 092497. </t>
  </si>
  <si>
    <t>AGULHA PARA ANESTESIA PERIDURAL, EPIDURAL OU CAUDAL, 18G 3 1/2' , BISEL TIPO TUOHY, MARCAÇÃO EM CM PARA CONTROLE DE PROFUNDIDADE, COMPRIMENTO 8.1CM, EMPUNHADURA ANATÔMICA, CANHÃO TRANSPARENTE, EMBALAGEM INDIVIDUAL, PAPEL GRAU CIRÚRGICO.</t>
  </si>
  <si>
    <t>SEVOFLURANO SOLUÇAO INALATORIA FRASCO 250 ML</t>
  </si>
  <si>
    <t>Data de atesto</t>
  </si>
  <si>
    <t>Data SEI</t>
  </si>
  <si>
    <t>SERRA DE GIGLI ACO INOX 500MM</t>
  </si>
  <si>
    <t>JOGO DE MACHO P/ROSCA DE 5MM EM ACO RAPIDO</t>
  </si>
  <si>
    <t xml:space="preserve">SONDA DE FOLEY 2 VIAS LÁTEX Nº 22.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Código SES: 092440.  </t>
  </si>
  <si>
    <t>FLF01</t>
  </si>
  <si>
    <t>Fonte de Luz Fria Halogena Marca: Endoluxx Modelo: HS 15001 Patrimônio:146087</t>
  </si>
  <si>
    <t>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t>
  </si>
  <si>
    <t>VALPROATO DE SODIO COMPRIMIDO OU CAPSULA (EQUIVALENTE 250 MG ACIDO VALPROICO)</t>
  </si>
  <si>
    <t>Prazo para recebimento das propostas, conforme publicado no EMAIL.</t>
  </si>
  <si>
    <t>REF06</t>
  </si>
  <si>
    <t>Refrigerador Eletrohospitalar Modelo ELO800 Pat GDF.: 1004943</t>
  </si>
  <si>
    <t>CAMPO FENESTRADO 170x170 cm, Aplicação: procedimento cirúrgico, material: Tecido liso, cor azul e 100% algodão, Linha 100% algodão. Tamanho: 170x170cm, Característica: Conforme NBR 16064/2016, com resistência a penetração microbiana e a líquidos. Peça simples, reforço duplo em volta da fenestra de 10 cm de largura com fenestra de 15x24 cm centralizada no campo, Costura reta e overlock com linha 100% algodão,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13906.</t>
  </si>
  <si>
    <t>CAMPO FENESTRADO 170x120 cm, Aplicação: para acesso venoso adulto. Material: Conforme NBR 16064/2016, com resistência a penetração microbiana e a líquidos. Tecido liso, cor azul e 100% algodão, Linha 100% algodão, Tamanho: 170x120cm, Características: Peça simples com barras estreitas medindo 170 x 120m, reforço duplo em volta da fenestra de 10 cm de largura, parte fenestrada redonda de 12 cm, centralizada na largura a 30 cm da parte inferior,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14010</t>
  </si>
  <si>
    <t>CAMPO FENESTRADO ORL 110x150cm, Aplicação: procedimento cirúrgico da otorrino. Material: Tecido liso, cor azul e 100% algodão, Linha 100% algodão. Tamanho: 110 x150 cm, Características: Peça simples sendo a parte fenestrada ovalada 15x13 cm, sendo a parte fenestrada 15 cm acima dos bolsos, parte inferior de uma das extremidades dupla de 20 cm, com duas costuras formando três bolsos,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 Código SES: 13905.</t>
  </si>
  <si>
    <t>CAPOTE PARA ÁREA RESTRITA, Aplicação: para servidor de área restrita, Material: Tecido liso, cor verde, 100% algodão, Linha 100% algodão, Tamanho: 48, Características: Peça única, costuras laterais, mangas raglãs compridas com punho em malha ribana sanfonada 100% algodão cor verde, decote rente ao pescoço com tiras para amarrar, abertura nas costas com transpasse, cinto preso as laterais, Comprimento total: 150 cm, largura total: 100 cm, comprimento da manga: 75cm+ punho,comprimento do cinto: 90 cm de cada lado, Tecido com armação sarja 2x1cm², gramatura mínima 190g/m², fio urdume título 20, fio de trama título 16, encolhimento máximo 3%, variação de largura ± 2%, variação de peso ± 5g, Variação de medida do produto acabado ± 3 cm, Apresentar no capote a logomarca da SES-DF medindo 15x15cm na cor verde bandeira na parte superior frontal e sigla do hospital nas mangas próximo do ombro verticalmente na cor preta, Forma de Apresentação: Embalagem primária em saco plástico com no máximo 10 unidades e secundaria em caixa de papelão com no máximo 100 unidades, Unidade de Estoque: Unidade, Unidade de fornecimento: Unidade, Código SES: 15785.</t>
  </si>
  <si>
    <t>LENÇOL ADULTO 2,70X1,70m. Aplicação: cobertura do colchão e do paciente. Material: tecido tela, cor branca, 50% algodão e 50% poliéster, linha 100% algodão, número mínimo de fios de 180. Tamanho: 2,70X1,70m. Características: peça simples, com barras estreitas, costura reta com linha 100% algodão, tecido tela 50% algodão e 50% poliéster, com variação de ±5%; gramatura mínima de 120g/m. Apresentar no centro do lençol a logomarca da SES-DF medindo 22x22cm e o nome da peça com seu tamanho. Forma de Apresentação: embalagem primária em saco plástico com 10 unidades e secundária em fardo plástico com no máximo 100 unidades. Unidade de estoque: unidade. Unidade de fornecimento: unidade.</t>
  </si>
  <si>
    <t>MCI06</t>
  </si>
  <si>
    <t>MCI07</t>
  </si>
  <si>
    <t>MESAS CIRÚRGICAS MARCA: MAQUET MODELO: ALPHACLASSIC PATRIMÔNIOS: 020265</t>
  </si>
  <si>
    <t>MESAS CIRÚRGICAS MARCA: MAQUET MODELO: ALPHACLASSIC PATRIMÔNIOS: 020267</t>
  </si>
  <si>
    <t xml:space="preserve">CAMAS ELÉTRICAS Patrimônios:  878174  </t>
  </si>
  <si>
    <t>CAMAS ELÉTRICAS (ENTERPRISE) Patrimônios: 1018047</t>
  </si>
  <si>
    <t>CAMAS ELÉTRICAS (ENTERPRISE) Patrimônios: 1017997</t>
  </si>
  <si>
    <t>CAMAS ELÉTRICAS (ENTERPRISE) Patrimônios: 1018003</t>
  </si>
  <si>
    <t>CAMAS ELÉTRICAS (ENTERPRISE) Patrimônios: 1017985</t>
  </si>
  <si>
    <t>CAMAS ELÉTRICAS (ENTERPRISE) Patrimônios: 1018023</t>
  </si>
  <si>
    <t>CAMAS ELÉTRICAS (ENTERPRISE) Patrimônios: 1017982</t>
  </si>
  <si>
    <t>CAMAS ELÉTRICAS (ENTERPRISE) Patrimônios: 1018002</t>
  </si>
  <si>
    <t>CAMAS ELÉTRICAS (ENTERPRISE) Patrimônios: 1018033</t>
  </si>
  <si>
    <t>CAMAS ELÉTRICAS (ENTERPRISE) Patrimônios: 1017996</t>
  </si>
  <si>
    <t>CAMAS ELÉTRICAS PATRIMÔNIOS: 922099</t>
  </si>
  <si>
    <t>CAMAS ELÉTRICAS PATRIMÔNIOS: 922100</t>
  </si>
  <si>
    <t>CAMAS ELÉTRICAS PATRIMÔNIOS: 922102</t>
  </si>
  <si>
    <t>CAMAS ELÉTRICAS PATRIMÔNIOS: 922104</t>
  </si>
  <si>
    <t>CAMAS ELÉTRICAS PATRIMÔNIOS: 922105</t>
  </si>
  <si>
    <t>CAMAS ELÉTRICAS PATRIMÔNIOS: 922107</t>
  </si>
  <si>
    <t>CAMAS ELÉTRICAS PATRIMÔNIOS: 922108</t>
  </si>
  <si>
    <t>CAMAS ELÉTRICAS PATRIMÔNIOS: 922109</t>
  </si>
  <si>
    <t>CAMAS ELÉTRICAS PATRIMÔNIOS: 922110</t>
  </si>
  <si>
    <t>CAMAS ELÉTRICAS PATRIMÔNIOS: 19960</t>
  </si>
  <si>
    <t>CAMAS ELÉTRICAS PATRIMÔNIOS: 19963</t>
  </si>
  <si>
    <t>CAMAS ELÉTRICAS PATRIMÔNIOS: 19968</t>
  </si>
  <si>
    <t>CAMAS ELÉTRICAS PATRIMÔNIOS: 390866</t>
  </si>
  <si>
    <t>CAMAS ELÉTRICAS PATRIMÔNIOS: 19959</t>
  </si>
  <si>
    <t>AUT03</t>
  </si>
  <si>
    <t>AUTOCLAVE PATRIMÔNIO: 1260509</t>
  </si>
  <si>
    <t>SUGAMADEX SÓDICO SOLUÇÃO INJETÁVEL100 MG/ML FRASCO-AMPOLA 2 ML</t>
  </si>
  <si>
    <t>ISOFLURANO LIQUIDO FRASCO 100 ML</t>
  </si>
  <si>
    <t>CATETER CENTRAL DE INSERÇÃO PERIFÉRICA (PICC), MONO LÚMEN 1,9 - 2 FR X 20 - 30 CM, NEONATAL, ESTÉRIL.Finalidade: administração de medicamentos em dispositivo vascular de inserção periférica com localização central em pacientes neonatos. Aplicação: terapia endovenosa de longa permanência em recém-nascidos. MATERIAL: silicone ou poliuretano, biocompatível. TAMANHO: 1,9 - 2 FR x 20 - 30 cm, (neonatal), CARACTERÍSTICAS ADICIONAIS: tipo percutânio, extramacio totalmente demarcado de 1 em 1 cm, (centimetrado), radiopaco, acompanhado de introdutor bipartível e bisel trifacetado, transparente que permita a visualização do fluxo sanguíneo, com tampa filtro e fita métrica descartável para medição exata do cateter. Com estrutura confeccionada em única peça, evitando a migração de partes do cateter. Que assegure tempo de permanência de 06 meses a 01 ano de uso, resistente a dobras,baixa aderência bacteriana até o fim do tratamento. Embalagem individual rígida que permita a abertura em técnica asséptica, capaz de assegurar a esterilidade do produto durante o transporte, armazenamento até o momento do uso. tipo USO ÚNICO. ESTÉRIL; Já vem estéril de fabrica 75% do prazo de validade do produto. APRESENTAÇÃO: embalagem individual (unidade) acondicionada em caixa (kit)</t>
  </si>
  <si>
    <t>EMI01</t>
  </si>
  <si>
    <t>Estufa Microbiológica - Patrimônio: 958591</t>
  </si>
  <si>
    <t>APR01</t>
  </si>
  <si>
    <t>APR02</t>
  </si>
  <si>
    <t>APARELHO DE PRESSÃO - PAT.: 131061</t>
  </si>
  <si>
    <t>APARELHO DE PRESSÃO - PAT.: 566332</t>
  </si>
  <si>
    <t>MPC01</t>
  </si>
  <si>
    <t>MON24</t>
  </si>
  <si>
    <t>MON25</t>
  </si>
  <si>
    <t>MON26</t>
  </si>
  <si>
    <t>MON27</t>
  </si>
  <si>
    <t>MON28</t>
  </si>
  <si>
    <t>MON29</t>
  </si>
  <si>
    <t>MON30</t>
  </si>
  <si>
    <t>MON31</t>
  </si>
  <si>
    <t>MON32</t>
  </si>
  <si>
    <t>MON33</t>
  </si>
  <si>
    <t>MON34</t>
  </si>
  <si>
    <t>MON35</t>
  </si>
  <si>
    <t>MON36</t>
  </si>
  <si>
    <t>MON37</t>
  </si>
  <si>
    <t>MON38</t>
  </si>
  <si>
    <t>MON39</t>
  </si>
  <si>
    <t>MON40</t>
  </si>
  <si>
    <t>MON41</t>
  </si>
  <si>
    <t>Monitor LCD , 18.5” Widescreen D1960WA, Lenovo, Patrimônio GDF 844766</t>
  </si>
  <si>
    <t>Monitor LCD , 18.5” Widescreen D1960WA, Lenovo, Patrimônio GDF 845119</t>
  </si>
  <si>
    <t>Monitor LCD , 18.5” Widescreen D1960WA, Lenovo, Patrimônio GDF 844842</t>
  </si>
  <si>
    <t>Monitor LCD , 18.5” Widescreen D1960WA, Lenovo, Patrimônio GDF 74294</t>
  </si>
  <si>
    <t>Monitor LCD , 18.5” Widescreen D1960WA, Lenovo, Patrimônio GDF 844874</t>
  </si>
  <si>
    <t>Monitor LCD , 18.5” Widescreen D1960WA, Lenovo, Patrimônio GDF 844821</t>
  </si>
  <si>
    <t>Monitor LCD , 18.5” Widescreen D1960WA, Lenovo, Patrimônio GDF 712904</t>
  </si>
  <si>
    <t>Monitor LCD , 18.5” Widescreen D1960WA, Lenovo, Patrimônio GDF 844755</t>
  </si>
  <si>
    <t>Monitor LCD , 18.5” Widescreen D1960WA, Lenovo, Patrimônio GDF 844763</t>
  </si>
  <si>
    <t>Monitor LCD , 18.5” Widescreen D1960WA, Lenovo, Patrimônio GDF 844876</t>
  </si>
  <si>
    <t>Monitor LCD , 18.5” Widescreen D1960WA, Lenovo, Patrimônio GDF 844963</t>
  </si>
  <si>
    <t>Monitor LCD , 18.5” Widescreen D1960WA, Lenovo, Patrimônio GDF 844833</t>
  </si>
  <si>
    <t>Monitor LCD , 18.5” Widescreen D1960WA, Lenovo, Patrimônio GDF 844924</t>
  </si>
  <si>
    <t>Monitor LCD , 18.5” Widescreen D1960WA, Lenovo, Patrimônio GDF 1033968</t>
  </si>
  <si>
    <t>Monitor LCD , 18.5” Widescreen D1960WA, Lenovo, Patrimônio GDF 845136</t>
  </si>
  <si>
    <t>Monitor LCD , 18.5” Widescreen D1960WA, Lenovo, Patrimônio GDF 844822</t>
  </si>
  <si>
    <t>Monitor LCD , 18.5” Widescreen D1960WA, Lenovo, Patrimônio GDF 847599</t>
  </si>
  <si>
    <t>Monitor LCD , 18.5” Widescreen P2270HN, Sansung, Patrimônio GDF 365002</t>
  </si>
  <si>
    <t>METILPREDNISOLONA (ACETATO) SUSPENSAO INJETAVEL 40 MG/ML FRASCO-AMPOLA 2 ML</t>
  </si>
  <si>
    <t>Roseli</t>
  </si>
  <si>
    <t>CAMA ELÉTRICA - PAT.: 1018028</t>
  </si>
  <si>
    <t>CAMA ELÉTRICA - PAT.: 878241</t>
  </si>
  <si>
    <t>CAMA ELÉTRICA - PAT.: 878141</t>
  </si>
  <si>
    <t>CAMA ELÉTRICA - PAT.: 1017978</t>
  </si>
  <si>
    <t>CAMA ELÉTRICA - PAT.: 1018037</t>
  </si>
  <si>
    <t>CAMA ELÉTRICA - PAT.: 1018001</t>
  </si>
  <si>
    <t>CAMA ELÉTRICA - PAT.: 1018013</t>
  </si>
  <si>
    <t>CAMA ELÉTRICA - PAT.: 1017977</t>
  </si>
  <si>
    <t>CAMA ELÉTRICA - PAT.: 1018026</t>
  </si>
  <si>
    <t>CAMA ELÉTRICA - PAT.: 1018009</t>
  </si>
  <si>
    <t>CAMA ELÉTRICA - PAT.: 1017994</t>
  </si>
  <si>
    <t>CAMA ELÉTRICA - PAT.: 10188031</t>
  </si>
  <si>
    <t>TER01</t>
  </si>
  <si>
    <t>Termodesinfectora - Marca  CISA - Feel the inovation - CE 0123, bivolt. Patrimônio GDF nº: 807520</t>
  </si>
  <si>
    <t>BIP01</t>
  </si>
  <si>
    <t>BOMBA DE INFUSÃO DE PROPOFOL - PAT.: 993587</t>
  </si>
  <si>
    <t>BIP02</t>
  </si>
  <si>
    <t>BIP03</t>
  </si>
  <si>
    <t>BOMBA DE INFUSÃO DE PROPOFOL - PAT.: 993586</t>
  </si>
  <si>
    <t>BOMBA DE INFUSÃO DE PROPOFOL - PAT.: 993585</t>
  </si>
  <si>
    <t>CABO DE REDE,Aplicação: Conectar microcomputador ao ponto de rede e Switch de rede., Categoria: 6 (100 metros), Características Adicionais: RJ 45 x RJ45, cabo UTP REDE ETHERNET, 10/100 Base T, resistência elétrica máxima do condutor em C.C. a 20ºC/Km 93,8, capacitância mútua máxima da 20ºC pF/m 56, impedância característica nominal de 1 a 400 MHz 100+/- 15%, tensão aplicada entre condutores Vdc/3s 1 500, atraso de propagação máxima a 10 MHz ns/100m 545, variação de atraso de propagação(pior caso)ns/100m 20, velocidade de propagação nominal % 67, Tamanho: 10 metros, Cor: azul, Forma De Apresentação: Unidade com 02 conectores RJ-45, Unidade De Estoque: CX</t>
  </si>
  <si>
    <t>CAMA ELÉTRICA - PAT.: 1917851</t>
  </si>
  <si>
    <t>CAMA ELÉTRICA - PAT.: 42882</t>
  </si>
  <si>
    <t>Capela de Fluxo Laminar Modelo: 120610 Marca: Eletrospitalar Patrimônio: 761222</t>
  </si>
  <si>
    <t>CFL01</t>
  </si>
  <si>
    <t>BAQ08</t>
  </si>
  <si>
    <t xml:space="preserve">LUVA SINTETICA PARA PROCEDIMENTO NAO ESTERIL TAMANHO " M ". Aplicação: uso em procedimento não estéril para profissionais que apresentam hipersensibilidade ao látex. Material: nitrile ou vinil, Tamanho: médio.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t>
  </si>
  <si>
    <t>DES03</t>
  </si>
  <si>
    <t>CAMA ELÉTRICA - PAT.: 878262</t>
  </si>
  <si>
    <t>CAMA ELÉTRICA - PAT.: 556231</t>
  </si>
  <si>
    <t>QTD COD</t>
  </si>
  <si>
    <t>FCI01</t>
  </si>
  <si>
    <t>Foco Cirúrgico - Pat.: 552971</t>
  </si>
  <si>
    <t>TER02</t>
  </si>
  <si>
    <t>Termodesinfectora - Pat.: 1303502</t>
  </si>
  <si>
    <t>MHE01</t>
  </si>
  <si>
    <t>Máquina para Hemodiálise - Pat.: 146282 Número de Série: 7V5A8968</t>
  </si>
  <si>
    <t>RF MEDICAL SERVIÇOS E EQUIPAMENTOS MÉDICOS LTDA</t>
  </si>
  <si>
    <t>AILTON FREITAS</t>
  </si>
  <si>
    <t>08.306.090/0001-55</t>
  </si>
  <si>
    <t>RF MEDICAL</t>
  </si>
  <si>
    <t>MONITOR PHILLIPS MP30 - PAT.: 878014</t>
  </si>
  <si>
    <t>MONITOR PHILLIPS MP30 - PAT.: 878015</t>
  </si>
  <si>
    <t>MONITOR PHILLIPS MP30 - PAT.: 878016</t>
  </si>
  <si>
    <t>MONITOR PHILLIPS MP30 - PAT.: 878019</t>
  </si>
  <si>
    <t>MONITOR PHILLIPS MP30 - PAT.: 878022</t>
  </si>
  <si>
    <t>MONITOR PHILLIPS MP30 - PAT.: 878011</t>
  </si>
  <si>
    <t>MONITOR PHILLIPS MP20 - PAT.: 922329</t>
  </si>
  <si>
    <t>MONITOR PHILLIPS MP20 - PAT.: 922330</t>
  </si>
  <si>
    <t>MONITOR PHILLIPS MP20 - PAT.: 922325</t>
  </si>
  <si>
    <t>MONITOR PHILLIPS MP20 - PAT.: 922311</t>
  </si>
  <si>
    <t>MONITOR PHILLIPS MP20 - PAT.: 922326</t>
  </si>
  <si>
    <t>MONITOR PHILLIPS MP20 - PAT.: 922314</t>
  </si>
  <si>
    <t>MPH01</t>
  </si>
  <si>
    <t>MPH02</t>
  </si>
  <si>
    <t>MPH03</t>
  </si>
  <si>
    <t>MPH04</t>
  </si>
  <si>
    <t>MPH05</t>
  </si>
  <si>
    <t>MPH06</t>
  </si>
  <si>
    <t>MPH07</t>
  </si>
  <si>
    <t>MPH08</t>
  </si>
  <si>
    <t>MPH09</t>
  </si>
  <si>
    <t>MPH10</t>
  </si>
  <si>
    <t>MPH11</t>
  </si>
  <si>
    <t>MPH12</t>
  </si>
  <si>
    <t>ATROPINA (SULFATO) SOLUÇAO OFTALMICA 1 % FRASCO 5 ML</t>
  </si>
  <si>
    <t> APARELHO DE ULTRASSOM - PAT.: 771017</t>
  </si>
  <si>
    <t>APARELHO DE ULTRASSOM - PAT.:  771018</t>
  </si>
  <si>
    <t>APARELHO DE ULTRASSOM - PAT.: 707951 </t>
  </si>
  <si>
    <t>APARELHO DE ULTRASSOM - PAT.: 657483</t>
  </si>
  <si>
    <t>APARELHO DE ULTRASSOM - PAT.: 648037. </t>
  </si>
  <si>
    <t>AUL01</t>
  </si>
  <si>
    <t>AUL03</t>
  </si>
  <si>
    <t>AUL02</t>
  </si>
  <si>
    <t>AUL04</t>
  </si>
  <si>
    <t>AUL05</t>
  </si>
  <si>
    <t>JM COMÉRCIO DE VESTUÁRIO EIRELI-ME.</t>
  </si>
  <si>
    <t>JANILDA PEREIRA DOS SANTOS</t>
  </si>
  <si>
    <t>12.430.221/0001-89</t>
  </si>
  <si>
    <t>0688</t>
  </si>
  <si>
    <t>OP:003 CC 2811-4</t>
  </si>
  <si>
    <t>JM COM</t>
  </si>
  <si>
    <t>EQUIPO PARA BOMBA DE INFUSAO PORTÁTIL, ESTÉRIL. Aplicação: administração de medicamentos por bomba infusora que requeiram infusão precisa quando do transporte do paciente ou em terapia epidural e intravenosa da dor aguda. Material: PVC atóxico, livre de látex. Característica adicional: equipo microgotas com ponta perfurante que  permita encaixe perfeito aos frascos de soluções, com sistema fechado, específico para a bomba de infusão portátil Gemstar HOSPIRA. Comprimento total aproximado de 2,79 m. Extremidade distal com adaptador slip e luer lock que se adapte a todos os tipos de cateteres. Embalado individualmente em papel grau cirúrgico que facilite a abertura em técnica asséptica e que assegure a esterilidade do produto durante o transporte e armazenamento até o seu uso. Apresentação: embalagem individual acondicionada em caixa.</t>
  </si>
  <si>
    <t>MCI08</t>
  </si>
  <si>
    <t>MESA CIRÚRGICA - MAQUET - PAT.: 1037157</t>
  </si>
  <si>
    <t>MONITOR MULTIPARAMÉTRICO - PAT.: 1001893</t>
  </si>
  <si>
    <t>MONITOR MULTIPARAMÉTRICO - PAT.: 952532</t>
  </si>
  <si>
    <t>MONITOR MULTIPARAMÉTRICO - PAT.: 1235387</t>
  </si>
  <si>
    <t>MONITOR MULTIPARAMÉTRICO - PAT.: 922527</t>
  </si>
  <si>
    <t>MONITOR MULTIPARAMÉTRICO - PAT.: 1002011</t>
  </si>
  <si>
    <t>MONITOR MULTIPARAMÉTRICO - PAT.: 7488408</t>
  </si>
  <si>
    <t>MONITOR MULTIPARAMÉTRICO - PAT.:   992535</t>
  </si>
  <si>
    <t>MONITOR MULTIPARAMÉTRICO - PAT.: 008780</t>
  </si>
  <si>
    <t>MMU16</t>
  </si>
  <si>
    <t>MMU17</t>
  </si>
  <si>
    <t>MMU18</t>
  </si>
  <si>
    <t>MMU19</t>
  </si>
  <si>
    <t>MMU20</t>
  </si>
  <si>
    <t>MMU21</t>
  </si>
  <si>
    <t>MMU22</t>
  </si>
  <si>
    <t>MMU23</t>
  </si>
  <si>
    <t>MMU24</t>
  </si>
  <si>
    <t>EM</t>
  </si>
  <si>
    <t>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</si>
  <si>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DETECTOR FETAL - PAT.: 876019</t>
  </si>
  <si>
    <t>DETECTOR FETAL - PAT.: 876070</t>
  </si>
  <si>
    <t>DETECTOR FETAL - PAT.: 876016</t>
  </si>
  <si>
    <t>DFE07</t>
  </si>
  <si>
    <t>DFE08</t>
  </si>
  <si>
    <t>DFE09</t>
  </si>
  <si>
    <t>HOSPDROGAS</t>
  </si>
  <si>
    <t>BUPIVACAINA (CLORIDRATO) + GLICOSE SOLUCAO INJETAVEL (5 MG + 80 MG)/ML AMPOLA 4 ML.</t>
  </si>
  <si>
    <t>MARTINS (700168)</t>
  </si>
  <si>
    <t>FOCO CIRÚRGICO, MAQUET - PAT: 931747</t>
  </si>
  <si>
    <t>FOCO CIRÚRGICO, MAQUET - PAT: 931633</t>
  </si>
  <si>
    <t>FCI02</t>
  </si>
  <si>
    <t>FCI03</t>
  </si>
  <si>
    <t>ECU01</t>
  </si>
  <si>
    <t>Estufa de Cultura, marca ELETROSPITALAR, modelo EL03702, nº de série 120709, 220 V, 250 W, patrimônio nº 958.592.</t>
  </si>
  <si>
    <t>ADJUDICAÇÃO E HOMOLOGAÇÃO</t>
  </si>
  <si>
    <t>CHE01</t>
  </si>
  <si>
    <t>CÂMARA HEMATOIMUNO MARCA: FANEN 3347 PATRIMÔNIO: 942435</t>
  </si>
  <si>
    <t>BERÇO AQUECIDO - PAT.: 421401</t>
  </si>
  <si>
    <t>SONDA PARA NUTRIÇÃO ENTERAL ADULTO Nº 10. Aplicação: nutrição enteral, adulto. Material: poliuretano atóxico. Características Adicionais: estéril,descartável, siliconizada, comprimento mínimo de 100cm, radiopaca com guia metálico flexível, com conector universal na parte proximal que permita perfeita adaptação em seringas, equipos e etc.,apresentado orifícios ovais próximo à ponta, situados em lados opostos, delimitados e proporcionais ao diâmetro da sonda; isenta de rebarbas e/ou saliências que possam traumatizar o paciente, apresentando flexibilidade e maciez adequada para o fim que se destina, espessura uniforme, isenta de manchas e quaisquer defeitos. Embalada em papel grau cirúrgico.</t>
  </si>
  <si>
    <t xml:space="preserve">SONDA URETRAL Nº 08. Aplicação: sondagem vesical de alivio - uso pediátrico. Material: polivinil atóxico incolor. Características Adicionais: estéril, descartável, flexível, siliconado, medindo aproximadamente 40 cm, com conector na parte proximal em PVC que permita perfeita adaptação a equipos, tubo de látex, etc.; com tampa na porção média do conector ( presa ou solta ), com extremidade distal fechada e arredondada, apresentando orifício oval próximo à ponta, delimitado e proporcional ao calibre e diâmetro da sonda, isenta de rebarbas e/ou saliências que possam traumatizar o paciente, apresentando flexibilidade e maciez adequada ao fim que se destina, deve apresentar espessura uniforme, isento de manchas ou quaisquer defeitos. Embalagem  plástica ou papel grau cirúrgico que favoreça abertura em técnica asséptica e garanta a integridade e esterilidade do produto. Apresentação: embalagens individuais, acondicionadas em caixa. Unidade de Estoque: unidade. Código SES: 092495. </t>
  </si>
  <si>
    <t>TIORIDAZINA (CLORIDRATO) DRAGEA 100 MG</t>
  </si>
  <si>
    <t>TIORIDAZINA (CLORIDRATO) COMPRIMIDO LIBERAÇAO LENTA 200 MG</t>
  </si>
  <si>
    <t>ANFOTERICINA B PO LIOFILIZADO PARA SOLUÇAO INJETAVEL 50 MG FRASCO AMPOLA</t>
  </si>
  <si>
    <t>ELE02</t>
  </si>
  <si>
    <t>VANESSA</t>
  </si>
  <si>
    <t>02.357.251/0016-30</t>
  </si>
  <si>
    <t>3.347-2</t>
  </si>
  <si>
    <t>4.319-2</t>
  </si>
  <si>
    <t>02.357.251/0001-53</t>
  </si>
  <si>
    <t>Unid</t>
  </si>
  <si>
    <t>FOSFATO DE POTASSIO SOLUCAO INJETAVEL 2 MEQ/ML AMPOLA 10 ML</t>
  </si>
  <si>
    <t>UMIDIFICADOR PARA REDE CANALIZADA DE AR MEDICINAL, Aplicação: Dispositivo pneumático destinado à umidificação    do ar medicinal,para utilização em conjunto com o fluxômetro ou em circuitos ventilatórios, características adicionais: tampa de nylon injetada cor amarela, frasco plástico com boca de 60 mm e graduação de 250 a 500ml, impressos os níveis mínimo e máximo, porca de adaptação cor amarela conforme ABNT.</t>
  </si>
  <si>
    <t>DES04</t>
  </si>
  <si>
    <t>DES05</t>
  </si>
  <si>
    <t>DES06</t>
  </si>
  <si>
    <t>HOSPDROGAS COMERCIAL LTDA</t>
  </si>
  <si>
    <t>08.774.906/0001-75</t>
  </si>
  <si>
    <t>3137</t>
  </si>
  <si>
    <t>13.004.420-6</t>
  </si>
  <si>
    <t>TALA METÁLICA PARA IMOBILIZAÇÃO DE DEDO 19MM X 180MM, Composição alumínio 100% liga 1100 A H 14 com espessura de 1mm; com revestimento de espuma antialérgica com espessura de 9mm; tamanho 19mm x 180mm.</t>
  </si>
  <si>
    <t>ATADURA DE CREPON DE 13 FIOS 10CMX300CM (COMPRIMENTO MINIMO) 1</t>
  </si>
  <si>
    <t>KIT DE GASTROSTOMIA PERCUTÂNEA COM DIÂMETRO DA SONDA DE 20 FR, COMPOSTO DE 1 TUBO/CATETER DE SILICONE PARA ALIMENTAÇÃO, UM GUIA PARA INSERÇÃO, UMA BANDEJA PARA PREPARO, UM KIT DE ADAPTADORES (COMPOSTO POR 1 DISCO PARA FIXAÇÃO, UM ADAPTADOR PARA O DISCO DE FIXAÇÃO, UM PAR DE TESOURAS, UM ADAPTADOR UNIVERSAL, UM ADAPTADOR PARA BOLUS-BOLO ALIMENTAR, UM ADAPTADOR PARA ALIMENTAÇÃO MACHO), 5 COMPRESSAS DE GAZES, UMA FITA, MANUAL DE INSTRUÇÕES E MANUAL DO PACIENTE, UMA ALÇA FRIA, UMA PRESILHA DO TUBO, UM HEMOSTATO CONFECCIONADO EM AÇO INOXIDÁVEL, CLORETO DE POLIVINILA, ALGODÃO HIDRÓFILO, NYLON E POLITETRAFLUORETILENO. EMBALAGEM INDIVIDUAL, ESTÉRIL.</t>
  </si>
  <si>
    <t>AGULHA PARA PUNÇÃO DE CATETER TOTALMENTE IMPLANTÁVEL, 20G X 20 MM, ESTÉRIL. Aplicação: punção de cateter totalmente implantável. Material: agulha em aço inoxidável e extensor confeccionado em material compatível com quimioterápicos. Características Adicionais: descartável, dispositivo para fixação. Extensor com conector Luer Lock e pinça de fechamento. Agulha biselada do tipo Huber com dispositivo de segurança . Embalado individualmente em papel grau cirúrgico que facilite a abertura em técnica asséptica e que assegure a esterilidade do produto durante o transporte e armazenamento até o seu uso. Apresentação: embalagem individual acondicionadas em caixa.</t>
  </si>
  <si>
    <t>BOLSA PARA ESTOMIA ADULTO TRANSPARENTE  1 PEÇA, NÃO ESTÉRIL. Aplicação: drenagem de fezes para portadores de estomia intestinal, Material: bolsa com barreira protetora em resina sintética composta de carboximetilcelulose sódica associada à gelatina e/ou pectina, protegida por invólucro plástico silencioso, resistente e que não desprenda facilmente do conjunto. Saco coletor transparente e drenável, composto por duas películas plásticas, antiodor, atóxica, silenciosas, macias, hipoalergênica com selagem de alta resistência nas bordas, assegurando a integridade do saco e tela protetora não aderente, resistente e que não desprenda facilmente do conjunto. Tamanho/Capacidade: saco coletor com comprimento e largura mínima de 20 cm e 12 cm respectivamente. Placa protetora com diâmetro recortável entre 15 mm a 70 mm. Características Adicionais: Bolsa sistema de uma peça, com filtro antiodor acoplado, com proteção que não permita contato com líquidos e/ou efluentes, acompanhada de no mínimo 1(um) clamp para cada 10 bolsas, resistente, com pontas que não provoque lesão ao paciente, que permita perfeito fechamento da área de drenagem, sem o extravasamento de efluentes, favorecendo o manuseio e higienização da mesma, não estéril. Apresentação: acondicionadas em caixas com 10 unidades e com no mínimo 1(um) clamp para cada 10 bolsas. Unidade de Estoque: unidade (UN), Código SES: 91572.  BR0391602</t>
  </si>
  <si>
    <t>MHE02</t>
  </si>
  <si>
    <t>Máquinas de Proporção para Hemodiálise Marca: Nipro/Diamax Nº série: 08C17885 Patrimônio GDF: 782224</t>
  </si>
  <si>
    <t>TOBRAMICINA + DEXAMETASONA POMADA OFTALMICA 0,3 % + 0,1 % BISNAGA 3,5 G</t>
  </si>
  <si>
    <t>01.640.262/0001-83</t>
  </si>
  <si>
    <t>ESF01</t>
  </si>
  <si>
    <t>ESFIGMOMANÔMETRO, MARCA: PREMIUM. PAT GDF: 805717</t>
  </si>
  <si>
    <t>ESFIGMOMANÔMETRO, MARCA: PREMIUM. PAT GDF: 805734</t>
  </si>
  <si>
    <t>ESF02</t>
  </si>
  <si>
    <t>ALCOOL GEL 70% FRASCO 400G a 500G VALVULA “PUMP”. Aplicação: higienização das mãos Características adicionais: com emolientes em sua formulação para evitar o ressecamento da pele. Não possuir composto de fósforo ou fosfato. Não deixar resíduos na pele ou fragrância persistentes após o uso. Possuir tampa de dispensação em forma de “pump” (acionamento por pressão manual no bico). O frasco deve ser rígido o suficiente e não amasse durante o acionamento da válvula de dispensação.</t>
  </si>
  <si>
    <t xml:space="preserve"> AGUA PARA INJETAVEIS AMPOLA 10 ML</t>
  </si>
  <si>
    <t>HEMOSTÁTICO ABSORVÍVEL, material: gelatina purificada, 8cm de comprimento e 12,5cm de largura, estéril, espessura 10mm, tipo dobrável, características adicionais: absorvível, porosa.</t>
  </si>
  <si>
    <t>CEN04</t>
  </si>
  <si>
    <t>CEN05</t>
  </si>
  <si>
    <t>Conserto de uma centrifuga da marca FANEM, n°de Patrimônio 1152312​ MOD. 206 BL</t>
  </si>
  <si>
    <t>Conserto de uma centrifuga da marca FANEM, n°de Patrimônio 1152313 MOD. 206 BL</t>
  </si>
  <si>
    <t>EQUIPO INTERMEDIÁRIO 4 VIAS, 15 CM (+/-2CM), ESTÉRIL. Aplicação: duplicador de vias acessos aos dispositivos de administração de solução parenterais. Material: PVC atóxico. Características adicionais: descartável, com conectores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em todas 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 Apresentação: embalagem individual acondicionada em caixa.</t>
  </si>
  <si>
    <t>CORANTE AZUL BRILHANTE APLICAÇÃO (FINALIDADE) ANÁLISES LABORATORIAIS TAMANHO/CAPACIDADE  FRASCO DE 5 OU 10 OU 25 OU 50 OU 100 G CARACTERÍSTICAS ADICIONAIS (QUANDO NECESSÁRIO) •SINÔNIMO: FOOD BLUE •CI (COLOR INDEX): 42090; •ASPECTO FÍSICO: PÓ FORMA DE APRESENTAÇÃO  SÓLIDO PRAZO DE VALIDADE  75 % DA VALIDADE TOTAL DO PRODUTO</t>
  </si>
  <si>
    <t>FAIXA - faixa, material látex de borracha natural, largura 15, comprimento 5,5, tipo elástica, modelo média, cor com cor. Código BR: 326108.</t>
  </si>
  <si>
    <t>EXERCITADOR MUSCULATURA - exercitador musculatura, tipo massa de silicone elástica, aplicação para exercícios da mão, características adicionais 100 cm³, densidade suave. Código BR: 286757.|</t>
  </si>
  <si>
    <t>CAIXA TÉRMICA, Material: poliuretano, Capacidade: 30 litros, Características Adicionais: tampa de segurança, alça com dupla opção: para transporte na mão ou a tiracolo, amplo espaço interno.</t>
  </si>
  <si>
    <t>BATERIA MODELO: 3538A/14.4V. PARA DESFIBRILADOR PHILIPS MRX.</t>
  </si>
  <si>
    <t xml:space="preserve">LUVA SINTETICA PARA PROCEDIMENTO NAO ESTERIL TAMANHO " P ". Aplicação: uso em procedimento não estéril para profissionais que apresentam hipersensibilidade ao látex. Material: nitrile ou vinil, Tamanho: pequeno. Características Adicionais: com ausência de lubrificante a base de amido; ambidestra, que apresente boa resistência ao calçar, íntegras, sem manchas, devidamente embaladas de forma a permitir o empilhamento, transporte e armazenamento; a embalagem deve conter o tamanho, lote, data de fabricação de validade. Apresentação: embalagem contendo 100 (cem) unidades acondicionadas em caixas. </t>
  </si>
  <si>
    <t xml:space="preserve">SONDA URETRAL Nº 10.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Código SES: 092496. </t>
  </si>
  <si>
    <t>Início do processo</t>
  </si>
  <si>
    <t>BENENUTRI COMERCIAL LTDA - ME</t>
  </si>
  <si>
    <t>VÂNIA</t>
  </si>
  <si>
    <t>20.720.905/0001-43</t>
  </si>
  <si>
    <t>21.082-X</t>
  </si>
  <si>
    <t>BENENUTRI</t>
  </si>
  <si>
    <t>JD PAPELARIA COMÉRCIO SUPRIMENTOS E SERVIÇOS EIRELI-ME</t>
  </si>
  <si>
    <t>30.351.408/0001-79</t>
  </si>
  <si>
    <t>JD PAPELARIA</t>
  </si>
  <si>
    <t>SODROGAS DISTRIBUIDORA DE MEDICAMENTOS E MATERIAIS MEDICO HOSPITALARES LTDA</t>
  </si>
  <si>
    <t>ADRIANO ALFAIATE</t>
  </si>
  <si>
    <t>09.615.457/0001-85</t>
  </si>
  <si>
    <t xml:space="preserve">ATADURA DE CREPOM 13 FIOS ROLO 10CM X 1,8M. Aplicação: terapia compressiva, aplicações ortopédicas e outros. Tamanho:  10cm X 1,8m em repouso e , no mínimo, 2,7m esticada, com 13 fios/cm², pesando aproximadamente 22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24924. </t>
  </si>
  <si>
    <t>PERFURSOR SIMPLES ,Aplicação: aspiração folicular, Características Adicionais: polietileno flexível e transparente , estéril, não pirogênico, embalado individualmente, Tamanho/Capacidade: 60 cm, Cor: incolor.</t>
  </si>
  <si>
    <t>10.596.721/0001-60</t>
  </si>
  <si>
    <t>MURILO / LÍVIA</t>
  </si>
  <si>
    <t>30.390.592/0001-66</t>
  </si>
  <si>
    <t>ORION</t>
  </si>
  <si>
    <t xml:space="preserve">SONDA PARA NUTRIÇÃO ENTERAL PEDIÁTRICA Nº 08. Aplicação: nutrição enteral, pediátrica. Material: poliuretano atóxico., Características Adicionais: estéril,descartável, siliconizada, comprimento mínimo de 100cm, radiopaca com guia metálico flexível, com conector universal na parte proximal que permita perfeita adaptação em seringas, equipos e etc.,apresentado orifícios ovais próximo à ponta, situados em lados opostos, delimitados e proporcionais ao diâmetro da sonda; isenta de rebarbas e/ou saliências que possam traumatizar o paciente, apresentando flexibilidade e maciez adequada para o fim que se destina, espessura uniforme, isenta de manchas e quaisquer defeitos. Embalada em papel grau cirúrgico. Apresentação: embalagem individual, acondicionada em caixa com 10 unidades. Unidade de Estoque: unidade. Código SES: 092456. </t>
  </si>
  <si>
    <t>Eduardo-Marcela / JULIANA</t>
  </si>
  <si>
    <t>VITTA HOSPITALAR</t>
  </si>
  <si>
    <t>21.086.030/0001-32</t>
  </si>
  <si>
    <t>CANTINHO DA MAMAE LOCAÇÃO DE BOMBAS E COMÉRCIO DE ARTIGOS INFANTIS LTDA EPP</t>
  </si>
  <si>
    <t>LUISA / GRACIELE</t>
  </si>
  <si>
    <t>09.118.115/0001-50</t>
  </si>
  <si>
    <t>6507</t>
  </si>
  <si>
    <t>05138-8</t>
  </si>
  <si>
    <t>CANTINHO DA MAMAE</t>
  </si>
  <si>
    <t>COLAR CERVICAL, MATERIAL ESPUMA FLEXÍVEL, TIPO DE FECHAMENTO VELCRO COM 5cm. CARACTERÍSTICAS ADICIONAIL COM REFORÇO. TAMANHO MÉDIO</t>
  </si>
  <si>
    <t>BANDAGEM - bandagem, material tecido 100% algodão, tipo uso adesiva, elástica, comprimento 500, largura 5, características adicionais isenta de latéx, hipoalergênica, com cor. Código BR: 404020. IMAGEM MODELO NO ANEXO.</t>
  </si>
  <si>
    <t>NATÁLIA LAVOR</t>
  </si>
  <si>
    <t>CEC01</t>
  </si>
  <si>
    <t>Carro de Emergência com Cardioversor Pat.: 922521</t>
  </si>
  <si>
    <t>CLORETO DE SODIO 0,9 % SOLUÇAO INJETAVEL BOLSA OU FRASCO 500 ML SISTEMA FECHADO DE INFUSAO EMBALAGEM PRIMÁRIA ISENTA DE PVC. Características Adicionais: a bolsa ou o frasco deve ter graduação volumétrica. A bolsa ou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</si>
  <si>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PULSEIRA DE IDENTIFICAÇÃO NA COR VERMELHA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31206</t>
  </si>
  <si>
    <t>PULSEIRA DE IDENTIFICAÇÃO NA COR LARANJA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31207</t>
  </si>
  <si>
    <t xml:space="preserve">PULSEIRA DE IDENTIFICAÇÃO NA COR AMARELA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31208 </t>
  </si>
  <si>
    <t>PULSEIRA DE IDENTIFICAÇÃO NA COR AZUL COM A LOGOMARCA PERSONALIZADA (SES-DF). Características técnicas mínimas: confeccionada em papel sintético, isenta de aresta, atraumática, que permite o uso de caneta esferográfica, à prova d?água e/ou álcool, lacre adesivo inviolável, personalizáveis, antialérgicas, com medidas aproximadas entre 2,5 cm de largura (+/- 0,5 cm) x 25 cm de comprimento (+/- 5 cm), ajustáveis para o tamanho recém-nascidos, crianças e adulto. A embalagem deverá conter dados de identificação, procedência e data de fabricação. Apresentação: embalagem com 1000 unidades. Unidade de estoque: unidade (UN). Código SES: 31211</t>
  </si>
  <si>
    <t>SENSOR PARA MONITORAR ATIVIDADE CEREBRAL, Aplicação: uso em monitor marca BIS, material adesivo, Caracterísitcas adicionais: 4 eletrodos, aba longa, sem látex, sem PVC, Tamanho Adulto.</t>
  </si>
  <si>
    <t>COLCHONETE PARA CARRO MACA E MESA DE EXAME.</t>
  </si>
  <si>
    <t>Construído em espuma flexível de poliuretano, densidade 28, revestido CURVIN lavável, com zíper e respiros e costura vulcanizada, cores neutras compatíveis com ambientação hospitalar. Dimensões: 1,88 x 0,55 x 0,05m.</t>
  </si>
  <si>
    <t>INDAPAMIDA COMPRIMIDO LIBERAÇAO PROLONGADA 1,5 MG</t>
  </si>
  <si>
    <t>XXXX</t>
  </si>
  <si>
    <t>SUSPENSO POR FALTA DE RECURSOS</t>
  </si>
  <si>
    <t>BAQ09</t>
  </si>
  <si>
    <t>BERÇO AQUECIDO - PAT.: 117132</t>
  </si>
  <si>
    <t>HALOPERIDOL SOLUCAO ORAL GOTAS 2 MG/ML FRASCO 20 ML</t>
  </si>
  <si>
    <t>ESPUMA, Características adicionais: 3 cm de espessura medindo 1,90 x 5,0 m , Densidade 28.</t>
  </si>
  <si>
    <t>4373</t>
  </si>
  <si>
    <t>32013-6</t>
  </si>
  <si>
    <t xml:space="preserve">ATADURA DE CREPOM 13 FIOS ROLO 20CM X 1,8M. Aplicação: terapia compressiva, aplicações ortopédicas e outros. Tamanho:  20cm X 1,8m em repouso e , no mínimo, 2,7m esticada, com 13 fios/cm², pesando aproximadamente 43 g. Material: crepom, predominantemente algodão com elasticidade no sentido longitudinal. Características Adicionais: macia, elástica, de alta resistência, trama e urdume regulares, acabamento da auréla que não solte fiapos, sem sujidade. Apresentação: rolo embalado individualmente, acondicionado em caixa. Unidade de Estoque: rolo(RL). Código SES: 24926. </t>
  </si>
  <si>
    <t>ESPUMA D28 2CM 1,90X1,0 1</t>
  </si>
  <si>
    <t xml:space="preserve">DISPOSITIVO PARA MISTURA OU RECONSTITUIÇAO DE DROGAS. Aplicação: mistura ou reconstituição de drogas em frascos sem contato com o ambiente externo. Composição: PVC atóxico, livre de látex. Duas pontas perfurantes, padrão ISO, com protetor. Características adicionais: pega ergonômica que evita o contato das mãos com a ponta perfurante e facilita o manuseio do profissional. Processo de esterilização: esterilizado por óxido de etileno. Forma de apresentação: embalagem individual, acondicionado em material que promova barreira microbiana e abertura asséptica e de uso único. </t>
  </si>
  <si>
    <t xml:space="preserve">DISPOSITIVO PARA AUXILIO DE IRRIGAÇAO E LAVAGEM DE CAVIDADES E FERIDAS. Aplicação: auxiliar o uso de fluidos no tratamento de feridas, irrigação de campos cirúrgicos e lavagem de cavidades. Composição: PVC atóxico, livre de látex, com uma ponta perfurante padrão ISO com protetor, e a outro reta, com proteção tipo cone luer, que garante a oclusão do sistema após o uso. Características adicionais: pega ergonômica que evita o contato das mãos com as pontas. Esterilizado por óxido de etileno. Forma de apresentação: embalagem individual acondicionado em material que promova barreira microbiana e abertura asséptica e de uso único. </t>
  </si>
  <si>
    <t>DES07</t>
  </si>
  <si>
    <t xml:space="preserve">COMPRESSA ALGODONADA PARA CURATIVO TIPO COXIM 10CM x 15CM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 medindo aberta 10 cm x 50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t>
  </si>
  <si>
    <t>MONITOR MULTIPARAMÉTRICO - PAT.:  922524 - PATRIMÓNIO ERRADO=DESFIBRILADOR</t>
  </si>
  <si>
    <t>DES08</t>
  </si>
  <si>
    <t>CONSERTO DE DESFIBRILADOR - PAT.: 806401</t>
  </si>
  <si>
    <t>CONSERTO DE DESFIBRILADOR - PAT.: 922522</t>
  </si>
  <si>
    <t>CONSERTO DE DESFIBRILADOR - PAT.: 922525</t>
  </si>
  <si>
    <t>CONSERTO DE DESFIBRILADOR - PAT.: 922523</t>
  </si>
  <si>
    <t>CONSERTO DE DESFIBRILADOR - PAT.: 922524</t>
  </si>
  <si>
    <t>LÂMINA PARA LARINGOSCÓPIO CURVA Nº 03, Material: latão cromado, Tamanho: 12 cm, Características Adicionais: convencional acompanhada por 3 lâmpadas, Uso: reanimação em parada cardiorespiratória.</t>
  </si>
  <si>
    <t>LÂMINA PARA LARINGOSCÓPIO CURVA Nº 04, Material: latão cromado, Tamanho: 14 cm, Características Adicionais: convencional acompanhada por 3 lâmpadas, Uso: reanimação em
parada cardiorespiratória.</t>
  </si>
  <si>
    <t>LÂMINA PARA LARINGOSCÓPIO CURVA Nº 05, Material: latão cromado, Tamanho: 16 cm, Características Adicionais: convencional acompanhada por 3 lâmpadas, Uso: reanimação em parada cardiorespiratória.</t>
  </si>
  <si>
    <t>BVO01</t>
  </si>
  <si>
    <t>CONSERTO DE Bomba à Vácuo Odontológica Pat.: 1259986</t>
  </si>
  <si>
    <t>CONSERTO DE CAMA ELETRÔNICA - STRYKER PAT.: 019962</t>
  </si>
  <si>
    <t>CONSERTO DE CAMA ELETRÔNICA - STRYKER PAT.: 019964</t>
  </si>
  <si>
    <t>CONSERTO DE CAMA ELETRÔNICA - STRYKER PAT.: 019965</t>
  </si>
  <si>
    <t>CONSERTO DE CAMA ELETRÔNICA - STRYKER PAT.: 019966</t>
  </si>
  <si>
    <t>CAU04</t>
  </si>
  <si>
    <t>CAU05</t>
  </si>
  <si>
    <t>CAU06</t>
  </si>
  <si>
    <t>CONSERTO DE Cadeira Odontológica Pat.: 1271365</t>
  </si>
  <si>
    <t>CONSERTO DE Cadeira Odontológica Pat.: 1271366</t>
  </si>
  <si>
    <t>CONSERTO DE Cadeira Odontológica Pat.: 1271367</t>
  </si>
  <si>
    <t>CONSERTO DE Caneta de Alta Rotação Pat.: 708482</t>
  </si>
  <si>
    <t>CONSERTO DE Caneta de Alta Rotação Pat.: 708144</t>
  </si>
  <si>
    <t>CONSERTO DE Caneta de Alta Rotação Pat.: 362909</t>
  </si>
  <si>
    <t>CONSERTO DE Caneta de Alta Rotação Pat.: 321025</t>
  </si>
  <si>
    <t>CONSERTO DE Caneta de Alta Rotação Pat.: 170690</t>
  </si>
  <si>
    <t>CONSERTO DE Caneta de Alta Rotação Pat.: 321038</t>
  </si>
  <si>
    <t>CONSERTO DE Caneta de Alta Rotação Pat.: 321069</t>
  </si>
  <si>
    <t>CAL01</t>
  </si>
  <si>
    <t>CAL02</t>
  </si>
  <si>
    <t>CAL03</t>
  </si>
  <si>
    <t>CAL04</t>
  </si>
  <si>
    <t>CAL05</t>
  </si>
  <si>
    <t>CAL06</t>
  </si>
  <si>
    <t>CAL07</t>
  </si>
  <si>
    <t>CBR01</t>
  </si>
  <si>
    <t>CBR02</t>
  </si>
  <si>
    <t>CBR03</t>
  </si>
  <si>
    <t>CONSERTO DE Caneta de Baixa Rotação Pat.:  1171370</t>
  </si>
  <si>
    <t>CONSERTO DE Caneta de Baixa Rotação Pat.: 1171371</t>
  </si>
  <si>
    <t>APF01</t>
  </si>
  <si>
    <t>APF02</t>
  </si>
  <si>
    <t>CONSERTO DE Aparelho de Profilaxia Pat.: 774211</t>
  </si>
  <si>
    <t>CONSERTO DE Aparelho de Profilaxia Pat.: 774209</t>
  </si>
  <si>
    <t>AUT04</t>
  </si>
  <si>
    <t>CONSERTO DE Autoclave Pat.: 959201</t>
  </si>
  <si>
    <t>CONSERTO DE Caneta de Baixa Rotação Pat.: 1171372</t>
  </si>
  <si>
    <t>GAS LIQUEFEITO DE PETROLEO -GLP, Material: gás butano, Unidade fornecimento: Quilograma</t>
  </si>
  <si>
    <t xml:space="preserve">LUVA DE PROCEDIMENTO NÃO ESTÉRIL DE LÁTEX TAMANHO "PP". Aplicação: uso em técnica não estéril como proteção do profissional. Material: látex íntegro. Tamanho: Extrapequeno (PP). Características Adicionais: ambidestra, lubrificada com pó bioabsorvível atóxico, que não cause danos ao organismo em condições normais de uso, devem apresentar boa resistência ao calçar, com látex íntegro, sem manchas, sem ponto de acúmulo látex e tamanho de acordo com a especificação, deve estar devidamente embalada de forma a permitir o empilhamento, transporte e armazenamento, a embalagem deve conter o tamanho, o lote, a data de fabricação e de validade, conter número do C.A. Apresentação: embalagem contendo 100 (cem) unidades acondicionadas em caixa. Unidade De Estoque: unidade (UN). </t>
  </si>
  <si>
    <t>CONJUNTO PARA DETERMINAÇAO DE VITAMINA D (25-HIDROXI VITAMINA D). Aplicação:analise imunológica. Características adicionais: equipamento automatizado. Forma de Apresentação: conjunto (kit). Prazo de Validade: 75% do prazo de validade do produto.</t>
  </si>
  <si>
    <t>VERDE LUZ AMARELADO. Reagente citológico e histológico básico para colorações de rotina (Papanicolau e H/E)</t>
  </si>
  <si>
    <t>MG HOSPITALAR</t>
  </si>
  <si>
    <t>CONFECÇÕES SÃO PAULO</t>
  </si>
  <si>
    <t>00.533.596/0001-95</t>
  </si>
  <si>
    <t>VINICIUS</t>
  </si>
  <si>
    <t>294-1</t>
  </si>
  <si>
    <t>1.887-2</t>
  </si>
  <si>
    <t>13.551-8</t>
  </si>
  <si>
    <t>FENIX MATERIAIS</t>
  </si>
  <si>
    <t>HOSPCOM EQUIPAMENTOS HOSPITALARES LTDA</t>
  </si>
  <si>
    <t>ANGELICA ARAUJO</t>
  </si>
  <si>
    <t>05.743.288/0001-08</t>
  </si>
  <si>
    <t>69869-5</t>
  </si>
  <si>
    <t>HOSPCOM</t>
  </si>
  <si>
    <t>IBEX</t>
  </si>
  <si>
    <t>IBEX COMERCIAL DE ALIMENTOS LTDA.</t>
  </si>
  <si>
    <t>LUCINEIDE DIAS DOS SANTOS</t>
  </si>
  <si>
    <t>29.511.026/0001-86</t>
  </si>
  <si>
    <t>3246</t>
  </si>
  <si>
    <t>2018-4</t>
  </si>
  <si>
    <t>02.738.657/0001-86</t>
  </si>
  <si>
    <t>MADEIREIRA RIBEIRO</t>
  </si>
  <si>
    <t>1347-1</t>
  </si>
  <si>
    <t>8401-8</t>
  </si>
  <si>
    <t>META COMERCIAL EIRELI - ME</t>
  </si>
  <si>
    <t>20.139.294/0001-44</t>
  </si>
  <si>
    <t>META</t>
  </si>
  <si>
    <t>MG HOSPITALAR - PRODUTOS HOSPITALARES</t>
  </si>
  <si>
    <t>RAFAELA MONTEIRO CARMELLO</t>
  </si>
  <si>
    <t>MICROMEDICAL MATERIAL MÉDICO HOSPITALAR LTDA</t>
  </si>
  <si>
    <t>Marcos David Toledo Bernardino</t>
  </si>
  <si>
    <t>MICROMEDICAL</t>
  </si>
  <si>
    <t>MILESKI INDÚSTRIA E COMÉRCIO DE DESCARTÁVEIS EIRELLI - EPP</t>
  </si>
  <si>
    <t>Mauricio Pereira/Patricia</t>
  </si>
  <si>
    <t>37.131.679/0001-68</t>
  </si>
  <si>
    <t>MILESKI</t>
  </si>
  <si>
    <t>ORION HEALTH CARE (MURILO DA SILVA BURITIZAL)</t>
  </si>
  <si>
    <t>2179-2</t>
  </si>
  <si>
    <t>34.666-7</t>
  </si>
  <si>
    <t>OP:003 CC:222-2</t>
  </si>
  <si>
    <t>QUINELATO</t>
  </si>
  <si>
    <t>RIACHO TINTAS (JS COMÉRCIO DE TINTAS LTDA).</t>
  </si>
  <si>
    <t>RIACHO TINTAS</t>
  </si>
  <si>
    <t>OP:003  CC:102-7</t>
  </si>
  <si>
    <t>VERA CRUZ DISTRIBUIDORA DE PRODUTOS HOSPITALARES LTDA</t>
  </si>
  <si>
    <t>ANDREA</t>
  </si>
  <si>
    <t>VITTRA (DIAGNOSTICOS SUL PRODUTOS HOSPITALARES LTDA)</t>
  </si>
  <si>
    <t>BÁRBARA FERREIRA</t>
  </si>
  <si>
    <t>12.417.179/0001-66</t>
  </si>
  <si>
    <t>4306-0</t>
  </si>
  <si>
    <t>71712-6</t>
  </si>
  <si>
    <t>VITTRA</t>
  </si>
  <si>
    <t>WA REPAROS E FERRAGENS EIRELI</t>
  </si>
  <si>
    <t>27.316.038/0001-24</t>
  </si>
  <si>
    <t>WA REPAROS</t>
  </si>
  <si>
    <t>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t>
  </si>
  <si>
    <t>CAIXA ORGANIZADORA,Material: poliestireno de alta densidade e/ou polipropileno, Tamanho/Capacidade: 40 LITROS. Características Adicionais: reforçada, com tampa, empilhável, Altura: mínimo 27,5 cm, Largura: mínimo 37 cm, Comprimento: mínimo 54,5 cm, Cor: branca ou transparente.</t>
  </si>
  <si>
    <t>CAIXA ORGANIZADORA,Material: poliestireno de alta densidade e/ou polipropileno, Tamanho/Capacidade: 70 LITROS, Características Adicionais: reforçada, com tampa, empilhável, Altura: mínimo 35 cm, Largura: mínimo 35,5 cm, Comprimento: mínimo 71 cm, Cor: branca ou transparente.</t>
  </si>
  <si>
    <t>1841-4</t>
  </si>
  <si>
    <t>59.231-5</t>
  </si>
  <si>
    <t>SUPERMÉDICA (702730)</t>
  </si>
  <si>
    <t>2755-3</t>
  </si>
  <si>
    <t>85.290-2</t>
  </si>
  <si>
    <t>CARVEDILOL COMPRIMIDO 12,5 MG</t>
  </si>
  <si>
    <t>CONJUNTO PARA DETERMINAÇÃO DE TESTOSTERONA. Aplicação:analise hormonal. Características adicionais: equipamento automatizado. Forma de Apresentação:conjunto (kit). |Prazo de Validade: 75% do prazo de validade do produto.</t>
  </si>
  <si>
    <t>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t>
  </si>
  <si>
    <t>OPU03</t>
  </si>
  <si>
    <t>OPU04</t>
  </si>
  <si>
    <t>OPU05</t>
  </si>
  <si>
    <t>Conserto Oximetro Pat.: 1235382</t>
  </si>
  <si>
    <t>Conserto Oximetro Pat.: 1235384</t>
  </si>
  <si>
    <t>Conserto Oximetro Pat.: 1235387 (Obs.: Ver patrimonio)</t>
  </si>
  <si>
    <t>AGULHA PARA ANESTESIA PERIDURAL, EPIDURAL OU CAUDAL, 17G 3 1/2' , BISEL TIPO TUOHY, MARCAÇÃO EM CM PARA CONTROLE DE PROFUNDIDADE, COMPRIMENTO 8.1CM, EMPUNHADURA ANATÔMICA, CANHÃO TRANSPARENTE, EMBALAGEM INDIVIDUAL, PAPEL GRAU CIRÚRGICO.</t>
  </si>
  <si>
    <t>CID PRODUTOS MEDICOS HOSPITALARES LTDA EPP</t>
  </si>
  <si>
    <t>ELISANGELA OLIVEIRA</t>
  </si>
  <si>
    <t>28.467.674/0001-10</t>
  </si>
  <si>
    <t>18800-6</t>
  </si>
  <si>
    <t>CID</t>
  </si>
  <si>
    <t>FENILEFRINA (CLORIDRATO) SOLUCAO OFTALMICA 10 % FRASCO CONTA-GOTAS 5 ML</t>
  </si>
  <si>
    <r>
      <t xml:space="preserve">Responsável pelo aceite: </t>
    </r>
    <r>
      <rPr>
        <b/>
        <sz val="10"/>
        <rFont val="Times New Roman"/>
        <family val="1"/>
      </rPr>
      <t>PAULO MARCOS SILVA DE NASCIMENTO, Mat. 171.413-9 – Fone: (61)2017-1858 / 3385-9945.</t>
    </r>
  </si>
  <si>
    <r>
      <t xml:space="preserve">Informações técnicas: </t>
    </r>
    <r>
      <rPr>
        <b/>
        <sz val="10"/>
        <rFont val="Times New Roman"/>
        <family val="1"/>
      </rPr>
      <t xml:space="preserve"> PAULO MARCOS SILVA DE NASCIMENTO, Mat. 171.413-9 – Fone: (61) 2017-1858 / 3385-9945.</t>
    </r>
  </si>
  <si>
    <t>JOSEMAR RAMOS</t>
  </si>
  <si>
    <t>21.284.068/0001-10</t>
  </si>
  <si>
    <t>45004</t>
  </si>
  <si>
    <t>45702-7</t>
  </si>
  <si>
    <t xml:space="preserve">CURATIVO HIDROCOLÓIDE 15 CM X 15 CM, ESTÉRIL. Aplicação: manutenção do meio úmido, estimulação da angiogênese, não aderência à ferida, desbridamento autolítico e manutenção da temperatura. Características adicionais: camada interna composta por hidrocolóides (carboximetilcelulose, gelatina, pectina) e/ou polisobutileno e camada externa composta por poliuretano impermeável a líquidos e microrganismos. Apresentação: embalado individualmente. Unidade de Estoque: unidade (UN).  </t>
  </si>
  <si>
    <t>Os pagamentos da Região Sul são efetuados por TED, entre os dias 20 e 30 de cada mês.</t>
  </si>
  <si>
    <t xml:space="preserve">GEOF / Diretoria Administrativa / SRSSU / SES </t>
  </si>
  <si>
    <t>GERÊNCIA DE ORÇAMENTO E FINANÇAS / HRG - PDPAS</t>
  </si>
  <si>
    <t>ESCOVA DEGERMANTE PARA ASSEPSIA - CLOREXIDINA 2%. Conjunto escova/esponja, dupla face para degermação da pele, descartável, corpo em material plástico flexível, atóxico, tendo em uma das faces, cerdas macias que não causem abrasão e na outra esponja macia impregnada em solução de gliconato de clorexidina 2% em quantidade adequada (aproximadamente 20ml), uso único, embalagem individual com selagem eficiente que garanta a integridade do produto até o momento de sua utilização.</t>
  </si>
  <si>
    <t>BIOLOG (396)</t>
  </si>
  <si>
    <t>CAPACETE CIRCULAR PARA OXIGENOTERAPIA, PEQUENO.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11 cm de altura externa x 15 cm de diâmetro; Abertura para o pescoço de no mínimo: 8 cm x 8 cm, com variação + / - 2 cm em quaisquer das medidas. Tamanho: pequeno.</t>
  </si>
  <si>
    <t>ALIMED MEDICAL (MARCIA SILVA CAMPOS)</t>
  </si>
  <si>
    <t>MARCIA</t>
  </si>
  <si>
    <t>30.296.576/0001-09</t>
  </si>
  <si>
    <t>2892-4</t>
  </si>
  <si>
    <t>52637-1</t>
  </si>
  <si>
    <t>ALIMED MEDICAL</t>
  </si>
  <si>
    <t>NR HOSPITALAR</t>
  </si>
  <si>
    <t>25.976.418/0001-60</t>
  </si>
  <si>
    <t>NR HOSPITALAR (703435)</t>
  </si>
  <si>
    <t>CAPACETE CIRCULAR PARA OXIGENOTERAPIA, GRANDE. Material: em acrílico transparente, com qualidade óptica, garantindo ampla visualização interna, resistente a calor, Características Adicionais: sem abas na base; abertura frontal para o pescoço, com tampa removível que permita o manuseio da cabeça do recém-nascido; orifício lateral para saída de CO²; defletor interno de fluxo, Dimensões: mínimas de 20 cm de altura externa x 25 cm de diâmetro; Abertura para o pescoço de no mínimo: 10 cm x 10 cm, com variação + / - 2 cm em quaisquer das medidas. Tamanho: grande.</t>
  </si>
  <si>
    <t>LUVA DE LÁTEX: Aplicação: Limpeza em geral: Lavanderia, SVS ou a critério do NSHMT. Material: látex, com forro flocado em algodão, palma antiderrapante, punho médio, com virola, comprimento  de 29 cm, cor amarela. Tamanho: GG. Deverá ter o certificado de aprovação (CA) do MTE.</t>
  </si>
  <si>
    <t>COLA, Material: plástica, Apresentação: adesivo instantânea, Aplicação: múltipla, Unidade de Fornecimento: tubo com 5 gramas.</t>
  </si>
  <si>
    <t>CAPAS DESC. PLASTICO TRANSP. P/ENVOLVIMENTO CABO OTICO E MICROCAMERA COMP. APROX. 2 METROS P/CIRURGIA VIDEOENDOSCOPICA 1.</t>
  </si>
  <si>
    <t>Conserto de Monitor Lenovo Lcd  Wide D1960wa 18,5" , Patrimônio GDF 844966</t>
  </si>
  <si>
    <t>Conserto de Monitor Lenovo Lcd  Wide D1960wa 18,5" , Patrimônio GDF 844928</t>
  </si>
  <si>
    <t>Conserto de Monitor Lenovo Lcd  Wide D1960wa 18,5" , Patrimônio GDF 844829</t>
  </si>
  <si>
    <t>Conserto de Monitor Lenovo Lcd  Wide D1960wa 18,5" , Patrimônio GDF 844830</t>
  </si>
  <si>
    <t>Conserto de Monitor Lenovo Lcd  Wide D1960wa 18,5" , Patrimônio GDF 844941</t>
  </si>
  <si>
    <t>Conserto de Monitor Lenovo Lcd  Wide D1960wa 18,5" , Patrimônio GDF 844771</t>
  </si>
  <si>
    <t>Conserto de Monitor Lenovo Lcd  Wide D1960wa 18,5" , Patrimônio GDF 848269</t>
  </si>
  <si>
    <t>Conserto de Monitor Lenovo Lcd  Wide D1960wa 18,5" , Patrimônio GDF 844264</t>
  </si>
  <si>
    <t>MON42</t>
  </si>
  <si>
    <t>MON43</t>
  </si>
  <si>
    <t>MON44</t>
  </si>
  <si>
    <t>MON45</t>
  </si>
  <si>
    <t>MON46</t>
  </si>
  <si>
    <t>MON47</t>
  </si>
  <si>
    <t>MON48</t>
  </si>
  <si>
    <t>MON49</t>
  </si>
  <si>
    <t>MON50</t>
  </si>
  <si>
    <t>MON51</t>
  </si>
  <si>
    <t>MON52</t>
  </si>
  <si>
    <t>MON53</t>
  </si>
  <si>
    <t>MON54</t>
  </si>
  <si>
    <t>MON55</t>
  </si>
  <si>
    <t>MON56</t>
  </si>
  <si>
    <t>MON57</t>
  </si>
  <si>
    <t>Conserto de Monitor Lenovo Lcd  Wide D1960wa 18,5" , Patrimônio GDF 844867</t>
  </si>
  <si>
    <t>Conserto de Monitor Lenovo Lcd  Wide D1960wa 18,5" , Patrimônio GDF 917465</t>
  </si>
  <si>
    <t>Conserto de Monitor Lenovo Lcd  Wide D1960wa 18,5" , Patrimônio GDF 518890</t>
  </si>
  <si>
    <t>Conserto de Monitor Lenovo Lcd  Wide D1960wa 18,5" , Patrimônio GDF 844788</t>
  </si>
  <si>
    <t>Conserto de Monitor Lenovo Lcd  Wide D1960wa 18,5" , Patrimônio GDF 845132</t>
  </si>
  <si>
    <t>Conserto de Monitor Lenovo Lcd  Wide D1960wa 18,5" , Patrimônio GDF 852318</t>
  </si>
  <si>
    <t>Conserto de Monitor Lenovo Lcd  Wide D1960wa 18,5" , Patrimônio GDF 845145</t>
  </si>
  <si>
    <t>Conserto de Monitor Lenovo Lcd  Wide D1960wa 18,5" , Patrimônio GDF 844920</t>
  </si>
  <si>
    <t>MON58</t>
  </si>
  <si>
    <t>Conserto de Monitor Lenovo Lcd  Wide D1960wa 18,5" , Patrimônio GDF 848260</t>
  </si>
  <si>
    <t>3102</t>
  </si>
  <si>
    <t>12139-3</t>
  </si>
  <si>
    <t>17.908.624/0001-04</t>
  </si>
  <si>
    <t>0643-2</t>
  </si>
  <si>
    <t>241533-X</t>
  </si>
  <si>
    <t>OLEO COMBUSTIVEL, OC1 (BPF) viscosidade mínima aproximada de 600 SSF a 620 °C, ponto de fulgor mínimo aproximado de 66ºC, ponto de fluidez máxima aproximado de 27° C, teor  máximo de Enxofre aproximado de 2,5 a 5,0 %, teor de agua e sedimentos máximos aproximados de 2 % para aplicação em 20 caldeiras ( Vaso de pressão e que o óleo seja regulamentado pelo CNP e ANP).</t>
  </si>
  <si>
    <t>INC01</t>
  </si>
  <si>
    <t>INC02</t>
  </si>
  <si>
    <t>Conserto de Incubadora - Pat.: 386980</t>
  </si>
  <si>
    <t>Conserto de Incubadora - Pat.: 752983</t>
  </si>
  <si>
    <t>CDT01</t>
  </si>
  <si>
    <t>CDT02</t>
  </si>
  <si>
    <t>CONSERTO DE Cardiotocógrafo - Pat.: 1246883​</t>
  </si>
  <si>
    <t>CONSERTO DE Cardiotocógrafo - Pat.: 1246882</t>
  </si>
  <si>
    <t>CAR02</t>
  </si>
  <si>
    <t>Conserto de Compressor de ar Odontologia, Chapa patrimonial nº 313732</t>
  </si>
  <si>
    <t>540-1</t>
  </si>
  <si>
    <t>INC03</t>
  </si>
  <si>
    <t>FRAGMENTADOR/EXTRATOR PERCUTA NEO MED. 1.8X2.0 C/ MECANISMO</t>
  </si>
  <si>
    <t>PINÇA FOERSTER RETA 24,5cm; Aplicação: Instrumental cirúrgico; Material: produto confeccionado em aço inoxidável AISI-420, tamanho 24,5, plástica individual, constando os dados de identificação, procedência e rastreabilidade, Garantia 10 anos contra defeitos de fabricação, fabricado de acordo com padrões internacionais de qualidade, normas da ABNT, CE. Registro Ministério da Saúde; Tamanho: 24cm; Processo de esterilização: não estéril; Forma de apresentação: embalagem individual; Prazo de validade: 10 anos contra defeito de fabricação; Unidade de estoque: unidade</t>
  </si>
  <si>
    <t>PINÇA FOERSTER CURVA 22cm; Aplicação: Instrumental cirúrgico; Material: produto confeccionado em aço inoxidável AISI-420, tamanho 22cm, embalagem plástica individual, constando os dados de identificação, procedência e rastreabilidade, Garantia 10 anos contra defeitos de fabricação, fabricado de acordo com padrões internacionais de qualidade, normas da ABNT, CE. Registro Ministério da Saúde; Tamanho: 22cm; Processo de esterilização: não estéril; Forma de apresentação: embalagem individual: Prazo de validade: 10 anos contra defeitos de fabricação; Unidade de estoque: unidade</t>
  </si>
  <si>
    <t>PINÇA FOERSTER RETA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t>
  </si>
  <si>
    <t>PINÇA KOCHER RETO 18cm; Aplicação: Instrumental cirúrgico; Material: Pinça Kocher Reta,confeccionada em aço inox de 1a. qualidade, medindo 18cm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18cm; Processo de esterilização: não estéril; Forma de apresentação: embalagem individual: Prazo de validade: 10 anos contra defeitos de fabricação; Unidade de estoque: unidade</t>
  </si>
  <si>
    <t>PINÇA KOCHER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t>
  </si>
  <si>
    <t>PINÇA KELLY CURVA, Aplicação: Apreensão e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</si>
  <si>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PINCA FAURE CURVA P/ARTERIA UTERINA 22CM 1</t>
  </si>
  <si>
    <t>PINÇA KELLY RETA 16cm; Aplicação: Instrumental cirúrgico; Material: PINÇA KELLY RETA confeccionada em aço inox de 1a. qualidade, medindo 16cm de comprimento, embalada individualmente em plástico, constando externamente os dados de identificação e procedência, Garantia de fabrica: 10 anos contra defeitos de fabricação. Registro Ministério da Saúde. Serve para uso cirúrgico geral, pinçar artérias e veias, interroper fluxo sanguíneo; Tamanho: 16cm; Processo de esterilização; não esteril; Forma de apresentação; embalagem individual; Prazo de validade; 10 anos contra defeito de fabricação, Unidade de estoque: unidade</t>
  </si>
  <si>
    <t>PINÇA MIXTER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t>
  </si>
  <si>
    <t>PINÇA BACKAUS, Aplicação: pinça de campo, Material: Aço inoxidável AISI, Tamanho: 130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</si>
  <si>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ROCHESTER PEAN RETA, Aplicação: Hemostasia, Material: Aço inoxidável AISI, Tamanho: 180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</si>
  <si>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CIRÚRGICA, MATERIAL AÇO INOXIDÁVEL, MODELO MARYLAND, tipo ponta giratória, comprimento 33 cm, características adicionais com haste isolada, diâmetro 5 mm.</t>
  </si>
  <si>
    <t>PINÇA TIPO ENDOCLINCH, autoclavável com mandíbula fenestrada, atraumática tipo Grasper, para apreensão de corpos estranhos, desmontável através de engate rápido, dupla ação, rotatória, isolada, com empunhadura com cremalheira, modelo Click-Line, com tubo externo metálico de 5 mm de diâmetro e 36 cm de comprimento aproximadamente (tolerância de +/- 5%); Aplicação: diagnóstico e cirurgia Vídeoendoscopia Ginecológica, vídeolaparoscopia;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boa afiação e dureza adequada a um perfeito desempenho.</t>
  </si>
  <si>
    <t>PINÇA ÓSSEA LAMBERT-LOWMANN 2X2 DENTES, Aplicação: Cirurgia Ortopédica,Material: Aço inoxidável AISI, 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</si>
  <si>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PINÇA ÓSSEA LAMBERT-LOWMANN 2X2 DENTES, Aplicação: Cirurgia Ortopédica, Material: Aço inoxidável AISI, Tamanho: 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validade:Indeterminado.</t>
  </si>
  <si>
    <t>PINÇA ÓSSEA LOWMANN 1 X 2 DENTES,Aplicação: Cirurgia Ortopédica Material: Aço inoxidável AISI,Tamanho:200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t>
  </si>
  <si>
    <t>PINÇA ÓSSEA LOWMANN 1 X 2 DENTES, Aplicação: Cirurgia Ortopédica Material: Aço inoxidável AISI, Tamanho:185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validade:.Indeterminado.</t>
  </si>
  <si>
    <t>PINCA GOIVA RUSKIN-RETA 180MM</t>
  </si>
  <si>
    <t>PINÇA GOIVA RUSKIN CURVA, Aplicação: Cortar osso, Material: Aço Inoxidável Cirúrgico AISI, Tamanho: 180mm, boca: 3 mm,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</si>
  <si>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GANCHO ÓSSEO, Aplicação: Cirurgia Ortopédica, Material:Aço inoxidável AISI, Tamanho:230 mm, Características: A ponta deverá apresentar um bom acabamento superficial. O peso deverá ser o menor possível e o polimento isento de buracos ou defeitos superficiais que possam provocar manchas ou corrosão. A solda entre o cabo e a haste deverá ter acabamento perfeito, liso, sem buracos para acúmulo de detritos. A qualidade da solda deverá ser adequada para que as duas partes não soltem durante os processos usuais de esterilização.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</si>
  <si>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GANCHO OSSEO 20X230MM 1</t>
  </si>
  <si>
    <t>MARTELO AÇO INOX, Aplicação: Cirurgia Ortopédica, Material:Aço inoxidável AISI, Tamanho: 300 gramas, Características: As pontas deverão apresentar um bom acabamento superficial. O peso deverá ser o menor possível e o polimento isento de buracos ou defeitos superficiais que possam provocar manchas ou corrosão. A solda entre o cabo e a haste deverá ter acabamento perfeito, liso, sem buracos para acúmulo de detritos. A qualidade da solda deverá ser adequada para que as duas partes não soltem durante os processos usuais de esterilização.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t>
  </si>
  <si>
    <t>CABO PARA BISTURI N 03, Confeccionado em aço inoxidável AISE 420, com pontas perfeitamente delineadas para a função, para ser acoplado à lâmina de bisturi n° 03, polimento brilhante, livre de rebarbas e sinais de oxidação, resistente aos métodos normalmente usados para desinfecção esterilização.</t>
  </si>
  <si>
    <t>AFASTADOR ABDOMINAL SUPRA PÚBICA, Aplicação: Cirurgia Abdominal, Material: Aço inoxidável AISI, Tamanho: Lâmina 40 mm x 80 mm; 240 mm,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 CÓDIGO SES:</t>
  </si>
  <si>
    <t>HASTE, tipo hook aplicação corte e coagulação isolado diâmetro 5 mm, comprimento 35 cm, tipo uso reusável.</t>
  </si>
  <si>
    <t>PORTA AGULHA MAYO HEGAR COM VÍDEA, Aplicação: Sutura microvascular, Material: Aço inoxidável AISI, Tamanho: 200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t>
  </si>
  <si>
    <t>AGULHA DE VERESS autoclavável de 11 cm de comprimento (tolerânicia de +/- 5%); Aplicação: diagnóstico e cirurgia Vídeoendoscopia Ginecológica, vídeolaparoscopia;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boa afiação e dureza adequada a um perfeito desempenho.</t>
  </si>
  <si>
    <t>Borracha, para vedação, com furo central para inserção de óticas, diâmetro de 5 mm, para uso com trocarte endoscópico.</t>
  </si>
  <si>
    <t>Borracha, para vedação, com furo central para inserção de óticas, diâmetro de 11 mm, para uso com trocarte endoscópico.</t>
  </si>
  <si>
    <t>CURETA VOLKMAN OVAL, Aplicação: Auxiliar na remoção de detritos ósseos, Material: Aço Inoxidável Cirúrgico AISI, Tamanho: 170mm, nº 0, Característica :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t>
  </si>
  <si>
    <t>CURETA DE VOLKMAN OVAL, Aplicação: Auxiliar na remoção de detritos ósseos, Material: Aço Inoxidável Cirúrgico AISI, Tamanho: 170 mm, n° 00, Característica :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</si>
  <si>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CURETA VOLKMAN OVAL, Aplicação: Auxiliar na remoção de detritos ósseos, Material: Aço Inoxidável Cirúrgico AISI, Tamanho: 170mm, nº 000, Característica: O material deverá ter um tratamento térmico integral, a fim de atingir a dureza e a flexibilidade adequada a um perfeito desempenho.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</si>
  <si>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GÁS REFRIGERANTE R-22, UNIDADE DE FORNECIMENTO: CILINDRO DE 13,6KG</t>
  </si>
  <si>
    <t>TUBO DE COBRE P/REFRIGERACAO DE 5/8´´</t>
  </si>
  <si>
    <t>ESPUMA D28 3CM 1,90X1,0 1</t>
  </si>
  <si>
    <t>Gás refrigerante, tipo r-134, aplicação sistema de geladeira, apresentação cilindro</t>
  </si>
  <si>
    <t>ATAX EMPREENDIMENTOS COMERCIAIS EIRELE - ME</t>
  </si>
  <si>
    <t>EDGAR ROCHA</t>
  </si>
  <si>
    <t>11.493.941/0001-20</t>
  </si>
  <si>
    <t>ATAX</t>
  </si>
  <si>
    <t>ATAX (703508)</t>
  </si>
  <si>
    <t>FABIANA / ROSE</t>
  </si>
  <si>
    <t>FARMATEX DO BRASIL S/A</t>
  </si>
  <si>
    <t>BOLSA PARA ESTOMIA ADULTO TRANSPARENTE 1 PEÇA, NÃO ESTÉRIL. Aplicação: drenagem de resíduos para portadores de estomia intestinal. Material: bolsa com sistema 01 peça, drenável, transparente, composta por invólucro plástico contendo no mínimo duas películas plásticas de material resistente que promova a segurança do paciente, antiodor, atóxica, silenciosas, macia, hipoalergênica. Deve apresentar selagem de alta resistência nas bordas através de base adesiva composta por resina sintética hidrocoloide formada por carboximetilcelulose de sódio associada a pectina e gelatina, do tipo recortável, com marcação impressa de fábrica. A bolsa deve ser envolta por tela protetora não aderente, microperfurada, confortável à pele, resistente à umidade. Presença de sistema de clampeamento integrado que permita o perfeito fechamento da área de drenagem sem extravasamento de efluentes, resistente, com pontas que não provoque lesão ao paciente. Tamanho/Capacidade: saco coletor com comprimento e largura mínima de 20 cm e 12 cm respectivamente e base adesiva com diâmetro recortável inicial de no mínimo 15mm (+ ou -  5mm) e diâmetro final de no máximo 65mm (+ ou - 5mm). Características Adicionais: Presença de filtro de carvão antiodor acoplado e vedação para protegê-lo em contato com líquidos e/ou efluentes. Base com adesivo microporoso. Apresentação: acondicionadas em caixas com no máximo 30 unidades. Unidade de Estoque: unidade (UN).</t>
  </si>
  <si>
    <t>ENVELOPE PARA RAIO-X . Material: papel kraft, Cor: palha, Gramatura Mínima:110 g/m2, Tamanho Mínimo: 370 x 450 mm, Tamanho Máximo: 385 x 460 mm, Características Adicionais: com identificação e logotipo da SES/DF</t>
  </si>
  <si>
    <t>CUEIRO,Características: cueiro flanela branca com detalhes branco, Material: 100% algodão, tolerância 3%, na cor VERDE, tom pastel com estampas infantis unissex em todo o produto. Tamanho: comprimento 80cm x largura 80cm, tolerância de 3%. Etiqueta em tecido: fixada no meio da canto da parte traseira, contendo os caracteres tipográficos dos indicadores, na cor preta , devem ser uniformes, devendo informar a razão social, composição, tamanho e ano de fabricação.
Código do Item: 3.3.90.32.08.01.0031.000002-01</t>
  </si>
  <si>
    <t>ELLO DISTRIBUIÇÃO LTDA - EPP</t>
  </si>
  <si>
    <t>ANA LIVIA SOUZA ARAUJO</t>
  </si>
  <si>
    <t>14.115.388/0001-80</t>
  </si>
  <si>
    <t>117.116-X</t>
  </si>
  <si>
    <t>ELLO</t>
  </si>
  <si>
    <t>CAMPO SIMPLES 90X90cm, Aplicação: procedimento cirúrgico, Material: Tecido liso, cor azul e 100% algodão, Linha 100% algodão, Tamanho: 90x90cm,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centralizada e a sigla do hospital em todos os cantos do campo, Forma de Apresentação: Embalagem primária em saco plástico com 10 unidades e secundaria em caixa de papelão com no máximo 100 unidades, Unidade de Estoque: Unidade, Unidade de fornecimento: Unidade</t>
  </si>
  <si>
    <t>CAMPO FENESTRADO 90x90cm, Aplicação: procedimento cirúrgico, Material: Tecido liso, cor azul e 100% algodão, Linha 100% algodão, Tamanho: 90x90cm Características: Peça simples sendo a parte fenestrada centralizada, reforço duplo em volta da fenestra de 10 cm de largura com fenestra retangular de 10x10cm,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t>
  </si>
  <si>
    <t>CAMPO FENESTRADO 170X220 cm, Aplicação: procedimento da obstetrícia, Material: Tecido liso, cor azul e 100% algodão, Linha 100% algodão, Tamanho: 170x220 cm, característica Peça simples com barras estreitas, reforço duplo em volta da fenestra de 10 cm de largura, parte fenestrada retangular de 24x15 cm, centralizada,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t>
  </si>
  <si>
    <t>LENÇOL MÓVEL 110X160 cm, Aplicação: para pacientes acamados, Material: tecido liso, cor branca, 50% algodão e 50% poliéster, Linha 100% algodão, Tamanho: 110x160cm, Características: Peça simples com barras estreitas, costura reta e overlock com linha 100% algodão, Tecido tela 50% algodão 50% poliéster  fio 30, 105 no urdume e 75 na trama, tingimento em idantrem encolhimento 5% no Urdume e 3% na trama, peso mínimo 126g/m²,Apresentar no lençol a logomarca da SES-DF/HRG medindo 22x22cm centralizada e sigla do hospital em todos os cantos do lençol, Forma de Apresentação: Embalagem primária em saco plástico com 10 unidades e secundaria em caixa de papelão com no máximo 100 unidades, Unidade de Estoque: Unidade, Unidade de fornecimento: Unidade, Código SES 15414</t>
  </si>
  <si>
    <t>COBERTOR ADULTO 2,00x1,50m. Aplicação: cobertura de paciente adulto. Material: 100% poliéster, cor caramelo claro. Tamanho: 2,00x1,50m. Características: cobertor microfibra, acabamento nos quatros cantos, antialérgico, antipiling, resistente à lavagem industrial. Apresentar no centro do cobertor a logomarca da SES-DF/HRG medindo 22x22cm. OBS: estampar a logomarca em tecido branco e costurar no cobertor. Forma de Apresentação: embalagem individual em saco plástico e embalagem secundária em fardo plástico com no máximo 20 unidades. Unidade de estoque: unidade. Unidade de fornecimento: unidade.</t>
  </si>
  <si>
    <t>FRAGMENTADOR/EXTRATOR PERCUTANEO MED. 2.0X1.5 C/MECANISMO</t>
  </si>
  <si>
    <t>Cânula para traqueostomia material polivinil flexível, formato ponta arredondada, tamanho 10, características adicionais balão de baixa pressão, tipo estéril e descartável</t>
  </si>
  <si>
    <t>GIULIANO / ELVIS</t>
  </si>
  <si>
    <t>PETROSOLO</t>
  </si>
  <si>
    <t>PETROSOLO DIESEL LTDA (PAPAGAIO DIESEL)</t>
  </si>
  <si>
    <t>PLACA PRONTA PARA USO COM VANCOMICINA 90 X 15MM</t>
  </si>
  <si>
    <t>PLACA PRONTA PARA USO BIPARTIDA ÁGAR CLED / MAC CONKEY 90 X 15MM, Aplicação: identificação e isolamento microbiológico.</t>
  </si>
  <si>
    <t>PLACA PRONTA PARA USO AGAR SANGUE 90 X 15MM</t>
  </si>
  <si>
    <t>PLACA PRONTA PARA USO AGAR MAC CONKEY 90 X 15MM</t>
  </si>
  <si>
    <t>PLACA PRONTA PARA USO AGAR CHOCOLATE 90 X 15MM</t>
  </si>
  <si>
    <t>PLACA PRONTA PARA USO MRSA 90 X 15MM</t>
  </si>
  <si>
    <t>2024-9</t>
  </si>
  <si>
    <t>1440-0</t>
  </si>
  <si>
    <t>0638-6</t>
  </si>
  <si>
    <t>50718-0</t>
  </si>
  <si>
    <t>TALA METÁLICA PARA IMOBILIZAÇÃO DE DEDO 12MM X 180MM, Composição alumínio 100% liga 1100 A H 14 com espessura de 1mm; com revestimento de espuma antialérgica com espessura de 9mm; tamanho 12mm x 180mm.</t>
  </si>
  <si>
    <t>TALA METÁLICA PARA IMOBILIZAÇÃO DE DEDO 16MM X 180MM, Composição alumínio 100% liga 1100 A H 14 com espessura de 1mm; com revestimento de espuma antialérgica com espessura de 9mm; tamanho 16mm x 180mm.</t>
  </si>
  <si>
    <t xml:space="preserve">LÂMPADA HALOGÊNEA OSRAN cód 26419-008/7 DABI/ATLANTE OU SIMILAR. Lâmpada para o  projetor que é utilizado  para visualização  das letras e definir o grau do óculos. Refração ou acuidade visual. </t>
  </si>
  <si>
    <t>Duração Total (Uteis)</t>
  </si>
  <si>
    <t>Duração Até Hoje (Uteis)</t>
  </si>
  <si>
    <t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</si>
  <si>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ECO02</t>
  </si>
  <si>
    <t>BELBI COMÉRCIO IMPORTAÇÃO E EXPORTAÇÃO</t>
  </si>
  <si>
    <t>27.901.764/0001-04</t>
  </si>
  <si>
    <t>BELBI</t>
  </si>
  <si>
    <t>21.638.856/0001-67</t>
  </si>
  <si>
    <t>JJT AMARAL (AMARAL PRODUTOS HOSPITALARES ME)</t>
  </si>
  <si>
    <t>JACKSON JOHN T AMARAL</t>
  </si>
  <si>
    <t>25.290.348/0001-91</t>
  </si>
  <si>
    <t>JJT AMARAL</t>
  </si>
  <si>
    <t>BEL07</t>
  </si>
  <si>
    <t>BEL08</t>
  </si>
  <si>
    <t>Conserto de Bisturi elétrico marca WEM, Modelo: SS-601 MCA, Pat.: 1009027</t>
  </si>
  <si>
    <t>Conserto de Bisturi elétrico marca WEM, Modelo: SS-501 S, Pat.:  518675</t>
  </si>
  <si>
    <t>PILHA ALCALINA TAMANHO AA1,5 V</t>
  </si>
  <si>
    <t>BOLA SUIÇA com especificações mínimas :Composta em látex de 1,5 mm de espessura; Peso máximo suportado: 200 kg; Tamanho e cor 75 cm laranja ;Dimensões: 55.0 cm x 55.0 cm x 75.0 cm (C x L x A) ;acompanhado posicionador inflável tamanho único Cor prata;Inflável (Composição:Policloreto de vinila com dimensões: 61.0 cm x 10.5 cm x7.0cm(CxLxA)Peso: 0.6 kg); itens inclusos , adaptador e extensor.</t>
  </si>
  <si>
    <t>TERMÔMETRO DIGITAL PARA GELADEIRA, FREEZER E ESTUFA, Temperaturas de Trabalho: de 0º C a + 180º C, Características Adicionais: com diplay em cristal com indicação de temperatura ambiente, temperatura de máximo e mínimo e alarme sonoro, com indicação sonora caso a temperatura interna da geladeira ou freezer ultrapasse os parâmetros configurados, memória máxima e mínima, acompanhado de adesivo velcro e magnetos para uso fora da geladeira ou freezer, 1 sensor com cabo de 1 metro no interior da geladeira ou freezer para medir a temperatura com precisão de +/- 1º C e +/- 1,8º C e resolução do display de 0,1º C, com bateria de 1.5V já incluída no produto.</t>
  </si>
  <si>
    <t>CAIXA PLÁSTICA organizadora contêiner de 105 Litros; Finalidade: guarda de material para atender às normas da DIVISA; Material: Plástico transparente; Tamanho: 105 litros com variação de até 10%; Características: Caixa plástica com tampa; Forma de apresentação: Unidade; Unidade de Estoque: Unidade (Unid)</t>
  </si>
  <si>
    <t>Papagaio hospitalar (comadre) em aço inoxidável de primeira qualidade, capacidade de 1000 cc, cabo de fácil manuseio para enchimento ou esvaziamento, limpeza, alça e bordas com per</t>
  </si>
  <si>
    <t>COMADRE HOSPITALAR, tipo pá, em aço inoxidável de primeira qualidade, superfície lisa para conforto e fácil limpeza, alça e bordas com perfeito acabamento para evitar aparecimento</t>
  </si>
  <si>
    <t>CAMPO FENESTRADO 100x90 cm, Aplicação: para acesso venoso infantil.  Material: Conforme NBR 16064/2016, com resistência a penetração microbiana e a líquidos. Tecido liso, cor azul e 100% algodão, Linha 100% algodão, Tamanho: 100x90cm, Características: Peça simples com barras estreitas medindo 100 x 90 cm, reforço duplo em volta da fenestra de 10 cm de largura, parte fenestrada redonda de 7 cm, centralizada na largura a 15 cm da parte inferior, Tecido com armação sarja 2x1cm², gramatura mínima 190g/m² com variação de ± 5%. Variação de medida do produto acabado ± 5%. Apresentar no campo a logomarca da SES-DF medindo aproximadamente 15x15cm localizada 10 cm acima da fenestra, Forma de Apresentação: Embalagem primária em saco plástico com no máximo 10 unidades e secundaria em caixa de papelão com no máximo 100 unidades, Unidade de Estoque: Unidade, Unidade de fornecimento: Unidade, Código SES: 14043.</t>
  </si>
  <si>
    <t>CAMPO FENESTRADO 100X100 cm, Aplicação: procedimento cirúrgico oftalmológico, Material: Conforme NBR 16064/2016, com resistência a penetração microbiana e a líquidos. Tecido liso, cor branca e 100% algodão, Linha 100% algodão. Tamanho: 100x100 cm, Características: Peça simples com a parte fenestrada centralizada, reforço duplo em volta da fenestra de 10 cm de largura, fenestra ovalada de 6x5cm, Costura reta e overlock com linha 100% algodão, Tecido com armação sarja 2x1cm², gramatura mínima 190g/m² com variação de ± 5%. Variação de medida do produto acabado ± 5%. Apresentar no campo a logomarca da SES-DF medindo aproximadamente 15x15cm localizada 10 cm acima da fenestra, Forma de Apresentação: Embalagem primária em saco plástico com no máximo 10 unidades e secundaria em caixa de papelão com no máximo 100 unidades. Unidade de Estoque: Unidade, Unidade de fornecimento: Unidade, Código SES: 13949.</t>
  </si>
  <si>
    <t>CAPOTE CIRURGICO, Aplicação: para equipe cirúrgica, Material: Tecido estampado em toda extensão com logotipo SES/DF,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t>
  </si>
  <si>
    <t>CAPOTE CIRURGICO, Aplicação: para equipe cirúrgica, Material: Tecido estampado em toda extensão com logotipo SES/DF, cor azul, 100% algodão, Punho em malha ribana sanfonada 100% algodão cor azul, Linha 100% algodão, Tamanho: 56,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152 cm, largura total: 102 cm, comprimento da manga: 72 cm mais o punho, comprimento do cinto: 92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t>
  </si>
  <si>
    <t>FITA COM AREA REAGENTE PARA VERIFICAÇÃO DE GLICEMIA CAPILAR em GLICOSÍMETRO compatível. Para uso em ambiente HOSPITALAR, pré hospitalar e unidades de emergências. Aplicação: avaliação de controle glicêmico para diagnóstico das situações emergenciais e no monitoramento da glicemia pré e intra hospitalar para ajustes de doses de insulina em pacientes internados ou em ambiente hospitalar. Composição: Fita de material plástico com área reagente na extremidade que contém substância química e permite a absorção do sangue após a punção em ponta do dedo ou outra área. Faixa de hematócrito: ≤ 30 a ≥ 65%. Forma de apresentação: unidade acondicionada em caixa/ frasco com 50 fitas. Solicitamos o fornecimento de 1 glicosímetro para cada 1.000 fitas.</t>
  </si>
  <si>
    <t>DENISE DIAS</t>
  </si>
  <si>
    <t>3415-0</t>
  </si>
  <si>
    <t>5238-8</t>
  </si>
  <si>
    <t>1969-0</t>
  </si>
  <si>
    <t>35076-1</t>
  </si>
  <si>
    <t>106</t>
  </si>
  <si>
    <t>057.190-8</t>
  </si>
  <si>
    <t>0006</t>
  </si>
  <si>
    <t>OP:003 CC 2487-0</t>
  </si>
  <si>
    <t>SONDA DE TROCA PARA GASTROSTOMIA PERCUTÂNEA EM SILICONE, TIPO BOTTON, À NIVEL DA PELE, COM CALIBRE ESPECÍFICO DE 18 FR, COMPRIMENTO DE 2,1 A 3,0 CM BALÃO DE RETENÇÃO INTERNO INFLÁVEL EM SILICONE, CONECTOR UNIVERSAL PARA PORTA DE ALIMENTAÇÃO, MATERIAL RADIOPACO. USO ÚNICO. ESTÉRIL.</t>
  </si>
  <si>
    <t>SONDA DE TROCA PARA GASTROSTOMIA PERCUTÂNEA EM SILICONE, TIPO BOTTON, À NIVEL DA PELE, COM CALIBRE ESPECÍFICO DE 18 FR, COMPRIMENTO DE 1,6 A 2,0 CM BALÃO DE RETENÇÃO INTERNO INFLÁVEL EM SILICONE,  CONECTOR UNIVERSAL PARA PORTA DE ALIMENTAÇÃO, MATERIAL RADIOPACO. USO ÚNICO. ESTÉRIL.</t>
  </si>
  <si>
    <t>Sonda de troca para gastrostomia percutânea em silicone, tipo botton, à nivel da pele, com calibre específico de 24 fr, comprimento de 3,1 a 4,0 cm balão de retenção interno inflável em silicone,  conector universal para porta de alimentação, material radiopaco. Uso único. Estéril.</t>
  </si>
  <si>
    <t>GARRAFA TÉRMICA,Material Corpo: plástico, Material Cilindro: vidro espelhado, Capacidade: 1,8 litros, Formato: cilíndrico</t>
  </si>
  <si>
    <t>ADESIVO AUTOCOLANTE, Aplicação: controle de entrada no estacionamento, Material: vinil transparente de alta performance, Gramatura: 10, Tamanho: 10 cm x 10 cm, Características Adicionais: colagem interna, com arte, a expressão "ESTACIONAMENTO" deverá ser escrito em maiúscula na cor preta e fundo laranja, a arte deverá ter fundo amarelo suave e borda na cor laranja, com númeração, o número deverá ser escrito na cor preta, tamanho 72, fonte times new roman, com código de barras, Medidas: colagem interna, com estampa da arte, Prazo de Validade: 12 meses.</t>
  </si>
  <si>
    <t>HIDROCORTISONA (ACETATO) CREME 1 % BISNAGA 15 G A 20 G</t>
  </si>
  <si>
    <t>DISCO, ERTAPENEM, 10 MCG, CARACTERISTICA ADICIONAL: ANTIBIOGRAMA, APRESENTACAO: FRASCO 50 DISCOS</t>
  </si>
  <si>
    <t>DISCO, CEFOXITINA, 30 MCG, CARACTERISTICA ADICIONAL: ANTIBIOGRAMA, APRESENTACAO; FRASCO 50 DISCOS</t>
  </si>
  <si>
    <t>DISCO, MEROPENEM, 10 MCG, CARACTERISTICA ADICIONAL: ANTIBIOGRAMA, APRESENTACAO: FRASCO 50 DISCOS</t>
  </si>
  <si>
    <t>DISCO, IMIPENEM, 10 MCG, CARACTERISTICA ADICIONAL: ANTIBIOGRAMA, APRESENTACAO: FRASCO 50 DISCOS</t>
  </si>
  <si>
    <t>FJ COMERCIO E DISTRIBUIÇÃO LTDA ME</t>
  </si>
  <si>
    <t>FÁBIO</t>
  </si>
  <si>
    <t xml:space="preserve"> 3061</t>
  </si>
  <si>
    <t>31.898-1</t>
  </si>
  <si>
    <t>FJ COMÉRCIO</t>
  </si>
  <si>
    <t>CARDIOBRAS EQUIPAMENTOS HOSPITALARES E ASSISTÊNCIA TÉCNICA LTDA.</t>
  </si>
  <si>
    <t>TANIO C. RAEFF</t>
  </si>
  <si>
    <t>00.680.966/0001-17</t>
  </si>
  <si>
    <t>DROGALARES (ANDRE FELIPE LARES CAMARGO)</t>
  </si>
  <si>
    <t>ANDRE LARES</t>
  </si>
  <si>
    <t>31.576.956/0001-60</t>
  </si>
  <si>
    <t>3085-6</t>
  </si>
  <si>
    <t>63290-2</t>
  </si>
  <si>
    <t>DROGALARES</t>
  </si>
  <si>
    <t>Pneu</t>
  </si>
  <si>
    <t>062</t>
  </si>
  <si>
    <t>006062-0</t>
  </si>
  <si>
    <t>3648-x</t>
  </si>
  <si>
    <t>500603-1</t>
  </si>
  <si>
    <t xml:space="preserve">DEVOLUÇÃO DE SALDO </t>
  </si>
  <si>
    <t>CARDIOBRAS</t>
  </si>
  <si>
    <t>REOBOTE HOSPITALAR</t>
  </si>
  <si>
    <t>MARCELO GOMES DE ALCANTARA</t>
  </si>
  <si>
    <t>23.079.853/0001-66</t>
  </si>
  <si>
    <t>REOBOTE</t>
  </si>
  <si>
    <t>RIACHO TINTAS LTG (LTG COMÉRCIO DE TINTAS LTDA).</t>
  </si>
  <si>
    <t>TAIS</t>
  </si>
  <si>
    <t>13.693.929/0001-95</t>
  </si>
  <si>
    <t>RIACHO TINTAS LTG</t>
  </si>
  <si>
    <t>113871-5</t>
  </si>
  <si>
    <t>JJT AMARAL (703513)</t>
  </si>
  <si>
    <t>LARISSA (703011)</t>
  </si>
  <si>
    <t>WERBRAN (700722)</t>
  </si>
  <si>
    <t>Livre na Conta Corrente</t>
  </si>
  <si>
    <t>A resgatar</t>
  </si>
  <si>
    <t>BENZILPENICILINA BENZATINA PO PARA SUSPENSAO INJETAVEL 600.000 UI FRASCO AMPOLA</t>
  </si>
  <si>
    <t>Publ. por:</t>
  </si>
  <si>
    <t>CESTA PARA EXTRACAO DE CALCULO BILIAR, ESTÉRIL E DESCARTÁVEL. COMPATÍVEL COM DISPOSITIVO LITOTRIPTOR, COM FUNÇÃO DE EXTRAÇÃO E TRITURAÇÃO DE CÁLCULOS BILIARES, PARA CANAL DE TRABALHO 3.2MM, COMPRIMENTO DA CESTA DE 3.0CM E DIÂMETRO DE 1.5CM.  DEVEATENDER A SISTEMA DE TROCA RÁPIDA DE ACESSÓRIOS UTILIZANDO DISPOSITIVO QUE PERMITE A FIXAÇÃO DO FIO GUIA PARA A TROCA DE ACESSÓRIOS RAPIDAMENTE.</t>
  </si>
  <si>
    <t>ALÇA POLIPECTOMIA DESCARTÁVEL E ESTÉRIL, TIPO OVAL PEQUENA, COMPRIMENTO DE 195 CM, LAÇO COM DIÂMETRO DE 13MM, PARA CANAL DE TRABALHO DE 2.8MM.</t>
  </si>
  <si>
    <t>Conjunto Nefrostomia Percutânea 10 a 10,5 FR. Componente: agulha de Chiba 18 a 22 Ga, agulha introdutória com bainha de Teflon. Outros componentes: Guia 35' compatível, cateter de drenagem 10 a 10,5 FR, aproximadamente 50cm, material do cateter poliuretano. Características adicionais: pigtail, fio guia curvo compatível e conjunto de dilatadores.</t>
  </si>
  <si>
    <t xml:space="preserve">Conjunto Nefrostomia Percutânea 8 a 8,5FR. Composto de agulha de Chiba 18 a 22 Ga, agulha introdutória com bainha de Teflon. Guia 35` compatíveis, cateter de drenagem 8 a 8,5 FR. Medindo aproximadamente 50cm, material de cateter poliuretano. Características adicionais: pigtail, fio guia curvo compatível e conjunto de dilatadores. </t>
  </si>
  <si>
    <t>MED VITTA COMÉRCIO DE PRODUTOS HOSPTALARES LTDA ME</t>
  </si>
  <si>
    <t>JULIANA MONTEIRO</t>
  </si>
  <si>
    <t>28.418.133/0001-00</t>
  </si>
  <si>
    <t>MED VITTA</t>
  </si>
  <si>
    <t>BR DANTAI DISTRIBUIDOR ATACADISTA LTDA</t>
  </si>
  <si>
    <t>JAIME / DANIEL ROSSI</t>
  </si>
  <si>
    <t>10.761.735/0001-91</t>
  </si>
  <si>
    <t xml:space="preserve"> 1452-4</t>
  </si>
  <si>
    <t xml:space="preserve"> 43719-0</t>
  </si>
  <si>
    <t>BR DANTAI</t>
  </si>
  <si>
    <t>MOUSE ÓPTICO, Tipo: tecnologia óptica, Características Adicionais: resolução mínima de 400 DPI, mínimo 02 (dois) botões, interface de comunicação: USB</t>
  </si>
  <si>
    <t>APOLLO (703256)</t>
  </si>
  <si>
    <t>PMH (347)</t>
  </si>
  <si>
    <t>x</t>
  </si>
  <si>
    <t>ALCOOL GEL 70% FRASCO COM TAMPA ACOPLADA 85 a 100G. Aplicação: higienização das mãos. Características adicionais: com emolientes em sua formulação para evitar o ressecamento da pele. Não possuir composto de fósforo ou fosfato. Não deixar resíduos na pele ou fragrância persistentes após o uso. Possuir tampa de fácil abertura, acoplada ao frasco, com fechamento que não permita vazamento do produto durante todo o consumo.</t>
  </si>
  <si>
    <t xml:space="preserve">FÓRMULA INFANTIL DE SEGUIMENTO PARA LACTENTES - A PARTIR DE 6 MESES. Aplicação: indicada para lactentes a partir do 6º mês mês de vida até doze meses de idade incompletos, Características Adicionais: à base de leite de vaca ou de outros animais ou de uma mistura destes e/ou de outros ingredientes comprovadamente adequados para alimentação de lactentes a partir do sexto mês de vida, sem indicações dietoterápicas específicas. Forma de Apresentação: pó,  Unidade de Estoque: grama (GR). </t>
  </si>
  <si>
    <t>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t>
  </si>
  <si>
    <t>FORMOL COMERCIAL 37/40% 1000 ML - FORMALDEÍDO (FORMOL), ASPECTO FÍSICO LÍQUIDO INCOLOR, LÍMPIDO, FÓRMULA QUÍMICA H2CO, PESO MOLECULAR 30,03, GRAU DE PUREZA CONCENTRAÇÃO ENTRE 37 E 40, NÚMERO DE REFERÊNCIA QUÍMICA CAS 50-00-0</t>
  </si>
  <si>
    <t>SONDA NASOGÁSTRICA LONGA Nº 12. Aplicação: administração de soluções e dieta, drenagem e lavagem gástrica. Material: polivinil atóxico. Características Adicionais: estéril, descartável, medindo aproximadamente 100 cm, incolor, com conector na parte proximal em PVC que permita perfeita adaptação em seringas, equipos, látex, etc; com tampa na porção média do conector (presa ou solta). Extremidade distal fechada, arredondada, apresentando 02 orifícios ovais situados em lados opostos, delimitados e proporcionais ao diâmetro da sonda, isentos de rebarbas ou saliências que possam traumatizar o paciente; apresentando flexibilidade e maciez adequada ao fim que se destina, espessura uniforme, isenta de manchas ou quaisquer defeitos. Embalada em saco plástico que favoreça abertura asséptica e que garanta integridade e esterilização do produto. Apresentação: embalagem individual, acondicionada em caixa. Unidade de Estoque: unidade. Código SES: 092469.</t>
  </si>
  <si>
    <t>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t>
  </si>
  <si>
    <t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t>
  </si>
  <si>
    <t>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t>
  </si>
  <si>
    <t>APOLLO MATERIAIS MEDICO HOSPITALARES LTDA ME</t>
  </si>
  <si>
    <t>25.453.279/0001-90</t>
  </si>
  <si>
    <t>399.699-9</t>
  </si>
  <si>
    <t>APOLLO</t>
  </si>
  <si>
    <t>BATERIA, Aplicação: NOBREAK, características Adicionais: 12volts e 70A/H.</t>
  </si>
  <si>
    <t>COMPRESSA DE GAZE 7,5CM x 7,5CM 13 FIOS ESTERIL ENVELOPE COM 10 UND. Aplicação: procedimentos cirúrgicos, limpeza e cobertura de feridas. Material: 100% algodão. Características Adicionais: 8 camadas, 5 dobras, com 13 fios/cm², medindo aberta 30 x 15cm, com trama e urdume regulares. Com ausência de amido, alvejante óptico, fiapos e sujidades. Embalagem com selagem que assegure a esterilidade do produto em papel grau cirúrgico, ou similar, que permita abertura e transferência em técnica asséptica, sem delaminar. Apresentação: envelope com 10 unidades.</t>
  </si>
  <si>
    <t>COMPRESSA DE GAZE 7,5CM x 7,5CM 11 FIOS NAO ESTERIL PACOTE COM 500 UND. Aplicação: composição de bandejas para procedimentos cirúrgicos, clínicos e odontológicos. Material: 100% algodão. Características Adicionais: com 8 camadas, 5 dobras, 11 fios/cm², medindo aberta 15cm x 30cm, com empilhamento uniforme na embalagem, com trama e urdume regulares com ausência de fiapos, alvejante óptico, amido e sujidade. Que permita absorção imediata de fluidos e sangue. Embalagem plástica que promova a proteção do produto. Apresentação: pacote com 500 unidades.</t>
  </si>
  <si>
    <t>PLAST LABOR (3537)</t>
  </si>
  <si>
    <t>RIOCLARENSE (3374)</t>
  </si>
  <si>
    <r>
      <t xml:space="preserve">Reanimador/Ressuscitador manual adulto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- 1500ml; reservatório para oxigênio - confeccionado em material maleável e resistente com capacidade compatível com o tamanho adulto; válvulas/conectores - em policarbonato transparente ou material similar de alta resistência a impacto. Características adicionais: o produto deverá oferecer fácil manuseio; ser totalmente desmontável e lavável; </t>
    </r>
    <r>
      <rPr>
        <b/>
        <u/>
        <sz val="10"/>
        <rFont val="Rockwell"/>
        <family val="1"/>
      </rPr>
      <t>AUTOCLAVÁVEL</t>
    </r>
    <r>
      <rPr>
        <sz val="10"/>
        <rFont val="Rockwell"/>
        <family val="1"/>
      </rPr>
      <t>;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12176
**ENVIAR IMAGENS E DESCRITIVO DETELHADO DO ITEM COTADO.**</t>
    </r>
  </si>
  <si>
    <t>REAGENTE PARA DIAGNÓSTICO CLÍNICO, TIPO CONJUNTO COMPLETO, TIPO DE ANÁLISE QUALITATIVO ANTI DENGUE VÍRUS IGG E IGM, MÉTODO IMUNOCROMATOGRAFIA, APRESENTAÇÃO TESTE</t>
  </si>
  <si>
    <t>CRISTÁLIA (114)</t>
  </si>
  <si>
    <t>SULFADIAZINA DE PRATA CREME DERMATOLOGICO 1 % BISNAGA 50 G</t>
  </si>
  <si>
    <t>030/2019</t>
  </si>
  <si>
    <t>031/2019</t>
  </si>
  <si>
    <t>034/2019</t>
  </si>
  <si>
    <t xml:space="preserve">ESPÉCULO VAGINAL DESCARTÁVEL TAMANHO P, NÃO ESTÉRIL. Aplicação: Auxiliar no exame ginecológico vaginal. Características adicionais: Produzido em poliestireno, transparente, valvas anatômicas, com dispositivo de abertura tipo parafuso. Apresentação: embalagem individual. </t>
  </si>
  <si>
    <t>035/2019</t>
  </si>
  <si>
    <t>036/2019</t>
  </si>
  <si>
    <t>038/2019</t>
  </si>
  <si>
    <t>HD - CODIGO INATIVADO</t>
  </si>
  <si>
    <t>PLACA ESCAVADA P/ VDRL 1</t>
  </si>
  <si>
    <t>Conserto do ELETROCARDIÓGRAFO, marca DIXTAL, nº de patrimônio 693.817</t>
  </si>
  <si>
    <t>Conserto do ELETROCARDIÓGRAFO, marca DIXTAL EP-3, Chapa patrimonial n° 693.822</t>
  </si>
  <si>
    <t>043/2019</t>
  </si>
  <si>
    <t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t>
  </si>
  <si>
    <t xml:space="preserve">Descrição resumida dos itens </t>
  </si>
  <si>
    <t>Cateter balao p/embolectomia arterial ou venosa 4f, tipo fogarty, material em poliuretano flexível. com comprimento de 80 cm, descartável, estéril.</t>
  </si>
  <si>
    <t>Cateter balao p/embolectomia arterial ou venosa 3f, tipo fogarty, material em poliuretano flexível, com comprimento de 80 cm, descartável, estéril, prazo de validade: mínimo de 75% da data de fabricação.</t>
  </si>
  <si>
    <t>VITTAMED DISTRIBUIÇÃO DE MEDICAMENTOS E PRODUTOS PARA A SAÚDE</t>
  </si>
  <si>
    <t>Roney Ramos</t>
  </si>
  <si>
    <t>22.530.297/0001-30</t>
  </si>
  <si>
    <t>VITTAMED</t>
  </si>
  <si>
    <t>ALFA COMERCIO DE PRODUTOS HOSPITALARES LTDA ME</t>
  </si>
  <si>
    <t>ALEXCILENIO</t>
  </si>
  <si>
    <t>30.337.889/0001-68</t>
  </si>
  <si>
    <t>1507-5</t>
  </si>
  <si>
    <t>73091-2</t>
  </si>
  <si>
    <t>ALFA</t>
  </si>
  <si>
    <t>PREMIER COMERCIO DE PRODUTOS HOSPITALARES LTDA</t>
  </si>
  <si>
    <t>12.828.039/0001-80</t>
  </si>
  <si>
    <t>PREMIER</t>
  </si>
  <si>
    <t>RT COMERCIO (702949)</t>
  </si>
  <si>
    <t>DS MEDICAL (702905)</t>
  </si>
  <si>
    <t>HD 160GB de 7.200 RPM IDE ULTRA-ATA 133. MARCA: SAMSUNG</t>
  </si>
  <si>
    <t>BEL09</t>
  </si>
  <si>
    <t>Conserto de Bisturi elétrico marca WEM, modelo: SS-501S, Nº Série: 01456, Nº Patrimônio: 518676</t>
  </si>
  <si>
    <t>Sensor para Oximetria de Pulso (SPO²), tipo Y, para Oxímetro MINDRAY VS800 (neonatal).</t>
  </si>
  <si>
    <t>CAIXA TERMICA DE POLIURETANO C/ALCA E FECHAMENTO DE SEGURANCA,CAPACIDADE + OU - 12LITROS.</t>
  </si>
  <si>
    <t>REANIMADOR PULMONAR ADULTO - TOTALMENTE AUTOCLAVÁVEL. Aplicação: reanimação pulmonar de adulto, manualmente. Características adicionais: Totalmente autoclavável à temperatura de 121 a 134º C, garantindo sua reutilização; Bojo deve ser de fácil manuseio e possuir características ergonômicas que possibilitem ao profissional realizar o procedimento; O sistema deverá permitir a entrega de no mínimo 85% de FIO2 se ligado a um fluxo de oxigênio de 10 a 13 litros por minuto; Deve oferecer um volume máximo de ventilação de 1300ml; Máxima pressão de descarga alcançável: 0,2L/min - aproximada (100cmH2O); O reanimador deve possuir capacidade de funcionamento correto tanto em condições climáticas comuns, quanto sob temperaturas extremas (adequada à realidade climática do Brasil); Temperatura de armazenamento de -5º C a 70º C. Da Válvula: Deve conter válvula de paciente que impeça o retorno do fluxo do ar exalado pelo paciente para o balão do ressuscitador; Sistema de válvula com obturador único que melhora a visibilidade e o manuseio do fluxo de ar ao paciente; O conector deverá permitir o giro da máscara em 360º, nos dois sentidos; Conector do paciente: 22/15mm (ISO); Conector expiratório: 30mm MACHO (ISO) - para conexão de válvula PEEP. Espaço morto: &lt;7ml; Resistência inspiratória: 50L/min - aproximada: -3,5 cmH2O; Resistência expiratória: 50L/min aproximada: 2,6 cmH2O; Sistema de limitação de pressão: da elasticidade da bolsa que limita a pressão das vias respiratórias em aproximadamente (80cmH2O) numa compressão normal. Do Reservatório: O sistema de reservatório deve assegurar a otimização do oxigênio utilizado; A Bolsa Reservatório de oxigênio com volume mínimo de 1500ml, de forma a permitir o fornecimento de altas concentrações de oxigênio ao paciente; Autoclavável entre 121 a 134º C. Da Máscara: A máscara deve ser feita em polisulfona transparente, para permitir a detecção de regurgitação, cianose e respiração espontânea; Coxim deve ser inflável em silicone, totalmente isenta de látex; Deve acompanhar três máscaras com tamanho adequado para paciente adulto pequeno, adulto médio e adulto grande. Da Esterilização: Todos os componentes devem ser autoclaváveis em temperatura de 121ºC a 134ºC, inclusive o reservatório de oxigênio tipo bolsa.</t>
  </si>
  <si>
    <t>REANIMADOR PULMONAR PEDIÁTRICO - TOTALMENTE AUTOCLAVÁVEL. Características Adicionais: Totalmente autoclavável à temperatura de 121 a 134º C, garantindo sua reutilização; Bojo deve ser de fácil manuseio e possuir características ergonômicas que possibilitem ao profissional realizar o procedimento; Bojo pediátrico, deve permitir ventilação adequada ao paciente com peso corporal inferior a 30kg; Deve ter capacidade máxima de 750ml; O sistema deverá permitir a entrega de no mínimo 85% de FIO2 se ligado a um fluxo de oxigênio de 3 a 5 litros por minuto; Deve oferecer um volume de ventilação de no máximo 400ml; Máxima pressão de descarga alcançável: 0,2L/min - aproximada (50 cmH2O); O reanimador deve possuir capacidade de funcionamento correto tanto em condições climáticas comuns, quanto sob temperaturas extremas (adequadas à realidade climática do Brasil); Temperatura de armazenamento de -5ºC a 70ºC. Da Válvula: Deve conter válvula que impeça o retorno do fluxo do ar exalado pelo paciente para o balão do ressuscitador; Deve possuir válvula tipo Pop-Off com limite de pressão ajustável. Quando necessário, permite regulagem ou bloqueio da válvula limitadora de pressão em 40 cmH2O - 60 cmH2O; Sistema de válvula com obturador único que melhora a visibilidade e o manuseio do fluxo de ar ao paciente; O conector deverá permitir o giro da máscara em 360º, nos dois sentidos; Conector expiratório (para a válvula PEEP acoplada): 30mm MACHO (ISO). Espaço morto: menor que 7ml; Resistência inspiratória: (com ou sem o tubo de depósito de oxigênio) 50L/min aproximada -3,8 cmH2O e a 5L/min aproximada -0,8 cmH2O. Resistência expiratória: 50L/min aproximado: 4,5 cmH2O e a 5L/min aproximada 0,6 cmH2O; Sistema de limitação de pressão: da elasticidade da bolsa que limita a pressão das vias respiratórias em aproximadamente (80cmH2O) numa compressão normal; Conector do paciente: 22/15mm (universal - ISO). Máxima pressão de descarga alcançável quando a válvula limitadora de pressão é anulada: de aproximadamente 100cmH2O; abertura do limitador de pressão da válvula com máximo de 45 cmH2O. Caso haja excesso de pressão, a elasticidade da tampa externa deve limitar a pressão de ar ao máximo de 4,8Kpa (48 cmH2O). Do Reservatório: O sistema de reservatório deve assegurar a otimização do oxigênio utilizado, de forma a permitir o fornecimento de altas concentrações de oxigênio ao paciente; Reservatório de oxigênio tipo bolsa com volume mínimo de 1000ml; Resistência inspiratória da bolsa do reservatório de oxigênio: a 50L/min aproximado: -1,0 cmH2O a 5L/min; Autoclavável entre 121 a 134º C. Da Máscara: A máscara deve ser feita em polisulfona transparente, para permitir a detecção de regurgitação, cianose e respiração espontânea; Coxim deve ser inflável em silicone, totalmente isenta de látex; Deve acompanhar três máscaras com tamanho adequado para paciente infantil e pediátrico. Da Esterilização: Todos os componentes devem ser autoclaváveis em temperatura de 121ºC a 134ºC, inclusive o reservatório de oxigênio tipo bolsa.</t>
  </si>
  <si>
    <t>Frasco coletor, 1000 mL, para aspiração de vias aéreas, descartável, com tampa rosqueada autovedante. Descartável. Tipo sistema fechado. Acompanha tubos extensores. APLICAÇÃO:  Utilizado para aspiração de secreção de vias aéreas adaptável a rede canalizada de vácuo, tipo beira leito. COMPOSIÇÃO: frasco em PVC cristal e 2 extensores em PVC ou silicone atóxico, medindo de 1,2 m a 2,5 m. TAMANHO/CAPACIDADE: frasco de 1000mL graduado volumetricamente a cada 50 ou 100mL; com alça de sustentação. CARACTERÍSTICAS ADICIONAIS: frascos com laças de sustentação. Acompanhado das 02 extensões em PVC ou silicone atóxico com transparência que permita a visualização da secreção, com pinça/clamp corta fluxo e tampa na extremidade proximal. . Do tipo 02 vias, com conexões para vacuômetro e paciente. Sistema fechado que ofereça segurança durante o manuseio e uso evitando transbordamento da secreção. Que proporcione segurança para a rede de vácuo e para os profissionais. PROCESSO DE ESTERILIZAÇÃO: não estéril. PRAZO DE VALIDADE:  mínima de 12 meses. EMBALAGEM: embalagem reforçada que ofereça proteção ao produto, assegurando a integridade do produto até o momento do uso.</t>
  </si>
  <si>
    <t>CANETA ELETROCIRÚRGICA de 3 entradas, características adicionais: autoclavável e com eletrodo tipo faca para Bisturi Elétrico marca WEM SS501 e SS601.</t>
  </si>
  <si>
    <t>DELTRONIX EQUIPAMENTOS LTDA</t>
  </si>
  <si>
    <t>JOSÉ RAIMUNDO / LUCIANO</t>
  </si>
  <si>
    <t>56.014.475/0001-91</t>
  </si>
  <si>
    <t>104.161-4</t>
  </si>
  <si>
    <t>DELTRONIX</t>
  </si>
  <si>
    <t>PROTAMINA (CLORIDRATO) SOLUÇAO INJETAVEL 10 MG/ML AMPOLA 5 ML</t>
  </si>
  <si>
    <t>FIO DE SUTURA DE POLIDIOXANONA MONOFILAMENTAR 3-0, 70 A 75CM, COM 01 AGULHA DE 1,7CM, 1/2 CIRCULO CILINDRICA. Material: polidioxanona monofilamentar, Características Adicionais: fio 3-0, cor violeta, comprimento 70 a 75 cm, com 1 agulha, tipo agulha ponta e corpo cilíndricos, 1/2 círculo, comprimento da agulha 1,7 cm, estéril. Forma de Apresentação: 1 fio por envelope, com identificação do lote, data de fabricação, data de validade impressos em língua portuguesa no envelope e na caixa. Deverá seguir a Norma do INMETRO ABNT 13904/2003.</t>
  </si>
  <si>
    <t xml:space="preserve">LUVA PARA PROCEDIMENTO NAO ESTERIL EM LATEX AMBIDESTRA TAMANHO PEQUENO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</si>
  <si>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 xml:space="preserve">LUVA PARA PROCEDIMENTO NAO ESTERIL EM LATEX AMBIDESTRA TAMANHO MEDIO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</si>
  <si>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 xml:space="preserve">LUVA PARA PROCEDIMENTO NAO ESTERIL EM LATEX AMBIDESTRA TAMANHO GRANDE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t>
  </si>
  <si>
    <t>SERINGA PARA BOMBA INJETORA LF VOLUME 200 ML, Aplicação: Tomografia computadorizada. Caixa com 50 unidades.</t>
  </si>
  <si>
    <t>LÂMPADA ALOGÊNEA, 12 volt's , 30 Wat's para uso em Microscópio em laboratório.</t>
  </si>
  <si>
    <t>VDC02</t>
  </si>
  <si>
    <t>Conserto do aparelho COLONOSCÓPIO, MARCA: OLYMPUS CF, Nº SÉRIE: 2810443, Nº PATRIMÔNIO: 154.739</t>
  </si>
  <si>
    <t>CORREDICA TELESCOPICA SEM ESFERA TP02 DE 35CM 1</t>
  </si>
  <si>
    <t>FECHADURA,Material: metal, Aplicação: porta de divisória, Características Adicionais: tipo lockwell,maçaneta redonda (tipo bola), trinco (trava) para fechamento interno, Acabamento Superficial: cor preta Código do Item: 3.3.90.30.24.03.0021.000006-01</t>
  </si>
  <si>
    <t>CFB MEDICAL PRODUTOS HOSPITALARES E COMERCIO DE MEDICAMENTOS EIRELI</t>
  </si>
  <si>
    <t>CELSO FELIX BRUN</t>
  </si>
  <si>
    <t>28.806.866/0001-03</t>
  </si>
  <si>
    <t>5606</t>
  </si>
  <si>
    <t>31.615-5</t>
  </si>
  <si>
    <t>CFB</t>
  </si>
  <si>
    <t>VITTAMED (702957)</t>
  </si>
  <si>
    <t>ESCALPE N° 19, COM DISPOSITIVO DE SEGURANÇA, ESTÉRIL. Aplicação: acesso venoso periférico de curta permanência. Material: cânula: aço inoxidável, asas: polipropileno cor cinza. Características Adicionais: dispositivo de uso único, descartável, com tubo flexível sem dobraduras, com transparência que permita visualização do fluido e eventual bolhas. Asas para empunhadura anatômica, flexível, que permita firmeza no manuseio e segurança na fixação ao paciente. Conector que permita perfeita adaptação a equipos, seringas, etc..., cânula polida, isenta de aspereza, siliconizada, com lúmen limpo sem matéria estranha, bisel trifacetado afiado, que permita perfeito deslizamento no vaso e facilidade de punção, com protetor de agulha. Embalado individualmente em papel grau cirúrgico que facilite a abertura em técnica asséptica e que assegure a esterilidade do produto durante o transporte e armazenamento até o seu uso. Apresentação: embalagem individual acondicionado em caixa.</t>
  </si>
  <si>
    <t>TAMPA OCLUSORA PARA DISPOSITIVOS DE INFUSÃO, ESTÉRIL. Aplicação: proteger os dispositivos de infusão (equipos, seringas, cateteres, torneirinhas, multivias, scalps e etc) da entrada de microrganismos, prevenindo o risco de contaminação de suas extremidades. Características adicionais: Tampa rígida, em PVC, de vedação de dispositivos para sistema de infusão possuindo conexão luer macho e fêmea em um único produto, permitindo a conexão em dispositivos do tipo luer lock e luer slip, de fácil manuseio. Tamanho: padrão. Embalagem individual em papel grau cirúrgico que permite abertura em técnica asséptica. Unidade de Estoque: unidade (UN).</t>
  </si>
  <si>
    <t>4346-X</t>
  </si>
  <si>
    <t>21.446-9</t>
  </si>
  <si>
    <t>TELA INORGÂNICA DE POLIPROPILENO MÉDIA. Tela inorgânica de polipropileno 11 a 15 cm X 8 a 15 cm INABSORVÍVEL. Estéril. Validade mínima de 3 anos.</t>
  </si>
  <si>
    <t>TELA INORGÂNICA DE POLIPROPILENO GRANDE. Tela inorgânica de polipropileno 25 a 35 cm X 25 a 35 cm INABSORVÍVEL. Estéril. Validade mínima de 3 anos.</t>
  </si>
  <si>
    <t>PROTETOR FACIAL constituído de coroa e carneira de plástico, com regulagem de tamanho através de ajuste simples de catraca e visor de material de policarbonato flexível incolor, anti-embaçante, com cerca de 160 mm de altura e 170 mm de largura.</t>
  </si>
  <si>
    <t>PROTETOR AURICULAR TIPO CONCHA,CONSTITUIDO DE MATERIAL PLASTICO,RESISTENTE, NA COR BEGE, ESPUMAS REPOSICIONAVEIS E...</t>
  </si>
  <si>
    <t>PROTETOR AURICULAR TIPO PLUG EM SILICONE ANTI-ALERGICO,COM 3 ABAS CURVAS QUE PERMITEM...</t>
  </si>
  <si>
    <t>BOTINA DE SEGURANÇA: Aplicação: Manutenção ou a critério do NSHMT; Tamanho: 36.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</si>
  <si>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37.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</si>
  <si>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38.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</si>
  <si>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39.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</si>
  <si>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40.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</si>
  <si>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41.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</si>
  <si>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42.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</si>
  <si>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43.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</si>
  <si>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BOTINA DE SEGURANÇA: Aplicação: Manutenção ou a critério do NSHMT; Tamanho: 44. Material: couro e solado em poliuretano; Características: botina de segurança sem biqueira, com elástico lateral, bi-densidade, dorso acolchoado, palmilha anti-bacteriana. Cor preta.  Deverá ter o certificado de aprovação (CA) do MTE. Processo de esterilização: não estéril; Forma de apresentação: Par; Prazo de validade: indeterminado; Unidade de estoque: Par;</t>
  </si>
  <si>
    <t xml:space="preserve">CALÇADO HOSPITALAR: Aplicação: uso em Centro Cirúrgico, Centro Obstétrico e Central de Material e Esterilização; Tamanho:.35,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</si>
  <si>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Tamanho:.36,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</si>
  <si>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Tamanho:.37,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</si>
  <si>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Tamanho:.38,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</si>
  <si>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Tamanho:.39,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</si>
  <si>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Tamanho:.40,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</si>
  <si>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CALÇADO HOSPITALAR: Aplicação: uso em Centro Cirúrgico, Centro Obstétrico e Central de Material e Esterilização; Tamanho:.41,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t>
  </si>
  <si>
    <t xml:space="preserve">CALÇADO HOSPITALAR: Aplicação: uso em Centro Cirúrgico, Centro Obstétrico e Central de Material e Esterilização; Tamanho:.42,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</si>
  <si>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 xml:space="preserve">CALÇADO HOSPITALAR: Aplicação: uso em Centro Cirúrgico, Centro Obstétrico e Central de Material e Esterilização; Tamanho:.43, Material: Termoplástico esterilizável;  Características: Calçado fechado tipo sapato  confeccionado de material termoplástico esterilizável com características especiais de resistência mecânica, química e térmica. Peso leve de até 210g/pé(+ ou - 10%), formato anatômico. Possuir semi-esferas localizadas na palmilha do calçado. Ser resistente a rasgo/corte, antiderrapante, antiestático, flexível e com isolamento térmico. Permitir a limpeza em termodesinfectora a 93°C e esterilização a vapor a 134°C. Deve proteger o pé incluindo o calcanhar. Processo de esterilização: estéril; Forma de apresentação: Par; Prazo de validade: indeterminado; Unidade de estoque: Par; </t>
  </si>
  <si>
    <t>AVENTAL EM VAQUETA natural curtida ao cromo, sem mangas, inteiriço, medida: 1 x 0,60m, com tiras ajustáveis para amarração na cintura e pescoço, presas através de ilhoses.</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</si>
  <si>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M.</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</si>
  <si>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G.</t>
  </si>
  <si>
    <t>AVENTAL DE PROTEÇÃO: Aplicação: para lavagem de instrumental, equipamentos e máquinas; na lavanderia, laboratório, CME, UTI's, CC, CO; lavagem externa de carros operacionais e ambulâncias; SVS ou a critério do NSHMT. Deverá ter o certificado de aprovação (CA) do MTE. Características adicionais: atóxico, impermeável, descartável, longo, tipo jaleco, com mangas compridas, punho com elástico de fixação, fechamento frontal por meio de velcro, gramatura 40gr e de cor branca ou azul claro. Tamanho P.</t>
  </si>
  <si>
    <t>LUVA DE LÁTEX: Aplicação: Limpeza em geral: Lavanderia, SVS ou a critério do NSHMT. Material: látex, com forro flocado em algodão, palma antiderrapante, punho médio, com virola, comprimento  de 29 cm, cor amarela. Tamanho: M. Deverá ter o certificado de aprovação (CA) do MTE.</t>
  </si>
  <si>
    <t>BOTA DE PVC, solado antiderrapante (com alto teor de borracha nitrilica), com  forro, cano médio: nº 35</t>
  </si>
  <si>
    <t>BOTA DE PVC, solado antiderrapante (com alto teor de borracha nitrilica), com  forro, cano médio: nº 36.</t>
  </si>
  <si>
    <t>HEMOSTÁTICO ABSORVÍVEL DE BASE VEGETAL EM MALHA ENTRELAÇADA DE CELULOSE OXIDADA REGENERADA, EM TECIDO FLEXÍVEL, FINO, RESISTENTE E MALEÁVEL, COM ABSORÇÃO COMPLETA ENTRE 7 A 14 DIAS, COM PROPRIEDADES BACTERICIDAS E COMPATIBILIDADE ENDOSCÓPICA. HEMOSTASIA RÁPIDA E EFICAZ, NÃO ADERENTE A LUVAS E INSTRUMENTAIS. TAMANHO: 10,2 X 20,3 CM. ESTERIL. PRONTO PARA USO</t>
  </si>
  <si>
    <t>HEMOSTÁTICO ABSORVÍVEL, ESPONJA DE GELATINA LIOFILIZADA, ESTÉRIL, EM CUBO 1 CM. Aplicação: Hemostasia após a exodontia. Unidade de Fornecimento: Cartela com 10 unidades. Unidade de Estoque: Unidade.</t>
  </si>
  <si>
    <t>095/2019</t>
  </si>
  <si>
    <t>Desc Reduzida</t>
  </si>
  <si>
    <t>desc red</t>
  </si>
  <si>
    <t>FERRO CHATO</t>
  </si>
  <si>
    <t>BUCHA FIXAÇÃO</t>
  </si>
  <si>
    <t>BUCHA Fixação</t>
  </si>
  <si>
    <t>CARRAPETA EM BORRACHA PARA TORNEIRA ½”</t>
  </si>
  <si>
    <t>COLA PARA MADEIRA</t>
  </si>
  <si>
    <t>PINCEL ATÔMICO</t>
  </si>
  <si>
    <t>PINCEL ATOMICO</t>
  </si>
  <si>
    <t>TAMPA VASO SANITÁRIO</t>
  </si>
  <si>
    <t>LIXA PARA MADEIRA</t>
  </si>
  <si>
    <t>LÂMPADA UNIVERSAL</t>
  </si>
  <si>
    <t>TINTA ESMALTE SINTÉTICO</t>
  </si>
  <si>
    <t>BORRACHA</t>
  </si>
  <si>
    <t>CLIPE</t>
  </si>
  <si>
    <t>LÁPIS PRETO</t>
  </si>
  <si>
    <t>LIVRO ATA</t>
  </si>
  <si>
    <t>LIVRO  PROTOCOLO</t>
  </si>
  <si>
    <t>PAPEL CARBONO</t>
  </si>
  <si>
    <t>RÉGUA</t>
  </si>
  <si>
    <t>TINTA PARA CARIMBO</t>
  </si>
  <si>
    <t>CANETA MARCA TEXTO</t>
  </si>
  <si>
    <t>FITA ISOLANTE</t>
  </si>
  <si>
    <t>PILHA</t>
  </si>
  <si>
    <t>DISJUNTOR MONOFÁSICO</t>
  </si>
  <si>
    <t>TOMADA TRIPLA P/REDE CANALIZADA DE OXIGENIO C/ VALVULA DE RETENCAO</t>
  </si>
  <si>
    <t>ÁLCOOL ETÍLICO</t>
  </si>
  <si>
    <t>DETERGENTE</t>
  </si>
  <si>
    <t>LÃ DE AÇO-ESPONJA</t>
  </si>
  <si>
    <t>CATETER RADIOPACO P/ACESSO VENOSO DUPLO LUMEM N</t>
  </si>
  <si>
    <t>SABÃO COCO</t>
  </si>
  <si>
    <t>SABÃO COMUM</t>
  </si>
  <si>
    <t>PAPEL CÓPIA XEROGRÁFICA</t>
  </si>
  <si>
    <t>ROLAMENTO 6308-Z PRIMEIRA LINHA</t>
  </si>
  <si>
    <t>SINVASTATINA COMPRIMIDO 20 MG</t>
  </si>
  <si>
    <t>SINVASTATINA COMPRIMIDO 40 MG</t>
  </si>
  <si>
    <t xml:space="preserve"> FILME RADIOLÓGICO</t>
  </si>
  <si>
    <t>ESPECULO VAGINAL DESCART</t>
  </si>
  <si>
    <t>PAPEL TERMO SENSIVEL 5</t>
  </si>
  <si>
    <t>BOLSA PARA ESTOMIA RETRAÍDA ADULTO TRANSPARENTE 1 PEÇA</t>
  </si>
  <si>
    <t>BRITA</t>
  </si>
  <si>
    <t>CIMENTO PORTLAND</t>
  </si>
  <si>
    <t>BROMOCRIPTINA (MESILATO) COMPRIMIDO 2</t>
  </si>
  <si>
    <t>FITA MÉTRICA</t>
  </si>
  <si>
    <t>ALMOFADA AZUL P/CARIMBO ENTINTAMENTO PERMANENTE 7X12CM</t>
  </si>
  <si>
    <t>GAS LIQUEFEITO DE PETROLEO -GLP</t>
  </si>
  <si>
    <t>FIO GUIA HIDROFILICO EM NITINOL ZEBRADO  0</t>
  </si>
  <si>
    <t>COMPENSADO</t>
  </si>
  <si>
    <t>BRAÇADEIRA</t>
  </si>
  <si>
    <t>VÁLVULA REDUTORA DE PRESSÃO</t>
  </si>
  <si>
    <t xml:space="preserve">LIXA PARA MADEIRA </t>
  </si>
  <si>
    <t>FILME PLÁSTICO PVC</t>
  </si>
  <si>
    <t>CAIBRO madeira</t>
  </si>
  <si>
    <t>MASCARA FACIAL</t>
  </si>
  <si>
    <t>CANETAS HIDROCOR(ESTOJO C/24 CORES)FABER CASTELL 1</t>
  </si>
  <si>
    <t>COLA abrasiva Epoxi c/ 2 Bisnagas</t>
  </si>
  <si>
    <t>TUBO ENDOTRAQUEAL ARAMADO 8</t>
  </si>
  <si>
    <t>FILME RADIOLÓGICO</t>
  </si>
  <si>
    <t>ETIQUETA AUTO- ADESIVA</t>
  </si>
  <si>
    <t>ARAME</t>
  </si>
  <si>
    <t>ADESIVO TISSULAR A BASE DE N-2-BUTIL-CIANOACRILATO</t>
  </si>
  <si>
    <t>RESINA COMPOSTA</t>
  </si>
  <si>
    <t xml:space="preserve">RESINA FOTOPOLIMERIZÁVEL MICROHÍBRIDA PASTOSA COR A3 </t>
  </si>
  <si>
    <t>RESINA FOTOPOLIMERIZÁVEL MICROHÍBRIDA PASTOSA  COR A3</t>
  </si>
  <si>
    <t>RESINA FOTOPOLIMERIZAVEL MICROHIBRIDA C/PARTICULAS CERAMICA C/TAM</t>
  </si>
  <si>
    <t>RESINA FOTOPOLIMERIZAVEL MICROHIBRIDA PASTOSA COR B2</t>
  </si>
  <si>
    <t>Pincel</t>
  </si>
  <si>
    <t>KIT PARA ASPIRACAO MANUAL INTRA UTERINA (AMIU) C/SERINGA VALVULA DUPLA 8 CANULAS TAM</t>
  </si>
  <si>
    <t>KIT DE BIOPSIA DE ENDOMETRIO COM 1 SERINGA VALVULA SIMPLES</t>
  </si>
  <si>
    <t xml:space="preserve">ENVELOPE PARA RAIO-X </t>
  </si>
  <si>
    <t>TUBO EXTENSOR DE ALTA PRESSAO 120 - 150CM P/BOMBA INJETORA DE CONTRASTE PARA EXAME DE TOMOGRAFIA</t>
  </si>
  <si>
    <t>ÁCIDOS GRAXOS ESSENCIAIS + TRIGLICERÍDEOS (ACELERADOR DE CICATRIZAÇÃO)</t>
  </si>
  <si>
    <t>GUARNIÇÃO DE SILICONE P/AUTOCLAVE B-526P REF</t>
  </si>
  <si>
    <t>INVÓLUCRO PARA CADÁVER</t>
  </si>
  <si>
    <t>ABSORVENTE HIGIÊNICO HOSPITALAR</t>
  </si>
  <si>
    <t>DISCO P/MAQUINA POLICORTE C/02TELAS 10X1/2´´X1/8´´</t>
  </si>
  <si>
    <t>LÂMPADA HALOGÊNEA OSRAN cód 26419-008/7 DABI/ATLANTE OU SIMILAR</t>
  </si>
  <si>
    <t>FILTRO DE AR PARA INCUBADORA MARCA GIGANTE MOD</t>
  </si>
  <si>
    <t>COLA DE CONTATO</t>
  </si>
  <si>
    <t>AVENTAL DE NAPA IMPERMEÁVEL</t>
  </si>
  <si>
    <t>SPRAY LUBRIFICANTE P/PONTAS COM 200ML</t>
  </si>
  <si>
    <t>COPO</t>
  </si>
  <si>
    <t>CORREDIÇA PARA GAVETA de metal</t>
  </si>
  <si>
    <t>FIO GUIA TEFLONADO</t>
  </si>
  <si>
    <t>Conjunto Nefrostomia Percutânea 8 a 8</t>
  </si>
  <si>
    <t>BOLSA VAZIA EM EVA (ETIL VINIL ALL-IN-ONE) 150ML P/USO EM EQUIPAMENTO MISTURADOR AUTOMATICO P/NUTRICAO PARENTERAL</t>
  </si>
  <si>
    <t>BOLSA VAZIA EM EVA (ETIL VINIL ALL-IN-ONE) 1000ML P/USO EM EQUIPAMENTO MISTURADOR AUTOMATICO P/NUTRICAO</t>
  </si>
  <si>
    <t>CATETER CENTRAL DE INSERÇÃO PERIFÉRICA (PICC)</t>
  </si>
  <si>
    <t>AVENTAL PLUMBÍFERO - Elaborado com lâmina de borracha plumbífera com equivalência de 0</t>
  </si>
  <si>
    <t>PAPEL CREPADO</t>
  </si>
  <si>
    <t>DISCO</t>
  </si>
  <si>
    <t>LIGA CLIPE DE TITANIO MEDIO-LARGO REF</t>
  </si>
  <si>
    <t>PULSEIRA IDENTIFICAÇÃO PACIENTE</t>
  </si>
  <si>
    <t>CAIXA COLETORA</t>
  </si>
  <si>
    <t>HEMOSTÁTICO ABSORVÍVEL</t>
  </si>
  <si>
    <t>RELE ELETRONICO de proteção contra falta de fase</t>
  </si>
  <si>
    <t>SACO PLÁSTICO</t>
  </si>
  <si>
    <t>OXIBUTININA XAROPE 1 MG/ML FRASCO 120 ML</t>
  </si>
  <si>
    <t>ROLAMENTO Nº 6209-2C3 PRIMEIRA LINHA</t>
  </si>
  <si>
    <t>CURATIVO ADESIVO DE HIDROPOLIMERO 11X11CM</t>
  </si>
  <si>
    <t>CURATIVO ADESIVO DE HIDROPOLÍMERO/ESPUMA SACRAL COM TAMANHO MÍNIMO 18 CM X 18 CM</t>
  </si>
  <si>
    <t>AGULHA PARA BIOPSIA DE MAMA</t>
  </si>
  <si>
    <t>CARVEDILOL COMPRIMIDO 12</t>
  </si>
  <si>
    <t>Escova de aço 2" p/limpeza de tubos de ferro</t>
  </si>
  <si>
    <t>LIMA HEDSTROEN</t>
  </si>
  <si>
    <t>CONES DE GUTA PERCHA SECUNDARIOS N</t>
  </si>
  <si>
    <t>EUCALIPTOL FRASCO</t>
  </si>
  <si>
    <t>FRAGMENTADOR E EXTRATOR PERCUTANEO 16CMX1</t>
  </si>
  <si>
    <t>FRAGMENTADOR/EXTRATOR PERCUTA NEO MED</t>
  </si>
  <si>
    <t>FRAGMENTADOR/EXTRATOR PERCUTANEO MED</t>
  </si>
  <si>
    <t>TUBO ENDOTRAQUEAL ARAMADO 7</t>
  </si>
  <si>
    <t>DILUENTE</t>
  </si>
  <si>
    <t>PAPEL TYPE ( NORMAL ) UPP - 110 S</t>
  </si>
  <si>
    <t>MÁSCARA DE PROTEÇÃO RESPIRATÓRIA PFF2</t>
  </si>
  <si>
    <t>LÂMPADA ELETRÔNICA 20 W</t>
  </si>
  <si>
    <t>PILHA ALCALINA TAMANHO AA1</t>
  </si>
  <si>
    <t>LÂMPADA FLUORESCENTE</t>
  </si>
  <si>
    <t>PAPILOTOMO TRIPLO LUMEN COM PONTA TIPO AGULHA PARA PRÉ CORTE</t>
  </si>
  <si>
    <t>LUVA DE RASPA</t>
  </si>
  <si>
    <t>FITA ADESIVA</t>
  </si>
  <si>
    <t>CAIXA TERMICA DE POLIURETANO C/ALCA E FECHAMENTO DE SEGURANCA</t>
  </si>
  <si>
    <t>CAIXA TÉRMICA</t>
  </si>
  <si>
    <t>NAVALHA PARA MICRÓTOMO</t>
  </si>
  <si>
    <t>PASTA PLÁSTICA</t>
  </si>
  <si>
    <t>PARAFUSO S-8</t>
  </si>
  <si>
    <t>CAMPO DUPLO BRIM PESADO LISO 120 x 120 cm</t>
  </si>
  <si>
    <t>CAMPO SIMPLES EM CRETONE</t>
  </si>
  <si>
    <t>AGULHA PERIDURAL DESCARTAVEL C/BISEL TIPO TOUHY 16G X 3 1/4 1</t>
  </si>
  <si>
    <t>ESPAÇADOR DIGITAL</t>
  </si>
  <si>
    <t>PASTA PROFILÁTICA DE USO ODONTOLÓGICO</t>
  </si>
  <si>
    <t>AGULHA PERIDURAL DESCARTÁVEL</t>
  </si>
  <si>
    <t>LIDOCAINA 2% C/V 1</t>
  </si>
  <si>
    <t>COMPRESSA DE GAZE 7</t>
  </si>
  <si>
    <t>SOLUCAO PEROXIDO DE HIDROGENIO 90 A 92% + ACIDO ACETICO 8</t>
  </si>
  <si>
    <t>TUBO PARA COLETA DE SANGUE A VACUO</t>
  </si>
  <si>
    <t>TOPIRAMATO COMPRIMIDO 100 MG</t>
  </si>
  <si>
    <t>LINHA DE NYLON GRANDE N</t>
  </si>
  <si>
    <t xml:space="preserve">KIT DE GASTROSTOMIA </t>
  </si>
  <si>
    <t>RETINOL (ACETATO) + AMINOACIDOS + DL-METIONINA + CLORANFENICOL POMADA OFTALMICA (10000 UI + 25 MG + 5 MG + 5 MG)/G BISNAGA 3</t>
  </si>
  <si>
    <t>LÂMPADA MISTA PARA BOCAL</t>
  </si>
  <si>
    <t>CLONAZEPAM SOLUÇÃO ORAL 2</t>
  </si>
  <si>
    <t>AGULHA DESCARTAVEL PARA PUNCAO LOMBAR N</t>
  </si>
  <si>
    <t>BANDEJA EXPEDIENTE</t>
  </si>
  <si>
    <t>**Compra Suspensa SIS</t>
  </si>
  <si>
    <t>Cateter balao p/embolectomia arterial ou venosa 3f</t>
  </si>
  <si>
    <t>Cateter balao p/embolectomia arterial ou venosa 4f</t>
  </si>
  <si>
    <t>CATETER BALAO P/EMBOLECTOMIA ARTERIAL OU VENOSA 5F</t>
  </si>
  <si>
    <t>LÂMPADA INCANDESCENTE</t>
  </si>
  <si>
    <t>PUXADOR</t>
  </si>
  <si>
    <t>CHUVEIRO ELÉTRICO</t>
  </si>
  <si>
    <t>CAMPO DUPLO CRETONE AZUL</t>
  </si>
  <si>
    <t>CAMPO DUPLO EM CRETONE</t>
  </si>
  <si>
    <t>AMBU ADULTO COMPLETO COM MÁSCARA E UMIDIFICADOR PARA OXIGÊNIO</t>
  </si>
  <si>
    <t>UMIDIFICADOR PARA REDE CANALIZADA DE OXIGÊNIO</t>
  </si>
  <si>
    <t>FERRO MACIÇO</t>
  </si>
  <si>
    <t>ENVELOPE MED</t>
  </si>
  <si>
    <t>CLORETO DE SODIO 0</t>
  </si>
  <si>
    <t>GLICOSE 5 % SOLUÇAO INJETAVEL BOLSA OU FRASCO 250 ML SISTEMA FECHADO DE INFUSAO</t>
  </si>
  <si>
    <t>GLICOSE 5 % SOLUÇAO INJETAVEL BOLSA OU FRASCO 500 ML SISTEMA FECHADO DE INFUSAO</t>
  </si>
  <si>
    <t>FLUCONAZOL SOLUCAO INJETAVEL 2 MG/ML BOLSA OU FRASCO 100 ML SISTEMA FECHADO DE INFUSAO</t>
  </si>
  <si>
    <t>METRONIDAZOL SOLUÇAO INJETAVEL 5 MG/ML BOLSA OU FRASCO 100 ML SISTEMA FECHADO DE INFUSAO</t>
  </si>
  <si>
    <t>CONJUNTO PARA DETERMINAÇAO SERICA DE PSA LIVRE</t>
  </si>
  <si>
    <t>GUARNIÇÃO PARA AUTOCLAVE</t>
  </si>
  <si>
    <t>BOBINA DE PAPEL PARA IMPRESSORA de autoclave Hi Vac Plus e termodesinfetadora da marca Baumer</t>
  </si>
  <si>
    <t>ELEMENTO FILTRANTE</t>
  </si>
  <si>
    <t>**MATERIAL PERMANENTE** LARINGOSCÓPIO INFANTIL</t>
  </si>
  <si>
    <t>**MATERIAL PERMANENTE**  JOGO DE LARINGOSCÓPIO ADULTO</t>
  </si>
  <si>
    <t>CONJUNTO PARA DETERMINAÇÃO DE TEMPO E ATIVIDADE DA PROTROMBINA (TAP) ISE MAXIMO DE 1</t>
  </si>
  <si>
    <t>DISCO DE CORTE PARA LIXADEIRA MED</t>
  </si>
  <si>
    <t>COLCHÃO ESPUMA SOLTEIRO D-45</t>
  </si>
  <si>
    <t>AVENTAL DESCARTÁVEL NÃO ESTÉRIL</t>
  </si>
  <si>
    <t>AVENTAL DESCARTÁVEL</t>
  </si>
  <si>
    <t>RAIO PARA RODA 20 polegadas</t>
  </si>
  <si>
    <t>ESCOVA / ESPONJA PARA DEGERMAÇÃO DAS MÃOS</t>
  </si>
  <si>
    <t>EXTENSOR DE SERINGA INJETORA ALTA PRESSAO 1200PSI 120CM</t>
  </si>
  <si>
    <t>FITA PRETA PARA IMPRESSORA</t>
  </si>
  <si>
    <t>MASCARA DE PROTROTEÇÃO</t>
  </si>
  <si>
    <t>CATETER URETERAL DUPLO J</t>
  </si>
  <si>
    <t>BOCAL ENDOSCÓPIO</t>
  </si>
  <si>
    <t>RODÍZIO GIRATÓRIO</t>
  </si>
  <si>
    <t>ELETRODO 6013 OK 46</t>
  </si>
  <si>
    <t>ELETRODO P/ACO INOX OK 61</t>
  </si>
  <si>
    <t>TAMPA DE FERRO FUNDIDO PARA ESGOTO T-33</t>
  </si>
  <si>
    <t>ENVELOPE PLÁSTICO</t>
  </si>
  <si>
    <t>REBOLO REFORÇADO EM FIBRA DE VIDRO 7"x1/48" PARA LIXADEIRA</t>
  </si>
  <si>
    <t>CHAPA AÇO</t>
  </si>
  <si>
    <t>FERRO CHATO Largura</t>
  </si>
  <si>
    <t>PARAFUSO RG CAB</t>
  </si>
  <si>
    <t>COMPRESSOR HERMÉTICO SCROLL</t>
  </si>
  <si>
    <t>CILINDRO</t>
  </si>
  <si>
    <t>SIFÃO CAIXA SIFONADA</t>
  </si>
  <si>
    <t>TORNEIRA JARDIM</t>
  </si>
  <si>
    <t>CAIXA DESCARGA</t>
  </si>
  <si>
    <t>CARTOLINA</t>
  </si>
  <si>
    <t>CONECTOR</t>
  </si>
  <si>
    <t>VÁLVULA DE EXALAÇÃO</t>
  </si>
  <si>
    <t xml:space="preserve">CONJUNTO ARSTOP DE 20A 220V COMPLETO (COMPOSTO DE CAIXA </t>
  </si>
  <si>
    <t>ÓCULOS DE SEGURANÇA</t>
  </si>
  <si>
    <t>FUSIVEL DE VIDRO GRANDE 4A</t>
  </si>
  <si>
    <t>FUSIVEL DE VIDRO GRANDE 6A</t>
  </si>
  <si>
    <t>PILHA ELETROQUÍMICA ALCALINA</t>
  </si>
  <si>
    <t>REVELADOR RADIOLÓGICO</t>
  </si>
  <si>
    <t>ESPONJA LIMPEZA</t>
  </si>
  <si>
    <t>ÓLEO LUBRIFICANTE ANTI-CORROSIVO</t>
  </si>
  <si>
    <t>REPARO VÁLVULA DESCARGA</t>
  </si>
  <si>
    <t>PINÇA COLIBRI COM DENTE</t>
  </si>
  <si>
    <t>LÂMPADA FLUORESCENTE UNIVERSAL TIPO TUBULAR</t>
  </si>
  <si>
    <t>AGULHA PARA FISTULA ARTERIO-VENOSA 17G X 1</t>
  </si>
  <si>
    <t>Reanimador/Ressuscitador manual adulto em silicone (tipo Ambú - BMV) - Aplicação</t>
  </si>
  <si>
    <t>BATERIA</t>
  </si>
  <si>
    <t>Tesoura</t>
  </si>
  <si>
    <t>SISTEMA FECHADO DE ASPIRAÇÃO TRAQUEAL VIA TUBO OROTRAQUEAL 5 FR NEONATAL</t>
  </si>
  <si>
    <t>SISTEMA FECHADO DE ASPIRAÇÃO TRAQUEAL VIA TUBO OROTRAQUEAL 6 FR NEONATAL/ INFANTIL</t>
  </si>
  <si>
    <t>SISTEMA FECHADO DE ASPIRAÇÃO TRAQUEAL VIA TUBO OROTRAQUEAL INFANTIL 8 FR</t>
  </si>
  <si>
    <t>ROALMENTO UC 206 1</t>
  </si>
  <si>
    <t>SISTEMA FECHADO DE ASPIRAÇÃO TRAQUEAL VIA CÂNULA DE TRAQUEOSTOMIA 10 FR INFANTIL</t>
  </si>
  <si>
    <t>SISTEMA FECHADO DE ASPIRAÇÃO TRAQUEAL VIA TUBO OROTRAQUEAL ADULTO 14 FR</t>
  </si>
  <si>
    <t>SISTEMA FECHADO DE ASPIRAÇÃO TRAQUEAL VIA CÂNULA DE TRAQUEOSTOMIA ADULTO 16 FR</t>
  </si>
  <si>
    <t>SISTEMA FECHADO DE ASPIRAÇÃO TRAQUEAL VIA TUBO OROTRAQUEAL ADULTO 16 FR</t>
  </si>
  <si>
    <t>TUBO EXTENSOR PARA BOMBA DE SERINGA</t>
  </si>
  <si>
    <t>FIXADOR ADESIVO DE CÂNULA</t>
  </si>
  <si>
    <t>LÂMPADA FLUORESCENTE UNIVERSAL</t>
  </si>
  <si>
    <t>NUMERADOR DE CHUMBO P/IDENTIFICACAO DE RADIOGRAFIAS</t>
  </si>
  <si>
    <t>LÂMPADA FLUORESCENTE UNIVERSAL 220v</t>
  </si>
  <si>
    <t>TINTA a base de látex</t>
  </si>
  <si>
    <t>CAIXA PLÁSTICA (BINS)</t>
  </si>
  <si>
    <t>FITA VEDA ROSCA</t>
  </si>
  <si>
    <t>GIEMSA EM PO</t>
  </si>
  <si>
    <t>TECIDO COURVIM</t>
  </si>
  <si>
    <t>BATERIA SELADA VRLA</t>
  </si>
  <si>
    <t>PORTA LÁPIS/CANETA/CLIPE/LEMBRETE</t>
  </si>
  <si>
    <t>PLACA DE BISTURI</t>
  </si>
  <si>
    <t xml:space="preserve">PLACA BISTURI </t>
  </si>
  <si>
    <t>GRAMPEADOR PARA PAPEL</t>
  </si>
  <si>
    <t>TINTA PARA CIMENTADO</t>
  </si>
  <si>
    <t>PASTA PROTETORA</t>
  </si>
  <si>
    <t>FRASCO PARA COLETA DE SECREÇÃO</t>
  </si>
  <si>
    <t>ELETRODO ADESIVO MULTIFUNÇÃO</t>
  </si>
  <si>
    <t>SONDA PARA GASTROSTOMIA</t>
  </si>
  <si>
    <t>REANIMADOR PULMONAR ADULTO - TOTALMENTE AUTOCLAVÁVEL</t>
  </si>
  <si>
    <t>REANIMADOR PULMONAR PEDIÁTRICO - TOTALMENTE AUTOCLAVÁVEL</t>
  </si>
  <si>
    <t>COLA</t>
  </si>
  <si>
    <t>TERMÔMETRO DIGITAL PARA GELADEIRA</t>
  </si>
  <si>
    <t>LUMINÁRIA TIPO TARTARUGA</t>
  </si>
  <si>
    <t>CAIXA PLÁSTICA ORGANIZADORA</t>
  </si>
  <si>
    <t>BARBEADOR</t>
  </si>
  <si>
    <t>PORTAL DE MADEIRA</t>
  </si>
  <si>
    <t>EBULIDOR DE ÁGUA (MERGULHÃO)</t>
  </si>
  <si>
    <t>GRAMPEADOR DE PAPEL</t>
  </si>
  <si>
    <t>SACO DE HAMPER 52x95x95cm</t>
  </si>
  <si>
    <t>MÁSCARA</t>
  </si>
  <si>
    <t>REVELADOR PROCESSAMENTO AUTOMÁTICO</t>
  </si>
  <si>
    <t>ESPELHO CRISTAL PRATA</t>
  </si>
  <si>
    <t>CANETA PARA BISTURI ELÉTRICO AUTOCLAVÁVEL</t>
  </si>
  <si>
    <t>PAPEL TERMO-SENSÍVEL</t>
  </si>
  <si>
    <t>PROTETOR AURICULAR TIPO CONCHA</t>
  </si>
  <si>
    <t>PROTETOR AURICULAR TIPO PLUG EM SILICONE ANTI-ALERGICO</t>
  </si>
  <si>
    <t>CUBA RETANGULAR DE 30X20X4CM EM ACO INOXIDAVEL 1</t>
  </si>
  <si>
    <t>CARIMBO</t>
  </si>
  <si>
    <t>AVENTAL DE PROTEÇÃO</t>
  </si>
  <si>
    <t>BOTA DE PVC</t>
  </si>
  <si>
    <t>LUVA DE VAQUETA</t>
  </si>
  <si>
    <t>RESPIRADOR PEÇA SEMIFACIAL FILTRANTE PFF2/VO</t>
  </si>
  <si>
    <t>RESPIRADOR TIPO N-95</t>
  </si>
  <si>
    <t>BLOCO RECADO</t>
  </si>
  <si>
    <t>BATERIA AUTOMOTIVA</t>
  </si>
  <si>
    <t>PIPETADOR</t>
  </si>
  <si>
    <t>CABO PARA BISTURI N 03</t>
  </si>
  <si>
    <t>CAMPO FENESTRADO ORL 110x150cm</t>
  </si>
  <si>
    <t>CAMPO FENESTRADO 170x170 cm</t>
  </si>
  <si>
    <t>CAMPO FENESTRADO 90x90cm</t>
  </si>
  <si>
    <t>CAMPO FENESTRADO 70X70 cm</t>
  </si>
  <si>
    <t>COBERTOR ADULTO 2</t>
  </si>
  <si>
    <t>CALÇA PRIVATIVA</t>
  </si>
  <si>
    <t>CAMISOLA ADULTO</t>
  </si>
  <si>
    <t>LENÇOL INFANTIL 120X170 cm</t>
  </si>
  <si>
    <t>CAMPO FENESTRADO 100X100 cm</t>
  </si>
  <si>
    <t>PERFURADOR DE PAPEL</t>
  </si>
  <si>
    <t>LENÇOL VIROL ADULTO 160X250 cm</t>
  </si>
  <si>
    <t>CAMPO SIMPLES 170x220cm</t>
  </si>
  <si>
    <t>CAMPO SIMPLES 90X90cm</t>
  </si>
  <si>
    <t>FRONHA MAYO</t>
  </si>
  <si>
    <t>LENÇOL ESPECIAL 170X250 cm</t>
  </si>
  <si>
    <t>FRONHA ADULTO</t>
  </si>
  <si>
    <t>CAMPO FENESTRADO 170x120 cm</t>
  </si>
  <si>
    <t>CAMPO FENESTRADO 100x90 cm</t>
  </si>
  <si>
    <t>CAMPO SIMPLES 70X70 cm</t>
  </si>
  <si>
    <t>SACO RECEM NASCIDO</t>
  </si>
  <si>
    <t>CUEIRO 100X100</t>
  </si>
  <si>
    <t>CARIMBO AUTOMÁTICO</t>
  </si>
  <si>
    <t>PINCEL</t>
  </si>
  <si>
    <t>COLCHONETE PARA CARRO MACA E MESA DE EXAME</t>
  </si>
  <si>
    <t>Construído em espuma flexível de poliuretano</t>
  </si>
  <si>
    <t>BOTA DE SEGURANÇA</t>
  </si>
  <si>
    <t>PINÇA KOCHER CURVA</t>
  </si>
  <si>
    <t>TESOURA METZEMBAUM RETA</t>
  </si>
  <si>
    <t>GRAMPO GRAMPEADOR</t>
  </si>
  <si>
    <t>**FALTA Nº DO PATRIMÔNIO GDF</t>
  </si>
  <si>
    <t>LÂMPADA HALOGENA 6V 20W COD</t>
  </si>
  <si>
    <t>SERINGA CARPULE</t>
  </si>
  <si>
    <t>SONDA MILIMETRADA TIPO WILLIANS</t>
  </si>
  <si>
    <t>PRANCHETA ESCOLAR</t>
  </si>
  <si>
    <t>CABO DE ESPELHO</t>
  </si>
  <si>
    <t>ADAPTADOR P/ ASPIRADOR DE MECONIO 1</t>
  </si>
  <si>
    <t>SERINGA PARA BOMBA INJETORA LF VOLUME 200 ML</t>
  </si>
  <si>
    <t>LENCOL DESCARTAVEL</t>
  </si>
  <si>
    <t>SAPATO DE SEGURANÇA</t>
  </si>
  <si>
    <t>TERMÔMETRO DIGITAL</t>
  </si>
  <si>
    <t>PINÇA COM DENTE PARA CONJUNTIVA</t>
  </si>
  <si>
    <t>BACIA EM AÇO INOXIDÁVEL</t>
  </si>
  <si>
    <t>COMADRE HOSPITALAR</t>
  </si>
  <si>
    <t>PINÇA BACKAUS</t>
  </si>
  <si>
    <t>PINCA DISSECCAO ANATOMICA</t>
  </si>
  <si>
    <t>PINÇA GOIVA RUSKIN CURVA</t>
  </si>
  <si>
    <t>PINÇA KELLY CURVA</t>
  </si>
  <si>
    <t>CAMPO DUPLO ALGODÃO CRU LISO 120x120 cm</t>
  </si>
  <si>
    <t>CAMPO DUPLO ALGODÃO CRU LISO 170x170 cm</t>
  </si>
  <si>
    <t>CAMPO DUPLO ALGODÃO CRU LISO 50X50 cm</t>
  </si>
  <si>
    <t>CAMPO DUPLO BRIM PESADO LISO 70X70 cm</t>
  </si>
  <si>
    <t>CAMPO DUPLO ALGODÃO CRU LISO 90X90 cm</t>
  </si>
  <si>
    <t>LENÇOL MÓVEL 110X160 cm</t>
  </si>
  <si>
    <t>LENÇOL PARA MACA 120X220 cm</t>
  </si>
  <si>
    <t>CAPOTE CIRURGICO</t>
  </si>
  <si>
    <t>CAMISA PRIVATIVA</t>
  </si>
  <si>
    <t>PORTA AGULHA DE TRHOUTMAN OU SINSKEY PARA FIO MONONYLON 10-0 SEM TRAVA</t>
  </si>
  <si>
    <t>CAPOTE PARA ÁREA RESTRITA</t>
  </si>
  <si>
    <t>CONJUNTO DE PIJAMA ADULTO</t>
  </si>
  <si>
    <t>CONJUNTO DE PIJAMA 6 A 12 MESES</t>
  </si>
  <si>
    <t>LUVA DE CORRER P/TUBO SOLDAVEL DE 50MM</t>
  </si>
  <si>
    <t>CAMPO SIMPLES BRIM PESADO 150X150cm</t>
  </si>
  <si>
    <t>LENÇOL ADULTO 2</t>
  </si>
  <si>
    <t>LENÇOL BERÇO 90X120 cm</t>
  </si>
  <si>
    <t xml:space="preserve"> ELETRODO ADULTO ADESIVO DESCARTÁVEL MARCA PHILIPS</t>
  </si>
  <si>
    <t>CABO DE ECG 04 VIAS MEMBRO (12 DERIVAÇÕES)</t>
  </si>
  <si>
    <t>CAMPO SIMPLES 50X50 cm</t>
  </si>
  <si>
    <t>MANTA DE POLIPROPILENO</t>
  </si>
  <si>
    <t>TINTA acrílica p/piso</t>
  </si>
  <si>
    <t>PINCA CLINICA P/ALGODAO N</t>
  </si>
  <si>
    <t>SACO DE HAMPER PARA COLETA DE ROUPA HOSPITALAR – Aplicação</t>
  </si>
  <si>
    <t>PLACA PRONTA PARA USO BIPARTIDA ÁGAR CLED / MAC CONKEY 90 X 15MM</t>
  </si>
  <si>
    <t>CAMISA PRIVATIVA Aplicação</t>
  </si>
  <si>
    <t>CONJUNTO CAMISA E CALÇA PRIVATIVA</t>
  </si>
  <si>
    <t>CAMPO FENESTRADO 170X220 cm</t>
  </si>
  <si>
    <t>CAMPO DUPLO ALGODÃO CRU LISO 150x150 cm</t>
  </si>
  <si>
    <t>CONJUNTO DE PECAS FACIAIS</t>
  </si>
  <si>
    <t>UMIDIFICADOR DE OXIGÊNIO PARA REDE CANALIZADA DE O2</t>
  </si>
  <si>
    <t>SENSOR NEONATAL</t>
  </si>
  <si>
    <t>CAIXA ORGANIZADORA</t>
  </si>
  <si>
    <t>CANETA ESFEROGRÁFICA</t>
  </si>
  <si>
    <t>LUVA DE LÁTEX</t>
  </si>
  <si>
    <t>LUVA NITRÍLICA</t>
  </si>
  <si>
    <t>MÁSCARA RESPIRADOR CONTRA POEIRA</t>
  </si>
  <si>
    <t>RESPIRADOR FACIAL COMPLETO</t>
  </si>
  <si>
    <t>HALTER EMBORRACHADO 1 KG</t>
  </si>
  <si>
    <t>HALTER EMBORRACHADA 2KG</t>
  </si>
  <si>
    <t>EXERCITADOR DE MÃO E DEDOS</t>
  </si>
  <si>
    <t>KIT CIRÚRGICO UNIVERSAL</t>
  </si>
  <si>
    <t>AVENTAL CIRÚRGICO ESTÉRIL</t>
  </si>
  <si>
    <t>RIBON</t>
  </si>
  <si>
    <t>PORTA CRACHÁ</t>
  </si>
  <si>
    <t>DISCO CD-R GRAVÁVEL</t>
  </si>
  <si>
    <t xml:space="preserve">UMIDIFICADOR DE DEDOS (MOLHA DEDO) </t>
  </si>
  <si>
    <t>ADESIVO AUTOCOLANTE</t>
  </si>
  <si>
    <t>ENVELOPE</t>
  </si>
  <si>
    <t>CANETA PILOT HI - TETCPOINT V5 EXTRA FINE P/ELETROCARDIOGRAFO MOD</t>
  </si>
  <si>
    <t>ETIQUETA AUTO-ADESIVA</t>
  </si>
  <si>
    <t>ESPUMA de 10 cm de espessura medindo 1</t>
  </si>
  <si>
    <t>FÓRMULA INFANTIL PARA LACTENTES</t>
  </si>
  <si>
    <t>FÓRMULA INFANTIL DE SEGUIMENTO PARA LACTENTES - A PARTIR DE 6 MESES</t>
  </si>
  <si>
    <t>FITA DE BORDA – 2</t>
  </si>
  <si>
    <t>FITA DE BORDA 3</t>
  </si>
  <si>
    <t>COMPENSADO de MDF de 2</t>
  </si>
  <si>
    <t>LÂMINA PARA LARINGOSCÓPIO CURVA Nº 05</t>
  </si>
  <si>
    <t>PINCA CHERRON DESCART</t>
  </si>
  <si>
    <t>COLA FÓRMICA</t>
  </si>
  <si>
    <t>CUBA RETANGULAR EM AÇO INOX MED</t>
  </si>
  <si>
    <t>CAIXA TÉRMICA 9</t>
  </si>
  <si>
    <t>CURETA VOLKMAN OVAL</t>
  </si>
  <si>
    <t>CURETA DE VOLKMAN OVAL</t>
  </si>
  <si>
    <t>HASTE FLEXÍVEL COM PONTA DE ALGODÃO(COTONETE)</t>
  </si>
  <si>
    <t>FITA ADESIVA PARA EMPACOTAMENTO</t>
  </si>
  <si>
    <t>PINÇA DE MAGGIL ADULTO</t>
  </si>
  <si>
    <t>APONTADOR LAPIS</t>
  </si>
  <si>
    <t>PINÇA DE MAGGIL INFANTIL</t>
  </si>
  <si>
    <t>RABICHO</t>
  </si>
  <si>
    <t>LÂMPADA LAMPADA HALOGENA de 12V x 50W com refletor</t>
  </si>
  <si>
    <t>COLAGENASE POMADA DERMATOLOGICA 0</t>
  </si>
  <si>
    <t>LÂMINA ARCO DE SERRA</t>
  </si>
  <si>
    <t>PERFIL METÁLICO</t>
  </si>
  <si>
    <t>PINÇA ROCHESTER PEAN RETA</t>
  </si>
  <si>
    <t>TESOURA CIRÚRGICA</t>
  </si>
  <si>
    <t>ALMOFADA CARIMBO</t>
  </si>
  <si>
    <t>CABO PP 2</t>
  </si>
  <si>
    <t>ISOSSORBIDA (MONONITRATO) SOLUCAO INJETAVEL 10 MG/ML AMPOLA1 ML</t>
  </si>
  <si>
    <t>CABO UTP</t>
  </si>
  <si>
    <t>CONJUNTO PARA PESQUISA DE SANGUE OCULTO FECAL</t>
  </si>
  <si>
    <t>BROCA de aço rápido 4mm</t>
  </si>
  <si>
    <t>BROCA de aço rápido 2mm</t>
  </si>
  <si>
    <t>REGULADOR DE PRESSÃO FIXA DE 3</t>
  </si>
  <si>
    <t>CARVEDILOL COMPRIMIDO 3</t>
  </si>
  <si>
    <t>CURATIVO TIPO MEMBRANA NATURAL PARA CICATRIZACAO MEDIDA 8 X 8CM ESTERIL EMBALAGEM INDIVIDUAL</t>
  </si>
  <si>
    <t>SERINGA DESCARTAVEL DE 50 A 60ML COM BICO CATETER ESTERIL</t>
  </si>
  <si>
    <t>BLEFAROSTATO ADULTO</t>
  </si>
  <si>
    <t>CAUTÉRIO TIPO PASSARINHO</t>
  </si>
  <si>
    <t>TESOURA PARA CONJUNTIVA WESTCOTT</t>
  </si>
  <si>
    <t>PINÇA TIPO COLIBRI LONGA PARA CÓRNEA</t>
  </si>
  <si>
    <t>USAR CÓDIGO DA SES 330</t>
  </si>
  <si>
    <t>FITOMENADIONA (VITAMINA K) SOLUCAO INJETAVEL 2 MG /0</t>
  </si>
  <si>
    <t>LÂMINA PARA LARINGOSCÓPIO CURVA Nº 03</t>
  </si>
  <si>
    <t>LÂMINA PARA LARINGOSCÓPIO CURVA Nº 04</t>
  </si>
  <si>
    <t>PARAFUSO para MDF Medindo 4MM X 45MM</t>
  </si>
  <si>
    <t>ESPUMA D28 2CM 1</t>
  </si>
  <si>
    <t>ESPUMA D28 3CM 1</t>
  </si>
  <si>
    <t>ESPUMA D28 5CM 1</t>
  </si>
  <si>
    <t>CORREIA B-53</t>
  </si>
  <si>
    <t>TINTA esmalte sintético</t>
  </si>
  <si>
    <t>ROLO PARA PINTURA</t>
  </si>
  <si>
    <t>MASSA CORRIDA</t>
  </si>
  <si>
    <t>AZITROMICINA PO PARA SUSPENSAO ORAL COM 900 MG PARA PREPARO DE SUSPENSAO DE 40 MG/ML FRASCO 22</t>
  </si>
  <si>
    <t>CANALETA p/passagem de fio</t>
  </si>
  <si>
    <t>TRANSDUTOR (CRISTAL) MODELO  MD 1000 PARA DETECTOR FETAL MICROEM</t>
  </si>
  <si>
    <t>PASTILHA TRASEIRA MASTER PARA VEICULO DA LINHA  RENAULT MASTER 2010/2011</t>
  </si>
  <si>
    <t>PASTILHA DIANTEIRA MASTER PARA VEICULO DA LINHA RENAULT MASTER 2010/2011</t>
  </si>
  <si>
    <t>CLOREXIDINA SOLUCAO DEGERMANTE 40 MG/ML</t>
  </si>
  <si>
    <t>COLCHÃO ESPUMA SOLTEIRO D-33</t>
  </si>
  <si>
    <t>Papagaio hospitalar (comadre) em aço inoxidável de primeira qualidade</t>
  </si>
  <si>
    <t>Adesivo para PVC</t>
  </si>
  <si>
    <t>CAPA DESCARTAVEL PARA CAMERA DE VIDEOLAPAROSCOPIA</t>
  </si>
  <si>
    <t>PAPEL P/COPIA COLORIDO 75GR/M2 MEDINDO 210X297MM FORMATO A4 RESMA COM 500 FOLHAS 1</t>
  </si>
  <si>
    <t>TRAVESSEIRO</t>
  </si>
  <si>
    <t>JOGO DE CANELEIRAS AJUSTAVEIS COM SISTEMA DE VELCRO</t>
  </si>
  <si>
    <t>SOLVENTE TIPO RAZ</t>
  </si>
  <si>
    <t>MICROPIPETA AUTOMATICA VOLUME VARIAVEL CAPACIDADE DE 10</t>
  </si>
  <si>
    <t>AGULHA DE ESCLEROSE PARA ENDOSCOPIO COM CANAL DE BIOPSIA DE 2</t>
  </si>
  <si>
    <t>KIT PARA NEFROSTOMIA PERCUTANEA COM CATETER PIGTAIL 12FR DE 25CM COM FUROS LATERAIS DILATADORES E GUIA 0</t>
  </si>
  <si>
    <t>ACICLOVIR POMADA OFTALMICA 0</t>
  </si>
  <si>
    <t>ETIQUETA AUTO-ADESIVApara LABORATÓRIO</t>
  </si>
  <si>
    <t>REGULADOR DE PRESSÃO MEDICINAL DE GÁS CARBÔNICO( Co2 ) PARA CILINDRO</t>
  </si>
  <si>
    <t>SERINGA PARA BOMBA INJETORA DE CONTRASTE - Seringa Para Bomba Injetora de Contraste Angiomatic Ilumena</t>
  </si>
  <si>
    <t>SISTEMA DE ANESTESIA BARAKA EM BORRACHA COMPLETO (Traquéia</t>
  </si>
  <si>
    <t>CURETA PARA EVISCERAÇÃO</t>
  </si>
  <si>
    <t>PINÇA DE PÁLPEBRA PEQUENA PARA CALÁZIO</t>
  </si>
  <si>
    <t>DOBRADIÇA DEPRESSÃO CURVA</t>
  </si>
  <si>
    <t>ESCOVA PARA UNHAS</t>
  </si>
  <si>
    <t>DISCO ESMERILHADEIRA ELÉTRICA ANGULAR</t>
  </si>
  <si>
    <t>SONDA DE TROCA DE  GASTROSTOMIA PERCUTÂNEA 24Fr</t>
  </si>
  <si>
    <t>**Não Padronizado** CÂNULA DE TRAQUEOSTOMIA COM CUFF PVC 8</t>
  </si>
  <si>
    <t>CONJUNTO PARA DETERMINAÇAO DE SODIO</t>
  </si>
  <si>
    <t>MEROPENEM PO INJETÁVEL 1 G + SOLUÇÃO DILUENTE 100 ML</t>
  </si>
  <si>
    <t>EQUIPO EXTENSOR DE 2 VIAS</t>
  </si>
  <si>
    <t>DIALIZADOR PARA HEMODIALISE COM AREA DE SUPERFICIE DE 1</t>
  </si>
  <si>
    <t>DIALIZADOR DE ALTO FLUXO PARA HEMODIALISE E HEMODIAFILTRAÇAO COM AREA DE SUPERFICIE DE 1</t>
  </si>
  <si>
    <t>CATETER DUPLO LÚMEN P/ HEMODIÁLISE TEMPORÁRIO ADULTO CONFECCIONADO POLIURETANO</t>
  </si>
  <si>
    <t>ALFAEPOETINA SOLUÇAO INJETAVEL 10</t>
  </si>
  <si>
    <t>CADEADO</t>
  </si>
  <si>
    <t>EXTENSÃO TIPO RÉGUA</t>
  </si>
  <si>
    <t>TORNIQUETE</t>
  </si>
  <si>
    <t>AGULHA PARA COLETA MULTIPLA DE SANGUE A VACUO</t>
  </si>
  <si>
    <t>CONJUNTO DE REAGENTES PARA COLORAÇÃO DE LAMINAS HEMATOLOGICAS EM EQUIPAMENTO CORADOR AUTOMATIZADO</t>
  </si>
  <si>
    <t>REATOR PARTIDA RÁPIDA</t>
  </si>
  <si>
    <t>GUIA PARA CÂNULA ENDOTRAQUEAL INFANTIL</t>
  </si>
  <si>
    <t>MANGUITO PARA PRESSÃO NÃO INVASIVA</t>
  </si>
  <si>
    <t>PINÇA TIPO ENDOCLINCH</t>
  </si>
  <si>
    <t>AGULHA DE VERESS autoclavável de 11 cm de comprimento (tolerânicia de +/- 5%)</t>
  </si>
  <si>
    <t>CAIXAS DE AÇO INOX AISI com tripla função</t>
  </si>
  <si>
    <t>LIXA PARA MATERIAIS FERROSOS</t>
  </si>
  <si>
    <t>BROCA de aço rápido 1/4 polegadas</t>
  </si>
  <si>
    <t>ESPUMA</t>
  </si>
  <si>
    <t>MDF – PAINEL DE FIBRAS</t>
  </si>
  <si>
    <t>Parafuso auto-atarrachante cabeça chata</t>
  </si>
  <si>
    <t>DISCO DE SERRA</t>
  </si>
  <si>
    <t>TUBO PARA GASTROSTOMIA A NÍVEL DE PELE</t>
  </si>
  <si>
    <t>DISCO DE CORTE</t>
  </si>
  <si>
    <t>Código do Item</t>
  </si>
  <si>
    <t>RODÍZIO SILICONE</t>
  </si>
  <si>
    <t>CORRENTE</t>
  </si>
  <si>
    <t>MOLA</t>
  </si>
  <si>
    <t>ALMOTOLIA DE 100ML (INCOLOR)</t>
  </si>
  <si>
    <t>KIT DE LIGADURA ELASTICA DE VARIZES ESOFAGIANAS</t>
  </si>
  <si>
    <t>TERMÔMETRO CLÍNICO</t>
  </si>
  <si>
    <t>SISTEMA PARA CORREÇÃO DE INCONTINÊNCIA URINÁRIA</t>
  </si>
  <si>
    <t>PASTA PROTETORA DE PELE SEM ÁLCOOL</t>
  </si>
  <si>
    <t>LUVA DE PROTEÇÃO NÍTRÍLICA PARA CME</t>
  </si>
  <si>
    <t>**Não Padronizado** BANDEJA DE GASTROSTOMIA PERCUTÂNEA 24 FR</t>
  </si>
  <si>
    <t>TUBO DE REPOSIÇÃO PARA GASTROSTOMIA</t>
  </si>
  <si>
    <t>FIO GUIA HIDROFILICO EM NITINOL ZEBRADO 0</t>
  </si>
  <si>
    <t>CURATIVO EM PELICULA</t>
  </si>
  <si>
    <t>LÂMPADA HALÓGENA</t>
  </si>
  <si>
    <t>BANDEJA DE AÇO INOXIDÁVEL</t>
  </si>
  <si>
    <t>RECARGA PARA GRAMPEADOR LINEAR CORTANTE 75MM</t>
  </si>
  <si>
    <t>TELA INORGÂNICA DE POLIPROPILENO MÉDIA</t>
  </si>
  <si>
    <t>TELA INORGÂNICA DE POLIPROPILENO GRANDE</t>
  </si>
  <si>
    <t>TELA CIRÚRGICA DE BAIXA DENSIDADE PARCIALMENTE ABSORVÍVEL 6</t>
  </si>
  <si>
    <t>TELA CIRÚRGICA DE BAIXA DENSIDADE PARCIALMENTEABSORVÍVEL 10</t>
  </si>
  <si>
    <t>TROCATER</t>
  </si>
  <si>
    <t>ELETRODO DE MARCAPASSO TEMPORARIO ENDOCARDICO</t>
  </si>
  <si>
    <t>PAPEL A4</t>
  </si>
  <si>
    <t>PINÇA FOERSTER CURVA 22cm</t>
  </si>
  <si>
    <t>PINÇA KELLY RETA 16cm</t>
  </si>
  <si>
    <t>PINÇA FOERSTER RETA 24</t>
  </si>
  <si>
    <t>PINÇA FOERSTER RETA 25cm</t>
  </si>
  <si>
    <t>PINÇA KOCHER RETO 18cm</t>
  </si>
  <si>
    <t>PINÇA MIXTER 25cm</t>
  </si>
  <si>
    <t>FOSFATO TRICALCICO SOLUÇÃO ORAL 12</t>
  </si>
  <si>
    <t>COBERTOR ADULTO 150X220CM</t>
  </si>
  <si>
    <t>GRAMPEADOR LINEAR CORTANTE 75 MM COM FECHAMENTO AJUSTÁVEL (Grampeador linear cortante 75mm</t>
  </si>
  <si>
    <t>CUEIRO</t>
  </si>
  <si>
    <t>EQUIPO PARENTERAL FOTOSSENSIVEL PARA BOMBA DE INFUSAO HOSPIRA PLUM A+</t>
  </si>
  <si>
    <t>ESPAÇADOR PARA INALADOR DOSIMETRADO PRESSURIZADO VOLUME DA CÂMARA DE NO MÍNIMO 140 ML E MÁXIMO DE 350 ML NÃO ESTÉRIL</t>
  </si>
  <si>
    <t>BANDEJA CORRESPONDÊNCIA</t>
  </si>
  <si>
    <t>FIXADOR DE TUBO OROTRAQUEAL ADULTO USO UNICO NAO ESTERIL</t>
  </si>
  <si>
    <t>COLCHÃO DE ESPUMA SOLTEIRO D33</t>
  </si>
  <si>
    <t>MACRONEBULIZADOR</t>
  </si>
  <si>
    <t>ETIQUETA AUTOADESIVA</t>
  </si>
  <si>
    <t>ETIQUETA ADESIVA TÉRMICA</t>
  </si>
  <si>
    <t>BOLSA VÁLVULA MÁSCARA MANUAL</t>
  </si>
  <si>
    <t>ALICATE REBITADOR</t>
  </si>
  <si>
    <t>FILME DE IMAGEM DE LASER DRY VIEW</t>
  </si>
  <si>
    <t>PLUG PARA TOMADA</t>
  </si>
  <si>
    <t>COLA INSTANTÂNEA TIPO SUPERBONDER OU SUPERCIANO</t>
  </si>
  <si>
    <t>LÂMPADA ALOGÊNEA</t>
  </si>
  <si>
    <t>ETIQUETA ADESIVA</t>
  </si>
  <si>
    <t>MOUSE ÓPTICO</t>
  </si>
  <si>
    <t>SOLUÇAO DE ACIDO CITRICO 50%</t>
  </si>
  <si>
    <t>FILTRO PARA FLUÍDO DE DIÁLISE DIALOG HDF</t>
  </si>
  <si>
    <t>LINHA DE SUSBSTITUIÇÃO DE HEMODIÁLISE DIALOG HDF</t>
  </si>
  <si>
    <t>TESOURA CIRÚRGICA PARA CORTAR BANDAGEM TIPO LISTER</t>
  </si>
  <si>
    <t>MANGUEIRA DUPLA DX 2010/2021</t>
  </si>
  <si>
    <t>AGULHA</t>
  </si>
  <si>
    <t>LUVA SINTÉTICA PARA PROCEDIMENTO NÃO ESTÉRIL TAMANHO "G"</t>
  </si>
  <si>
    <t>ATADURA DE CREPOM 13 FIOS ROLO 10CM X 1</t>
  </si>
  <si>
    <t>ATADURA DE CREPOM 13 FIOS ROLO 15CM X 1</t>
  </si>
  <si>
    <t>ATADURA DE CREPOM 13 FIOS ROLO 20CM X 1</t>
  </si>
  <si>
    <t>ATADURA DE CREPOM 13 FIOS ROLO 25CM X 1</t>
  </si>
  <si>
    <t>PAPEL GRAU CIRURGICO 25 CM x 100M</t>
  </si>
  <si>
    <t>PAPEL GRAU CIRURGICO 10 CM x 100M</t>
  </si>
  <si>
    <t>BOTINA DE SEGURANÇA</t>
  </si>
  <si>
    <t>PROTETOR AURICULAR TIPO PLUG</t>
  </si>
  <si>
    <t>CALÇADO HOSPITALAR</t>
  </si>
  <si>
    <t>MÁSCARA DE VENTURI ADULTO ESTÉRIL</t>
  </si>
  <si>
    <t>CURATIVO ADESIVO DE HIDROPOLÍMERO/ESPUMA COM TAMANHO MÍNIMO 10 CM x 10 CM</t>
  </si>
  <si>
    <t>CURATIVO ADESIVO DE HIDROPOLÍMERO/ESPUMA COM TAMANHO MÍNIMO 15 CM x 15 CM</t>
  </si>
  <si>
    <t>CURATIVO DE ESPUMA DE POLIURETANO COM PRATA</t>
  </si>
  <si>
    <t>CURATIVO DE ALGINATO DE CÁLCIO E/OU CARBOXIMETILCELULOSE</t>
  </si>
  <si>
    <t>CABO DE PACIENTE COM 05 VIAS</t>
  </si>
  <si>
    <t>SUPORTE PARA COLETOR PERFUROCORTANTE</t>
  </si>
  <si>
    <t>MÃO FRANCESA DE 40 CM (Reforçada)</t>
  </si>
  <si>
    <t>CONJUNTO PARA DRENAGEM MEDIASTINAL Nº 30</t>
  </si>
  <si>
    <t>CONJUNTO PARA DRENAGEM MEDIASTINAL Nº 32</t>
  </si>
  <si>
    <t>CONJUNTO PARA DRENAGEM MEDIASTINAL Nº 34</t>
  </si>
  <si>
    <t>CONJUNTO PARA DRENAGEM MEDIASTINAL Nº 36</t>
  </si>
  <si>
    <t>MANGUEIRA PLÁSTICA</t>
  </si>
  <si>
    <t>SURFACTANTE PULMONAR (FRAÇAO FOSFOLIPIDICA DE PULMAO PORCINO) 80 MG/ML SUSPENSAO FRASCO AMPOLA 1</t>
  </si>
  <si>
    <t>ELÁSTICO</t>
  </si>
  <si>
    <t>SERINGA HIPODERMICA 10ML SEM AGULHA</t>
  </si>
  <si>
    <t>SERINGA HIPODÉRMICA 20ML SEM AGULHA</t>
  </si>
  <si>
    <t>CATETER INTRAVENOSO PERIFÉRICO 14G</t>
  </si>
  <si>
    <t>CATETER INTRAVENOSO PERIFÉRICO 16G</t>
  </si>
  <si>
    <t>CATETER INTRAVENOSO PERIFÉRICO 18G</t>
  </si>
  <si>
    <t>CATETER INTRAVENOSO PERIFÉRICO 20G</t>
  </si>
  <si>
    <t>CATETER INTRAVENOSO PERIFÉRICO 22G</t>
  </si>
  <si>
    <t>CATETER INTRAVENOSO PERIFÉRICO 24G</t>
  </si>
  <si>
    <t>ESCALPE N° 19</t>
  </si>
  <si>
    <t>ESCALPE N° 21</t>
  </si>
  <si>
    <t>ESCALPE N° 23</t>
  </si>
  <si>
    <t>ESCALPE N° 25</t>
  </si>
  <si>
    <t>AGULHA PARA PUNÇÃO DE CATETER TOTALMENTE IMPLANTÁVEL</t>
  </si>
  <si>
    <t>AGULHA HIPODÉRMICA 25 X 8</t>
  </si>
  <si>
    <t>EQUIPO PARA BOMBA DE INFUSAO PORTÁTIL</t>
  </si>
  <si>
    <t>SERINGA HIPODERMICA 3ML COM AGULHA 25 X 7</t>
  </si>
  <si>
    <t>SERINGA HIPODÉRMICA 5ML COM AGULHA 25 X 7</t>
  </si>
  <si>
    <t>EQUIPO PARENTERAL PARA BOMBA DE INFUSAO</t>
  </si>
  <si>
    <t>AGULHA PARA ASPIRAÇÃO DE MEDICAMENTO1</t>
  </si>
  <si>
    <t>AGULHA HIPODÉRMICA 20 X 5</t>
  </si>
  <si>
    <t>AGULHA HIPODÉRMICA 30 X 8 COM DISPOSITIVO DE SEGURANÇA</t>
  </si>
  <si>
    <t>AGULHA HIPODÉRMICA 13 X 4</t>
  </si>
  <si>
    <t xml:space="preserve">CARTUCHO TONER IMPRESSORA SAMSUNG ML-2165-W </t>
  </si>
  <si>
    <t>COLETE HUMANIZA DF - Aplicação</t>
  </si>
  <si>
    <t>SERINGA HIPODÉRMICA DESCARTÁVEL PARA INSULINA 50U</t>
  </si>
  <si>
    <t>SERINGA HIPODÉRMICA 1ML</t>
  </si>
  <si>
    <t>AGULHA HIPODÉRMICA 40 X 12 C/ DISPOSITIVO DE SEGURANÇA DESCARTÁVEL</t>
  </si>
  <si>
    <t>AGULHA HIPODÉRMICA 40 X 16</t>
  </si>
  <si>
    <t>AGULHA ANESTÉSICA PARA ELETROESTIMULAÇÃO</t>
  </si>
  <si>
    <t>ROLO DE PINTURA</t>
  </si>
  <si>
    <t>ARGAMASSA</t>
  </si>
  <si>
    <t>VERNIZ PARA MADEIRA</t>
  </si>
  <si>
    <t>PAPEL GRAU CIRÚRGICO 15CM x 100M</t>
  </si>
  <si>
    <t>COPO PARA ALEITAMENTO MATERNO</t>
  </si>
  <si>
    <t>CLOREXIDINA DIGLUCONATO</t>
  </si>
  <si>
    <t>CARRAPETA EM BORRACHA PARA TORNEIRA DE ¾”</t>
  </si>
  <si>
    <t>TORNEIRA PIA</t>
  </si>
  <si>
    <t>Grampeador linear cortante 75-80mm</t>
  </si>
  <si>
    <t>BOCAL para lâmpada incandescente com rabicho</t>
  </si>
  <si>
    <t>HASTE</t>
  </si>
  <si>
    <t>PINÇA CIRÚRGICA</t>
  </si>
  <si>
    <t>BOCAL ADULTO DESCARTÁVEL PARA ESPIRÔMETRO</t>
  </si>
  <si>
    <t>CLIPE USO CIRÚRGICO MODELO LT300</t>
  </si>
  <si>
    <t>TROCATER 11MM EXTRA LONGO</t>
  </si>
  <si>
    <t>LÂMPADA GERMICIDA FLUORESCENTE</t>
  </si>
  <si>
    <t>ADAPTADOR UNIVERSAL para tomadas elétricas – Padrão antigo</t>
  </si>
  <si>
    <t>NÃO PADRONIZADO - PARAFINA HISTOLÓGICA</t>
  </si>
  <si>
    <t>Fio de nylon 10-0 Preto - 13 cm Agulha cilíndrica 3/8 5</t>
  </si>
  <si>
    <t>FIO DE SUTURA DE POLIDIOXANONA MONOFILAMENTAR 3-0</t>
  </si>
  <si>
    <t>FILME PARA DIAGNÓSTICO MAMOGRÀFICO</t>
  </si>
  <si>
    <t>FIO DE SUTURA DE POLIDIOXANONA MONOFILAMENTAR Nº 1</t>
  </si>
  <si>
    <t>CAPA DE PRONTUÁRIO- PADRÃO CRON - DALFA</t>
  </si>
  <si>
    <t>FIO DE KIRSCHNER 1</t>
  </si>
  <si>
    <t>FIO DE STEINMANN 2</t>
  </si>
  <si>
    <t>FIO DE STEINMANN 3</t>
  </si>
  <si>
    <t>FIO DE STEINMANN 4</t>
  </si>
  <si>
    <t>FIO DE STEINMANN 5</t>
  </si>
  <si>
    <t>PLACA DE SUPORTE PLATEAU TIBIAL 12 FUROS</t>
  </si>
  <si>
    <t>PLACA DE SUPORTE PLATEAU TIBIAL 14 FUROS</t>
  </si>
  <si>
    <t>CATÉTER ELETRODO DE MARCA PASSO TEMPORÁRIO BIPOLAR</t>
  </si>
  <si>
    <t>AGULHA DE BIÓPSIA</t>
  </si>
  <si>
    <t>ADESIVO PLÁSTICO AUTOCOLANTE</t>
  </si>
  <si>
    <t>Escova de Limpeza para Endoscopia Digestiva 2</t>
  </si>
  <si>
    <t>FAIXA - faixa</t>
  </si>
  <si>
    <t>BANDAGEM - bandagem</t>
  </si>
  <si>
    <t>EXERCITADOR MUSCULATURA - exercitador musculatura</t>
  </si>
  <si>
    <t>Cabo de Rede composto de material condutor trançado</t>
  </si>
  <si>
    <t>AVENTAL CIRÚRGICO</t>
  </si>
  <si>
    <t>COLAR CERVICAL</t>
  </si>
  <si>
    <t>TOMADA DE EMBUTIR</t>
  </si>
  <si>
    <t>ADAPTADOR UNIVERSAL para tomadas elétricas – Padrão novo 3 pinos</t>
  </si>
  <si>
    <t>SAPATA 20Z</t>
  </si>
  <si>
    <t>BANCADA EM AÇO INOX</t>
  </si>
  <si>
    <t>PERFIL TRILHO STANLEY</t>
  </si>
  <si>
    <t>CORTINA HOSPITALAR</t>
  </si>
  <si>
    <t>AFASTADOR ABDOMINAL SUPRA PÚBICA</t>
  </si>
  <si>
    <t>REJUNTE PARA PORCELANATO</t>
  </si>
  <si>
    <t>PLUG PVC Roscável de ½ polegada</t>
  </si>
  <si>
    <t>CAIXA PLÁSTICA organizadora contêiner de 30 Litros</t>
  </si>
  <si>
    <t>CAIXA PLÁSTICA organizadora contêiner de 50 Litros</t>
  </si>
  <si>
    <t>CAIXA PLÁSTICA organizadora contêiner de 105 Litros</t>
  </si>
  <si>
    <t>BATERIA PARA GLICOSÍMETRO</t>
  </si>
  <si>
    <t>REAGENTE ALCALINO para lavagem de Osmose reversa de 1 Litro</t>
  </si>
  <si>
    <t>COMPRESSA ALGODONADA PARA CURATIVO TIPO COXIM 10CM x 15CM ESTERIL</t>
  </si>
  <si>
    <t>COMPRESSA ALGODONADA PARA CURATIVO TIPO COXIM 15CM x 30CM ESTERIL</t>
  </si>
  <si>
    <t>POTE DE VIDRO DE PASTEURIZAÇÃO(TIPO MAIONESE) COM TAMPA DE PLÁSTICO AUTOCLAVÁVEL 250ML</t>
  </si>
  <si>
    <t>HALTER EMBORRACHADO 3 KG</t>
  </si>
  <si>
    <t>HALTER EMBORRACHADO 4 KG</t>
  </si>
  <si>
    <t>ELETRODO</t>
  </si>
  <si>
    <t>TINTA ACRÍLICA para piso</t>
  </si>
  <si>
    <t>TINTA ACRÍLICA PARA PISO</t>
  </si>
  <si>
    <t>MANGUITO DE PRESSÃO NÃO-INVASIVA - compatível com modelo PHILIPS INTELLIVUE MP20- Aplicação/Finalidade</t>
  </si>
  <si>
    <t>OLEO COMBUSTIVEL</t>
  </si>
  <si>
    <t>VÁLVULA DE IMPACTO</t>
  </si>
  <si>
    <t>FIO DE KIRSCHINER</t>
  </si>
  <si>
    <t>ENGATE RÁPIDO</t>
  </si>
  <si>
    <t>TÊ ROSCÁVEL PARA ÁGUA DE ¾ POLEGADAS</t>
  </si>
  <si>
    <t>ELEMENTO FILTRANTE PARA PURIFICAÇÃO DE ÁGUA</t>
  </si>
  <si>
    <t>RESERVATÓRIO</t>
  </si>
  <si>
    <t>CABO DE REDE</t>
  </si>
  <si>
    <t>COLCHÃO PARA LEITO HOSPITALAR</t>
  </si>
  <si>
    <t>SENSOR PARA MONITORAR ATIVIDADE CEREBRAL</t>
  </si>
  <si>
    <t>FILTRO DE AR</t>
  </si>
  <si>
    <t>AGULHA DE CROCHÊ</t>
  </si>
  <si>
    <t>CATETER DUPLO LUMEN DE ACESSO VENOSO CENTRAL PEDIATRICO 4FR X 13CM</t>
  </si>
  <si>
    <t>CATETER DUPLO LUMEN DE ACESSO VENOSO CENTRAL PEDIATRICO 5FR X 13CM</t>
  </si>
  <si>
    <t>Gás refrigerante</t>
  </si>
  <si>
    <t>FECHADURA</t>
  </si>
  <si>
    <t>CORREIA PARA MÁQUINA DE LAVAR BAUMER</t>
  </si>
  <si>
    <t>COLCHÃO PARA CAMA FAWLER - ref</t>
  </si>
  <si>
    <t>CONJUNTO PRIVATIVO TAM 44 VERDE CLARO Aplicação</t>
  </si>
  <si>
    <t>CONJUNTO PRIVATIVO TAM 48 VERDE CLARO Aplicação</t>
  </si>
  <si>
    <t>CONJUNTO PRIVATIVO TAM 56 VERDE CLARO Aplicação</t>
  </si>
  <si>
    <t>CONJUNTO PRIVATIVO TAM 44 AZUL CLARO Aplicação</t>
  </si>
  <si>
    <t>CONJUNTO PRIVATIVO TAM 48 AZUL CLARO Aplicação</t>
  </si>
  <si>
    <t>CONJUNTO PRIVATIVO TAM 56 AZULE CLARO  Aplicação</t>
  </si>
  <si>
    <t>ADESIVO com abertura central utilizando para proteger a pele do bebe que esta em fototerapia</t>
  </si>
  <si>
    <t>DISPOSITIVO tipo ponteira de calibração individual para uso em billirubinômetro não invasivo</t>
  </si>
  <si>
    <t>CIMENTO DE IONÔMERO DE VIDRO</t>
  </si>
  <si>
    <t>MANTA EMBORRACHADA ANTIDERRAPANTE</t>
  </si>
  <si>
    <t>Basket- Extrator de cálculos</t>
  </si>
  <si>
    <t>AZUL PATENTE V SOLUÇÃO INJETÁVEL 2</t>
  </si>
  <si>
    <t>LACRE DE SEGURANÇA</t>
  </si>
  <si>
    <t>ESCOVA DE AÇO</t>
  </si>
  <si>
    <t>ESCOVA NYLON</t>
  </si>
  <si>
    <t>ESCOVA PARA LIMPEZA INTERNA DE VIDRO</t>
  </si>
  <si>
    <t>KIT ESCOVA PARA LIMPEZA INTERNA DE AUTOCLAVE</t>
  </si>
  <si>
    <t>ESCOVA PARA LIMPEZA DE RASPAS ACETABULARES</t>
  </si>
  <si>
    <t>ESCOVA PARA LIMPEZA DE MATERIAL CANULADO</t>
  </si>
  <si>
    <t>TALA METÁLICA PARA IMOBILIZAÇÃO DE DEDO 12MM X 180MM</t>
  </si>
  <si>
    <t>TALA METÁLICA PARA IMOBILIZAÇÃO DE DEDO 16MM X 180MM</t>
  </si>
  <si>
    <t>TALA METÁLICA PARA IMOBILIZAÇÃO DE DEDO 19MM X 180MM</t>
  </si>
  <si>
    <t>CABOS DE PRESSÃO ARTERIAL NÃO INVASIVA</t>
  </si>
  <si>
    <t>PÁS ELETRODOS MULTIFUNCIONAIS PARA DESFIBRILAÇÃO ADULTO PLUS</t>
  </si>
  <si>
    <t>CABOS DE ELETROCARDIOGRAMA COM 5 DERIVAÇÕES</t>
  </si>
  <si>
    <t>CESTA PARA EXTRACAO DE CALCULO BILIAR</t>
  </si>
  <si>
    <t>ALÇA POLIPECTOMIA DESCARTÁVEL E ESTÉRIL</t>
  </si>
  <si>
    <t>PULSEIRA DE IDENTIFICAÇÃO BRANCA</t>
  </si>
  <si>
    <t>PULSEIRA DE IDENTIFICAÇÃO AZUL</t>
  </si>
  <si>
    <t>PULSEIRA DE IDENTIFICAÇÃO VERDE</t>
  </si>
  <si>
    <t>PULSEIRA DE IDENTIFICAÇÃO AMARELO</t>
  </si>
  <si>
    <t>PULSEIRA DE IDENTIFICAÇÃO LARANJA</t>
  </si>
  <si>
    <t>PULSEIRA DE IDENTIFICAÇÃO VERMELHO</t>
  </si>
  <si>
    <t>AVENTAL DESCARTÁVEL MANGA LONGA</t>
  </si>
  <si>
    <t xml:space="preserve">TIRA REAGENTE PARA URINALISE COM MINIMO DE 10 AREAS </t>
  </si>
  <si>
    <t>CASSETE CONTENDO TIRAS REAGENTES PARA URINÁLISE</t>
  </si>
  <si>
    <t>DETERGENTE E DESINFETANTE HOSPITALAR PARA SUPERFÍCIES FIXAS</t>
  </si>
  <si>
    <t>COMPRESSA CIRÚRGICA RADIOPACA - pré-lavada - estéril</t>
  </si>
  <si>
    <t>Pinça de ponto para fio 10</t>
  </si>
  <si>
    <t>CONE DE SINALIZAÇÃO COMPOSTO DE MATERIAL SINTÉTICO</t>
  </si>
  <si>
    <t>AMOLADOR DIAMANTADO PARA TESOURAS CIRURGICAS</t>
  </si>
  <si>
    <t>FIO DE SUTURA POLIGLACTINA 910 REVESTIDO COM POLIGLACTINA 310 E ESTEARATO DE CÁLCIO VIOLETA TRANÇADO NÚMERO 0-0</t>
  </si>
  <si>
    <t>APARELHO PARA TRICOTOMIA ( BARBA )</t>
  </si>
  <si>
    <t>CONJUNTO DE DERIVAÇÕES REUTILIZÁVEIS DE ECG</t>
  </si>
  <si>
    <t>CABO TRONCO REUTILIZÁVEL DE ECG</t>
  </si>
  <si>
    <t>EXTENSÃO(MANGUEIRA) PARA PRESSÃO NÃO INVASIVA</t>
  </si>
  <si>
    <t>BRAÇADEIRA DESCARTÁVEL PARA PRESSÃO NÃO INVASIVA</t>
  </si>
  <si>
    <t>SENSOR DE TEMPERATURA REUTILIZÁVEL</t>
  </si>
  <si>
    <t>ESCOVA PARA LIMPEZA DO CANAL DE BIOPSIA DO GASTROSCOPIO</t>
  </si>
  <si>
    <t>ESCOVA PARA LIMPEZA DO CANAL DE BIOPSIA DO COLONOSCOPIO</t>
  </si>
  <si>
    <t>RENOVADOR DE INSTRUMENTAL</t>
  </si>
  <si>
    <t>ENXAGUANTE COM EFEITO LUBRIFICANTE E ATIVADOR DE SECAGEM PARA INSTRUMENTAIS CIRÚRGICOS</t>
  </si>
  <si>
    <t>CORDA DE NYLON (POLIAMIDA) TRANÇADA COM 10 MM (MILÍMETROS) DE</t>
  </si>
  <si>
    <t>PULSEIRA DE IDENTIFICAÇÃO</t>
  </si>
  <si>
    <t>TUBO CONECTOR ESPIRALADO 60'' BAIXA PRESSÃO</t>
  </si>
  <si>
    <t>FIO DE SUTURA NYLON MONOFILAMENTAR 8-0 PRETO</t>
  </si>
  <si>
    <t>COLCHONETE PARA MESA CIRÚRGICA</t>
  </si>
  <si>
    <t>SOLUÇÃO DE LUGOL 5% PARA EPF</t>
  </si>
  <si>
    <t>BOLSA TÉRMICA</t>
  </si>
  <si>
    <t>Luva nitrílica descartável</t>
  </si>
  <si>
    <t>Equipo para uso exclusivo em bombas de infusão de marca SAMTRONIC ST1000 SET</t>
  </si>
  <si>
    <t xml:space="preserve">BOLA SUIÇA com especificações mínimas </t>
  </si>
  <si>
    <t>PULSEIRA DE IDENTIFICAÇÃO NA COR VERMELHA COM A LOGOMARCA PERSONALIZADA (SES-DF)</t>
  </si>
  <si>
    <t>PULSEIRA DE IDENTIFICAÇÃO NA COR LARANJA COM A LOGOMARCA PERSONALIZADA (SES-DF)</t>
  </si>
  <si>
    <t>PULSEIRA DE IDENTIFICAÇÃO NA COR AMARELA COM A LOGOMARCA PERSONALIZADA (SES-DF)</t>
  </si>
  <si>
    <t>PULSEIRA DE IDENTIFICAÇÃO NA COR AZUL COM A LOGOMARCA PERSONALIZADA (SES-DF)</t>
  </si>
  <si>
    <t xml:space="preserve">PULSEIRA DE IDENTIFICAÇÃO NA COR BRANCA </t>
  </si>
  <si>
    <t>GLUTARALDEÍDO SOLUÇÃO A 2% PRÉ-ATIVADA + FITA REAGENTE (MINIMO 50 FITAS/GALÃO)</t>
  </si>
  <si>
    <t>COLCHÃO PARA CAMA PRÉ-PARTO/PARTO/PÓS-PARTO</t>
  </si>
  <si>
    <t>CAPA DE COLCHÃO PARA CAMA PRÉ-PARTO/PARTO/PÓS-PARTO</t>
  </si>
  <si>
    <t>FILTRO PARA MÁSCARA PANORÂMICA FACIAL</t>
  </si>
  <si>
    <t>CABO DE OXÍMETRO ADULTO</t>
  </si>
  <si>
    <t>HEMOSTÁTICO ABSORVÍVEL DE BASE VEGETAL EM MALHA ENTRELAÇADA DE CELULOSE OXIDADA REGENERADA</t>
  </si>
  <si>
    <t>SACO DE HAMPER PARA COLETA DE ROUPA HOSPITALAR ? Aplicação</t>
  </si>
  <si>
    <t>SAPATILHA DESCARTÁVEL ANTIDERRAPANTE e IMPERMEABILIZADA em toda a sua superfície</t>
  </si>
  <si>
    <t>TUBO CONECTOR/EXTENSOR de alta pressão espiralado 120 - 150 cm</t>
  </si>
  <si>
    <t>LÂMPADAS DE FOCO CIRÚRGICO   MARCA MAQUET cód ARD569005996  ( 1 SPARE  BULB BLUE 80 IRC ( 22</t>
  </si>
  <si>
    <t>SENSOR DE SPO2 REUSÁVEL</t>
  </si>
  <si>
    <t>CABO EXTENSOR PARA SENSOR DE SPO2</t>
  </si>
  <si>
    <t>SONDA DE TROCA PARA GASTROSTOMIA PERCUTÂNEA EM SILICONE</t>
  </si>
  <si>
    <t>Sonda de troca para gastrostomia percutânea em silicone</t>
  </si>
  <si>
    <t>BATERIA MODELO</t>
  </si>
  <si>
    <t>GARRAFA TÉRMICA</t>
  </si>
  <si>
    <t>ALCOOL GEL 70% FRASCO COM TAMPA ACOPLADA 85 a 100G</t>
  </si>
  <si>
    <t>ALCOOL GEL 70% FRASCO 400G a 500G VALVULA “PUMP”</t>
  </si>
  <si>
    <t>SONDA INTESTINAL PARA INCONTINENCIA FECAL ESTERIL</t>
  </si>
  <si>
    <t>BANDAGEM ELASTICA NAO ESTERIL</t>
  </si>
  <si>
    <t>BOLSA COLETORA PARA INCONTINENCIA FECAL NAO ESTERIL</t>
  </si>
  <si>
    <t>CURATIVO ESTERIL NAO ADERENTE IMPREGNADO COM PRATA</t>
  </si>
  <si>
    <t>MÁSCARA DESCARTÁVEL</t>
  </si>
  <si>
    <t>CANETA DEMARCAÇÃO CIRÚRGICA PONTA GROSSA</t>
  </si>
  <si>
    <t>CAPACETE CIRCULAR PARA OXIGENOTERAPIA</t>
  </si>
  <si>
    <t>ETIQUETA ADESIVA TÉRMICA para Núcleo Segurança do Paciente</t>
  </si>
  <si>
    <t>CABO DA CHAVE DE FLUXO COM LED</t>
  </si>
  <si>
    <t>CONTROLADOR DE FLUXO – ELETRÔNICO</t>
  </si>
  <si>
    <t>SONDA DE TROCA PARA GASTROSTOMIA PERCUTÂNEA</t>
  </si>
  <si>
    <t>KIT DE GASTROSTOMIA PERCUTÂNEA COM DIÂMETRO DA SONDA DE 24FR</t>
  </si>
  <si>
    <t>PAPEL TERMOSSENSÍVEL ECG</t>
  </si>
  <si>
    <t>FRALDA DESCARTÁVEL PARA RECÉM NASCIDO</t>
  </si>
  <si>
    <t>FRALDA DESCARTÁVEL PARA CRIANÇAS DE 5 A 11 KG</t>
  </si>
  <si>
    <t>FRALDA DESCARTAVEL PARA CRIANÇA ACIMA DE 10 KG TAMANHO "G "</t>
  </si>
  <si>
    <t>FRALDA DESCARTÁVEL INFANTIL XG</t>
  </si>
  <si>
    <t>FRALDA DESCARTÁVEL</t>
  </si>
  <si>
    <t>FRALDA DESCARTÁVEL ADULTO G  DE 70 A 90KG</t>
  </si>
  <si>
    <t>FRALDA DESCARTÁVEL ADULTO XG</t>
  </si>
  <si>
    <t>Borracha</t>
  </si>
  <si>
    <t>BATERIA PARA VENTILADOR PULMONAR DIXTAL DX 3010</t>
  </si>
  <si>
    <t>DISPOSITIVO PARA MISTURA OU RECONSTITUIÇAO DE DROGAS</t>
  </si>
  <si>
    <t>DISPOSITIVO PARA AUXILIO DE IRRIGAÇAO E LAVAGEM DE CAVIDADES E FERIDAS</t>
  </si>
  <si>
    <t xml:space="preserve">KIT CIRURGICO - UNIVERSAL (COM AVENTAIS) </t>
  </si>
  <si>
    <t>Cabo para sensor de Oxímetro neonatal “Y”</t>
  </si>
  <si>
    <t>DISPLAY DE PAREDE para exposição de uma folha tamanho A4 na posição horizontal</t>
  </si>
  <si>
    <t>CABO PARA PÁS ADESIVAS – M3508A</t>
  </si>
  <si>
    <t>DIALISADOR DE BAIXO FLUXO COM AREA DE SUPERFICIE DE 1</t>
  </si>
  <si>
    <t>DIALISADOR DE BAIXO FLUXO COM AREA DE SUPERFICIE DE 2</t>
  </si>
  <si>
    <t>BICARBONATO DE SODIO USO ODONTOLOGICO SACHE 40G</t>
  </si>
  <si>
    <t>IDENTIFICADOR DE LEITO EM ACRÍLICO CRISTAL</t>
  </si>
  <si>
    <t>FACEPLATE PARA BOMBA INFUSORA DE CONTRASTE CT 9000 ADV</t>
  </si>
  <si>
    <t>COLA PARA JUNTA DE MOTOR DIESEL</t>
  </si>
  <si>
    <t>ROLAMENTO UC 206 19</t>
  </si>
  <si>
    <t>ROLAMENTO SA 206 30X30X62X16/24” 1ª LINHA</t>
  </si>
  <si>
    <t>BENZILPENICILINA BENZATINA SUSPENSÃO INJETAVEL 1</t>
  </si>
  <si>
    <t>CORANTE AZUL BRILHANTE APLICAÇÃO (FINALIDADE) ANÁLISES LABORATORIAIS TAMANHO/CAPACIDADE  FRASCO DE 5 OU 10 OU 25 OU 50 OU 100 G CARACTERÍSTICAS ADICIONAIS (QUANDO NECESSÁRIO) •SINÔNIMO</t>
  </si>
  <si>
    <t>DEXAMETASONA SOLUCAO INJETAVEL 4 MG/ML 2</t>
  </si>
  <si>
    <t>Algarismo em Aço para marcação em placas de patrimônio</t>
  </si>
  <si>
    <t>ETIQUETA AUTO-ADESIVA TÉRMICA</t>
  </si>
  <si>
    <t>PINÇA DE CÓRNEA UNIVERSAL (RETA) – Pinça para Cirurgia de córnea modelo colibri com dente 0</t>
  </si>
  <si>
    <t>PINÇA COLIBRI 0</t>
  </si>
  <si>
    <t>CAMISA DE PROTEÇÃO DESCARTÁVEL PARA CABO ÓPTICO DE VÍDEO CIRURGIA Aplicação/finalidade</t>
  </si>
  <si>
    <t>TESTE RÁPIDO PARA DIAGNÓSTICO DE DENGUE</t>
  </si>
  <si>
    <t>REAGENTE PARA DIAGNÓSTICO CLÍNICO</t>
  </si>
  <si>
    <t>VERDE LUZ AMARELADO</t>
  </si>
  <si>
    <t>OXIDO AMARELO DE MERCURIO - Reagente citológico e histológico básico para colorações de rotina (Papanicolau e H/E)</t>
  </si>
  <si>
    <t>HEMATOXILINA - Corante citológico e histológico básico para colorações de rotina (Papanicolau e H/E)</t>
  </si>
  <si>
    <t>EOSINA AMARELA - Corante citopatológico e histopatológico para colorações de rotina (Papanicolau e H/E)</t>
  </si>
  <si>
    <t>FUCSINA AMARELA - FUCSINA</t>
  </si>
  <si>
    <t>AVENTAL DE PROCEDIMENTO NÃO ESTÉRIL</t>
  </si>
  <si>
    <t>EQUIPO SIMPLES PARA INFUSÃO DE SOLUÇÕES PARENTERAIS</t>
  </si>
  <si>
    <t>CATETER PARA TERAPIA RENAL LONGA PERMANENCIA 15 FR 45 CM</t>
  </si>
  <si>
    <t xml:space="preserve">CATETER PARA TERAPIA RENAL LONGA PERMANENCIA 15 FR 50 CM </t>
  </si>
  <si>
    <t>Kit de Drenagem torácica mediastinal infantil contendo</t>
  </si>
  <si>
    <t>CONJUNTO PARA DETERMINAÇAO DE VITAMINA D (25-HIDROXI VITAMINA D)</t>
  </si>
  <si>
    <t>Solução Lisante Celular para equipamento automatizado de hematologia CELL-DYN Ruby</t>
  </si>
  <si>
    <t>COMPRESSA CIRÚRGICA PARA CAMPO OPERATÓRIO 45 X 45 CM - Compressa cirúrgica para campo operatório exclusivo para procedimento cirúrgico</t>
  </si>
  <si>
    <t>Compressa cirúrgica para campo operatório exclusivo para procedimentos cirúrgicos</t>
  </si>
  <si>
    <t>TUBO DE SILICONE Nº 204</t>
  </si>
  <si>
    <t>KIT DE GASTROSTOMIA PERCUTÂNEA COM DIÂMETRO DA SONDA DE 20 FR</t>
  </si>
  <si>
    <t>Frasco coletor</t>
  </si>
  <si>
    <t>TESTE DE IDENTIFICAÇÃO BACTERIANA DE GRAM POSITIVOS POR MIC - Painel ou cartão para provas de identificação e teste de sensibilidade a antimicrobianos por concentração inibitória mínima (MIC) in vitro de bactérias Gram positivas em equipamento automatizado</t>
  </si>
  <si>
    <t>TESTE DE IDENTIFICAÇÃO BACTERIANA DE GRAM NEGATIVOS POR MIC - Painel ou cartão para provas de identificação e teste de sensibilidade a antimicrobianos por concentração inibitória mínima (MIC) in vitro de bactérias Gram negativas em equipamento automatizado</t>
  </si>
  <si>
    <t>GÁS REFRIGERANTE R-22</t>
  </si>
  <si>
    <t>CATETER MONO LUMEN DE ACESSO VENOSO CENTRAL 6</t>
  </si>
  <si>
    <t>CATETER DUPLO LUMEN DE ACESSO VENOSO CENTRAL ADULTO 7FR X 20CM</t>
  </si>
  <si>
    <t>EQUIPO SIMPLES MACROGOTAS PARA BOMBA DE INFUSÃO DE SISTEMA LINEAR OU CASSETE OU TIPO SHUTTLE para administração de soluções parenterais</t>
  </si>
  <si>
    <t>EQUIPO FOTOSSENSÍVEL</t>
  </si>
  <si>
    <t>BOLSA PARA ESTOMIA ADULTO TRANSPARENTE 1 PEÇA</t>
  </si>
  <si>
    <t>BATERIA RECARREGÁVEL PARA DESFIBRILADOR/CARDIOVERSOR MODELO M-SERIES - ZOLL Indicada para reposição em Cardioversor/ Desfibrilador ZOLL</t>
  </si>
  <si>
    <t>FITA COM AREA REAGENTE PARA VERIFICAÇÃO DE GLICEMIA CAPILAR em GLICOSÍMETRO compatível</t>
  </si>
  <si>
    <t>LUVA DE PROCEDIMENTO NÃO ESTÉRIL DE LÁTEX TAMANHO "PP"</t>
  </si>
  <si>
    <t>Sensor para Oximetria de Pulso (SPO²)</t>
  </si>
  <si>
    <t>ESPÉCULO VAGINAL DESCARTÁVEL TAMANHO P</t>
  </si>
  <si>
    <t>CURATIVO HIDROCOLÓIDE 15 CM X 15 CM</t>
  </si>
  <si>
    <t>ESCOVA DEGERMANTE PARA ASSEPSIA - CLOREXIDINA 2%</t>
  </si>
  <si>
    <t>TAMPA OCLUSORA PARA DISPOSITIVOS DE INFUSÃO</t>
  </si>
  <si>
    <t>Conjunto Nefrostomia Percutânea 10 a 10</t>
  </si>
  <si>
    <t>PASTA DE REGISTRO CLÍNICO</t>
  </si>
  <si>
    <t>Lâmpada para LARINGOSCÓPIO CR 129 Tensão 2</t>
  </si>
  <si>
    <t>FITA AUTOADESIVA HOSPITALAR</t>
  </si>
  <si>
    <t>SABONETE</t>
  </si>
  <si>
    <t>CABIDE Duplo branco</t>
  </si>
  <si>
    <t>FERRO CANTONEIRA ´´L´´ 2</t>
  </si>
  <si>
    <t>CANTONEIRA CROMADA Pequena p/mala</t>
  </si>
  <si>
    <t>ADESIVO PLÁSTICO 70 GR</t>
  </si>
  <si>
    <t>CAMISOLA ADULTO EM CRETONE BRANCO TAM 48</t>
  </si>
  <si>
    <t>ENVELOPE PARDO TAMANHO OFÍCIO</t>
  </si>
  <si>
    <t>LENÇOL ADULTO</t>
  </si>
  <si>
    <t>ROLAMENTO Nº 6309-C3</t>
  </si>
  <si>
    <t>LENÇOL DESCARTÁVEL</t>
  </si>
  <si>
    <t>PONTEIRA</t>
  </si>
  <si>
    <t>GORRO DESCARTÁVEL</t>
  </si>
  <si>
    <t>LAMPADA HALOGENA de 220V x 50W com refletor</t>
  </si>
  <si>
    <t>FUSIVEL DE VIDRO 1A PEQUENO</t>
  </si>
  <si>
    <t>FUSIVEL DE VIDRO GRANDE – 10A</t>
  </si>
  <si>
    <t xml:space="preserve">VÁLVULA ESTABILIZADORA PARA REDE CANALIZADA DE AR MEDICINAL - AR COMPRIMIDO </t>
  </si>
  <si>
    <t>VÁLVULA ESTABILIZADORA PARA REDE CANALIZADA DE OXIGÊNIO</t>
  </si>
  <si>
    <t>TARUGO DE PINHO APARELHADA NAS 4 FACES S/NOS MEDINDO 7CMX7CM ACIMA DE 4</t>
  </si>
  <si>
    <t>FECHADURA de metal para gaveta</t>
  </si>
  <si>
    <t>TOMADA DUPLA PARA REDE CANALIZADA DE AR MEDICINAL - AR COMPRIMIDO</t>
  </si>
  <si>
    <t>BATERIA NÃO RECARREGÁVEL</t>
  </si>
  <si>
    <t>GELÉIA ECOGEL</t>
  </si>
  <si>
    <t>LENCOL PARA MACA</t>
  </si>
  <si>
    <t>ETIQUETA AUTO-ADESIVA para FARMÁCIA</t>
  </si>
  <si>
    <t>VACUOMETRO</t>
  </si>
  <si>
    <t>CABO FLEXÍVEL 2</t>
  </si>
  <si>
    <t>CABO PP 3 X 2</t>
  </si>
  <si>
    <t>LAMPADA DE HALOGENIO 21V X 150W P/ FONTE DE LUZ FRIA C/REFLETOR P/MICROSCOPIO CIRURGICO</t>
  </si>
  <si>
    <t>CORRETOR LÍQUIDO</t>
  </si>
  <si>
    <t>FITA PARA AUTOCLAVE</t>
  </si>
  <si>
    <t>ELETRODO DESCARTÁVEL NEONATAL PARA ECG</t>
  </si>
  <si>
    <t>TAMPA DO FRASCO DO ASPIRADOR/COMPRESSOR MOD</t>
  </si>
  <si>
    <t>VIDRO COLETOR 5L P/ASPIRADOR/COMPRESSSOR MOD</t>
  </si>
  <si>
    <t>FUSIVEL DE VIDRO PEQUENO DE 6A</t>
  </si>
  <si>
    <t>FUSIVEL DE VIDRO PEQUENO DE 4A</t>
  </si>
  <si>
    <t>DISJUNTOR 10Ax220V</t>
  </si>
  <si>
    <t>HALOPERIDOL (DECANOATO) SOLUCAO INJETAVEL 50 MG/ML AMPOLA 1 ML</t>
  </si>
  <si>
    <t>FENTANILA SOLUCAO INJETAVEL 0</t>
  </si>
  <si>
    <t>BUPIVACAINA (CLORIDRATO) + GLICOSE SOLUCAO INJETAVEL (5 MG + 80 MG)/ML AMPOLA 4 ML</t>
  </si>
  <si>
    <t>LIDOCAINA + EPINEFRINA SOLUÇÃO INJETÁVEL 2% + 0</t>
  </si>
  <si>
    <t>PROXIMETACAINA (CLORIDRATO) SOLUÇAO OFTALMICA 0</t>
  </si>
  <si>
    <t>CAPTOPRIL COMPRIMIDO SULCADO 25</t>
  </si>
  <si>
    <t>FENOBARBITAL SOLUCAO ORAL GOTAS 40</t>
  </si>
  <si>
    <t>ALBENDAZOL SUSPENSAO ORAL 40 MG/ML FRASCO 10 ML</t>
  </si>
  <si>
    <t>IPRATROPIO (BROMETO) SOLUCAO PARA INALACAO 0</t>
  </si>
  <si>
    <t>DEXAMETASONA (ACETATO) CREME 0</t>
  </si>
  <si>
    <t>DEXAMETASONA (ACETATO OU FOSFATO) ELIXIR 0</t>
  </si>
  <si>
    <t>FENOTEROL (BROMIDRATO) SOLUÇAO ORAL 0</t>
  </si>
  <si>
    <t>SALBUTAMOL (SULFATO) SOLUCAO INJETAVEL 0</t>
  </si>
  <si>
    <t>N-ACETILCISTEINA SOLUCAO INJETAVEL 100 MG/ML AMPOLA 3 ML</t>
  </si>
  <si>
    <t>MORFINA SOLUÇAO INJETAVEL 0</t>
  </si>
  <si>
    <t>OCTREOTIDA SOLUCAO INJETAVEL 0</t>
  </si>
  <si>
    <t>TENOXICAM PO LIOFILIZADO PARA SOLUCAO INJETAVEL 20 MG FRASCO-AMPOLA</t>
  </si>
  <si>
    <t>ATRACURIO (BESILATO) SOLUCAO INJETAVEL 10 MG/ML AMPOLA 2</t>
  </si>
  <si>
    <t>NEOSTIGMINA SOLUCAO INJETAVEL 0</t>
  </si>
  <si>
    <t>DIGOXINA COMPRIMIDO 0</t>
  </si>
  <si>
    <t>DESLANOSIDEO SOLUCAO INJETAVEL 0</t>
  </si>
  <si>
    <t>PIPERACILINA + TAZOBACTAN PO LIOFILIZADO PARA SOLUCAO INJETAVEL 4</t>
  </si>
  <si>
    <t>DOBUTAMINA (CLORIDRATO) SOLUCAO INJETAVEL 12</t>
  </si>
  <si>
    <t>PREDNISOLONA SOLUCAO ORAL 3 MG/ML FRASCO DE 100 ML COM DOSEADOR</t>
  </si>
  <si>
    <t>INDAPAMIDA COMPRIMIDO LIBERAÇAO PROLONGADA 1</t>
  </si>
  <si>
    <t>BACLOFENO COMPRIMIDO 10 MG</t>
  </si>
  <si>
    <t>CIPROFLOXACINO POMADA OFTALMICA 0</t>
  </si>
  <si>
    <t>TOBRAMICINA + DEXAMETASONA POMADA OFTALMICA 0</t>
  </si>
  <si>
    <t>CARVEDILOL COMPRIMIDO 6</t>
  </si>
  <si>
    <t>LACTULOSE XAROPE 667 MG/ML FRASCO 120 ML</t>
  </si>
  <si>
    <t>ENALAPRIL COMPRIMIDO SULCADO 20 MG</t>
  </si>
  <si>
    <t>ENOXAPARINA SODICA SOLUCAO INJETAVEL 80 MG SERINGA PREENCHIDA 0</t>
  </si>
  <si>
    <t>ENOXAPARINA SODICA SOLUCAO INJETAVEL 60 MG SERINGA PREENCHIDA 0</t>
  </si>
  <si>
    <t>ENOXAPARINA SODICA SOLUCAO INJETAVEL 40 MG SERINGA PREENCHIDA 0</t>
  </si>
  <si>
    <t>ENOXAPARINA SODICA SOLUCAO INJETAVEL 20 MG SERINGA PREENCHIDA 0</t>
  </si>
  <si>
    <t>ESTREPTOQUINASE PO ESTERIL LIOFILIZADO 750</t>
  </si>
  <si>
    <t>ROPIVACAINA (CLORIDRATO) SOLUÇÃO INJETÁVEL 7</t>
  </si>
  <si>
    <t>ATROPINA (SULFATO) SOLUÇÃO INJETÁVEL 0</t>
  </si>
  <si>
    <t>BROMETO DE N BUTIL-ESCOPOLAMINA SOLUCAO INJETAVEL 20 MG/ML AMPOLA 1 ML</t>
  </si>
  <si>
    <t>SIMETICONA EMULSAO ORAL GOTAS 75 MG/ML FRASCO 15 ML</t>
  </si>
  <si>
    <t>METOCLOPRAMIDA COMPRIMIDO 10 MG</t>
  </si>
  <si>
    <t xml:space="preserve">POLIVITAMINICO COM ACETATO DE TOCOFEROL SOLUCAO ORAL GOTAS FRASCO 20 ML   </t>
  </si>
  <si>
    <t>COMPLEXO B DRAGEA</t>
  </si>
  <si>
    <t>BICARBONATO DE SODIO SOLUCAO INJETAVEL 8</t>
  </si>
  <si>
    <t xml:space="preserve"> CLORETO DE POTASSIO SOLUCAO INJETAVEL 10 % (1</t>
  </si>
  <si>
    <t>CLORETO DE SODIO SOLUÇAO INJETAVEL 20 % (3</t>
  </si>
  <si>
    <t>SOLUÇAO DE OLIGOELEMENTOS (SULFATO DE ZINCO</t>
  </si>
  <si>
    <t>SOLUCAO DE OLIGOELEMENTOS ( ZINCO</t>
  </si>
  <si>
    <t>SOLUÇÃO ÁCIDA P/ HEMODIÁLISE GALÃO DE 5 LITROS</t>
  </si>
  <si>
    <t>SOLUCAO BASICA (COM BICARBONATO DE SODIO A 8</t>
  </si>
  <si>
    <t>HEPARINA SODICA SOLUÇAO INJETAVEL 5000 UI/0</t>
  </si>
  <si>
    <t>BETAMETASONA (VALERATO) CREME 0</t>
  </si>
  <si>
    <t>DEXAMETASONA (ACETATO OU FOSFATO)</t>
  </si>
  <si>
    <t>PREDNISONA COMPRIMIDO 5 MG</t>
  </si>
  <si>
    <t>PREDNISONA COMPRIMIDO 20 MG</t>
  </si>
  <si>
    <t>OCITOCINA SOLUCAO INJETAVEL 5 UI AMPOLA 1 ML</t>
  </si>
  <si>
    <t>METILERGOMETRINA (MALEATO) SOLUCAO INJETAVEL 0</t>
  </si>
  <si>
    <t>CLARITROMICINA COMPRIMIDO 250 MG</t>
  </si>
  <si>
    <t>METOTREXATO COMPRIMIDO 2</t>
  </si>
  <si>
    <t>NEOMICINA (SULFATO) + BACITRACINA (ZINCICA) POMADA(5 MG + 250 UI)/G BISNAGA 15 G</t>
  </si>
  <si>
    <t>IODOPOVIDONA SOLUCAO ALCOOLICA 10 MG/ML EM IODO ATIVO FRASCO 1000 ML</t>
  </si>
  <si>
    <t>FLUORESCEINA (SODICA) A 1%</t>
  </si>
  <si>
    <t>HIPROMELOSE SOLUÇAO OFTALMICA 3 MG/ML FRASCO 10 ML</t>
  </si>
  <si>
    <t>NALOXONA (CLORIDRAT0) SOLUÇÃO INJETÁVEL 0</t>
  </si>
  <si>
    <t>FLUMAZENIL SOLUÇAO INJETAVEL 0</t>
  </si>
  <si>
    <t>BENZILPENICILINA BENZATINA PO PARA SUSPENSAO INJETAVEL 600</t>
  </si>
  <si>
    <t>BENZILPENICILINA POTASSICA PO PARA SOLUCAO INJETAVEL 5</t>
  </si>
  <si>
    <t>AMPICILINA (SODICA) PO PARA SOLUCAO INJETAVEL 500 MG FRASCO AMPOLA</t>
  </si>
  <si>
    <t>SULFAMETOXAZOL + TRIMETROPIMA SOLUCAO INJETAVEL (400 MG + 80 MG)/5 ML AMPOLA 5 ML</t>
  </si>
  <si>
    <t>VANCOMICINA PO PARA SOLUCAO INJETAVEL 500 MG FRASCOAMPOLA</t>
  </si>
  <si>
    <t>NISTATINA SUSPENSAO ORAL 100</t>
  </si>
  <si>
    <t>FENTANILA SOLUÇAO INJETAVEL 0</t>
  </si>
  <si>
    <t>ALFENTANILA (CLORIDRATO) SOLUÇAO INJETAVEL 0</t>
  </si>
  <si>
    <t>NITRATO DE PRATA SOLUCAO OFTALMICA 1 % FRASCO 2</t>
  </si>
  <si>
    <t>AGULHA HIPODERMICA DESCART</t>
  </si>
  <si>
    <t>AGULHA ANESTÉSICA</t>
  </si>
  <si>
    <t>AGULHA PARA ANESTESIA PERIDURAL</t>
  </si>
  <si>
    <t>AGULHA PARA ACUPUNTURA DESCARTAVEL TAMANHO 0</t>
  </si>
  <si>
    <t>AGULHA PARA FISTULA ARTERIO-VENOSA 16X01</t>
  </si>
  <si>
    <t>ATADURA DE ALGODAO ORTOPEDICO 10CMX150CM (COMP</t>
  </si>
  <si>
    <t>ATADURA DE ALGODAO ORTOPEDICO 15CMX150CM (COMP</t>
  </si>
  <si>
    <t>ATADURA DE ALGODAO ORTOPEDICO 20CMX150CM (COMP</t>
  </si>
  <si>
    <t>ATADURA GESSADA (SEC</t>
  </si>
  <si>
    <t>COLETOR DE URINA ABERTO ADULTO</t>
  </si>
  <si>
    <t>COLETOR DE URINA SISTEMA FECHADO</t>
  </si>
  <si>
    <t>COLETOR DE URINA PARA INCONTINÊNCIA URINÁRIA MASCULINA (COMPLETO)</t>
  </si>
  <si>
    <t>HEMOSTATICO ABSORVIVEL DE CELULOSE OXIDADA REGENERADA 5X7</t>
  </si>
  <si>
    <t>EQUIPO COM CÂMARA GRADUADA</t>
  </si>
  <si>
    <t>EQUIPO PARA PRESSÃO VENOSA CENTRAL</t>
  </si>
  <si>
    <t>SOLUÇÃO LIMPADORA A BASE DE ENZIMAS</t>
  </si>
  <si>
    <t>EQUIPO DE SAÍDA - LINHA VENOSA</t>
  </si>
  <si>
    <t>EQUIPO INTERMEDIÁRIO 4 VIAS</t>
  </si>
  <si>
    <t>CURATIVO COM FILME TRANSPARENTE PARA CATETER VASCULAR</t>
  </si>
  <si>
    <t>EQUIPO PARENTERAL PARA BOMBA DE INFUSÃO</t>
  </si>
  <si>
    <t>EQUIPO INTERMEDIÁRIO 2 VIAS</t>
  </si>
  <si>
    <t>EQUIPO FOTOPROTETOR MICROGOTAS PARA INFUSÃO DE SOLUÇÕES PARENTERAIS</t>
  </si>
  <si>
    <t>CURATIVO DE HIDROCOLOIDE</t>
  </si>
  <si>
    <t>EQUIPO PARA TRANSFUSÃO DE SANGUE</t>
  </si>
  <si>
    <t>EQUIPO PARA TRANSFUSÃO DE SANGUE USO PEDIÁTRICO</t>
  </si>
  <si>
    <t>CURATIVO HIDROCOLÓIDE 15 CM x 15 CM</t>
  </si>
  <si>
    <t>EQUIPO PARENTERAL FOTOPROTETOR PARA BOMBA DE INFUSÃO</t>
  </si>
  <si>
    <t>CURATIVO DE ALGINATO DE CÁLCIO 10 CM x 10 CM</t>
  </si>
  <si>
    <t>CURATIVO DE ALGINATO DE CÁLCIO 10 CM x 20 CM</t>
  </si>
  <si>
    <t>GLUTARALDEIDO SOLUÇÃO</t>
  </si>
  <si>
    <t>CURATIVO COM CARVÃO ATIVADO E PRATA 10</t>
  </si>
  <si>
    <t>HIPOCLORITO DE SODIO SOL</t>
  </si>
  <si>
    <t>SERINGA HIPODERMICA DE INSULINA DESCARTAVEL 0</t>
  </si>
  <si>
    <t>MANDRIL P/INTUBACAO ADULTO</t>
  </si>
  <si>
    <t>ABAIXADOR DE LINGUA CONVENCIONAL EM MADEIRA</t>
  </si>
  <si>
    <t>CONJUNTO PARA NEBULIZAÇÃO COMPLETO ADULTO</t>
  </si>
  <si>
    <t>ESPÁTULA DE AYRES EM MADEIRA NÃO ESTÉRIL</t>
  </si>
  <si>
    <t>TORNEIRA DESCARTÁVEL COM TRÊS VIAS</t>
  </si>
  <si>
    <t>FERULA METALICA C/16MM LARG</t>
  </si>
  <si>
    <t>FERULA METALICA C/19MM LARG</t>
  </si>
  <si>
    <t>FILTRO BARREIRA HIDRÓFOBO ADULTO</t>
  </si>
  <si>
    <t>CURATIVO BOTA DE UNNA 7</t>
  </si>
  <si>
    <t>CURATIVO DE HIDROFIBRA</t>
  </si>
  <si>
    <t>CURATIVO NÃO ADERENTE COM PETROLATUM 7</t>
  </si>
  <si>
    <t>BOLSA PARA ESTOMIA ADULTO TRANSPARENTE  1 PEÇA</t>
  </si>
  <si>
    <t>MÁSCARA CIRÚRGICA DESCARTÁVEL</t>
  </si>
  <si>
    <t>CAPAS DESC</t>
  </si>
  <si>
    <t>TUBO ENDOTRAQUEAL</t>
  </si>
  <si>
    <t>TUBO ENDOTRAQUEAL SEM CUFF P</t>
  </si>
  <si>
    <t>Cânula para traqueostomia material polivinil flexível</t>
  </si>
  <si>
    <t>Cânula para traqueostomia</t>
  </si>
  <si>
    <t>CANULA P/TRAQUEOSTOMIA COM CUFF P</t>
  </si>
  <si>
    <t>CANULA PARA TRAQUEOSTOMIA COM CUFF PVC N</t>
  </si>
  <si>
    <t>CATETER MONO LUMEN DE ACESSO VENOSO CANTRAL 16GA X 20CM</t>
  </si>
  <si>
    <t>CATÉTER PARA ANESTESIA PERIDURAL</t>
  </si>
  <si>
    <t>CATETER PARA OXIGENOTERAPIA NASAL TIPO ÓCULOS</t>
  </si>
  <si>
    <t>CATETER DUPLO LUMEN PARA HEMODIALISE</t>
  </si>
  <si>
    <t>CATETER UMBILICAL MONO LÚMEN 3</t>
  </si>
  <si>
    <t>SISTEMA FECHADO DE DRENAGEM POR SUCÇÃO 3</t>
  </si>
  <si>
    <t>DRENO EM T N</t>
  </si>
  <si>
    <t>DRENO DE PENROSE ESTERIL ENV</t>
  </si>
  <si>
    <t>EQUIPO MÚLTIPLO PARA DPI (DIALISE PERITONEAL INTERMITENTE)</t>
  </si>
  <si>
    <t>ESPARADRAPO CIRURGICO 10CM x 4</t>
  </si>
  <si>
    <t>FIO CATGUT CROMADO 0 70CM 1 AG</t>
  </si>
  <si>
    <t>FIO DE SUTURA CATGUT CROMADO 2-0 C/AG 1/2 CIRC</t>
  </si>
  <si>
    <t>FIO CATGUT CROMADO 4-0 70 CM 1A AG</t>
  </si>
  <si>
    <t>FIO DE SUTURA DE POLIPROPILENO MONOFILAMENTAR 3-0</t>
  </si>
  <si>
    <t>(Em despadronização - Compra Suspensa no SIS) FIO CATGUT SIMPLES 0 70CM 1 AG</t>
  </si>
  <si>
    <t>FIO DE SUTURA CATGUT SIMPLES 0 2-0 70CM C/AG</t>
  </si>
  <si>
    <t>(Em despadronização - Compra Suspensa no SIS) FIO DE SUTURA CATGUT SIMPLES</t>
  </si>
  <si>
    <t>FIO DE SUTURA</t>
  </si>
  <si>
    <t>FIO DE SUTURA DE POLIAMIDA MONOFILAMENTAR 2-0</t>
  </si>
  <si>
    <t>FIO DE SUTURA DE POLIAMIDA MONOFILAMENTAR 3-0</t>
  </si>
  <si>
    <t>FIO DE SUTURA NYLON MONOFILAMENTAR 4-0 PRETO</t>
  </si>
  <si>
    <t>FIO DE SUTURA DE POLIAMIDA MONOFILAMENTAR 4-0</t>
  </si>
  <si>
    <t>FIO DE SUTURA NYLON MONOFILAMENTAR 5-0 PRETO</t>
  </si>
  <si>
    <t>FIO DE SUTURA DE POLIESTER + POLIBUTILATO TRANÇADO 2-0</t>
  </si>
  <si>
    <t>FIO DE SUTURA DE SEDA TRANCADA 0</t>
  </si>
  <si>
    <t>FIO DE SUTURA DE SEDA TRANCADA 2-0</t>
  </si>
  <si>
    <t>FIO DE SUTURA DE SEDA TRANCADA 3-0</t>
  </si>
  <si>
    <t>FIO DE SUTURA DE GLICOLIDA + LACTIDA TRANÇADO 3-0</t>
  </si>
  <si>
    <t>FIO DE SUTURA DE GLICOLIDA + LACTIDA TRANÇADO 4-0</t>
  </si>
  <si>
    <t>FITA CIRURGICA HIPOALERGENICA MICROPOROSA 10CM x 10M</t>
  </si>
  <si>
    <t>FITA CIRURGICA HIPOALERGENICA MICROPOROSA 2</t>
  </si>
  <si>
    <t>FITA CIRURGICA HIPOALERGENICA MICROPOROSA 5CM x 10M</t>
  </si>
  <si>
    <t>INTEGRADOR QUÍMICO INTERNO NÃO ESTÉRIL</t>
  </si>
  <si>
    <t>LAMINA P/BISTURI N</t>
  </si>
  <si>
    <t>LUVA CIRURGICA CONVENCIONAL Nº 7</t>
  </si>
  <si>
    <t>LUVA CIRURGICA CONVENCIONAL Nº 8</t>
  </si>
  <si>
    <t>LUVA DE PROCEDIMENTO NÃO ESTÉRIL DE LÁTEX TAMANHO "P"</t>
  </si>
  <si>
    <t>LUVA DE PROCEDIMENTO NÃO ESTÉRIL DE LÁTEX TAMANHO "M"</t>
  </si>
  <si>
    <t>LUVA DE PROCEDIMENTO NÃO ESTÉRIL DE LÁTEX TAMANHO "G"</t>
  </si>
  <si>
    <t>LUVA SINTETICA PARA PROCEDIMENTO NAO ESTERIL TAMANHO " P "</t>
  </si>
  <si>
    <t>LUVA SINTETICA PARA PROCEDIMENTO NAO ESTERIL TAMANHO " M "</t>
  </si>
  <si>
    <t>SONDA ASPIRAÇÃO TRAQUEAL  Nº 04</t>
  </si>
  <si>
    <t>SONDA DE FOLEY 2 VIAS LÁTEX Nº 22</t>
  </si>
  <si>
    <t>SONDA DE FOLEY 2 VIAS LÁTEX Nº 08</t>
  </si>
  <si>
    <t>SONDA DE FOLEY 2 VIAS LÁTEX  Nº 12</t>
  </si>
  <si>
    <t>SONDA DE FOLEY 2 VIAS LÁTEX Nº 14</t>
  </si>
  <si>
    <t>SONDA DE FOLEY 2 VIAS LÁTEX Nº 16</t>
  </si>
  <si>
    <t>SONDA DE FOLEY 2 VIAS LÁTEX Nº 20</t>
  </si>
  <si>
    <t>SONDA DE FOLEY 2 VIAS LÁTEX  Nº 22</t>
  </si>
  <si>
    <t>SONDA DE FOLEY 2 VIAS LÁTEX  Nº 24</t>
  </si>
  <si>
    <t>SONDA DE FOLEY 3 VIAS LÁTEX Nº 20</t>
  </si>
  <si>
    <t>SONDA DE FOLEY 3 VIAS LÁTEX Nº 22</t>
  </si>
  <si>
    <t>SONDA DE FOLEY 2 VIAS SILICONE Nº 06</t>
  </si>
  <si>
    <t>SONDA PARA NUTRIÇÃO ENTERAL PEDIÁTRICA Nº 08</t>
  </si>
  <si>
    <t>SONDA NASOGÁSTRICA LONGA Nº 12</t>
  </si>
  <si>
    <t>SONDA NASOGÁSTRICA LONGA Nº 14</t>
  </si>
  <si>
    <t>SONDA NASOGÁSTRICA LONGA Nº 16</t>
  </si>
  <si>
    <t>SONDA PARA NUTRIÇÃO ENTERAL ADULTO Nº 10</t>
  </si>
  <si>
    <t>SONDA URETRAL  Nº 04</t>
  </si>
  <si>
    <t>SONDA URETRAL Nº 06</t>
  </si>
  <si>
    <t>SONDA URETRAL Nº 08</t>
  </si>
  <si>
    <t>SONDA URETRAL Nº 10</t>
  </si>
  <si>
    <t>SONDA URETRAL Nº 12</t>
  </si>
  <si>
    <t>TUBO DE LÁTEX Nº 200</t>
  </si>
  <si>
    <t>FIO DE KIRSCHNER 2</t>
  </si>
  <si>
    <t>EXTIRPADOR DE NERVOS</t>
  </si>
  <si>
    <t>ESPELHO PLANO BUCAL N</t>
  </si>
  <si>
    <t>FIO DENTAL 100 MTS</t>
  </si>
  <si>
    <t>GESSO USO ODONTOLÓGICO</t>
  </si>
  <si>
    <t>APLICADOR DESC</t>
  </si>
  <si>
    <t>LIDOCAÍNA CLORIDRATO</t>
  </si>
  <si>
    <t>PONTA DESCARTAVEL P/ SUGADORES DE SALIVA PCT</t>
  </si>
  <si>
    <t>MATRIZ EM ACO 5X0</t>
  </si>
  <si>
    <t>MEPIVACAINA 2% C/V 1</t>
  </si>
  <si>
    <t>GEL DE FLUORETO DE SÓDIO 1</t>
  </si>
  <si>
    <t>FIO DE SUTURA SEDA PRETA 3-0 C/AG</t>
  </si>
  <si>
    <t>ÁCIDO TRICLOROACÉTICO P</t>
  </si>
  <si>
    <t>ALCOOL ETILICO ABSOLUTO 99</t>
  </si>
  <si>
    <t>CONJUNTO PARA DETERMINAÇAO DE VDRL</t>
  </si>
  <si>
    <t>AZUL DE METILENO "B"</t>
  </si>
  <si>
    <t>CAL SODADA</t>
  </si>
  <si>
    <t>CONJUNTO PARA DETERMINACAO DE HEMOGLOBINA GLICADA</t>
  </si>
  <si>
    <t>CONJUNTO PARA DETERMINAÇAO DE LIPASE</t>
  </si>
  <si>
    <t>FORMOL COMERCIAL 37/40% 1000 ML - FORMALDEÍDO (FORMOL)</t>
  </si>
  <si>
    <t>FRASCO DESCARTAVEL PARA COLETA DE URINA</t>
  </si>
  <si>
    <t>LAMINA PARA MICROSCOPIA 26X76MM EXTREMIDADE FOSCA CX</t>
  </si>
  <si>
    <t>MEIO MONTAGEM P/MICROSC</t>
  </si>
  <si>
    <t>PONTEIRA DESCARTÁVEL P/PIPETA MICROVOLUMÉTRICA 5 A 200 MCL</t>
  </si>
  <si>
    <t>PONTEIRA DESCARTÁVEL P/PIPETA MICROVOLUMÉTRICA 500 A 1000 MICROLITROS</t>
  </si>
  <si>
    <t>POTE PLASTICO DESCARTAVEL COM TAMPA ROSQUEAVEL</t>
  </si>
  <si>
    <t>SULFATO DE ALUMINIO E AMONIO P</t>
  </si>
  <si>
    <t>TUBO PARA COLETA DE SANGUE SISTEMA A VACUO COM EDTA 13X75MM 3</t>
  </si>
  <si>
    <t>TUBO COL</t>
  </si>
  <si>
    <t>TUBO PARA MICROHEMATOCRITO</t>
  </si>
  <si>
    <t>TUBO PORTA-LAMINAS EM POLIPROP</t>
  </si>
  <si>
    <t>XILENO</t>
  </si>
  <si>
    <t>TESTE PARA HEMOGRAMA COMPLETO</t>
  </si>
  <si>
    <t>CONJUNTO PARA DETERMINAÇÃO DE TSH</t>
  </si>
  <si>
    <t>CONJUNTO PARA DETERMINAÇÃO DE FSH</t>
  </si>
  <si>
    <t>CONJUNTO PARA DETERMINAÇÃO DE LH</t>
  </si>
  <si>
    <t>CONJUNTO PARA DETERMINAÇÃO DE PROLACTINA</t>
  </si>
  <si>
    <t>CONJUNTO PARA DETERMINAÇÃO DE TESTOSTERONA</t>
  </si>
  <si>
    <t>CONJUNTO PARA DETERMINAÇÃO DE PSA</t>
  </si>
  <si>
    <t>CONJUNTO PARA DETERMINAÇÃO DE T4 LIVRE</t>
  </si>
  <si>
    <t>CONJUNTO PARA DETERMINAÇAO DE FERRO SERICO TOTAL</t>
  </si>
  <si>
    <t>CONJUNTO PARA DETERMINAÇAO DE FOSFORO</t>
  </si>
  <si>
    <t>CONJUNTO PARA DETERMINAÇÃO DE GAMA GLUTAMIL TRANSFERASE</t>
  </si>
  <si>
    <t>CONJUNTO PARA DETERMINAÇAO DE HDL COLESTEROL</t>
  </si>
  <si>
    <t>CONJUNTO PARA DETERMINAÇAO DE PROTEINAS TOTAIS</t>
  </si>
  <si>
    <t>CONJUNTO PARA DETERMINAÇAO DE GLICOSE ENZIMATICA</t>
  </si>
  <si>
    <t>CONJUNTO PARA DETERMINAÇAO DE UREIA ENZIMATICA</t>
  </si>
  <si>
    <t>CONJUNTO PARA DETERMINAÇAO DE TGO CINETICO</t>
  </si>
  <si>
    <t>CONJUNTO PARA DETERMINAÇAO DE TGP CINETICO</t>
  </si>
  <si>
    <t>CONJUNTO PARA DETERMINAÇAO DE AMILASE CINETICO</t>
  </si>
  <si>
    <t>CONJUNTO PARA DETERMINAÇAO DE CREATININA</t>
  </si>
  <si>
    <t>CONJUNTO PARA DETERMINAÇAO DE CK</t>
  </si>
  <si>
    <t>CONJUNTO PARA DETERMINAÇAO DE CK MB</t>
  </si>
  <si>
    <t>CONJUNTO PARA DETERMINAÇAO DE LDH</t>
  </si>
  <si>
    <t>CONJUNTO PARA DETERMINAÇAO DE BILIRRUBINA</t>
  </si>
  <si>
    <t>CONJUNTO PARA DETERMINAÇAO DE CALCIO</t>
  </si>
  <si>
    <t>CONJUNTO PARA DETERMINAÇAO DE MAGNESIO</t>
  </si>
  <si>
    <t>CONJUNTO PARA DETERMINAÇAO DE FOSFATASE ALCALINA</t>
  </si>
  <si>
    <t>CONJUNTO PARA DETERMINAÇAO DE ACIDO URICO</t>
  </si>
  <si>
    <t>CONJUNTO PARA DETERMINAÇAO DE COLESTEROL</t>
  </si>
  <si>
    <t>CONJUNTO PARA DETERMINAÇAO DE TRIGLICERIDEOS</t>
  </si>
  <si>
    <t>CONJUNTO PARA DETERMINAÇAO DE ALBUMINA</t>
  </si>
  <si>
    <t>PONTEIRA DESCARTÁVEL</t>
  </si>
  <si>
    <t>TUBO DE ENSAIO 18X180MM</t>
  </si>
  <si>
    <t>REBOLO reforçado em fibra de vidro 7’x1/48’ para lixadeira</t>
  </si>
  <si>
    <t>FRASCO DE VIDRO COM TAMPA</t>
  </si>
  <si>
    <t>TORNEIRA LAVATÓRIO</t>
  </si>
  <si>
    <t>CAIXA GORDURA</t>
  </si>
  <si>
    <t>HD 160GB de 7</t>
  </si>
  <si>
    <t>GIZ DE CERA</t>
  </si>
  <si>
    <t>LACRE - SELO TIK AN / TIGRE SEQ</t>
  </si>
  <si>
    <t>NITROGÊNIO INDUSTRIAL</t>
  </si>
  <si>
    <t>ALICATE CORTA FIO DE STEIMNANN</t>
  </si>
  <si>
    <t>ALICATE  CORTA FIO DE KISCHNER</t>
  </si>
  <si>
    <t>COLA SUPER ADESIVA</t>
  </si>
  <si>
    <t>CANETA RETROPROJETOR</t>
  </si>
  <si>
    <t>BALDE INOX</t>
  </si>
  <si>
    <t>SENSOR SPO2 DEDO</t>
  </si>
  <si>
    <t>CANETA ELETROCIRÚRGICA de 3 entradas</t>
  </si>
  <si>
    <t>PAPEL ADESIVO</t>
  </si>
  <si>
    <t>JOGO DE OLIVAS PARA IMITANCIOMETRO</t>
  </si>
  <si>
    <t>SAPATILHA DESCARTÁVEL</t>
  </si>
  <si>
    <t>EXERCITADOR RESPIRATÓRIO</t>
  </si>
  <si>
    <t>APAGADOR QUADRO</t>
  </si>
  <si>
    <t>UMIDIFICADOR PARA REDE CANALIZADA DE AR MEDICINAL</t>
  </si>
  <si>
    <t>CONECTORES RJ-45</t>
  </si>
  <si>
    <t>UTILIZAR O CÓDIGO 200655 - NITROGÊNIO LÍQUIDO</t>
  </si>
  <si>
    <t>PARAFUSO auto-atarrachante cabeça chata</t>
  </si>
  <si>
    <t>FRASCO COLETOR SECREÇÃO</t>
  </si>
  <si>
    <t>SOQUETE PARA LÂMPADA</t>
  </si>
  <si>
    <t>FITA DUPLA FACE</t>
  </si>
  <si>
    <t>FIXADOR RADIOLÓGICO</t>
  </si>
  <si>
    <t>PASTA CATÁLOGO</t>
  </si>
  <si>
    <t>EXERCITADOR ELÁTICO THERA BAND</t>
  </si>
  <si>
    <t>EXERCITADOR ELÁSTICO THERA BAND</t>
  </si>
  <si>
    <t>VIDRO LISO</t>
  </si>
  <si>
    <t>TINTA PARA INTERIORES E EXTERIORES</t>
  </si>
  <si>
    <t>LÂMINA PARA SERRA DE GESSO DE 2</t>
  </si>
  <si>
    <t>SISTEMA FECHADO DE DRENAGEM POR SUCÇÃO</t>
  </si>
  <si>
    <t>LÂMPADA DICROICA</t>
  </si>
  <si>
    <t xml:space="preserve">PERFURSOR SIMPLES </t>
  </si>
  <si>
    <t>PORTA AGULHA MAYO HEGAR COM VÍDEA</t>
  </si>
  <si>
    <t>PORTA AGULHA DERF DELICADO COM WÍDEA PARA FIO 6</t>
  </si>
  <si>
    <t>ALICATE DE CORTE PARA CERCLAGEM</t>
  </si>
  <si>
    <t>CORTADOR DE FIOS ARTICULADO</t>
  </si>
  <si>
    <t>CABO DE BISTURI Nº 3</t>
  </si>
  <si>
    <t>CORTADOR DE FIOS GROSSOS</t>
  </si>
  <si>
    <t>CABO DE BISTURI Nº 4</t>
  </si>
  <si>
    <t>CUBA RIM</t>
  </si>
  <si>
    <t>GANCHO ÓSSEO</t>
  </si>
  <si>
    <t>MARTELO AÇO INOX</t>
  </si>
  <si>
    <t>PINÇAS CRILE CURVA</t>
  </si>
  <si>
    <t>PINÇA ÓSSEA LAMBERT-LOWMANN 2X2 DENTES</t>
  </si>
  <si>
    <t>PINÇA ÓSSEA LOWMANN 1 X 2 DENTES</t>
  </si>
  <si>
    <t>TESTE PARA DETERMINAÇÃO QUALITATIVA DE BETA-HCG(SORO</t>
  </si>
  <si>
    <t>TINTA esmalte sintética automotiva</t>
  </si>
  <si>
    <t>BROCA</t>
  </si>
  <si>
    <t>ALÇA CALIBRADA DESCARTÁVEL</t>
  </si>
  <si>
    <t>ALÇA CALIBRADA DESCARTAVEL</t>
  </si>
  <si>
    <t>KIT PARA DRENAGEM TORACICA INFANTIL</t>
  </si>
  <si>
    <t>LÁPIS DE COR</t>
  </si>
  <si>
    <t>BOLSA PARA ESTOMIA OPACA ADULTO 2 PEÇAS</t>
  </si>
  <si>
    <t>CARVÃO ATIVADO PÓ FRASCO OU ENVELOPE 25 G</t>
  </si>
  <si>
    <t>CONJUNTO PARA DETERMINAÇÃO DE DOENÇA DE CHAGAS</t>
  </si>
  <si>
    <t>PIPETA DE WESTERGREN</t>
  </si>
  <si>
    <t xml:space="preserve">CONJUNTO PARA COLORAÇÃO DE ZIEHL-NEELSEN </t>
  </si>
  <si>
    <t>CONJUNTO PARA COLORAÇÃO DE GRAM</t>
  </si>
  <si>
    <t xml:space="preserve">AGULHA DE ESCLEROSE PARA ENDOSCÓPIO </t>
  </si>
  <si>
    <t xml:space="preserve">Reanimador/Ressuscitador manual neonatal </t>
  </si>
  <si>
    <t>TUBO PARA COLETA DE SANGUE</t>
  </si>
  <si>
    <t>CONJUNTO PARA DETERMINAÇAO DE BILIRRUBINA DIRETA</t>
  </si>
  <si>
    <t>TACA DE BORRACHA BRANCA P/CONTRA ANGULO P/PROFILAXIA</t>
  </si>
  <si>
    <t xml:space="preserve">SISTEMA ADESIVO (PRIMER/ADESIVO) FOTOPOLIMERIZAVEL </t>
  </si>
  <si>
    <t>ALGODAO HIDROFILO DENTARIO</t>
  </si>
  <si>
    <t>KIT PARA NEFROSTOMIA PERCUTANEA COM CATETER PIGTAIL 14FR DE 25CM</t>
  </si>
  <si>
    <t>KIT C/CATETER 18G POLIURETANO RADIOPACO P/ACESSO VENOSO CENTRAL</t>
  </si>
  <si>
    <t>FIO SUTURA SINTETICO ZERO</t>
  </si>
  <si>
    <t>Fio sintético zero 70cm</t>
  </si>
  <si>
    <t>CATETER UMBILICAL MONO LÚMEN 5 A 6FR ARRENDONDADA E ATRAUMÁTICA CONECTOR LUER  ESTÉRIL</t>
  </si>
  <si>
    <t>FILTRO BARREIRA HIDROFOBO</t>
  </si>
  <si>
    <t>CURATIVO DE ALGINATO E CARBOXIMETILCELULOSE</t>
  </si>
  <si>
    <t>COMPRESSA CAMPO OPERATORIO 45CM x 50CM</t>
  </si>
  <si>
    <t>DETERGENTE BIODEGRADAVEL DESINCRUSTANTE</t>
  </si>
  <si>
    <t>CONTRASTE IODADO NAO IONICO BAIXA OSMOLARIDADE OU ISOSMOLAR</t>
  </si>
  <si>
    <t>OXIDO DE ZINCO + VITAMINA A + VITAMINA D POMADA DERMATOLOGICA</t>
  </si>
  <si>
    <t xml:space="preserve">IMUNOGLOBULINA  ANTI-RHO (D) </t>
  </si>
  <si>
    <t>TIOPENTAL (SAL SODICO) PO</t>
  </si>
  <si>
    <t>TEICOPLANINA PO</t>
  </si>
  <si>
    <t>AMOXICILINA + CLAVULANATO DE POTÁSSIO</t>
  </si>
  <si>
    <t xml:space="preserve">SAIS PARA REIDRATACAO ORAL </t>
  </si>
  <si>
    <t>CLORETO DE POTASSIO</t>
  </si>
  <si>
    <t>SURFACTANTE EXOGENO PULMONAR NATURAL</t>
  </si>
  <si>
    <t>NITROPRUSSETO DE SODIO</t>
  </si>
  <si>
    <t>AMPICILINA + SULBACTAM PO PARA SOLUCAO INJETAVE</t>
  </si>
  <si>
    <t>ALPROSTADIL PO LIOFILIZADO</t>
  </si>
  <si>
    <t>PROPOFOL EMULSAO INJETAVEL</t>
  </si>
  <si>
    <t>NOREPINEFRINA (HEMITARTARATO</t>
  </si>
  <si>
    <t>PROTETOR FACIAL</t>
  </si>
  <si>
    <t>AVENTAL EM VAQUETA</t>
  </si>
  <si>
    <t>PAPEL MILIMETRADO</t>
  </si>
  <si>
    <t>TERMÔMETRO DIGITAL TIPO ESPETO</t>
  </si>
  <si>
    <t>SILICONE para rejunte</t>
  </si>
  <si>
    <t>LUVA PARA PROCEDIMENTO PEQUENO</t>
  </si>
  <si>
    <t>LUVA PARA PROCEDIMENTO MEDIO</t>
  </si>
  <si>
    <t>LUVA PARA PROCEDIMENTO GRANDE</t>
  </si>
  <si>
    <t>FERRAGENS LÍDER (700064)</t>
  </si>
  <si>
    <t>LENÇOL VIROL ADULTO 160X250 cm, Aplicação: cobrir o paciente, Material: tecido estampado em toda extensão com  logotipo SES/DF, cor branca, 50% algodão e 50% poliéster, Linha 100% algodão, Tamanho: 160x250cm, Características: Peça simples com barras estreitas, costura reta, Tecido tela 50% algodão 50% poliéster fio 30, 105 no urdume e 75 na trama, tingimento em idantrem encolhimento 5% no Urdume e 3% na trama, peso mínimo 126g/m², Apresentar no lençol a logomarca da SES-DF em toda extensão do tecido medindo 03x03cm na cor verde bandeira  e sigla do hospital em todos os cantos do lençol na cor preta, Forma de Apresentação: Embalagem primária em saco plástico com 10 unidades e secundaria em caixa de papelão com no máximo 100 unidades, Unidade de Estoque: Unidade, Unidade de fornecimento: Unidade</t>
  </si>
  <si>
    <t>Conserto do aparelho de Ecocardiograma, Marca: TOSHIBA, Modelo: NEMIO 17, MODELO PVF-620ST - Nº DE SÉRIE B4545858, Pat GDF: 1327531</t>
  </si>
  <si>
    <t>BMA01</t>
  </si>
  <si>
    <t>BMA02</t>
  </si>
  <si>
    <t>CONSERTO DE BANHO MARIA PARA AQUECIMENTO, MARCA ELETROSPITALAR, MODELO ELO 200/ELO 201; NÚMERO DE SÉRIE A120720,  PATRIMÔNIOS: GDF 958.520.</t>
  </si>
  <si>
    <t>CONSERTO DE BANHO MARIA PARA AQUECIMENTO, MARCA ELETROSPITALAR, MODELO ELO 200/ELO 201; NÚMERO DE SÉRIE, A120719,  PATRIMÔNIO:  GDF 958.519.</t>
  </si>
  <si>
    <t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t>
  </si>
  <si>
    <t>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t>
  </si>
  <si>
    <t>LUVA NITRÍLICA P</t>
  </si>
  <si>
    <t>LUVA NITRÍLICA M</t>
  </si>
  <si>
    <t>LUVA NITRÍLICA G</t>
  </si>
  <si>
    <t>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t>
  </si>
  <si>
    <t>PRIMEIRA LINHA (878)</t>
  </si>
  <si>
    <t>108/2019</t>
  </si>
  <si>
    <t>109/2019</t>
  </si>
  <si>
    <t>Fones: (61) 2017-1821  -  CNPJ: 00.394.700/0006-12</t>
  </si>
  <si>
    <t>Fones: (61) 2017-1821 -  CNPJ: 00.394.700/0006-12</t>
  </si>
  <si>
    <t>Fones: (61) 2017-1821</t>
  </si>
  <si>
    <t>LAMPADA XENOPHOT HLX</t>
  </si>
  <si>
    <t>FCI04</t>
  </si>
  <si>
    <t>CONSERTO de Foco cirúrgico de teto, marca Maquet, Blue 80/80, patrimônio 960.937</t>
  </si>
  <si>
    <t>112/2019</t>
  </si>
  <si>
    <t>FARMATEX DO BRASIL</t>
  </si>
  <si>
    <t>FARMATEX DO BRASIL (703448)</t>
  </si>
  <si>
    <t>23.807-4</t>
  </si>
  <si>
    <t>Erika Ranieri</t>
  </si>
  <si>
    <t>CITOPHARMA (701352)</t>
  </si>
  <si>
    <t>118/2019</t>
  </si>
  <si>
    <t>DATA</t>
  </si>
  <si>
    <r>
      <t xml:space="preserve">SALDO BRB
</t>
    </r>
    <r>
      <rPr>
        <b/>
        <sz val="8"/>
        <rFont val="Calibri"/>
        <family val="2"/>
      </rPr>
      <t>( CC + CDB )</t>
    </r>
  </si>
  <si>
    <r>
      <t xml:space="preserve">A PAGAR
</t>
    </r>
    <r>
      <rPr>
        <b/>
        <sz val="8"/>
        <rFont val="Calibri"/>
        <family val="2"/>
      </rPr>
      <t>(Matriz)</t>
    </r>
  </si>
  <si>
    <r>
      <t xml:space="preserve">Disponível
</t>
    </r>
    <r>
      <rPr>
        <b/>
        <sz val="8"/>
        <rFont val="Calibri"/>
        <family val="2"/>
      </rPr>
      <t>(BRB - A pagar)</t>
    </r>
  </si>
  <si>
    <r>
      <t xml:space="preserve">Saldo PDPAS
</t>
    </r>
    <r>
      <rPr>
        <b/>
        <sz val="8"/>
        <rFont val="Calibri"/>
        <family val="2"/>
      </rPr>
      <t>(Controle Financeiro)</t>
    </r>
  </si>
  <si>
    <r>
      <t xml:space="preserve">Rendimento
</t>
    </r>
    <r>
      <rPr>
        <b/>
        <sz val="8"/>
        <rFont val="Calibri"/>
        <family val="2"/>
      </rPr>
      <t>(Disponível - Saldo PDPAS)</t>
    </r>
  </si>
  <si>
    <t>SUBSTITUIDO PELO CAN05, POIS O OUTRO CÓDIGO ERA MAIS ANTIGO</t>
  </si>
  <si>
    <t>CEN06</t>
  </si>
  <si>
    <t>CEN07</t>
  </si>
  <si>
    <t>Conserto de CENTRÍFUGA FANEN MODELO 206 BL II SÉRIE AAK-Nº. SÉRIE 27943 PATRIMÔNIO N º. 1152309.</t>
  </si>
  <si>
    <t>Conserto de Centrífuga FANEN Mod. 206 BL II Série TAE Nº. SÉRIE 47386 PATRIMÔNIO Nº. 668138</t>
  </si>
  <si>
    <t xml:space="preserve">Papel Termossensível para CARDIOTOCÓGRAFO GE Modelo Série 170 da Corometris (GE Medical Systems), quadriculado com dobra em Z, escala da frequência cardíaca 30-240 BPM (Ref. 4305 AAO/CAO). Embalagem contendo dados de identificação, procedência, prazo de validade e que garanta a integridade do produto.  Indicado para o uso na testagem do bem-estar do feto durante o pré parto, com recomendação expressa para gestações de alto risco e na rotina de monitorização, não invasiva durante o trabalho de parto.  Forma de apresentação: BLOCO de folhas. </t>
  </si>
  <si>
    <t>PAPEL TERMOSSENSIVEL CARDIOTOCOGRAFO</t>
  </si>
  <si>
    <t>ECG02</t>
  </si>
  <si>
    <r>
      <t xml:space="preserve">Responsável pelo aceite: </t>
    </r>
    <r>
      <rPr>
        <b/>
        <sz val="10"/>
        <color theme="1"/>
        <rFont val="Times New Roman"/>
        <family val="1"/>
      </rPr>
      <t>Rodrigo Ribeiro Tenório - Matr. 1691497x, Chefe do Núcleo de Engenharia Clínica e Física Médica.</t>
    </r>
  </si>
  <si>
    <t>123/2019</t>
  </si>
  <si>
    <t xml:space="preserve">PANO MULTIUSO PARA LIMPEZA DE SUPERFÍCIES E BANHO NO LEITO. Aplicação (finalidade): Destinado à limpeza concorrente e terminal de superfícies e bancadas, mobiliários e equipamentos, além de ser utilizado para higiene corporal em pacientes restritos ao leito. Composição: no mínimo 50% de viscose. Tamanho/Capacidade: apresentação em rolo de 300 m de comprimento e 0,30 m de largura (aproximadamente) e picotado a cada 50 cm. Característicos adicionais: Descartável, absorvente, gramatura mínima de 40g/m2; Cor branca. Processo de esterilização: não estéril. Unidade de estoque: Rolo. </t>
  </si>
  <si>
    <t>PANO MULTIUSO</t>
  </si>
  <si>
    <t>BICARBONATO DE SODIO</t>
  </si>
  <si>
    <t>BROMOPRIDA</t>
  </si>
  <si>
    <t>HIDROCORTISONA</t>
  </si>
  <si>
    <t>126/2019</t>
  </si>
  <si>
    <t>128/2019</t>
  </si>
  <si>
    <t>FECHADURA BICO DE PAPAGAIO REF.4225 1</t>
  </si>
  <si>
    <t>FERCHADURAR BICO PAPAGAIO</t>
  </si>
  <si>
    <t>FECHADURA, Material: metal cromado, Aplicação: porta de banheiro, Características Adicionais: cilindro com chave fixa ,maçaneta simples</t>
  </si>
  <si>
    <t xml:space="preserve">FECHADURA </t>
  </si>
  <si>
    <t>FECHADURA, Material: metal, Aplicação: porta externa, Características Adicionais: com cilindro , maçaneta simp</t>
  </si>
  <si>
    <t>FECHADURAR PARA DIVISORIA</t>
  </si>
  <si>
    <t>FECHADURA TUBULAR CROMADA TIPO BOLA PARA DIVISÓRIAS, COMPLETA COM DUAS CHAVES</t>
  </si>
  <si>
    <t>FECHADURA PARA GAVETA</t>
  </si>
  <si>
    <r>
      <t xml:space="preserve">Informações técnicas: </t>
    </r>
    <r>
      <rPr>
        <b/>
        <sz val="16"/>
        <color rgb="FFFF0000"/>
        <rFont val="Times New Roman"/>
        <family val="1"/>
      </rPr>
      <t xml:space="preserve">  Rodrigo Ribeiro Tenório - Matr. 1691497x, Chefe do Núcleo de Engenharia Clínica e Física Médica no Gama / Celular -&gt; 9 9639-0162, email necfmgama@gmail.com</t>
    </r>
  </si>
  <si>
    <t>END01</t>
  </si>
  <si>
    <t>CONSERTO APARELHO Endoscópio, Marca: OLYMPUS, Modelo/Série: GIF0150 2002585 Patrimônio nº. 154742</t>
  </si>
  <si>
    <t>BIOTEC PRODUTOS HOSPITALARES LTDA</t>
  </si>
  <si>
    <t>MAURICIO ARRUDA / FABIANA</t>
  </si>
  <si>
    <t>07.204.591/0001-68</t>
  </si>
  <si>
    <t>1.204-1</t>
  </si>
  <si>
    <t>29.379-2</t>
  </si>
  <si>
    <t>BIOTEC</t>
  </si>
  <si>
    <t>RODA DE APOIO, Aplicação: Empilhadeira. Informações Complementares(HRG) RODA PNEUMÁTICA COM PNEU 350 X 8" - 4 LONAS. C/ ROLAMENTO DE ROLETE P/ EIXO 1" - 25,40 MM. CAPACIDADE DE CARGA DO PNEU - 200 KG. DIAMETRO EXTERNO DA RODA - 380 MM. LARGURA DO CUBO DA RODA - 76 MM</t>
  </si>
  <si>
    <t>Roda de Apoio</t>
  </si>
  <si>
    <t>FILTRO ANTIBACTERIANO, embalado individualmente para uso em espirômetro, compatível com aparelhos de função pulmonar, marca COSMED, modelo Pony FX</t>
  </si>
  <si>
    <t>FILTRO ANTIBACTERIANO</t>
  </si>
  <si>
    <t>COLCHÃO HOSPITALAR,DENSIDADE: 33, MEDIDA: APROXIMADAMENTE 188 X 79 X 14 CM, CARACTERÍSTICAS MÍNIMAS: REVESTIMENTO IMPERMEÁVEL, LAVÁVEL, COM ZÍPER E RESPIRO. COR AZUL MARINHO</t>
  </si>
  <si>
    <t>COLCHÃO HOSPITALAR</t>
  </si>
  <si>
    <t>CORREDIÇA PARA GAVETA, Material : metal, Tipo: TP-02, comprimento: 50 cm , apresentação: telescópica com esfera.</t>
  </si>
  <si>
    <t>CORREDIÇA PARA GAVETA</t>
  </si>
  <si>
    <t>SISTEMA PARA PORTA DE CORRER</t>
  </si>
  <si>
    <t>SISTEMA P/ PORTA DE CORRER, com trilho e guia com máximo 6 metros</t>
  </si>
  <si>
    <t>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t>
  </si>
  <si>
    <t>BOCAL ADULTO DESCARTÁVEL PARA ESPIRÔMETRO, de papelão, embalado individualmente e plastificado para uso em espirômetro, compatível com aparelho de função pulmonar, marca COSMED, modelo pony FX. A empresa deverá apresentar amostra do item cotado.</t>
  </si>
  <si>
    <t>TORNEIRA DE PAREDE</t>
  </si>
  <si>
    <t>TORNEIRA DE PAREDE, com misturador, bico móvel, acionada com o cotovelo. Aplicação: Lavagem das mãos. Material: Metal. Prazo de Validade: Indeterminado. Unidade de Estoque: Unidade</t>
  </si>
  <si>
    <t>REPARO VALVULA DESCARGA</t>
  </si>
  <si>
    <t>REPARO VÁLVULA DESCARGA, Apresentação: completo, Modelo: hidramax ref 2550|Código do Item: 3.3.90.30.24.07.0025.000007-01</t>
  </si>
  <si>
    <t>TORNEIRA BICA MOVEL</t>
  </si>
  <si>
    <t>TORNEIRA BICA MOVEL C50 METAL 1</t>
  </si>
  <si>
    <t>SIFAO CAIXA SIFONADA</t>
  </si>
  <si>
    <t>SIFÃO CAIXA SIFONADA,Material: PVC, Bitola: 1 pol x 40 mm|</t>
  </si>
  <si>
    <t>POLITEC IMPORTAÇÃO E COMÉRCIO LTDA</t>
  </si>
  <si>
    <t>1626-8</t>
  </si>
  <si>
    <t>3348-0</t>
  </si>
  <si>
    <t>POLITEC</t>
  </si>
  <si>
    <t>419.627-9</t>
  </si>
  <si>
    <t>252</t>
  </si>
  <si>
    <t>22.502.125/0001-52</t>
  </si>
  <si>
    <t>MALHA TUBULAR</t>
  </si>
  <si>
    <t>MALHA TUBULAR DE ALGODÃO MEDINDO 04 CM X 25 M. Aplicação: protege a pele do paciente do contato direto com o gesso sintético, Material: tecido de malha 100% algodão, Tamanho/Capacidade: 04cm (L) x 25m (C), Unidade De Fornecimento: rolo com 04cm (L) x 25m (C)".</t>
  </si>
  <si>
    <t>MALHA TUBULAR MEDINDO 08 CM X 25 M,Aplicação: protege a pele do paciente do contato direto com o gesso sintético, Material: tecido de fibras sintéticas, Tamanho/Cap acidade: 08cm (L) x 25m (C), Unidade De Fornecimento: rolo com 08cm (L) x 25m (C)</t>
  </si>
  <si>
    <t>MALHA TUBULAR MEDINDO 20 CM X 25 M,Aplicação: protege a pele do paciente do contato direto com o gesso sintético, Material: tecido de fibras sintéticas, Tamanho/Capacidade: 20cm (L Tamanho/Capacidade: 20cm (L) x 25m (C),Unidade De Fornecimento: rolo com  20cm (L) x 25m (C)</t>
  </si>
  <si>
    <t>GLICOSE ANIDRA</t>
  </si>
  <si>
    <t>GLICOSE ANIDRA SABOR LIMAO 75G SACHET 1</t>
  </si>
  <si>
    <t>ALOPURINOL</t>
  </si>
  <si>
    <t>ALOPURINOL COMPRIMIDO 100 MG</t>
  </si>
  <si>
    <t>GLICAZIDA</t>
  </si>
  <si>
    <t>GLICLAZIDA COMPRIMIDO DE LIBERACAO PROLONGADA 60 MG</t>
  </si>
  <si>
    <t>NITROFURANTOINA</t>
  </si>
  <si>
    <t>NITROFURANTOINA CAPSULA 100 MG</t>
  </si>
  <si>
    <t>COMPENSADO, Material: sumauma, Comprimento: 2,20 m, Largura: 1,60 m, Espessura: 0,004 m, Características Adicionais: 1ª qualidade, sem revestimento de madeira, Tipo: extra</t>
  </si>
  <si>
    <t>COMPENSADO, Material: sumauma, Comprimento: 2,20 m, Largura: 1,60 m, Espessura: 0,006 m, Características Adicionais: 1ª qualidade</t>
  </si>
  <si>
    <t>COMPENSADO, Material: MDF, Comprimento: 2,75 m, Largura: 1,83 m, Espessura: 0,018 m, Características Adicionais: 1ª qualidade, com 02 faces, Cor: branca</t>
  </si>
  <si>
    <t>PARAFUSO AA</t>
  </si>
  <si>
    <t>PARAFUSO AA C/C 3,5X16MM</t>
  </si>
  <si>
    <t>PARAFUSO P/MDF</t>
  </si>
  <si>
    <t>PARAFUSO PARA MDF MEDINDO 4,5MM X 45MM</t>
  </si>
  <si>
    <t>CORREDIÇA PARA GAVETA, Material: metal, Comprimento: 45 cm.</t>
  </si>
  <si>
    <t>RODIZIO DE 4"</t>
  </si>
  <si>
    <t>RODIZIO DE 4'' C/FREIO E GIRATORIO MARCA RODICAR. 1</t>
  </si>
  <si>
    <t>RODIZIO DE 4'' S/FREIO E FIXO MARCA RODICAR. 1</t>
  </si>
  <si>
    <t>TOP ODONTO (PATRICIA RIBEIRO FEITOSA ME)</t>
  </si>
  <si>
    <t>PATRICIA RIBEIRO FEITOSA</t>
  </si>
  <si>
    <t>0154-6</t>
  </si>
  <si>
    <t>6.885-3</t>
  </si>
  <si>
    <t>TOP ODONTO</t>
  </si>
  <si>
    <t>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t>
  </si>
  <si>
    <t>CAMILA ALVES</t>
  </si>
  <si>
    <t>SULFAMETOXAZOL +TRIMETOPRIMA SUSPENSAO ORAL (200 +40 MG)/5ML FRASCO 100 ML COM DOSEADOR</t>
  </si>
  <si>
    <t>SULFADIAZINA COMPRIMIDO 500 MG</t>
  </si>
  <si>
    <t>SULFADIAZINA</t>
  </si>
  <si>
    <t>SULFAMETOXAZOL</t>
  </si>
  <si>
    <t>GEL01</t>
  </si>
  <si>
    <t>Conserto de Geladeira para medicamentos, marca Electrolux, modelo DF 38A , nº patrimônio 743587, nº de série 94600097.</t>
  </si>
  <si>
    <t>172/2019</t>
  </si>
  <si>
    <t>RKP ENGENHARIA CLINICA LTDA</t>
  </si>
  <si>
    <t>SAMIRA SANGE</t>
  </si>
  <si>
    <t>13.985.144/0001-96</t>
  </si>
  <si>
    <t>RKP</t>
  </si>
  <si>
    <t>0069</t>
  </si>
  <si>
    <t>19788-7</t>
  </si>
  <si>
    <t>LUVA CIRÚRGICA ESPECIAL N° 7,0 ISENTA DE LÁTEX. Aplicação: para servidores portadores de processos alérgicos ao contato direto com o látex. Características Adicionais: Estéril, isenta de látex, com ausência de pó lubrificante a base de amido, com bainha e formato anatômico, material íntegro, sem manchas, boa resistência ao calçar, devidamente identificadas, dobradas de acordo com o padrão hospitalar, com punho de no mínimo de 25 cm, acondicionadas em envelope interno separando a luva direita e esquerda e devidamente identificado na parte externa. Embalagem externa em material que assegure a esterilidade do produto sob condições adequadas de manuseio e estocagem, deve permitir abertura que promova transferência asséptica sem rasgar. Deve constar o tamanho, o tipo de esterilização, o lote, a data de fabricação e de validade, o número do C. A. Apresentação: embalagem individual acondicionada em caixa. Unidade de estoque: par.</t>
  </si>
  <si>
    <t>LUVA CIRÚRGICA ESPECIAL N° 8,0 ISENTA DE LÁTEX. Aplicação: para servidores portadores de processos alérgicos ao contato direto com o látex. Características Adicionais: Estéril, isenta de látex, com ausência de pó lubrificante a base de amido, com bainha e formato anatômico, material íntegro, sem manchas, boa resistência ao calçar, devidamente identificadas, dobradas de acordo com o padrão hospitalar, com punho de no mínimo de 25 cm, acondicionadas em envelope interno separando a luva direita e esquerda e devidamente identificado na parte externa. Embalagem externa em material que assegure a esterilidade do produto sob condições adequadas de manuseio e estocagem, deve permitir abertura que promova transferência asséptica sem rasgar. Deve constar o tamanho, o tipo de esterilização, o lote, a data de fabricação e de validade, o número do C. A. Apresentação: embalagem individual acondicionada em caixa. Unidade de estoque: par.</t>
  </si>
  <si>
    <t>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t>
  </si>
  <si>
    <t>DETERGENTE BIODEGRADAVEL DESENCROSTANTE P/MAT CIRURGICO, em pó para limpeza de artigos para saúde.Aplicação: Na pré limpeza de instrumentais, utensílios e vidrarias que estejam impregnados de matéria orgânica e que serão submetidos a esterilização. Composição: a base de fosfato trissódico. Apresentação em frasco/ pote. Unidade de estoque: Kg</t>
  </si>
  <si>
    <t>Conserto da Serras de gesso, marca Nevoni, modelo 18618B patrimônio 1051612,nº de série 27883</t>
  </si>
  <si>
    <t>SEG06</t>
  </si>
  <si>
    <t>SEG07</t>
  </si>
  <si>
    <t>SEG08</t>
  </si>
  <si>
    <t>SEG09</t>
  </si>
  <si>
    <t>Conserto da Serras de gesso, marca Nevoni, modelo 18618B patrimônio 1051493, nº série 27987</t>
  </si>
  <si>
    <t>Conserto da Serras de gesso, marca Nevoni, modelo 18618B patrimônio 1051525, nº série 27886</t>
  </si>
  <si>
    <t>Conserto da Serras de gesso, marca Nevoni, modelo 18618B patrimônio 1051550, sem nº série</t>
  </si>
  <si>
    <t>LÂMPADA UNIVERSAL, Aplicação: para uso em laringoscópio, Tensão: 2,5 Volts. Rosca Grossa, Características Adicionais: uso compatível com todas as marcas de laringoscópio.</t>
  </si>
  <si>
    <t>11.113.880/0001-29</t>
  </si>
  <si>
    <t>2980</t>
  </si>
  <si>
    <t>15087-0</t>
  </si>
  <si>
    <t>CTA</t>
  </si>
  <si>
    <t>TOBRAMICINA Solução oftálmica 0,3 % FRASCO 5 ML</t>
  </si>
  <si>
    <t>TOP DESCARTÁVEIS (M.F PIRES - ME)</t>
  </si>
  <si>
    <t>HARLEY BORGES</t>
  </si>
  <si>
    <t>27.842.225/0001-41</t>
  </si>
  <si>
    <t>wlservicosvisual@gmail.com</t>
  </si>
  <si>
    <t/>
  </si>
  <si>
    <t>elisangela@winnerbrasil.com</t>
  </si>
  <si>
    <t>WINNER - ELISANGELA</t>
  </si>
  <si>
    <t>guedes.elis@ig.com.br</t>
  </si>
  <si>
    <t>WINNER - ELIS</t>
  </si>
  <si>
    <t>catarina.winnerbrasil@gmail.com</t>
  </si>
  <si>
    <t>WINNER - CATARINA</t>
  </si>
  <si>
    <t>vendas.winnerbrasil@gmail.com</t>
  </si>
  <si>
    <t>vendashospitalar2@werbran.com.br</t>
  </si>
  <si>
    <t>vendashospitalar1@werbran.com.br</t>
  </si>
  <si>
    <t>marcia.pacheco@vyttra.com</t>
  </si>
  <si>
    <t>Vyttra Diagnosticos</t>
  </si>
  <si>
    <t>francivaldo@vulcaodaborracha.com.br</t>
  </si>
  <si>
    <t>silvanarochalima@hotmail.com</t>
  </si>
  <si>
    <t>vivamed@uol.com.br</t>
  </si>
  <si>
    <t>VIVAMED</t>
  </si>
  <si>
    <t>vendas03@vivamedicamentos.com.br</t>
  </si>
  <si>
    <t>VIVA MEDICAMENTOS 3</t>
  </si>
  <si>
    <t>vendas02@vivamedicamentos.com.br</t>
  </si>
  <si>
    <t>VIVA MEDICAMENTOS 2</t>
  </si>
  <si>
    <t>licitacao01@vivamedicamentos.com.br</t>
  </si>
  <si>
    <t>Viva Medicamentos</t>
  </si>
  <si>
    <t>vittamed.df@gmail.com</t>
  </si>
  <si>
    <t>vendas@vitamedical.com.br</t>
  </si>
  <si>
    <t>viratec@viratec-rj.com.br</t>
  </si>
  <si>
    <t>VIRATEC</t>
  </si>
  <si>
    <t>alexandre@villifarm.com.br</t>
  </si>
  <si>
    <t>wellington@veton.com.br</t>
  </si>
  <si>
    <t>VETON</t>
  </si>
  <si>
    <t>ludimila@veton.com.br</t>
  </si>
  <si>
    <t>veton@veton.com.br</t>
  </si>
  <si>
    <t>andrea@veracruzhospitalar.com.br</t>
  </si>
  <si>
    <t>vendasriachotintas@gmail.com</t>
  </si>
  <si>
    <t>a-unitec@brturbo.com.br</t>
  </si>
  <si>
    <t>priscila.goncalves@uniscience.com.br</t>
  </si>
  <si>
    <t>UNISCIENCE</t>
  </si>
  <si>
    <t>rzica@uniaoquimica.com.br</t>
  </si>
  <si>
    <t>UNIAO QUIMICA - RICARDO</t>
  </si>
  <si>
    <t>myramos@uniaoquimica.com.br</t>
  </si>
  <si>
    <t>UNIAO QUIMICA - MARIA</t>
  </si>
  <si>
    <t>ebarros@uniaoquimica.com.br</t>
  </si>
  <si>
    <t>UNIAO QUIMICA - ERIKA</t>
  </si>
  <si>
    <t>ebarauna@uniaoquimica.com.br</t>
  </si>
  <si>
    <t>UNIAO QUIMICA - EMANUELLA</t>
  </si>
  <si>
    <t>aodiniz@uniaoquimica.com.br</t>
  </si>
  <si>
    <t>UNIAO QUIMICA - ALEX</t>
  </si>
  <si>
    <t>marcela.uniaoquimica@gmail.com</t>
  </si>
  <si>
    <t>UNIAO QUIMICA - MARCELLA</t>
  </si>
  <si>
    <t>tsl.materiais@hotmail.com</t>
  </si>
  <si>
    <t>triaccientifica@yahoo.com.br</t>
  </si>
  <si>
    <t>TRIACCIENTICA@YAHOO.COM.BR</t>
  </si>
  <si>
    <t>TRIAC</t>
  </si>
  <si>
    <t>brasilia@toshibamedical.com.br</t>
  </si>
  <si>
    <t>TOSHIBA MEDICAL</t>
  </si>
  <si>
    <t>maraiza.silva@grupotopmed.com.br</t>
  </si>
  <si>
    <t>TOPMEDLAR - MARCILEIA</t>
  </si>
  <si>
    <t>marcileia.carvalho@grupotopmed.com.br</t>
  </si>
  <si>
    <t>vendasgo2@topmedhospitalar.com.br</t>
  </si>
  <si>
    <t>admtopdescartaveis@gmail.com</t>
  </si>
  <si>
    <t>TOP DESCARTÁVEIS</t>
  </si>
  <si>
    <t>vendasbsb1@tiradentesnet.com.br</t>
  </si>
  <si>
    <t>TIRADENTES</t>
  </si>
  <si>
    <t>atendimento@teknikabiomedica.com.br</t>
  </si>
  <si>
    <t>TEKNIKA BIOMÉDICA - GOOGLE</t>
  </si>
  <si>
    <t>joecilda@teknamed.com.br</t>
  </si>
  <si>
    <t>TEKNAMED</t>
  </si>
  <si>
    <t>tecnomedica@uol.com.br</t>
  </si>
  <si>
    <t>TECNOMEDICA</t>
  </si>
  <si>
    <t>tecneo.eletronica@gmail.com</t>
  </si>
  <si>
    <t>TECNEO</t>
  </si>
  <si>
    <t>tecmed.assistencia@gmail.com</t>
  </si>
  <si>
    <t>tca.cotacao@hotmail.com</t>
  </si>
  <si>
    <t>basso.sarah@synthes.com</t>
  </si>
  <si>
    <t>SYNTHES - SARAH</t>
  </si>
  <si>
    <t>sac.synthes@synthes.com</t>
  </si>
  <si>
    <t>almeida.leticia@synthes.com</t>
  </si>
  <si>
    <t>SYNTHES - LETICIA</t>
  </si>
  <si>
    <t>quinelato.eduardo@synthes.com</t>
  </si>
  <si>
    <t>SYNTHES - EDUARDO</t>
  </si>
  <si>
    <t>srss.gab@gmail.com</t>
  </si>
  <si>
    <t>SUPERNTENDENDICA</t>
  </si>
  <si>
    <t>vendas09@supermedica.com.br</t>
  </si>
  <si>
    <t>SUPERMEDICA - CAMILA</t>
  </si>
  <si>
    <t>m.socorro@strattner.com.br</t>
  </si>
  <si>
    <t>gilsonsantostj@hotmail.com</t>
  </si>
  <si>
    <t>STJ</t>
  </si>
  <si>
    <t>representacoesdf@yahoo.com.br</t>
  </si>
  <si>
    <t>SR - SALDANHA E RODRIGUES</t>
  </si>
  <si>
    <t>SÓ QUIMICA</t>
  </si>
  <si>
    <t>sitecmedical@hotmail.com</t>
  </si>
  <si>
    <t>licitacoes.br@siemens.com</t>
  </si>
  <si>
    <t>SIEMENS</t>
  </si>
  <si>
    <t>escritorio@papelariarisk.com.br</t>
  </si>
  <si>
    <t>vendas@papelariarisk.com.br</t>
  </si>
  <si>
    <t>rt1@suturas.com.br</t>
  </si>
  <si>
    <t>SHALON - RT</t>
  </si>
  <si>
    <t>limaleila@hotmail.com</t>
  </si>
  <si>
    <t>SHALON - LEILA</t>
  </si>
  <si>
    <t>licitacao@suturas.com.br</t>
  </si>
  <si>
    <t>sidney@sgdistribuidorahospitalar.com.br</t>
  </si>
  <si>
    <t>SG DISTRIBUIDORA - SIDNEY</t>
  </si>
  <si>
    <t>sg@sgdistribuidorahospitalar.com.br</t>
  </si>
  <si>
    <t>jdlumafer@gmail.com</t>
  </si>
  <si>
    <t>SERVICOS</t>
  </si>
  <si>
    <t>luizpereira63@gmail.com</t>
  </si>
  <si>
    <t>s.hamilton@ig.com.br</t>
  </si>
  <si>
    <t>ronibarrada@ig.com.br</t>
  </si>
  <si>
    <t>ronaldosamya@gmail.com</t>
  </si>
  <si>
    <t>joseadelson@uol.com.br</t>
  </si>
  <si>
    <t>jodef1@yahoo.com.br</t>
  </si>
  <si>
    <t>gsm.g4@hotmail.com</t>
  </si>
  <si>
    <t>brunobarretobh@hotmail.com</t>
  </si>
  <si>
    <t>assistenciamanutec@ig.com.br</t>
  </si>
  <si>
    <t>assistenciamanutec@hotmail.com</t>
  </si>
  <si>
    <t>armandopombo@gmail.com</t>
  </si>
  <si>
    <t>sirleimaia@sercomtel.com.br</t>
  </si>
  <si>
    <t>SERCOMTEL</t>
  </si>
  <si>
    <t>j.s@sercomtel.com.br</t>
  </si>
  <si>
    <t>semedequipamentos@gmail.com</t>
  </si>
  <si>
    <t>saudedf@uol.com.br</t>
  </si>
  <si>
    <t>SAÚDE COMÉRCIO</t>
  </si>
  <si>
    <t>contato@saobernardodf.com.br</t>
  </si>
  <si>
    <t>SÃO BERNARDO 2</t>
  </si>
  <si>
    <t>claudiney@saobernardodf.com.br</t>
  </si>
  <si>
    <t>daniel@saobernardodf.com.br</t>
  </si>
  <si>
    <t>São Bernardo</t>
  </si>
  <si>
    <t>SANTE 2</t>
  </si>
  <si>
    <t>carolina.menezes@gruposante.com.br</t>
  </si>
  <si>
    <t>SANTE</t>
  </si>
  <si>
    <t>vendas3@sabie.com.br</t>
  </si>
  <si>
    <t>SABIE 3</t>
  </si>
  <si>
    <t>vendas1@sabie.com.br</t>
  </si>
  <si>
    <t>SABIE</t>
  </si>
  <si>
    <t>001simone@gmail.com</t>
  </si>
  <si>
    <t>RV GRAFICA - SIMONE</t>
  </si>
  <si>
    <t>rvgraficabsb@gmail.com</t>
  </si>
  <si>
    <t>RV GRÃFICA</t>
  </si>
  <si>
    <t>vendasrt3@gmail.com</t>
  </si>
  <si>
    <t>opme@rxhospitalar.com.br</t>
  </si>
  <si>
    <t>vendas6@rxhospitalar.com.br</t>
  </si>
  <si>
    <t>vendas14@rqtecnologia.com.br</t>
  </si>
  <si>
    <t>samira@rkpengenharia.com.br</t>
  </si>
  <si>
    <t>rkminstalacao@terra.com.br</t>
  </si>
  <si>
    <t>RKM INSTALAÇÃO</t>
  </si>
  <si>
    <t>rkmassistencia@gmail.com</t>
  </si>
  <si>
    <t>joycedipaula@yahoo.com.br</t>
  </si>
  <si>
    <t>RIOQUIMICA - JOYCE</t>
  </si>
  <si>
    <t>alfeno@hotmail.com</t>
  </si>
  <si>
    <t>RIOQUIMICA - ALFENO</t>
  </si>
  <si>
    <t>licitacoes1@rioquimica.com.br</t>
  </si>
  <si>
    <t>RIOQUÃMICA</t>
  </si>
  <si>
    <t>rafaela.arruda@rioclarense.com.br</t>
  </si>
  <si>
    <t>RIOCLARENSE - RAFAELA</t>
  </si>
  <si>
    <t>claudio@rcvendas.com.br</t>
  </si>
  <si>
    <t>RIOCLARENSE - CLAUDIO</t>
  </si>
  <si>
    <t>adriana.perinotto@rioclarense.com.br</t>
  </si>
  <si>
    <t>RIOCLARENSE - ADRIANA</t>
  </si>
  <si>
    <t>sac@rimtec.com.br</t>
  </si>
  <si>
    <t>rimtec@hotmail.com</t>
  </si>
  <si>
    <t>VALPARAISO@RIACHOTINTAS.COM.BR</t>
  </si>
  <si>
    <t>vendas@rhoss.com.br</t>
  </si>
  <si>
    <t>rhoss@rhoss.com.br</t>
  </si>
  <si>
    <t>RHOSS</t>
  </si>
  <si>
    <t>contato@contatopro.com.br</t>
  </si>
  <si>
    <t>RGN - CONTATO</t>
  </si>
  <si>
    <t>marcelovendas05@outlook.com</t>
  </si>
  <si>
    <t>jonatasvieiraassis@gmail.com</t>
  </si>
  <si>
    <t>REMORA</t>
  </si>
  <si>
    <t>licitacao@ravaembalagens.com.br</t>
  </si>
  <si>
    <t>RAVA Embalagens</t>
  </si>
  <si>
    <t>camila.samara@ravaembalagens.com.br</t>
  </si>
  <si>
    <t>RAVA CAMILA</t>
  </si>
  <si>
    <t>radion@radion.com.br</t>
  </si>
  <si>
    <t>RADION</t>
  </si>
  <si>
    <t>vendas@qualimed.bio.br</t>
  </si>
  <si>
    <t>Qualimed</t>
  </si>
  <si>
    <t>valdivino@qmedonline.com.br</t>
  </si>
  <si>
    <t>QMEDONLINE</t>
  </si>
  <si>
    <t>qmed@qmedonline.com.br</t>
  </si>
  <si>
    <t>vendas2@qeelquimica.com.br</t>
  </si>
  <si>
    <t>QEEL QUIMICA</t>
  </si>
  <si>
    <t>publicart.df@hotmail.com</t>
  </si>
  <si>
    <t>contato.publicart@gmail.com</t>
  </si>
  <si>
    <t>crisleidesilva@protec.com.br</t>
  </si>
  <si>
    <t>priscilachagas@protec.com.br</t>
  </si>
  <si>
    <t>PROTEC - PRISCILA</t>
  </si>
  <si>
    <t>carina@protec.com.br</t>
  </si>
  <si>
    <t>PROTEC - CARINA</t>
  </si>
  <si>
    <t>paulaoayres@prosystemdf.com.br</t>
  </si>
  <si>
    <t>pauloalcantara@prosystemdf.com.br</t>
  </si>
  <si>
    <t>PROSYSTEM</t>
  </si>
  <si>
    <t>rosana@promedical.com.br</t>
  </si>
  <si>
    <t>PROMEDICAL - ROSANA</t>
  </si>
  <si>
    <t>juliana@promedical.com.br</t>
  </si>
  <si>
    <t>PROMEDICAL - JULIANA</t>
  </si>
  <si>
    <t>sandra@promedh.com.br</t>
  </si>
  <si>
    <t>prodoctorassistencia@gmail.com</t>
  </si>
  <si>
    <t>PRODOCTORASSISTENCIA</t>
  </si>
  <si>
    <t>info@proaguafiltros.com.br</t>
  </si>
  <si>
    <t>PROAGUA FILTROS</t>
  </si>
  <si>
    <t>vendasprosaude1@gmail.com</t>
  </si>
  <si>
    <t>PRÓ -SAÚDE</t>
  </si>
  <si>
    <t>anselmodepaula@1linha.com.br</t>
  </si>
  <si>
    <t>PRIMEIRA LINHA - ANSELMO</t>
  </si>
  <si>
    <t>juliopuccinelli@1linha.com.br</t>
  </si>
  <si>
    <t>vendas@1linha.com.br</t>
  </si>
  <si>
    <t>compras.primedistribuidora@hotmail.com</t>
  </si>
  <si>
    <t>Prime Hospitalar</t>
  </si>
  <si>
    <t>premiervendas01@hotmail.com</t>
  </si>
  <si>
    <t>Premier Marcos Buritizal</t>
  </si>
  <si>
    <t>pregao2@polarfix.com.br</t>
  </si>
  <si>
    <t>POLARFIX 3</t>
  </si>
  <si>
    <t>editais@polarfix.com.br</t>
  </si>
  <si>
    <t>POLARFIX 2</t>
  </si>
  <si>
    <t>faturamentolicitacao@polarfix.com.br</t>
  </si>
  <si>
    <t>pointerhospitalar@gmail.com</t>
  </si>
  <si>
    <t>licitadoc@pointsuture.com.br</t>
  </si>
  <si>
    <t>teunisio.silva@pmh.com.br</t>
  </si>
  <si>
    <t>PMH - TEUNISIO</t>
  </si>
  <si>
    <t>monica.magalhaes@pmh.com.br</t>
  </si>
  <si>
    <t>PMH - MONICA</t>
  </si>
  <si>
    <t>leda.vidal@pmh.com.br</t>
  </si>
  <si>
    <t>PMH - LEDA</t>
  </si>
  <si>
    <t>francisco.reis@pmh.com.br</t>
  </si>
  <si>
    <t>PMH - FRANCISCO</t>
  </si>
  <si>
    <t>claudia.souza@pmh.com.br</t>
  </si>
  <si>
    <t>PMH - CLAUDIA</t>
  </si>
  <si>
    <t>anna.matos@pmh.com.br</t>
  </si>
  <si>
    <t>PMH - ANNA</t>
  </si>
  <si>
    <t>claudia.nunes@plastlabor.com.br</t>
  </si>
  <si>
    <t>comercial@plantaomedical.med.br</t>
  </si>
  <si>
    <t>PLANTÃO MEDICAL</t>
  </si>
  <si>
    <t>licitacoes@pharmedice.com.br</t>
  </si>
  <si>
    <t>josemar@pharmatex.com.br</t>
  </si>
  <si>
    <t>kelvia.mansur@hotmail.com</t>
  </si>
  <si>
    <t>PHARMAC - KELVIA</t>
  </si>
  <si>
    <t>carolina.pharmac@gmail.com</t>
  </si>
  <si>
    <t>PHARMAC - CAROLINA</t>
  </si>
  <si>
    <t>PERFIL HOSPITALAR</t>
  </si>
  <si>
    <t>pedagogica.com@gmail.com</t>
  </si>
  <si>
    <t>PEDAGOGICA</t>
  </si>
  <si>
    <t>liderpapelaria@gmail.com</t>
  </si>
  <si>
    <t>PAPELARIA LÃDER</t>
  </si>
  <si>
    <t>anilson.ramos2@gmail.com</t>
  </si>
  <si>
    <t>rogerioadm@ortop.com.br</t>
  </si>
  <si>
    <t>ORTOP - ROGERIO</t>
  </si>
  <si>
    <t>vendasortop4@ortop.com.br</t>
  </si>
  <si>
    <t>comercial@orionhc.com.br</t>
  </si>
  <si>
    <t>licitacao2@oregonfarmaceutica.com.br</t>
  </si>
  <si>
    <t>vendas@oltecmedical.com.br</t>
  </si>
  <si>
    <t>OLTEC - escovas</t>
  </si>
  <si>
    <t>odonto@quinelato.com.br</t>
  </si>
  <si>
    <t>ODONTO QUINELATO</t>
  </si>
  <si>
    <t>assitec@odontomedicarioverde.com.br</t>
  </si>
  <si>
    <t>ODONTO MEDICA RIO VERDE</t>
  </si>
  <si>
    <t>omplanalto@gmail.com</t>
  </si>
  <si>
    <t>ODONTO MÉDICA PLANALTO</t>
  </si>
  <si>
    <t>odontolimaltda@hotmail.com</t>
  </si>
  <si>
    <t>ODONTO LIMA LTDA</t>
  </si>
  <si>
    <t>vendasoctalab@hotmail.com</t>
  </si>
  <si>
    <t>novagoias.df@gmail.com</t>
  </si>
  <si>
    <t>NOVAGOIAS</t>
  </si>
  <si>
    <t>novaeletricacircuito@gmail.com</t>
  </si>
  <si>
    <t>NOVA ELÉTRICA</t>
  </si>
  <si>
    <t>nlph@hotmail.com</t>
  </si>
  <si>
    <t>thuane.melo@neomed.bio.br</t>
  </si>
  <si>
    <t>cm.nefrohrsm@gmail.com</t>
  </si>
  <si>
    <t>NEFROLOGIA - HRSM</t>
  </si>
  <si>
    <t>mundocouros@gmail.com</t>
  </si>
  <si>
    <t>multmed96@gmail.com</t>
  </si>
  <si>
    <t>MULTMED</t>
  </si>
  <si>
    <t>Mshospitalarlicitacao@gmail.com</t>
  </si>
  <si>
    <t>MS HOSPITALAR</t>
  </si>
  <si>
    <t>comercial@monteggia.com.br</t>
  </si>
  <si>
    <t>MONTEGGIA - Escovas</t>
  </si>
  <si>
    <t>mjcr.empresa@gmail.com</t>
  </si>
  <si>
    <t>MJCR</t>
  </si>
  <si>
    <t>jcxmedicamentos@gmail.com</t>
  </si>
  <si>
    <t>MISSNER</t>
  </si>
  <si>
    <t>gsouzat28@gmail.com</t>
  </si>
  <si>
    <t>MINASREY</t>
  </si>
  <si>
    <t>licitacao@micromedicalsaude.com.br</t>
  </si>
  <si>
    <t>contato@microlaser-go.com.br</t>
  </si>
  <si>
    <t>MICROLASER</t>
  </si>
  <si>
    <t>vendas.mi@terra.com.br</t>
  </si>
  <si>
    <t>MI</t>
  </si>
  <si>
    <t>diretoria.mi@terra.com.br</t>
  </si>
  <si>
    <t>luiz.oliveira@mfhospitalar.com.br</t>
  </si>
  <si>
    <t>MF HOSPITALAR - LUIZ</t>
  </si>
  <si>
    <t>vendas3388@gmail.com</t>
  </si>
  <si>
    <t>comercial@mfhospitalar.com.br</t>
  </si>
  <si>
    <t>MF Hospitalar</t>
  </si>
  <si>
    <t>mauricio@metropolehospitalar.com.br</t>
  </si>
  <si>
    <t>waunner@methabio.com.br</t>
  </si>
  <si>
    <t>METHABIO - waunner</t>
  </si>
  <si>
    <t>METHABIO - DEIVID</t>
  </si>
  <si>
    <t>debora@methabio.com.br</t>
  </si>
  <si>
    <t>METHABIO - DEBORA</t>
  </si>
  <si>
    <t>comercial@methabio.com.br</t>
  </si>
  <si>
    <t>META COMERCIAL</t>
  </si>
  <si>
    <t>mercantilaraguaia@terra.com.br</t>
  </si>
  <si>
    <t>MERCANTIL ARAGUAIA</t>
  </si>
  <si>
    <t>pythagoras@medtecnet.com.br</t>
  </si>
  <si>
    <t>MEDTECNET</t>
  </si>
  <si>
    <t>mesdstar.vendas@gmail.com</t>
  </si>
  <si>
    <t>MEDSTAR</t>
  </si>
  <si>
    <t>licitacoes2@medsonda.com.br</t>
  </si>
  <si>
    <t>MEDSONDA 2</t>
  </si>
  <si>
    <t>jotaray@gmail.com</t>
  </si>
  <si>
    <t>leandro.medsell@gmail.com</t>
  </si>
  <si>
    <t>MEDSELL</t>
  </si>
  <si>
    <t>vendas01@medlinn.com.br</t>
  </si>
  <si>
    <t>MEDLINN - VENDAS</t>
  </si>
  <si>
    <t>LICITACOES@MEDLINN.COM.BR</t>
  </si>
  <si>
    <t>MEDLINN - JOMARIO</t>
  </si>
  <si>
    <t>comercial@medlinn.com.br</t>
  </si>
  <si>
    <t>MEDLINN - COMERCIAL</t>
  </si>
  <si>
    <t>ademilton.dantas@gmail.com</t>
  </si>
  <si>
    <t>MEDLINN - ADMILTON</t>
  </si>
  <si>
    <t>MEDKONBRASILIA@HOTMAIL.COM</t>
  </si>
  <si>
    <t>MEDKONBRASILIA</t>
  </si>
  <si>
    <t>COMERCIAL@MEDITEQ.COM.BR</t>
  </si>
  <si>
    <t>MEDITEQ</t>
  </si>
  <si>
    <t>medicindf@gmail.com</t>
  </si>
  <si>
    <t>MEDICINDF</t>
  </si>
  <si>
    <t>ronaldo@medicalshopdf.com.br</t>
  </si>
  <si>
    <t>MEDICALSHOPDF</t>
  </si>
  <si>
    <t>deber@medicalshopdf.com.br</t>
  </si>
  <si>
    <t>comercial@medicalmed.com.br</t>
  </si>
  <si>
    <t>medicaltech.vendas@hotmail.com</t>
  </si>
  <si>
    <t>medicalshop_ronaldo@terra.com.br</t>
  </si>
  <si>
    <t>MEDICAL SHOP</t>
  </si>
  <si>
    <t>medicalpecas@hotmail.com</t>
  </si>
  <si>
    <t>lauromnm@gmail.com</t>
  </si>
  <si>
    <t>MEDICAL INNOVATION - LAURO</t>
  </si>
  <si>
    <t>gilda.vendas@terra.com.br</t>
  </si>
  <si>
    <t>MEDICAL INNOVATION - GILDA</t>
  </si>
  <si>
    <t>comercial@medicalinnovation.com.br</t>
  </si>
  <si>
    <t>MEDICAL INNOVATION - EDUARDA</t>
  </si>
  <si>
    <t>executivo.mi@terra.com.br</t>
  </si>
  <si>
    <t>medicapro@medicapro.com.br</t>
  </si>
  <si>
    <t>MEDICA PRO</t>
  </si>
  <si>
    <t>rnobre@medcorp.com.br</t>
  </si>
  <si>
    <t>MEDCORP 2</t>
  </si>
  <si>
    <t>aaraujo@medcorp.com.br</t>
  </si>
  <si>
    <t>rvieira@medcorp.com.br</t>
  </si>
  <si>
    <t>vitoria.sa@medcomerce.com.br</t>
  </si>
  <si>
    <t>MEDCOMERCE - VITORIA</t>
  </si>
  <si>
    <t>nubia.almeida@medcomerce.com.br</t>
  </si>
  <si>
    <t>MEDCOMERCE - NUBIA</t>
  </si>
  <si>
    <t>licitacaobsb@medcomerce.com.br</t>
  </si>
  <si>
    <t>medcamdf@gmail.com</t>
  </si>
  <si>
    <t>vendas17@medvittadist.com.br</t>
  </si>
  <si>
    <t>MED VITTA - ALINE</t>
  </si>
  <si>
    <t>flavio.vendas@mbtextil.com.br</t>
  </si>
  <si>
    <t>MB TEXTIL CIRUMEX</t>
  </si>
  <si>
    <t>diogo@adeng.com.br</t>
  </si>
  <si>
    <t>lindaura@adeng.com.br</t>
  </si>
  <si>
    <t>jorge@adeng.com.br</t>
  </si>
  <si>
    <t>livia.comercial01@gmail.com</t>
  </si>
  <si>
    <t>MASTER MED</t>
  </si>
  <si>
    <t>vendas01@martinsdistlog.com.br</t>
  </si>
  <si>
    <t>makfreezer.licita@gmail.com</t>
  </si>
  <si>
    <t>MANUTENCAO.HRSM@gmail.com</t>
  </si>
  <si>
    <t>MANUTENÇÃO - HRSM</t>
  </si>
  <si>
    <t>manutec.solucoes@yahoo.com.br</t>
  </si>
  <si>
    <t>MANUTEC</t>
  </si>
  <si>
    <t>maissolucoesdf@hotmail.com</t>
  </si>
  <si>
    <t>MAIS Soluções</t>
  </si>
  <si>
    <t>wellington.monteiro@mafrahospitalar.com.br</t>
  </si>
  <si>
    <t>MAFRA - wellington</t>
  </si>
  <si>
    <t>facos.moura@mafrahospitalar.com.br</t>
  </si>
  <si>
    <t>MAFRA - FACOS</t>
  </si>
  <si>
    <t>renata_mafra@terra.com.br</t>
  </si>
  <si>
    <t>contato@madrenet.com.br</t>
  </si>
  <si>
    <t>jailson@macominstrumental.com.br</t>
  </si>
  <si>
    <t>denilson@macominstrumental.com.br</t>
  </si>
  <si>
    <t>macom@macominstrumental.com.br</t>
  </si>
  <si>
    <t>luzcom1@gmail.com</t>
  </si>
  <si>
    <t>a.viana@br.urgo.com</t>
  </si>
  <si>
    <t>a.machado@br.urgo.com</t>
  </si>
  <si>
    <t>limpbemdf@gmail.com</t>
  </si>
  <si>
    <t>beatriz.bernardo@lifemed.com.br</t>
  </si>
  <si>
    <t>vanessa.oliveira@lifemed.com.br</t>
  </si>
  <si>
    <t>julliane.mourao@lifemed.com.br</t>
  </si>
  <si>
    <t>contato.laser@gmail.com</t>
  </si>
  <si>
    <t>LASER</t>
  </si>
  <si>
    <t>LARISSA - Casa da Construção</t>
  </si>
  <si>
    <t>atendimento@labsdist.com</t>
  </si>
  <si>
    <t>LABS 2</t>
  </si>
  <si>
    <t>comercial@labsdist.com</t>
  </si>
  <si>
    <t>npc.hrsm@saude.df.gov.br</t>
  </si>
  <si>
    <t>LABORATÓRIO - HRSM</t>
  </si>
  <si>
    <t>seblazaro@gmail.com</t>
  </si>
  <si>
    <t>LABINBRAZ - Wiener</t>
  </si>
  <si>
    <t>mariatereza@wiener-lab.com.br</t>
  </si>
  <si>
    <t>carlosglaser@wiener-lab.com.br</t>
  </si>
  <si>
    <t>celsogastaldo@wiener-lab.com.br</t>
  </si>
  <si>
    <t>adriana.exec@gmail.com</t>
  </si>
  <si>
    <t>fernando@kompazosaude.com.br</t>
  </si>
  <si>
    <t>anapaula.oliveira@kolplast.com.br</t>
  </si>
  <si>
    <t>jacomercialdf@hotmail.com</t>
  </si>
  <si>
    <t>JA COMERCIAL</t>
  </si>
  <si>
    <t>itauar.refrigeracao@gmail.com</t>
  </si>
  <si>
    <t>ITAUAR REFRIGERAÇÃO</t>
  </si>
  <si>
    <t>licitacao@itatiaiaatacadista.com.br</t>
  </si>
  <si>
    <t>ITATIAIA ATACADISTA</t>
  </si>
  <si>
    <t>contato@inocsom.com.br</t>
  </si>
  <si>
    <t>INOCSOM</t>
  </si>
  <si>
    <t>edi@indumed.com.br</t>
  </si>
  <si>
    <t>INDUMED</t>
  </si>
  <si>
    <t>tiagodf20092009@hotmail.com</t>
  </si>
  <si>
    <t>IMPERIAL AR</t>
  </si>
  <si>
    <t>jacksonjohnamaral@gmail.com</t>
  </si>
  <si>
    <t>mcsl@ih.com.br</t>
  </si>
  <si>
    <t>IH</t>
  </si>
  <si>
    <t>slrocque@ibf-mail.com.br</t>
  </si>
  <si>
    <t>IBF 2</t>
  </si>
  <si>
    <t>ajulie@ibf.com.br</t>
  </si>
  <si>
    <t>vinicius.lemarc@humantecbrasil.com</t>
  </si>
  <si>
    <t>HUMAN TEC</t>
  </si>
  <si>
    <t>ricardo.hospfar@gmail.com</t>
  </si>
  <si>
    <t>HOSPFAR - RICARDO</t>
  </si>
  <si>
    <t>renato.costa@hospfar.com.br</t>
  </si>
  <si>
    <t>HOSPFAR - RENATO</t>
  </si>
  <si>
    <t>hellen@hospfar.com.br</t>
  </si>
  <si>
    <t>HOSPFAR - HELLEN</t>
  </si>
  <si>
    <t>elaine@hospfar.com.br</t>
  </si>
  <si>
    <t>HOSPFAR - ELAINE</t>
  </si>
  <si>
    <t>eduardosousa@hospfar.com.br</t>
  </si>
  <si>
    <t>HOSPFAR - EDUARDO</t>
  </si>
  <si>
    <t>hermilton@hospdrogas.com.br</t>
  </si>
  <si>
    <t>HOSPDROGAS - HERMILTON</t>
  </si>
  <si>
    <t>hospdrogas@hospdrogas.com.br</t>
  </si>
  <si>
    <t>pdpasholpemed@gmail.com</t>
  </si>
  <si>
    <t>HOLPEMED</t>
  </si>
  <si>
    <t>HEMOGRAM - Vyttra</t>
  </si>
  <si>
    <t>elver@hatril.com.br</t>
  </si>
  <si>
    <t>HATRIL</t>
  </si>
  <si>
    <t>edgar@hatril.com.br</t>
  </si>
  <si>
    <t>vendas2@haoxi.com.br</t>
  </si>
  <si>
    <t>vendas1@haoxi.com.br</t>
  </si>
  <si>
    <t>vendas@haoxi.com.br</t>
  </si>
  <si>
    <t>joao.oliveira@grifols.com</t>
  </si>
  <si>
    <t>licitacao@goianiamedica.com.br</t>
  </si>
  <si>
    <t>GOIANIA MÉDICA</t>
  </si>
  <si>
    <t>V.GMANUTENCOES@HOTMAIL.COM</t>
  </si>
  <si>
    <t>GMANUTENCOES</t>
  </si>
  <si>
    <t>televendas11@globalhospitalar.com.br</t>
  </si>
  <si>
    <t>GLOBAL HOSPITALAR</t>
  </si>
  <si>
    <t>televendas2@globalhospitalar.com.br</t>
  </si>
  <si>
    <t>GLOBAL 2</t>
  </si>
  <si>
    <t>ludmilla@geneticabrasil.com.br</t>
  </si>
  <si>
    <t>GENETICA - LUDMILLA</t>
  </si>
  <si>
    <t>cotacao@geneticabrasil.com.br</t>
  </si>
  <si>
    <t>madeireiraribeiro@yahoo.com.br</t>
  </si>
  <si>
    <t>Gefferson Ribeiro</t>
  </si>
  <si>
    <t>vendas@gamacorphospitalar.com.br</t>
  </si>
  <si>
    <t>maurosiriosimon@hotmail.com</t>
  </si>
  <si>
    <t>freitasrefrigeracao@gmail.com</t>
  </si>
  <si>
    <t>FREITASREFRIGERACAO</t>
  </si>
  <si>
    <t>comercial3@fragahospitalar.com.br</t>
  </si>
  <si>
    <t>FRAGA HOSPITALAR</t>
  </si>
  <si>
    <t>fradelmed@terra.com.br</t>
  </si>
  <si>
    <t>fpsrepcomercio@gmail.com</t>
  </si>
  <si>
    <t>FPS REPRESENTAÇÕES</t>
  </si>
  <si>
    <t>distribuidoraforty@gmail.com</t>
  </si>
  <si>
    <t>FORTY DISTRIBUIDORA</t>
  </si>
  <si>
    <t>formulasmagistrais.cotacao@hotmail.com</t>
  </si>
  <si>
    <t>vendas6@flukka.com.br</t>
  </si>
  <si>
    <t>FLUKKA - ALPROSTADIL</t>
  </si>
  <si>
    <t>felipe@flukka.com.br</t>
  </si>
  <si>
    <t>comercial@fjcomercio.com.br</t>
  </si>
  <si>
    <t>FJ COMÃ‰RCIO</t>
  </si>
  <si>
    <t>ferragenslider@uol.com.br</t>
  </si>
  <si>
    <t>FERRAGENS LIDER 2</t>
  </si>
  <si>
    <t>ferragenslider1@uol.com.br</t>
  </si>
  <si>
    <t>FERRAGENS LÍDER</t>
  </si>
  <si>
    <t>adrianoweslei@yahoo.com.br</t>
  </si>
  <si>
    <t>waferragens@yahoo.com.br</t>
  </si>
  <si>
    <t>eletricabrilhar@hotmail.com</t>
  </si>
  <si>
    <t>fenix.licitacao2017@gmail.com</t>
  </si>
  <si>
    <t>FENIX MATERIAIS CONSTRUÇÃO</t>
  </si>
  <si>
    <t>COMPRASFDF@GMAIL.COM</t>
  </si>
  <si>
    <t>COMERCIALFDFHOSPITALAR@GMAIL.COM</t>
  </si>
  <si>
    <t>comercial@farmaconn.com.br</t>
  </si>
  <si>
    <t>farhrg@gmail.com</t>
  </si>
  <si>
    <t>FARMACIA - HRG</t>
  </si>
  <si>
    <t>licitacao.cotacao4@farmace.com.br</t>
  </si>
  <si>
    <t>licitacao@farmace.com.br</t>
  </si>
  <si>
    <t>farmaciacentral.hrsm@gmail.com</t>
  </si>
  <si>
    <t>FARMACIA - HRSM</t>
  </si>
  <si>
    <t>fabiosarres@hotmail.com</t>
  </si>
  <si>
    <t>FABIOSARRES</t>
  </si>
  <si>
    <t>eticahospitalargo@gmail.com</t>
  </si>
  <si>
    <t>eridata@globo.com</t>
  </si>
  <si>
    <t>ERIDATA TELEINFORMÃTICA</t>
  </si>
  <si>
    <t>eprom.equipamentos@hotmail.com</t>
  </si>
  <si>
    <t>EPROM</t>
  </si>
  <si>
    <t>engenhariaclinica.hrsm@gmail.com</t>
  </si>
  <si>
    <t>ENGENHARIA CLINICA - HRSM</t>
  </si>
  <si>
    <t>alexcilenio@alfahospitalar.bsb.br</t>
  </si>
  <si>
    <t>Emernegildo Junior</t>
  </si>
  <si>
    <t>emille@emedcal.com</t>
  </si>
  <si>
    <t>EMEDCAL - EMILLE</t>
  </si>
  <si>
    <t>celso.brun@emedcal.com</t>
  </si>
  <si>
    <t>EMEDCAL - CELSO</t>
  </si>
  <si>
    <t>emedcal@emedcal.com</t>
  </si>
  <si>
    <t>jornei.monteiro@eletrospitalar.com.br</t>
  </si>
  <si>
    <t>jornei.monteiro.eletrospitalar@gmail.com</t>
  </si>
  <si>
    <t>ELETROHOSPITALAR</t>
  </si>
  <si>
    <t>atendimento@eletrospitalar.com.br</t>
  </si>
  <si>
    <t>atendimento.eletrospitalar@gmail.com</t>
  </si>
  <si>
    <t>licitacao03@eletroterrivel.com.br</t>
  </si>
  <si>
    <t>ELETRO TERRÃVEL</t>
  </si>
  <si>
    <t>eletricaregional@gmail.com</t>
  </si>
  <si>
    <t>FRANCIVALDO@VULCAODABORRACHA.COM.BR</t>
  </si>
  <si>
    <t>ELETRICA PISTÃO</t>
  </si>
  <si>
    <t>ceilandia@eletricaestrela.com.br</t>
  </si>
  <si>
    <t>ELETRICA ESTRELA</t>
  </si>
  <si>
    <t>LICITACOES@edlo.com.br</t>
  </si>
  <si>
    <t>EDLO</t>
  </si>
  <si>
    <t>fabio@edlo.com.br</t>
  </si>
  <si>
    <t>contato.edj@gmail.com</t>
  </si>
  <si>
    <t>EDJ 2</t>
  </si>
  <si>
    <t>tiago.ecoprint@hotmail.com</t>
  </si>
  <si>
    <t>adrianaecomed@hotmail.com</t>
  </si>
  <si>
    <t>dsequipamentos@outlook.com</t>
  </si>
  <si>
    <t>drogarialares@gmail.com</t>
  </si>
  <si>
    <t>DROGARIA LARES</t>
  </si>
  <si>
    <t>takfarmaceutico7937@gmail.com</t>
  </si>
  <si>
    <t>Drogaria Gabriel Akio</t>
  </si>
  <si>
    <t>drmmanutencaohosp@gmail.com</t>
  </si>
  <si>
    <t>DRM</t>
  </si>
  <si>
    <t>Comercial@drimportacao.com.br</t>
  </si>
  <si>
    <t>DRIM IMPORTAÇÃO - RÉGIO</t>
  </si>
  <si>
    <t>contato@doctorxradiologia.com.br</t>
  </si>
  <si>
    <t>DOCTORXRADIOLOGIA</t>
  </si>
  <si>
    <t>wribeirodmi@gmail.com</t>
  </si>
  <si>
    <t>DMI - WASHINGTON</t>
  </si>
  <si>
    <t>adrianadmivendas@gmail.com</t>
  </si>
  <si>
    <t>DMI - ADRIANA</t>
  </si>
  <si>
    <t>vendas3@dmidf.com.br</t>
  </si>
  <si>
    <t>dispomedlicitacao@gmail.com</t>
  </si>
  <si>
    <t>dirklabimed@gmail.com</t>
  </si>
  <si>
    <t>DIRK LABIMED - ESCOVAS</t>
  </si>
  <si>
    <t>diaglab@diaglabdf.com.br</t>
  </si>
  <si>
    <t>DIAGLAB DF</t>
  </si>
  <si>
    <t>deuslih@yahoo.com.br</t>
  </si>
  <si>
    <t>DEUSLIH</t>
  </si>
  <si>
    <t>deuslih@gmail.com</t>
  </si>
  <si>
    <t>principaldentarios@gmail.com</t>
  </si>
  <si>
    <t>rafaelsdental@gmail.com</t>
  </si>
  <si>
    <t>dentalaraujobsb@gmail.com</t>
  </si>
  <si>
    <t>DENTAL ARAUJO</t>
  </si>
  <si>
    <t>aline.lima@deltamedhosp.com.br</t>
  </si>
  <si>
    <t>DELTA MED - ALINE</t>
  </si>
  <si>
    <t>vendas02@deltamedhosp.com.br</t>
  </si>
  <si>
    <t>DELTA MED</t>
  </si>
  <si>
    <t>licitacao@deltamedicalbrasilia.com.br</t>
  </si>
  <si>
    <t>diretoria.adm.hrsm@gmail.com</t>
  </si>
  <si>
    <t>DA - HRSM</t>
  </si>
  <si>
    <t>daniel@dejrepresentacoes.com.br</t>
  </si>
  <si>
    <t>D&amp;J REPRESENTACOES</t>
  </si>
  <si>
    <t>jaime.licitacao@ctiweb.com.br</t>
  </si>
  <si>
    <t>CTI COMERCIO</t>
  </si>
  <si>
    <t>CRISTALIA 5</t>
  </si>
  <si>
    <t>cristaliaregionalbh@gmail.com</t>
  </si>
  <si>
    <t>CRISTALIA 4</t>
  </si>
  <si>
    <t>bhz@cristalia.com.br</t>
  </si>
  <si>
    <t>CRISTALIA 3</t>
  </si>
  <si>
    <t>hos14202@cristaliafv.com.br</t>
  </si>
  <si>
    <t>CRISTALIA 2</t>
  </si>
  <si>
    <t>concorrencia5@cristalia.com.br</t>
  </si>
  <si>
    <t xml:space="preserve">CRISTALIA </t>
  </si>
  <si>
    <t>controltherm@hotmail.com</t>
  </si>
  <si>
    <t>confitech@hotmail.com</t>
  </si>
  <si>
    <t>confitech.vendas@terra.com.br</t>
  </si>
  <si>
    <t>adm@confitech.com.br</t>
  </si>
  <si>
    <t>comlabdf@gmail.com</t>
  </si>
  <si>
    <t>comercialplenitude@hotmail.com</t>
  </si>
  <si>
    <t>vendas02@cmchospitalar.com.br</t>
  </si>
  <si>
    <t>CMC HOSPITALAR</t>
  </si>
  <si>
    <t>vendascmchospitalar@hotmail.com</t>
  </si>
  <si>
    <t>marcoscrpreto@terra.com.br</t>
  </si>
  <si>
    <t>CIRURGICA RIBEIRÃO PRETO</t>
  </si>
  <si>
    <t>barretosousarepresentacoes@gmail.com</t>
  </si>
  <si>
    <t>CIRURGICA FERNANDES 2</t>
  </si>
  <si>
    <t>licitacao15@cfernandes.com.br</t>
  </si>
  <si>
    <t>CIRURGICA FERNANDES</t>
  </si>
  <si>
    <t>felipe@cirurgicadmg.com.br</t>
  </si>
  <si>
    <t>CIRURGICA DMG</t>
  </si>
  <si>
    <t>rutelima26@hotmail.com</t>
  </si>
  <si>
    <t>cirurgicaalstyn1@hotmail.com</t>
  </si>
  <si>
    <t>tiago.perez@cei-brasil.com</t>
  </si>
  <si>
    <t>paula.tavares@cei-brasil.com</t>
  </si>
  <si>
    <t>celso.brun@cfbmedical.com.br</t>
  </si>
  <si>
    <t>CFB MEDICAL - Celso Brun</t>
  </si>
  <si>
    <t>cfbmedical@cfbmedical.com.br</t>
  </si>
  <si>
    <t>CFB MEDICAL</t>
  </si>
  <si>
    <t>CENTRAL MÉDICA</t>
  </si>
  <si>
    <t>CEI - THIAGO</t>
  </si>
  <si>
    <t>CEI - PAULA</t>
  </si>
  <si>
    <t>thiagogvtcba@gmail.com</t>
  </si>
  <si>
    <t>CBA - THIAGO</t>
  </si>
  <si>
    <t>cbatmk@gmail.com</t>
  </si>
  <si>
    <t>casadasetiquetasbsb@gmail.com</t>
  </si>
  <si>
    <t>weslley@casadaquimicadf.com.br</t>
  </si>
  <si>
    <t>cardiobras@cardiobras.com</t>
  </si>
  <si>
    <t>CARDIOBRAZ</t>
  </si>
  <si>
    <t>cardiobras@terra.com.br</t>
  </si>
  <si>
    <t>ricardo@camb.com.br</t>
  </si>
  <si>
    <t>moacir.cc@hotmail.com</t>
  </si>
  <si>
    <t>C CIRURGICO - HRG</t>
  </si>
  <si>
    <t>romulo@bsbmedical.com.br</t>
  </si>
  <si>
    <t>BSB MEDICAL - ROMULO</t>
  </si>
  <si>
    <t>gleidson@bsbmedical.com.br</t>
  </si>
  <si>
    <t>BSB MEDICAL - GLEIDSON</t>
  </si>
  <si>
    <t>flavia@bsbmedical.com.br</t>
  </si>
  <si>
    <t>BSB MEDICAL - FLAVIA</t>
  </si>
  <si>
    <t>ana@bsbmedical.com.br</t>
  </si>
  <si>
    <t>BSB MEDICAL - ANA</t>
  </si>
  <si>
    <t>comercial@bsbgases.com.br</t>
  </si>
  <si>
    <t>cristiano.araujo@brb.com.br</t>
  </si>
  <si>
    <t>ggsantamaria@brb.com.br</t>
  </si>
  <si>
    <t>camila.bastos@brb.com.br</t>
  </si>
  <si>
    <t>BRB Santa Maria</t>
  </si>
  <si>
    <t>gghrg@brb.com.br</t>
  </si>
  <si>
    <t>0144@brb.com.br</t>
  </si>
  <si>
    <t>ana.mourao@brb.com.br</t>
  </si>
  <si>
    <t>BRB GAMA</t>
  </si>
  <si>
    <t>caio@bravoluz.com.br</t>
  </si>
  <si>
    <t>BRAVOLUZ - CAIO</t>
  </si>
  <si>
    <t>contato@bravoluz.com.br</t>
  </si>
  <si>
    <t>BRAVOLUZ</t>
  </si>
  <si>
    <t>cotacao@brasmedica.net</t>
  </si>
  <si>
    <t>BRASMEDICA 2</t>
  </si>
  <si>
    <t>maria.oliveira@brasmedica.net</t>
  </si>
  <si>
    <t>BRASMEDICA - MARIA</t>
  </si>
  <si>
    <t>gilmar.santos@brasmedica.net</t>
  </si>
  <si>
    <t>BRASMEDICA</t>
  </si>
  <si>
    <t>gilmar.brasmedica@yahoo.com.br</t>
  </si>
  <si>
    <t>brasmedica@uol.com.br</t>
  </si>
  <si>
    <t>brasmedica.at@gmail.com</t>
  </si>
  <si>
    <t>maurisio.brasiliascientific@gmail.com</t>
  </si>
  <si>
    <t>BRASILIA SCIENTIFIC - MAURISIO</t>
  </si>
  <si>
    <t>brasiliascientific@gmail.com</t>
  </si>
  <si>
    <t>brasfreezer@hotmail.com</t>
  </si>
  <si>
    <t>Brasfreezer</t>
  </si>
  <si>
    <t>pedidos.ses@brakko.com.br</t>
  </si>
  <si>
    <t>BRAKKO 4</t>
  </si>
  <si>
    <t>COTACAO@BRAKKO.COM.BR</t>
  </si>
  <si>
    <t>BRAKKO 3</t>
  </si>
  <si>
    <t>suporte.tecnico@brakko.com.br</t>
  </si>
  <si>
    <t>BRAKKO 2</t>
  </si>
  <si>
    <t>vendasdf3@brakko.com.br</t>
  </si>
  <si>
    <t>vendasdf1@brakko.com.br</t>
  </si>
  <si>
    <t>walmernaves@gmail.com</t>
  </si>
  <si>
    <t>BR DANTAI - Walmer</t>
  </si>
  <si>
    <t>brdantai@hotmail.com</t>
  </si>
  <si>
    <t>miltonaires@biotecnicabsb.com.br</t>
  </si>
  <si>
    <t>Biotecnica</t>
  </si>
  <si>
    <t>julianna.garcia@biosys.com.br</t>
  </si>
  <si>
    <t>BIOSYS - JULIANNA</t>
  </si>
  <si>
    <t>juceliobsb@gmail.com</t>
  </si>
  <si>
    <t>BIOSYS - JUCELIO</t>
  </si>
  <si>
    <t>pinedo@biolog.com.br</t>
  </si>
  <si>
    <t>BIOLOG - PINEDO</t>
  </si>
  <si>
    <t>deusimar@biolog.com.br</t>
  </si>
  <si>
    <t>BIOLOG - DEUSIMAR</t>
  </si>
  <si>
    <t>celia@biolog.com.br</t>
  </si>
  <si>
    <t>BIOLOG - CELIA</t>
  </si>
  <si>
    <t>vendas@biolog.com.br</t>
  </si>
  <si>
    <t>biocores@uol.com.br</t>
  </si>
  <si>
    <t>BIOCORES</t>
  </si>
  <si>
    <t>denise.dias@bhiosupply.com.br</t>
  </si>
  <si>
    <t>licitacoes@belbidistribuidora.com.br</t>
  </si>
  <si>
    <t>luiz.faria@bbraun.com</t>
  </si>
  <si>
    <t>BBRAUN - LUIZ</t>
  </si>
  <si>
    <t>cristiane.silva@bbraun.com</t>
  </si>
  <si>
    <t>BBRAUN - CRISTIANE</t>
  </si>
  <si>
    <t>baumer@baumer.com.br</t>
  </si>
  <si>
    <t>leonardo.compras@hotmail.com</t>
  </si>
  <si>
    <t>BASZI - LEONARDO</t>
  </si>
  <si>
    <t>baszicomercial@hotmail.com</t>
  </si>
  <si>
    <t>posvendas@barrfab.com.br</t>
  </si>
  <si>
    <t>BARRFAB</t>
  </si>
  <si>
    <t>blhhrsm@gmail.com</t>
  </si>
  <si>
    <t>BANCO DE LEITE - HRSM</t>
  </si>
  <si>
    <t>awmedbrasil@gmail.com</t>
  </si>
  <si>
    <t>AWMED - ARTWARE</t>
  </si>
  <si>
    <t>atd.diagnostica@gmail.com</t>
  </si>
  <si>
    <t>vendas@ataxmed.com.br</t>
  </si>
  <si>
    <t>ATAXMED</t>
  </si>
  <si>
    <t>vendas07@asthamed.com.br</t>
  </si>
  <si>
    <t>Asthamed</t>
  </si>
  <si>
    <t>ASTEM - LEWANDER</t>
  </si>
  <si>
    <t>karoline@astembsb.com</t>
  </si>
  <si>
    <t>ASTEM - KAROLINE</t>
  </si>
  <si>
    <t>fabio@astembsb.com</t>
  </si>
  <si>
    <t>ASTEM - FABIO</t>
  </si>
  <si>
    <t>luana.astem@gmail.com</t>
  </si>
  <si>
    <t>contato@assemedh.org.br</t>
  </si>
  <si>
    <t>ASSEMEDH DF - RARIANNE</t>
  </si>
  <si>
    <t>contato@assistronic.com.br</t>
  </si>
  <si>
    <t>ASSISTRONIC</t>
  </si>
  <si>
    <t>ARS PAPELARIA - Anilson</t>
  </si>
  <si>
    <t>licitacoes@apollo-med.com.br</t>
  </si>
  <si>
    <t>atendimento@anmed.com.br</t>
  </si>
  <si>
    <t>ANMED 2</t>
  </si>
  <si>
    <t>anmed@anmed.com.br</t>
  </si>
  <si>
    <t>amplamed@live.com</t>
  </si>
  <si>
    <t>AMPLAMED</t>
  </si>
  <si>
    <t>numaphrsm@hotmail.com</t>
  </si>
  <si>
    <t>ALMOXARIFADO - HRSM</t>
  </si>
  <si>
    <t>nmp.hrg@gmail.com</t>
  </si>
  <si>
    <t>ALMOXARIFADO - HRG</t>
  </si>
  <si>
    <t>vendasdf@allimed.com.br</t>
  </si>
  <si>
    <t>ALLIMED 2</t>
  </si>
  <si>
    <t>vendasalimed1@gmail.com</t>
  </si>
  <si>
    <t>ALIMED DF</t>
  </si>
  <si>
    <t>alimedprodutos2@gmail.com</t>
  </si>
  <si>
    <t>ALIMED</t>
  </si>
  <si>
    <t>ALFA HOSPITALAR</t>
  </si>
  <si>
    <t>alexaco@terra.com.br</t>
  </si>
  <si>
    <t>marilene.silva@airliquide.com</t>
  </si>
  <si>
    <t>AIR LIQUIDE - MARILENE</t>
  </si>
  <si>
    <t>joseane.silva@airliquide.com</t>
  </si>
  <si>
    <t>AIR LIQUIDE - JOSEANE</t>
  </si>
  <si>
    <t>cesar.ambrosi@airliquide.com</t>
  </si>
  <si>
    <t>AIR LIQUIDE - CESAR</t>
  </si>
  <si>
    <t>secretarias@agimed.com.br</t>
  </si>
  <si>
    <t>AGIMED 2</t>
  </si>
  <si>
    <t>luzia@agimed.com.br</t>
  </si>
  <si>
    <t>AGIMED - LUZIA</t>
  </si>
  <si>
    <t>manuelaadesiflex@gmail.com</t>
  </si>
  <si>
    <t>ADESIFLEX 2</t>
  </si>
  <si>
    <t>ADESIFLEX 1</t>
  </si>
  <si>
    <t>ADENG</t>
  </si>
  <si>
    <t>acrilico.com@gmail.com</t>
  </si>
  <si>
    <t>ACRIPLAC DF</t>
  </si>
  <si>
    <t>acrilicoarte.seg@gmail.com</t>
  </si>
  <si>
    <t>ACRILICO ARTE 2</t>
  </si>
  <si>
    <t>orcamento@acrilicoarte.com.br</t>
  </si>
  <si>
    <t>ACRILICO ARTE 1</t>
  </si>
  <si>
    <t>1LINHA</t>
  </si>
  <si>
    <t>vendas128@1000marcasbrasil.com.br</t>
  </si>
  <si>
    <t>E-mail 3 - Value</t>
  </si>
  <si>
    <t>E-mail 2 - Value</t>
  </si>
  <si>
    <t>Serviços Gráficos</t>
  </si>
  <si>
    <t>Radiologia</t>
  </si>
  <si>
    <t>Papelaria, Informática</t>
  </si>
  <si>
    <t>Odonto</t>
  </si>
  <si>
    <t>Material Medico</t>
  </si>
  <si>
    <t>Medicamentos</t>
  </si>
  <si>
    <t>Lavanderia, Hotelaria</t>
  </si>
  <si>
    <t>Laboratório</t>
  </si>
  <si>
    <t>Instrumental Cirúrgico</t>
  </si>
  <si>
    <t>Gases Medicinais</t>
  </si>
  <si>
    <t>Equipamentos - Peças e Serviços</t>
  </si>
  <si>
    <t>Eletrica, Hidraúlica, Marcenaria, Serralheria</t>
  </si>
  <si>
    <t>Diversos</t>
  </si>
  <si>
    <t>Acrilico</t>
  </si>
  <si>
    <t>Name</t>
  </si>
  <si>
    <t>ÚNICA MEDICAL COMÉRCIO DE PRODUTOS HOSPITALARES LTDA</t>
  </si>
  <si>
    <t>FLAVIO G BENTO</t>
  </si>
  <si>
    <t>33.485.151/0001-36</t>
  </si>
  <si>
    <t>7417</t>
  </si>
  <si>
    <t>66.697-6</t>
  </si>
  <si>
    <t>ÚNICA MEDICAL</t>
  </si>
  <si>
    <t>MMU25</t>
  </si>
  <si>
    <t>CONSERTO DE MONITOR Marca DIXTAL,  Modelo DX2020, Nº Patrimônio 568634</t>
  </si>
  <si>
    <t>CONSERTO DE CAMA HOSPITALAR MOTORIZADA, Marca STRYKER, Nº Patrimônio 922101</t>
  </si>
  <si>
    <t>LÂMPADA TUBULAR T8 LED 120CM, 18W, 6500K, BIVOLT.</t>
  </si>
  <si>
    <t>194/2019</t>
  </si>
  <si>
    <t>60.665.981/0009-75</t>
  </si>
  <si>
    <t>1912-7</t>
  </si>
  <si>
    <t>5.112-8</t>
  </si>
  <si>
    <t>RONIE TAVARES</t>
  </si>
  <si>
    <t>tcafarma2018@gmail.com</t>
  </si>
  <si>
    <t>TCA FARMA - Lilian</t>
  </si>
  <si>
    <t>012.959-4</t>
  </si>
  <si>
    <t>ALBERTO / ELISABETE CARLOS</t>
  </si>
  <si>
    <t>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t>
  </si>
  <si>
    <t>SANTE 3</t>
  </si>
  <si>
    <t>narcelio@santehospitalar.com.br</t>
  </si>
  <si>
    <t>AUT05</t>
  </si>
  <si>
    <t>CONSERTO DE AUTOCLAVE HORIZONTAL Phoenix Luferco (Patrimônio: GDF 1303503).</t>
  </si>
  <si>
    <t>28.423.605/0001-04</t>
  </si>
  <si>
    <t>24.497.941/0001-40</t>
  </si>
  <si>
    <t>11.948.365/0001-69</t>
  </si>
  <si>
    <t>00.653.494/0001-03</t>
  </si>
  <si>
    <t>03.283.785/0001-45</t>
  </si>
  <si>
    <t>43.894.609/0001–64</t>
  </si>
  <si>
    <t xml:space="preserve">ÉTICA </t>
  </si>
  <si>
    <t>ÉTICA - SILVANA</t>
  </si>
  <si>
    <t>FARMACE COTAÇÃO</t>
  </si>
  <si>
    <t>FDF MEDICAMENTOS</t>
  </si>
  <si>
    <t>FDF MEDICAMENTOS 2</t>
  </si>
  <si>
    <t>FERRAGENS GAMA - ADRIANO</t>
  </si>
  <si>
    <t>GAMACORP - JOSÉ</t>
  </si>
  <si>
    <t>KOLPLAST - SUSANA</t>
  </si>
  <si>
    <t>KOMPAZO - RAMON</t>
  </si>
  <si>
    <t>KOMPAZO - FERNANDO</t>
  </si>
  <si>
    <t>LIFEMED - JULIANE</t>
  </si>
  <si>
    <t>LIFEMED - VANESSA</t>
  </si>
  <si>
    <t>LIFEMED - BEATRIZ</t>
  </si>
  <si>
    <t>LM FARMA 1</t>
  </si>
  <si>
    <t>LM FARMA 2</t>
  </si>
  <si>
    <t>LM FARMA 3</t>
  </si>
  <si>
    <t>MACOM - DENILSON</t>
  </si>
  <si>
    <t>MACOM - JAILSON</t>
  </si>
  <si>
    <t>MAZIMUS - JORGE</t>
  </si>
  <si>
    <t>MAZIMUS - LINDAURA</t>
  </si>
  <si>
    <t>MAZIMUS - DIOGO</t>
  </si>
  <si>
    <t>MEDCORP 3</t>
  </si>
  <si>
    <t>MF Hospitalar 2</t>
  </si>
  <si>
    <t>MISSNER 2</t>
  </si>
  <si>
    <t>PROSYSTEM 2</t>
  </si>
  <si>
    <t>PROTEC - CRISLEIDE</t>
  </si>
  <si>
    <t>PUBLICART 2</t>
  </si>
  <si>
    <t>SYNTHES - SAC</t>
  </si>
  <si>
    <t>WERBRAN 2</t>
  </si>
  <si>
    <t xml:space="preserve">ALKA </t>
  </si>
  <si>
    <t>PARAFINA HISTOLOGICA</t>
  </si>
  <si>
    <t>vendas7@biotecmed.com.br</t>
  </si>
  <si>
    <t>BIOTECMED - FLAVIA</t>
  </si>
  <si>
    <t>RKM ASSISTÊNCIA</t>
  </si>
  <si>
    <t>licitacao@camb.com.br</t>
  </si>
  <si>
    <t>CAMB - RICARDO</t>
  </si>
  <si>
    <t>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t>
  </si>
  <si>
    <t>1.235-1</t>
  </si>
  <si>
    <t>MEDICINI COMERCIO HOSPITALAR LTDA</t>
  </si>
  <si>
    <t>RUTE LIMA</t>
  </si>
  <si>
    <t>26.995.529/0001-86</t>
  </si>
  <si>
    <t>MEDICINI</t>
  </si>
  <si>
    <t>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t>
  </si>
  <si>
    <t>TOMADA DE EMBUTIR, Material Placa: termoplástico, Dimensões: 4 x 2 pol, Amperagem: 10 A, Tensão: 250 V, Quantidade Seção: 01, Apresentação: 2 P + T, Tipo: Universal</t>
  </si>
  <si>
    <t>ETIQUETA AUTO- ADESIVA, Material: celulose vegetal adesivo sintético, Tamanho Etiqueta: 89x24 mm, Aplicação: formulário contínuo, Número de Colunas: 1,Cor: branca. Com os dizeres abaixo conforme modelo no anexo.
Validade Multidose - HRG/SES-DF
Medicamento: ________________
Data de Abertura: _____________
Válido até: _____/_____/________
Resp. abertura: _______________</t>
  </si>
  <si>
    <t>Conserto de Seladora, Thermoplus, nº série 150412713, nº Patrimônio 951500</t>
  </si>
  <si>
    <t>Conserto de Seladora, Thermoplus, nº série 3608032924, nº Patrimônio 468890</t>
  </si>
  <si>
    <t>SEL02</t>
  </si>
  <si>
    <t>SEL03</t>
  </si>
  <si>
    <t>GEN01</t>
  </si>
  <si>
    <t>Conserto de GeneXpert Cepheid , nº patrimônio 1190252.</t>
  </si>
  <si>
    <t>ana@hatril.com.br</t>
  </si>
  <si>
    <t>HATRIL COMÉRCIO E ASSISTÊNCIA TÉCNICA DE EQUIPAMENTOS MÉDICOS EIRELLE</t>
  </si>
  <si>
    <t>contato@biotecmed.com.br</t>
  </si>
  <si>
    <t>BIOTECMED</t>
  </si>
  <si>
    <t>projetos@brakko.com.br</t>
  </si>
  <si>
    <t>ASP01</t>
  </si>
  <si>
    <t>CONSERTO DE ASPIRADOR CIRÚRGICO, Marca INALAMED,  Nº Patrimônio 873982 .</t>
  </si>
  <si>
    <t>DES09</t>
  </si>
  <si>
    <t>CONSERTO DE DESFIBRILADOR Marca PHILIPS, Nº Patrimônio 922532.</t>
  </si>
  <si>
    <t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</si>
  <si>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</si>
  <si>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t>
  </si>
  <si>
    <t>LUVA CIRURGICA CONVENCIONAL Nº 8,5</t>
  </si>
  <si>
    <t>LUVA CIRURGICA CONVENCIONAL Nº 6,5</t>
  </si>
  <si>
    <t>ENVELOPE TIPO BOLSA - 82.10</t>
  </si>
  <si>
    <t>VASELINA SÓLIDA (PETROLATO) 100 %, EMBALAGEM PRIMÁRIA: BISNAGA OU TUBO, UNIDADE DE ESTOQUE/LICITAÇÃO: GRAMA</t>
  </si>
  <si>
    <t>VASELINA</t>
  </si>
  <si>
    <t>LÂMPADA XENOPHOT HLX, 15 V, 150 W, para aparelho de videocolposcópio. Para referência, informamos que o modelo OSRAM 64634, atende ao HRG.</t>
  </si>
  <si>
    <t>PROTETOR OCULAR NEONATAL PARA FOTOTERAPIA, TAMANHO P. Aplicação: Proteção ocular do recém-nascido em uso de fototerapia, bloquear a passagem de luz, uso hospitalar. Material: composto em tecido que não solta resíduos. Características Adicionais: Atóxico, hipoalergênico, livre de látex, anatômico, sem costuras, com blackout integrado e faixa de fixação ajustável. Processo de esterilização: não estéril. Apresentação: embalagem individual.</t>
  </si>
  <si>
    <t>PROTETOR OCULAR</t>
  </si>
  <si>
    <t xml:space="preserve">PROTETOR OCULAR NEONATAL PARA FOTOTERAPIA, TAMANHO M. Aplicação: Proteção ocular do recém-nascido em uso de fototerapia, bloquear a passagem de luz, uso hospitalar. Material: composto em tecido que não solta resíduos. Características Adicionais: atóxico, hipoalergênico, livre de látex, anatômico, sem costuras, com blackout integrado e faixa de fixação ajustável. Processo de esterilização: não estéril. Apresentação: embalagem individual. </t>
  </si>
  <si>
    <t>222/2019</t>
  </si>
  <si>
    <t>223/2019</t>
  </si>
  <si>
    <t xml:space="preserve">Haste em PVC para chuveiro elétrico; Aplicação/finalidade: Para instalações prediais de água fria; Material/composição: Haste em PVC; Tamanho/capacidade: 370mm X 16mm X 16mm X ½ polegadas; Características: Haste em PVC contendo uma canopla em PEAD e com luva LR 20 X ½ polegadas em PVC; Forma de apresentação: Embalagem individual (KIT); Unidade de estoque: Unidade; </t>
  </si>
  <si>
    <t>HASTE PVC</t>
  </si>
  <si>
    <t>VASO SANITÁRIO</t>
  </si>
  <si>
    <t>VASO SANITÁRIO COM CAIXA ACOPLADA</t>
  </si>
  <si>
    <t>FITA VEDA ROSCA , Material: teflon, Comprimento: 25 m, Largura: 18 mm, Unidade De Fornecimento:  rolo de 25 metros. 1</t>
  </si>
  <si>
    <t>DESCARTEK</t>
  </si>
  <si>
    <t>vendasdescartek@gmail.com</t>
  </si>
  <si>
    <t>BEL10</t>
  </si>
  <si>
    <t>Conserto de BISTURI ELÉTRICO Marca WEM, Modelo BP 10 PLUS, nº Patrimônio 769867.</t>
  </si>
  <si>
    <t>224/2019</t>
  </si>
  <si>
    <t xml:space="preserve">SISTEMA FECHADO DE DRENAGEM POR SUCÇÃO 3,2MM. Estéril, descartável, radiopaco, confeccionado em PVC siliconizado ou outro material compatível. Contendo cânula/agulha de 3,2MM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 </t>
  </si>
  <si>
    <t>FIO DE SUTURA DE SEDA TRANCADA 0, 45CM, COM 01 AGULHA DE 3,0CM PONTA E CORPO CORTANTES 1/2 CIRCULO. Características Adicionais: fio 0, cor preta, comprimento 45 cm, com 1 agulha, tipo agulha ponta cortante, corpo cortante, 1/2 circulo, comprimento da agulha 3,0 cm, estéril. Forma de Apresentação: 1 fio por envelope, com identificação do lote, data de fabricação, data de validade impressos em língua portuguesa no envelope e na caixa. Deverá seguir a Norma do INMETRO ABNT 13904/2003.</t>
  </si>
  <si>
    <t>227/2019</t>
  </si>
  <si>
    <t>228/2019</t>
  </si>
  <si>
    <t>CATETER DUPLO LUMEN DE ACESSO VENOSO CENTRAL 14GA/18GA X 20CM. Aplicação: uso em pacientes graves, e potencialmente graves, com necessidade de infusões múltiplas, como NPT, etc., Material: poliuretano II, termosensível, radiopaco, centimetrado, estéril, descartável.  Tamanho/Capacidade: cateter duplo lúmen 14G/ 18G X 20cm, introdutor 18 G X 6,35cm, dilatador de vaso, fio guia metálico  0,32'' (.81mm) X 60cm, demarcado com ponta 'J', seringa  5cc, Características Adicionais: seringa vazada e valvulada, com dispositivo antirrefluxo, que permite a passagem do guia metálico através do êmbolo, dilatador e clamps para fixação do cateter, conexão em 'luer lock', tampas removíveis com membrana auto cicatrizante.</t>
  </si>
  <si>
    <t>MÉDICA PRODUTOS HOSPITALARES LTDA. (MÉDICA PRO)</t>
  </si>
  <si>
    <t>239/2019</t>
  </si>
  <si>
    <t>240/2019</t>
  </si>
  <si>
    <t>242/2019</t>
  </si>
  <si>
    <t>243/2019</t>
  </si>
  <si>
    <t>244/2019</t>
  </si>
  <si>
    <t>FELIPE SEABRA</t>
  </si>
  <si>
    <t>246/2019</t>
  </si>
  <si>
    <t>247/2019</t>
  </si>
  <si>
    <t>CONSERTO DE DESFIBRILADOR, Marca ZOLL M SÉRIES - PAT.: 020211</t>
  </si>
  <si>
    <t>248/2019</t>
  </si>
  <si>
    <t>DES10</t>
  </si>
  <si>
    <t>CONSERTO DE DESFIBRILADOR Marca PHILIPS, Nº Patrimônio 922535.</t>
  </si>
  <si>
    <t>MESMO ITEM DO CÓDIDO DES10 - Monitor Portátil de Carrinho de Parada - Pat.: 922535</t>
  </si>
  <si>
    <t>ACCORD FARMA</t>
  </si>
  <si>
    <t>JOAQUIM NETO</t>
  </si>
  <si>
    <t>ACCORD</t>
  </si>
  <si>
    <t>joaquim.neto.mars@gmail.com</t>
  </si>
  <si>
    <t>GENESYS COMÉRCIO DE MATERIAL MÉDICO HOSPITALAR LTDA</t>
  </si>
  <si>
    <t>29.526.822/0001-92</t>
  </si>
  <si>
    <t>21.116-8</t>
  </si>
  <si>
    <t>GENESYS</t>
  </si>
  <si>
    <t>CAMPO SIMPLES 170x170 cm, Aplicação: procedimento cirúrgico, material: Tecido liso, cor azul e 100% algodão, Linha 100% algodão. Tamanho: 170x170cm, Característica: Conforme NBR 16064/2016, com resistência a penetração microbiana e a líquidos. Peça simples, Costura reta e overlock com linha 100% algodão,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19413</t>
  </si>
  <si>
    <t>249/2019</t>
  </si>
  <si>
    <t>250/2019</t>
  </si>
  <si>
    <t>PRIME TEXTEIS (PRIME FABRICACAO E COMERCIO DE ARTEFATOS TEXTEIS EIRELI)</t>
  </si>
  <si>
    <t>DIEGO</t>
  </si>
  <si>
    <t>30.002.631/0001-00</t>
  </si>
  <si>
    <t>PRIME TEXTEIS</t>
  </si>
  <si>
    <t>VITALMED PRODUTOS MÉDICOS E HOSPITALARES EIRELI</t>
  </si>
  <si>
    <t>14.631.657/0001-61</t>
  </si>
  <si>
    <t>VITALMED</t>
  </si>
  <si>
    <t>MEIO DE CULTURA, TIPO CALDO INFUSÃO CÉREBRO E CORAÇÃO (BHI), ASPECTO FÍSICO: PÓ, CARACTERÍSTICA ADICIONAL: RECOMENDADO PARA CULTURA DE MICROORGANISMOS APRESENTAÇÃO: FRASCO/500 GRAMAS</t>
  </si>
  <si>
    <t>AGAR SCREENING CROMOGENICO PARA IDENTIFICAÇAO DE BACTERIAS PRODUTORAS DE CARBAPENEMASE.  Aplicação: teste screening de identificação microbiológica em meio de cultura. Forma de apresentação: placas pronto uso.</t>
  </si>
  <si>
    <t>251/2019</t>
  </si>
  <si>
    <t>252/2019</t>
  </si>
  <si>
    <t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t>
  </si>
  <si>
    <t>904-5</t>
  </si>
  <si>
    <t>comercial.nrgoias@gmail.com</t>
  </si>
  <si>
    <t>vitalmedgo@gmail.com</t>
  </si>
  <si>
    <t>4372</t>
  </si>
  <si>
    <t>44.075-2</t>
  </si>
  <si>
    <t>LM COMUNICAÇÃO</t>
  </si>
  <si>
    <t>vendas@lmcomunicacaodf.com.br</t>
  </si>
  <si>
    <t>SOLUÇAO DE RINGER (CLORETOS DE Na, K, Ca) + LACTATO (SODICO) SOLUCAO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t>
  </si>
  <si>
    <t>Conserto de INCUBADORA, marca FANEM, modelo VISION 2286, nº patrimônio 752986</t>
  </si>
  <si>
    <t>INC04</t>
  </si>
  <si>
    <t>Conserto de INCUBADORA, marca FANEM, modelo VISION 2186, nº patrimônio 693148</t>
  </si>
  <si>
    <t>SOLUÇÃO EPI</t>
  </si>
  <si>
    <t>solucao.solucaoepi@gmail.com</t>
  </si>
  <si>
    <t>EXERCITADOR DE MÃO E DEDOS,Características Técnicas Mínimas: tela emborrachada com resistência forte (cor preta), tamanho grande. Código do Item: 3.3.90.30.14.02.0103.000004-01</t>
  </si>
  <si>
    <t>EXERCITADOR DE MÃO E DEDOS, Cor: verde, Aplicação: fortalecimento de mão e dedos, Tamanho: grande,  Material: tela emborrachada com resistência forte.</t>
  </si>
  <si>
    <t>EXERCITADOR DE MÃO</t>
  </si>
  <si>
    <t>EXERCITADOR DE MÃO E DEDOS, Cor: amarela, Aplicação: fortalecimento de mão e dedos, Tamanho: grande,  Material: tela emborrachada com resistência leve.</t>
  </si>
  <si>
    <t>EXERCITADOR DE MÃO E DEDOS, Cor: vermelha, Aplicação: fortalecimento de mão e dedos, Tamanho: pequeno,  Material: tela emborrachada com resistência média.</t>
  </si>
  <si>
    <t>EXERCITADOR MÃO</t>
  </si>
  <si>
    <t>FAIXA ELÁSTICA FISIOTERÁPICA, Características Técnicas Mínimas: Resistência alta, cor prata ou preta, para exercícios físicos de reabilitação e fortalecimento, ideal para exercícios das partes inferiores ou superiores do corpo, Medidas: 1,5 x 0,14 m.</t>
  </si>
  <si>
    <t>FAIXA ELASTICA</t>
  </si>
  <si>
    <t>FAIXA ELÁSTICA FISIOTERÁPICA, Características Técnicas Mínimas: Resistência intermediária, cor azul ou verde, para exercícios físicos de reabilitação e fortalecimento, ideal para exercícios das partes inferiores ou superiores do corpo, Medidas: 1,5 x 0,14 m.</t>
  </si>
  <si>
    <t>IVONETE PEREIRA/DEBORA SOUZA</t>
  </si>
  <si>
    <t>LEVOFLOXACINO</t>
  </si>
  <si>
    <t>CAMILE PRADO / Alessandra</t>
  </si>
  <si>
    <t>TESTE RAPIDO TROPONINA</t>
  </si>
  <si>
    <t>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t>
  </si>
  <si>
    <t>AVENTAL PLUMBÍFERO - Elaborado com lâmina de borracha plumbífera com equivalência de 0,5mm de chumbo e revestido com napa resistente, flexibilidade completa, no tamanho aproximado de 1,100mm de comprimento por 600mm de largura. Obrigatoriamente os aventais deverão ter ABNT/Certificado de Aprovação.</t>
  </si>
  <si>
    <t>EXCELÊNCIA SAÚDE</t>
  </si>
  <si>
    <t>excelenciasaude@excelenciasaude.com.br</t>
  </si>
  <si>
    <t>PREMIER INDUSTRIA</t>
  </si>
  <si>
    <t>28.264.179/0001-03</t>
  </si>
  <si>
    <t>PREMIER INDUSTRIA E COMERCIO EIRELI-ME</t>
  </si>
  <si>
    <t>RISK</t>
  </si>
  <si>
    <t>26.974.279/0001-06</t>
  </si>
  <si>
    <t>30.060.762/0001-44</t>
  </si>
  <si>
    <t>WILIAN SILVA DE ALMEIDA</t>
  </si>
  <si>
    <t>HOPEMED COMERCIO E DISTRIBUIÇÃO DE MATERIAIS MEDICOS</t>
  </si>
  <si>
    <t>1228</t>
  </si>
  <si>
    <t>00931349</t>
  </si>
  <si>
    <t>BAQ10</t>
  </si>
  <si>
    <t>BERÇO AQUECIDO - Marca FANEM, Nº Patrimônio 490525.</t>
  </si>
  <si>
    <t>POLIDOCANOL 0,5% AMPOLA 2 ML</t>
  </si>
  <si>
    <t>POLIDOCANOL 1% AMPOLA 2 ML</t>
  </si>
  <si>
    <t>POLIDOCANOL 1</t>
  </si>
  <si>
    <t>POLIDOCANOL 0,5</t>
  </si>
  <si>
    <t>FICXAR</t>
  </si>
  <si>
    <t>07.713.424/0001-42</t>
  </si>
  <si>
    <t xml:space="preserve">FICXAR COMUNICAÇÃO EIRELI </t>
  </si>
  <si>
    <t>GLÊNIO RODRIGUES TIBA</t>
  </si>
  <si>
    <t>223.987-6</t>
  </si>
  <si>
    <t>MARCELO FEIJÓ</t>
  </si>
  <si>
    <t>24.714.410/0001-62</t>
  </si>
  <si>
    <t>DOMAX INDUSTRIA COMÉRCIO IMPORTAÇÃO E EXPORTAÇÃO DE EQUIPAMENTOS HOSPITALARES</t>
  </si>
  <si>
    <t>18.974.315/0001-03</t>
  </si>
  <si>
    <t>0837-0</t>
  </si>
  <si>
    <t>500-2</t>
  </si>
  <si>
    <t>DOMAX</t>
  </si>
  <si>
    <t>00060-00344750/2019-95</t>
  </si>
  <si>
    <t>FUCSINA BASICA, CI 42500, 25G</t>
  </si>
  <si>
    <t>FUCSINA</t>
  </si>
  <si>
    <t>BISSULFITO DE SODIO PA 500G</t>
  </si>
  <si>
    <t>BISSULFITO</t>
  </si>
  <si>
    <t>ACIDO ACETICO</t>
  </si>
  <si>
    <t>ACIDO ACETICO GLACIAL P.A. 1000ML</t>
  </si>
  <si>
    <t>ÁCIDO NÍTRICO P.A., FÓRMULA QUÍMICA HNO3; PESO MOLECULAR 63,01; ASPECTO FÍSICO LÍQUIDO LÍMPIDO, INCOLOR À AMARELADO, ODOR SUFOCANTE;TEOR MÍNIMO DE 65%; NÚMERO DE REFERÊNCIA QUÍMICA CAS 7697-37-2. APRESENTAÇÃO: FRASCO DE 1L</t>
  </si>
  <si>
    <t>ACIDO NITRICO</t>
  </si>
  <si>
    <t>AGUA DESTILADA</t>
  </si>
  <si>
    <t>Água destilada livre de DNAse, RNAse;|Água ultrapura para Biologia molecular livre de DNAse, RNAse, pirogênio e metais|Utilização em extração e amplificação de DNA</t>
  </si>
  <si>
    <t>jorge1@citopharma.com.br</t>
  </si>
  <si>
    <t>LUVA CIRURGICA ESPECIAL</t>
  </si>
  <si>
    <t>VIA MAGISTRAL - MANIPULAÇÃO</t>
  </si>
  <si>
    <t>viamagistral@uol.com.br</t>
  </si>
  <si>
    <t>3344-3464</t>
  </si>
  <si>
    <t>hos14320@cristaliafv.com.br</t>
  </si>
  <si>
    <t>CIA SUPRIMENTOS</t>
  </si>
  <si>
    <t>vendas@ciasuprimentos.com.br</t>
  </si>
  <si>
    <t>SOLUÇÃO EPI COMERCIO DE EQUIPAMENTOS PROFISSIONAIS DE SEGURANÇA EIRELI</t>
  </si>
  <si>
    <t>33.602.062/0001-22</t>
  </si>
  <si>
    <t>00060-00363736/2019-91</t>
  </si>
  <si>
    <t>vendas2@vittahospitalar.com.br</t>
  </si>
  <si>
    <t>DFE10</t>
  </si>
  <si>
    <t>DFE11</t>
  </si>
  <si>
    <t>DFE12</t>
  </si>
  <si>
    <t>DFE13</t>
  </si>
  <si>
    <t>CONSERTO DE DETECTOR FETAL, Marca MEDPEJ, Modelo DF-4000, Nº Patrimônio 1077768.</t>
  </si>
  <si>
    <t>CONSERTO DE DETECTOR FETAL, Marca MEDPEJ, Modelo DF-4000, Nº Patrimônio 1077769.</t>
  </si>
  <si>
    <t>CONSERTO DE DETECTOR FETAL, Marca MEDPEJ, Modelo DF-4000, Nº Patrimônio 1077770.</t>
  </si>
  <si>
    <t>CONSERTO DE DETECTOR FETAL, Marca MEDPEJ, Modelo DF-4000, Nº Patrimônio 1077772</t>
  </si>
  <si>
    <t>PHARMATEX 4</t>
  </si>
  <si>
    <t>vendas4@pharmatex.com.br</t>
  </si>
  <si>
    <t>PHARMATEX 2</t>
  </si>
  <si>
    <t>comercial@pharmatex.com.br</t>
  </si>
  <si>
    <t>comercial3@pharmatex.com.br</t>
  </si>
  <si>
    <t>PHARMATEX 3</t>
  </si>
  <si>
    <t>BATERIA 12V. 180Ah  Tipo: ESTACIONÁRIO,    Composição:12V/180Ah, Aplicação: instalação em No-Break, e grupos motores geradores de energia eletrica e de emergência, em UTIS e Centros Cirúrgicos,  Características: 12V , 180Ah, (Ampér x hora ) , Forma Apresentação: Unidade, Prazo validade: de acordo com cada fabricante,</t>
  </si>
  <si>
    <t>dsmedicalequipamentos@gmail.com</t>
  </si>
  <si>
    <t>66478-2</t>
  </si>
  <si>
    <t xml:space="preserve">SOLUÇÃO DE GLICOSE PARA TESTE ORAL DE TOLERÂNCIA, SABOR  LIMÃO, FRASCO 300 ML, 75 GRAMAS DE GLICOSE, INDICADO PARA O TESTE ORAL DE TOLERÂNCIA A GLICOSE, PRONTO PARA USO. Aplicação (finalidade): Realização do teste oral de tolerância à glicose (TOTG). Composição: 75 gramas de Glicose. Tamanho/Capacidade: 300 ml, Frasco. </t>
  </si>
  <si>
    <t>JOÃO MED</t>
  </si>
  <si>
    <t>vendas12@joaomed.com.br</t>
  </si>
  <si>
    <t>CAM20</t>
  </si>
  <si>
    <t>Conserto de CAMA DE PARTO, Marca FANEM, Nº Patrimônio 421888.</t>
  </si>
  <si>
    <t>00060-00346549/2019-42</t>
  </si>
  <si>
    <t>DFE14</t>
  </si>
  <si>
    <t>CONSERTO DE DETECTOR FETAL, Marca MEDPEJ, modelo DF-7000, Nº Patrimônio 1339243, Nº de série 144741.</t>
  </si>
  <si>
    <t>CONJUNTO PARA DETERMINAÇÃO DE PARATORMONIO.Aplicação:analise hormonal. Características adicionais: equipamento automatizado. Forma de Apresentação:conjunto (kit). Prazo de Validade: 75% do prazo de validade do produto.</t>
  </si>
  <si>
    <t>CONJUNTO PARA DETERMINAÇÃO DE PARATORMONIO</t>
  </si>
  <si>
    <t>CONJUNTO PARA DETERMINAÇÃO DE FERRITINA. Características adicionais: equipamento automatizado.</t>
  </si>
  <si>
    <t>00060-00392200/2019-82</t>
  </si>
  <si>
    <t>VME04</t>
  </si>
  <si>
    <t>Conserto em Aparelho VENTILADOR MECÂNICO PULMONAR, marca Maquet, nº patrimônio 1001782</t>
  </si>
  <si>
    <t>ASP02</t>
  </si>
  <si>
    <t>CONSERTO DE Aspirador Cirúrgico, marca Inalamed, nº patrimônio 874067</t>
  </si>
  <si>
    <t>00060-00390799/2019-10</t>
  </si>
  <si>
    <t>302/2019</t>
  </si>
  <si>
    <t>MICROSCOPIA RIBEIRO</t>
  </si>
  <si>
    <t>microscopiaribeiro2018@gmail.com</t>
  </si>
  <si>
    <t>MICROSCOPIA RIBEIRO 2</t>
  </si>
  <si>
    <t>micomercioltda@gmail.com</t>
  </si>
  <si>
    <t xml:space="preserve">Kit de coleta de urina (manual/automatizado), contendo 1 tubo cônico de 12 ml, graduado, com tampa não fixada ao tubo, feito em polipropileno, transparente, diâmetro: 13 a 16,5 mm, altura: 70 a 120 mm;  e 1 becker coletor flexível. Descartáveis. Embalados individualmente.Aplicação (finalidade): Para coleta de urina. Composição: Polipropileno. Tamanho/Capacidade:Tubo cônico de 12 ml (diâmetro: 13 a 16,5 mm, altura: 70 a 120 mm). Características adicionais: Kits embalados individualmente. Estéril. Embalagem: Pacote com 150 Unidades. </t>
  </si>
  <si>
    <t>SALTO ORTOPÉDICO GRANDE, Aplicação: correção ortopédica, Material: borracha, Tamanho/Capacidade: grande, Unidade De Fornecimento: unidade</t>
  </si>
  <si>
    <t>CATETER VENOSO TOTAL/IMPLANTAVEL P/QUIMIOTERAPIA C/RESERVATORIO ADULTO CATETER POLIURETANO/SILICONE AG.WUBER/TUNERIZACAO. Cateter central, aplicação totalmente implatável, longa permanência, estéril, se uso único, cateter em silicone radipaco graduado em centímetros, tipo reservatório em  material biocompatível (titânio ou plástico), calibre de 6,5 - 7,5 componentes adicionais kit introdutor completo.   </t>
  </si>
  <si>
    <t>=SOMASE($A$801:$A$832;G801;$D$801:$D$832)</t>
  </si>
  <si>
    <t>CIENTIFICA - Alessandra</t>
  </si>
  <si>
    <t>vendas7@cientificahospitalar.com.br</t>
  </si>
  <si>
    <t>CIA SUPRIMENTOS (AEJ IMPORTAÇÃO E EXPORTAÇÃO DE MATERIAIS HOSPITALARES E EDUCACIONAIS LTDA)</t>
  </si>
  <si>
    <t>MEYBEL BRANDÃO</t>
  </si>
  <si>
    <t>34.384.756/0001-01</t>
  </si>
  <si>
    <t>BMR MEDICAL</t>
  </si>
  <si>
    <t>sarah@bmrmedical.com.br</t>
  </si>
  <si>
    <t>HEMOSTATICO ABSORVIVEL</t>
  </si>
  <si>
    <t>HEMOSTÁTICO ABSORVÍVEL, ESPONJA DE GELATINA LIOFILIZADA, ESTÉRIL, EM CUBO 1 CM. Aplicação: Hemostasia após a exodontia. Unidade de Fornecimento: Caixa com 10 unidades. Unidade de Estoque: Caixa.</t>
  </si>
  <si>
    <t>HOSPDROGAS - HERMILTON 2</t>
  </si>
  <si>
    <t>araujo.venda@hotmail.com</t>
  </si>
  <si>
    <t>VITTA HOSPITALAR 2</t>
  </si>
  <si>
    <t>licitacao1@vittahospitalar.com.br</t>
  </si>
  <si>
    <t xml:space="preserve">Reanimador/Ressuscitador manual </t>
  </si>
  <si>
    <t>Reanimador/Ressuscitador manual infantil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- 750ml; reservatório para oxigênio - confeccionado em material maleável e resistente com capacidade compatível com o tamanho infantil;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200260</t>
  </si>
  <si>
    <t>00060-00354512/2019-98</t>
  </si>
  <si>
    <t>CAIXA ORGANIZADORA, Material: polietileno/plástico, Cor: azul, Características Adicionais:  aplicação: armazenamento de medicações e materiais medico-hospitalares, com medidas externas: 8,0 X 11,0 X 18,0 cm, (Nº 3), Unidade De Fornecimento: unidade Código do Item: 3.3.90.30.19.03.0015.000003-01</t>
  </si>
  <si>
    <t>00060-00402537/2019-13</t>
  </si>
  <si>
    <t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t>
  </si>
  <si>
    <t>CURATIVO ANTISSEPTICO</t>
  </si>
  <si>
    <t>NR GOIÁS (NR INDÚSTRIA E COMÉRCIO LTDA)</t>
  </si>
  <si>
    <t>NR GOIÁS</t>
  </si>
  <si>
    <t>ECG01</t>
  </si>
  <si>
    <t>Conserto do Ecógrafo Medison, modelo SA 8000 SE, acompanhado de vídeo impressora marca SONY, patrimônio nº 619437.</t>
  </si>
  <si>
    <t>Conserto do Ecógrafo, Marca Ultra-Vision, Modelo: 110PC Patrimônio Nº. 684026,</t>
  </si>
  <si>
    <t>Conserto do aparelho de Ecocardiograma, marca GE, Modelo VIVID 3. Patrimônio GDF 602943.</t>
  </si>
  <si>
    <t>HOSPTECH SERVIÇO PARA SAÚDE EIRELI</t>
  </si>
  <si>
    <t>VITÓRIA / MESSIAS</t>
  </si>
  <si>
    <t>26.736.747/0001-04</t>
  </si>
  <si>
    <t>5004</t>
  </si>
  <si>
    <t>113515-5</t>
  </si>
  <si>
    <t>HOSPTECH</t>
  </si>
  <si>
    <t>HOSPTEC - VITÓRIA</t>
  </si>
  <si>
    <t>vitoria.hospitech@gmail.com</t>
  </si>
  <si>
    <t>HOSPTEC - MESSIAS</t>
  </si>
  <si>
    <t>messias.hospitech@gmail.com</t>
  </si>
  <si>
    <t>FLUXÔMETRO PARA REDE CANALIZADA DE OXIGÊNIO , material: corpo de latão polido e cromado, bilha externa e intera em policarbonato inquebrantável, esfera em aço inoxidável. Tamanho: Escala de vazão de 0 a 15 litros por minuto, exatidão da escala de +/- 10%, leitura indicada no centro da esfera. Características adicionais: Acompanhado de dispositivo para adaptação de látex, sede da agulha metálica, garantia de perfeita vedação e grande durabilidade, botão de controle de fluxo fixado com parafuso halen permitindo fácil manutenção, sistema de vedação tipo agulha flutuante evitando vazamentos e rosca de saída DISS (padrão ABNT), sistema de compensação de pressão, tampa de proteção da rosca do conector de gás em plástico maleável, temperatura de trabalho entre Xº e Yº, cor: verde - padrão ABNT.</t>
  </si>
  <si>
    <t>00060-00410491/2019-06</t>
  </si>
  <si>
    <t>SEG10</t>
  </si>
  <si>
    <t>Conserto da Serras de gesso, Marca Nevoni, Nº. Patrimônio 1051549</t>
  </si>
  <si>
    <t>SEG11</t>
  </si>
  <si>
    <t>Conserto da Serras de gesso, Marca Nevoni, Nº. Patrimônio 1051545</t>
  </si>
  <si>
    <t>SEG12</t>
  </si>
  <si>
    <t>Conserto da Serras de gesso, Marca Nevoni, Nº. Patrimônio 1051613</t>
  </si>
  <si>
    <t>SEG13</t>
  </si>
  <si>
    <t>Conserto da Serras de gesso, Marca Nevoni, Nº. Patrimônio 1051624</t>
  </si>
  <si>
    <t>SEG14</t>
  </si>
  <si>
    <t>Conserto da  Serras de gesso, Marca Nevoni, Nº. Patrimônio 1051611</t>
  </si>
  <si>
    <t>DFE15</t>
  </si>
  <si>
    <t>CONSERTO DE DETECTOR FETAL, Marca MEDPEJ, Modelo DF-4000, Nº Patrimônio 1077773</t>
  </si>
  <si>
    <t>DFE16</t>
  </si>
  <si>
    <t>CONSERTO DE DETECTOR FETAL, Marca MEDPEJ, Modelo DF-4000, Nº Patrimônio 1077775</t>
  </si>
  <si>
    <t>ASP03</t>
  </si>
  <si>
    <t>CONSERTO DE Aspirador cirúrgico, Marca FANEM, Nº Patrimônio  FHDF 130931.</t>
  </si>
  <si>
    <t>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t>
  </si>
  <si>
    <t>AGULHA ANESTÉSICA RAQUIDIANA 27G</t>
  </si>
  <si>
    <t>ESCOVA / ESPONJA PARA DEGERMAÇÃO DAS MÃOS, Material Corpo: plástico flexível, Apresentação: seca, Embalagem: individual estéril, Tipo Cerdas: macias, Tipo Uso: descartável, Característ Cerdas: macias, Tipo Uso:  descartável, Características Adicionais: não provoque irritação na pele, permita limpeza do espaço interdigital</t>
  </si>
  <si>
    <t>EST01</t>
  </si>
  <si>
    <t>CONSERTO DE Estabilizador, Marca ENERMAX, Nº Patrimônio 719871 .</t>
  </si>
  <si>
    <t>00060-00410766/2019-01</t>
  </si>
  <si>
    <t>TEN03</t>
  </si>
  <si>
    <t>Conserto de Estimulador Elétrico Transcutâneo, Marca KINESIS TENS, Nº Patrimônio 707951</t>
  </si>
  <si>
    <t>vendas@insightmedgo.com</t>
  </si>
  <si>
    <t>INSIGHT MED</t>
  </si>
  <si>
    <t>336/2019</t>
  </si>
  <si>
    <t>DFE17</t>
  </si>
  <si>
    <t>CONSERTO DE DETECTOR FETAL, Marca MEDPEJ, Modelo DF-4000, Nº Patrimônio 1077776</t>
  </si>
  <si>
    <t xml:space="preserve">ESPÉCULO VAGINAL DESCARTÁVEL TAMANHO M, NÃO ESTÉRIL. Aplicação: Auxiliar no exame ginecológico vaginal. Características adicionais: Produzido em poliestireno, transparente, valvas anatômicas, com dispositivo de abertura tipo parafuso. Apresentação: embalagem individual. </t>
  </si>
  <si>
    <t>ESPÉCULO VAGINAL DESCARTÁVEL TAMANHO M</t>
  </si>
  <si>
    <t>DRENO DE PENROSE ESTERIL ENV.C/01 UND. CADA N.60 - Dreno cirúrgico de penrose, n° 3, látex atóxico, com pó bioabssorvível, sem gaze, descartável, estéril.</t>
  </si>
  <si>
    <t>CEPHEID</t>
  </si>
  <si>
    <t>jose.wilsonpereira@cepheid.com</t>
  </si>
  <si>
    <t>MARTINS - FABIO</t>
  </si>
  <si>
    <t>CONSERTO DE CAMA Marca STRYKER, Nº. Patrimônio 019967</t>
  </si>
  <si>
    <t>CAM21</t>
  </si>
  <si>
    <t>Conserto de CAMA Marca HOSPIMETAL, Nº. Patrimônio 878278</t>
  </si>
  <si>
    <t>00060-00422892/2019-09</t>
  </si>
  <si>
    <t>CLIPE USO CIRÚRGICO MODELO LT300, MATERIAL TITÂNIO, TIPO LIGADURA, TAMANHO MÉDIO, CARACTERÍSTICAS ADICIONAIS COM RANHURAS LONGITUDINAIS. TIPO EMBALAGEM: CARTUCHO COM 6 CLIPES.FOTOS ANEXAS</t>
  </si>
  <si>
    <t>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t>
  </si>
  <si>
    <r>
      <t xml:space="preserve">Conserto do Carro de ANESTESIA, Marca </t>
    </r>
    <r>
      <rPr>
        <sz val="10"/>
        <color rgb="FF000000"/>
        <rFont val="Calibri"/>
        <family val="2"/>
        <scheme val="minor"/>
      </rPr>
      <t>TAKAOKA, Modelo FUJI,</t>
    </r>
    <r>
      <rPr>
        <sz val="10"/>
        <color theme="1"/>
        <rFont val="Arial"/>
        <family val="2"/>
      </rPr>
      <t xml:space="preserve"> Chapa patrimonial n°38650</t>
    </r>
  </si>
  <si>
    <r>
      <t xml:space="preserve">Conserto do Carro de ANESTESIA, Marca </t>
    </r>
    <r>
      <rPr>
        <sz val="10"/>
        <color rgb="FF000000"/>
        <rFont val="Calibri"/>
        <family val="2"/>
        <scheme val="minor"/>
      </rPr>
      <t>TAKAOKA, Modelo ORIGAMI,</t>
    </r>
    <r>
      <rPr>
        <sz val="10"/>
        <color theme="1"/>
        <rFont val="Arial"/>
        <family val="2"/>
      </rPr>
      <t xml:space="preserve"> Chapa patrimonial n°318379.</t>
    </r>
  </si>
  <si>
    <r>
      <t xml:space="preserve">Conserto do Carro de ANESTESIA, Marca </t>
    </r>
    <r>
      <rPr>
        <sz val="10"/>
        <color rgb="FF000000"/>
        <rFont val="Calibri"/>
        <family val="2"/>
        <scheme val="minor"/>
      </rPr>
      <t>TAKAOKA, Modelo NIKKEI,</t>
    </r>
    <r>
      <rPr>
        <sz val="10"/>
        <color theme="1"/>
        <rFont val="Arial"/>
        <family val="2"/>
      </rPr>
      <t xml:space="preserve"> Chapa patrimonial n°591603.</t>
    </r>
  </si>
  <si>
    <r>
      <t xml:space="preserve">Conserto do Carro de ANESTESIA, Marca </t>
    </r>
    <r>
      <rPr>
        <sz val="10"/>
        <color rgb="FF000000"/>
        <rFont val="Calibri"/>
        <family val="2"/>
        <scheme val="minor"/>
      </rPr>
      <t>TAKAOKA, Modelo NIKKEI,</t>
    </r>
    <r>
      <rPr>
        <sz val="10"/>
        <color theme="1"/>
        <rFont val="Arial"/>
        <family val="2"/>
      </rPr>
      <t xml:space="preserve"> Chapa patrimonial n°591699.</t>
    </r>
  </si>
  <si>
    <t>CEFTRIAXONA PÓ P/ SOL INJ 500MG IM FRASCO-AMPOLA + SOLUÇÃO DILUENTE</t>
  </si>
  <si>
    <t>CEFTRIAXONA  + SOLUÇÃO DILUENTE</t>
  </si>
  <si>
    <t>LAMINA PARA MICROSCOPIA 26X76MM EXTREMIDADE FOSCA. **Caixa com 50 lâminas.</t>
  </si>
  <si>
    <t>LAMINULA DE VIDRO PARA MICROSCOPIA 24MM X 32MM **Caixa com 100 laminulas.</t>
  </si>
  <si>
    <t>LAMINULA DE VIDRO PARA MICROSCOPIA 24MM X 50MM **Caixa com 100 laminulas.</t>
  </si>
  <si>
    <t>CAN06</t>
  </si>
  <si>
    <t>Conserto do Carro de ANESTESIA, MARCA MINDRAY, MOD. WATO 65, PAT: 1189813</t>
  </si>
  <si>
    <t>FILGRASTIM SOLUCAO INJETAVEL 300MCG SERINGA PREENCHIDA OU FRASCO-AMPOLA</t>
  </si>
  <si>
    <t>FILGASTRIM</t>
  </si>
  <si>
    <t>OTO01</t>
  </si>
  <si>
    <t>Conserto de Otoscópio, Marca OPALINE, Nº Patrimônio 1078048</t>
  </si>
  <si>
    <t>OTO02</t>
  </si>
  <si>
    <t>OTO03</t>
  </si>
  <si>
    <t>Conserto de Otoscópio, Marca OPALINE, Nº Patrimônio 1078038</t>
  </si>
  <si>
    <t>Conserto de Otoscópio, Marca MISSOURI, Nº Patrimônio 201263</t>
  </si>
  <si>
    <t>CAIXA TÉRMICA COM RODAS, Aplicação: Aplicação: transporte de imunobiológicos (rotina e campanhas) para distribuição em salas de vacinas, Material: poliuretano, Tamanho: grande, entre 58 e 60 litros, Características Adicionais: densidade mínima de 35kg/m3, com espessura mínima de 4cm, confeccionadas externamente em estrutura de polietileno de impacto praticamente indestrutível, texturizada, resistente a impactos e arranhões, Tampa: removível e reversível, reta com fechamento hermético, Revestimento Interno: com isolamento em espuma de poliuretano resistente a infiltrações, vazamentos e corrosões, fácil de ser lavado (para impedir o aparecimento de manchas e odores), dreno com tampa na parte inferior, com duas rodas rodas na parte traseira e alça lateral dobrável para facilitar o transporte, Cor: azul. Forma de Apresentação: embalagem individual, Prazo de Validade: mínimo de 01 ano, Unidade de Estoque: unidade.</t>
  </si>
  <si>
    <t>00060-00432354/2019-14</t>
  </si>
  <si>
    <t>ALICATE, Material: aço forjado, Aplicação: crimpar conectores RJ-11, Tipo: grampeador. 1</t>
  </si>
  <si>
    <t>ALICATE</t>
  </si>
  <si>
    <t>ALICATE UNIVERSAL,Características Adicionais: compontas temperadas , cabo isolado, Comprimento: 200 mm</t>
  </si>
  <si>
    <t>ALICATE UNIVERSAL</t>
  </si>
  <si>
    <t>CAIXA TERMICA</t>
  </si>
  <si>
    <t>ALICATE DE BICO, Características Técnicas Mínimas: meia cana, 6 polegadas, ponteira de aço e cabo emborrachado Código do Item: 3.3.90.30.42.02.0109.000001-01</t>
  </si>
  <si>
    <t>ALICATE DE BICO</t>
  </si>
  <si>
    <t>ALICATE DE CORTE DIAGONAL - Fabricado em aço cromo-vanádio, arestas de corte com ajuste preciso, temperadas por indução, cabo antideslizante com abas protetoras para maior conforto.</t>
  </si>
  <si>
    <t>ALICATE DE CORTE</t>
  </si>
  <si>
    <t>00060-00432405/2019-16</t>
  </si>
  <si>
    <t>JOGO DE CHAVE ALLEN</t>
  </si>
  <si>
    <t>JOGO DE CHAVE ALLEN. Aplicação/Finalidade: utilização na manutenção de equipamentos mecânicos. Material/Composição: aço com tratamento superficial oxidado. Tamanho: componentes com 6, 7, 8 e 9,50 mm (milímetros). Características Adicionais: formatos hexagonais, medida referência 1, 27 a 10. Processo de Esterilização: não se aplica. Forma de Apresentação: ferramenta. Prazo de Validade: indeterminado. Unidade de Estoque: jogo - JG.</t>
  </si>
  <si>
    <t>CONJUNTO DE CHAVE ESTRELA</t>
  </si>
  <si>
    <t>CONJUNTO DE CHAVE ESTRELA ,Material: aço cromovanádio, Composição: 09 peças, Medidas: 6/7mm, 10/11mm, 12/13mm, 14/15mm, 18/19mm, 21/23mm, 24/26mm, 24/27mm e 27/32mm., Unidade De Fornecimento: conjunto com 9 peças.</t>
  </si>
  <si>
    <t>CONJUNTO DE CHAVE DE FENDA</t>
  </si>
  <si>
    <t>CONJUNTO CHAVE DE FENDA,Material: aço cromo vanádio, Material Haste: niquelada, Material Cabo: polipropileno, Quantidade Peças: 6, Dimensões: 4,50 x 80 mm; 4,50 x 100 mm; 6 x 150 mm; 8 x 150mm; 8 x 200 mm; 10 x 150 mm, Tipo: cruzada (philips), Unidade De Fornecimento: conjunto com 6 peças</t>
  </si>
  <si>
    <t>JOGO DE CHAVE DE BOCA</t>
  </si>
  <si>
    <t>00060-00434857/2019-24</t>
  </si>
  <si>
    <t>COLCHAO HOSPITALAR REVESTIDO EM NAPA COR CINZA C/ESPUMA DE 10CM E DENSIDADE D28 TAMANHO 80X1,90CM 1</t>
  </si>
  <si>
    <t>CIA SUPRIMENTOS (703699)</t>
  </si>
  <si>
    <t>362/2019</t>
  </si>
  <si>
    <t>363/2019</t>
  </si>
  <si>
    <t>KIT DE DRENAGEM BILIAR PERCUTÂNEA 10F - Kit de drenagem biliar, contendo 01 agulha de chiba 0.021 polegadas; 01 microguia 0.018 polegadas; 01 sistema de acesso percutãneo de micropunção (NPAS). 01 dreno biliar de 08F de 40cm e 01 fio guia 0.035 polegadas. Estéril.</t>
  </si>
  <si>
    <t>KIT DE DRENAGEM BILIAR PERCUTANEA</t>
  </si>
  <si>
    <t>DOMINIO NÃO ENCONTRADO</t>
  </si>
  <si>
    <t>ENDEREÇO NÃO ENCONTRADO</t>
  </si>
  <si>
    <t>ESTILETE, Material: Corpo em polipropileno, Cor: A escolher, Tipo Lâmina: Em aço, Características Adicionais: Lâmina de 18 mm e com trava de segurança</t>
  </si>
  <si>
    <t>ESTILETE,</t>
  </si>
  <si>
    <t>SOLDA REPAROS ELETRÔNICOS, Material: liga de estanho e chumbo na proporção 60/40 e seçõa 1 mm2, fluxo RA, Características Adicionais: solda branda, aplicação em soldagem de componentes eletrônicos, Unidade de fornecimento: rolo com 500g.</t>
  </si>
  <si>
    <t>ROLO</t>
  </si>
  <si>
    <t>FITA ISOLANTE 19X50 M</t>
  </si>
  <si>
    <t>MALETA PARA FERRAMENTAS: Aplicação: para guarda e transporte de ferramentas em geral; Material: estrutura rígida, revestida externamente com plástico rígido; Tamanho: dimensões: 45,5x33x15,2cm (comp. X larg. X alt.); Características: cantos plásticos e laterais reforçadas com cantoneira de alumínio - revestida internamente com material sintético macio (eva) - fivelas, travas e dobradiças em aço cromado - acompanha 2 chaves e alça auxiliar em nylon - acompanha 5 divisores internos removíeis e ajustáveis - porta ferramentas removível com 17 divisões; Prazo de Validade: não há; Unidade de Estoque: unidade.</t>
  </si>
  <si>
    <t>SOLDA REPAROS ELETRÔNICOS</t>
  </si>
  <si>
    <t>MALETA PARA FERRAMENTAS</t>
  </si>
  <si>
    <t>CABO DE PLACA NEUTRA P/ BISTURI ELECTRON T-500</t>
  </si>
  <si>
    <t>CABO DE PLACA NEUTRA P/ BISTURI</t>
  </si>
  <si>
    <t>ALESSANDRA</t>
  </si>
  <si>
    <t xml:space="preserve">SONDA DE FOLEY 3 VIAS LÁTEX Nº 24. Aplicação: para drenagem e controle da diurese e irrigação vesical. Material: Látex. Características Adicionais: 3 vias,estéril, uso único, descartável, siliconizado, atóxico, medindo no mínimo 40 cm, apresentando flexibilidade e maleabilidade adequado ao fim a que se destina, que não cause irritação ao paciente, apresentando espessura uniforme, isento de manchas ou quaisquer defeitos, com válvula do balão fixa que permita perfeita adaptação em seringas, com balão com capacidade de 30 ml e boa distensibilidade, com ponta arredondada e fechada, apresentando 02 orifícios ovais próximos a ponta, situados em lados oposto, delimitados e proporcionais ao diâmetro do calibre, isentos de rebarbas e/ou saliências qeu possam traumatizar o paciente, com dupla embalagem, sendo a externa em papel cirúrgico e a interna em polietileno picotado nas extremidades, favorecendo a abertura em técnica asséptica e garantindo a integridade e esterilidade do produto. Apresentação: embalagem individual, acondicionada em caixa com 10 unidades. Unidade de Estoque: unidade. Código SES: 092453. </t>
  </si>
  <si>
    <t>SONDA DE FOLEY 3 VIAS LÁTEX Nº 24</t>
  </si>
  <si>
    <t>371/2019</t>
  </si>
  <si>
    <t>112.714-4</t>
  </si>
  <si>
    <t>MADEIREIRA RIBEIRO MATERIAIS PARA CONSTRUÇÃO</t>
  </si>
  <si>
    <t>ESPIRITO SANTO</t>
  </si>
  <si>
    <t>vendas06.espsantohospitalares@gmail.com</t>
  </si>
  <si>
    <t>MEDICALSHOPDF2</t>
  </si>
  <si>
    <t>vendas1@farmarin.com.br</t>
  </si>
  <si>
    <t>TELA INORGÂNICA DE POLIPROPILENO PEQUENA</t>
  </si>
  <si>
    <t>Tela inorgânica de polipropileno pequena.Tela inorgânica de polipropileno 8 a 15 cm X 10 a 15 cm inabsorvível, estéril, validade mínima de 3 anos</t>
  </si>
  <si>
    <t>FARMARIM (701211)</t>
  </si>
  <si>
    <t>AGIMED - ANDREIA</t>
  </si>
  <si>
    <t>andreia@agimed.com.br</t>
  </si>
  <si>
    <t>00060-00455557/2019-89</t>
  </si>
  <si>
    <t>00060-00455671/2019-17</t>
  </si>
  <si>
    <t>00060-00454240/2019-25</t>
  </si>
  <si>
    <t>00060-00452453/2019-12</t>
  </si>
  <si>
    <t>DISCO COMPACTO, Capacidade: CD R, 700 Mb, Tempo Duração: 80 min, Características Adicionais: gravável, Unidade de Fornecimento: envelope com 1 unidade</t>
  </si>
  <si>
    <t>UIN</t>
  </si>
  <si>
    <t>378/2019</t>
  </si>
  <si>
    <t>380/2019</t>
  </si>
  <si>
    <t>printmaster.adm@gmail.com</t>
  </si>
  <si>
    <t>J.SANTOS@BR.URGO.COM</t>
  </si>
  <si>
    <t>CEPHEID BRASIL IMPORTAÇÃO, EXPORTAÇÃO E COMÉRCIO DE PRODUTOS DE DIAGNÓSTICOS LTDA</t>
  </si>
  <si>
    <t>ANDRÉA CASTRO</t>
  </si>
  <si>
    <t>18.628.083/0002-04</t>
  </si>
  <si>
    <t>FARMARIN INDUSTRIA E COMERCIO LTDA</t>
  </si>
  <si>
    <t>58.635.830/0001-75</t>
  </si>
  <si>
    <t>CEPHEID (703752)</t>
  </si>
  <si>
    <t>as3@as3hospitalar.com</t>
  </si>
  <si>
    <t>AS3 HOSPITALAR</t>
  </si>
  <si>
    <t>SUPERMEDICA - LARISSA</t>
  </si>
  <si>
    <t>vendas03@supermedica.com.br</t>
  </si>
  <si>
    <t>AS3 HOSPITALAR LTDA</t>
  </si>
  <si>
    <t>26.129.177/0001-86</t>
  </si>
  <si>
    <t>vendas4@vittahospitalar.com.br</t>
  </si>
  <si>
    <t>compras@vittahospitalar.com.br</t>
  </si>
  <si>
    <t>VITTA HOSPITALAR 3</t>
  </si>
  <si>
    <t>VITTA HOSPITALAR 4</t>
  </si>
  <si>
    <t>00060-00461977/2019-02</t>
  </si>
  <si>
    <t>00060-00468876/2019-54</t>
  </si>
  <si>
    <t>00060-00468965/2019-09</t>
  </si>
  <si>
    <t>3222-0</t>
  </si>
  <si>
    <t>6.219-7</t>
  </si>
  <si>
    <t>PARAFUSO CORTICAL 3,5 MM - Parafuso CORTICAL 3,5 mm com tamanhos variados (10 a 60 mm), tamanhos escalonados a cada 2 mm. ***Tamanhos no Projeto Básico.</t>
  </si>
  <si>
    <t xml:space="preserve">PARAFUSO CORTICAL 3,5 MM </t>
  </si>
  <si>
    <r>
      <t xml:space="preserve">NAVALHA PARA MICRÓTOMO DE PERFIL BAIXO. Aplicação: corte de parafina, Material: aço inoxidável, Dimensões: 74MM de comprimento X 14MM de largura, Caracteristicas adicionais: uso laboratorial e descartável, perfil baixo. </t>
    </r>
    <r>
      <rPr>
        <b/>
        <sz val="10"/>
        <rFont val="Rockwell"/>
        <family val="1"/>
      </rPr>
      <t>***O preço cotado deve ser para caixa com 50 navalhas.***</t>
    </r>
  </si>
  <si>
    <t>LÂMPADA, modelo dicroica JCDR 18 leds (220v-240v) 6000K</t>
  </si>
  <si>
    <t>LIVRO DE REGISTRO</t>
  </si>
  <si>
    <t>00060-00489318/2019-22</t>
  </si>
  <si>
    <t>00060-00488624/2019-41</t>
  </si>
  <si>
    <t>DEXMEDETOMIDINA</t>
  </si>
  <si>
    <t>DEXMEDETOMIDINA (CLORIDRATO) SOLUCAO INJETAVEL 100MCG/ML FRASCO-AMPOLA 2ML</t>
  </si>
  <si>
    <t>CIPROFLOXACINO</t>
  </si>
  <si>
    <t>CIPROFLOXACINO SOLUÇAO OFTALMICA 0,3 % FRASCO 5 ML</t>
  </si>
  <si>
    <t>396/2019</t>
  </si>
  <si>
    <t>400/2019</t>
  </si>
  <si>
    <t>DIEGO FERNANDES DA SILVA</t>
  </si>
  <si>
    <t>Matrícula: 1.693.844-5</t>
  </si>
  <si>
    <t>402/2019</t>
  </si>
  <si>
    <t>403/2019</t>
  </si>
  <si>
    <t>00060-00494464/2019-70</t>
  </si>
  <si>
    <t>solicita amostra do tecido antes da confecção</t>
  </si>
  <si>
    <t>JALECO EM MICROFIBRA, Material: 100% algodão, fio 40, gramatura de 180 g/m2, Tamanho: M,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</si>
  <si>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M</t>
  </si>
  <si>
    <t>JALECO EM MICROFIBRA, Material: 100% algodão, fio 40, gramatura de 180 g/m2, Tamanho: P,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</si>
  <si>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P</t>
  </si>
  <si>
    <t>JALECO EM MICROFIBRA, Material: 100% algodão, fio 40, gramatura de 180 g/m2, Tamanho: G,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t>
  </si>
  <si>
    <t>JALECO G</t>
  </si>
  <si>
    <t>00060-00498014/2019-56</t>
  </si>
  <si>
    <t>00060-00499739/2019-61</t>
  </si>
  <si>
    <t>00060-00498113/2019-38</t>
  </si>
  <si>
    <t>ECG03</t>
  </si>
  <si>
    <t>Conserto do Ecógrafo, Marca ALOKA, Nº Patrimônio 06058.</t>
  </si>
  <si>
    <t>ESPIRITO SANTO ()</t>
  </si>
  <si>
    <t>404/2019</t>
  </si>
  <si>
    <t>406/2019</t>
  </si>
  <si>
    <t>407/2019</t>
  </si>
  <si>
    <t>MEDLIVE</t>
  </si>
  <si>
    <t>compradireta@medlive.com.br</t>
  </si>
  <si>
    <t>411/2019</t>
  </si>
  <si>
    <t>00060-00506590/2019-84</t>
  </si>
  <si>
    <t>00060-00509960/2019-35</t>
  </si>
  <si>
    <t>PINÇ ENDOSCÓPICA</t>
  </si>
  <si>
    <t>PINÇA ENDOSCÓPICA PARA APLICAÇÃO DE CLIP, autoclavável, empunhadura com trave de proteção que impeça o fechamento do Clip, modelo Click-Line, para aplicação de Clip, com 10 mm de diâmetro e 33 cm de comprimento aproximadamente (tolerância de +/- 5%); Aplicação: cirurgia Vídeoendoscopia, aplicador de Clip para hemostasia endoscópica, radiopaco, autoclavável, que permita fácil carregamento do Clip e sua rotação antes da aplicação, deve oferecer a possibilidade travamento que impeça o fechamento inadvertidamente do Clip;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dureza adequada a um perfeito desempenho.</t>
  </si>
  <si>
    <t>00060-00506886/2019-03</t>
  </si>
  <si>
    <t>00060-00507638/2019-71</t>
  </si>
  <si>
    <t>MSE6199</t>
  </si>
  <si>
    <t>DISPOSITIVO INTRA UTERINO</t>
  </si>
  <si>
    <t>DISPOSITIVO INTRA-UTERINO T DE COBRE 380</t>
  </si>
  <si>
    <t>00060-00505605/2019-97</t>
  </si>
  <si>
    <t>00060-00505769/2019-14</t>
  </si>
  <si>
    <t>00060-00503529/2019-85</t>
  </si>
  <si>
    <t>00060-00503432/2019-72</t>
  </si>
  <si>
    <t>412/2019</t>
  </si>
  <si>
    <t>414/2019</t>
  </si>
  <si>
    <t>comercial@alfahospitalar.bsb.br</t>
  </si>
  <si>
    <t>CONJUNTO PARA DETERMINAÇAO DE MICROPROTEINA EM URINA E LIQUIDOS BIOLOGICOS.Aplicação:analise bioquimica. Características adicionais: equipamento automatizado. Forma de Apresentação:conjunto (kit). Prazo de Validade: 75% do prazo de validade do produto.</t>
  </si>
  <si>
    <t>CONJUNTO DETERMINAÇÃO MICROPROTEINA</t>
  </si>
  <si>
    <t>SUGADOR DE SOLDA</t>
  </si>
  <si>
    <t>SUGADOR DE SOLDA ALUMÍNIO, Características Técnicas Mínimas: manual, para remoção de solda de circuitos eletrônicos, corpo confeccionado em plástico resistente, com comprimento de 20 cm Código do Item: 3.3.90.30.26.02.0078.000001-01</t>
  </si>
  <si>
    <t>BRAÇADEIRA NYLON</t>
  </si>
  <si>
    <t xml:space="preserve">BRAÇADEIRA CONFECCIONADA EM NYLON PARA USO EXCLUSIVO EM APARELHO DE PRESSÃO. Braçadeira confeccionada em tecido nylon, flexível e antialérgico, contendo o nº da portaria do INMETRO, medindo 52 X 14 cm. Circunferência do braço a ser utilizado 18 a 36 cm. Fecho em velcro. Processo de esterilização: não estéril. Embalagem individual. </t>
  </si>
  <si>
    <t>ROLAMENTO M608</t>
  </si>
  <si>
    <t>ROLAMENTO N.608-ZZ PADRAO SKF  1</t>
  </si>
  <si>
    <t>VALVULA ESFIGMOMANOMETRO</t>
  </si>
  <si>
    <t xml:space="preserve">VÁVULA PARA REPARO DE ESFIGMOMANÔMETRO. Válvula em metal, altamente resistente, com regulagem de saída de ar sensível. Processo de esterilização: não estéril. Embalagem individual. </t>
  </si>
  <si>
    <t>RETENTOR</t>
  </si>
  <si>
    <t>RETENTOR 1</t>
  </si>
  <si>
    <t>GRAXA AZUL</t>
  </si>
  <si>
    <t>GRAXA azul para rolamentos KG</t>
  </si>
  <si>
    <t>lorena.quariguasy@strattner.com.br</t>
  </si>
  <si>
    <t>STRATTNER (329)</t>
  </si>
  <si>
    <t>122488 F</t>
  </si>
  <si>
    <t>231521 F</t>
  </si>
  <si>
    <t>122172 F</t>
  </si>
  <si>
    <t>454522 F</t>
  </si>
  <si>
    <t>454504 F</t>
  </si>
  <si>
    <t xml:space="preserve">796 F </t>
  </si>
  <si>
    <t>LIVRO DE REGISTRO DE ENTORPECENTES E PSICOTRÓPICOS:
Trata-se  de um Livro de Registro de movimentação de estoque dos medicamentos controlados, específico de Farmácia conforme a Portaria 344/98:- Com 100 folhas numeradas tipograficamente. - Formato horizontal com tamanho mínimos de 32 x 32. - Confeccionado em papel branco de no mínimo 65 g. - Capa cartonada. - Possui termo de abertura (Doc. SEI nº 31352720) e termo de encerramento (Doc. SEI nº 31352964). - Páginas internas no formato do Documento SEI nº 31352866.</t>
  </si>
  <si>
    <t>1243302 F</t>
  </si>
  <si>
    <t>455502 F</t>
  </si>
  <si>
    <t xml:space="preserve">JOGO DE CHAVE DE FENDA TAMANHOS:   3x80,    4x100,   5x100,    6x125,    7x150,    8x175,    10x200mm. </t>
  </si>
  <si>
    <t>JOGO DE CHAVE DE FENDA</t>
  </si>
  <si>
    <t>IMPRIMINDO COMÉRCIO E SERVIÇOS EIRELI</t>
  </si>
  <si>
    <t>31.456.997/0001-12</t>
  </si>
  <si>
    <t>4391</t>
  </si>
  <si>
    <t>13.003.152-2</t>
  </si>
  <si>
    <t>IMPRIMINDO</t>
  </si>
  <si>
    <t>Organizado 26/12/2019</t>
  </si>
  <si>
    <r>
      <t>GAMA</t>
    </r>
    <r>
      <rPr>
        <b/>
        <sz val="18"/>
        <color theme="1"/>
        <rFont val="Calibri"/>
        <family val="2"/>
        <scheme val="minor"/>
      </rPr>
      <t xml:space="preserve"> 30/12/</t>
    </r>
    <r>
      <rPr>
        <b/>
        <sz val="14"/>
        <color theme="1"/>
        <rFont val="Calibri"/>
        <family val="2"/>
        <scheme val="minor"/>
      </rPr>
      <t>2019</t>
    </r>
  </si>
  <si>
    <r>
      <t>CERTIDÕES PARA</t>
    </r>
    <r>
      <rPr>
        <b/>
        <sz val="14"/>
        <rFont val="Calibri"/>
        <family val="2"/>
        <scheme val="minor"/>
      </rPr>
      <t xml:space="preserve"> 03/01</t>
    </r>
    <r>
      <rPr>
        <b/>
        <sz val="12"/>
        <rFont val="Calibri"/>
        <family val="2"/>
        <scheme val="minor"/>
      </rPr>
      <t>/2020</t>
    </r>
  </si>
  <si>
    <t>IMPRIMINDO (703535)</t>
  </si>
  <si>
    <t>12*</t>
  </si>
  <si>
    <t>retirada</t>
  </si>
  <si>
    <t>xxx/2020</t>
  </si>
  <si>
    <t>SALDO 2020</t>
  </si>
  <si>
    <t>NUAL</t>
  </si>
  <si>
    <t>001/2020</t>
  </si>
  <si>
    <t>00060-00001279/2020-87</t>
  </si>
  <si>
    <t>.281/2019</t>
  </si>
  <si>
    <t>.301/2019</t>
  </si>
  <si>
    <t>.304/2019</t>
  </si>
  <si>
    <t>.305/2019</t>
  </si>
  <si>
    <t>.307/2019</t>
  </si>
  <si>
    <t>.321/2019</t>
  </si>
  <si>
    <t>.326/2019</t>
  </si>
  <si>
    <t>.333/2019</t>
  </si>
  <si>
    <t>.338/2019</t>
  </si>
  <si>
    <t>.353/2019</t>
  </si>
  <si>
    <t>.362/2019</t>
  </si>
  <si>
    <t>.363/2019</t>
  </si>
  <si>
    <t>.364/2019</t>
  </si>
  <si>
    <t>.376/2019</t>
  </si>
  <si>
    <t>.377/2019</t>
  </si>
  <si>
    <t>.378/2019</t>
  </si>
  <si>
    <t>.379/2019</t>
  </si>
  <si>
    <t>.383/2019</t>
  </si>
  <si>
    <t>.384/2019</t>
  </si>
  <si>
    <t>.386/2019</t>
  </si>
  <si>
    <t>.398/2019</t>
  </si>
  <si>
    <t>.399/2019</t>
  </si>
  <si>
    <t>.404/2019</t>
  </si>
  <si>
    <t>.406/2019</t>
  </si>
  <si>
    <t>.407/2019</t>
  </si>
  <si>
    <t>.409/2019</t>
  </si>
  <si>
    <t>.412/2019</t>
  </si>
  <si>
    <t>.413/2019</t>
  </si>
  <si>
    <t>.414/2019</t>
  </si>
  <si>
    <t>.415/2019</t>
  </si>
  <si>
    <t>.417/2019</t>
  </si>
  <si>
    <t>.418/2019</t>
  </si>
  <si>
    <t>.419/2019</t>
  </si>
  <si>
    <t>.420/2019</t>
  </si>
  <si>
    <t>R$ 2.390,00 07/01/2020 SEDE ABASTECIDA</t>
  </si>
  <si>
    <t>R$ 641,86 03/01/2020 Alimed vai demorar para entregar.</t>
  </si>
  <si>
    <t>R$ 1.586,546 06/01/2020 SEDE ABASTECIDA</t>
  </si>
  <si>
    <t>R$ 4.400,00 06/01/2020 SEDE ABASTECIDA</t>
  </si>
  <si>
    <t>R$ 700,00 07/01/2020 DS MEDICAL diz que não tem conserto.</t>
  </si>
  <si>
    <t>ESPIRITO SANTO DIST. DE PRODUTOS HOSP. EIRELI</t>
  </si>
  <si>
    <t>28.911.309/0001-52</t>
  </si>
  <si>
    <t xml:space="preserve"> 0924-5</t>
  </si>
  <si>
    <t>53.499-4</t>
  </si>
  <si>
    <t>KAROLINA / ERIVELTO SILVA</t>
  </si>
  <si>
    <t>00060-00007122/2020-65</t>
  </si>
  <si>
    <t>002/2020</t>
  </si>
  <si>
    <t>R$ 609,24 07/01/2020 Medicini dessitiu</t>
  </si>
  <si>
    <t>00060-00007621/2020-52</t>
  </si>
  <si>
    <t>003/2020</t>
  </si>
  <si>
    <t>00060-00008066/2020-86</t>
  </si>
  <si>
    <t>004/2020</t>
  </si>
  <si>
    <t>MEDLIVE (MEDILAR IMPORTACAO E DISTRIBUICAO DE PRODUTOS MEDICO HOSPITALARES S/A)</t>
  </si>
  <si>
    <t>07.752.236/0001-23</t>
  </si>
  <si>
    <t>4.044-4</t>
  </si>
  <si>
    <t>13.845-2</t>
  </si>
  <si>
    <t>MEDLIVE - NAYARA</t>
  </si>
  <si>
    <t>Diretor(a) Administrativo(a)/SRSSU</t>
  </si>
  <si>
    <t>NL (SUPERMEDICAL) (700820)</t>
  </si>
  <si>
    <t>HOSPDROGAS (700179)</t>
  </si>
  <si>
    <t>00060-00011832/2020-90</t>
  </si>
  <si>
    <t>005/2020</t>
  </si>
  <si>
    <t>BAQ11</t>
  </si>
  <si>
    <t>BERÇO AQUECIDO - CONTRAPARTIDA</t>
  </si>
  <si>
    <t>R$ 410,00 10/01/2020 FORNECEDOR DESISTIU</t>
  </si>
  <si>
    <t>VISION LINE</t>
  </si>
  <si>
    <t>atendimento@visionlinebrasil.com.br</t>
  </si>
  <si>
    <t>00060-00000000/2020-00</t>
  </si>
  <si>
    <t>006/2020</t>
  </si>
  <si>
    <t>TST01</t>
  </si>
  <si>
    <t>TESTE</t>
  </si>
  <si>
    <t>00060-00015442/2020-99</t>
  </si>
  <si>
    <t>007/2020</t>
  </si>
  <si>
    <t>00060-00015358/2020-75</t>
  </si>
  <si>
    <t>ARTWARE (702395)</t>
  </si>
  <si>
    <t>VIDAMED (701448)</t>
  </si>
  <si>
    <t>LM FARMA (692)</t>
  </si>
  <si>
    <t>R$ 36,10 - 17/01/2020 - 1ª Linha entregou errado</t>
  </si>
  <si>
    <t>R$ 37,51 - 17/01/2020 - 1ª Linha entregou errado</t>
  </si>
  <si>
    <t>R$ 12,00 - 17/01/2020 - Adequar para quantidade da caixa</t>
  </si>
  <si>
    <t>R$ 94,00 - 17/01/2020 - Adequar para quantidade da caixa</t>
  </si>
  <si>
    <t>00060-00019116/2020-51</t>
  </si>
  <si>
    <t>ECG04</t>
  </si>
  <si>
    <t>Conserto do Ecógrafo, Marca ALOKA Nº. Patrimônio 364482</t>
  </si>
  <si>
    <t>008/2020</t>
  </si>
  <si>
    <t>00060-00020224/2020-76</t>
  </si>
  <si>
    <t>407 E</t>
  </si>
  <si>
    <t>R$ 122,50 - 20/01/2020 - Científica desistiu</t>
  </si>
  <si>
    <t>R$ 43,92  - 20/01/2020 - Científica desistiu</t>
  </si>
  <si>
    <t>R$ 2.540,00  - 20/01/2020 - Científica desistiu</t>
  </si>
  <si>
    <t>R$ 13,50 - 20/01/2020 - Científica desistiu</t>
  </si>
  <si>
    <t>009/2020</t>
  </si>
  <si>
    <t>00060-00022277/2020-21</t>
  </si>
  <si>
    <t>00060-00024026/2020-81</t>
  </si>
  <si>
    <t>00060-00024107/2020-81</t>
  </si>
  <si>
    <t>00060-00024175/2020-41</t>
  </si>
  <si>
    <t>010/2020</t>
  </si>
  <si>
    <t>00060-00024276/2020-11</t>
  </si>
  <si>
    <t>011/2020</t>
  </si>
  <si>
    <t>00060-00024344/2020-42</t>
  </si>
  <si>
    <t>012/2020</t>
  </si>
  <si>
    <t>00060-00024731/2020-89</t>
  </si>
  <si>
    <t>013/2020</t>
  </si>
  <si>
    <t>00060-00024759/2020-16</t>
  </si>
  <si>
    <t>014/2020</t>
  </si>
  <si>
    <t>00060-00024808/2020-11</t>
  </si>
  <si>
    <t>R$ 1.470,00 - 21/01/2020 - Vitta Não entregará.</t>
  </si>
  <si>
    <t>R$ 1.325,00 - 21/01/2020 - Vitta Não entregará.</t>
  </si>
  <si>
    <t>015/2020</t>
  </si>
  <si>
    <t>SEDE ABASTECIDA</t>
  </si>
  <si>
    <t>Organizado 21/01/2020</t>
  </si>
  <si>
    <t>281/2019</t>
  </si>
  <si>
    <t>301/2019</t>
  </si>
  <si>
    <t>305/2019</t>
  </si>
  <si>
    <t>338/2019</t>
  </si>
  <si>
    <t>353/2019</t>
  </si>
  <si>
    <t>364/2019</t>
  </si>
  <si>
    <t>376/2019</t>
  </si>
  <si>
    <t>386/2019</t>
  </si>
  <si>
    <t>398/2019</t>
  </si>
  <si>
    <t>399/2019</t>
  </si>
  <si>
    <t>413/2019</t>
  </si>
  <si>
    <t>415/2019</t>
  </si>
  <si>
    <t>418/2019</t>
  </si>
  <si>
    <t>419/2019</t>
  </si>
  <si>
    <r>
      <t>CERTIDÕES PARA</t>
    </r>
    <r>
      <rPr>
        <b/>
        <sz val="14"/>
        <rFont val="Calibri"/>
        <family val="2"/>
        <scheme val="minor"/>
      </rPr>
      <t xml:space="preserve"> 31/01</t>
    </r>
    <r>
      <rPr>
        <b/>
        <sz val="12"/>
        <rFont val="Calibri"/>
        <family val="2"/>
        <scheme val="minor"/>
      </rPr>
      <t>/2020</t>
    </r>
  </si>
  <si>
    <t>ESPIRITO SANTO (703683)</t>
  </si>
  <si>
    <t>WINNER (3979)</t>
  </si>
  <si>
    <t>METHABIO (701878)</t>
  </si>
  <si>
    <t>Repasse (000670)</t>
  </si>
  <si>
    <t>016/2020</t>
  </si>
  <si>
    <t>017/2020</t>
  </si>
  <si>
    <t>018/2020</t>
  </si>
  <si>
    <t>INSIGHT MED - Leticia</t>
  </si>
  <si>
    <t>SITEC MEDICAL</t>
  </si>
  <si>
    <t>gahospitalaradm@gmail.com</t>
  </si>
  <si>
    <t>GA HOSPITALAR</t>
  </si>
  <si>
    <t>00060-00025664/2020-10</t>
  </si>
  <si>
    <t>CAIXA ORGANIZADORA 70L</t>
  </si>
  <si>
    <t>00060-00027631/2020-12</t>
  </si>
  <si>
    <t>GA HOSPITALAR LTDA</t>
  </si>
  <si>
    <t>37.014.586/0001-53</t>
  </si>
  <si>
    <t>00060-00027558/2020-71</t>
  </si>
  <si>
    <t>019/2020</t>
  </si>
  <si>
    <t>020/2020</t>
  </si>
  <si>
    <t>00060-00028293/2020-28</t>
  </si>
  <si>
    <t>MALETA PRIMEIROS SOCORROS</t>
  </si>
  <si>
    <t>MALETA PRIMEIROS SOCORROS - resgate, Material: plástico resistente, largura 24, altura 22, profundidade 44, Características adicionais; 2 bandejas articuladas,14 compartimentos, outros componentes 2 miniestojos com 2 compartimentos cada</t>
  </si>
  <si>
    <t>00060-00028642/2020-10</t>
  </si>
  <si>
    <t>021/2020</t>
  </si>
  <si>
    <t>00060-00030473/2020-70</t>
  </si>
  <si>
    <t>ALTEPLASE PO PARA SOLUÇAO INJETAVEL 50 MG FRASCO AMPOLA</t>
  </si>
  <si>
    <t>ALTEPLASE</t>
  </si>
  <si>
    <t>022/2020</t>
  </si>
  <si>
    <t>UNIÃO QUÍMICA (702665)</t>
  </si>
  <si>
    <t>FLUKKA (702981)</t>
  </si>
  <si>
    <t>2.169,00*</t>
  </si>
  <si>
    <r>
      <t>GAMA</t>
    </r>
    <r>
      <rPr>
        <b/>
        <sz val="18"/>
        <color theme="1"/>
        <rFont val="Calibri"/>
        <family val="2"/>
        <scheme val="minor"/>
      </rPr>
      <t xml:space="preserve"> 24/01/</t>
    </r>
    <r>
      <rPr>
        <b/>
        <sz val="14"/>
        <color theme="1"/>
        <rFont val="Calibri"/>
        <family val="2"/>
        <scheme val="minor"/>
      </rPr>
      <t>2020</t>
    </r>
  </si>
  <si>
    <t>BATERIA 12V</t>
  </si>
  <si>
    <t xml:space="preserve">MÁSCARA DE SILICONE </t>
  </si>
  <si>
    <t xml:space="preserve">KIT CESAREA </t>
  </si>
  <si>
    <t>PACOTE TESTE DESAFIO</t>
  </si>
  <si>
    <t>MAFRA (703141)</t>
  </si>
  <si>
    <t>MEDCOMERCE (2756)</t>
  </si>
  <si>
    <t>00060-00030137/2020-27</t>
  </si>
  <si>
    <t>00060-00031345/2020-43</t>
  </si>
  <si>
    <t>00060-00027893/2020-79</t>
  </si>
  <si>
    <t>00060-00028569/2020-78</t>
  </si>
  <si>
    <t>00060-00030597/2020-55</t>
  </si>
  <si>
    <t>00060-00030857/2020-92</t>
  </si>
  <si>
    <t>023/2020</t>
  </si>
  <si>
    <t>00060-00031390/2020-06</t>
  </si>
  <si>
    <t>024/2020</t>
  </si>
  <si>
    <t>025/2020</t>
  </si>
  <si>
    <t>026/2020</t>
  </si>
  <si>
    <t>027/2020</t>
  </si>
  <si>
    <t>028/2020</t>
  </si>
  <si>
    <t>029/2020</t>
  </si>
  <si>
    <t>030/2020</t>
  </si>
  <si>
    <t>NUAL/HRG</t>
  </si>
  <si>
    <r>
      <t xml:space="preserve">Local de Entrega/prestação do Serviço: </t>
    </r>
    <r>
      <rPr>
        <b/>
        <sz val="10"/>
        <color theme="1"/>
        <rFont val="Times New Roman"/>
        <family val="1"/>
      </rPr>
      <t>NUAL / HRG</t>
    </r>
  </si>
  <si>
    <r>
      <t xml:space="preserve">Local de Entrega/prestação do Serviço: </t>
    </r>
    <r>
      <rPr>
        <b/>
        <sz val="10"/>
        <color theme="1"/>
        <rFont val="Times New Roman"/>
        <family val="1"/>
      </rPr>
      <t>NFH / HRG</t>
    </r>
  </si>
  <si>
    <t>Methabio desistiu parcial</t>
  </si>
  <si>
    <t>TOP DESCARTÁVEIS (703221)</t>
  </si>
  <si>
    <t>juliana.silva@aurobindo.com.br</t>
  </si>
  <si>
    <t>SOLUCAO ACIDA P/ HEMODIALISE GALAO DE 5L P/MAQ. MISTURA PROPORCIONAL COM K=2,0MEQ/L; CA=2,5MEQ/L.</t>
  </si>
  <si>
    <t>00060-00033242/2020-18</t>
  </si>
  <si>
    <t>AGULHA ANESTÉSICA PARA ELETROESTIMULAÇÃO 22G X 50MM. Aplicação: realização de bloqueio de nervo periférico com eletroestimulação. Material: cânula em aço inox revestida de teflon. Tamanho/capacidade: 22G X 50MM. Características adicionais: bisel curto (30°), com tubo de injeção de 35 cm de comprimento;  ponta tipo quincke; cabo eletrodo com encaixe perfeito; estéril; descartável. Forma de apresentação: embalagem individual em papel cirurgico de alto grau</t>
  </si>
  <si>
    <t>00060-00034622/2020-70</t>
  </si>
  <si>
    <t>00060-00036488/2020-41</t>
  </si>
  <si>
    <t>OXICODONA COMPRIMIDO REVESTIDO DE LIBERAÇÃO CONTROLADA 20MG</t>
  </si>
  <si>
    <t>OXICODONA</t>
  </si>
  <si>
    <t>00060-00036537/2020-46</t>
  </si>
  <si>
    <t>031/2020</t>
  </si>
  <si>
    <t>032/2020</t>
  </si>
  <si>
    <t>033/2020</t>
  </si>
  <si>
    <t>034/2020</t>
  </si>
  <si>
    <t>GENERALMED</t>
  </si>
  <si>
    <t>vendas@generalmed.com.br</t>
  </si>
  <si>
    <t>035/2020</t>
  </si>
  <si>
    <t>00060-00037347/2020-46</t>
  </si>
  <si>
    <t>00060-00037210/2020-91</t>
  </si>
  <si>
    <t>036/2020</t>
  </si>
  <si>
    <t>00060-00037026/2020-41</t>
  </si>
  <si>
    <t>00060-00036960/2020-46</t>
  </si>
  <si>
    <t>038/2020</t>
  </si>
  <si>
    <t>00060-00039016/2020-41</t>
  </si>
  <si>
    <t>LEVOTIROXINA SODICA COMPRIMIDO 25 MCG</t>
  </si>
  <si>
    <t>LEVOTIROXINA</t>
  </si>
  <si>
    <t>BROMOPRIDA CAPSULA OU COMPRIMIDO 10MG</t>
  </si>
  <si>
    <t>00060-00037741/2020-84</t>
  </si>
  <si>
    <t>037/2020</t>
  </si>
  <si>
    <t>00060-00037881/2020-52</t>
  </si>
  <si>
    <t>00060-00036657/2020-43</t>
  </si>
  <si>
    <t>00060-00036798/2020-66</t>
  </si>
  <si>
    <t>00060-00036729/2020-52</t>
  </si>
  <si>
    <t>00060-00037097/2020-44</t>
  </si>
  <si>
    <t>00060-00037158/2020-73</t>
  </si>
  <si>
    <t>039/2020</t>
  </si>
  <si>
    <t>040/2020</t>
  </si>
  <si>
    <t>041/2020</t>
  </si>
  <si>
    <t>042/2020</t>
  </si>
  <si>
    <t>043/2020</t>
  </si>
  <si>
    <t>044/2020</t>
  </si>
  <si>
    <t>045/2020</t>
  </si>
  <si>
    <t>046/2020</t>
  </si>
  <si>
    <t>JRG DISTRIBUIDORA DE MEDICAMENTOS HOSPITALARES LTDA</t>
  </si>
  <si>
    <t>04.380.569/0001-80</t>
  </si>
  <si>
    <t>1253-X</t>
  </si>
  <si>
    <t>128.795-8</t>
  </si>
  <si>
    <t>JRG</t>
  </si>
  <si>
    <t>00060-00040146/2020-26</t>
  </si>
  <si>
    <t>00060-00040877/2020-71</t>
  </si>
  <si>
    <t>047/2020</t>
  </si>
  <si>
    <t>048/2020</t>
  </si>
  <si>
    <t>CONJUNTO PARA DRENAGEM MEDIASTINAL Nº 34. capacidade do frasco reservatório 2.000 ml; contendo: 1 dreno de torax em pvc atóxico, transparente, flexivel, multiperfurado, radiopaco, graduação centimetrada e identificação do calibre;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esterelização, prazo de validade e número de lote.</t>
  </si>
  <si>
    <t>00060-00036855/2020-15</t>
  </si>
  <si>
    <t>00060-00036902/2020-12</t>
  </si>
  <si>
    <t>00060-00041051/2020-20</t>
  </si>
  <si>
    <t>00060-00039849/2020-10</t>
  </si>
  <si>
    <t>ANIDULAFUNGINA PO LIOFILO PARA SOLUÇAO INJETAVEL 100 MG FRASCO AMPOLA</t>
  </si>
  <si>
    <t>ANDULAFUNGINA</t>
  </si>
  <si>
    <t>ANTIBIÓTICOS DO BRASIL</t>
  </si>
  <si>
    <t>ebbezerra@ablbrasil.com.br</t>
  </si>
  <si>
    <t>049/2020</t>
  </si>
  <si>
    <t>050/2020</t>
  </si>
  <si>
    <t>051/2020</t>
  </si>
  <si>
    <t>052/2020</t>
  </si>
  <si>
    <t>ALFA (703521)</t>
  </si>
  <si>
    <t>CEI (4067)</t>
  </si>
  <si>
    <t>HOSPFAR (2875)</t>
  </si>
  <si>
    <t>FARMARIN</t>
  </si>
  <si>
    <t>FARMARIN (701211)</t>
  </si>
  <si>
    <t>00060-00042250/2020-55</t>
  </si>
  <si>
    <t>ELE03</t>
  </si>
  <si>
    <t>Conserto do ELETROCARDIÓGRAFO,  Marca DIXTAL, Modelo EP-3, Nº Patrimônio 693822</t>
  </si>
  <si>
    <t>CONTRAPARTIDA</t>
  </si>
  <si>
    <t>18805</t>
  </si>
  <si>
    <t>329126</t>
  </si>
  <si>
    <t>32859</t>
  </si>
  <si>
    <t>552089</t>
  </si>
  <si>
    <t>053/2020</t>
  </si>
  <si>
    <t>054/2020</t>
  </si>
  <si>
    <t>VERA CRUZ (703207)</t>
  </si>
  <si>
    <t>o valor total do item não atinge o faturamento mínimo da única empresa que cotou</t>
  </si>
  <si>
    <t>DESERTO</t>
  </si>
  <si>
    <t>ITEM BLOQUEADO NO SIS - DESERTO</t>
  </si>
  <si>
    <t>THAISSA BEUTEL / ROSANA QUEIROZ</t>
  </si>
  <si>
    <t xml:space="preserve">CAPITAL MEDH </t>
  </si>
  <si>
    <t>comercial@capitalmedh.com</t>
  </si>
  <si>
    <t>elciney@capitalmedh.com</t>
  </si>
  <si>
    <t>CAPITAL MEDH - Elciney</t>
  </si>
  <si>
    <t>00060-00044690/2020-47</t>
  </si>
  <si>
    <t>055/2020</t>
  </si>
  <si>
    <t>BIOTEC (701860)</t>
  </si>
  <si>
    <t>DESERTO, a empresa Shalon tem faturamento de R$ 1.000,00</t>
  </si>
  <si>
    <t>MEDSONDA (700669)</t>
  </si>
  <si>
    <t>044882</t>
  </si>
  <si>
    <t>044894</t>
  </si>
  <si>
    <t>044898</t>
  </si>
  <si>
    <t>044951</t>
  </si>
  <si>
    <t>044906</t>
  </si>
  <si>
    <t>044976</t>
  </si>
  <si>
    <t>044982</t>
  </si>
  <si>
    <t>049574</t>
  </si>
  <si>
    <t>044836</t>
  </si>
  <si>
    <t>044903</t>
  </si>
  <si>
    <t>003267</t>
  </si>
  <si>
    <t>044848</t>
  </si>
  <si>
    <t>044962</t>
  </si>
  <si>
    <t>044926</t>
  </si>
  <si>
    <t>044864</t>
  </si>
  <si>
    <t>044853</t>
  </si>
  <si>
    <t>044967</t>
  </si>
  <si>
    <t>044950</t>
  </si>
  <si>
    <t>044860</t>
  </si>
  <si>
    <t>044877</t>
  </si>
  <si>
    <t>044939</t>
  </si>
  <si>
    <t>044832</t>
  </si>
  <si>
    <t>003268</t>
  </si>
  <si>
    <t>044944</t>
  </si>
  <si>
    <t>044987</t>
  </si>
  <si>
    <t>044810</t>
  </si>
  <si>
    <t>044840</t>
  </si>
  <si>
    <t>044830</t>
  </si>
  <si>
    <t>00060-00044327/2020-21</t>
  </si>
  <si>
    <t>056/2020</t>
  </si>
  <si>
    <t>SÓ QUIMICA - Adriano</t>
  </si>
  <si>
    <t>FARMÁCIA CENTRAL ABASTECIDA</t>
  </si>
  <si>
    <t>00060-00050150/2020-01</t>
  </si>
  <si>
    <t>057/2020</t>
  </si>
  <si>
    <t>adriano.alfaiate@gruposoquimica.com.br</t>
  </si>
  <si>
    <t>MEDIMAC</t>
  </si>
  <si>
    <t>licitacao@medimac.com.br</t>
  </si>
  <si>
    <t>Ingrid Bezerra / DANIEL PELLISSARO</t>
  </si>
  <si>
    <t>420/2019</t>
  </si>
  <si>
    <t>00060-00049645/2020-89</t>
  </si>
  <si>
    <t>058/2020</t>
  </si>
  <si>
    <t>00060-00044723/2020-59</t>
  </si>
  <si>
    <t>059/2020</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</si>
  <si>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P. Deverá ter o certificado de aprovação do MTE.</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</si>
  <si>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M. Deverá ter o certificado de aprovação do MTE.</t>
  </si>
  <si>
    <t>DESATIVADO - LUVA NITRÍLICA: Aplicação: para trabalhos que exijam tato e resisitência a ácidos, álcoois, graxas, querosene, gasolina e detergentes ou a critério dop NSHMT. Material: borracha nitrílica, formato anatômico, acabamento superficial: palma e dedos antiderrapante, cor verde. Espessura média: 0,45 mm, comprimento: 46 cm. Com interior liso e acabamento clorinado. Tamanho G. Deverá ter o certificado de aprovação do MTE.</t>
  </si>
  <si>
    <t>LUVA NITRÍLICA: Aplicação: para trabalhos que exijam tato e resistência a ácidos, álcoois, graxas, querosene, gasolina e detergentes, em operação de imersão na CME, na Anatomia Patológica, laboratórios, Endoscopia, na SVS ou a critério do NSHMT. Material: dupla camada de borracha nitrílica, formato anatômico, palma antiderrapante, em alto relevo, cor verde, punho longo, Espessura média: 0,60 mm. Formato anatômico. Características adicionais: interior liso e acabamento clorinado. Deverá ter o certificado de aprovação do MTE.TAMANHOS: P,M,G.</t>
  </si>
  <si>
    <t xml:space="preserve">RESPIRADOR PFF2 - TIPO N-95: respirador com eficácia comprovada contra bacilo da tuberculose (N95), COM VÁLVULA DE EXALAÇÃO. </t>
  </si>
  <si>
    <t>consultordevendasnr@gmail.com</t>
  </si>
  <si>
    <t xml:space="preserve">MEDIMAC COMERCIO DE ARTIGOS MEDICOS LTDA </t>
  </si>
  <si>
    <t>VANESSA GOMES</t>
  </si>
  <si>
    <t>03.596.923/0001-46</t>
  </si>
  <si>
    <t>1244-0</t>
  </si>
  <si>
    <t>58.924-1</t>
  </si>
  <si>
    <t>LABS (703021)</t>
  </si>
  <si>
    <t>PHITOS</t>
  </si>
  <si>
    <t>vendas@phitosdobrasil.com.br</t>
  </si>
  <si>
    <t>PHITOS 2</t>
  </si>
  <si>
    <t>1º COLOCADA PRODUTO COM EMBALAGEM MAIOR QUE O PEDIDO NÃO PODE FRACIONAR. 2ª COLOCAQDA ACABOU ESTOQUE  E 3ª COLOCADA NÃO ATINGE FATURAMENTO MÍNIMO, NÃO TEM MAIS PROPOSTAS.</t>
  </si>
  <si>
    <t>NL-SUPERMEDICAL- (700820)</t>
  </si>
  <si>
    <t>SOQUIMICA LABORATÓRIOS LTDA</t>
  </si>
  <si>
    <t>SOQUIMICA</t>
  </si>
  <si>
    <t>SODROGAS</t>
  </si>
  <si>
    <t>SOQUIMICA (702925)</t>
  </si>
  <si>
    <t>ADECIL</t>
  </si>
  <si>
    <t>epi@adecil.com.br</t>
  </si>
  <si>
    <t>PROT-CAP</t>
  </si>
  <si>
    <t>vendas@protcap.com.br</t>
  </si>
  <si>
    <t>PROT-CAP - Edilaine</t>
  </si>
  <si>
    <t>edilaine.soares@protcap.com.br</t>
  </si>
  <si>
    <t>3770-2</t>
  </si>
  <si>
    <t>28770-9</t>
  </si>
  <si>
    <t>00060-00056557/2020-33</t>
  </si>
  <si>
    <t>00060-00055096/2020-81</t>
  </si>
  <si>
    <t>CABO UTP,Apresentação: 4P x 24 Cat. 5E - azul, Unidade De Fornecimento: caixa com 305 metros|Código do Item: 3.3.90.30.26.02.0025.000001-02</t>
  </si>
  <si>
    <t>CABO UTP CAT 5E</t>
  </si>
  <si>
    <t>HD 200GB de 7.200 RPM IDE ULTRA-ATA 133. MARCA: SEAGATE</t>
  </si>
  <si>
    <t>HD 200 GB</t>
  </si>
  <si>
    <t>060/2020</t>
  </si>
  <si>
    <t>00060-00062193/2020-21</t>
  </si>
  <si>
    <t>061/2020</t>
  </si>
  <si>
    <t>00060-00058936/2020-68</t>
  </si>
  <si>
    <t>EQUIPO MICROGOTAS GRAVITACIONAL, COM BURETA – 150ML, ESTÉRIL.  Finalidade: administração de soluções parenterais. Composição: PVC atóxico. Tamanho/Capacidade: equipo gravitacional, com tubo de comprimento mínimo de 1,20m e bureta de 150 mL.  Características: bureta com precisão de leitura de 1 mL e numerada a cada 5 ou 10mL, que permita boa visualização da medicação. Alça de sustentação para fixação e transporte. Câmara gotejadora flexível, com filtro e comprimento de 40mm, que assegure que 60 microgotas sejam equivalentes a 1mL. Injetor lateral, apirogênico, autocicatrizante. Ponta perfurante com tampa protetora, que permita conexão segura e facilite a introdução em recipientes de soluções sem risco de desconectar durante o seu uso. Bureta em sua porção superior com injetor para medicação, filtro de entrada de ar e membrana autocicatrizante, que não permita vazamento em suas junções. Tubo de no mínimo 1,20m, transparente, flexível, atóxico, com regulador de fluxo tipo rolete que garanta perfeito controle de gotejamento. Terminal distal, que permita perfeita adaptação aos dispositivos de acesso venoso, com tampa protetora de fácil remoção. Processo de esterilização: óxido de etileno. Prazo de validade: 75% da data de esterilização. Embalagem: embalagem individual em papel grau cirúrgico, ou similar que garanta a abertura em técnica asséptica.</t>
  </si>
  <si>
    <t>EQUIPO MICROGOTAS COM BURETA</t>
  </si>
  <si>
    <t>00060-00059269/2020-31</t>
  </si>
  <si>
    <t>062/2020</t>
  </si>
  <si>
    <t>063/2020</t>
  </si>
  <si>
    <t>064/2020</t>
  </si>
  <si>
    <t>Científica cotou item errado. Era a única proposta.</t>
  </si>
  <si>
    <t>PRADO SERVIÇOS TECNOLOGIA</t>
  </si>
  <si>
    <t>pradoservicotec@gmail.com</t>
  </si>
  <si>
    <t>MEDSELL PRODUTOS HOSPITALARES EIRELLI</t>
  </si>
  <si>
    <t>ANA PAULA BRITO</t>
  </si>
  <si>
    <t>26.480.160/0001-79</t>
  </si>
  <si>
    <t>286</t>
  </si>
  <si>
    <t>000014-8</t>
  </si>
  <si>
    <t>SITEC (5757)</t>
  </si>
  <si>
    <t>CAPITAL MEDH IMPORTAÇÃO DISTRIBUIÇÃO E REPRESENTAÇÃO COMERCIAL LTDA.</t>
  </si>
  <si>
    <t>Elaine Dias</t>
  </si>
  <si>
    <t>24.702.356/0001-35</t>
  </si>
  <si>
    <t>5004-0</t>
  </si>
  <si>
    <t>116.365-5</t>
  </si>
  <si>
    <t>CAPITAL MEDH</t>
  </si>
  <si>
    <t>00060-00065134/2020-12</t>
  </si>
  <si>
    <t>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t>
  </si>
  <si>
    <t>00060-00065080/2020-87</t>
  </si>
  <si>
    <t>00060-00063199/2020-15</t>
  </si>
  <si>
    <t>00060-00063152/2020-51</t>
  </si>
  <si>
    <t>065/2020</t>
  </si>
  <si>
    <t>066/2020</t>
  </si>
  <si>
    <t>067/2020</t>
  </si>
  <si>
    <t>068/2020</t>
  </si>
  <si>
    <t>00060-00067569/2020-93</t>
  </si>
  <si>
    <t>FENTANILA ADESIVO TRANSDERMICO 50 MCG/HORA</t>
  </si>
  <si>
    <t>FENTANILA ADESIVO</t>
  </si>
  <si>
    <t>00060-00051145/2020-15</t>
  </si>
  <si>
    <t>SOLICITAR AMOSTRA E LOGOMARCA</t>
  </si>
  <si>
    <t>304472 F</t>
  </si>
  <si>
    <t>74552 F</t>
  </si>
  <si>
    <t>1183503 F</t>
  </si>
  <si>
    <t>9990 F</t>
  </si>
  <si>
    <t>1437 F</t>
  </si>
  <si>
    <t>82868 F</t>
  </si>
  <si>
    <t>35 F</t>
  </si>
  <si>
    <t>110361 F</t>
  </si>
  <si>
    <t>110596 F</t>
  </si>
  <si>
    <t>110848 F</t>
  </si>
  <si>
    <t>2533317 F</t>
  </si>
  <si>
    <t>2537673 F</t>
  </si>
  <si>
    <t>4014 F</t>
  </si>
  <si>
    <t>4027 F</t>
  </si>
  <si>
    <t>496 F</t>
  </si>
  <si>
    <t>42191 F</t>
  </si>
  <si>
    <t>23038 F</t>
  </si>
  <si>
    <t>1265 F</t>
  </si>
  <si>
    <t>20946 F</t>
  </si>
  <si>
    <t>10480 F</t>
  </si>
  <si>
    <t>23083 F</t>
  </si>
  <si>
    <t>ISS ()</t>
  </si>
  <si>
    <t>069/2020</t>
  </si>
  <si>
    <t>Organizado 18/02/2020</t>
  </si>
  <si>
    <t>thaissa.farmarin@gmail.com</t>
  </si>
  <si>
    <t>FARMARIN - Thaissa</t>
  </si>
  <si>
    <t>vendas2@farmarin.com.br</t>
  </si>
  <si>
    <t>FARMARIN 2</t>
  </si>
  <si>
    <t>WIENER</t>
  </si>
  <si>
    <t>pedidos@wiener-lab.com.br</t>
  </si>
  <si>
    <t>=SE(ÉCÉL.VAZIA(M803);"";PROCV(M803;Fornecedores!$A$1:$F$386;6))</t>
  </si>
  <si>
    <t>ESQUERDA(O705;12)&amp;DIREITA(O705;2)</t>
  </si>
  <si>
    <t>303378890001-68</t>
  </si>
  <si>
    <t>254532790001-90</t>
  </si>
  <si>
    <t>028203120001-77</t>
  </si>
  <si>
    <t>114939410001-20</t>
  </si>
  <si>
    <t>072045910001-68</t>
  </si>
  <si>
    <t>401757050001-64</t>
  </si>
  <si>
    <t>186280830002-04</t>
  </si>
  <si>
    <t>343847560001-01</t>
  </si>
  <si>
    <t>078478370001-10</t>
  </si>
  <si>
    <t>614180420001-31</t>
  </si>
  <si>
    <t>447346710001-51</t>
  </si>
  <si>
    <t>154101640001-64</t>
  </si>
  <si>
    <t>286850080001-58</t>
  </si>
  <si>
    <t>586358300001-75</t>
  </si>
  <si>
    <t>212840680001-10</t>
  </si>
  <si>
    <t>104508050001-90</t>
  </si>
  <si>
    <t>269219080001-21</t>
  </si>
  <si>
    <t>251785550001-59</t>
  </si>
  <si>
    <t>575323430001-14</t>
  </si>
  <si>
    <t>124201640009-04</t>
  </si>
  <si>
    <t>373960170006-24</t>
  </si>
  <si>
    <t>051503380001-43</t>
  </si>
  <si>
    <t>087669920001-74</t>
  </si>
  <si>
    <t>007406960001-92</t>
  </si>
  <si>
    <t>677291780004-91</t>
  </si>
  <si>
    <t>103365980001-48</t>
  </si>
  <si>
    <t>020717070001-14</t>
  </si>
  <si>
    <t>592252680001-74</t>
  </si>
  <si>
    <t>060656140001-38</t>
  </si>
  <si>
    <t>278422250001-41</t>
  </si>
  <si>
    <t>606659810009-75</t>
  </si>
  <si>
    <t>179086240001-04</t>
  </si>
  <si>
    <t>006356230001-30</t>
  </si>
  <si>
    <t>30337889000168</t>
  </si>
  <si>
    <t>25453279000190</t>
  </si>
  <si>
    <t>02820312000177</t>
  </si>
  <si>
    <t>11493941000120</t>
  </si>
  <si>
    <t>07204591000168</t>
  </si>
  <si>
    <t>40175705000164</t>
  </si>
  <si>
    <t>18628083000204</t>
  </si>
  <si>
    <t>34384756000101</t>
  </si>
  <si>
    <t>07847837000110</t>
  </si>
  <si>
    <t>61418042000131</t>
  </si>
  <si>
    <t>44734671000151</t>
  </si>
  <si>
    <t>15410164000164</t>
  </si>
  <si>
    <t>28685008000158</t>
  </si>
  <si>
    <t>58635830000175</t>
  </si>
  <si>
    <t>21284068000110</t>
  </si>
  <si>
    <t>10450805000190</t>
  </si>
  <si>
    <t>26921908000121</t>
  </si>
  <si>
    <t>25178555000159</t>
  </si>
  <si>
    <t>57532343000114</t>
  </si>
  <si>
    <t>12420164000904</t>
  </si>
  <si>
    <t>37396017000624</t>
  </si>
  <si>
    <t>05150338000143</t>
  </si>
  <si>
    <t>08766992000174</t>
  </si>
  <si>
    <t>00740696000192</t>
  </si>
  <si>
    <t>67729178000491</t>
  </si>
  <si>
    <t>10336598000148</t>
  </si>
  <si>
    <t>02071707000114</t>
  </si>
  <si>
    <t>06065614000138</t>
  </si>
  <si>
    <t>17908624000104</t>
  </si>
  <si>
    <t>107508940001-90</t>
  </si>
  <si>
    <t>AGUA PARA INJETAVEIS AMPOLA 10 ML</t>
  </si>
  <si>
    <t>00060-00072203/2020-36</t>
  </si>
  <si>
    <t>00060-00069014/2020-86</t>
  </si>
  <si>
    <t>OPU06</t>
  </si>
  <si>
    <t>Conserto Oxímetro de Pulso, Marca MINDRAY, Modelo VS 800, Nº Patrimônio 881308, Nº de Série 16128436 .</t>
  </si>
  <si>
    <t>00060-00068994/2020-08</t>
  </si>
  <si>
    <t>070/2020</t>
  </si>
  <si>
    <t>071/2020</t>
  </si>
  <si>
    <t>072/2020</t>
  </si>
  <si>
    <t>00060-00075167/2020-62</t>
  </si>
  <si>
    <t>073/2020</t>
  </si>
  <si>
    <t>PAPEL CÓPIA XEROGRÁFICA,  Material: sulfite, Gramatura: 75g/m2, Comprimento: 297 mm, Largura: 210 mm, Cor: branca, Unidade De Fornecimento: pacote com 500 folhas, Formato A4. Fornecimento: Resma pacote com 500 folhas, Formato: A-4.</t>
  </si>
  <si>
    <t>00060-00070214/2020-81</t>
  </si>
  <si>
    <t>TUBO DE HEMOLISE 12X75MM, VIDRO BOROSSILICATO 1</t>
  </si>
  <si>
    <t>TUBO HEMOLISE</t>
  </si>
  <si>
    <t>00060-00070329/2020-76</t>
  </si>
  <si>
    <t>Grampeador linear cortante 55-60 mm, que dispare 4 linhas de grampos para tecidos normais, cortando simultaneamente entre a segunda e a terceira linha de grampo. Instrumento descartável. Possuir trava de segurança para evitar o disparo acidental do grampeador com carga utilizada e mecanismo de retenção. Possuir, no mínimo, 1,5 grampo além da linha de corte e sistema de compressão tecidual. Opção de utilizar recargas para tecidos normais  e tecidos espessos. Estéril.</t>
  </si>
  <si>
    <t>GRAMPEADOR LINEAR</t>
  </si>
  <si>
    <t>00060-00075347/2020-44</t>
  </si>
  <si>
    <t>074/2020</t>
  </si>
  <si>
    <t>075/2020</t>
  </si>
  <si>
    <t>076/2020</t>
  </si>
  <si>
    <t>CONCERMEDICAL</t>
  </si>
  <si>
    <t>concermedical@gmail.com</t>
  </si>
  <si>
    <r>
      <t>CERTIDÕES PARA</t>
    </r>
    <r>
      <rPr>
        <b/>
        <sz val="14"/>
        <rFont val="Calibri"/>
        <family val="2"/>
        <scheme val="minor"/>
      </rPr>
      <t xml:space="preserve"> 06/03</t>
    </r>
    <r>
      <rPr>
        <b/>
        <sz val="12"/>
        <rFont val="Calibri"/>
        <family val="2"/>
        <scheme val="minor"/>
      </rPr>
      <t>/2020</t>
    </r>
  </si>
  <si>
    <t>00060-00079141/2020-93</t>
  </si>
  <si>
    <t>00060-00077835/2020-96</t>
  </si>
  <si>
    <t>CLORETO DE SODIO 0,9 % SOLUÇAO INJETAVEL BOLSA OU FRASCO 100 ML SISTEMA FECHADO DE INFUSAO EMBALAGEM PRIMÁRIA ISENTA DE PVC.Características Adicionais: a bolsa ou o frasco deve ter graduação volumétrica. A bolsa ou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</si>
  <si>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00060-00081044/2020-61</t>
  </si>
  <si>
    <t>vincular ao SEI:</t>
  </si>
  <si>
    <t>Colocar despacho "Adquirido com Recursos do PDPAS"
  *As NF da Farmácia, estão com o carimbo e não precisam do despacho.</t>
  </si>
  <si>
    <t>Projeto</t>
  </si>
  <si>
    <t>077/2020</t>
  </si>
  <si>
    <t>078/2020</t>
  </si>
  <si>
    <t>079/2020</t>
  </si>
  <si>
    <t>080/2020</t>
  </si>
  <si>
    <t>00060-00082313/2020-14</t>
  </si>
  <si>
    <t>081/2020</t>
  </si>
  <si>
    <t>imprimindo.contato@gmail.com</t>
  </si>
  <si>
    <t>IMPRIMINDO - KARLA</t>
  </si>
  <si>
    <t>karla.vendas3@gmail.com</t>
  </si>
  <si>
    <t>00060-00083733/2020-18</t>
  </si>
  <si>
    <t>00060-00082346/2020-56</t>
  </si>
  <si>
    <t>TUBO ENDOTRAQUEAL COM CUFF P.V.C. 9,0MM</t>
  </si>
  <si>
    <t>00060-00082957/2020-02</t>
  </si>
  <si>
    <t>00060-00083625/2020-37</t>
  </si>
  <si>
    <t>ELETRODO DE BISTURI ELETRICO</t>
  </si>
  <si>
    <t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4,76 de diâmetro. Característicasadicionais:    A HASTE DE ENCAIXE DEVE SER COMPATÍVEL COM CANETAS DE BITURIS ELÉTRICOS DA MARCA WEM.    </t>
  </si>
  <si>
    <t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3,96 de diâmetro. Características adicionais:    A HASTE DE ENCAIXE DEVE SER COMPATÍVEL COM CANETAS DE BITURIS ELÉTRICOS DA MARCA WEM   </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</si>
  <si>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Tamanho/Capacidade:Alça de LEEP retangular LRT 1015.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</si>
  <si>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retangular LRT 1008.  Características adicionais:A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</si>
  <si>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808.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</si>
  <si>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alça redonda LR 405. Característicasadicionais:    A HASTE DE ENCAIXE DEVE SER COMPATÍVEL COM CANETAS DE BITURISELÉTRICOS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</si>
  <si>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1010. Características adicionais:  A HASTE DE ENCAIXE DEVE SER COMPATÍVEL COM CANETAS DE BITURISELÉTRICOS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</si>
  <si>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1510. Características adicionais: 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</si>
  <si>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2015. Características adicionais:A HASTE DE ENCAIXE DEVE SER COMPATÍVEL COM CANETAS DE BITURIS ELÉTRICOS DA MARCA WEM.</t>
  </si>
  <si>
    <t>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2020. Características adicionais:    A HASTE DE ENCAIXE DEVE SER COMPATÍVEL COM CANETAS DE BITURISELÉTRICOS DA MARCA WEM.</t>
  </si>
  <si>
    <t>00060-00084505/2020-57</t>
  </si>
  <si>
    <t>FCI05</t>
  </si>
  <si>
    <t>FCI06</t>
  </si>
  <si>
    <t>FCI07</t>
  </si>
  <si>
    <t>CONSERTO de Foco cirúrgico de teto, Marca Maquet, modelo Blue 80/80, nº patrimônio 960.937</t>
  </si>
  <si>
    <t>CONSERTO de Foco cirúrgico de teto, Marca Maquet, modelo Blue 80/80, nº patrimônio 960.926</t>
  </si>
  <si>
    <t>CONSERTO de Foco cirúrgico de teto, Marca Maquet, modelo Blue 80/80, nº patrimônio 931747</t>
  </si>
  <si>
    <t>082/2020</t>
  </si>
  <si>
    <t>083/2020</t>
  </si>
  <si>
    <t>084/2020</t>
  </si>
  <si>
    <t>085/2020</t>
  </si>
  <si>
    <t>Rendimento</t>
  </si>
  <si>
    <r>
      <t>GAMA</t>
    </r>
    <r>
      <rPr>
        <b/>
        <sz val="18"/>
        <color theme="1"/>
        <rFont val="Calibri"/>
        <family val="2"/>
        <scheme val="minor"/>
      </rPr>
      <t xml:space="preserve"> 05/03/</t>
    </r>
    <r>
      <rPr>
        <b/>
        <sz val="14"/>
        <color theme="1"/>
        <rFont val="Calibri"/>
        <family val="2"/>
        <scheme val="minor"/>
      </rPr>
      <t>2020</t>
    </r>
  </si>
  <si>
    <t>333/2019</t>
  </si>
  <si>
    <t>00060-00091551/2020-11</t>
  </si>
  <si>
    <t>00060-00090722/2020-86</t>
  </si>
  <si>
    <t>Manguito em PVC com duas saídas, sem emenda, de alta durabilidade, medindo 12 X 22 cm. Tamanho: G. Processo de esterilização: não estéril. Embalagem: individual</t>
  </si>
  <si>
    <t>licitacao@gruposante.com.br</t>
  </si>
  <si>
    <t>00060-00089112/2020-30</t>
  </si>
  <si>
    <t>00060-00070150/2020-19</t>
  </si>
  <si>
    <t>REF07</t>
  </si>
  <si>
    <t>Conserto de Refrigerador Marca ELECTROLUX, Modelo DC43BR, Nº Patrimônio 958666.</t>
  </si>
  <si>
    <t>00060-00069360/2020-64</t>
  </si>
  <si>
    <t>00060-00093422/2020-59</t>
  </si>
  <si>
    <t>086/2020</t>
  </si>
  <si>
    <t>087/2020</t>
  </si>
  <si>
    <t>licitacao.br@alere.com</t>
  </si>
  <si>
    <t>ALERE</t>
  </si>
  <si>
    <t>E-mail1-Value</t>
  </si>
  <si>
    <t>cnunes@medlive.com.br</t>
  </si>
  <si>
    <t>chermes@medlive.com.br</t>
  </si>
  <si>
    <t>deivid@methabio.com.br</t>
  </si>
  <si>
    <t>financeiro@phitosdobrasil.com.br</t>
  </si>
  <si>
    <t>00060-00094544/2020-62</t>
  </si>
  <si>
    <t>00060-00094755/2020-03</t>
  </si>
  <si>
    <t>00060-00097288/2020-65</t>
  </si>
  <si>
    <t>088/2020</t>
  </si>
  <si>
    <t>089/2020</t>
  </si>
  <si>
    <t>090/2020</t>
  </si>
  <si>
    <t>091/2020</t>
  </si>
  <si>
    <t>092/2020</t>
  </si>
  <si>
    <t>093/2020</t>
  </si>
  <si>
    <t>094/2020</t>
  </si>
  <si>
    <t>095/2020</t>
  </si>
  <si>
    <t>00060-00098157/2020-03</t>
  </si>
  <si>
    <t>096/2020</t>
  </si>
  <si>
    <t>Repasse (004242 )</t>
  </si>
  <si>
    <t>00060-00092308/2020-10</t>
  </si>
  <si>
    <t>MASCARA PANORÂMICA FACIAL, Características adicionais: completa fundida em borracha de neoprene ou silicone composta de viseira confeccionada com um material resistente chamado plexiglass. . A máscara deve ter um ângulo de vazão de 160 graus conectores duplos dispostos lateralmente, para colocação de filtros respiratórios através de encaixe ou rosca, válvulas inalação e exalação, cinco ponto para fixar a máscara na face , de modo que um se situe no alto da cabeça.</t>
  </si>
  <si>
    <t>MASCARA PANORAMICA</t>
  </si>
  <si>
    <t>CARTUCHO DE FILTRO</t>
  </si>
  <si>
    <t>CARTUCHO DE FILTRO PARA MÁSCARA PANORÂMICA FACIAL; Aplicação/finalidade: reposição de filtros; Material/composição: Contra vapores orgânicos e inorgânicos; Tamanho/capacidade: único; Características: Filtros com certificado de aprovação (CA) do MTE; Forma de apresentação: Refil de filtro; Prazo de validade: 24 meses; Unidade de estoque: Und.</t>
  </si>
  <si>
    <t>.</t>
  </si>
  <si>
    <t>Elaborado novo projeto 00060-00083733/2020-18</t>
  </si>
  <si>
    <t>M. G. PAULIN SERVICOS DE MANUTENCAO</t>
  </si>
  <si>
    <t>JOSÉ RAIMUNDO / ROGÉRIO LEITE</t>
  </si>
  <si>
    <t>33.132.331/0001-34</t>
  </si>
  <si>
    <t>M. G. PAULIN</t>
  </si>
  <si>
    <t>SIMILAR &amp; COMPATÍVEL IND. DE EQUIP. MÉDICOS ODONTOLÓGICOS LTDA</t>
  </si>
  <si>
    <t>Mauricio Arrua</t>
  </si>
  <si>
    <t>08.877.271/0001-31</t>
  </si>
  <si>
    <t>2890-8</t>
  </si>
  <si>
    <t>95074-2</t>
  </si>
  <si>
    <t>SIMILAR</t>
  </si>
  <si>
    <t>SÃO BERNARDO (83)</t>
  </si>
  <si>
    <t>M. G. PAULIN (703811)</t>
  </si>
  <si>
    <t xml:space="preserve"> valor total do item não atinge o faturamento mínimo</t>
  </si>
  <si>
    <t>MEDLINN (702570)</t>
  </si>
  <si>
    <t>MEDICAL INNOVATION (700214)</t>
  </si>
  <si>
    <t>JRG (701950)</t>
  </si>
  <si>
    <t>MEDLIVE (701879)</t>
  </si>
  <si>
    <t>MEDICINI (703641)</t>
  </si>
  <si>
    <t>PREÇO EXORBITANTE</t>
  </si>
  <si>
    <t>ALIMED MEDICAL (703436)</t>
  </si>
  <si>
    <t>00060-00101971/2020-12</t>
  </si>
  <si>
    <t>BROCA BAIXA ROTAÇÃO, TIPO CONTRA ÂNGULO, MATERIAL AÇO INOXIDÁVEL, FORMATO GATES- GLIDDEN,  REF. 2, COMPRIMENTO 32 MM. Aplicação: endodontia. Unidade de fornecimento: Unidade. Unidade de estoque: Unidade.</t>
  </si>
  <si>
    <t>BROCA BAIXA ROTAÇÃO</t>
  </si>
  <si>
    <t xml:space="preserve">LENCOL DE BORRACHA DE LATEX P/ ISOLAMENTO ABSOLUTO ESPESSURA MÉDIA COR ESCURA. Unidade de fornecimento: caixa com 26 unidade. Unidade de estoque: Caixa </t>
  </si>
  <si>
    <t>LENCOL DE BORRACHA</t>
  </si>
  <si>
    <t>SUGADOR, MATERIAL AÇO INOXIDÁVEL, TIPO CIRÚRGICO, CARACTERÍSTICAS ADICIONAIS CURVO, ESTERILIDADE AUTOCLAVÁVEL. Unidade de fornecimento: Unidade. Unidade de estoque: unidade.</t>
  </si>
  <si>
    <t>SUGADOR</t>
  </si>
  <si>
    <t>ACESSÓRIOS - USO ODONTOLÓGICO, PLACA PARA ESPATULAÇÃO, MATERIAL VIDRO POLIDO, FORMATO RETANGULAR COM CANTOS ARREDONDADOS, ESPESSURA MÍNIMA DE 10 MM. Características adicionais: dimensões aproximadas 15cm X 7cm X 1cm. Unidade de fornecimento: unidade. Unidade de estoque: Unidade</t>
  </si>
  <si>
    <t>PLACA VIDRO</t>
  </si>
  <si>
    <t>CONJUNTO  PARA ASPIRAÇÃO ENDODÔNTICA COM 03 CÂNULAS, MATERIAL AÇO INOXIDÁVEL. Aplicação: endodontia. Características adicionais: 3 cânulas com calibres diferentes. Unidade de fornecimento: kit com 3 cânulas. Unidade de estoque: Kit</t>
  </si>
  <si>
    <t>CONJUNTO PARA ASPIRAÇÃO</t>
  </si>
  <si>
    <t>RÉGUA - USO ODONTOLÓGICO, MODELO ENDODÔNTICA, MATERIAL ALUMÍNIO, TIPO MILIMETRADA, CARACTERÍSTICA ADICIONAL CALIBRADORA DE CONES, TIPO USO AUTOCLAVÁVEL. Unidade de fornecimento: unidade. Unidade de estoque: Unidade</t>
  </si>
  <si>
    <t>REGUA ENDODONTICA</t>
  </si>
  <si>
    <t>AFASTADOR ODONTOLÓGICO, MATERIAL AÇO INOXIDÁVEL, TIPO MINNESOTA. Aplicação: Cirurgia Odontológica. Unidade de fornecimento: Unidade. Unidade de estoque: Unidade.</t>
  </si>
  <si>
    <t>AFASTADOR MINNESOTA</t>
  </si>
  <si>
    <t>VERNIZ DENTÁRIO, COMPOSIÇÃO C/ FLUORETO DE SÓDIO. Características adicionais: concentração 5% com solvente. Unidade de fornecimento: vidro com 10ml. Unidade de estoque: Vidro</t>
  </si>
  <si>
    <t>VERNIZ DENTÁRIO</t>
  </si>
  <si>
    <t>PT</t>
  </si>
  <si>
    <t xml:space="preserve">BENZOCAÍNA, CONCENTRAÇÃO 20%, USO GEL TÓPICO.  Unidade de Fornecimento: Pote com 12g de sabores variados. Unidade de Estoque: Pote (PT). </t>
  </si>
  <si>
    <t>BENZOCAINA</t>
  </si>
  <si>
    <t>00060-00106760/2020-68</t>
  </si>
  <si>
    <t>PER01</t>
  </si>
  <si>
    <t xml:space="preserve">CONSERTO DE Conjunto de Perfuradores, Marca STRYKER, Nº. Patrimônio 1405495 (4 itens)
</t>
  </si>
  <si>
    <t>00060-00106653/2020-30</t>
  </si>
  <si>
    <t>REP01</t>
  </si>
  <si>
    <t>CONSERTO DE Reprocessadora Automática, Marca ENDOCLEAR, Modelo AL1012IDL, Nº Patrimônio 1197891</t>
  </si>
  <si>
    <t>097/2020</t>
  </si>
  <si>
    <t>098/2020</t>
  </si>
  <si>
    <t>PREÇO ELEVADO</t>
  </si>
  <si>
    <t>ESTOQUE NA FARMÁCOA CENTRAL</t>
  </si>
  <si>
    <t>MÉDICA PRO (1229)</t>
  </si>
  <si>
    <t>ELETROSPITALAR (162)</t>
  </si>
  <si>
    <t>COMPRA EFETUADA PROJETO 057/20 / COTAÇÃO 076/20</t>
  </si>
  <si>
    <t>CIENTÍCA DESISTIU</t>
  </si>
  <si>
    <t>00060-00103079/2020-68</t>
  </si>
  <si>
    <t>00060-00102336/2020-44</t>
  </si>
  <si>
    <t>099/2020</t>
  </si>
  <si>
    <t>100/2020</t>
  </si>
  <si>
    <t>101/2020</t>
  </si>
  <si>
    <t>102/2020</t>
  </si>
  <si>
    <t>00060-00107663/2020-92</t>
  </si>
  <si>
    <t>103/2020</t>
  </si>
  <si>
    <t>cotacao@pmh.com.br</t>
  </si>
  <si>
    <t>00060-00113387/2020-00</t>
  </si>
  <si>
    <t>MÁSCARA DE PROTEÇÃO RESPIRATÓRIA PFF2  (Equivalente a N95, para uso Hospitalar, com registro na ANVISA). Aplicação:  indicada para proteção de vias aéreas  contra a presença de microorganismo aerodispersóides e bacilo da tuberculose; com eficiência  mínima de filtração de 94% de proteção,  de uso hospitalar. Composição: filtro mecânico em tecido não tecido, composto de fibras sintéticas sobrepostas aleatoriamente, fabricada em peça única com 6 (seis) camadas, filtros tratados eletrostaticamente, protegida externamente por feltro em TNT,  modelo de respirar sem manutenção, peça semi-facial em formato concha dobrável ou não. Características adicionais:  com clipe nasal para ajuste, que permita vedação adequada, com tiras ajustáveis, de fácil manuseio e colocação.</t>
  </si>
  <si>
    <t>00060-00113247/2020-23</t>
  </si>
  <si>
    <t>104/2020</t>
  </si>
  <si>
    <t>105/2020</t>
  </si>
  <si>
    <t>00060-00114237/2020-13</t>
  </si>
  <si>
    <t>00060-00113718/2020-01</t>
  </si>
  <si>
    <t>106/2020</t>
  </si>
  <si>
    <t>107/2020</t>
  </si>
  <si>
    <r>
      <t>CERTIDÕES PARA</t>
    </r>
    <r>
      <rPr>
        <b/>
        <sz val="14"/>
        <rFont val="Calibri"/>
        <family val="2"/>
        <scheme val="minor"/>
      </rPr>
      <t xml:space="preserve"> 31/03</t>
    </r>
    <r>
      <rPr>
        <b/>
        <sz val="12"/>
        <rFont val="Calibri"/>
        <family val="2"/>
        <scheme val="minor"/>
      </rPr>
      <t>/2020</t>
    </r>
  </si>
  <si>
    <t>00060-00118626/2020-18</t>
  </si>
  <si>
    <t>108/2020</t>
  </si>
  <si>
    <t>00060-00120050/2020-41</t>
  </si>
  <si>
    <t>00060-00119955/2020-78</t>
  </si>
  <si>
    <t>00060-00120172/2020-37</t>
  </si>
  <si>
    <t>00060-00120126/2020-38</t>
  </si>
  <si>
    <t>00060-00120047/2020-27</t>
  </si>
  <si>
    <t>109/2020</t>
  </si>
  <si>
    <t>110/2020</t>
  </si>
  <si>
    <t>111/2020</t>
  </si>
  <si>
    <t>112/2020</t>
  </si>
  <si>
    <t>113/2020</t>
  </si>
  <si>
    <t>OXYMASTER</t>
  </si>
  <si>
    <t>oxymasterdf@gmail.com</t>
  </si>
  <si>
    <t>PRÓ SAÚDE (702918)</t>
  </si>
  <si>
    <t>114/2020</t>
  </si>
  <si>
    <t>00060-00069426/2020-16</t>
  </si>
  <si>
    <t>CAM22</t>
  </si>
  <si>
    <t>Cama Hospitalar, Marca ENTERPRISE 5000, Nº Patrimônio 1018020.</t>
  </si>
  <si>
    <t>*172,02</t>
  </si>
  <si>
    <t>*799,8</t>
  </si>
  <si>
    <t>115/2020</t>
  </si>
  <si>
    <t>00060-00123007/2020-37</t>
  </si>
  <si>
    <t>116/2020</t>
  </si>
  <si>
    <t>00060-00122709/2020-01</t>
  </si>
  <si>
    <t>00060-00122827/2020-10</t>
  </si>
  <si>
    <t>117/2020</t>
  </si>
  <si>
    <t>00060-00124466/2020-38</t>
  </si>
  <si>
    <t>118/2020</t>
  </si>
  <si>
    <t>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t>
  </si>
  <si>
    <t>Farão novo projeto para o P.S. e UTI</t>
  </si>
  <si>
    <t>Código não liberado. Fizeram projeto com outro código. Cotação 115</t>
  </si>
  <si>
    <t>FENIX MATERIAIS (703244)</t>
  </si>
  <si>
    <t>JD PAPELARIA (703434)</t>
  </si>
  <si>
    <t>SUTUPAR</t>
  </si>
  <si>
    <t>BIOSHOP</t>
  </si>
  <si>
    <t>jeancarlonetto@gmail.com</t>
  </si>
  <si>
    <t>dl15@dldistribuidora.net.br</t>
  </si>
  <si>
    <t>ISP SAUDE</t>
  </si>
  <si>
    <t>michaelsilveira@ispsaude.com.br</t>
  </si>
  <si>
    <r>
      <t>GAMA</t>
    </r>
    <r>
      <rPr>
        <b/>
        <sz val="18"/>
        <color theme="1"/>
        <rFont val="Calibri"/>
        <family val="2"/>
        <scheme val="minor"/>
      </rPr>
      <t xml:space="preserve"> 26/03/</t>
    </r>
    <r>
      <rPr>
        <b/>
        <sz val="14"/>
        <color theme="1"/>
        <rFont val="Calibri"/>
        <family val="2"/>
        <scheme val="minor"/>
      </rPr>
      <t>2020</t>
    </r>
  </si>
  <si>
    <t>dl1@dldistribuidora.net.br</t>
  </si>
  <si>
    <t xml:space="preserve">DL DISTRIBUIDORA </t>
  </si>
  <si>
    <t>DL DISTRIBUIDORA 1</t>
  </si>
  <si>
    <t xml:space="preserve">PROSEK </t>
  </si>
  <si>
    <t>falecom@prosek.com.br</t>
  </si>
  <si>
    <t>00060-00128996/2020-55</t>
  </si>
  <si>
    <t>00060-00128758/2020-40</t>
  </si>
  <si>
    <t>00060-00129046/2020-48</t>
  </si>
  <si>
    <t>00060-00128941/2020-45</t>
  </si>
  <si>
    <t>00060-00128915/2020-17</t>
  </si>
  <si>
    <t>00060-00128265/2020-18</t>
  </si>
  <si>
    <t>00060-00128212/2020-99</t>
  </si>
  <si>
    <t>00060-00128146/2020-57</t>
  </si>
  <si>
    <t>00060-00128831/2020-83</t>
  </si>
  <si>
    <t>00060-00129847/2020-11</t>
  </si>
  <si>
    <t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t>
  </si>
  <si>
    <t>TERMOMETRO AURICULAR</t>
  </si>
  <si>
    <t>00060-00128716/2020-17</t>
  </si>
  <si>
    <t>119/2020</t>
  </si>
  <si>
    <t>120/2020</t>
  </si>
  <si>
    <t>121/2020</t>
  </si>
  <si>
    <t>122/2020</t>
  </si>
  <si>
    <t>123/2020</t>
  </si>
  <si>
    <t>124/2020</t>
  </si>
  <si>
    <t>125/2020</t>
  </si>
  <si>
    <t>126/2020</t>
  </si>
  <si>
    <t>127/2020</t>
  </si>
  <si>
    <t>128/2020</t>
  </si>
  <si>
    <t>129/2020</t>
  </si>
  <si>
    <t>00060-00128793/2020-69</t>
  </si>
  <si>
    <t>130/2020</t>
  </si>
  <si>
    <t>00060-00132493/2020-84</t>
  </si>
  <si>
    <t>Laringoscópio, material aço inoxidável, adulto, tamanho 17cm, comissura anterior.</t>
  </si>
  <si>
    <t>LARINGOSCÓPIO TM 17</t>
  </si>
  <si>
    <t>131/2020</t>
  </si>
  <si>
    <t>00060-00132492/2020-30</t>
  </si>
  <si>
    <t>132/2020</t>
  </si>
  <si>
    <t>133/2020</t>
  </si>
  <si>
    <t>00060-00132485/2020-38</t>
  </si>
  <si>
    <t>00060-00132177/2020-11</t>
  </si>
  <si>
    <t>134/2020</t>
  </si>
  <si>
    <t>00060-00132725/2020-02</t>
  </si>
  <si>
    <t>135/2020</t>
  </si>
  <si>
    <t>00060-00132807/2020-49</t>
  </si>
  <si>
    <t>136/2020</t>
  </si>
  <si>
    <t>DEVOLVIDO</t>
  </si>
  <si>
    <t>SUTUPAR (IMPORT SERVICE MATERIAL MEDICO HOSPITALAR LTDA)</t>
  </si>
  <si>
    <t>JEAN CARLO / VANESSA</t>
  </si>
  <si>
    <t>01.122.234/0001-74</t>
  </si>
  <si>
    <t>LINK MED DISTRIBUIDORA DE MEDICAMENTOS LTDA</t>
  </si>
  <si>
    <t>CLAUDIO SANTOS / LUIZA SANTOS</t>
  </si>
  <si>
    <t>08.486.302/0001-23</t>
  </si>
  <si>
    <t>3598-X</t>
  </si>
  <si>
    <t>24722-7</t>
  </si>
  <si>
    <t>LINK MED</t>
  </si>
  <si>
    <t>LINK MED (701254)</t>
  </si>
  <si>
    <t>RC REPRESENTAÇÕES - LUIZA</t>
  </si>
  <si>
    <t>RC REPRESENTAÇÕES - CLAUDIO</t>
  </si>
  <si>
    <t>luiza@rcvendas.com.br</t>
  </si>
  <si>
    <t>trocar NF</t>
  </si>
  <si>
    <t>trocar NF 13862</t>
  </si>
  <si>
    <t>DMI (2073)</t>
  </si>
  <si>
    <t>jairo.santos@prosaudedistribuidora.com.br</t>
  </si>
  <si>
    <t>PRÓ -SAÚDE - JAIRO</t>
  </si>
  <si>
    <t>Empresa SUTUPAR desitiu por falta de estoque.</t>
  </si>
  <si>
    <t>DESERTO APÓS 4ª PUBLICAÇÃO</t>
  </si>
  <si>
    <t>00060-00139704/2020-18</t>
  </si>
  <si>
    <t>137/2020</t>
  </si>
  <si>
    <t>00060-00139822/2020-18</t>
  </si>
  <si>
    <t>138/2020</t>
  </si>
  <si>
    <t>00060-00140935/2020-66</t>
  </si>
  <si>
    <t>139/2020</t>
  </si>
  <si>
    <t>PEROXIDO DE HIDROGENIO A 3% OU 10 VOLUMES - 100ML</t>
  </si>
  <si>
    <t>licitacao@makeline.com.br</t>
  </si>
  <si>
    <t>MAKE LINE</t>
  </si>
  <si>
    <r>
      <t>CERTIDÕES PARA</t>
    </r>
    <r>
      <rPr>
        <b/>
        <sz val="14"/>
        <rFont val="Calibri"/>
        <family val="2"/>
        <scheme val="minor"/>
      </rPr>
      <t xml:space="preserve"> 15/04</t>
    </r>
    <r>
      <rPr>
        <b/>
        <sz val="12"/>
        <rFont val="Calibri"/>
        <family val="2"/>
        <scheme val="minor"/>
      </rPr>
      <t>/2020</t>
    </r>
  </si>
  <si>
    <r>
      <t>GAMA</t>
    </r>
    <r>
      <rPr>
        <b/>
        <sz val="18"/>
        <color theme="1"/>
        <rFont val="Calibri"/>
        <family val="2"/>
        <scheme val="minor"/>
      </rPr>
      <t xml:space="preserve"> 15/04/</t>
    </r>
    <r>
      <rPr>
        <b/>
        <sz val="14"/>
        <color theme="1"/>
        <rFont val="Calibri"/>
        <family val="2"/>
        <scheme val="minor"/>
      </rPr>
      <t>2020</t>
    </r>
  </si>
  <si>
    <t>00060-00144763/2020-08</t>
  </si>
  <si>
    <t>140/2020</t>
  </si>
  <si>
    <t>TOUCA HOSPITALAR DESCARTÁVEL,Material: tecido não tecido, Tipo Uso: descartável, Gramatura: 20 g/m², Características Adicionais:  com elástico em toda volta (tipo elastex)</t>
  </si>
  <si>
    <t>TOUCA HOSPITALAR</t>
  </si>
  <si>
    <t>00060-00146336/2020-56</t>
  </si>
  <si>
    <t>141/2020</t>
  </si>
  <si>
    <t>00060-00146283/2020-73</t>
  </si>
  <si>
    <t>142/2020</t>
  </si>
  <si>
    <t>00060-00144221/2020-27</t>
  </si>
  <si>
    <t>143/2020</t>
  </si>
  <si>
    <t>00060-00145154/2020-68</t>
  </si>
  <si>
    <t>144/2020</t>
  </si>
  <si>
    <t>00060-00145002/2020-65</t>
  </si>
  <si>
    <t>145/2020</t>
  </si>
  <si>
    <t>00060-00146193/2020-82</t>
  </si>
  <si>
    <t>146/2020</t>
  </si>
  <si>
    <t>00060-00146238/2020-19</t>
  </si>
  <si>
    <t>00060-00146126/2020-68</t>
  </si>
  <si>
    <t>147/2020</t>
  </si>
  <si>
    <t>148/2020</t>
  </si>
  <si>
    <t>00060-00144086/2020-10</t>
  </si>
  <si>
    <t>149/2020</t>
  </si>
  <si>
    <t>00060-00146482/2020-81</t>
  </si>
  <si>
    <t>GLICOSE 5 % SOLUÇAO INJETAVEL BOLSA OU FRASCO 500 ML SISTEMA FECHADO DE INFUSAO EMBALAGEM PRIMÁRIA ISENTA DE PVC. Características Adicionais: a bolsa ou o
frasco deve ter graduação volumétrica. A bolsa ou o frasco deve ter colapsabilidade a fim de pe...</t>
  </si>
  <si>
    <t>GLICOSEE 5%</t>
  </si>
  <si>
    <t>150/2020</t>
  </si>
  <si>
    <t>00060-00146616/2020-64</t>
  </si>
  <si>
    <t>151/2020</t>
  </si>
  <si>
    <t>00060-00146409/2020-18</t>
  </si>
  <si>
    <t>152/2020</t>
  </si>
  <si>
    <t>00060-00144849/2020-22</t>
  </si>
  <si>
    <t>153/2020</t>
  </si>
  <si>
    <t>154/2020</t>
  </si>
  <si>
    <t>00060-00146570/2020-83</t>
  </si>
  <si>
    <t>falta GDF</t>
  </si>
  <si>
    <t>00060-00150341/2020-63</t>
  </si>
  <si>
    <t>155/2020</t>
  </si>
  <si>
    <t>00060-00150276/2020-76</t>
  </si>
  <si>
    <t>00060-00150059/2020-86</t>
  </si>
  <si>
    <t>156/2020</t>
  </si>
  <si>
    <t>adjudicado errado</t>
  </si>
  <si>
    <t xml:space="preserve">lindaura@mazimus.com.br </t>
  </si>
  <si>
    <t>MAZZIMUS</t>
  </si>
  <si>
    <t>única proposta apresentou preço muito elevado</t>
  </si>
  <si>
    <t>MMU26</t>
  </si>
  <si>
    <t>CONSERTO DE MONITOR MULTIPARAMÉTRICO DIXTAL DX 2020 - Patrimônio 741178</t>
  </si>
  <si>
    <t>MMU27</t>
  </si>
  <si>
    <t>CONSERTO DE MONITOR MULTIPARAMÉTRICO DIXTAL DX 2020 - Patrimônio 741180</t>
  </si>
  <si>
    <t>Conserto em Aparelho VENTILADOR MECANICO, marca MAQUET modelo SERVO-S Patrimônio: 020447</t>
  </si>
  <si>
    <t>157/2020</t>
  </si>
  <si>
    <t>CONSERTO DE Cama Elétrica Hospimetal, Patrimônio 878282</t>
  </si>
  <si>
    <t>CONSERTO DE Cama Elétrica Hospimetal, Patrimônio 878281</t>
  </si>
  <si>
    <t>CONSERTO DE Cama Elétrica Hospimetal, Patrimônio 878256</t>
  </si>
  <si>
    <t>CONSERTO DE Cama Elétrica Hospimetal, Patrimônio 878110</t>
  </si>
  <si>
    <t>CAM23</t>
  </si>
  <si>
    <t>CAM24</t>
  </si>
  <si>
    <t>CAM25</t>
  </si>
  <si>
    <t>CAM26</t>
  </si>
  <si>
    <t>CAM27</t>
  </si>
  <si>
    <t>CAM28</t>
  </si>
  <si>
    <t>CAM29</t>
  </si>
  <si>
    <t>CAM30</t>
  </si>
  <si>
    <t>CAM31</t>
  </si>
  <si>
    <t>CAM32</t>
  </si>
  <si>
    <t>CAM33</t>
  </si>
  <si>
    <t>CAM34</t>
  </si>
  <si>
    <t>CAM35</t>
  </si>
  <si>
    <t>CAM36</t>
  </si>
  <si>
    <t>CAM37</t>
  </si>
  <si>
    <t>CAM38</t>
  </si>
  <si>
    <t>CAM39</t>
  </si>
  <si>
    <t>CAM40</t>
  </si>
  <si>
    <t>CAM41</t>
  </si>
  <si>
    <t>CAM42</t>
  </si>
  <si>
    <t>CAM43</t>
  </si>
  <si>
    <t>CAM44</t>
  </si>
  <si>
    <t>CAM45</t>
  </si>
  <si>
    <t>CAM46</t>
  </si>
  <si>
    <t>CAM47</t>
  </si>
  <si>
    <t>CAM48</t>
  </si>
  <si>
    <t>CAM49</t>
  </si>
  <si>
    <t>CAM50</t>
  </si>
  <si>
    <t>CAM51</t>
  </si>
  <si>
    <t>CAM52</t>
  </si>
  <si>
    <t>CAM53</t>
  </si>
  <si>
    <t>CAM54</t>
  </si>
  <si>
    <t>CAM55</t>
  </si>
  <si>
    <t>CAM56</t>
  </si>
  <si>
    <t>CAM57</t>
  </si>
  <si>
    <t>CAM58</t>
  </si>
  <si>
    <t>CAM59</t>
  </si>
  <si>
    <t>CAM60</t>
  </si>
  <si>
    <t>CAM61</t>
  </si>
  <si>
    <t>CAM62</t>
  </si>
  <si>
    <t>CAM63</t>
  </si>
  <si>
    <t>CAM64</t>
  </si>
  <si>
    <t>CAM65</t>
  </si>
  <si>
    <t>CAM66</t>
  </si>
  <si>
    <t>CAM67</t>
  </si>
  <si>
    <t>CAM68</t>
  </si>
  <si>
    <t>CAM69</t>
  </si>
  <si>
    <t>CAM70</t>
  </si>
  <si>
    <t>CAM71</t>
  </si>
  <si>
    <t>CAM72</t>
  </si>
  <si>
    <t>CAM73</t>
  </si>
  <si>
    <t>CAM74</t>
  </si>
  <si>
    <t>00060-00151085/2020-21</t>
  </si>
  <si>
    <t>158/2020</t>
  </si>
  <si>
    <t>00060-00153724/2020-93</t>
  </si>
  <si>
    <t>159/2020</t>
  </si>
  <si>
    <t>conforme modelo sei 38299968)</t>
  </si>
  <si>
    <t>00060-00151171/2020-34</t>
  </si>
  <si>
    <t>160/2020</t>
  </si>
  <si>
    <t>00060-00150974/2020-71</t>
  </si>
  <si>
    <t>161/2020</t>
  </si>
  <si>
    <t>00060-00151049/2020-68</t>
  </si>
  <si>
    <t>162/2020</t>
  </si>
  <si>
    <t>deserto</t>
  </si>
  <si>
    <t>MAZIMUS ()</t>
  </si>
  <si>
    <t>00060-00154927/2020-05</t>
  </si>
  <si>
    <t>163/2020</t>
  </si>
  <si>
    <t>ESTOQUE NA FARMÁCIA CENTRAL</t>
  </si>
  <si>
    <t>00060-00157124/2020-02</t>
  </si>
  <si>
    <t>164/2020</t>
  </si>
  <si>
    <t>00060-00154525/2020-01</t>
  </si>
  <si>
    <t>165/2020</t>
  </si>
  <si>
    <t>00060-00154611/2020-13</t>
  </si>
  <si>
    <t>166/2020</t>
  </si>
  <si>
    <t>00060-00155787/2020-84</t>
  </si>
  <si>
    <t>167/2020</t>
  </si>
  <si>
    <t>00060-00155727/2020-61</t>
  </si>
  <si>
    <t>168/2020</t>
  </si>
  <si>
    <t>00060-00154413/2020-41</t>
  </si>
  <si>
    <t>169/2020</t>
  </si>
  <si>
    <t>003281</t>
  </si>
  <si>
    <t>13/04/2020</t>
  </si>
  <si>
    <t>090140</t>
  </si>
  <si>
    <t>090152</t>
  </si>
  <si>
    <t>090196</t>
  </si>
  <si>
    <t>090201</t>
  </si>
  <si>
    <t>090209</t>
  </si>
  <si>
    <t>090256</t>
  </si>
  <si>
    <t>003280</t>
  </si>
  <si>
    <t>090137</t>
  </si>
  <si>
    <t>090422</t>
  </si>
  <si>
    <t>14/04/2020</t>
  </si>
  <si>
    <t>090428</t>
  </si>
  <si>
    <t>090429</t>
  </si>
  <si>
    <t>090432</t>
  </si>
  <si>
    <t>090435</t>
  </si>
  <si>
    <t>090447</t>
  </si>
  <si>
    <t>090448</t>
  </si>
  <si>
    <t>090450</t>
  </si>
  <si>
    <t>090455</t>
  </si>
  <si>
    <t>090463</t>
  </si>
  <si>
    <t>003282</t>
  </si>
  <si>
    <t>090473</t>
  </si>
  <si>
    <t>090479</t>
  </si>
  <si>
    <t>090492</t>
  </si>
  <si>
    <t>090631</t>
  </si>
  <si>
    <t>090632</t>
  </si>
  <si>
    <t>090635</t>
  </si>
  <si>
    <t>090638</t>
  </si>
  <si>
    <t>090640</t>
  </si>
  <si>
    <t>090643</t>
  </si>
  <si>
    <t>090648</t>
  </si>
  <si>
    <t>090651</t>
  </si>
  <si>
    <t>090747</t>
  </si>
  <si>
    <t>090756</t>
  </si>
  <si>
    <t>090758</t>
  </si>
  <si>
    <t>Alpha desistiu. 11/03/2020</t>
  </si>
  <si>
    <t>00060-00158176/2020-98</t>
  </si>
  <si>
    <t>170/2020</t>
  </si>
  <si>
    <t>00060-00158123/2020-77</t>
  </si>
  <si>
    <t>171/2020</t>
  </si>
  <si>
    <t>00060-00158057/2020-35</t>
  </si>
  <si>
    <t>172/2020</t>
  </si>
  <si>
    <t>00060-00158023/2020-41</t>
  </si>
  <si>
    <t>173/2020</t>
  </si>
  <si>
    <t>174/2020</t>
  </si>
  <si>
    <t>00060-00157939/2020-83</t>
  </si>
  <si>
    <t>SERINGAS VAZIAS, 200 ml para bomba injetora LF CT9000ADV, caixa contendo 50 unidades</t>
  </si>
  <si>
    <t>SERINGAS VAZIAS</t>
  </si>
  <si>
    <t>Única proposta apresentada continha item errado - DESERTO</t>
  </si>
  <si>
    <t>175/2020</t>
  </si>
  <si>
    <t>00060-00158985/2020-08</t>
  </si>
  <si>
    <t>00060-00158910/2020-19</t>
  </si>
  <si>
    <t>176/2020</t>
  </si>
  <si>
    <t>00060-00158743/2020-14</t>
  </si>
  <si>
    <t>178/2020</t>
  </si>
  <si>
    <t>ENVELOPE PARA CD, Material: papel, Cor: branco, Características Adicionais: com janela circular de acetato e aba para fechamento</t>
  </si>
  <si>
    <t>ENVELOPE PARA CD</t>
  </si>
  <si>
    <t>00060-00158835/2020-96</t>
  </si>
  <si>
    <t>177/2020</t>
  </si>
  <si>
    <t>00060-00159811/2020-54</t>
  </si>
  <si>
    <t>179/2020</t>
  </si>
  <si>
    <t>00060-00158810/2020-92</t>
  </si>
  <si>
    <t>180/2020</t>
  </si>
  <si>
    <t>NOVALUZ</t>
  </si>
  <si>
    <t>novaluzeletricahidraulica@gmail.com</t>
  </si>
  <si>
    <t>JOSE LAURENCIO / ELISÂNGELA</t>
  </si>
  <si>
    <t>SEM SALDO</t>
  </si>
  <si>
    <t>televendas06@distbrasil.net</t>
  </si>
  <si>
    <t>DEISY</t>
  </si>
  <si>
    <t>00060-00158192/2020-81</t>
  </si>
  <si>
    <t>181/2020</t>
  </si>
  <si>
    <t>00060-00161418/2020-21</t>
  </si>
  <si>
    <t>182/2020</t>
  </si>
  <si>
    <t>00060-00161395/2020-54</t>
  </si>
  <si>
    <t>183/2020</t>
  </si>
  <si>
    <t>00060-00161372/2020-40</t>
  </si>
  <si>
    <t>184/2020</t>
  </si>
  <si>
    <r>
      <t>GAMA</t>
    </r>
    <r>
      <rPr>
        <b/>
        <sz val="18"/>
        <color theme="1"/>
        <rFont val="Calibri"/>
        <family val="2"/>
        <scheme val="minor"/>
      </rPr>
      <t xml:space="preserve"> 30/04/</t>
    </r>
    <r>
      <rPr>
        <b/>
        <sz val="14"/>
        <color theme="1"/>
        <rFont val="Calibri"/>
        <family val="2"/>
        <scheme val="minor"/>
      </rPr>
      <t>2020</t>
    </r>
  </si>
  <si>
    <r>
      <t>CERTIDÕES PARA</t>
    </r>
    <r>
      <rPr>
        <b/>
        <sz val="14"/>
        <rFont val="Calibri"/>
        <family val="2"/>
        <scheme val="minor"/>
      </rPr>
      <t xml:space="preserve"> 30/04</t>
    </r>
    <r>
      <rPr>
        <b/>
        <sz val="12"/>
        <rFont val="Calibri"/>
        <family val="2"/>
        <scheme val="minor"/>
      </rPr>
      <t>/2020</t>
    </r>
  </si>
  <si>
    <t>EMPRESA DESISTIU</t>
  </si>
  <si>
    <t>SANTÉ (3869)</t>
  </si>
  <si>
    <t>Não atinge faturamento da WERBRAN</t>
  </si>
  <si>
    <t>Não atinge faturamento da MEDLIVE</t>
  </si>
  <si>
    <t>comercialrio2@hotmail.com</t>
  </si>
  <si>
    <t>OI PAPELARIA</t>
  </si>
  <si>
    <t>evellyn.oipapelaria@gmail.com</t>
  </si>
  <si>
    <t>TAMI PORTOFRIO</t>
  </si>
  <si>
    <t>tami.porfirio@dimensional.com.br</t>
  </si>
  <si>
    <t>ÉTICA desistiu da entrega da diferença</t>
  </si>
  <si>
    <t>CLORETO DE POTASSIO SOLUCAO INJETAVEL 10 % (1,34 MEQ/ML) AMPOLA 10 ML</t>
  </si>
  <si>
    <t>CONSERTO DE CAMA Marca HOSPIMETAL, Nº. Pat. 878290 - Código PDPAS antigo CEL48</t>
  </si>
  <si>
    <t>CONSERTO DE CAMA ELÉTRICA - Marca HOSPIMETAL, Nº. Pat. 878265 - Código PDPAS antigo CEL39</t>
  </si>
  <si>
    <t>00060-00166106/2020-11</t>
  </si>
  <si>
    <t>185/2020</t>
  </si>
  <si>
    <t xml:space="preserve">DVD-R MR 8X,APLICAÇÃO: AÚDIO, VÍDEO, GAMES E DADOS, CARACTERÍSTICAS TÉCNICAS MÍNIMAS: CAPACIDADE: 4.7 GB (DADOS) E 120 MM (AÚDIO); VELOCIDADE DE GRAVAÇÃO: 32X; CAMADA DE GRAVAÇÃO: BRANCA, UNIDADE DE FORNECIMENTO: UNIDADE
</t>
  </si>
  <si>
    <t>DVD-R</t>
  </si>
  <si>
    <t>00060-00165981/2020-78</t>
  </si>
  <si>
    <t>186/2020</t>
  </si>
  <si>
    <t>00060-00165960/2020-52</t>
  </si>
  <si>
    <t>187/2020</t>
  </si>
  <si>
    <t>00060-00166175/2020-17</t>
  </si>
  <si>
    <t>188/2020</t>
  </si>
  <si>
    <t>00060-00165891/2020-87</t>
  </si>
  <si>
    <t>189/2020</t>
  </si>
  <si>
    <t>SHOPPING DO ALUNO (700790)</t>
  </si>
  <si>
    <t>GA HOSPITALAR (703786)</t>
  </si>
  <si>
    <t>00060-00164467/2020-15</t>
  </si>
  <si>
    <t>190/2020</t>
  </si>
  <si>
    <t>00060-00164372/2020-00</t>
  </si>
  <si>
    <t>191/2020</t>
  </si>
  <si>
    <t>00060-00164314/2020-78</t>
  </si>
  <si>
    <t>192/2020</t>
  </si>
  <si>
    <t>assinar</t>
  </si>
  <si>
    <t>liberar codigo</t>
  </si>
  <si>
    <t>ALCON</t>
  </si>
  <si>
    <t>danilo.novaes@alcon.com</t>
  </si>
  <si>
    <t>DESERTO. Informamos que pode ser pelo R$ total baixo. Outros PDPAS compraram com quantidade maior.</t>
  </si>
  <si>
    <t>ASTEM (3864)</t>
  </si>
  <si>
    <t>00060-00168890/2020-94</t>
  </si>
  <si>
    <t>193/2020</t>
  </si>
  <si>
    <t>00060-00168985/2020-16</t>
  </si>
  <si>
    <t>194/2020</t>
  </si>
  <si>
    <t>00060-00169921/2020-24</t>
  </si>
  <si>
    <t>195/2020</t>
  </si>
  <si>
    <t>CURA E MED</t>
  </si>
  <si>
    <t>cotacao@curaemed.com.br</t>
  </si>
  <si>
    <t>CURA E MED - Letícia</t>
  </si>
  <si>
    <t>leticia.jordao@curaemed.com.br</t>
  </si>
  <si>
    <t>SOLICITAMOS QUE AS PROPOSTAS SEJAM ACOMPANHADAS DAS CERTIDÕES EXIGIDAS:</t>
  </si>
  <si>
    <t>Informações técnicas: ANTONIO SERGIO – Fone: (61) 2017-1801 / 3385-9749.</t>
  </si>
  <si>
    <r>
      <t xml:space="preserve">Responsável pelo aceite: </t>
    </r>
    <r>
      <rPr>
        <b/>
        <sz val="10"/>
        <rFont val="Times New Roman"/>
        <family val="1"/>
      </rPr>
      <t xml:space="preserve">ANTONIO SERGIO DA SILVA MELO - Matr.1.695.299-5, Chefe do Núcleo de Almoxarifado </t>
    </r>
    <r>
      <rPr>
        <sz val="10"/>
        <rFont val="Times New Roman"/>
        <family val="1"/>
      </rPr>
      <t>– Fone: (61) 2017-1801 / 3385-9749.</t>
    </r>
  </si>
  <si>
    <t>O valor do frete, imposto e taxas devem estar inclusos no preço unitário do item.</t>
  </si>
  <si>
    <t>00060-00171043/2020-15</t>
  </si>
  <si>
    <t>196/2020</t>
  </si>
  <si>
    <t>DET01</t>
  </si>
  <si>
    <t>valor corrigido quantidade tava errado</t>
  </si>
  <si>
    <t>22.272-0</t>
  </si>
  <si>
    <t>HELP DAS PISCINAS</t>
  </si>
  <si>
    <t>helpdaspiscinasme@gmail.com</t>
  </si>
  <si>
    <t>dedetizadorafolha@gmail.com</t>
  </si>
  <si>
    <t>DEDETIZADORA FOLHA</t>
  </si>
  <si>
    <t>KABU DEDETIZADORA</t>
  </si>
  <si>
    <t>kabudedetizadora@hotmail.com</t>
  </si>
  <si>
    <t>Dedetização</t>
  </si>
  <si>
    <t>PEDRÃO DEDETIZAÇÃO</t>
  </si>
  <si>
    <t>pedraodedetização@gmail.com</t>
  </si>
  <si>
    <t>brasalidedetizadora@gmail.com</t>
  </si>
  <si>
    <t>bratoxbrasilia@gmail.com</t>
  </si>
  <si>
    <t>casalimpadf@hotmail.com</t>
  </si>
  <si>
    <t>contato@ecologicdedetizadora.com.br</t>
  </si>
  <si>
    <t>contato@folhadedetizadora.com.br</t>
  </si>
  <si>
    <t>BRASALI DEDETIZADORA</t>
  </si>
  <si>
    <t>BRATOX DEDETIZADORA</t>
  </si>
  <si>
    <t>CASA LIMPA DF</t>
  </si>
  <si>
    <t>ECOLOGIC DEDETIZADORA</t>
  </si>
  <si>
    <t>FOLHA DEDETIZADORA</t>
  </si>
  <si>
    <t>KADU DEDETIZADORA</t>
  </si>
  <si>
    <t>kadudedetizadora@hotmail.com</t>
  </si>
  <si>
    <t>satelitededetizadora@hotmail.com</t>
  </si>
  <si>
    <t>comercial@ataxmed.com.br</t>
  </si>
  <si>
    <t>contato@cruzeirodedetizadora.com.br</t>
  </si>
  <si>
    <t>SATELITE DEDETIZADORA</t>
  </si>
  <si>
    <t>CRUZEIRO DEDETIZADORA</t>
  </si>
  <si>
    <t>00060-00175442/2020-47</t>
  </si>
  <si>
    <t>197/2020</t>
  </si>
  <si>
    <t>00060-00175668/2020-48</t>
  </si>
  <si>
    <t>198/2020</t>
  </si>
  <si>
    <t>00060-00175752/2020-61</t>
  </si>
  <si>
    <t>199/2020</t>
  </si>
  <si>
    <t>00060-00176883/2020-66</t>
  </si>
  <si>
    <t>200/2020</t>
  </si>
  <si>
    <t>00060-00176730/2020-19</t>
  </si>
  <si>
    <t>201/2020</t>
  </si>
  <si>
    <t>Controle para cama elétrica hospitalar Maquet (ArjoHuntleigh), ENTERPRISE 5000</t>
  </si>
  <si>
    <t>CONTROLE PARA CAMA ELETRICA</t>
  </si>
  <si>
    <t>TOTAL FERRAGENS</t>
  </si>
  <si>
    <t>totalferragens@hotmail.com</t>
  </si>
  <si>
    <t>R$ 1.530,00* valor corrigido 2.070,00</t>
  </si>
  <si>
    <t>29/04/2020</t>
  </si>
  <si>
    <t>30/04/2020</t>
  </si>
  <si>
    <t>00060-00178848/2020-81</t>
  </si>
  <si>
    <t>202/2020</t>
  </si>
  <si>
    <t>00060-00178725/2020-41</t>
  </si>
  <si>
    <t>203/2020</t>
  </si>
  <si>
    <t>00060-00178785/2020-63</t>
  </si>
  <si>
    <t>204/2020</t>
  </si>
  <si>
    <t>205/2020</t>
  </si>
  <si>
    <t>00060-00181676/2020-23</t>
  </si>
  <si>
    <t>00060-00179860/2020-11</t>
  </si>
  <si>
    <t>ALMOTOLIA DE 100ML(FOTO PROTECAO); Aplicação (finalidade): para acondicionamento de soluções; Material: polietileno; Tamanho/capacidade: 100 ml; Características: Almotolia âmbar, confeccionada em polietileno atóxico, graduada em alto-relevo, capacidade: 100 ml; cor âmbar, bico reto com tampa. Embalado individualmente em saco plástico selado; Processo de Esterilização: não estéril; Forma de apresentação: embalagem individual; Prazo de Validade: indeterminado; Unidade de estoque: unidade; Código SES: 22605</t>
  </si>
  <si>
    <t>ALMOTOLIA DE 100ML</t>
  </si>
  <si>
    <t>00060-00182838/2020-41</t>
  </si>
  <si>
    <t>207/2020</t>
  </si>
  <si>
    <t>PASTA TERMICA P/PROCESSADOR 1</t>
  </si>
  <si>
    <t>00060-00182804/2020-56</t>
  </si>
  <si>
    <t>208/2020</t>
  </si>
  <si>
    <t>CAPACITADOR ELETROLITICO DE 1000MFX25V 1</t>
  </si>
  <si>
    <t>CAPACITOR ELETROLITICO</t>
  </si>
  <si>
    <t>00060-00182890/2020-05</t>
  </si>
  <si>
    <t>209/2020</t>
  </si>
  <si>
    <t>LIMPA CONTATOS FREON 250G</t>
  </si>
  <si>
    <t>LIMPA CONTATOS</t>
  </si>
  <si>
    <t>DESCRIÇÃO COMPLETA NO SIS TAVA EM BRANCO</t>
  </si>
  <si>
    <t>00060-00183017/2020-21</t>
  </si>
  <si>
    <t>210/2020</t>
  </si>
  <si>
    <t>FERRO DE SOLDA 220VSX35W 1</t>
  </si>
  <si>
    <t>0004</t>
  </si>
  <si>
    <t>3112-3 Op. 003</t>
  </si>
  <si>
    <t>CANCELADO ZAP ELMA</t>
  </si>
  <si>
    <t>MUNDO DOS COUROS (700773)</t>
  </si>
  <si>
    <t>211/2020</t>
  </si>
  <si>
    <t>212/2020</t>
  </si>
  <si>
    <t>213/2020</t>
  </si>
  <si>
    <t>214/2020</t>
  </si>
  <si>
    <t>215/2020</t>
  </si>
  <si>
    <t>216/2020</t>
  </si>
  <si>
    <t>00060-00186488/2020-91</t>
  </si>
  <si>
    <t>00060-00184138/2020-91</t>
  </si>
  <si>
    <t>00060-00184897/2020-53</t>
  </si>
  <si>
    <t>00060-00184073/2020-83</t>
  </si>
  <si>
    <t>00060-00183922/2020-81</t>
  </si>
  <si>
    <t>00060-00183993/2020-84</t>
  </si>
  <si>
    <t>00060-00183835/2020-24</t>
  </si>
  <si>
    <t>217/2020</t>
  </si>
  <si>
    <t>218/2020</t>
  </si>
  <si>
    <t>219/2020</t>
  </si>
  <si>
    <t>00060-00182720/2020-12</t>
  </si>
  <si>
    <t>CAPACITOR 470 MF 25V ELETROLITICO</t>
  </si>
  <si>
    <t>CAPACITOR 470MF</t>
  </si>
  <si>
    <t>CASA LIMPA</t>
  </si>
  <si>
    <t>CASA LIMPA DEDETIADORA LTDA ME</t>
  </si>
  <si>
    <t>ECOLOGIC -W&amp;E SERVIÇOS TÉCNICOS EIRELLI EPP-</t>
  </si>
  <si>
    <t>DEDETIZADORA FOLHA EIRELLI</t>
  </si>
  <si>
    <t>PEDRÃO DEDETIZADORA</t>
  </si>
  <si>
    <t>CRUZEIRO SERVIÇOS TÉCNICOS EIRELLI -ME</t>
  </si>
  <si>
    <t>JOHNNY SODRE</t>
  </si>
  <si>
    <t>22.575.793/0001-00</t>
  </si>
  <si>
    <t>067</t>
  </si>
  <si>
    <t>010957-6</t>
  </si>
  <si>
    <t>206/2020</t>
  </si>
  <si>
    <t>CATETER NASAL ADULTO</t>
  </si>
  <si>
    <t>00060-00187282/2020-89</t>
  </si>
  <si>
    <t>VME05</t>
  </si>
  <si>
    <t>VME06</t>
  </si>
  <si>
    <t>VME07</t>
  </si>
  <si>
    <t>VME08</t>
  </si>
  <si>
    <t>Conserto em Aparelho VENTILADOR MECÂNICO PULMONAR, marca Maquet, nº patrimônio 1001783</t>
  </si>
  <si>
    <t>Conserto em Aparelho VENTILADOR MECÂNICO PULMONAR, marca Maquet, nº patrimônio 1001784</t>
  </si>
  <si>
    <t>Conserto em Aparelho VENTILADOR MECÂNICO PULMONAR, marca Maquet, nº patrimônio 020448</t>
  </si>
  <si>
    <t>Conserto em Aparelho VENTILADOR MECÂNICO PULMONAR, marca Maquet, nº patrimônio 020450</t>
  </si>
  <si>
    <t>00060-00186658/2020-38</t>
  </si>
  <si>
    <t>220/2020</t>
  </si>
  <si>
    <t>vidamed.dff@gmail.com</t>
  </si>
  <si>
    <t>ciasup.med@gmail.com</t>
  </si>
  <si>
    <t>CIA SUPRIMENTOS 2</t>
  </si>
  <si>
    <t>vendas18@medvittadist.com.br</t>
  </si>
  <si>
    <t>Científica cancelou por e-mail 04/05/2020. Já tinha recebimento parcial no SIS, não deu para cenacelar no SIS.</t>
  </si>
  <si>
    <t>NR Cancelou esse restante 07/05/2020. email pdpashrg.almoxarifado</t>
  </si>
  <si>
    <t>FERRAGENS GAMA (3580)</t>
  </si>
  <si>
    <t>CRUZEIRO SERVIÇOS (703877)</t>
  </si>
  <si>
    <t>ELÉTRICA REGIONAL (701099)</t>
  </si>
  <si>
    <t>00060-00188298/2020-17</t>
  </si>
  <si>
    <t>221/2020</t>
  </si>
  <si>
    <t>00060-00188380/2020-33</t>
  </si>
  <si>
    <t>222/2020</t>
  </si>
  <si>
    <t>00060-00190508/2020-29</t>
  </si>
  <si>
    <t>223/2020</t>
  </si>
  <si>
    <t>AGIMED (700378)</t>
  </si>
  <si>
    <t>00060-00192858/2020-20</t>
  </si>
  <si>
    <t>224/2020</t>
  </si>
  <si>
    <t>00060-00192967/2020-47</t>
  </si>
  <si>
    <t>225/2020</t>
  </si>
  <si>
    <t>00060-00192970/2020-61</t>
  </si>
  <si>
    <t>226/2020</t>
  </si>
  <si>
    <t>00060-00192874/2020-12</t>
  </si>
  <si>
    <t>227/2020</t>
  </si>
  <si>
    <t>228/2020</t>
  </si>
  <si>
    <t>00060-00195281/2020-16</t>
  </si>
  <si>
    <t>bsbcomhosp@gmail.com</t>
  </si>
  <si>
    <t>BSB COMERCIAL</t>
  </si>
  <si>
    <t>coordenador@dldistribuidora.net.br</t>
  </si>
  <si>
    <t>DL DISTRIBUIDORA 2</t>
  </si>
  <si>
    <t>SEM SALDO para quantidade da caixa de 25 unidades.</t>
  </si>
  <si>
    <t>00060-00195138/2020-16</t>
  </si>
  <si>
    <t>229/2020</t>
  </si>
  <si>
    <t>00060-00195157/2020-42</t>
  </si>
  <si>
    <t>230/2020</t>
  </si>
  <si>
    <t>00060-00195215/2020-38</t>
  </si>
  <si>
    <t>231/2020</t>
  </si>
  <si>
    <t>00060-00195108/2020-18</t>
  </si>
  <si>
    <t>232/2020</t>
  </si>
  <si>
    <t>00060-00195187/2020-59</t>
  </si>
  <si>
    <t>233/2020</t>
  </si>
  <si>
    <t>00060-00196439/2020-67</t>
  </si>
  <si>
    <t>234/2020</t>
  </si>
  <si>
    <t>00060-00196313/2020-92</t>
  </si>
  <si>
    <t>235/2020</t>
  </si>
  <si>
    <t xml:space="preserve">CONJUNTO PRIVATIVO ENFERMAGEM CENTRO CIRÚRGICO E HEMODINÂMICA  Tamanho 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</si>
  <si>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236/2020</t>
  </si>
  <si>
    <t>00060-00196289/2020-91</t>
  </si>
  <si>
    <t xml:space="preserve">CONJUNTO PRIVATIVO ENFERMAGEM  CENTRO CIRÚRGICO E HEMODINÂMICA  Tamanho GG.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50 cm;Perímetro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</si>
  <si>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237/2020</t>
  </si>
  <si>
    <t>00060-00196268/2020-76</t>
  </si>
  <si>
    <t>00060-00196247/2020-51</t>
  </si>
  <si>
    <t>238/2020</t>
  </si>
  <si>
    <t>00060-00196610/2020-38</t>
  </si>
  <si>
    <t>239/2020</t>
  </si>
  <si>
    <t>00060-00195510/2020-94</t>
  </si>
  <si>
    <t>240/2020</t>
  </si>
  <si>
    <t>IMP01</t>
  </si>
  <si>
    <t>IMP02</t>
  </si>
  <si>
    <t xml:space="preserve">Conserto de Impressora, Marca DRY STAR, Modelo Blue DRY VIEW 6850, Nº Patrimônio 1301048, Nº de Série 68508166 .
</t>
  </si>
  <si>
    <t xml:space="preserve">Conserto de Impressora, Marca DRY STAR, Modelo Blue DRY VIEW 5950, Nº Patrimônio 1301069, Nº de Série 59537606 .
</t>
  </si>
  <si>
    <t>241/2020</t>
  </si>
  <si>
    <t>00060-00188544/2020-22</t>
  </si>
  <si>
    <t>CONJUNTO PRIVATIVO LAVANDERIA</t>
  </si>
  <si>
    <t>CONJUNTO PRIVATIVO ENFERMAGEM CENTRO CIRURGICO E HEMODINAMICA</t>
  </si>
  <si>
    <t>PHARMÉDICE (702085)</t>
  </si>
  <si>
    <t>00060-00201788/2020-16</t>
  </si>
  <si>
    <t>242/2020</t>
  </si>
  <si>
    <t>243/2020</t>
  </si>
  <si>
    <t>244/2020</t>
  </si>
  <si>
    <t>245/2020</t>
  </si>
  <si>
    <t>246/2020</t>
  </si>
  <si>
    <t>247/2020</t>
  </si>
  <si>
    <t>248/2020</t>
  </si>
  <si>
    <t>00060-00199880/2020-09</t>
  </si>
  <si>
    <t>10 UND - NR. 20  10 UND - NR. 22</t>
  </si>
  <si>
    <t>00060-00199938/2020-14</t>
  </si>
  <si>
    <t>00060-00199941/2020-20</t>
  </si>
  <si>
    <t>00060-00200525/2020-81</t>
  </si>
  <si>
    <t>00060-00200608/2020-71</t>
  </si>
  <si>
    <t>00060-00200727/2020-23</t>
  </si>
  <si>
    <t>MEDICAL TECH (701542)</t>
  </si>
  <si>
    <t>3ALBE</t>
  </si>
  <si>
    <t>andersem@3albe.com.br</t>
  </si>
  <si>
    <t>contato@seglinetecnologia.com.br</t>
  </si>
  <si>
    <t>SEGLINE</t>
  </si>
  <si>
    <t>CANCELADO VALOR EXORBITANTE APÓS 6ª PUBLICAÇÃO</t>
  </si>
  <si>
    <t>00060-00204723/2020-14</t>
  </si>
  <si>
    <t>249/2020</t>
  </si>
  <si>
    <t>00060-00203699/2020-04</t>
  </si>
  <si>
    <t>250/2020</t>
  </si>
  <si>
    <t>BOTA DE BORRACHA CANO LONGO TAMANHO:39, FORRADA POR DENTRO COM MEIA DE POLIESTER OU NYLON, NA COR BRANCA, SOLADO ANITERRAPANTE, CONTENDO C.A (Certificado de Aprovação) INSCRITO NO EPI.</t>
  </si>
  <si>
    <t>BOTA BORRACHA 39</t>
  </si>
  <si>
    <t>00060-00203678/2020-81</t>
  </si>
  <si>
    <t>BOTA BORRACHA 38</t>
  </si>
  <si>
    <t>BOTA DE BORRACHA CANO LONGO TAMANHO:38, FORRADA POR DENTRO COM MEIA DE POLIESTER OU NYLON, NA COR BRANCA, SOLADO ANITERRAPANTE, CONTENDO C.A (Certificado de Aprovação) INSCRITO NO EPI.</t>
  </si>
  <si>
    <t>00060-00203314/2020-09</t>
  </si>
  <si>
    <t>BOTA DE BORRACHA CANO LONGO TAMANHO:37, FORRADA POR DENTRO COM MEIA DE POLIESTER OU NYLON, NA COR BRANCA, SOLADO ANITERRAPANTE, CONTENDO C.A (Certificado de Aprovação) INSCRITO NO EPI. Tamanho 37.</t>
  </si>
  <si>
    <t>BOTA BORRACHA 37</t>
  </si>
  <si>
    <t>00060-00203305/2020-18</t>
  </si>
  <si>
    <t>BOTA DE BORRACHA CANO LONGO TAMANHO:36, FORRADA POR DENTRO COM MEIA DE POLIESTER OU NYLON, NA COR BRANCA, SOLADO ANITERRAPANTE, CONTENDO C.A (Certificado de Aprovação) INSCRITO NO EPI.</t>
  </si>
  <si>
    <t>BOTA BORRACHA 36</t>
  </si>
  <si>
    <t>CODIGO INATIVO</t>
  </si>
  <si>
    <t>00060-00203297/2020-00</t>
  </si>
  <si>
    <t>BOTA DE BORRACHA CANO LONGO TAMANHO:35, FORRADA POR DENTRO COM MEIA DE POLIESTER OU NYLON, NA COR BRANCA, SOLADO ANITERRAPANTE, CONTENDO C.A (Certificado de Aprovação) INSCRITO NO EPI.</t>
  </si>
  <si>
    <t>BOTA BORRACHA 35</t>
  </si>
  <si>
    <t>00060-00203285/2020-77</t>
  </si>
  <si>
    <t>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t>
  </si>
  <si>
    <t>BOTA SEGURANÇA 34</t>
  </si>
  <si>
    <t>00060-00203712/2020-17</t>
  </si>
  <si>
    <t>BOTA DE BORRACHA CANO LONGO TAMANHO:40, FORRADA POR DENTRO COM MEIA DE POLIESTER OU NYLON, NA COR BRANCA, SOLADO ANITERRAPANTE, CONTENDO C.A (Certificado de Aprovação) INSCRITO NO EPI.</t>
  </si>
  <si>
    <t>BOTA BORRACHA 40</t>
  </si>
  <si>
    <t>00060-00203732/2020-98</t>
  </si>
  <si>
    <t>BOTA DE BORRACHA CANO LONGO TAMANHO:41, FORRADA POR DENTRO COM MEIA DE POLIESTER OU NYLON, NA COR BRANCA, SOLADO ANITERRAPANTE, CONTENDO C.A (Certificado de Aprovação) INSCRITO NO EPI.</t>
  </si>
  <si>
    <t>BOTA BORRACHA 41</t>
  </si>
  <si>
    <t>00060-00203757/2020-91</t>
  </si>
  <si>
    <t>BOTA SEGURANÇA 42</t>
  </si>
  <si>
    <t>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t>
  </si>
  <si>
    <t>00060-00203777/2020-62</t>
  </si>
  <si>
    <t>BOTA SEGURANÇA 43</t>
  </si>
  <si>
    <t>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t>
  </si>
  <si>
    <t>260/2020</t>
  </si>
  <si>
    <t>261/2020</t>
  </si>
  <si>
    <t>262/2020</t>
  </si>
  <si>
    <t>00060-00204609/2020-94</t>
  </si>
  <si>
    <t>00060-00204310/2020-30</t>
  </si>
  <si>
    <t>00060-00204322/2020-64</t>
  </si>
  <si>
    <t>Cabo de força para Desfibrilador e Cardioversor LIFEMED.</t>
  </si>
  <si>
    <t>CABO DE FORÇA</t>
  </si>
  <si>
    <t>vide imagens</t>
  </si>
  <si>
    <t>00060-00203353/2020-06</t>
  </si>
  <si>
    <t>00060-00203379/2020-46</t>
  </si>
  <si>
    <t>00060-00203428/2020-41</t>
  </si>
  <si>
    <t>00060-00204650/2020-61</t>
  </si>
  <si>
    <t>00060-00205056/2020-97</t>
  </si>
  <si>
    <t>RESISTENCIA AQUEC.AGUA EMERSAO "U" 1000WX220V 1</t>
  </si>
  <si>
    <t>RESISTENCIA</t>
  </si>
  <si>
    <t>263/2020</t>
  </si>
  <si>
    <t>264/2020</t>
  </si>
  <si>
    <t>265/2020</t>
  </si>
  <si>
    <t>266/2020</t>
  </si>
  <si>
    <t>267/2020</t>
  </si>
  <si>
    <t>268/2020</t>
  </si>
  <si>
    <t>269/2020</t>
  </si>
  <si>
    <t>270/2020</t>
  </si>
  <si>
    <t>271/2020</t>
  </si>
  <si>
    <t>272/2020</t>
  </si>
  <si>
    <t>273/2020</t>
  </si>
  <si>
    <t>274/2020</t>
  </si>
  <si>
    <t>275/2020</t>
  </si>
  <si>
    <t>276/2020</t>
  </si>
  <si>
    <t>277/2020</t>
  </si>
  <si>
    <t>278/2020</t>
  </si>
  <si>
    <t>279/2020</t>
  </si>
  <si>
    <t>280/2020</t>
  </si>
  <si>
    <t>281/2020</t>
  </si>
  <si>
    <t>282/2020</t>
  </si>
  <si>
    <t>283/2020</t>
  </si>
  <si>
    <t>00060-00205799/2020-67</t>
  </si>
  <si>
    <t>00060-00206477/2020-35</t>
  </si>
  <si>
    <t>00060-00206865/2020-16</t>
  </si>
  <si>
    <t>00060-00206775/2020-25</t>
  </si>
  <si>
    <t>00060-00206727/2020-37</t>
  </si>
  <si>
    <t>00060-00206555/2020-00</t>
  </si>
  <si>
    <t>00060-00206670/2020-76</t>
  </si>
  <si>
    <t>00060-00206823/2020-85</t>
  </si>
  <si>
    <t>00060-00208653/2020-73</t>
  </si>
  <si>
    <t>284/2020</t>
  </si>
  <si>
    <t>285/2020</t>
  </si>
  <si>
    <t>CINCO CONFIANÇA (702125)</t>
  </si>
  <si>
    <t>vendas@tiradentesnet.com.br</t>
  </si>
  <si>
    <t>vendas@tiradentessaude.com.br</t>
  </si>
  <si>
    <t>diag_imagem2@tiradentessaude.com.br</t>
  </si>
  <si>
    <t>00060-00209398/2020-86</t>
  </si>
  <si>
    <t>00060-00209546/2020-62</t>
  </si>
  <si>
    <t>00060-00209500/2020-43</t>
  </si>
  <si>
    <t>00060-00209462/2020-29</t>
  </si>
  <si>
    <t>FLOXINA B. CORANTE, TIPO FLOXINA B, ASPECTO FÍSICO PÓ, CARACTERÍSTICAS ADICIONAIS CI 45410. Aplicação (finalidade): Corante para análise laboratorial e diagnóstico.
Tamanho/Capacidade: Frasco. Características adicionais: A embalagem do produto deverá...</t>
  </si>
  <si>
    <t>FLOXINA B</t>
  </si>
  <si>
    <t>ELÉTRICA PISTÃO (702896)</t>
  </si>
  <si>
    <t>DIMENSIONAL CENTELHA SOLUCOES LTDA</t>
  </si>
  <si>
    <t>Tami Cristina Porfirio</t>
  </si>
  <si>
    <t>06.913.480/0015-63</t>
  </si>
  <si>
    <t>DIMENSIONAL</t>
  </si>
  <si>
    <t>MEDIC</t>
  </si>
  <si>
    <t>medic.vitall@gmail.com</t>
  </si>
  <si>
    <t>FJ COMÉRCIO (703245)</t>
  </si>
  <si>
    <t>251/2020</t>
  </si>
  <si>
    <t>252/2020</t>
  </si>
  <si>
    <t>253/2020</t>
  </si>
  <si>
    <t>254/2020</t>
  </si>
  <si>
    <t>255/2020</t>
  </si>
  <si>
    <t>256/2020</t>
  </si>
  <si>
    <t>257/2020</t>
  </si>
  <si>
    <t>258/2020</t>
  </si>
  <si>
    <t>259/2020</t>
  </si>
  <si>
    <t>00060-00211115/2020-66</t>
  </si>
  <si>
    <t>00060-00211140/2020-40</t>
  </si>
  <si>
    <t>00060-00211165/2020-43</t>
  </si>
  <si>
    <t>00060-00211190/2020-27</t>
  </si>
  <si>
    <t>00060-00212740/2020-25</t>
  </si>
  <si>
    <t>00060-00214293/2020-49</t>
  </si>
  <si>
    <t>286/2020</t>
  </si>
  <si>
    <t>287/2020</t>
  </si>
  <si>
    <t>BVA01</t>
  </si>
  <si>
    <t>Bomba à vacuo, Marca DABI-ATLANTE, Modelo Ciclone, Nº Patrimônio 1020489</t>
  </si>
  <si>
    <t>RAI04</t>
  </si>
  <si>
    <t>00060-00210748/2020-57</t>
  </si>
  <si>
    <t>Montagem/Desmontagem Raio X, Marca VMI, Modelo Compacto Plus 500, Nº Patrimônio 445305.</t>
  </si>
  <si>
    <t>TIRADENTES - MATRIZ (295)</t>
  </si>
  <si>
    <t>RRX (</t>
  </si>
  <si>
    <t>Repasse (010050)</t>
  </si>
  <si>
    <r>
      <t>CERTIDÕES PARA</t>
    </r>
    <r>
      <rPr>
        <b/>
        <sz val="14"/>
        <rFont val="Calibri"/>
        <family val="2"/>
        <scheme val="minor"/>
      </rPr>
      <t xml:space="preserve"> 04/06</t>
    </r>
    <r>
      <rPr>
        <b/>
        <sz val="12"/>
        <rFont val="Calibri"/>
        <family val="2"/>
        <scheme val="minor"/>
      </rPr>
      <t>/2020</t>
    </r>
  </si>
  <si>
    <t>00060-00214407/2020-51</t>
  </si>
  <si>
    <t>288/2020</t>
  </si>
  <si>
    <t>RME01</t>
  </si>
  <si>
    <t>CONSERTO DE Respirador Mecânico, Marca TAKAOKA DENVER, Nº Patrimônio 547161.</t>
  </si>
  <si>
    <t>00060-00213829/2020-17</t>
  </si>
  <si>
    <t>289/2020</t>
  </si>
  <si>
    <t>Conserto deMicroscópio Binocular, Marca LEICA, Modelo DM 1000, Nº Patrimônio 931646, Nº de Série 336695.</t>
  </si>
  <si>
    <t>Conserto de Microscópio Binocular, Marca LEICA, Modelo DM 1000, Nº Patrimônio 931643, Nº de Série 336703.</t>
  </si>
  <si>
    <t>Conserto de Microscópio Binocular, Marca OLYMPUS, Nº Patrimônio 3258.</t>
  </si>
  <si>
    <t>MIC07</t>
  </si>
  <si>
    <t>MIC08</t>
  </si>
  <si>
    <t>MIC09</t>
  </si>
  <si>
    <t>00060-00214449/2020-91</t>
  </si>
  <si>
    <t>290/2020</t>
  </si>
  <si>
    <t>RME02</t>
  </si>
  <si>
    <t>CONSERTO DE Respirador Mecânico, Marca PURITAN BENNET 840, Nº Patrimônio 912147</t>
  </si>
  <si>
    <t>00060-00216708/2020-19</t>
  </si>
  <si>
    <t>291/2020</t>
  </si>
  <si>
    <t>00060-00216204/2020-07</t>
  </si>
  <si>
    <t>292/2020</t>
  </si>
  <si>
    <t>DROGARIA LIBERAL E PEREIRA L EIRELI-ME</t>
  </si>
  <si>
    <t>13.544.130/0001-37</t>
  </si>
  <si>
    <t>DROGARIA LIBERAL</t>
  </si>
  <si>
    <t>5 publicações desertas</t>
  </si>
  <si>
    <t>falta todas certidões</t>
  </si>
  <si>
    <t>Falta União</t>
  </si>
  <si>
    <t>Falta GDF</t>
  </si>
  <si>
    <t>Falta União e GDF</t>
  </si>
  <si>
    <t>00060-00218245/2020-20</t>
  </si>
  <si>
    <t>293/2020</t>
  </si>
  <si>
    <t>00060-00217993/2020-95</t>
  </si>
  <si>
    <t>294/2020</t>
  </si>
  <si>
    <t xml:space="preserve">CONJUNTO PARA DETERMINACAO DE CAPACIDADE DE FIXACAO DO FERRO TOTAL NO SORO,PLASMA E SANGUE TOTAL. Aplicação:reagente para dosagem de ferro total no
soro,plasma e sangue total , Característica adicional :método colorimétrico totalmente automatizado, F...
</t>
  </si>
  <si>
    <t>CONJUNTO PARA DETERMINAÇÃO DE CAPACIDADE DE FIXAÇÃO DE FERRO TOTAL NO SORO</t>
  </si>
  <si>
    <t>00060-00218275/2020-36</t>
  </si>
  <si>
    <t>295/2020</t>
  </si>
  <si>
    <t>296/2020</t>
  </si>
  <si>
    <t>00060-00218305/2020-12</t>
  </si>
  <si>
    <t>00060-00218341/2020-78</t>
  </si>
  <si>
    <t>297/2020</t>
  </si>
  <si>
    <t>00060-00218620/2020-31</t>
  </si>
  <si>
    <t>298/2020</t>
  </si>
  <si>
    <t>CONSERTO DE Respirador Mecânico, Marca PURITAN BENNET 840, Nº Patrimônio 912145</t>
  </si>
  <si>
    <t>CONSERTO DE Respirador Mecânico, Marca PURITAN BENNET 840, Nº Patrimônio 912149</t>
  </si>
  <si>
    <t>CONSERTO DE Respirador Mecânico, Marca PURITAN BENNET 840, Nº Patrimônio 9122683</t>
  </si>
  <si>
    <t>RME03</t>
  </si>
  <si>
    <t>RME04</t>
  </si>
  <si>
    <t>RME05</t>
  </si>
  <si>
    <t>00060-00220266/2020-13</t>
  </si>
  <si>
    <t>299/2020</t>
  </si>
  <si>
    <t>00060-00220420/2020-49</t>
  </si>
  <si>
    <t>300/2020</t>
  </si>
  <si>
    <t>MÁSCARA DE OXIGÊNIO NÃO REINALANTE: em plástico siliconizado no tamanho médio.</t>
  </si>
  <si>
    <t>MASCARA DE OXIGENIO</t>
  </si>
  <si>
    <t>00060-00218616/2020-73</t>
  </si>
  <si>
    <t>301/2020</t>
  </si>
  <si>
    <t>00060-00220430/2020-84</t>
  </si>
  <si>
    <t>302/2020</t>
  </si>
  <si>
    <t>00060-00220834/2020-78</t>
  </si>
  <si>
    <t>303/2020</t>
  </si>
  <si>
    <t>00060-00218599/2020-74</t>
  </si>
  <si>
    <t>304/2020</t>
  </si>
  <si>
    <t>BRACADEIRA COM MANGUITO</t>
  </si>
  <si>
    <t>Braçadeira com manguito acoplado 1 tubo, adulto, reutilizável, livre de latéx e com engate rápido. Compatível com monitores multiparamétricos Mindray IPM-9800.</t>
  </si>
  <si>
    <t>00060-00220857/2020-82</t>
  </si>
  <si>
    <t>305/2020</t>
  </si>
  <si>
    <t>00060-00221229/2020-14</t>
  </si>
  <si>
    <t>306/2020</t>
  </si>
  <si>
    <t>00060-00220873/2020-75</t>
  </si>
  <si>
    <t>307/2020</t>
  </si>
  <si>
    <t>Mangueira que conecta o manguito ao monitor. É obrigatório o|seu uso em conjunto com os Manguitos Adultos (1003130,10003132,10003133,10003136) e |Pediátricos (10003134,10003135).||Código LIFEMED: 10003131</t>
  </si>
  <si>
    <t>MANGUEIRA EXTENSORA</t>
  </si>
  <si>
    <t>00060-00221000/2020-80</t>
  </si>
  <si>
    <t>308/2020</t>
  </si>
  <si>
    <t>WIENER-LAB</t>
  </si>
  <si>
    <t>gascelsotaldo@wiener-lab.com.br</t>
  </si>
  <si>
    <r>
      <t>GAMA</t>
    </r>
    <r>
      <rPr>
        <b/>
        <sz val="18"/>
        <color theme="1"/>
        <rFont val="Calibri"/>
        <family val="2"/>
        <scheme val="minor"/>
      </rPr>
      <t xml:space="preserve"> 04/06/</t>
    </r>
    <r>
      <rPr>
        <b/>
        <sz val="14"/>
        <color theme="1"/>
        <rFont val="Calibri"/>
        <family val="2"/>
        <scheme val="minor"/>
      </rPr>
      <t>2020</t>
    </r>
  </si>
  <si>
    <t>TOTAL PAGAMENTOS</t>
  </si>
  <si>
    <t>10.000*</t>
  </si>
  <si>
    <t>HYPER MEDICAL</t>
  </si>
  <si>
    <t>julliar@icloud.com</t>
  </si>
  <si>
    <t>PHARMÉDICE - Rodrigo</t>
  </si>
  <si>
    <t>atendimento7@pharmedice.com.br</t>
  </si>
  <si>
    <t>DCRUZ</t>
  </si>
  <si>
    <t>licitacao@dcruzcomercial.com.br</t>
  </si>
  <si>
    <t>SOL MILLENNIUM</t>
  </si>
  <si>
    <t>contato@solmillennium.com</t>
  </si>
  <si>
    <t>HOSPTEL</t>
  </si>
  <si>
    <t>hosptel@hosptel.com.br</t>
  </si>
  <si>
    <t>FORLAB</t>
  </si>
  <si>
    <t>info@forlabexpress.com.br</t>
  </si>
  <si>
    <t>beto@gruposoquimica.com.br</t>
  </si>
  <si>
    <t>thais.silva@distribuidoramedcom.com.br</t>
  </si>
  <si>
    <t>MEDCOM - THAIS</t>
  </si>
  <si>
    <t>CIRÚRGICA RIBEIRÃO PRETO (702755)</t>
  </si>
  <si>
    <t>TCA FARMA (3360)</t>
  </si>
  <si>
    <t>POLARFIX (3815)</t>
  </si>
  <si>
    <t>00060-00226031/2020-27</t>
  </si>
  <si>
    <t>309/2020</t>
  </si>
  <si>
    <t>00060-00226022/2020-36</t>
  </si>
  <si>
    <t>310/2020</t>
  </si>
  <si>
    <t>00060-00225942/2020-37</t>
  </si>
  <si>
    <t>311/2020</t>
  </si>
  <si>
    <t>00060-00225866/2020-60</t>
  </si>
  <si>
    <t>312/2020</t>
  </si>
  <si>
    <t>00060-00225799/2020-83</t>
  </si>
  <si>
    <t>313/2020</t>
  </si>
  <si>
    <t>00060-00225760/2020-66</t>
  </si>
  <si>
    <t>314/2020</t>
  </si>
  <si>
    <t>00060-00224737/2020-54</t>
  </si>
  <si>
    <t>315/2020</t>
  </si>
  <si>
    <t>00060-00224656/2020-54</t>
  </si>
  <si>
    <t>316/2020</t>
  </si>
  <si>
    <t>00060-00224625/2020-01</t>
  </si>
  <si>
    <t>317/2020</t>
  </si>
  <si>
    <t>00060-00224589/2020-78</t>
  </si>
  <si>
    <t>318/2020</t>
  </si>
  <si>
    <t>00060-00224561/2020-31</t>
  </si>
  <si>
    <t>319/2020</t>
  </si>
  <si>
    <t>00060-00224525/2020-77</t>
  </si>
  <si>
    <t>320/2020</t>
  </si>
  <si>
    <t>00060-00227818/2020-14</t>
  </si>
  <si>
    <t>321/2020</t>
  </si>
  <si>
    <t>00060-00227494/2020-14</t>
  </si>
  <si>
    <t>322/2020</t>
  </si>
  <si>
    <t>00060-00227209/2020-57</t>
  </si>
  <si>
    <t>323/2020</t>
  </si>
  <si>
    <t>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t>
  </si>
  <si>
    <t>CATTIS MEDICAL</t>
  </si>
  <si>
    <t>camila.chagas@cattismedical.com.br</t>
  </si>
  <si>
    <t>tiago.sales@cattismedical.com.br</t>
  </si>
  <si>
    <t>administrativodf@cattismedical.com.br</t>
  </si>
  <si>
    <t>administtrativodf3@cattismedical.com.br</t>
  </si>
  <si>
    <t>da assinar</t>
  </si>
  <si>
    <t>DET02</t>
  </si>
  <si>
    <t>DET03</t>
  </si>
  <si>
    <t>DET04</t>
  </si>
  <si>
    <t>DET05</t>
  </si>
  <si>
    <t>DET06</t>
  </si>
  <si>
    <t>DET07</t>
  </si>
  <si>
    <t>DET08</t>
  </si>
  <si>
    <t>DET09</t>
  </si>
  <si>
    <t>DET10</t>
  </si>
  <si>
    <t>DET11</t>
  </si>
  <si>
    <t>DET12</t>
  </si>
  <si>
    <t>DET13</t>
  </si>
  <si>
    <t>DETETIZAÇÃO E DESRATIZAÇÃO CONTROLE E EXTERMINIO DE PRAGA E VETORES HRG</t>
  </si>
  <si>
    <t>DETETIZAÇÃO E DESRATIZAÇÃO CONTROLE E EXTERMINIO DE PRAGA E VETORES UBS 1 Gama</t>
  </si>
  <si>
    <t>DETETIZAÇÃO E DESRATIZAÇÃO CONTROLE E EXTERMINIO DE PRAGA E VETORES UBS 2 Gama</t>
  </si>
  <si>
    <t>DETETIZAÇÃO E DESRATIZAÇÃO CONTROLE E EXTERMINIO DE PRAGA E VETORES UBS 3 Gama</t>
  </si>
  <si>
    <t>DETETIZAÇÃO E DESRATIZAÇÃO CONTROLE E EXTERMINIO DE PRAGA E VETORES UBS 4 Gama</t>
  </si>
  <si>
    <t>DETETIZAÇÃO E DESRATIZAÇÃO CONTROLE E EXTERMINIO DE PRAGA E VETORES UBS 5 Gama</t>
  </si>
  <si>
    <t>DETETIZAÇÃO E DESRATIZAÇÃO CONTROLE E EXTERMINIO DE PRAGA E VETORES UBS 6 Gama</t>
  </si>
  <si>
    <t>DETETIZAÇÃO E DESRATIZAÇÃO CONTROLE E EXTERMINIO DE PRAGA E VETORES UBS 7 Gama</t>
  </si>
  <si>
    <t>DETETIZAÇÃO E DESRATIZAÇÃO CONTROLE E EXTERMINIO DE PRAGA E VETORES UBS 9 (Engenho das Lages)</t>
  </si>
  <si>
    <t>DETETIZAÇÃO E DESRATIZAÇÃO CONTROLE E EXTERMINIO DE PRAGA E VETORES UBS 11 (Ponte Alta Norte)</t>
  </si>
  <si>
    <t>DETETIZAÇÃO E DESRATIZAÇÃO CONTROLE E EXTERMINIO DE PRAGA E VETORES UBS 12 Ponte Alta</t>
  </si>
  <si>
    <t>DETETIZAÇÃO E DESRATIZAÇÃO CONTROLE E EXTERMINIO DE PRAGA E VETORES UBS 8 (DVO) Gama</t>
  </si>
  <si>
    <t>DETETIZAÇÃO E DESRATIZAÇÃO CONTROLE E EXTERMINIO DE PRAGA E VETORES GAOAPS-SU Gama</t>
  </si>
  <si>
    <t>00060-00227054/2020-59</t>
  </si>
  <si>
    <t>324/2020</t>
  </si>
  <si>
    <t>00060-00228959/2020-46</t>
  </si>
  <si>
    <t>325/2020</t>
  </si>
  <si>
    <t>00060-00228579/2020-10</t>
  </si>
  <si>
    <t>326/2020</t>
  </si>
  <si>
    <t>00060-00228703/2020-39</t>
  </si>
  <si>
    <t>327/2020</t>
  </si>
  <si>
    <t>00060-00228791/2020-79</t>
  </si>
  <si>
    <t>328/2020</t>
  </si>
  <si>
    <t>00060-00228892/2020-40</t>
  </si>
  <si>
    <t>329/2020</t>
  </si>
  <si>
    <r>
      <t xml:space="preserve">Responsável pelo aceite: </t>
    </r>
    <r>
      <rPr>
        <b/>
        <sz val="10"/>
        <color theme="1"/>
        <rFont val="Times New Roman"/>
        <family val="1"/>
      </rPr>
      <t xml:space="preserve"> JOSÉ EUCI PEREIRA - Matr.1691486-4, Chefe do Núcleo de Atividades Gerais e Manutenção Predial – Fone: 3484-3513 / 3385-9740</t>
    </r>
  </si>
  <si>
    <r>
      <t xml:space="preserve">Informações técnicas: </t>
    </r>
    <r>
      <rPr>
        <b/>
        <sz val="11"/>
        <rFont val="Times New Roman"/>
        <family val="1"/>
      </rPr>
      <t xml:space="preserve"> JOSÉ EUCI PEREIRA - Matr.1691486-4, Chefe do Núcleo de Atividades Gerais e Manutenção Predial – Fone: 3484-3513 / 3385-9740</t>
    </r>
  </si>
  <si>
    <t>Guilherme</t>
  </si>
  <si>
    <t>leandro_w@ctiweb.com.br</t>
  </si>
  <si>
    <t>00060-00229983/2020-01</t>
  </si>
  <si>
    <t>330/2020</t>
  </si>
  <si>
    <t>00060-00229904/2020-53</t>
  </si>
  <si>
    <t>331/2020</t>
  </si>
  <si>
    <t>00060-00230194/2020-12</t>
  </si>
  <si>
    <t>332/2020</t>
  </si>
  <si>
    <t>00060-00230435/2020-15</t>
  </si>
  <si>
    <t>333/2020</t>
  </si>
  <si>
    <t>00060-00229767/2020-57</t>
  </si>
  <si>
    <t>334/2020</t>
  </si>
  <si>
    <t>00060-00229815/2020-15</t>
  </si>
  <si>
    <t>335/2020</t>
  </si>
  <si>
    <t>00060-00229849/2020-00</t>
  </si>
  <si>
    <t>336/2020</t>
  </si>
  <si>
    <t>00060-00230023/2020-85</t>
  </si>
  <si>
    <t>337/2020</t>
  </si>
  <si>
    <t>00060-00230080/2020-64</t>
  </si>
  <si>
    <t>338/2020</t>
  </si>
  <si>
    <t>00060-00230116/2020-18</t>
  </si>
  <si>
    <t>339/2020</t>
  </si>
  <si>
    <t>00060-00230220/2020-02</t>
  </si>
  <si>
    <t>340/2020</t>
  </si>
  <si>
    <t>00060-00230250/2020-19</t>
  </si>
  <si>
    <t>342/2020</t>
  </si>
  <si>
    <t>00060-00230267/2020-68</t>
  </si>
  <si>
    <t>343/2020</t>
  </si>
  <si>
    <t>00060-00230364/2020-51</t>
  </si>
  <si>
    <t>00060-00230507/2020-24</t>
  </si>
  <si>
    <t>344/2020</t>
  </si>
  <si>
    <t>00060-00230564/2020-11</t>
  </si>
  <si>
    <t>345/2020</t>
  </si>
  <si>
    <t>00060-00230633/2020-89</t>
  </si>
  <si>
    <t>346/2020</t>
  </si>
  <si>
    <t>347/2020</t>
  </si>
  <si>
    <t>00060-00230879/2020-51</t>
  </si>
  <si>
    <t>348/2020</t>
  </si>
  <si>
    <t>349/2020</t>
  </si>
  <si>
    <t>00060-00228108/2020-01</t>
  </si>
  <si>
    <t>00060-00228701/2020-40</t>
  </si>
  <si>
    <t>TER03</t>
  </si>
  <si>
    <t>CONSERTO DE Termodesinfectora, Marca BAUMER, Nº Patrimônio 741165.</t>
  </si>
  <si>
    <t>A PEDIDO. SERÁ DOAÇÃO</t>
  </si>
  <si>
    <t>00060-00232312/2020-19</t>
  </si>
  <si>
    <t>350/2020</t>
  </si>
  <si>
    <t>MASCARA DE NAO-REINALAÇAO - MODELO ADULTO SISTEMA COMPLETO, Tamanho: adulto, Características Adicionais: máscara para oxigenioterapia em vinil macio e transparente facilitando avaliação visual, com presilha ajustável de nariz para fixação confortável. Faixa elástica ajustável à face do paciente. Válvula de controle de baixa resistência, previne a reinalação de gases e duas membranas na máscara permitem a eliminação do gás exalado. Sistema completo, com bolsa reservatória de capacidade mínima de 750ml e tubo de suprimento de oxigênio com no mínimo 2,00m de comprimento. Permite terapia com até 100% de O2.</t>
  </si>
  <si>
    <t>MASCARA NÃO REINALAÇÃO</t>
  </si>
  <si>
    <t>CHEQUE devolvido</t>
  </si>
  <si>
    <t>não foi paga</t>
  </si>
  <si>
    <t>NR GOIAS / NR HOSPITALAR</t>
  </si>
  <si>
    <t>NR GOIAS / NR HOSPITALAR - Henrique</t>
  </si>
  <si>
    <t>cotacao.pdpas@nrindustria.com.br</t>
  </si>
  <si>
    <t>HUMAN TEC (VINICIUS PEREIRA MACHADO)</t>
  </si>
  <si>
    <t>VINICIUS LEMARC</t>
  </si>
  <si>
    <t>30.202.304/0001-00</t>
  </si>
  <si>
    <t>00060-00234792/2020-52</t>
  </si>
  <si>
    <t>AVENTAL DE PROTEÇÃO RADIOLÓGICA 0,50 mm equivalente chumbo de proteção frontal e 0,25 mm equivalente chumbo de proteção nas costas. Aplicação: uso em centros cirúrgicos, raios X telecomandado e hemodinâmica. Uso em equipamentos de fluoroscopia. Características adicionais: borracha de alta resistência, flexível, livre de chumbo, acabamento em nylon impermeável, lavável, ombreira acolchoada, fecho por trava, velcro ou magnético. Tamanhos: Adulto (P/M/G) e infantil. Deverá ter o certificado de aprovação (CA) do MTE e registro na ANVISA.</t>
  </si>
  <si>
    <t xml:space="preserve">AVENTAL DE PROTEÇÃO RADIOLÓGICA 0,50 mm </t>
  </si>
  <si>
    <t>351/2020</t>
  </si>
  <si>
    <t>352/2020</t>
  </si>
  <si>
    <t>353/2020</t>
  </si>
  <si>
    <t>00060-00230084/2020-42</t>
  </si>
  <si>
    <t>00060-00233986/2020-31</t>
  </si>
  <si>
    <t>00060-00192877/2020-56</t>
  </si>
  <si>
    <t>354/2020</t>
  </si>
  <si>
    <t>00060-00237821/2020-38</t>
  </si>
  <si>
    <t>356/2020</t>
  </si>
  <si>
    <t>00060-00237931/2020-08</t>
  </si>
  <si>
    <t>357/2020</t>
  </si>
  <si>
    <t>358/2020</t>
  </si>
  <si>
    <t>00060-00232158/2020-85</t>
  </si>
  <si>
    <t>00060-00232154/2020-05</t>
  </si>
  <si>
    <t>359/2020</t>
  </si>
  <si>
    <t>360/2020</t>
  </si>
  <si>
    <t>00060-00237787/2020-00</t>
  </si>
  <si>
    <t>CAPITAL MEDH (703518)</t>
  </si>
  <si>
    <t>00060-00239109/2020-73</t>
  </si>
  <si>
    <t>361/2020</t>
  </si>
  <si>
    <t>00060-00237825/2020-16</t>
  </si>
  <si>
    <t>362/2020</t>
  </si>
  <si>
    <t>00060-00239049/2020-99</t>
  </si>
  <si>
    <t>363/2020</t>
  </si>
  <si>
    <t>223/202</t>
  </si>
  <si>
    <t>00060-00237877/2020-92</t>
  </si>
  <si>
    <t>364/2020</t>
  </si>
  <si>
    <t>28.036.224/0001-72</t>
  </si>
  <si>
    <t>ALMIR CARDOSO</t>
  </si>
  <si>
    <t>ECOLOGIC</t>
  </si>
  <si>
    <t>COBALTEC SOLUÇÕES ELETRICAS</t>
  </si>
  <si>
    <t>27.745.000/0001-77</t>
  </si>
  <si>
    <t>COBALTEC</t>
  </si>
  <si>
    <t>JEAN</t>
  </si>
  <si>
    <t>pgervasoni@medlive.com.br</t>
  </si>
  <si>
    <t>00060-00240716/2020-86</t>
  </si>
  <si>
    <t>365/2020</t>
  </si>
  <si>
    <t>00060-00241185/2020-49</t>
  </si>
  <si>
    <t>366/2020</t>
  </si>
  <si>
    <t>00060-00240847/2020-63</t>
  </si>
  <si>
    <t>367/2020</t>
  </si>
  <si>
    <t>Pediram 20.000 unidades, portanto 400 pacotes com 50 unidades.</t>
  </si>
  <si>
    <t>368/2020</t>
  </si>
  <si>
    <t>00060-00242335/2020-31</t>
  </si>
  <si>
    <t>370/2020</t>
  </si>
  <si>
    <t>00060-00242793/2020-71</t>
  </si>
  <si>
    <t>369/2020</t>
  </si>
  <si>
    <t>LUVA DE LATÉX palma antiderrapante, punho longo, com virola que prende-se ao ante-braço  para proteção das mãos contra umidade, agentes químicos e biológicos.Tamanho: M</t>
  </si>
  <si>
    <t>LUVA DE SEGURANÇA,Características Técnicas Mínimas: Tamanho: P, Aplicação: contra agentes químicos. Material: em látex neoprene, interior flocado e palma anti-deslizante. Características adicionais: impermeável, com espessura de 0,55 mm e comprimento de 31 cm</t>
  </si>
  <si>
    <t>LUVA BORRACHA,Material: látex natural, Tamanho Punho: longo , Acabamento Superficial: palmas e dedos antiderrapantes, Formato: anatômica, Cor: preta, Tamanho: G, Revestimento Interno: forrada, Características Adicionais: perfeita sensibilidade tátil, resistente e duráveis.</t>
  </si>
  <si>
    <t>LUVA DE LATÉX m</t>
  </si>
  <si>
    <t>LUVA DE LATÉX p</t>
  </si>
  <si>
    <t>LUVA DE LATÉX g</t>
  </si>
  <si>
    <t>00060-00242939/2020-88</t>
  </si>
  <si>
    <t>371/2020</t>
  </si>
  <si>
    <t>AVENTAL DESCARTÁVEL MANGA LONGA; Aplicação: Banho no leito, lavagem de instrumental, equipamentos, máquinas na Lavanderia, Laboratório, CME, Uti?s, CC, CO, Serviço de Emergência ou a critério do NSHMT. Tamanho: 1,20 x 0,70 cm. Material: confeccionado em filme de polietileno, Características: Avental de proteção sem costuras e emendas, fechamento total em solda eletrônica, com mangas compridas, elástico no punho, tiras para regulagem na cintura, espessura mínima de 25 microns. 100% Impermeável</t>
  </si>
  <si>
    <t>264-265</t>
  </si>
  <si>
    <t>DOUGLAS CARDOSO</t>
  </si>
  <si>
    <t>SEGLINE (703511)</t>
  </si>
  <si>
    <t>34.782.400/0001-18</t>
  </si>
  <si>
    <t>SAYONE TALITA</t>
  </si>
  <si>
    <t>MEDIC VITTAL  (703910)</t>
  </si>
  <si>
    <t>BRAKKO (1365)</t>
  </si>
  <si>
    <r>
      <t>CERTIDÕES PARA</t>
    </r>
    <r>
      <rPr>
        <b/>
        <sz val="14"/>
        <rFont val="Calibri"/>
        <family val="2"/>
        <scheme val="minor"/>
      </rPr>
      <t xml:space="preserve"> 19/06</t>
    </r>
    <r>
      <rPr>
        <b/>
        <sz val="12"/>
        <rFont val="Calibri"/>
        <family val="2"/>
        <scheme val="minor"/>
      </rPr>
      <t>/2020</t>
    </r>
  </si>
  <si>
    <t>BRASALI</t>
  </si>
  <si>
    <t>DEDETIZADORA FOLHA ()</t>
  </si>
  <si>
    <t>CLAUDIANA MENEZES FOLHA NUNES,</t>
  </si>
  <si>
    <t>KABU DEDETIZADORA ()</t>
  </si>
  <si>
    <t>16.712.963/0001-58</t>
  </si>
  <si>
    <t>SEGLINE TECNOLOGIA</t>
  </si>
  <si>
    <t xml:space="preserve">19.664.989/0001-66 </t>
  </si>
  <si>
    <r>
      <rPr>
        <sz val="10"/>
        <color rgb="FFFF0000"/>
        <rFont val="Rockwell"/>
        <family val="1"/>
      </rPr>
      <t>VERIFICAR CÓDIGO 10823 (MESMA DESCRIÇÃO COM ALTERAÇÃO DE ORDEM DE ELEMENTOS)</t>
    </r>
    <r>
      <rPr>
        <sz val="10"/>
        <rFont val="Rockwell"/>
        <family val="1"/>
      </rPr>
      <t xml:space="preserve">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t>
    </r>
  </si>
  <si>
    <r>
      <rPr>
        <sz val="10"/>
        <color rgb="FFFF0000"/>
        <rFont val="Rockwell"/>
        <family val="1"/>
      </rPr>
      <t>VERIFICAR CÓDIGO 34084 (MESMA DESCRIÇÃO COM ALTERAÇÃO DE ORDEM DE ELEMENTOS)</t>
    </r>
    <r>
      <rPr>
        <sz val="10"/>
        <rFont val="Rockwell"/>
        <family val="1"/>
      </rPr>
      <t>AVENTAL DESCARTÁVEL NÃO ESTÉRIL. Material: confeccionado 100% em falso tecido, Gramatura: 30gr/m². Tamanho: único, comprimento/altura mínima de 1,20m. Finalidade: barreira protetora aos profissionais de saúde nos procedimentos com exposição de fluídos e/ou contaminação por contato, Características adicionais: maleável, decote rente ao pescoço, com abertura nas costas, com tiras externa laterais para fechamento, com mangas compridas e punho com elástico, que não cause nenhuma irritação ao usuário, fácil uso e que não proporcione liberação de partículas. Unidade de fornecimento: UN -</t>
    </r>
    <r>
      <rPr>
        <sz val="10"/>
        <color rgb="FFFF0000"/>
        <rFont val="Rockwell"/>
        <family val="1"/>
      </rPr>
      <t xml:space="preserve"> </t>
    </r>
  </si>
  <si>
    <t>Código (34084) com a mesma descrição abastecido no Almoxarifado Central.</t>
  </si>
  <si>
    <t>00060-00245897/2020-37</t>
  </si>
  <si>
    <t>372/2020</t>
  </si>
  <si>
    <t>natalia@astembsb.com</t>
  </si>
  <si>
    <t>engenhariatenas@gmail.com</t>
  </si>
  <si>
    <t>ENGENHARIA ATENAS</t>
  </si>
  <si>
    <t>DESISTENCIA</t>
  </si>
  <si>
    <t>DBlassl Hospitalar</t>
  </si>
  <si>
    <t>comercial@dblasslhospitalar.com.br</t>
  </si>
  <si>
    <t>340393-340631</t>
  </si>
  <si>
    <t>SISPACK MEDICAL LTDA</t>
  </si>
  <si>
    <t>54.565.478/0001-98</t>
  </si>
  <si>
    <t>SISPACK</t>
  </si>
  <si>
    <t>ISP SAÚDE</t>
  </si>
  <si>
    <t>MICHAEL SILVEIRA</t>
  </si>
  <si>
    <t>24.550.559/0001-53</t>
  </si>
  <si>
    <t>00060-00240982/2020-17</t>
  </si>
  <si>
    <t>localizaram no CME um papel crepado de tamanho maior</t>
  </si>
  <si>
    <t>SAÚDE (1822)</t>
  </si>
  <si>
    <t>DESCARTEK (703689)</t>
  </si>
  <si>
    <t>Tem Estoque no Almoxarifado Central</t>
  </si>
  <si>
    <t>3388-x</t>
  </si>
  <si>
    <t>7296-6</t>
  </si>
  <si>
    <t>Bárbara Soares</t>
  </si>
  <si>
    <t>25.211.499/0003-79</t>
  </si>
  <si>
    <t>25.211.499/0001-07</t>
  </si>
  <si>
    <t>MEDCOM Filial (703839)</t>
  </si>
  <si>
    <t>MULTIPLA</t>
  </si>
  <si>
    <t>comercial@multiplahospitalar.com.br</t>
  </si>
  <si>
    <t>vendas.suporte@sispack.com.br</t>
  </si>
  <si>
    <t>00060-00250417/2020-50</t>
  </si>
  <si>
    <t>373/2020</t>
  </si>
  <si>
    <t>00060-00250366/2020-66</t>
  </si>
  <si>
    <t>NIFEDIPINO COMPRIMIDO OU CAPSULA 10 MG</t>
  </si>
  <si>
    <t>00060-00250329/2020-58</t>
  </si>
  <si>
    <t>00060-00250269/2020-73</t>
  </si>
  <si>
    <t>00060-00251223/2020-71</t>
  </si>
  <si>
    <t>00060-00250203/2020-83</t>
  </si>
  <si>
    <t>00060-00250073/2020-89</t>
  </si>
  <si>
    <t>00060-00250568/2020-16</t>
  </si>
  <si>
    <t>00060-00250762/2020-93</t>
  </si>
  <si>
    <t>00060-00251057/2020-11</t>
  </si>
  <si>
    <t>00060-00251133/2020-81</t>
  </si>
  <si>
    <t>00060-00250504/2020-15</t>
  </si>
  <si>
    <t>00060-00250654/2020-11</t>
  </si>
  <si>
    <t xml:space="preserve">Frasco coletor de secreção biológica , 50 a 120mL, transparente, rígido, graduado no máximo a cada 10 mL, descartável, com tampa de oclusão hermética em polipropileno, 2 vias. Frasco atóxico, em PVC cristal. Extensão em PVC atóxico ou silicone, de aproximadamente 20 cm. Alça para sustentação. Adaptador de polipropileno fixado na tampa. 2 vias, com entrada e saída para aspiração. Estéril; esterilizado em óxido de etileno. Prazo de validade mínimo de 12 meses. APLICAÇÃO: utilizado na coleta de secreção biológica e lavado brônquico. </t>
  </si>
  <si>
    <t>00060-00251189/2020-35</t>
  </si>
  <si>
    <t>00060-00251278/2020-81</t>
  </si>
  <si>
    <t>00060-00251335/2020-22</t>
  </si>
  <si>
    <t>LUVA DE LATÉX palma antiderrapante, punho longo, com virola que prende-se ao ante-braço  para proteção das mãos contra umidade, agentes químicos e biológicos.Tamanho: P</t>
  </si>
  <si>
    <t>LUVA DE LATÉX P</t>
  </si>
  <si>
    <t>LUVA DE LÁTEX palma antiderrapante, punho longo, com virola que prende-se ao ante-braço  para proteção das mãos contra umidade, agentes químicos e biológicos. Tamanho: G</t>
  </si>
  <si>
    <t>LUVA LATEX G</t>
  </si>
  <si>
    <t>374/2020</t>
  </si>
  <si>
    <t>375/2020</t>
  </si>
  <si>
    <t>376/2020</t>
  </si>
  <si>
    <t>377/2020</t>
  </si>
  <si>
    <t>378/2020</t>
  </si>
  <si>
    <t>379/2020</t>
  </si>
  <si>
    <t>380/2020</t>
  </si>
  <si>
    <t>381/2020</t>
  </si>
  <si>
    <t>382/2020</t>
  </si>
  <si>
    <t>383/2020</t>
  </si>
  <si>
    <t>384/2020</t>
  </si>
  <si>
    <t>385/2020</t>
  </si>
  <si>
    <t>386/2020</t>
  </si>
  <si>
    <t>387/2020</t>
  </si>
  <si>
    <t>388/2020</t>
  </si>
  <si>
    <t>00060-00253385/2020-44</t>
  </si>
  <si>
    <t>389/2020</t>
  </si>
  <si>
    <t>00060-00253225/2020-03</t>
  </si>
  <si>
    <t>390/2020</t>
  </si>
  <si>
    <t>00060-00252931/2020-20</t>
  </si>
  <si>
    <t>391/2020</t>
  </si>
  <si>
    <t>00060-00253129/2020-57</t>
  </si>
  <si>
    <t>392/2020</t>
  </si>
  <si>
    <t>00060-00253056/2020-01</t>
  </si>
  <si>
    <t>393/2020</t>
  </si>
  <si>
    <t>00060-00252992/2020-97</t>
  </si>
  <si>
    <t>394/2020</t>
  </si>
  <si>
    <t>00060-00253320/2020-07</t>
  </si>
  <si>
    <t>395/2020</t>
  </si>
  <si>
    <t>não foi paga em 04/06</t>
  </si>
  <si>
    <t>liberar código - não foi paga 04/06</t>
  </si>
  <si>
    <t>bianca.bueno@tecno4.com.br</t>
  </si>
  <si>
    <t>021875-7</t>
  </si>
  <si>
    <t>FERRAGENS LÍDER GAMA (702713)</t>
  </si>
  <si>
    <t>137089-8</t>
  </si>
  <si>
    <t>00060-00254050/2020-43</t>
  </si>
  <si>
    <t>396/2020</t>
  </si>
  <si>
    <t>00060-00254021/2020-81</t>
  </si>
  <si>
    <t>397/2020</t>
  </si>
  <si>
    <t>00060-00255899/2020-34</t>
  </si>
  <si>
    <t>pediram para cancelar</t>
  </si>
  <si>
    <t>DESISTÊNCIA DE COMPRA - ENVIARÁ NOVO PROJETO BÁSICO</t>
  </si>
  <si>
    <t>00060-00257591/2020-23</t>
  </si>
  <si>
    <t>398/2020</t>
  </si>
  <si>
    <t>00060-00255705/2020-09</t>
  </si>
  <si>
    <t>401/2020</t>
  </si>
  <si>
    <t>00060-00255763/2020-24</t>
  </si>
  <si>
    <t>402/2020</t>
  </si>
  <si>
    <t>00060-00257958/2020-17</t>
  </si>
  <si>
    <t>399/2020</t>
  </si>
  <si>
    <t>00060-00257800/2020-39</t>
  </si>
  <si>
    <t>403/2020</t>
  </si>
  <si>
    <t>Deverá o licitante encaminhar imagens do produto para conferencia e confirmação do produto.</t>
  </si>
  <si>
    <t>00060-00258006/2020-11</t>
  </si>
  <si>
    <t>400/2020</t>
  </si>
  <si>
    <t>NR GOIÁS (702924)</t>
  </si>
  <si>
    <t>Repasse E. (006078)</t>
  </si>
  <si>
    <t>Repasse E. (007430)</t>
  </si>
  <si>
    <t>Repasse E. (011853)</t>
  </si>
  <si>
    <t>deserto após 3 publicações</t>
  </si>
  <si>
    <t>EXERCITADOR TUBING,Características Técnicas Mínimas: de borracha, com pegador em borracha, de resistência médio leve (vermelho).</t>
  </si>
  <si>
    <t>EXERCITADOR TUBING,Características Técnicas Mínimas: de borracha, com pegador em borracha, de resistência médio (verde).</t>
  </si>
  <si>
    <t>EXERCITADOR TUBING</t>
  </si>
  <si>
    <t>PORTA AGULHA RYDER  COM VÍDEA, Aplicação: Sutura, Material: Aço inoxidável AISI, Tamanho: 175 mm x 2 mm , 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</si>
  <si>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PINCA SATINSKY PONTA (PONTA DE 26MM)</t>
  </si>
  <si>
    <t>EXERCITADOR TUBING,Características Técnicas Mínimas: de borracha, com pegador em borracha, de resistência médio forte (azul). Código do Item: 3.3.90.30.14.02.0093.000003-01</t>
  </si>
  <si>
    <t>EXERCITADOR TUBING,</t>
  </si>
  <si>
    <t>PINCA SATINSKY</t>
  </si>
  <si>
    <t>PORTA AGULHA RYDER</t>
  </si>
  <si>
    <t>EXERCITADOR TUBING, exercitador musculatura, tipo 2 barras paralelas unidas por 1 mola de pressão, aplicação para exercícios da mão, características adicionais tipo de esforço: forte - em torno de 3,5 kg, tipo encaixe em formato de ´alicate´, com encaixes p/ os dedos, material em plástico de alta resistência.</t>
  </si>
  <si>
    <t>EXERCITADOR TUBING, exercitador musculatura, tipo banda, anel sem emenda, aplicação pernas e quadris, características adicionais resistência extra forte, material borracha natural, largura cerca de 5, comprimento cerca de 30.</t>
  </si>
  <si>
    <t>Exercitador Tubing com especificações mínimas: Material: látex revestido com tecido; Acompanha 2 alças de mão com argola para encaixe dos exercitadores; Comprimento do tubing em repouso (sem esticar) 1,30m; com punhos anti-derrapantes; intensidade: preto avançado; Dimensões: 0.2 cm x 0.2 cm x 1.0 cm (C x L x A). Peso: 0.06 kg.</t>
  </si>
  <si>
    <t>EXERCITADOR TUBING com especificações mínimas: Material: látex revestido com tecido; Acompanha 2 alças de mão com argola para encaixe dos exercitadores; Comprimento do tubing em repouso (sem esticar) 1,30m; com punhos antiderrapantes; intensidade Verde: médio; Dimensões: 0.2 cm x 0.2 cm x 1.0 cm (C x LxA) ;Peso: 0.05 kg.</t>
  </si>
  <si>
    <t>EXERCITADOR TUBING com especificações mínimas: Material: látex revestido com tecido; Acompanha 2 alças de mão com argola para encaixe dos exercitadores; Comprimento do tubing em repouso (sem esticar) 1,30m; com punhos antiderrapantes; intensidade Azul: Extra forte; Dimensões: 0.2 cm x 0.2 cm x 1.0 cm (C x L x A)Peso: 0.07 kg.</t>
  </si>
  <si>
    <t xml:space="preserve">EXERCITADOR MUSCULATURA  - exercitador musculatura, tipo dedos, plástico resistente, intensidade leve (3 lbs), características adicionais 4 teclas apoio, molas ligadas ao lado oposto, tipo encaixe de metal e borracha p/apoio do polegar. Código BR: BR: 357544
</t>
  </si>
  <si>
    <t>EXERCITADOR MUSCULATURA</t>
  </si>
  <si>
    <t>EXERCITADOR MUSCULATURA  - exercitador musculatura, tipo dedos, plástico, resistente,extra leve(1,5lbs), características adicionais 4 teclas apoio,molas ligadas ao lado oposto, tipo encaixe de metal e borracha p/apoio do polegar. Código BR: 357545</t>
  </si>
  <si>
    <t>Fizeram novo projeto SEI 00060-00251335/2020-22</t>
  </si>
  <si>
    <t>a Artware não terá e a outra proposta cobra R$ 229,00 com entrega em 30 dias. A Cinco deve reabastecr no mês 07/2020.</t>
  </si>
  <si>
    <t>DOUGLAS SANTOS / ANGÉLICA PATRÍCIA</t>
  </si>
  <si>
    <t>00060-00259102/2020-78</t>
  </si>
  <si>
    <t>404/2020</t>
  </si>
  <si>
    <t>CABO DE BISTURI NUMERO 3 LONGO</t>
  </si>
  <si>
    <t>CABO BISTURI 3</t>
  </si>
  <si>
    <t>CABO DE BISTURI NR 04, LONGO 23 CM</t>
  </si>
  <si>
    <t>CABO BISTURI 4</t>
  </si>
  <si>
    <t>00060-00260269/2020-81</t>
  </si>
  <si>
    <t>405/2020</t>
  </si>
  <si>
    <t>PINÇA MIXTER</t>
  </si>
  <si>
    <t>PINÇA MIXTER, Aplicação: Apreensão de tecidos, Material: Aço inoxidável AISI, Tamanho: 230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</si>
  <si>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00060-00260058/2020-49</t>
  </si>
  <si>
    <t>PINÇA PARA CORDÃO UMBILICAL, Aplicação: Apreensão do cordão umbilical, Material: Aço inoxidável AISI, Tamanho 180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t>
  </si>
  <si>
    <t>PINÇA PARA CORDÃO UMBILICAL</t>
  </si>
  <si>
    <t>PINÇA DUVAL COM VÍDEA, Aplicação: Apreensão de tecidos:, Material; Aço inoxidável AISI, Tamanho: 200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Por se tratar de pinça com pastilha de tungstênio:- a junção entre a pastilha e a pinça não deverá apresentar poros, nem falhas;- a pastilha de tungstênio não poderá descolar da pinça com facilidade; - apresentar os anéis dourados para identificar que se trata de pinça com pastilha de tungstênio.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</si>
  <si>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DUVAL COM VÍDEA</t>
  </si>
  <si>
    <t>PINÇA DE SHERON ASSEPSIA 25 CM.</t>
  </si>
  <si>
    <t>PINÇA SHERON 25</t>
  </si>
  <si>
    <t>PINÇA PARAMETRIAL 24</t>
  </si>
  <si>
    <t>Pinça PARAMETRIAL CLAMP, 24cm, em curva</t>
  </si>
  <si>
    <t>Pinça PARAMETRIAL CLAMP, 24cm, em semicurva</t>
  </si>
  <si>
    <t>PINÇA CRILLER 160</t>
  </si>
  <si>
    <t>PINÇA CRILLER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</si>
  <si>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CRILLER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</si>
  <si>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PINÇA KELLY 140</t>
  </si>
  <si>
    <t xml:space="preserve">PINÇA KELLY CURVA 140MM. Aplicação (finalidade): Apreensão e Hemostasia; pinçamento e dissecção de tecidos e estruturas delicadas. Material/Composição: Aço inoxidável 420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Processo de Esterilização: não estéril, realizar esterilização em autoclave, material cirúrgico reutilizável. Prazo de validade: indeterminado. Embalagem individual. </t>
  </si>
  <si>
    <t>PINÇA KELLY RETA, Aplicação: Apreensão e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t>
  </si>
  <si>
    <t>PINÇA KELLY RETA</t>
  </si>
  <si>
    <t>PINÇA MIXTER 140</t>
  </si>
  <si>
    <t>PINCA MIXTER BABY DELICADA 140MM 1</t>
  </si>
  <si>
    <t>00060-00259819/2020-10</t>
  </si>
  <si>
    <t>406/2020</t>
  </si>
  <si>
    <t>PINÇA HALSTEAD 100</t>
  </si>
  <si>
    <t>PINCA HALSTEAD MOSQUITO CURVA 100MM 1</t>
  </si>
  <si>
    <t>PINCA HALSTEAD MOSQUITO RETA 10CM 1</t>
  </si>
  <si>
    <t>PINÇA HALSTEAD 10</t>
  </si>
  <si>
    <t>PINÇA CRILE 21</t>
  </si>
  <si>
    <t>PINCA CRILE RETA 21CM 1</t>
  </si>
  <si>
    <t>PINÇA KOCHER RETA</t>
  </si>
  <si>
    <t>PINÇA KOCHER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t>
  </si>
  <si>
    <t>PINÇA BACKAUS 110</t>
  </si>
  <si>
    <t>PINÇA BACKAUS, Aplicação: pinça de campo, Material: Aço inoxidável AISI, Tamanho: 110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t>
  </si>
  <si>
    <t>PINÇA BULLDOG 07</t>
  </si>
  <si>
    <t>PINÇA BULLDOG DE BAKEY, em aço inox 07cm reta.</t>
  </si>
  <si>
    <t>00060-00258884/2020-28</t>
  </si>
  <si>
    <t>PORTA AGULHA 140</t>
  </si>
  <si>
    <t>PORTA AGULHA MAYO HEGAR SEM VÍDEA 140 MM. Aplicação: Fixação da agulha em sutura de tecidos. Material: Aço inoxidável AISI 420, tamanho: 140 mm, modelo Mayo Hegar 14 cm.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 a junção entre a pastilha e o porta-agulha não deverá apresentar poros, nem falhas; -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material cirúrgico reutilizável, esterilizável em autoclave. Forma de apresentação: Unidade, Prazo de validade: Indeterminado.</t>
  </si>
  <si>
    <t>PORTA AGULHA 20</t>
  </si>
  <si>
    <t>PORTA AGULHA MAYO HEGAR 20CM 1</t>
  </si>
  <si>
    <t>PORTA AGULHA 180</t>
  </si>
  <si>
    <t>PORTA AGULHA MAYO-HEGAR COM VÍDEA, Aplicação: Sutura, Material: Aço inoxidável AISI, Tamanho: 180 mm,  Características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Forma de apresentação: Unidade, Prazo de Validade: Indeterminado.</t>
  </si>
  <si>
    <t>PORTA AGULHA 300</t>
  </si>
  <si>
    <t>PORTA AGULHA MAYO-HEGAR; Aplicação (finalidade): Fixação da agulha em sutura de tecidos; Material: Aço inoxidável AISI; Tamanho/capacidade: 300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que se destina o instrumento.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 Unidade de estoque: Unidade (um); Código SES: 12085.</t>
  </si>
  <si>
    <t>407/2020</t>
  </si>
  <si>
    <t>408/2020</t>
  </si>
  <si>
    <t>409/2020</t>
  </si>
  <si>
    <t>00060-00259014/2020-76</t>
  </si>
  <si>
    <t>00060-00258667/2020-38</t>
  </si>
  <si>
    <t>410/2020</t>
  </si>
  <si>
    <t>VECURONIO 10MG</t>
  </si>
  <si>
    <t xml:space="preserve">VECURÔNIO (BROMETO) PÓ LIOFILIZADO INJETÁVEL 10 MG FRASCO AMPOLA </t>
  </si>
  <si>
    <t>00060-00258183/2020-99</t>
  </si>
  <si>
    <t>411/2020</t>
  </si>
  <si>
    <t>00060-00259048/2020-61</t>
  </si>
  <si>
    <t>412/2020</t>
  </si>
  <si>
    <t>TESOURA METZEMBAUM 200</t>
  </si>
  <si>
    <t>TESOURA METZEMBAUM RETA, Material: Aço inoxidável AISI, Tamanho: 200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</si>
  <si>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TESOURA DE MAYO 220</t>
  </si>
  <si>
    <t>TESOURA  DE MAYO RETA, Aplicação: Cirurgia Vascular, Material: Aço inoxidável AISI, Tamanho: 220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</si>
  <si>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TESOURA DE MAYO 26</t>
  </si>
  <si>
    <t>TESOURA DE MAYO CURVA 26cm; Aplicação: Instrumental Cirúrgico; Material: Produto confeccionado em aço inoxidável AISI-420, tamanho 16,5 cm, embalagem plástica individual, constando os dados de identificação, procedência e rastreabilidade, Garantia 10 anos contra defeitos de fabricação, fabricado de acordo com padrões internacionais e qualidade, normas da ABNT, CE. Registro Ministério da Saúde; Tamanho: 26cm; Processo de esterelização: não estéril; Forma de apresentação: embalagem individual; Prazo de validade: 10 anos contra defeito de fabricação; Unidade de estoque: unidade</t>
  </si>
  <si>
    <t>preço exorbitante</t>
  </si>
  <si>
    <t>00060-00262751/2020-56</t>
  </si>
  <si>
    <t>413/2020</t>
  </si>
  <si>
    <t>CONJUNTO PARA DRENAGEM MEDIASTINAL Nº 40; CAPACIDADE DO FRASCO RESERVATÓRIO 2.000 ML; CONTENDO: 1 DRENO DE TORAX EM PVC ATÓXICO, TRANSPARENTE, FLEXÍVEL, MULTIPERFURADO, RADIOPACO, GRADUAÇÃO CENTIMETRADA E IDENTIFICAÇÃO DO CALIBRE; 1 CONECTOR DE COR T...</t>
  </si>
  <si>
    <t>CONJUNTO PARA DERENAGEM MEDIASTINAL N 40</t>
  </si>
  <si>
    <t>00060-00262840/2020-01</t>
  </si>
  <si>
    <t>414/2020</t>
  </si>
  <si>
    <t>00060-00262668/2020-87</t>
  </si>
  <si>
    <t>415/2020</t>
  </si>
  <si>
    <t>00060-00263453/2020-83</t>
  </si>
  <si>
    <t>416/2020</t>
  </si>
  <si>
    <t>O reagente deve ser compatível com o equipamento CMD800i e vir acompanhado de todos os consumíveis necessários para seu funcionamento, como detergentes, calibradores e etc.</t>
  </si>
  <si>
    <t xml:space="preserve">CONJUNTO PARA DETERMINAÇAO DE LIPASE. Aplicação:analise bioquimica. |Características adicionais: equipamento automatizado. Forma de Apresentação:conjunto (kit). |Prazo de Validade: 75% do prazo de validade do produto.
</t>
  </si>
  <si>
    <t>00060-00264885/2020-10</t>
  </si>
  <si>
    <t>417/2020</t>
  </si>
  <si>
    <t>00060-00264841/2020-81</t>
  </si>
  <si>
    <t>418/2020</t>
  </si>
  <si>
    <r>
      <t> </t>
    </r>
    <r>
      <rPr>
        <b/>
        <sz val="14"/>
        <color rgb="FFB22222"/>
        <rFont val="Times New Roman"/>
        <family val="1"/>
      </rPr>
      <t>(COMPATÍVEL COM A CARGA DA MARCA COVIDIEN - devido constar estoque regular).</t>
    </r>
  </si>
  <si>
    <t>00060-00264931/2020-72</t>
  </si>
  <si>
    <t>419/2020</t>
  </si>
  <si>
    <t>00060-00264969/2020-45</t>
  </si>
  <si>
    <t>420/2020</t>
  </si>
  <si>
    <t>00060-00265014/2020-13</t>
  </si>
  <si>
    <t>421/2020</t>
  </si>
  <si>
    <t>00060-00265302/2020-60</t>
  </si>
  <si>
    <t>422/2020</t>
  </si>
  <si>
    <t>00060-00264864/2020-96</t>
  </si>
  <si>
    <t>423/2020</t>
  </si>
  <si>
    <t>00060-00264768/2020-48</t>
  </si>
  <si>
    <t>424/2020</t>
  </si>
  <si>
    <t>00060-00253990/2020-15</t>
  </si>
  <si>
    <t>425/2020</t>
  </si>
  <si>
    <t>JOGO CHAVE FENDA</t>
  </si>
  <si>
    <t>JOGO DE CHAVES DE FENDA,Haste: em aço cromo vanadio, temperado, Acabamento: niquelado, Ponta: fosfatizada, Cabo :  em PVC Características Adicionais: 01 de 03 x 125 mm (1/8 x 5 pol);  01 de 05 x 125 mm ( 3/16 x 5 pol ) e 01 de 06 x 100 mm ( 1/4 x 4 pol).</t>
  </si>
  <si>
    <r>
      <t>CERTIDÕES PARA</t>
    </r>
    <r>
      <rPr>
        <b/>
        <sz val="14"/>
        <rFont val="Calibri"/>
        <family val="2"/>
        <scheme val="minor"/>
      </rPr>
      <t xml:space="preserve"> 10/07</t>
    </r>
    <r>
      <rPr>
        <b/>
        <sz val="12"/>
        <rFont val="Calibri"/>
        <family val="2"/>
        <scheme val="minor"/>
      </rPr>
      <t>/2020</t>
    </r>
  </si>
  <si>
    <t>==SOMASES($D$499:$D$547;$A$499:$A$547;G499;$B$499:$B$547;H499;$C$499:$C$547;I499)</t>
  </si>
  <si>
    <t>00060-00268355/2020-32</t>
  </si>
  <si>
    <t>426/2020</t>
  </si>
  <si>
    <t>00060-00268425/2020-52</t>
  </si>
  <si>
    <t>427/2020</t>
  </si>
  <si>
    <t>00060-00268470/2020-15</t>
  </si>
  <si>
    <t>428/2020</t>
  </si>
  <si>
    <t>00060-00268522/2020-45</t>
  </si>
  <si>
    <t>429/2020</t>
  </si>
  <si>
    <t>00060-00268593/2020-48</t>
  </si>
  <si>
    <t>430/2020</t>
  </si>
  <si>
    <t>00060-00268679/2020-71</t>
  </si>
  <si>
    <t>431/2020</t>
  </si>
  <si>
    <t>00060-00267193/2020-15</t>
  </si>
  <si>
    <t>432/2020</t>
  </si>
  <si>
    <t>3129-1</t>
  </si>
  <si>
    <t>LM COMERCIAL (LAERTE MESSIANO NETO)</t>
  </si>
  <si>
    <t>36.734.172/0001-36</t>
  </si>
  <si>
    <t>146-5</t>
  </si>
  <si>
    <t>20631-8</t>
  </si>
  <si>
    <t>LM COMERCIAL</t>
  </si>
  <si>
    <t>LM COMERCIAL (703909)</t>
  </si>
  <si>
    <t>SANTA MARIA</t>
  </si>
  <si>
    <t>5003,16 é o valor total da Ordem, mas só entregou 1.730</t>
  </si>
  <si>
    <t>3273,16*</t>
  </si>
  <si>
    <t>*não entregou ainda</t>
  </si>
  <si>
    <t>*Foi gerada a TED no valor de R$ 5.003,16, mas ainda falta entregar esses R$ 3.273,16</t>
  </si>
  <si>
    <t>5003,16*</t>
  </si>
  <si>
    <t>EXCELENCIA (AL CEZAR COM. DE EQUIPAMENTOS MEDICOS)</t>
  </si>
  <si>
    <t>ANDRÉ LUIS CEZAR</t>
  </si>
  <si>
    <t>25.264.916/0001-80</t>
  </si>
  <si>
    <t>PRIME INSTRUMENTOS (703492)</t>
  </si>
  <si>
    <t>PRIME INSTRUMENTOS CIRÚRGICOS LTDA EPP</t>
  </si>
  <si>
    <t>SUELI MATOS</t>
  </si>
  <si>
    <t>17.164.113/0001-25</t>
  </si>
  <si>
    <t>PRIME INSTRUMENTOS</t>
  </si>
  <si>
    <t>HARTE INSTRUMENTOS CIRURGICOS LTDA</t>
  </si>
  <si>
    <t>Leonardo Meirelles</t>
  </si>
  <si>
    <t>10.452.774/0001-07</t>
  </si>
  <si>
    <t>HARTE</t>
  </si>
  <si>
    <t>EUROMEDICAL (703762)</t>
  </si>
  <si>
    <t>EUROMEDICAL REPRESENTAÇÕES EIRELI</t>
  </si>
  <si>
    <t>22.727.121/0001-72</t>
  </si>
  <si>
    <t>EUROMEDICAL</t>
  </si>
  <si>
    <t>CIRURTECH COMERCIO E MANUTENÇÃO DE MATERIAIS CIRÚRGICOS</t>
  </si>
  <si>
    <t>RODRIGO DOS SANTOS</t>
  </si>
  <si>
    <t>18.836.913/0001-08</t>
  </si>
  <si>
    <t>MACOM (701406)</t>
  </si>
  <si>
    <t>REINALDO RODRIGUES / JAILSON SILVA</t>
  </si>
  <si>
    <t>3027-9</t>
  </si>
  <si>
    <t>122.000-4</t>
  </si>
  <si>
    <t>BRASIL COMMERCE</t>
  </si>
  <si>
    <t>KONICA</t>
  </si>
  <si>
    <t>LOTUS</t>
  </si>
  <si>
    <t>GENERAL</t>
  </si>
  <si>
    <t>OLIVERTEC</t>
  </si>
  <si>
    <t>ramon@brasilcommerce.net</t>
  </si>
  <si>
    <t>thays.passos@konicaminolta.com</t>
  </si>
  <si>
    <t>vendaspdpaslottusmed@gmail.com</t>
  </si>
  <si>
    <t>vendas2@olivertechospitalar.com.br</t>
  </si>
  <si>
    <t>MACOM INSTRUMETNAL CIRURGICO</t>
  </si>
  <si>
    <t>vendas1@primeinstrumentos.com.br</t>
  </si>
  <si>
    <t>marcelo@rhosse.com.br</t>
  </si>
  <si>
    <t>RHOSSE</t>
  </si>
  <si>
    <t>contato@harteinstrumentos.com.br</t>
  </si>
  <si>
    <t>vendas@euromedicalinstrumental.com.br</t>
  </si>
  <si>
    <t>rodrigo@rcvendas.com.br</t>
  </si>
  <si>
    <t>RC REPRESENTAÇÕES - RODRIGO</t>
  </si>
  <si>
    <t>CONECTTA</t>
  </si>
  <si>
    <t>comercialconectta@gmail.com</t>
  </si>
  <si>
    <t>00060-00270393/2020-55</t>
  </si>
  <si>
    <t>00060-00271256/2020-38</t>
  </si>
  <si>
    <t>00060-00271512/2020-97</t>
  </si>
  <si>
    <t>00060-00269888/2020-31</t>
  </si>
  <si>
    <t>00060-00270023/2020-18</t>
  </si>
  <si>
    <t>00060-00269763/2020-10</t>
  </si>
  <si>
    <t>433/2020</t>
  </si>
  <si>
    <t>00060-00269806/2020-59</t>
  </si>
  <si>
    <t>434/2020</t>
  </si>
  <si>
    <t>00060-00269895/2020-33</t>
  </si>
  <si>
    <t>435/2020</t>
  </si>
  <si>
    <t>00060-00269954/2020-73</t>
  </si>
  <si>
    <t>436/2020</t>
  </si>
  <si>
    <t>00060-00270132/2020-35</t>
  </si>
  <si>
    <t>437/2020</t>
  </si>
  <si>
    <t>00060-00270226/2020-12</t>
  </si>
  <si>
    <t>438/2020</t>
  </si>
  <si>
    <t>00060-00270131/2020-91</t>
  </si>
  <si>
    <t>00060-00270301/2020-37</t>
  </si>
  <si>
    <t>439/2020</t>
  </si>
  <si>
    <t>440/2020</t>
  </si>
  <si>
    <t>441/2020</t>
  </si>
  <si>
    <t>VALVULA DE DOYEN, Aplicação: sub-pubiana, Tamanho: pequena</t>
  </si>
  <si>
    <t>VALVULA DE DOYEN</t>
  </si>
  <si>
    <t>00060-00270439/2020-36</t>
  </si>
  <si>
    <t>442/2020</t>
  </si>
  <si>
    <t>CABO DE BISTURI N.07 EM ACO INOX</t>
  </si>
  <si>
    <t>00060-00271429/2020-18</t>
  </si>
  <si>
    <t>00060-00271383/2020-37</t>
  </si>
  <si>
    <t>443/2020</t>
  </si>
  <si>
    <t>00060-00269173/2020-89</t>
  </si>
  <si>
    <t>444/2020</t>
  </si>
  <si>
    <t>PINÇA DISSECÇÃO, Características: anatômica com serrilha, Tamanho: 12 cm, Unidade de Fornecimento: unidade</t>
  </si>
  <si>
    <t>PINÇA ALLIS, Aplicação: Apreensão e Hemostasia, Material: Aço inoxidável AISI, Tamanho: 150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</si>
  <si>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PINÇA ALLIS, Aplicação: Apreensão e Hemostasia, Material: Aço inoxidável AISI, Tamanho: 200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</si>
  <si>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 xml:space="preserve">PINÇA DISSECÇÃO DENTE DE RATO 140MM. Aplicação (finalidade): apreensão/fixação dos tecidos durante sutura ou divulsão. Composição: Aço inoxidável 420 AISI. Tamanho: 140mm. Características adicionais: A pinça deverá ter as pontas delicadas, com bom acabamento a fim de evitar cantos vivos cortantes. Os dentes de rato deverão ter encaixes adequados. A pressão da mola da peça deverá estar de acordo com sua finalidade de uso, não podendo ser muito dura dificultando a pressão nem muito mole de modo que não se consiga a pega adequada. O peso deverá ser o menor possível e  o polímero isento de buracos ou defeitos superficiais que possam provocar manchas ou corrosão. A solda na parte traseira deverá ter acabamento perfeito liso, sem buracos para acúmulo de detritos. A qualidade da solda deverá ser adequada para que as duas partes não soltem durante os processos usuais de esterilização. O tratamento térmico deverá ser integral a fim de conferir as peças a dureza e flexibilidade necessárias ao seu desempenho. Cada peça deverá ter uma gravação a laser com clara identificação do fabricante e código/lote de identificação da data de fabricação, iniciais da instituição (SES-DF). Embalagem individual. </t>
  </si>
  <si>
    <t>PINCA DISSECCAO COM DENTE DE RATO 180MM</t>
  </si>
  <si>
    <t>PINCA DISSECCAO COM DENTE DE RATO 200MM</t>
  </si>
  <si>
    <t>PINÇA GOIVA STILLE-LUER RETA, Aplicação: Cortar Osso, Material: Aço Inoxidável Cirúrgico AISI, Tamanho: 270 mm, boca de 7 mm, 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</si>
  <si>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PINCA GOIVA STILLE LISTEN RETA 24CM</t>
  </si>
  <si>
    <t>445/2020</t>
  </si>
  <si>
    <t>PINCA GOIVA STILLE LUER 17CM P/OSSO</t>
  </si>
  <si>
    <t>PINÇA GOIVA STILLE-LUER ANGULADA PARA LADO, Aplicação: Cortar osso, Material: Aço Inoxidável Cirúrgico AISI, Tamanho: 235 mm, boca de 3mm(múltipla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t>
  </si>
  <si>
    <t>PINCA ROCHESTER-PEAN,RETA,200MM</t>
  </si>
  <si>
    <t>PINÇA DENTE DE RATO 25cm; Aplicação: Instrumental Cirúrgico; Material: Pinça Dente de Rato, produto confeccionado em aço inoxidável AISI-420, tamanho 25cm, embalagem individual, constando os dados de identificação, procedência e rastreabilidade, Garantia 10 anos contra defeitos de fabricação, fabricado de acordo com padrões internacionais e qualidade, normas da ABNT, CE. Registro Ministério da Saúde; Tamanho: 25cm; Processo de esterelização: não estéril; Forma de apresentação: embalagem individual; Prazo de validade: 10 anos contra defeito de fabricação; Unidade de estoque: unidade</t>
  </si>
  <si>
    <t>PINÇA KELLY 14cm; Aplicação: Instrumental Cirúrgico; Material: Tamanho/Capacidade 140mm, Características Adcionais: A pinça deverá  ter as pontas delicadas e as serrilhas precisas para fazer adequadamente as hemostasias. A cremalheira deverá ter um funcionamento suave e progressivo, sem troncos e sem escapar com facilidade. O encaixe não deverá ser muito justo, a ponto de dificultar a abertura e o fechamento da peça, mas também não poderá ser folgado, a ponto de dificultar a apreensão dos tecidos. Os encaixes não deverão ter buracos ou frestas que possam acumular detritos provocando manhcas e/ou corrosão. As pinças não deverão ter cantos vivos, que possam ferir os pacientes ou cortar as luvas dos cirurgiões. O funcionamento geral da peça deverá ser suave, sem raspar no encaixe, sem machucar os dedos e o polimento deverá  ser o mais perfeito posssível. O tratamento térmico deverá ser integral a fim de conferir às peças  a dureza  e flexibilidades necessárias ao seu desempenho. As pinças deverão ser as mais leves possíves. Cada peça deverá ter uma gravação eletroquímica com clara identificação  do fabricante e código/lote de identificação da data de fabricação , iniciais da instituição  (SES-DF), Processo de Esterilização: não estéril, Unidade de Estoque: unidade; Tamanho: 14cm; Forma de apresentação: embalagem inidvidual; Prazo de validade: 10 anos contra defeito de fabricação,</t>
  </si>
  <si>
    <t>PINÇA DENTE DE RATO 21 cm; Aplicação: Instrumental cirúrgico; Material: Pinça dente rato, produto confeccionado em aço inoxidável AISI-420, tamano 21cm, embalagem plástica individual, constando os dados de identificação, procedência e rastreabilidade, Garantia 10 anos contra defeitos de fabricação, fabricado de acordo com padrões internacionais de qualidade, normas da ABNT, CE. Registro Ministério da Saúde; Tamanho: 21cm; Processo de esterilização: não estéril; Forma de apresentação: embalagem individual: Prazo de validade: 10 anos contra defeitos de fabricação; Unidade de estoque: unidade</t>
  </si>
  <si>
    <t>PINÇA KELLY CURVA 16cm; Aplicação: Instrumental cirúrgico; Material: Produto Kelly Curva,confeccionada em aço inox de 1a. qualidade (ASI 420) medindo 16cm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16cm; Processo de esterilização: não estéril; Forma de apresentação: embalagem individual: Prazo de validade: 10 anos contra defeitos de fabricação; Unidade de estoque: unidade</t>
  </si>
  <si>
    <t>446/2020</t>
  </si>
  <si>
    <t>PINÇA ÓSSEA LANE SEM CREMALHEIRA, Aplicação: Cirurgia Ortopédica Material: Aço inoxidável AISI, Tamanho:220 mm ,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</si>
  <si>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ÓSSEA LOWMANN 1 X 2 DENTES,Aplicação: Cirurgia Ortopédica Material: Aço inoxidável AISI,Tamanho:120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</si>
  <si>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PARA REDUÇÃO ÓSSEA COM PONTA FINA E CREMALHEIRA, Aplicação: Cirurgia Ortopédica Material: Aço inoxidável AISI, Tamanho:200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t>
  </si>
  <si>
    <t>PINÇA PARA REDUÇÃO ÓSSEA COM PONTAS,Aplicação: Cirurgia Ortopédica Material: Aço inoxidável AISI,  Tamanho: 160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 Forma de apresentação:Unidade Prazo de validade: Indeterminado</t>
  </si>
  <si>
    <t>PINÇA CRILLER RETA, Aplicação: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t>
  </si>
  <si>
    <t>447/2020</t>
  </si>
  <si>
    <t>PORTA AGULHA MAYO HEGAR SEM VÍDEA, Aplicação: Fixação da agulha em sutura de tecidos, Material: Aço inoxidável AISI, Tamanho: 200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t>
  </si>
  <si>
    <t>PORTA AGULHA RYDER, Aplicação: Sutura microvascular, Material: Aço inoxidável AISI, Tamanho: 180 mm,  Características Adicionais  :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t>
  </si>
  <si>
    <t>PORTA AGULHA MAYO HEGAR, Aplicação: Sutura.Material:aço inoxidável AISI,Tamanho: 140 mm mmCaracterísticas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Apresentar uma serrilha que realize uma pega adequada da agulha. Cada peça deverá ter uma gravação eletroquímica com clara identificação do fabricante e código/lote de identificação da data de fabricação, iniciais da instituição (SES-DF). Embalagem individual.Processo de esterilização: Não estéril, Forma de apresentação: Unidade.Prazo de validade: Indeterminado.</t>
  </si>
  <si>
    <t>448/2020</t>
  </si>
  <si>
    <t>CUBA REDONDA, Aplicação: Utilizada para colocação de líquidos utilizados em cirurgia (soro fisiológico ou soluções), Material: Aço Inoxidável Cirúrgico AISI, Tamanho: 250 ml,  Característica: O material deverá ter um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 .</t>
  </si>
  <si>
    <t>CUBA RETANGULAR, Aplicação: Acondicionar instrumental para esterilização, Material: Aço inoxidável AISI, Tamanho: 320 x 230 x 40 mm,  Características: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t>
  </si>
  <si>
    <t>CUBA REDONDA, Aplicação:Recipiente para soluções.Material: Aço inoxidável AISI,Tamanho: 150 ml,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individual.Não estéril, Forma de apresentação:  Unidade, Prazo de validade: Indeterminado.</t>
  </si>
  <si>
    <t>449/2020</t>
  </si>
  <si>
    <t>TESOURA  DE MAYO-STILLE RETA, Aplicação: Cirurgia Vascular, Material: Aço inoxidável Composição Química, Tamanho: 170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t>
  </si>
  <si>
    <t>TESOURA JOSEPH  CURVA, Aplicação: Microcirurgia para Secção de tecidos. Material: Aço inoxidável AISI ; Tamanho: 14 cm, Características adicionais: A tesoura deverá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Deve ter registro no Ministério da Saúde.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</si>
  <si>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LABINBRAZ (1633)</t>
  </si>
  <si>
    <t>PLASTKEN (703634)</t>
  </si>
  <si>
    <t>00060-00271931/2020-29</t>
  </si>
  <si>
    <t>450/2020</t>
  </si>
  <si>
    <t>Tatielly Cristine G. Costa / Jailson de Moura</t>
  </si>
  <si>
    <t>PLASTKEN INDUSTRIA E COMERCIO DE PLASTICOS LTDA</t>
  </si>
  <si>
    <t>13.986.389/0001-38</t>
  </si>
  <si>
    <t>PLASTKEN</t>
  </si>
  <si>
    <t>JOSE RAIMUNDO</t>
  </si>
  <si>
    <t>00060-00275511/2020-11</t>
  </si>
  <si>
    <t>451/2020</t>
  </si>
  <si>
    <t>00060-00275483/2020-32</t>
  </si>
  <si>
    <t>452/2020</t>
  </si>
  <si>
    <t>00060-00276128/2020-81</t>
  </si>
  <si>
    <t>453/2020</t>
  </si>
  <si>
    <t>00060-00276251/2020-00</t>
  </si>
  <si>
    <t>454/2020</t>
  </si>
  <si>
    <t>00060-00276344/2020-26</t>
  </si>
  <si>
    <t>455/2020</t>
  </si>
  <si>
    <t>ITEM DESCONTINUADO OBSOLETO</t>
  </si>
  <si>
    <t>WERBRAN DESISTIU, após ter confirmado que enrergaria</t>
  </si>
  <si>
    <t>TECNO4 (700319)</t>
  </si>
  <si>
    <t>TECNO4 PRODUTOS HOSPITALARES LTDA EPP.</t>
  </si>
  <si>
    <t>Patricia Di Giorgi</t>
  </si>
  <si>
    <t>5853-X</t>
  </si>
  <si>
    <t xml:space="preserve"> 8662-2</t>
  </si>
  <si>
    <t>00060-00279674/2020-73</t>
  </si>
  <si>
    <t>456/2020</t>
  </si>
  <si>
    <t>457/2020</t>
  </si>
  <si>
    <t>458/2020</t>
  </si>
  <si>
    <t>459/2020</t>
  </si>
  <si>
    <t>CANCELADO A DIFERENÇA DA ENTREGA EM 01/07/2020 20 UNIDADES</t>
  </si>
  <si>
    <t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t>
  </si>
  <si>
    <t>00060-00281441/2020-31</t>
  </si>
  <si>
    <t>CODIGO DUPLICADO??</t>
  </si>
  <si>
    <t>00060-00281516/2020-83</t>
  </si>
  <si>
    <t>00060-00281154/2020-21</t>
  </si>
  <si>
    <t>00060-00281294/2020-07</t>
  </si>
  <si>
    <t>460/2020</t>
  </si>
  <si>
    <t>461/2020</t>
  </si>
  <si>
    <t>462/2020</t>
  </si>
  <si>
    <t>AVENTAL CAPOTE CIRURGICO</t>
  </si>
  <si>
    <t>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t>
  </si>
  <si>
    <t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t>
  </si>
  <si>
    <t>00060-00281363/2020-74</t>
  </si>
  <si>
    <t>EQUIPO PARA BOMBA DE INFUSÃO</t>
  </si>
  <si>
    <t xml:space="preserve">Equipo para uso exclusivo em bombas de infusão da marca SAMTRONIC ST1000 SET, com comprimento mínimo de 240cm, câmara gotejadora flexível com filtro de retenção de partículas de 15 microns, entrada de ar lateral com filtro bacteriológico de 0,2 microns e tampa. Segmento em silicone, injetor lateral em Y com membrana autocicatrizante, pinça rolete, conector luer lock com tampa oclusora com filtro. Fabricado com material atóxico, embalagem individual em papel grau cirúrgico. Estéril, invólucro resistente ao manuseio, lacre capaz de manter sua integridade e esterilidade. Apresentação: embalagem individual. </t>
  </si>
  <si>
    <t>00060-00281476/2020-70</t>
  </si>
  <si>
    <t>00060-00281408/2020-19</t>
  </si>
  <si>
    <t>463/2020</t>
  </si>
  <si>
    <t>00060-00281602/2020-96</t>
  </si>
  <si>
    <t>464/2020</t>
  </si>
  <si>
    <t>PERFIL (702720)</t>
  </si>
  <si>
    <t>00060-00278925/2020-01</t>
  </si>
  <si>
    <t>00060-00283280/2020-10</t>
  </si>
  <si>
    <t>00060-00283374/2020-99</t>
  </si>
  <si>
    <t>00060-00283407/2020-09</t>
  </si>
  <si>
    <t>465/2020</t>
  </si>
  <si>
    <t>466/2020</t>
  </si>
  <si>
    <t>467/2020</t>
  </si>
  <si>
    <t>468/2020</t>
  </si>
  <si>
    <t>17.390.500/0001-80</t>
  </si>
  <si>
    <t>Mônica Melito</t>
  </si>
  <si>
    <t>ORIGINAL</t>
  </si>
  <si>
    <t>0001</t>
  </si>
  <si>
    <t>1083493-1</t>
  </si>
  <si>
    <t>CONECTTA (703936)</t>
  </si>
  <si>
    <t>00060-00281236/2020-75</t>
  </si>
  <si>
    <t>469/2020</t>
  </si>
  <si>
    <t>00060-00288417/2020-22</t>
  </si>
  <si>
    <t>470/2020</t>
  </si>
  <si>
    <t>00060-00290081/2020-68</t>
  </si>
  <si>
    <t>471/2020</t>
  </si>
  <si>
    <t>00060-00288584/2020-73</t>
  </si>
  <si>
    <t>472/2020</t>
  </si>
  <si>
    <t>MICROMEDICAL (384)</t>
  </si>
  <si>
    <t>AS 2 EMPRESAS DESISTIRAM POR FALTA DE ESTOQUE</t>
  </si>
  <si>
    <t>98289*
000557</t>
  </si>
  <si>
    <t>30/04/2020
05/05/2020</t>
  </si>
  <si>
    <t>*TED paga no segundo mas foi estornada no3º bim.</t>
  </si>
  <si>
    <t>98537*
000575</t>
  </si>
  <si>
    <t>vendasortop2@ortop.com.br</t>
  </si>
  <si>
    <t>ORTOP - 2</t>
  </si>
  <si>
    <t>EMPRESAS DESISTIRAM</t>
  </si>
  <si>
    <t>DBLASSL (DANIEL HENRIQUE DE SOUZA BLASSL)</t>
  </si>
  <si>
    <t>DANIEL HENRIQUE</t>
  </si>
  <si>
    <t>37.284.567/0001-47</t>
  </si>
  <si>
    <t>DBLASSL</t>
  </si>
  <si>
    <t>QUINELATO (SCHOBELL INDUSTRIAL LTDA)</t>
  </si>
  <si>
    <t>Gilma Perné</t>
  </si>
  <si>
    <t>58.193.483/0001-78</t>
  </si>
  <si>
    <t>000197</t>
  </si>
  <si>
    <t>LOTTUS PRODUTOS HOSPITALARES LTDA</t>
  </si>
  <si>
    <t>DANIEL</t>
  </si>
  <si>
    <t>17.461.145/0001-92</t>
  </si>
  <si>
    <t>LOTTUS</t>
  </si>
  <si>
    <t>J.S RECUPERADORA (JUAREZ AUGUSTO SELVA INSTRUMENTOS CIRURGICOS)</t>
  </si>
  <si>
    <t>MAURICIO</t>
  </si>
  <si>
    <t>00.397.450/0001-60</t>
  </si>
  <si>
    <t>J.S RECUPERADORA</t>
  </si>
  <si>
    <t>00060-00291844/2020-98</t>
  </si>
  <si>
    <t>473/2020</t>
  </si>
  <si>
    <t>00060-00291887/2020-73</t>
  </si>
  <si>
    <t>474/2020</t>
  </si>
  <si>
    <t>00060-00292065/2020-18</t>
  </si>
  <si>
    <t>475/2020</t>
  </si>
  <si>
    <t>00060-00292092/2020-82</t>
  </si>
  <si>
    <t>476/2020</t>
  </si>
  <si>
    <t>00060-00293914/2020-42</t>
  </si>
  <si>
    <t>00060-00272150/2020-51</t>
  </si>
  <si>
    <t>DIAFRAGMA REF. 2704 1</t>
  </si>
  <si>
    <t>DIAFRAGMA</t>
  </si>
  <si>
    <t>CIRCUITO ADULTO DE VENTILAÇÃO MECÂNICA Aplicação/finalidade: VENTILAÇÃO MECÂNICA INVASIVA Material/composição: 05 TUBOS CORRUGADOS DE SILICONE + 02 DRENOS (COLETORES DE ÁGUA DE POLISSULFONA) + 01 CONECTOR ?Y? DE POLISSULFONA, SEM FUROS + 01 CONEXÃO ?COTOVELO? EM 90° DE POLISSULFONA + 01 CONEXÃO RETA DE POLISSULFONA Tamanho/capacidade:TRAQUÉIAS: 04 tubos corrugados de silicone de 750mm de comprimento e 19 mm de diâmetro interno. 01 tubo corrugado de silicone de 450 mm de comprimento por 19 mm de diâmetro interno para interligação do ventilador ao umidificador. CONECTORES: ? Conexão reta de 22MM (diâmetro externo e 19MM diâmetro interno) x 22MM (diâmetro externo e 19MM diâmetro interno) ? Conexão cotovelo 90° 22F X 22MM X 15F Forma de apresentação:KIT COM TODAS AS PEÇAS</t>
  </si>
  <si>
    <t>CIRCUITO ADULTO VENTILAÇÃO</t>
  </si>
  <si>
    <t>FILTRO EXPIRATÓRIO NEO DX 800 USO ÚNICO P/ VENTILADOR PULMONAR(Mallinckrodt - PURITAN-BENNETT 840TM0) Filtro expiração neonatal viral/ coletor de água, eficiência de filtração de 99,99%, resistência do fluxo 0.1 - 3.0 cm de H20 a 30 l/m, volume de 142ml.</t>
  </si>
  <si>
    <t>FILTRO EXPIRATORIO NEO</t>
  </si>
  <si>
    <t>FILTRO P/RESPIRADOR REF.626 1</t>
  </si>
  <si>
    <t>FILTRO PARA RESPIRADOR</t>
  </si>
  <si>
    <t>477/2020</t>
  </si>
  <si>
    <t>478/2020</t>
  </si>
  <si>
    <t>00060-00294157/2020-24</t>
  </si>
  <si>
    <t>479/2020</t>
  </si>
  <si>
    <t>licitacao@grupoelfa.com.br</t>
  </si>
  <si>
    <t>GRUPO ELFA4</t>
  </si>
  <si>
    <t>00060-00296055/2020-43</t>
  </si>
  <si>
    <t>480/2020</t>
  </si>
  <si>
    <t>00060-00296022/2020-01</t>
  </si>
  <si>
    <t>481/2020</t>
  </si>
  <si>
    <t>00060-00298496/2020-80</t>
  </si>
  <si>
    <t>482/2020</t>
  </si>
  <si>
    <t>Deserto. Quantidade minima da caixa é de 490 comprimidos, pediram 350.</t>
  </si>
  <si>
    <t>00060-00298484/2020-55</t>
  </si>
  <si>
    <t>483/2020</t>
  </si>
  <si>
    <t>591 F</t>
  </si>
  <si>
    <t>48300-48273 F</t>
  </si>
  <si>
    <t>48647-48646 F</t>
  </si>
  <si>
    <t>48645-48644 F</t>
  </si>
  <si>
    <t>2057 F</t>
  </si>
  <si>
    <t>2057F</t>
  </si>
  <si>
    <t>110</t>
  </si>
  <si>
    <t>070493-8</t>
  </si>
  <si>
    <t>0479</t>
  </si>
  <si>
    <t>28991-0</t>
  </si>
  <si>
    <t>DESCARTEK VENDAS E MANUTENÇÕES LTDA</t>
  </si>
  <si>
    <t>85961-3</t>
  </si>
  <si>
    <r>
      <t>CERTIDÕES PARA</t>
    </r>
    <r>
      <rPr>
        <b/>
        <sz val="14"/>
        <color rgb="FF92D050"/>
        <rFont val="Calibri"/>
        <family val="2"/>
        <scheme val="minor"/>
      </rPr>
      <t xml:space="preserve"> 24/07</t>
    </r>
    <r>
      <rPr>
        <b/>
        <sz val="12"/>
        <color rgb="FF92D050"/>
        <rFont val="Calibri"/>
        <family val="2"/>
        <scheme val="minor"/>
      </rPr>
      <t>/2020</t>
    </r>
  </si>
  <si>
    <t>00060-00300777/2020-18</t>
  </si>
  <si>
    <t>484/2020</t>
  </si>
  <si>
    <t>00060-00271406/2020-11</t>
  </si>
  <si>
    <t>485/2020</t>
  </si>
  <si>
    <t>PINÇA BULDOG CURVO 11cm; Aplicação: instrumental cirúrgico; Material: Produto confeccionado em aço inoxidável AISI-420, tamanho 11cm, embalagem plástica individual, constando os dados de identificação, procedência e rastreabilidade, Garantia de 10 anos contra defeitos de fabricação, fabricado de acordo com padrões internacionais de qualidade, normas da ABNT, CE. Registro Ministério da Saúde; Tamanho: 11 cm ; Processo de esterilização: não estéril; Forma de apresentação: embalagem individual; Prazo de validade: 10 anos contra defeito de fabricação; Unidade de estoque: unidade</t>
  </si>
  <si>
    <t>PÍNÇA BULDOG CURVO 11</t>
  </si>
  <si>
    <t>PINÇA BULDOG RETO 9cm; Aplicação: instrumental cirúrgico; Material: Produto confeccionado em aço inoxidável AISI-420, tamanho 9cm, embalagem plástica individual, constando os dados de identificação, procedência e rastreabilidade, Garantia de 10 anos contra defeitos de fabricação, fabricado de acordo com padrões internacionais de qualidade, normas da ABNT, CE. Registro Ministério da Saúde; Tamanho: 09 cm ; Processo de esterilização: não estéril; Forma de apresentação: embalagem individual; Prazo de validade: 10 anos contra defeito de fabricação; Unidade de estoque: unidade</t>
  </si>
  <si>
    <t>PINÇA BULDOG RETA 9</t>
  </si>
  <si>
    <t>PINÇA BABCOCK, Aplicação: Apreensão de tecidos.Material: Aço inoxidável AISI Tamanho: 240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esterilização:Não estéril, Forma de apresentação:  Unidade,Prazo de validade: Indeterminado.</t>
  </si>
  <si>
    <t>PINÇA BABCOCK</t>
  </si>
  <si>
    <t>PINÇA ALLIS, Aplicação: Apreensão e Hemostasia, Material: Aço inoxidável AISI, Tamanho: 250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t>
  </si>
  <si>
    <t>PINÇA ALLIS</t>
  </si>
  <si>
    <t>PINÇAS CRILE RETA</t>
  </si>
  <si>
    <t>PINÇA ÓSSEA LANE, COM CREMALHEIRA, Aplicação: Cirurgia Ortopédica Material: Aço inoxidável AISI,  Tamanho: 220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t>
  </si>
  <si>
    <t>PINÇA ÓSSEA LANE</t>
  </si>
  <si>
    <t>PINÇA ÓSSEA LANE, COM CREMALHEIRA, Aplicação: Cirurgia Ortopédica Material: Aço inoxidável AISI,Tamanho:330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 Forma de apresentação:Unidade</t>
  </si>
  <si>
    <t>PINÇA ÓSSEA LANE, SEM CREMALHEIRA, Aplicação: Cirurgia Ortopédica Material: Aço inoxidável AISI, 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t>
  </si>
  <si>
    <t>PINÇA CLAMP WERTHEIN, CURVA, Aplicação: Cirurgia ginecológica, Material: Aço inoxidável AISI, Tamanho: 225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t>
  </si>
  <si>
    <t>PINÇA CLAMP</t>
  </si>
  <si>
    <t>00060-00300876/2020-91</t>
  </si>
  <si>
    <t>486/2020</t>
  </si>
  <si>
    <t>00060-00300930/2020-07</t>
  </si>
  <si>
    <t>487/2020</t>
  </si>
  <si>
    <t>00060-00300995/2020-44</t>
  </si>
  <si>
    <t>488/2020</t>
  </si>
  <si>
    <t>00060-00301116/2020-00</t>
  </si>
  <si>
    <t>489/2020</t>
  </si>
  <si>
    <t>00060-00302276/2020-68</t>
  </si>
  <si>
    <t>490/2020</t>
  </si>
  <si>
    <t>00060-00305093/2020-02</t>
  </si>
  <si>
    <t>491/2020</t>
  </si>
  <si>
    <t>00060-00303338/2020-59</t>
  </si>
  <si>
    <t>492/2020</t>
  </si>
  <si>
    <t>00060-00303304/2020-64</t>
  </si>
  <si>
    <t>493/2020</t>
  </si>
  <si>
    <t>00060-00303229/2020-31</t>
  </si>
  <si>
    <t>494/2020</t>
  </si>
  <si>
    <t>00060-00303179/2020-92</t>
  </si>
  <si>
    <t>495/2020</t>
  </si>
  <si>
    <t>00060-00303135/2020-62</t>
  </si>
  <si>
    <t>496/2020</t>
  </si>
  <si>
    <t>00060-00303085/2020-13</t>
  </si>
  <si>
    <t>497/2020</t>
  </si>
  <si>
    <t>00060-00303050/2020-84</t>
  </si>
  <si>
    <t>498/2020</t>
  </si>
  <si>
    <t>30.963.700/0001-42</t>
  </si>
  <si>
    <t>2219</t>
  </si>
  <si>
    <t>ECOMED (701313)</t>
  </si>
  <si>
    <t>NR DESISTIU</t>
  </si>
  <si>
    <t>CITOPHARMA DESISTIU por estar abaixo do faturamento</t>
  </si>
  <si>
    <t>00060-00305396/2020-17</t>
  </si>
  <si>
    <t>499/2020</t>
  </si>
  <si>
    <t>00060-00305521/2020-99</t>
  </si>
  <si>
    <t>500/2020</t>
  </si>
  <si>
    <t>CONJUNTO PARA DETERMINAÇÃO DE GAMA GLUTAMIL TRANSFERASE. Aplicação:analise bioquimica. aracterísticas adicionais: equipamento automatizado. Forma de Apresentação:conjunto (kit). Prazo de Validade: 75% do prazo de validade do produto.</t>
  </si>
  <si>
    <t>= Item 1</t>
  </si>
  <si>
    <t>00060-00307883/2020-14</t>
  </si>
  <si>
    <t>501/2020</t>
  </si>
  <si>
    <t>EDER MOURA / LUCIANA SANTOS/GLAUCIA LOGISTICA</t>
  </si>
  <si>
    <t>PAULA TAVARES</t>
  </si>
  <si>
    <t>49062-48649</t>
  </si>
  <si>
    <t>RETIRAR, VALOR A MAIOR.</t>
  </si>
  <si>
    <t>3997,04*</t>
  </si>
  <si>
    <t>48648-48649</t>
  </si>
  <si>
    <t>5599-5687</t>
  </si>
  <si>
    <t>00060-00308968/2020-10</t>
  </si>
  <si>
    <t>502/2020</t>
  </si>
  <si>
    <t>00060-00308994/2020-48</t>
  </si>
  <si>
    <t>503/2020</t>
  </si>
  <si>
    <t>00060-00309028/2020-48</t>
  </si>
  <si>
    <t>504/2020</t>
  </si>
  <si>
    <t>00060-00309072/2020-58</t>
  </si>
  <si>
    <t>505/2020</t>
  </si>
  <si>
    <t>00060-00308218/2020-48</t>
  </si>
  <si>
    <t>506/2020</t>
  </si>
  <si>
    <t xml:space="preserve">Caixa plástica branca com tampa, comprimento, largura e altura 60 x 40 x 20 cm </t>
  </si>
  <si>
    <t>CAIXA PLÁSTICA (abs e polipropileno), medidas aproximadas: 58x32x22cm. Tampa c/ espaço para sistema de trava com lacres p/ controle e rastreabilidade das caixas e medicamentos dentro do hospital. Borracha personalizada c/furos nos diâmetros dos medicamentos e identificação dos medicamentos em impressão digital colorida. Adesivos personalizados com o logotipo do hospital sobre a tampa e a numeração sequencial de cada caixa. Finalidade: para transportar e estocar medicamentos, psicotrópicos e materiais hospitalares. As divisórias da caixa devem ser removíveis e possua bandeja removível na parte inferior.</t>
  </si>
  <si>
    <t xml:space="preserve">CAIXA PLÁSTICA 60 x 40 x 20 cm </t>
  </si>
  <si>
    <t>CAIXA PLÁSTICA 58x32x22cm</t>
  </si>
  <si>
    <t>507/2020</t>
  </si>
  <si>
    <t>00060-00311249/2020-86</t>
  </si>
  <si>
    <t>508/2020</t>
  </si>
  <si>
    <t>00060-00311196/2020-01</t>
  </si>
  <si>
    <t>509/2020</t>
  </si>
  <si>
    <t>00060-00311138/2020-70</t>
  </si>
  <si>
    <t>510/2020</t>
  </si>
  <si>
    <t>CRISTALIA ORDENS D COMPRA</t>
  </si>
  <si>
    <t>susimara.cavalaro@cristalia.com.br</t>
  </si>
  <si>
    <t>SHOPPING DO ALUNO LIVRARIA E PAPELARIA LTDA. -RISK-</t>
  </si>
  <si>
    <t>Desistência da 1ª Colocada por falta de estoque. Proposta 2ª Colocada vencida e prazo de entrega de 60 dias.</t>
  </si>
  <si>
    <t>00060-00312895/2020-61</t>
  </si>
  <si>
    <t>511/2020</t>
  </si>
  <si>
    <t>00060-00314183/2020-86</t>
  </si>
  <si>
    <t>512/2020</t>
  </si>
  <si>
    <t>00060-00312128/2020-51</t>
  </si>
  <si>
    <t>513/2020</t>
  </si>
  <si>
    <t>INC05</t>
  </si>
  <si>
    <t>Conserto de INCUBADORA,Marca FANEM, Modelo IT 158 TS, Nº Patrimônio 159422 .</t>
  </si>
  <si>
    <t>00060-00312082/2020-71</t>
  </si>
  <si>
    <t>514/2020</t>
  </si>
  <si>
    <t>BAQ12</t>
  </si>
  <si>
    <t>BAQ13</t>
  </si>
  <si>
    <t>CONSERTO DE BERÇO AQUECIDO -Marca FANEM, Modelo Intensive Care Unit 2085, Nº Patrimônio 1354783</t>
  </si>
  <si>
    <t>CONSERTO DE BERÇO AQUECIDO - Marca GIGANTE, Modelo BA-UTI, Nº Patrimônio 419668</t>
  </si>
  <si>
    <t>CONSERTO DE Berço Aquecido da marca GIGANTE, modelo BA/UTI Chapa patrimonial n° 357292.</t>
  </si>
  <si>
    <t>00060-00306300/2020-38</t>
  </si>
  <si>
    <t>515/2020</t>
  </si>
  <si>
    <t>301,60*</t>
  </si>
  <si>
    <t>falta atesto</t>
  </si>
  <si>
    <t>5583,59*</t>
  </si>
  <si>
    <t>598,00*</t>
  </si>
  <si>
    <t>cheque falta atesto</t>
  </si>
  <si>
    <t>8.400,00*</t>
  </si>
  <si>
    <t>faltou ted</t>
  </si>
  <si>
    <t>20/07/2020</t>
  </si>
  <si>
    <t>21/07/2020</t>
  </si>
  <si>
    <t>DEVOLDIDO, conta errada</t>
  </si>
  <si>
    <t>1560*</t>
  </si>
  <si>
    <t>115.375-7</t>
  </si>
  <si>
    <t>VIVENDA</t>
  </si>
  <si>
    <t>VISION SERVIÇOS</t>
  </si>
  <si>
    <t>visionservicosespecializados@gmail.com</t>
  </si>
  <si>
    <t>PINÇAS CRILE RETA, Aplicação: Hemostática. Material:Aço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estéril,Forma de apresentação: Unidade,Prazo de validade: Indeterminado.</t>
  </si>
  <si>
    <t>0386-7</t>
  </si>
  <si>
    <t>91.180-1</t>
  </si>
  <si>
    <t>00060-00314828/2020-81</t>
  </si>
  <si>
    <t>516/2020</t>
  </si>
  <si>
    <t>LÂMPADAS 80W x 22.8V PARA FOCO CIRÚRGICO DE TETO DA MARCA MAQUET cód ARD569005996  ( 1 SPARE  BULB BLUE 80 IRC ( 22,8V/80W).</t>
  </si>
  <si>
    <t>no SEI tem a imagem da embalagem com especificação da lâmpada utilizada atualmente</t>
  </si>
  <si>
    <t>00060-00317915/2020-90</t>
  </si>
  <si>
    <t>517/2020</t>
  </si>
  <si>
    <t>00060-00317900/2020-21</t>
  </si>
  <si>
    <t>518/2020</t>
  </si>
  <si>
    <t>00060-00313006/2020-82</t>
  </si>
  <si>
    <t>519/2020</t>
  </si>
  <si>
    <t>00060-00316719/2020-06</t>
  </si>
  <si>
    <t>520/2020</t>
  </si>
  <si>
    <t>00060-00316767/2020-96</t>
  </si>
  <si>
    <t>521/2020</t>
  </si>
  <si>
    <t>GLUTARALDEÍDO SOLUÇÃO A 2% PRÉ-ATIVADA  ACOMPANHADA DE FITA REAGENTE. Aplicação: Desinfecção de alto nível de endoscópios, colonoscópios e broncoscópios. Solução com tempo máximo de exposição dos artigos ao produto de até 30 minutos e o tempo de eficiência da solução em uso deverá ser no mínimo de 14 dias. O produto deverá estar em consonância com as resoluções Anvisa RDC nº 35/2010 e RDC nº 06/2013. Deverá ser acompanhada de no mínimo 15 (QUINZE) fitas teste para cada 5 Litros da solução.</t>
  </si>
  <si>
    <t>00060-00316805/2020-19</t>
  </si>
  <si>
    <t>522/2020</t>
  </si>
  <si>
    <t>00060-00317015/2020-42</t>
  </si>
  <si>
    <t>523/2020</t>
  </si>
  <si>
    <t>Os materiais constantes neste pedido deverão ser entregues no Núcleo de Farmácia/ NFH/HRG  no horário de 08 h às 12h, e de 14h às 17h, de segunda a sexta-feira.</t>
  </si>
  <si>
    <t>Os materiais constantes neste pedido deverão ser entregues no Núcleo de Patrimônio / NUAL/HRG no horário de 08 h às 12h, e de 14h às 17h, de segunda a sexta-feira.</t>
  </si>
  <si>
    <t>00060-00318683/2020-97</t>
  </si>
  <si>
    <t>524/2020</t>
  </si>
  <si>
    <t>00060-00318938/2020-11</t>
  </si>
  <si>
    <t>525/2020</t>
  </si>
  <si>
    <t>Repasse (014524)</t>
  </si>
  <si>
    <t>00060-00320742/2020-97</t>
  </si>
  <si>
    <t>526/2020</t>
  </si>
  <si>
    <t>108</t>
  </si>
  <si>
    <t>002326-4</t>
  </si>
  <si>
    <t>00060-00312421/2020-19</t>
  </si>
  <si>
    <t>527/2020</t>
  </si>
  <si>
    <t>MEI01</t>
  </si>
  <si>
    <t>Conserto de Medidor de Icterícia, Marca DRAGER, Modelo JM 105, Nº Patrimônio 1363983.</t>
  </si>
  <si>
    <t>COMPRA EFETUADA NO PEDIDO DE COTAÇÃO 499/2020.</t>
  </si>
  <si>
    <t>CATTIS MEDICAL  (703825)</t>
  </si>
  <si>
    <t>00060-00323029/2020-03</t>
  </si>
  <si>
    <t>528/2020</t>
  </si>
  <si>
    <t>00060-00321360/2020-81</t>
  </si>
  <si>
    <t>529/2020</t>
  </si>
  <si>
    <t>00060-00321252/2020-16</t>
  </si>
  <si>
    <t>530/2020</t>
  </si>
  <si>
    <t>00060-00320824/2020-31</t>
  </si>
  <si>
    <t>531/2020</t>
  </si>
  <si>
    <t>00060-00320968/2020-98</t>
  </si>
  <si>
    <t>532/2020</t>
  </si>
  <si>
    <t>SUPORTE PARA COLETOR PERFUROCORTANTE, confeccionado em arame BTC comum e pintura epoxy eletrostática, Capacidade: 3,0 Litros.</t>
  </si>
  <si>
    <t>SUPORTE PARA COLETOR PERFUROCORTANTE 3L</t>
  </si>
  <si>
    <t>SUPORTE PARA COLETOR PERFUROCORTANTE, confeccionado em arame BTC comum e pintura epoxy eletrostática, Capacidade: 7,0 Litros.</t>
  </si>
  <si>
    <t>SUPORTE PARA COLETOR PERFUROCORTANTE 7L</t>
  </si>
  <si>
    <t>SUPORTE PARA COLETOR PERFUROCORTANTE, Confeccionado em arame BTC comum e pintura epoxy eletrostática, Capacidade: 13,0 Litros.</t>
  </si>
  <si>
    <t>00060-00320928/2020-46</t>
  </si>
  <si>
    <t>533/2020</t>
  </si>
  <si>
    <t>Livro Ata, capa dura em papel cartão, 33cm x 22cm, 200 folhas numeradas</t>
  </si>
  <si>
    <t>00060-00320804/2020-61</t>
  </si>
  <si>
    <t>534/2020</t>
  </si>
  <si>
    <t>ANLODIPINO (BESILATO) COMPRIMIDO 5 MG</t>
  </si>
  <si>
    <t>ANLODIPINO</t>
  </si>
  <si>
    <t>RISK (PAPELARIA E LIVRARIA RISK LTDA)</t>
  </si>
  <si>
    <t>RISK (3874)</t>
  </si>
  <si>
    <t>faltou atesto no pagamento anterior. Se for atestado será pago agora</t>
  </si>
  <si>
    <t>cheque</t>
  </si>
  <si>
    <t>CRISTALIA THAIS</t>
  </si>
  <si>
    <t>thais.felix@cristalia.com.br</t>
  </si>
  <si>
    <t>CRISTALIA EDER</t>
  </si>
  <si>
    <t>eder.moura@cristalia.com.br</t>
  </si>
  <si>
    <t>Código com compra suspensa no SIS.</t>
  </si>
  <si>
    <t>Sede abastecida</t>
  </si>
  <si>
    <t>Item com previsão de entrega em 22/08/2020</t>
  </si>
  <si>
    <t>00060-00324104/2020-45</t>
  </si>
  <si>
    <t>535/2020</t>
  </si>
  <si>
    <t>MANGUEIRA que conecta o manguito ao monitor. É obrigatório o seu uso em conjunto com os Manguitos Adultos (1003130,10003132,10003133,10003136) e Pediátricos (10003134,10003135).</t>
  </si>
  <si>
    <t>MANGUEIRA DE MANGUITO</t>
  </si>
  <si>
    <t>00060-00324335/2020-59</t>
  </si>
  <si>
    <t>536/2020</t>
  </si>
  <si>
    <t>00060-00325113/2020-53</t>
  </si>
  <si>
    <t>537/2020</t>
  </si>
  <si>
    <t>00060-00325239/2020-28</t>
  </si>
  <si>
    <t>00060-00325263/2020-67</t>
  </si>
  <si>
    <t>AVENTAL DESCARTÁVEL MANGA LONGA. Material: confeccionado em filme de polietileno (tipo plástico) matéria prima não reciclada, espessura mínima de 0,06 micras, 100% impermeável Tam. "G" comprimento/altura comprimento mínimo de 1,20 cm.</t>
  </si>
  <si>
    <t>00060-00326229/2020-18</t>
  </si>
  <si>
    <t>538/2020</t>
  </si>
  <si>
    <t>539/2020</t>
  </si>
  <si>
    <t>540/2020</t>
  </si>
  <si>
    <t>30.529-4</t>
  </si>
  <si>
    <t>CONECTTA (Fabiana Melito Nemr Vest ME/Maikai Comercial)</t>
  </si>
  <si>
    <t>gerar ISS</t>
  </si>
  <si>
    <t>1.560,00*</t>
  </si>
  <si>
    <t>Ag. E Conta invertidas</t>
  </si>
  <si>
    <t>5.600,00*</t>
  </si>
  <si>
    <t>falta CND, NF substituida</t>
  </si>
  <si>
    <r>
      <t>CERTIDÕES PARA</t>
    </r>
    <r>
      <rPr>
        <b/>
        <sz val="14"/>
        <rFont val="Calibri"/>
        <family val="2"/>
        <scheme val="minor"/>
      </rPr>
      <t xml:space="preserve"> 04/08</t>
    </r>
    <r>
      <rPr>
        <b/>
        <sz val="12"/>
        <rFont val="Calibri"/>
        <family val="2"/>
        <scheme val="minor"/>
      </rPr>
      <t>/2020</t>
    </r>
  </si>
  <si>
    <t>3.997,04*</t>
  </si>
  <si>
    <t>00060-00326427/2020-73</t>
  </si>
  <si>
    <t>541/2020</t>
  </si>
  <si>
    <t>341/2020</t>
  </si>
  <si>
    <t>00060-00326979/2020-81</t>
  </si>
  <si>
    <t>542/2020</t>
  </si>
  <si>
    <t>00060-00327293/2020-16</t>
  </si>
  <si>
    <t>543/2020</t>
  </si>
  <si>
    <t>00060-00327330/2020-88</t>
  </si>
  <si>
    <t>544/2020</t>
  </si>
  <si>
    <t>00060-00327975/2020-11</t>
  </si>
  <si>
    <t>545/2020</t>
  </si>
  <si>
    <t>KIT DE LIGADURA ELASTICA DE VARIZES DE ESÔFAGO. descartável e estéril, contendo pelo menos 01 tambor com no mínimo, 6 (seis) anéis, sendo o penúltimo de coloração mais clara. Podem ser confeccionados em neoprene látex-free ou em polietileno, borracha de látex, vectron, poliuretano ou policarbonado. Deve ser acondicionado em embalagem individual e deve ser compatível com canal do endoscópio de 2,8 mm.</t>
  </si>
  <si>
    <t>00060-00328030/2020-16</t>
  </si>
  <si>
    <t>546/2020</t>
  </si>
  <si>
    <t>00060-00328266/2020-52</t>
  </si>
  <si>
    <t>547/2020</t>
  </si>
  <si>
    <t>29.453-5</t>
  </si>
  <si>
    <t>AGENCIA E CONTA TAVA TROCADA 27/07</t>
  </si>
  <si>
    <t>0865</t>
  </si>
  <si>
    <t>00/2020</t>
  </si>
  <si>
    <t>00060-00331783/2020-17</t>
  </si>
  <si>
    <t>549/2020</t>
  </si>
  <si>
    <t>00060-00331809/2020-19</t>
  </si>
  <si>
    <t>548/2020</t>
  </si>
  <si>
    <t>levada depois ao BRB</t>
  </si>
  <si>
    <t>00060-00333571/2020-66</t>
  </si>
  <si>
    <t>550/2020</t>
  </si>
  <si>
    <t>00060-00333771/2020-19</t>
  </si>
  <si>
    <t>00060-00333645/2020-64</t>
  </si>
  <si>
    <t>00060-00333900/2020-79</t>
  </si>
  <si>
    <t>00060-00333958/2020-12</t>
  </si>
  <si>
    <t>00060-00334035/2020-88</t>
  </si>
  <si>
    <t>551/2020</t>
  </si>
  <si>
    <t>552/2020</t>
  </si>
  <si>
    <t>553/2020</t>
  </si>
  <si>
    <t>554/2020</t>
  </si>
  <si>
    <t>555/2020</t>
  </si>
  <si>
    <t>00060-00337494/2020-13</t>
  </si>
  <si>
    <t>556/2020</t>
  </si>
  <si>
    <t>00060-00337697/2020-18</t>
  </si>
  <si>
    <t>557/2020</t>
  </si>
  <si>
    <t>355/2020</t>
  </si>
  <si>
    <t>00060-00337561/2020-08</t>
  </si>
  <si>
    <t>558/2020</t>
  </si>
  <si>
    <t>TRAUMA</t>
  </si>
  <si>
    <t>traumasystem.med@gmail.com</t>
  </si>
  <si>
    <t>00060-00338553/2020-71</t>
  </si>
  <si>
    <t>559/2020</t>
  </si>
  <si>
    <t>*</t>
  </si>
  <si>
    <t>00060-00339339/2020-31</t>
  </si>
  <si>
    <t>560/2020</t>
  </si>
  <si>
    <t>00060-00339354/2020-80</t>
  </si>
  <si>
    <t>561/2020</t>
  </si>
  <si>
    <t>00060-00339374/2020-51</t>
  </si>
  <si>
    <t>562/2020</t>
  </si>
  <si>
    <t>00060-00341874/2020-52</t>
  </si>
  <si>
    <t>563/2020</t>
  </si>
  <si>
    <t>MORFINA SOLUÇÃO INJETAVEL</t>
  </si>
  <si>
    <t>MORFINA SOLUCAO INJETAVEL 1 MG/ML AMPOLA 2 ML</t>
  </si>
  <si>
    <t>00060-00341847/2020-80</t>
  </si>
  <si>
    <t>564/2020</t>
  </si>
  <si>
    <t>LIFE FARMA</t>
  </si>
  <si>
    <t>tavares.stenio@hotmail.com</t>
  </si>
  <si>
    <t>Restrição CNPJ solicitou pagamento antecipado, Proibido pela Legislação do PDPAS.</t>
  </si>
  <si>
    <t>NF COTAÇÃO 269 E 273</t>
  </si>
  <si>
    <r>
      <t>CERTIDÕES PARA</t>
    </r>
    <r>
      <rPr>
        <b/>
        <sz val="14"/>
        <rFont val="Calibri"/>
        <family val="2"/>
        <scheme val="minor"/>
      </rPr>
      <t xml:space="preserve"> 21/08</t>
    </r>
    <r>
      <rPr>
        <b/>
        <sz val="12"/>
        <rFont val="Calibri"/>
        <family val="2"/>
        <scheme val="minor"/>
      </rPr>
      <t>/2020</t>
    </r>
  </si>
  <si>
    <t>7988</t>
  </si>
  <si>
    <t>30913-3</t>
  </si>
  <si>
    <t>SEGLINE ()</t>
  </si>
  <si>
    <t>MEDIC VITTAL (703910)</t>
  </si>
  <si>
    <t>41234-1</t>
  </si>
  <si>
    <t>1236-0</t>
  </si>
  <si>
    <t>43919-3</t>
  </si>
  <si>
    <t>00060-00343674/2020-34</t>
  </si>
  <si>
    <t>565/2020</t>
  </si>
  <si>
    <t>00060-00343688/2020-58</t>
  </si>
  <si>
    <t>566/2020</t>
  </si>
  <si>
    <t>00060-00343731/2020-85</t>
  </si>
  <si>
    <t>567/2020</t>
  </si>
  <si>
    <t>00060-00343777/2020-02</t>
  </si>
  <si>
    <t>568/2020</t>
  </si>
  <si>
    <t>00060-00343900/2020-87</t>
  </si>
  <si>
    <t>569/2020</t>
  </si>
  <si>
    <t>00060-00343814/2020-74</t>
  </si>
  <si>
    <t>570/2020</t>
  </si>
  <si>
    <t>00060-00343875/2020-31</t>
  </si>
  <si>
    <t>571/2020</t>
  </si>
  <si>
    <t>00060-00344234/2020-02</t>
  </si>
  <si>
    <t>572/2020</t>
  </si>
  <si>
    <t> VIDE IMAGEM e, importância de observar o comprimento da referida agulha (120 MM).</t>
  </si>
  <si>
    <t>AGULHA ANESTESICA</t>
  </si>
  <si>
    <t xml:space="preserve">AGULHA ANESTÉSICA, APLICAÇÃO P/ RAQUIDIANA, MATERIAL AÇO INOXIDÁVEL, DIMENSÃO 25 G X 4 3/4 ́, TIPO PONTA PONTA QUINCKE, COMPONENTE C/ MANDRIL, CONECTOR UNIVERSAL CONECTOR LUERLOCK, CÔNICO E TRANSPARENTE, CARACTERÍSTICA ADICIONAL P/ OBESOS, TIPO USO DESCARTÁVEL, ESTERILIDADE ESTÉRIL </t>
  </si>
  <si>
    <t>00060-00345827/2020-88</t>
  </si>
  <si>
    <t>573/2020</t>
  </si>
  <si>
    <t>00060-00345904/2020-08</t>
  </si>
  <si>
    <t>574/2020</t>
  </si>
  <si>
    <t>00060-00345939/2020-39</t>
  </si>
  <si>
    <t>575/2020</t>
  </si>
  <si>
    <t>00060-00345983/2020-49</t>
  </si>
  <si>
    <t>576/2020</t>
  </si>
  <si>
    <t>00060-00346032/2020-97</t>
  </si>
  <si>
    <t>577/2020</t>
  </si>
  <si>
    <t>CLAMP UMBILICAL</t>
  </si>
  <si>
    <t>Clamp Umbilical Estéril. Aplicação: Indicado para prender o cordão umbilical do recém-nascido, após o parto. Clamp umbilical é indicado para ligadura ou para prender o cordão umbilical do recém-nascido. Apresentação: Clamp confeccionado em plástico, apresentando um sistema de travamento e lacre definitivo com fecho plástico inviolável. Embalado individualmente.</t>
  </si>
  <si>
    <t>00060-00346076/2020-17</t>
  </si>
  <si>
    <t>578/2020</t>
  </si>
  <si>
    <t>00060-00346140/2020-60</t>
  </si>
  <si>
    <t>579/2020</t>
  </si>
  <si>
    <t>GLICOSE 5%</t>
  </si>
  <si>
    <t>GLICOSE 5 % SOLUÇAO INJETAVEL BOLSA OU FRASCO 250 ML SISTEMA FECHADO DE INFUSAO EMBALAGEM PRIMÁRIA ISENTA DE PVC. Características Adicionais: a bolsa ou o frasco deve ter graduação volumétrica. A bolsa ou o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t>
  </si>
  <si>
    <t>00060-00345285/2020-43</t>
  </si>
  <si>
    <t>580/2020</t>
  </si>
  <si>
    <t>GEL02</t>
  </si>
  <si>
    <t>Conserto de Geladeira Marca ELECTROLUX, Modelo Frost Free  DF 38, Nº Patrimônio 743957.</t>
  </si>
  <si>
    <t>00060-00348458/2020-85</t>
  </si>
  <si>
    <t>00060-00347798/2020-99</t>
  </si>
  <si>
    <t>581/2020</t>
  </si>
  <si>
    <t>582/2020</t>
  </si>
  <si>
    <t>00060-00348375/2020-96</t>
  </si>
  <si>
    <t>583/2020</t>
  </si>
  <si>
    <t>00060-00347686/2020-38</t>
  </si>
  <si>
    <t>584/2020</t>
  </si>
  <si>
    <t>00060-00347662/2020-89</t>
  </si>
  <si>
    <t>585/2020</t>
  </si>
  <si>
    <t>00060-00347651/2020-07</t>
  </si>
  <si>
    <t>586/2020</t>
  </si>
  <si>
    <t>00060-00347627/2020-60</t>
  </si>
  <si>
    <t>587/2020</t>
  </si>
  <si>
    <t>LIFE FARMA - STENIO</t>
  </si>
  <si>
    <t>lifefarmacentral@gmail.com</t>
  </si>
  <si>
    <t>LAYETTE CODE</t>
  </si>
  <si>
    <t>layettecodevendas1@gmail.com</t>
  </si>
  <si>
    <t>LIFE FARMA PRODUTOS MEDICOS EIRELI</t>
  </si>
  <si>
    <t>STÊNIO TAVARES</t>
  </si>
  <si>
    <t>27.405.373/0001-07</t>
  </si>
  <si>
    <t>00060-00347712/2020-28</t>
  </si>
  <si>
    <t>588/2020</t>
  </si>
  <si>
    <t>49062-48649.</t>
  </si>
  <si>
    <t>MARCIA CRISTINA</t>
  </si>
  <si>
    <t>101971-6</t>
  </si>
  <si>
    <t>faltou atesto no pagamento anterior. Se for atestado será pago agora AINDA SEM ATESTO</t>
  </si>
  <si>
    <t>TED RETIRADA FALTA CERTIDÃO</t>
  </si>
  <si>
    <t>FALTA DE RECURSO FINANCEIRO</t>
  </si>
  <si>
    <t>GLOBAL (702998)</t>
  </si>
  <si>
    <t>589/2020</t>
  </si>
  <si>
    <r>
      <t>USO EXCLUSIVO PARA DESINFECÇAO DAS MAQUINAS DE HEMODIALISE FRESENIUS)</t>
    </r>
    <r>
      <rPr>
        <sz val="14"/>
        <color rgb="FF000000"/>
        <rFont val="Times New Roman"/>
        <family val="1"/>
      </rPr>
      <t>. </t>
    </r>
    <r>
      <rPr>
        <b/>
        <sz val="14"/>
        <color rgb="FF0000CD"/>
        <rFont val="Times New Roman"/>
        <family val="1"/>
      </rPr>
      <t>PURISTERIL 340</t>
    </r>
  </si>
  <si>
    <t>00060-00353307/2020-49</t>
  </si>
  <si>
    <t>590/2020</t>
  </si>
  <si>
    <t>(com Borda Fosca)</t>
  </si>
  <si>
    <t>DESERTO APÓS 5ª PUBLICAÇÃO</t>
  </si>
  <si>
    <t>CONJUNTO PARA DETERMINAÇAO DE LDH, Aplicação:analise bioquimica. Características adicionais: equipamento automatizado. Forma de Apresentação:conjunto (kit). Prazo de Validade: 75% do prazo de validade do produto. O reagente deve ser compatível com o equipamento CMD800i e vir acompanhado de todos os consumíveis necessários para seu funcionamento, como detergentes, calibradores e etc.</t>
  </si>
  <si>
    <t>00060-00353625/2020-18</t>
  </si>
  <si>
    <t>591/2020</t>
  </si>
  <si>
    <t>00060-00355352/2020-38</t>
  </si>
  <si>
    <t>592/2020</t>
  </si>
  <si>
    <t>LIFEMED MATRIZ (3158)</t>
  </si>
  <si>
    <t>00060-00356822/2020-81</t>
  </si>
  <si>
    <t>593/2020</t>
  </si>
  <si>
    <t>Distrator externo ou interno crânio fácil/maxilar para disjunção de terço médio de face</t>
  </si>
  <si>
    <t>DISTRATOR INTERNO OU EXTERNO</t>
  </si>
  <si>
    <t>allen@lifetronikmedical.com.br</t>
  </si>
  <si>
    <t>LIFETRONIK</t>
  </si>
  <si>
    <t>KT EQUIPAMENTOS</t>
  </si>
  <si>
    <t>vendas5@ktequipamentos.com.br</t>
  </si>
  <si>
    <t>00060-00358503/2020-18</t>
  </si>
  <si>
    <t>594/2020</t>
  </si>
  <si>
    <t>00060-00358547/2020-30</t>
  </si>
  <si>
    <t>595/2020</t>
  </si>
  <si>
    <t>00060-00358590/2020-03</t>
  </si>
  <si>
    <t>596/2020</t>
  </si>
  <si>
    <t>00060-00358619/2020-49</t>
  </si>
  <si>
    <t>597/2020</t>
  </si>
  <si>
    <t>00060-00358662/2020-12</t>
  </si>
  <si>
    <t>598/2020</t>
  </si>
  <si>
    <t>00060-00358714/2020-42</t>
  </si>
  <si>
    <t>599/2020</t>
  </si>
  <si>
    <t>FMC</t>
  </si>
  <si>
    <t>pedidos@fmc-ag.com</t>
  </si>
  <si>
    <t>00060-00353267/2020-35</t>
  </si>
  <si>
    <t>00060-00360279/2020-16</t>
  </si>
  <si>
    <t>600/2020</t>
  </si>
  <si>
    <t>00060-00360230/2020-63</t>
  </si>
  <si>
    <t>601/2020</t>
  </si>
  <si>
    <t>00060-00360331/2020-34</t>
  </si>
  <si>
    <t>602/2020</t>
  </si>
  <si>
    <t>00060-00363373/2020-27</t>
  </si>
  <si>
    <t>603/2020</t>
  </si>
  <si>
    <t>00060-00362142/2020-04</t>
  </si>
  <si>
    <t>00060-00364224/2020-85</t>
  </si>
  <si>
    <t>604/2020</t>
  </si>
  <si>
    <t>00060-00364141/2020-96</t>
  </si>
  <si>
    <t>605/2020</t>
  </si>
  <si>
    <t>00060-00362115/2020-23</t>
  </si>
  <si>
    <t>606/2020</t>
  </si>
  <si>
    <t>00060-00362206/2020-69</t>
  </si>
  <si>
    <t>607/2020</t>
  </si>
  <si>
    <t>00060-00364193/2020-62</t>
  </si>
  <si>
    <t>609/2020</t>
  </si>
  <si>
    <t>00060-00363425/2020-65</t>
  </si>
  <si>
    <t>608/2020</t>
  </si>
  <si>
    <r>
      <t>CERTIDÕES PARA</t>
    </r>
    <r>
      <rPr>
        <b/>
        <sz val="14"/>
        <rFont val="Calibri"/>
        <family val="2"/>
        <scheme val="minor"/>
      </rPr>
      <t xml:space="preserve"> 01/09/2020</t>
    </r>
  </si>
  <si>
    <t>AXON</t>
  </si>
  <si>
    <t>rafael@axonbr.com</t>
  </si>
  <si>
    <t>alex@fltshospitalares.com.br</t>
  </si>
  <si>
    <t>FLTS</t>
  </si>
  <si>
    <t>comercial@amicidistribuidora.com.br</t>
  </si>
  <si>
    <t>AMICI FARMA</t>
  </si>
  <si>
    <t>comercial@amicifarma.com.br</t>
  </si>
  <si>
    <t>AMICI DISTRIBUIDORA</t>
  </si>
  <si>
    <t>AXON HEALTHCARE BRASIL COMÉRCIO DE PRODUTOS HOSPITALARES EIRELI</t>
  </si>
  <si>
    <t>Rafael Pereira</t>
  </si>
  <si>
    <t>24.565.039/0001-14</t>
  </si>
  <si>
    <t>SILVIO XAVIER</t>
  </si>
  <si>
    <t>22.460.323/0001-09</t>
  </si>
  <si>
    <t>MEDCTEC</t>
  </si>
  <si>
    <t>MEDTEC</t>
  </si>
  <si>
    <t>silvio@medtecnet.com.br</t>
  </si>
  <si>
    <t>faltou atesto no pagamento anterior</t>
  </si>
  <si>
    <t>610/2020</t>
  </si>
  <si>
    <t>611/2020</t>
  </si>
  <si>
    <t>00060-00374293/2020-05</t>
  </si>
  <si>
    <t>DES11</t>
  </si>
  <si>
    <t>CONSERTO DE DESFIBRILADOR Marca PHILIPS, Modelo Heartstart MRx Nº. Patrimônio 1360711 .</t>
  </si>
  <si>
    <t>00060-00373523/2020-19</t>
  </si>
  <si>
    <t>612/2020</t>
  </si>
  <si>
    <t>00060-00367493/2020-01</t>
  </si>
  <si>
    <t>613/2020</t>
  </si>
  <si>
    <t>00060-00369926/2020-55</t>
  </si>
  <si>
    <t>614/2020</t>
  </si>
  <si>
    <t>00060-00369686/2020-99</t>
  </si>
  <si>
    <t>615/2020</t>
  </si>
  <si>
    <t>PREMIUM</t>
  </si>
  <si>
    <t>licitacao@premiumhosp.com.br</t>
  </si>
  <si>
    <t>1.360,00*</t>
  </si>
  <si>
    <t>DEVOLVIDA</t>
  </si>
  <si>
    <t>100492 F</t>
  </si>
  <si>
    <t>247974-248076</t>
  </si>
  <si>
    <t>FRESENIUS MEDICAL CARE LTDA</t>
  </si>
  <si>
    <t>NIELSEN FARIA / EDGAR</t>
  </si>
  <si>
    <t>01.440.590/0001-36</t>
  </si>
  <si>
    <t>3309-X</t>
  </si>
  <si>
    <t>55005-1</t>
  </si>
  <si>
    <t>FRESENIUS</t>
  </si>
  <si>
    <t>00060-00379439/2020-09</t>
  </si>
  <si>
    <t>00060-00305230/2020-09</t>
  </si>
  <si>
    <t>FRESENIUS (1539)</t>
  </si>
  <si>
    <t>HATRIL EQUIPAMENTOS E SERVIÇOS LTDA. EPP</t>
  </si>
  <si>
    <t>ELVE DE SOUSA SANTOS</t>
  </si>
  <si>
    <t>08.266.558/0001-25</t>
  </si>
  <si>
    <t>25.250-6</t>
  </si>
  <si>
    <t>00060-00380603/2020-12</t>
  </si>
  <si>
    <t>616/2020</t>
  </si>
  <si>
    <t>VALVULA DE SEGURANÇA</t>
  </si>
  <si>
    <t xml:space="preserve"> VIDE IMAGEM NO PROJETO</t>
  </si>
  <si>
    <t>VALVULA DE SEGURANCA P/EXCESSO DE PRESSAO REF.20091 1 (COMPATÍVEL COM AUTOCLAVE HORIZONTAL DIGITALE)</t>
  </si>
  <si>
    <t>00060-00375381/2020-16</t>
  </si>
  <si>
    <t>617/2020</t>
  </si>
  <si>
    <t>00060-00386319/2020-50</t>
  </si>
  <si>
    <t>618/2020</t>
  </si>
  <si>
    <t>DES12</t>
  </si>
  <si>
    <t>CONSERTO DE DESFIBRILADOR Automático Portátil Marca PHILIPS, Modelo Heartstart, Nº. de série SN: 0505153463, Nº. Patrimônio 1100417</t>
  </si>
  <si>
    <t>00060-00384324/2020-28</t>
  </si>
  <si>
    <t>619/2020</t>
  </si>
  <si>
    <t>00060-00384280/2020-36</t>
  </si>
  <si>
    <t>620/2020</t>
  </si>
  <si>
    <t>00060-00384243/2020-28</t>
  </si>
  <si>
    <t>621/2020</t>
  </si>
  <si>
    <t>00060-00384192/2020-34</t>
  </si>
  <si>
    <t>622/2020</t>
  </si>
  <si>
    <t>00060-00385014/2020-21</t>
  </si>
  <si>
    <t>623/2020</t>
  </si>
  <si>
    <t>00060-00385049/2020-60</t>
  </si>
  <si>
    <t>624/2020</t>
  </si>
  <si>
    <t>00060-00385110/2020-79</t>
  </si>
  <si>
    <t>625/2020</t>
  </si>
  <si>
    <t>00060-00385143/2020-19</t>
  </si>
  <si>
    <t>626/2020</t>
  </si>
  <si>
    <t>00060-00385181/2020-71</t>
  </si>
  <si>
    <t>627/2020</t>
  </si>
  <si>
    <t>00060-00385211/2020-40</t>
  </si>
  <si>
    <t>628/2020</t>
  </si>
  <si>
    <t>00060-00385254/2020-25</t>
  </si>
  <si>
    <t>629/2020</t>
  </si>
  <si>
    <t>00060-00385288/2020-10</t>
  </si>
  <si>
    <t>630/2020</t>
  </si>
  <si>
    <t>00060-00389951/2020-55</t>
  </si>
  <si>
    <t>631/2020</t>
  </si>
  <si>
    <t>00060-00389805/2020-20</t>
  </si>
  <si>
    <t>632/2020</t>
  </si>
  <si>
    <t>00060-00389761/2020-38</t>
  </si>
  <si>
    <t>633/2020</t>
  </si>
  <si>
    <t>00060-00389726/2020-19</t>
  </si>
  <si>
    <t>634/2020</t>
  </si>
  <si>
    <t>00060-00389027/2020-79</t>
  </si>
  <si>
    <t>635/2020</t>
  </si>
  <si>
    <t>MAM01</t>
  </si>
  <si>
    <t>Conserto de Mamógrafo, Marca PLANMED Modelo Sophie Classic, Nº Patrimônio 1204398.</t>
  </si>
  <si>
    <t>pagamento a menor na NF</t>
  </si>
  <si>
    <t>mais de 30 dias</t>
  </si>
  <si>
    <t>Repasse E (017719)</t>
  </si>
  <si>
    <t>48300-48273</t>
  </si>
  <si>
    <t>48645-48644</t>
  </si>
  <si>
    <t>48647-48646</t>
  </si>
  <si>
    <t>Repasse (017874)</t>
  </si>
  <si>
    <t>HATRIL ()</t>
  </si>
  <si>
    <t>sei 47569634</t>
  </si>
  <si>
    <t>636/2020</t>
  </si>
  <si>
    <t>00060-00402518/2020-12</t>
  </si>
  <si>
    <t>00060-00401596/2020-08</t>
  </si>
  <si>
    <t>637/2020</t>
  </si>
  <si>
    <t>638/2020</t>
  </si>
  <si>
    <t>00060-00401806/2020-50</t>
  </si>
  <si>
    <t>CONJUNTO PRIVATIVO CME  Tamanho M.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</si>
  <si>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M</t>
  </si>
  <si>
    <t>CONJUNTO PRIVATIVO CME  Tamanho 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41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</si>
  <si>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G</t>
  </si>
  <si>
    <t>CONJUNTO PRIVATIVO CME  Tamanho 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43 cm
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</si>
  <si>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GG</t>
  </si>
  <si>
    <t>CONJUNTO PRIVATIVO CME  Tamanho XG.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52/54. Características: conjunto feito com costura dupla com linha 100% algodão, com acabamento em overlock com linha 100% algodão.
MEDIDAS:
CAMISA:
Comprimento total (soma da extensão posterior do tronco com o comprimento da cintura ao terço proximal da coxa): 93 cm
Perímetro do pescoço: 45 cm
Perímetro do tórax: 126 cm
Contorno de cava: 57 cm
Comprimento manga curta: 26,5 cm
Perímetro do bíceps: 50 cm
Comprimento ombro a ombro: 56 cm
Extensão posterior do tronco: 49 cm
Dimensões dos bolsos: 20 X 16 cm
CALÇA:
Perímetro da cintura: 108 cm
Perímetro do quadril: 130 cm
Perímetro da coxa e perna: 85 cm
Comprimento da cintura ao solo: 116 cm
Altura do entrepernas: 87 cm
Comprimento  consolidado do gancho dianteiro e do gancho traseiro: 79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</si>
  <si>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XG</t>
  </si>
  <si>
    <t>CONJUNTO PRIVATIVO CME  Tamanho XGG.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56/58. Características: conjunto feito com costura dupla com linha 100% algodão, com acabamento em overlock com linha 100% algodão.
MEDIDAS:
CAMISA:
Comprimento total (soma da extensão posterior do tronco com o comprimento da cintura ao terço proximal da coxa): 96 cm
Perímetro do pescoço: 47 cm
Perímetro do tórax: 134 cm
Contorno de cava: 59 cm
Comprimento manga curta: 27,5 cm
Perímetro do bíceps: 53 cm
Comprimento ombro a ombro: 58 cm
Extensão posterior do tronco: 50 cm
Dimensões dos bolsos: 20 X 16 cm
CALÇA:
Perímetro da cintura: 116 cm
Perímetro do quadril: 142 cm
Perímetro da coxa e perna: 90 cm
Comprimento da cintura ao solo: 118 cm
Altura do entrepernas: 90 cm
Comprimento  consolidado do gancho dianteiro e do gancho traseiro: 83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</si>
  <si>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XGG</t>
  </si>
  <si>
    <t>CONJUNTO PRIVATIVO CME  Tamanho EG.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60/62. Características: conjunto feito com costura dupla com linha 100% algodão, com acabamento em overlock com linha 100% algodão.
MEDIDAS:
CAMISA:
Comprimento total (soma da extensão posterior do tronco com o comprimento da cintura ao terço proximal da coxa): 100 cm
Perímetro do pescoço: 49 cm
Perímetro do tórax: 142 cm
Contorno de cava: 61 cm
Comprimento manga curta: 28,5 cm
Perímetro do bíceps: 54 cm
Comprimento ombro a ombro: 59 cm
Extensão posterior do tronco: 50,5 cm
Dimensões dos bolsos: 20 X 16 cm
CALÇA:
Perímetro da cintura: 124 cm
Perímetro do quadril: 154 cm
Perímetro da coxa e perna: 93 cm
Comprimento da cintura ao solo: 119 cm
Altura do entrepernas: 93 cm
Comprimento  consolidado do gancho dianteiro e do gancho traseiro: 87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</si>
  <si>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EG</t>
  </si>
  <si>
    <t>CONJUNTO PRIVATIVO CME  Tamanho EGG.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64. Características: conjunto feito com costura dupla com linha 100% algodão, com acabamento em overlock com linha 100% algodão.
MEDIDAS:
CAMISA:
Comprimento total (soma da extensão posterior do tronco com o comprimento da cintura ao terço proximal da coxa): 102 cm
Perímetro do pescoço: 52 cm
Perímetro do tórax: 146 cm
Contorno de cava: 62 cm
Comprimento manga curta: 29,5 cm
Perímetro do bíceps: 56 cm
Comprimento ombro a ombro: 60 cm
Extensão posterior do tronco: 51 cm
Dimensões dos bolsos: 20 X 16 cm
CALÇA:
Perímetro da cintura: 128 cm
Perímetro do quadril: 160 cm
Perímetro da coxa e perna: 96 cm
Comprimento da cintura ao solo: 120 cm
Altura do entrepernas: 95 cm
Comprimento  consolidado do gancho dianteiro e do gancho traseiro: 89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</si>
  <si>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CONJUNTO PRIVATIVO CME  Tamanho EGG.</t>
  </si>
  <si>
    <t>FRONHA MAYO, Aplicação: Cobrir mesa de mayo, Mterial: Cretone azul,Tamanho: 62cm x 1,30 cm, Caracteristicas: Tecido 100% algodão estampado com logotipo SES em toda extensão, Peso m2: 150 a 160g ,Armação do tecido 1x1, Fios: fio 20 com 60 no urdume  e 60 na trama por polegada2, total 120 fios, Encilhimento: 08% no urdume e 04% na trama,Peça simples em fotma de saco com costuras laterais</t>
  </si>
  <si>
    <t>FRONHA MAYO,</t>
  </si>
  <si>
    <t>cotacao.doctormed@gmail.com</t>
  </si>
  <si>
    <t>DOCTORMED</t>
  </si>
  <si>
    <t>PREMIUM HOSPITALAR EIRELI - ME</t>
  </si>
  <si>
    <t>27.325.768/0001-91</t>
  </si>
  <si>
    <t>54184-2</t>
  </si>
  <si>
    <t>LUIS ALFREDO LIMA SILVA</t>
  </si>
  <si>
    <t>A PEDIDO DA FARMÁCIA/DIREÇÃO</t>
  </si>
  <si>
    <t>ESTOQUE FARMÁCIA CENTRAL</t>
  </si>
  <si>
    <t>NÃO PADRONIZADO</t>
  </si>
  <si>
    <t>lista de corte</t>
  </si>
  <si>
    <t>COMPRADO NA COTAÇÃO 609 q teve melhor preço</t>
  </si>
  <si>
    <t>DISTRIBUIDORA BRASIL (701810)</t>
  </si>
  <si>
    <t>639/2020</t>
  </si>
  <si>
    <t>00060-00403677/2020-34</t>
  </si>
  <si>
    <t>ANEXAR NA COTAÇÃO O DOCUMENTO SEI 47659679 COM OBSERVAÇÕES AO FONECEDOR</t>
  </si>
  <si>
    <t>00060-00403613/2020-33</t>
  </si>
  <si>
    <t>640/2020</t>
  </si>
  <si>
    <t>FALTA DE RECURSO FINANCEIRO na época da cotação</t>
  </si>
  <si>
    <t>Falta de Recurso na época da Cotação. Não renovaram propostas quando chegou dinheiro</t>
  </si>
  <si>
    <t>00060-00408719/2020-23</t>
  </si>
  <si>
    <t>641/2020</t>
  </si>
  <si>
    <t>00060-00406845/2020-43</t>
  </si>
  <si>
    <t>642/2020</t>
  </si>
  <si>
    <t>00060-00406778/2020-67</t>
  </si>
  <si>
    <t>643/2020</t>
  </si>
  <si>
    <t>00060-00406695/2020-78</t>
  </si>
  <si>
    <t>644/2020</t>
  </si>
  <si>
    <t>00060-00406593/2020-52</t>
  </si>
  <si>
    <t>645/2020</t>
  </si>
  <si>
    <t>00060-00406515/2020-58</t>
  </si>
  <si>
    <t>646/2020</t>
  </si>
  <si>
    <t>00060-00406322/2020-05</t>
  </si>
  <si>
    <t>647/2020</t>
  </si>
  <si>
    <t>Propostas vencidas</t>
  </si>
  <si>
    <t>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t>
  </si>
  <si>
    <t>Preço elevado.</t>
  </si>
  <si>
    <r>
      <t>CERTIDÕES PARA</t>
    </r>
    <r>
      <rPr>
        <b/>
        <sz val="14"/>
        <rFont val="Calibri"/>
        <family val="2"/>
        <scheme val="minor"/>
      </rPr>
      <t xml:space="preserve"> 01/10/2020</t>
    </r>
  </si>
  <si>
    <t>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t>
  </si>
  <si>
    <t>CNPJ:</t>
  </si>
  <si>
    <t>VALOR TOTAL</t>
  </si>
  <si>
    <t>CHEQUE/DAR</t>
  </si>
  <si>
    <t>00060-00413118/2020-32</t>
  </si>
  <si>
    <t>648/2020</t>
  </si>
  <si>
    <t>00060-00412856/2020-62</t>
  </si>
  <si>
    <t>649/2020</t>
  </si>
  <si>
    <t>00060-00412706/2020-59</t>
  </si>
  <si>
    <t>650/2020</t>
  </si>
  <si>
    <t>00060-00412631/2020-14</t>
  </si>
  <si>
    <t>651/2020</t>
  </si>
  <si>
    <t>00060-00411471/2020-88</t>
  </si>
  <si>
    <t>652/2020</t>
  </si>
  <si>
    <t>00060-00411427/2020-78</t>
  </si>
  <si>
    <t>653/2020</t>
  </si>
  <si>
    <t>00060-00411363/2020-13</t>
  </si>
  <si>
    <t>654/2020</t>
  </si>
  <si>
    <t>00060-00411323/2020-63</t>
  </si>
  <si>
    <t>655/2020</t>
  </si>
  <si>
    <t>00060-00412832/2020-11</t>
  </si>
  <si>
    <t>656/2020</t>
  </si>
  <si>
    <t>DES13</t>
  </si>
  <si>
    <t>CONSERTO DE DESFIBRILADOR ZOLL M Series, PATRIMÔNIO: 020211</t>
  </si>
  <si>
    <t>00060-00412649/2020-16</t>
  </si>
  <si>
    <t>657/2020</t>
  </si>
  <si>
    <t>Etiqueta adesiva térmica, indicado para impressora: zebra tlp-2844 ou similar, tipo papel couchê adesivo, largura x altura 100 mm x 50 mm
Observação 1: Deve ser compatível com impressora ZEBRA GC420D.
Observação 2: Apresentação Rolo – cada um contendo 1 COLUNA com 1.000 ETIQUETAS.</t>
  </si>
  <si>
    <t>00060-00416762/2020-62</t>
  </si>
  <si>
    <t>658/2020</t>
  </si>
  <si>
    <t xml:space="preserve">CASSETE HISTOLÓGICO de 4,0 x 3,0 cm, material plástico, com tampa removível, cor branca ou amarela, com aberturas retangulares de 5,0 x 1,0 mm. Aplicação (finalidade): Destinado ao processamento e inclusão de materiais de biópsia ou autópsia. Embalagem: Pacote com 500 Unidades. </t>
  </si>
  <si>
    <t>CASSETE HISTOLÓGICO de 4,0 x 3,0 cm,</t>
  </si>
  <si>
    <t>00060-00416711/2020-31</t>
  </si>
  <si>
    <t>659/2020</t>
  </si>
  <si>
    <t>Parafina histológica, aspecto físico sólido, branca, ponto fusão 59 – 63 °c, apresentação em lentilha. Aplicação: Processamento de materiais de biópsias e peças cirúrgicas,para confecção de lâminas histológicas. Composição: Cera de petróleo Características adicionais: Aspecto: - Estado físico: Sólido - Forma: Lentilhas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t>
  </si>
  <si>
    <t>Parafina histológica,</t>
  </si>
  <si>
    <t>00060-00413791/2020-72</t>
  </si>
  <si>
    <t>660/2020</t>
  </si>
  <si>
    <t>MOLDES DE INCLUSÃO EM ALUMINIO PARA CASSETES - TAMANHO 30x24x5 MM</t>
  </si>
  <si>
    <t xml:space="preserve">MOLDES DE INCLUSÃO </t>
  </si>
  <si>
    <t>MOLDES DE INCLUSÃO EM ALUMINIO PARA CASSETES - TAMANHO 24x24x5 MM;</t>
  </si>
  <si>
    <t>MOLDES DE INCLUSÃO EM ALUMINIO PARA CASSETES - - TAMANHO 15x15x5 MM;</t>
  </si>
  <si>
    <t>00060-00417231/2020-97</t>
  </si>
  <si>
    <t>661/2020</t>
  </si>
  <si>
    <t>00060-00417141/2020-04</t>
  </si>
  <si>
    <t>662/2020</t>
  </si>
  <si>
    <t>00060-00417074/2020-10</t>
  </si>
  <si>
    <t>663/2020</t>
  </si>
  <si>
    <t>ACIDO CLORIDRICO 30% COM BAIXO TEOR DE METAIS MASSA MOLECULAR: 36,46G/MOL FÓRMULA MOLECULAR: HCL ASPECTO FÍSICO: LÍQUIDO LÍMPIDO, INCOLOR/AMARELADO,  FUMEGANTE TEOR: 30% DE HCL IMPUREZAS: BAIXO TEOR DE METAIS, MÁXIMO DE HG 2 ΜG/KG NUMERO DE REFERENCIA QUIMICA CAS: 7647-01-0, APRESENTAÇÃO: FRASCO DE 250 ML</t>
  </si>
  <si>
    <t>ACIDO CLORIDRICO 30%</t>
  </si>
  <si>
    <t>00060-00417013/2020-52</t>
  </si>
  <si>
    <t>664/2020</t>
  </si>
  <si>
    <t>FENOL ACS;PESO MOLECULAR: 94,11 G/MOL FÓRMULA QUÍMICA: C6H5OHASPECTO FÍSICO: CRISTAL INCOLOR, ALTAMENTE HIGROSCÓPICOTEOR DE ÁGUA MÁXIMO 0,5%.PUREZA MÍNIMA: 99% NÚMERO CAS: 108-95-2 APRESENTAÇÃO: FRASCO 1LITRO</t>
  </si>
  <si>
    <t>FENOL ACS;</t>
  </si>
  <si>
    <t>00060-00416958/2020-57</t>
  </si>
  <si>
    <t>665/2020</t>
  </si>
  <si>
    <t>00060-00416876/2020-11</t>
  </si>
  <si>
    <t>666/2020</t>
  </si>
  <si>
    <t>00060-00416815/2020-45</t>
  </si>
  <si>
    <t>667/2020</t>
  </si>
  <si>
    <t>668/2020</t>
  </si>
  <si>
    <t>669/2020</t>
  </si>
  <si>
    <t>CAPA PARA CD OU DVD,Características Técnicas Mínimas: 16cm x 13cm (comprimento x largura), com abertura, sendo, 14cm x 2cm de aba para fechamento sendo que na aba tem que existir um adesivo em toda sua extensão com proteção descartável</t>
  </si>
  <si>
    <t>CAPA PARA CD OU DVD</t>
  </si>
  <si>
    <t>00060-00416393/2020-16</t>
  </si>
  <si>
    <t>670/2020</t>
  </si>
  <si>
    <t>NAVALHA PARA MICRÓTOMO, Aplicação: corte de parafina, Material: aço inoxidável, Dimensões: 70  a 80 mm de comprimento X 08mm de largura, Caracteristicas adicionais: uso laboratorial e descartável, perfil baixo, Unidade de fornecimento: caixa com 50 unidades</t>
  </si>
  <si>
    <t>CAMPO DUPLO ALGODÃO CRU LISO 170x170 cm, Aplicação: embalagem de bandejas e pacotes, Material: Tecido algodão cru liso, 100% algodão, Linha 100% algodão, Tamanho: 170x170cm,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15383.</t>
  </si>
  <si>
    <t>CAMPO DUPLO ALGODÃO CRU LISO 150x150 cm, Aplicação: embalagem de bandejas e pacotes, Material: Tecido algodão cru liso, 100% algodão, Linha 100% algodão, Tamanho: 150x150cm,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16207.</t>
  </si>
  <si>
    <t>PREMIUM (703530)</t>
  </si>
  <si>
    <t>NÃO FOI PAGA</t>
  </si>
  <si>
    <t>1.980,00*</t>
  </si>
  <si>
    <t>.1658,48*</t>
  </si>
  <si>
    <t>Nota fiscal da Cotação 417/2020, já paga em 18/08/2020. Soicitei à Cinco Conmfiança a devolução desse pagamento.</t>
  </si>
  <si>
    <t>00060-00383457/2020-87</t>
  </si>
  <si>
    <t>00060-00383588/2020-64</t>
  </si>
  <si>
    <t>00060-00383859/2020-81</t>
  </si>
  <si>
    <t>00060-00391375/2020-14</t>
  </si>
  <si>
    <t>00060-00383544/2020-34</t>
  </si>
  <si>
    <t>671/2020</t>
  </si>
  <si>
    <t>672/2020</t>
  </si>
  <si>
    <t>673/2020</t>
  </si>
  <si>
    <t>674/2020</t>
  </si>
  <si>
    <t>675/2020</t>
  </si>
  <si>
    <t>00060-00416407/2020-93</t>
  </si>
  <si>
    <t>00060-00416618/2020-26</t>
  </si>
  <si>
    <t>00060-00383942/2020-51</t>
  </si>
  <si>
    <t>00060-00383763/2020-13</t>
  </si>
  <si>
    <t>00060-00383780/2020-51</t>
  </si>
  <si>
    <t>00060-00383801/2020-38</t>
  </si>
  <si>
    <t>00060-00383835/2020-22</t>
  </si>
  <si>
    <t>676/2020</t>
  </si>
  <si>
    <t>678/2020</t>
  </si>
  <si>
    <t>679/2020</t>
  </si>
  <si>
    <t>680/2020</t>
  </si>
  <si>
    <t>681/2020</t>
  </si>
  <si>
    <t>00060-00383906/2020-97</t>
  </si>
  <si>
    <t>00060-00383879/2020-52</t>
  </si>
  <si>
    <t>682/2020</t>
  </si>
  <si>
    <t>00060-00419999/2020-03</t>
  </si>
  <si>
    <t>683/2020</t>
  </si>
  <si>
    <t>PETIDINA (CLORIDRATO) SOLUÇAO INJETAVEL 50 MG/ML AMPOLA 2 ML</t>
  </si>
  <si>
    <t>PETIDINA</t>
  </si>
  <si>
    <t>00060-00420019/2020-15</t>
  </si>
  <si>
    <t>684/2020</t>
  </si>
  <si>
    <t>00060-00420173/2020-89</t>
  </si>
  <si>
    <t>685/2020</t>
  </si>
  <si>
    <t>IMAGEM NO SIS</t>
  </si>
  <si>
    <t>MÁSCARA FACIAL MULTISTRAP ou similares para VNI - Tamanho: M, em plástico atóxico, flexível e transparente com coxim siliconado inflável, com abertura central com ganchos para fixação.</t>
  </si>
  <si>
    <t>MÁSCARA FACIAL VNI - Tam.: M</t>
  </si>
  <si>
    <t>MÁSCARA FACIAL VNI - Tam.: G</t>
  </si>
  <si>
    <t>MÁSCARA FACIAL MULTISTRAP ou similares para VNI - Tamanho: G, em plástico atóxico, flexível e transparente com coxim siliconado inflável, com abertura central com ganchos para fixação.</t>
  </si>
  <si>
    <t>00060-00352267/2020-18</t>
  </si>
  <si>
    <t>686/2020</t>
  </si>
  <si>
    <t>PINÇA DE DISTRAÇÃO MÉDIA PARA OSTEOTOMIA DA TÍBIA</t>
  </si>
  <si>
    <t>PINÇA DE DISTRAÇÃO MÉDIA PARA OSTEOTOMIA DA TÍBIA, Aplicação:Cirurgia Ortopédica Material: Aço inoxidável AISI Tamanho:Largura da boca 8 mm; 220 mm,  Características: Pinça de distração óssea média para osteotomia da tíbia com trava de segurança.   As peças deverão apresentar um bom acabamento superficial. O material deverá ter tratamento térmico integral, a fim de atingir a dureza e a flexibilidade adequadas a um perfeito desempenho... Por ser composto com mais de um componente não deverá apresentar buracos, frestas ou folga quando montado.. O sistema de abertura deverá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t>
  </si>
  <si>
    <t>00060-00419647/2020-40</t>
  </si>
  <si>
    <t>687/2020</t>
  </si>
  <si>
    <t>688/2020</t>
  </si>
  <si>
    <t>00060-00424576/2020-05</t>
  </si>
  <si>
    <t>Equipamento Funcionado, foi testado pela representante da ZOLL</t>
  </si>
  <si>
    <t>00060-00425833/2020-18</t>
  </si>
  <si>
    <t>689/2020</t>
  </si>
  <si>
    <t>00060-00425900/2020-02</t>
  </si>
  <si>
    <t>690/2020</t>
  </si>
  <si>
    <t>00060-00425951/2020-26</t>
  </si>
  <si>
    <t>691/2020</t>
  </si>
  <si>
    <t>SHOPPING DO ALUNO - RISK</t>
  </si>
  <si>
    <t>00060-00427375/2020-51</t>
  </si>
  <si>
    <t>692/2020</t>
  </si>
  <si>
    <t>00060-00427454/2020-62</t>
  </si>
  <si>
    <t>693/2020</t>
  </si>
  <si>
    <t>3398-7</t>
  </si>
  <si>
    <t>818.608-1</t>
  </si>
  <si>
    <t>677/2020</t>
  </si>
  <si>
    <t>DISCO COMPACTO DVD R - GRAVÁVEL capacidade de 4.7GB, duração de 120 minutos</t>
  </si>
  <si>
    <t>DISCO COMPACTO DVD R - GRAVÁVEL</t>
  </si>
  <si>
    <t>PROMEFARMA</t>
  </si>
  <si>
    <t>3007-4</t>
  </si>
  <si>
    <t>101.260-6</t>
  </si>
  <si>
    <t>81.706.251/0001-98</t>
  </si>
  <si>
    <t>PROMEFARMA REPRESENTAÇÕES COMERCIAIS LTDA</t>
  </si>
  <si>
    <t>PROMEFARMA (702114)</t>
  </si>
  <si>
    <t>as 2 empreas desistiram da entrega.</t>
  </si>
  <si>
    <t>00060-00435709/2020-61</t>
  </si>
  <si>
    <t>694/2020</t>
  </si>
  <si>
    <t>00060-00430858/2020-33</t>
  </si>
  <si>
    <t>00060-00430935/2020-55</t>
  </si>
  <si>
    <t>00060-00430994/2020-23</t>
  </si>
  <si>
    <t>00060-00431068/2020-75</t>
  </si>
  <si>
    <t>00060-00431136/2020-04</t>
  </si>
  <si>
    <t>00060-00431989/2020-38</t>
  </si>
  <si>
    <t>00060-00432036/2020-97</t>
  </si>
  <si>
    <t>00060-00432093/2020-76</t>
  </si>
  <si>
    <t>00060-00433238/2020-56</t>
  </si>
  <si>
    <t>00060-00433392/2020-28</t>
  </si>
  <si>
    <t>00060-00433439/2020-53</t>
  </si>
  <si>
    <t>00060-00433516/2020-75</t>
  </si>
  <si>
    <t>20 UND - NR. 18    20 UND - NR. 20    20 UND - NR. 22   10 UND - NR. 24</t>
  </si>
  <si>
    <t>CORANTE, TIPO HEMATOXILINA, ASPECTO FÍSICO PÓ - Corante, tipo Hematoxilina, aspecto físico pó, características adicionais CI 75290.</t>
  </si>
  <si>
    <t>00060-00436089/2020-87</t>
  </si>
  <si>
    <t>00060-00435979/2020-71</t>
  </si>
  <si>
    <t>00060-00435886/2020-47</t>
  </si>
  <si>
    <t>00060-00439652/2020-79</t>
  </si>
  <si>
    <t>00060-00439589/2020-71</t>
  </si>
  <si>
    <t>EOSINA AZUL DE METILENO, SEG. GIEMSA|ASPECTO FÍSICO PÓ, APRESENTAÇÃO: FRASCO 25 GRAMAS</t>
  </si>
  <si>
    <t>EOSINA AZUL</t>
  </si>
  <si>
    <t>000/2020</t>
  </si>
  <si>
    <t>00060-00348445/2020-14</t>
  </si>
  <si>
    <t>CORTE</t>
  </si>
  <si>
    <t>PLANILHA DE CORTES - FALTA DE RECURSOS</t>
  </si>
  <si>
    <t>até R$ 5631,80</t>
  </si>
  <si>
    <t>Falta de recurso, planilha de cortes.</t>
  </si>
  <si>
    <t>696/2020</t>
  </si>
  <si>
    <t>00060-00442098/2020-15</t>
  </si>
  <si>
    <t>697/2020</t>
  </si>
  <si>
    <t>698/2020</t>
  </si>
  <si>
    <t>22.066.758/0001-65</t>
  </si>
  <si>
    <t>699/2020</t>
  </si>
  <si>
    <t>SALDO 2340</t>
  </si>
  <si>
    <t>00060-00446707/2020-05</t>
  </si>
  <si>
    <t>00060-00446936/2020-11</t>
  </si>
  <si>
    <t>00060-00441994/2020-59</t>
  </si>
  <si>
    <t>3347-2</t>
  </si>
  <si>
    <t>4319-2</t>
  </si>
  <si>
    <t>32578-3</t>
  </si>
  <si>
    <t>00060-00451763/2020-53</t>
  </si>
  <si>
    <t>CAL08</t>
  </si>
  <si>
    <t>CONSERTO DE Caneta de Alta Rotação DABI ATLANTE EXTRA TORQUE 605 - GDF 708166</t>
  </si>
  <si>
    <t>00060-00450479/2020-60</t>
  </si>
  <si>
    <t>00060-00450535/2020-66</t>
  </si>
  <si>
    <t>CONJUNTO MANIFOLD PARA GÁS FREON ART. R-12/ 22/ 502 - 134ª: Aplicação: medir a quantidade de pressão de gás utilizado na refrigeração e em ar condicionado; Característica: corpo em bronze com gancho rotatório, escala dupla de pressões PSIG/ Kg/ Cm ², escala dupla de temperaturas em ºC/ ºF, indicador de umidade e visor inclusos no corpo, disponível em modelos para R134A, mangueira 60ö  125cm, manômetros anti-vibração com escalas coloridas para fácil leitura, protetor plástico para evitar danos prematuros, incluso jogo de mangueiras para cada modelo; Peso entre 1,300 Kg e 1,900 Kg dependendo da marca. Prazo de Validade: não há, Unidade de Estoque: unidade.</t>
  </si>
  <si>
    <t>CONJUNTO MANIFOLD PARA GÁS FREON ART. R-12/ 22/ 502 - 134ª:</t>
  </si>
  <si>
    <t>00060-00450442/2020-31</t>
  </si>
  <si>
    <t>TORNEADORA J SANTOS</t>
  </si>
  <si>
    <t>contato@torneadorajsantos.com.br</t>
  </si>
  <si>
    <t>700/2020</t>
  </si>
  <si>
    <t>vide projeto</t>
  </si>
  <si>
    <t>168083F</t>
  </si>
  <si>
    <t>19/10 PDPAS.ALMOX</t>
  </si>
  <si>
    <t>CANCELADO 21/10 EMAIL</t>
  </si>
  <si>
    <t>EMAIL 14/10 PDPASHRG</t>
  </si>
  <si>
    <t>00060-00453337/2020-54</t>
  </si>
  <si>
    <t>00060-00453463/2020-17</t>
  </si>
  <si>
    <t>00060-00453568/2020-68</t>
  </si>
  <si>
    <t>701/2020</t>
  </si>
  <si>
    <t>702/2020</t>
  </si>
  <si>
    <t>703/2020</t>
  </si>
  <si>
    <t>704/2020</t>
  </si>
  <si>
    <t>00060-00455560/2020-36</t>
  </si>
  <si>
    <t>Falta de recurso</t>
  </si>
  <si>
    <t>MULTICANAL ATACADO LTDA</t>
  </si>
  <si>
    <t>LUIZ CARLOS</t>
  </si>
  <si>
    <t>MULTICANAL</t>
  </si>
  <si>
    <t>luizescuro@gmail.com</t>
  </si>
  <si>
    <t>MARTINS cotou item errado</t>
  </si>
  <si>
    <t>3684-6</t>
  </si>
  <si>
    <t>2206-3</t>
  </si>
  <si>
    <t>Cancelado por Falta de Recurso Financeiro</t>
  </si>
  <si>
    <t>contato@triacengenharia.com.br</t>
  </si>
  <si>
    <t>TRIAC ENGENHARIA</t>
  </si>
  <si>
    <t>TRIAC CIENTIFICA</t>
  </si>
  <si>
    <t>RENOVARE WD</t>
  </si>
  <si>
    <t>thais@renovarewd.com.br</t>
  </si>
  <si>
    <t>email prazo expirado</t>
  </si>
  <si>
    <t>00060-00455476/2020-12</t>
  </si>
  <si>
    <t>705/2020</t>
  </si>
  <si>
    <t>00060-00455412/2020-11</t>
  </si>
  <si>
    <t>00060-00451833/2020-73</t>
  </si>
  <si>
    <t>ENTREGARÁ</t>
  </si>
  <si>
    <t>00060-00468476/2020-82</t>
  </si>
  <si>
    <t>706/2020</t>
  </si>
  <si>
    <t>Enviei NF pro NECFM</t>
  </si>
  <si>
    <t>HARTE (703188)</t>
  </si>
  <si>
    <t>1ª E 2ª COLOCADA DESISTIRAM</t>
  </si>
  <si>
    <t>AJUSTE FINANCEIRO</t>
  </si>
  <si>
    <t>AJUSTE</t>
  </si>
  <si>
    <t>ISS - RETENÇÃO DE ISS</t>
  </si>
  <si>
    <t>MEDCTEC SUPRIMENTOS MEDICO HOSPITALARES LTDA</t>
  </si>
  <si>
    <t>NOVA GOIÁS</t>
  </si>
  <si>
    <t>00060-00468621/2020-25</t>
  </si>
  <si>
    <t>00060-00468589/2020-88</t>
  </si>
  <si>
    <t>VIA FARMA</t>
  </si>
  <si>
    <t>wemersonbiosoluto@hotmail.com</t>
  </si>
  <si>
    <t>00060-00468134/2020-62</t>
  </si>
  <si>
    <t>ENTREGARÁ quando atingir faturamento</t>
  </si>
  <si>
    <t>ENTREGARÁ 15/11/2020</t>
  </si>
  <si>
    <t>Entregue em 22/10</t>
  </si>
  <si>
    <t>DENTAL MED OESTE</t>
  </si>
  <si>
    <t>vendas2.dentalmed@gmail.com</t>
  </si>
  <si>
    <t>COMPRADO PELA COTAÇÃO 661/2020 EM  08/10/2020</t>
  </si>
  <si>
    <t>1.242-4</t>
  </si>
  <si>
    <t>47.565-3</t>
  </si>
  <si>
    <t>Entregou 1. outro em andamento</t>
  </si>
  <si>
    <t>19/10/2020 e 29/10</t>
  </si>
  <si>
    <t>CERTIDÕES PARA 13/11/2020</t>
  </si>
  <si>
    <t>Mês anterior não paga</t>
  </si>
  <si>
    <t>00060-00476206/2020-45</t>
  </si>
  <si>
    <t>CARLOS EDUARDO</t>
  </si>
  <si>
    <t>00060-00477580/2020-68</t>
  </si>
  <si>
    <t>00060-00477613/2020-70</t>
  </si>
  <si>
    <t>00060-00477691/2020-74</t>
  </si>
  <si>
    <t>00060-00476307/2020-16</t>
  </si>
  <si>
    <t>00060-00476352/2020-71</t>
  </si>
  <si>
    <t>00060-00476471/2020-23</t>
  </si>
  <si>
    <t>00060-00476628/2020-11</t>
  </si>
  <si>
    <t>06/11/2020</t>
  </si>
  <si>
    <t>05/11/2020</t>
  </si>
  <si>
    <t>09/11/2020</t>
  </si>
  <si>
    <t>SISTEMA FECHADO DE ASPIRAÇÃO TRAQUEAL VIA CÂNULA DE TRAQUEOSTOMIA 12 FR INFANTIL</t>
  </si>
  <si>
    <t xml:space="preserve">SISTEMA FECHADO DE ASPIRAÇÃO TRAQUEAL VIA CÂNULA DE TRAQUEOSTOMIA INFANTIL 12FR, ESTÉRIL. Tamanho/Capacidade: infantil-12 FR,adaptável a cânulas de traqueostomia de tamanhos 6.0 e 6.5,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012285. </t>
  </si>
  <si>
    <t>SISTEMA FECHADO DE ASPIRAÇÃO TRAQUEAL ADULTO 14 FR</t>
  </si>
  <si>
    <t xml:space="preserve">SISTEMA FECHADO DE ASPIRAÇÃO TRAQUEAL VIA CÂNULA DE TRAQUEOSTOMIA ADULTO 14FR, ESTÉRIL. Tamanho/Capacidade: adulto-14 FR,adaptável a cânulas de traqueostomia de tamanhos 7.0 e 7.5,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012287. </t>
  </si>
  <si>
    <t>707/2020</t>
  </si>
  <si>
    <t>708/2020</t>
  </si>
  <si>
    <t>709/2020</t>
  </si>
  <si>
    <t>Tinha sido suspenso em 16/10/2020 por falta de recurso financeiro</t>
  </si>
  <si>
    <t>Tinha sido suspenso em 27/10/2020 por falta de recurso financeiro</t>
  </si>
  <si>
    <t>Tinha sido suspenso em 29/10/2020 por falta de recurso financeiro</t>
  </si>
  <si>
    <t>Tinha sido suspenso em 04/11/2020 por falta de recurso financeiro</t>
  </si>
  <si>
    <t>Tinha sido suspenso em 09/11/2020 por falta de recurso financeiro</t>
  </si>
  <si>
    <t>710/2020</t>
  </si>
  <si>
    <t>711/2020</t>
  </si>
  <si>
    <t>712/2020</t>
  </si>
  <si>
    <t>713/2020</t>
  </si>
  <si>
    <t>714/2020</t>
  </si>
  <si>
    <t>715/2020</t>
  </si>
  <si>
    <t>716/2020</t>
  </si>
  <si>
    <t>717/2020</t>
  </si>
  <si>
    <t>718/2020</t>
  </si>
  <si>
    <t>719/2020</t>
  </si>
  <si>
    <t>720/2020</t>
  </si>
  <si>
    <t>721/2020</t>
  </si>
  <si>
    <t>722/2020</t>
  </si>
  <si>
    <t>723/2020</t>
  </si>
  <si>
    <t>724/2020</t>
  </si>
  <si>
    <t>725/2020</t>
  </si>
  <si>
    <t>726/2020</t>
  </si>
  <si>
    <t>727/2020</t>
  </si>
  <si>
    <t>728/2020</t>
  </si>
  <si>
    <t>729/2020</t>
  </si>
  <si>
    <t>730/2020</t>
  </si>
  <si>
    <t>731/2020</t>
  </si>
  <si>
    <t>732/2020</t>
  </si>
  <si>
    <t>733/2020</t>
  </si>
  <si>
    <t>734/2020</t>
  </si>
  <si>
    <t>00060-00493454/2020-51</t>
  </si>
  <si>
    <t>mas de 30 dias</t>
  </si>
  <si>
    <t>735/2020</t>
  </si>
  <si>
    <t>736/2020</t>
  </si>
  <si>
    <t>737/2020</t>
  </si>
  <si>
    <t>738/2020</t>
  </si>
  <si>
    <t>739/2020</t>
  </si>
  <si>
    <t>740/2020</t>
  </si>
  <si>
    <t>741/2020</t>
  </si>
  <si>
    <t>742/2020</t>
  </si>
  <si>
    <t>743/2020</t>
  </si>
  <si>
    <t>SENSOR DE OXIMETRIA PARA EQUIPAMENTO OXP10 - EMAI. 1</t>
  </si>
  <si>
    <t>Sensor neonatal tipo Y universal, confeccionado em silicone hospitalar de fácil limpeza e durabilidade, com cabo flexível de aproximadamente 3 m, com qualidade de leitura da saturação e frequência cardíaca do paciente. Os conectores devem seguir todas as normas e padrões internacionais, compatíveis com diversos modelos e marcas de oxímetros e monitores, podendo ser utilizados para uma checagem rápida ou monitoramento longo e continuo.'</t>
  </si>
  <si>
    <t xml:space="preserve">Sensor neonatal tipo Y </t>
  </si>
  <si>
    <t>LAMPÂDA PARA FOCO CIRURGICO, COMPATIVEL COM A MARCA MAQUET, MOD. BLUE - 80, REF. 64668 X IR 80W 22,8V.</t>
  </si>
  <si>
    <t>LAMPÂDA PARA FOCO CIRURGICO</t>
  </si>
  <si>
    <t>CENTRAL ABASTECIDA</t>
  </si>
  <si>
    <t>LUCIANA RAMOS SALES</t>
  </si>
  <si>
    <t>10/11/2020</t>
  </si>
  <si>
    <t>11/11/2020</t>
  </si>
  <si>
    <t>12/11/2020</t>
  </si>
  <si>
    <t>CATTIS</t>
  </si>
  <si>
    <t>MEDLINN PRODUTOS HOSPITALARES EIRELI ME</t>
  </si>
  <si>
    <t>MEDLINN PRODUTOS</t>
  </si>
  <si>
    <t>MEDLINN HOSPITALAR</t>
  </si>
  <si>
    <t>11.668.411/0001-76</t>
  </si>
  <si>
    <t>0542</t>
  </si>
  <si>
    <t>10984-8</t>
  </si>
  <si>
    <t>00060-00494373/2020-78</t>
  </si>
  <si>
    <t>00060-00494414/2020-26</t>
  </si>
  <si>
    <t>00060-00494397/2020-27</t>
  </si>
  <si>
    <t>744/2020</t>
  </si>
  <si>
    <t>745/2020</t>
  </si>
  <si>
    <t>746/2020</t>
  </si>
  <si>
    <t>00060-00493663/2020-02</t>
  </si>
  <si>
    <t>747/2020</t>
  </si>
  <si>
    <t>00060-00493751/2020-04</t>
  </si>
  <si>
    <t>748/2020</t>
  </si>
  <si>
    <t>00060-00493908/2020-93</t>
  </si>
  <si>
    <t>749/2020</t>
  </si>
  <si>
    <t>00060-00494588/2020-99</t>
  </si>
  <si>
    <t>750/2020</t>
  </si>
  <si>
    <t>SUPERA MED HOSPITALAR EIRELI</t>
  </si>
  <si>
    <t>SUELY MATOS</t>
  </si>
  <si>
    <t>34.921.773/0001-22</t>
  </si>
  <si>
    <t>SUPERA</t>
  </si>
  <si>
    <t>NL SUPERMEDICAL</t>
  </si>
  <si>
    <t>NL SUPERMEDICAL - NL PRODUTOS HOSPITALARES LTDA.</t>
  </si>
  <si>
    <t>NL SUPERMEDICAL (700820)</t>
  </si>
  <si>
    <t>PONTEIRA DESCARTÁVEL, POLIPROPILENO P/PIPETA MICROVOLUMÉTRICA 5 A 200 MCL PACOTE C/1000 UNIDADES. Estéril.</t>
  </si>
  <si>
    <t>Corte no SEI 00060-00402027/2020-71</t>
  </si>
  <si>
    <t>00060-00500942/2020-21</t>
  </si>
  <si>
    <t>00060-00501025/2020-64</t>
  </si>
  <si>
    <t>ETIQUETA AUTOADESIVA, Cor: Vermelho, Tamanho: 2cm x 1cm com os dizeres: ATENÇÃO! MEDICAMENTO DE ALTA VIGILÂNCIA.</t>
  </si>
  <si>
    <t>00060-00501186/2020-58</t>
  </si>
  <si>
    <t>751/2020</t>
  </si>
  <si>
    <t>752/2020</t>
  </si>
  <si>
    <t>753/2020</t>
  </si>
  <si>
    <t>Teste rápido para detecção de antígeno NS1 para o vírus da dengue. Aplicação (finalidade): Destinado à detecção qualitativa do antígeno NS1 para o vírus da dengue. Características adicionais: Teste imunocromatográfico rápido para a detecção qualitativa do antígeno NS1 para o vírus da dengue. Prazo de validade: No mínimo 75% da validade total registrada na embalagem do produto no momento da entrega. Embalagem: Teste embalado individualmente.</t>
  </si>
  <si>
    <t>TESTE DENGUE NS1</t>
  </si>
  <si>
    <t>00060-00502225/2020-34</t>
  </si>
  <si>
    <t>754/2020</t>
  </si>
  <si>
    <t>00060-00502043/2020-63</t>
  </si>
  <si>
    <t>755/2020</t>
  </si>
  <si>
    <t>00060-00501750/2020-32</t>
  </si>
  <si>
    <t>756/2020</t>
  </si>
  <si>
    <t>00060-00501676/2020-54</t>
  </si>
  <si>
    <t>757/2020</t>
  </si>
  <si>
    <t>00060-00501553/2020-13</t>
  </si>
  <si>
    <t>758/2020</t>
  </si>
  <si>
    <t>00060-00500874/2020-09</t>
  </si>
  <si>
    <t>759/2020</t>
  </si>
  <si>
    <t>00060-00500699/2020-41</t>
  </si>
  <si>
    <t>760/2020</t>
  </si>
  <si>
    <t>atendimento@ecosonic.com.br</t>
  </si>
  <si>
    <t>ECOSONIC</t>
  </si>
  <si>
    <t>P.ASS. 18/11</t>
  </si>
  <si>
    <t>400984 F</t>
  </si>
  <si>
    <t>400995 F</t>
  </si>
  <si>
    <t>3214</t>
  </si>
  <si>
    <t>33309-3</t>
  </si>
  <si>
    <t>ANDRÉ FELIPE / FERNANDO BRAYNER</t>
  </si>
  <si>
    <t>Consta estoque na Sede.</t>
  </si>
  <si>
    <t>Não dá faturamento mínimo.</t>
  </si>
  <si>
    <t>Processo de 2018 SEI 00060-00461680/2018-58 - cancelado 18112020 email</t>
  </si>
  <si>
    <t>00060-00503619/2020-18</t>
  </si>
  <si>
    <t>761/2020</t>
  </si>
  <si>
    <t>00060-00503664/2020-64</t>
  </si>
  <si>
    <t>762/2020</t>
  </si>
  <si>
    <t>00060-00503711/2020-70</t>
  </si>
  <si>
    <t>763/2020</t>
  </si>
  <si>
    <t>00060-00506140/2020-25</t>
  </si>
  <si>
    <t>764/2020</t>
  </si>
  <si>
    <t>00060-00506162/2020-95</t>
  </si>
  <si>
    <t>765/2020</t>
  </si>
  <si>
    <t>Email desistencia Tinha sido suspenso em 29/10/2020 por falta de recurso financeiro</t>
  </si>
  <si>
    <t>LÂMPADA TUBULAR, T8, LED, 9/10W, 60CM, LUZ BRANCA FRIA, BIVOLT, 6.500 K.</t>
  </si>
  <si>
    <t>LAMPADA LED 120cm 18w</t>
  </si>
  <si>
    <t>LAMPADA LED 60cm 9w</t>
  </si>
  <si>
    <t>DBLASSL (703930)</t>
  </si>
  <si>
    <t>00060-00506757/2020-41</t>
  </si>
  <si>
    <t>00060-00506841/2020-64</t>
  </si>
  <si>
    <t>00060-00507301/2020-06</t>
  </si>
  <si>
    <t>00060-00506953/2020-15</t>
  </si>
  <si>
    <t>00060-00507421/2020-03</t>
  </si>
  <si>
    <t>00060-00495950/2020-49</t>
  </si>
  <si>
    <t>766/2020</t>
  </si>
  <si>
    <t>767/2020</t>
  </si>
  <si>
    <t>768/2020</t>
  </si>
  <si>
    <t>769/2020</t>
  </si>
  <si>
    <t>770/2020</t>
  </si>
  <si>
    <t>771/2020</t>
  </si>
  <si>
    <t>00060-00504259/2020-63</t>
  </si>
  <si>
    <t>772/2020</t>
  </si>
  <si>
    <t>773/2020</t>
  </si>
  <si>
    <t>00060-00506501/2020-33</t>
  </si>
  <si>
    <t>774/2020</t>
  </si>
  <si>
    <t>00060-00506911/2020-84</t>
  </si>
  <si>
    <t>775/2020</t>
  </si>
  <si>
    <t>00060-00507380/2020-47</t>
  </si>
  <si>
    <t>776/2020</t>
  </si>
  <si>
    <t>00060-00507482/2020-62</t>
  </si>
  <si>
    <t>777/2020</t>
  </si>
  <si>
    <t>00060-00507537/2020-34</t>
  </si>
  <si>
    <t>778/2020</t>
  </si>
  <si>
    <t>00060-00507627/2020-25</t>
  </si>
  <si>
    <t>779/2020</t>
  </si>
  <si>
    <t>00060-00507687/2020-48</t>
  </si>
  <si>
    <t>780/2020</t>
  </si>
  <si>
    <t>00060-00507750/2020-46</t>
  </si>
  <si>
    <t>781/2020</t>
  </si>
  <si>
    <t>00060-00507914/2020-35</t>
  </si>
  <si>
    <t>782/2020</t>
  </si>
  <si>
    <t>ULT04</t>
  </si>
  <si>
    <t>Conserto do Ultrassom, marca: SONOSITE, modelo: M-TURBO, nº Patrimônio 132.753.</t>
  </si>
  <si>
    <t>00060-00508096/2020-98</t>
  </si>
  <si>
    <t>783/2020</t>
  </si>
  <si>
    <t>REF08</t>
  </si>
  <si>
    <t>REF09</t>
  </si>
  <si>
    <t>REF10</t>
  </si>
  <si>
    <t>Conserto de REFRIGERADOR , MARCA ELETROSPITALAR, SERIE 171155, PAT. 1352608.</t>
  </si>
  <si>
    <t>Conserto de REFRIGERADOR , MARCA ELETROSPITALAR, SERIE 171144, PAT. 1352609</t>
  </si>
  <si>
    <t>Conserto de REFRIGERADOR , MARCA ELETROSPITALAR, SERIE 171148, PAT. 1352610.</t>
  </si>
  <si>
    <t>784/2020</t>
  </si>
  <si>
    <t>00060-00510120/2020-59</t>
  </si>
  <si>
    <t>00060-00510190/2020-15</t>
  </si>
  <si>
    <t>785/2020</t>
  </si>
  <si>
    <t>00060-00510263/2020-61</t>
  </si>
  <si>
    <t>00060-00510335/2020-70</t>
  </si>
  <si>
    <t>786/2020</t>
  </si>
  <si>
    <t>00060-00510418/2020-69</t>
  </si>
  <si>
    <t>787/2020</t>
  </si>
  <si>
    <t>00060-00510550/2020-71</t>
  </si>
  <si>
    <t>788/2020</t>
  </si>
  <si>
    <t>00060-00510627/2020-11</t>
  </si>
  <si>
    <t>789/2020</t>
  </si>
  <si>
    <t>00060-00510973/2020-91</t>
  </si>
  <si>
    <t>790/2020</t>
  </si>
  <si>
    <t>791/2020</t>
  </si>
  <si>
    <t>faturamentolicitacoes@uniaoquimica.com.br</t>
  </si>
  <si>
    <t>UNIAO QUIMICA</t>
  </si>
  <si>
    <t>kcaetano@uniaoquimica.com.br</t>
  </si>
  <si>
    <t>UNIAO QUIMICA - CAETANO</t>
  </si>
  <si>
    <t>Produto do Empenho deveria ter sido entregue em 22/11/2020.</t>
  </si>
  <si>
    <t>00060-00515749/2020-95</t>
  </si>
  <si>
    <t>792/2020</t>
  </si>
  <si>
    <t>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t>
  </si>
  <si>
    <t>793/2020</t>
  </si>
  <si>
    <t>ALTERADO A DESCRIÇÃO NO SIS DE 30G PARA 40G</t>
  </si>
  <si>
    <t>rosangela.pereira@wiener-lab.com.br</t>
  </si>
  <si>
    <t>erica.navarro@wiener-lab.com.br</t>
  </si>
  <si>
    <t>00060-00512962/2020-45</t>
  </si>
  <si>
    <t>794/2020</t>
  </si>
  <si>
    <t>795/2020</t>
  </si>
  <si>
    <t>00060-00512872/2020-54</t>
  </si>
  <si>
    <t>796/2020</t>
  </si>
  <si>
    <t>MEDLINN PRODUTOS (703463)</t>
  </si>
  <si>
    <t xml:space="preserve">Única proposta com valor abaixo do faturamento mínimo indicado. </t>
  </si>
  <si>
    <t>ITS FACILITIE</t>
  </si>
  <si>
    <t>itsservicosgerais@gmail.com</t>
  </si>
  <si>
    <t>00060-00517344/2020-91</t>
  </si>
  <si>
    <t>797/2020</t>
  </si>
  <si>
    <t>00060-00517812/2020-28</t>
  </si>
  <si>
    <t>798/2020</t>
  </si>
  <si>
    <t>TOTAL RESGATE</t>
  </si>
  <si>
    <t>FALTA NF E  ATESTO</t>
  </si>
  <si>
    <t>00060-00514944/2020-06</t>
  </si>
  <si>
    <t>799/2020</t>
  </si>
  <si>
    <t>00060-00516818/2020-88</t>
  </si>
  <si>
    <t>800/2020</t>
  </si>
  <si>
    <t>00060-00517380/2020-55</t>
  </si>
  <si>
    <t>801/2020</t>
  </si>
  <si>
    <t>LEVOMEPROMAZINA SOLUÇÃO</t>
  </si>
  <si>
    <t>LEVOMEPROMAZINA SOLUCAO ORAL 4 % FRASCO 20 ML</t>
  </si>
  <si>
    <t>00060-00518704/2020-72</t>
  </si>
  <si>
    <t>802/2020</t>
  </si>
  <si>
    <t>00060-00518708/2020-51</t>
  </si>
  <si>
    <t>803/2020</t>
  </si>
  <si>
    <t>21.4166.819/0001-04</t>
  </si>
  <si>
    <t>SEM SALDO NO SIS</t>
  </si>
  <si>
    <t>00060-00521685/2020-61</t>
  </si>
  <si>
    <t>804/2020</t>
  </si>
  <si>
    <t>00060-00521661/2020-11</t>
  </si>
  <si>
    <t>805/2020</t>
  </si>
  <si>
    <t>00060-00521624/2020-02</t>
  </si>
  <si>
    <t>806/2020</t>
  </si>
  <si>
    <t>00060-00521550/2020-04</t>
  </si>
  <si>
    <t>807/2020</t>
  </si>
  <si>
    <t>CANCELADA pois a empresa RIOCLARENSE 1ª Colocada apresentou FATURAMENTO MÍNIMO DE R$ 500,00 na proposta de preços. NÃO FOI ADJUDICADO para a 2ª Colacada pois apresentou na proposta de preços VALOR EXORBITANTE.</t>
  </si>
  <si>
    <t>00060-00526396/2020-59</t>
  </si>
  <si>
    <t>808/2020</t>
  </si>
  <si>
    <t>00060-00528951/2020-87</t>
  </si>
  <si>
    <t>809/2020</t>
  </si>
  <si>
    <t>CANETA DE BISTURI ELETROCIRÚRGICA AUTOCLAVAVEL.</t>
  </si>
  <si>
    <t>CANETA DE BISTURI ELETROCIRÚRGICA AUTOCLAVAVEL. Aplicação: Cirurgias que necessitam de corte preciso e eletrocoagulação. Material: Deve possuir ranhuras no corpo para manter a firmeza e evitar deslize. Deve ter revestimento isolante e oeletrodo de inox revestido   com material termo resistente. Tamanho/capacidade: Canetamedindo 136 mm variação (+/-)  15 mm e o  eletrodo medindo 74 mm variação (+/-)  3 mm. Característica: As canetas eletrocirúrgicas, devem possuir cabo fixo no corpo da caneta, a cabeça da canetadeve ser removível para possibilitar a  troca  do eletrodo, este deve ser tipo faca, de aço inoxidável e encaixe hexagonal, permitindo um posicionamento, evitando que o mesmo saia de posição durante o uso. Acionamento de corte e coagulaçãopor botões (cores  diferentes) no corpo da caneta. Deve possuir sistema de segurança (isolamento) para evitar que líquidos entrem em contato com os sistemas elétricos.  Cabo de silicone, com três metros de comprimento, conector de três pinos para conexão com todos os tipos de equipamentos de bisturi do mercado. Devem suportar autoclavagem em temperatura de 134ºC.  Processo de Esterilização: Não estéril. Forma de apresentação: Unidade. Prazo de Validade: Indeterminado. Unidade de estoque: Unidade.</t>
  </si>
  <si>
    <t>00060-00531722/2020-40</t>
  </si>
  <si>
    <t>810/2020</t>
  </si>
  <si>
    <t>00060-00531626/2020-00</t>
  </si>
  <si>
    <t>811/2020</t>
  </si>
  <si>
    <t>assinado contrato de fornecimento SES</t>
  </si>
  <si>
    <t>812/2020</t>
  </si>
  <si>
    <t>00060-00531770/2020-38</t>
  </si>
  <si>
    <t>00060-00531662/2020-65</t>
  </si>
  <si>
    <t>813/2020</t>
  </si>
  <si>
    <t>00060-00512912/2020-68</t>
  </si>
  <si>
    <t>00060-00538517/2020-13</t>
  </si>
  <si>
    <t>814/2020</t>
  </si>
  <si>
    <t>EPA01</t>
  </si>
  <si>
    <t>EMENDA PARLAMENTAR DESPESA CAPITAL</t>
  </si>
  <si>
    <t>BIOPHAR</t>
  </si>
  <si>
    <t>vendas1biopharmedicamentos@gmail.com</t>
  </si>
  <si>
    <t>02/12/2020</t>
  </si>
  <si>
    <t>03/12/2020</t>
  </si>
  <si>
    <t>00060-00539156/2020-14</t>
  </si>
  <si>
    <t>815/2020</t>
  </si>
  <si>
    <t>00060-00539178/2020-84</t>
  </si>
  <si>
    <t>816/2020</t>
  </si>
  <si>
    <t>00060-00539216/2020-07</t>
  </si>
  <si>
    <t>817/2020</t>
  </si>
  <si>
    <t>00060-00539261/2020-53</t>
  </si>
  <si>
    <t>818/2020</t>
  </si>
  <si>
    <t>00060-00539293/2020-59</t>
  </si>
  <si>
    <t>819/2020</t>
  </si>
  <si>
    <t>00060-00539336/2020-04</t>
  </si>
  <si>
    <t>820/2020</t>
  </si>
  <si>
    <t>00060-00539369/2020-46</t>
  </si>
  <si>
    <t>821/2020</t>
  </si>
  <si>
    <t>00060-00540060/2020-07</t>
  </si>
  <si>
    <t>822/2020</t>
  </si>
  <si>
    <t>00060-00540100/2020-11</t>
  </si>
  <si>
    <t>823/2020</t>
  </si>
  <si>
    <t>00060-00540152/2020-89</t>
  </si>
  <si>
    <t>824/2020</t>
  </si>
  <si>
    <t>00060-00540180/2020-04</t>
  </si>
  <si>
    <t>825/2020</t>
  </si>
  <si>
    <t>00060-00541521/2020-51</t>
  </si>
  <si>
    <t>826/2020</t>
  </si>
  <si>
    <t>00060-00543933/2020-25</t>
  </si>
  <si>
    <t>827/2020</t>
  </si>
  <si>
    <t>00060-00541927/2020-33</t>
  </si>
  <si>
    <t>828/2020</t>
  </si>
  <si>
    <t>00060-00541706/2020-65</t>
  </si>
  <si>
    <t>829/2020</t>
  </si>
  <si>
    <t>00060-00540268/2020-18</t>
  </si>
  <si>
    <t>830/2020</t>
  </si>
  <si>
    <t>00060-00544318/2020-36</t>
  </si>
  <si>
    <t>831/2020</t>
  </si>
  <si>
    <t>00060-00543917/2020-32</t>
  </si>
  <si>
    <t>832/2020</t>
  </si>
  <si>
    <t>CAMISOLA ADULTO Tamanho G. De acordo com as normas ABNT NBR 16060:2012; NBR 14726:2001 e NBR 12071:2002.</t>
  </si>
  <si>
    <t xml:space="preserve">CAMISOLA ADULTO Tamanho G. De acordo com as normas ABNT NBR 16060:2012; NBR 14726:2001 e NBR 12071:2002. Aplicação: para pacientes adultos. Material: tecido tela pré-lavado e pré encolhido, liso, cor amarelo claro, em tecido composição sarja 2:1;  67% poliéster e 33% algodão, gramatura mínima 225 gr/m², com variação de ±5%. Linha 100% algodão. Manequim: 44/46. Características: conjunto feito com costura dupla com linha 100% algodão, com acabamento em overlock com linha 100% algodão.
MEDIDAS:
Comprimento total (soma da extensão posterior do tronco com o comprimento da cintura ao terço distal da coxa): 120 cm
comprimento da cintura ao terço distal da coxa): 120 cm
Perímetro do pescoço: 41 cm
Perímetro do tórax: 110 cm
Contorno de cava: 53 cm
Comprimento manga curta: 24,5 cm
Perímetro do bíceps: 40 cm
Comprimento ombro a ombro: 50 cm
Extensão posterior do tronco: 47 cm
Dimensões dos bolsos: 20 X 16 cm
Decote redondo com gola careca. Fechamento transpassado da camisola com velcro com costura reforçada. O transpasse interno deverá ser fixado com duas tiras de 3 cm de largura e 20 cm de comprimento, com velcro, que atravessam duas pequenas aberturas na lateral da camisola (A primeira abertura deverá ser a 5 cm abaixo da cava e, a segunda, na cintura). As tiras deverão se fixar, separadamente, na lateral direita. O transpasse externo também deverá ser fixado com velco no ombro esquerdo, descendo até 10 cm abaixo da cintura. Gola com 3 cm de largura e barras das mangas e da camisola com 5 cm de largura. A camisola deverá possuir dois bolsos, um em cada lateral inferior, medindo 20 X 16 cm. A camisola deverá ter etiqueta indicando o nome da peça e o tamanho.
Tingimento do tecido em Idanthrem, gramatura mínima 225 gr/m², com variação de ±5%. Variação de medidas do produto acabado ± 2 cm.
Apresentar na parte frontal superior esquerda da camisola a logomarca SES-DF medindo 15x15cm na cor preta tingida em Idanthrem.
Forma de Apresentação: embalagem primária em saco plástico com no máximo 10 unidades e secundária em caixa de papelão com no máximo 100 unidades. Unidade de Estoque: Unidade. Unidade de fornecimento: Unidade.
</t>
  </si>
  <si>
    <t>00060-00543886/2020-10</t>
  </si>
  <si>
    <t>833/2020</t>
  </si>
  <si>
    <t xml:space="preserve">CONJUNTO PRIVATIVO ENFERMAGEM CENTRO CIRÚRGICO E HEMODINÂMICA Tamanho M.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t>
  </si>
  <si>
    <t>CONJUNTO PRIVATIVO ENFERMAGEM CENTRO CIRÚRGICO E HEMODINÂMICA  Tamanho M. De acordo com as normas ABNT NBR 16060:2012; NBR 14726:2001 e NBR 12071:2002.</t>
  </si>
  <si>
    <t>00060-00543834/2020-43</t>
  </si>
  <si>
    <t>834/2020</t>
  </si>
  <si>
    <t>ROLO DE POSICIONAMENTO,Características Mínimas: grande. Confeccionado em espuma; revestido em couvin, medindo 60 x 20 cm (variação de +/- 5%).
Código do Item: 3.3.90.30.36.01.1503.000003-01</t>
  </si>
  <si>
    <t>ROLO DE POSICIONAMENTO,</t>
  </si>
  <si>
    <t>00060-00543793/2020-95</t>
  </si>
  <si>
    <t>835/2020</t>
  </si>
  <si>
    <t>00060-00543669/2020-20</t>
  </si>
  <si>
    <t>836/2020</t>
  </si>
  <si>
    <t>00060-00541870/2020-72</t>
  </si>
  <si>
    <t>837/2020</t>
  </si>
  <si>
    <t>00060-00543379/2020-86</t>
  </si>
  <si>
    <t>838/2020</t>
  </si>
  <si>
    <t>00060-00543420/2020-14</t>
  </si>
  <si>
    <t>839/2020</t>
  </si>
  <si>
    <t>203/2022</t>
  </si>
  <si>
    <t>00060-00543438/2020-16</t>
  </si>
  <si>
    <t>840/2020</t>
  </si>
  <si>
    <t>841/2020</t>
  </si>
  <si>
    <t>00060-00543536/2020-53</t>
  </si>
  <si>
    <t>00060-00544438/2020-33</t>
  </si>
  <si>
    <t>842/2020</t>
  </si>
  <si>
    <t>00060-00544517/2020-44</t>
  </si>
  <si>
    <t>843/2020</t>
  </si>
  <si>
    <t xml:space="preserve">Devolução </t>
  </si>
  <si>
    <t>william.brasilia@gmail.com</t>
  </si>
  <si>
    <t>MEDCOMERCE - WILLIAN</t>
  </si>
  <si>
    <t>844/2020</t>
  </si>
  <si>
    <t>845/2020</t>
  </si>
  <si>
    <t>846/2020</t>
  </si>
  <si>
    <t>847/2020</t>
  </si>
  <si>
    <t>PINÇA DE DISSECÇÃO Anatômica SEM DENTE 16cm: Aplicação: uso médico - Tipo: instrumental para dissecção anatômica; Material: em aço inoxidável -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</si>
  <si>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PINÇA DE DISSECÇÃO Anatômica COM DENTE 16cm: Aplicação: uso médico. Tipo: instrumental para dissecção anatômica; Material: em aço inoxidável.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t>
  </si>
  <si>
    <t>00060-00546652/2020-24</t>
  </si>
  <si>
    <t>00060-00546820/2020-81</t>
  </si>
  <si>
    <t>FALTA DE RECURSO</t>
  </si>
  <si>
    <t>00060-00547000/2020-15</t>
  </si>
  <si>
    <t>00060-00547078/2020-21</t>
  </si>
  <si>
    <t>CODIGO FOI LIBERADO, MAS NAO FOI ATIVADO.</t>
  </si>
  <si>
    <t>DESERTO - ,4 PUBLICAÇÕES</t>
  </si>
  <si>
    <t>00060-00546971/2020-30</t>
  </si>
  <si>
    <t>848/2020</t>
  </si>
  <si>
    <t>00060-00546777/2020-54</t>
  </si>
  <si>
    <t>849/2020</t>
  </si>
  <si>
    <t>00060-00546730/2020-91</t>
  </si>
  <si>
    <t>850/2020</t>
  </si>
  <si>
    <t>00060-00546818/2020-11</t>
  </si>
  <si>
    <t>851/2020</t>
  </si>
  <si>
    <t>sem recursos financeiros</t>
  </si>
  <si>
    <t>natalia.amaral@strattner.com.br</t>
  </si>
  <si>
    <t>Cotação 793/2020 em andamento.</t>
  </si>
  <si>
    <t>00060-00548958/2020-15</t>
  </si>
  <si>
    <t>852/2020</t>
  </si>
  <si>
    <t>mvolpi@uniaoquimica.com.br</t>
  </si>
  <si>
    <t>UNIAO QUIMICA - Mariney</t>
  </si>
  <si>
    <t>00060-00549762/2020-48</t>
  </si>
  <si>
    <t>00060-00549715/2020-02</t>
  </si>
  <si>
    <t>854/2020</t>
  </si>
  <si>
    <t>00060-00547679/2020-34</t>
  </si>
  <si>
    <t>855/2020</t>
  </si>
  <si>
    <t>00060-00547707/2020-13</t>
  </si>
  <si>
    <t>856/2020</t>
  </si>
  <si>
    <t>00060-00547731/2020-52</t>
  </si>
  <si>
    <t>857/2020</t>
  </si>
  <si>
    <t>CASSETE HISTOLÓGICO, Material: plástico, Unidade de fornecimento: pacote/caixa com 500 unidades</t>
  </si>
  <si>
    <t>CASSETE HISTOLÓGICO</t>
  </si>
  <si>
    <t>00060-00548156/2020-13</t>
  </si>
  <si>
    <t>858/2020</t>
  </si>
  <si>
    <t>11/12/220</t>
  </si>
  <si>
    <t>00060-00549660/2020-22</t>
  </si>
  <si>
    <t>859/2020</t>
  </si>
  <si>
    <t>853/2020</t>
  </si>
  <si>
    <t>SEM PROPOSTAS</t>
  </si>
  <si>
    <t>JAIRO SANTOS</t>
  </si>
  <si>
    <t>CERTIDÕES PARA 04/12/2020</t>
  </si>
  <si>
    <t>CERTIDÕES PARA 31/12/2020</t>
  </si>
  <si>
    <t>00060-00554764/2020-59</t>
  </si>
  <si>
    <t>860/2020</t>
  </si>
  <si>
    <t>00060-00548316/2020-16</t>
  </si>
  <si>
    <t>861/2020</t>
  </si>
  <si>
    <t>1381825 F</t>
  </si>
  <si>
    <t>125 F</t>
  </si>
  <si>
    <t>126 F</t>
  </si>
  <si>
    <t>135688 F</t>
  </si>
  <si>
    <t>1193 F</t>
  </si>
  <si>
    <t>417377 F</t>
  </si>
  <si>
    <t>417391 F</t>
  </si>
  <si>
    <t>417512 F</t>
  </si>
  <si>
    <t>.PASS 22/12</t>
  </si>
  <si>
    <t>ITATIAIA (703193)</t>
  </si>
  <si>
    <t>SEM SALDO PARA 2020</t>
  </si>
  <si>
    <t>CORTE - SEDE ABASTECIDA</t>
  </si>
  <si>
    <t>CIRURTECH  (703865)</t>
  </si>
  <si>
    <t>CORTE POR FALTA DE RECURSO FINANCEIRO</t>
  </si>
  <si>
    <t>CFC COMÉRCIO DE PRODUTOS HOSPITALARES EIRELI EPP</t>
  </si>
  <si>
    <t>38.082.407/0001-88</t>
  </si>
  <si>
    <t>21511-4</t>
  </si>
  <si>
    <t>JACKSON SOARES ANDRADE</t>
  </si>
  <si>
    <t>CFC</t>
  </si>
  <si>
    <t>CFC COMÉRCIO (704044)</t>
  </si>
  <si>
    <t>Repasse E (023063)</t>
  </si>
  <si>
    <t>Repasse (020931)</t>
  </si>
  <si>
    <t>EXCELENCIA  (703060)</t>
  </si>
  <si>
    <t>amm 90cursos financeiros</t>
  </si>
  <si>
    <t>cpm 90cursos financeiros</t>
  </si>
  <si>
    <t>pcm 91cursos financeiros</t>
  </si>
  <si>
    <t>unm 92cursos financeiros</t>
  </si>
  <si>
    <t>unm 36cursos financeiros</t>
  </si>
  <si>
    <t>prm 20cursos financeiros</t>
  </si>
  <si>
    <t>unm 91cursos financeiros</t>
  </si>
  <si>
    <t>unm 34cursos financeiros</t>
  </si>
  <si>
    <t>unm 15cursos financeiros</t>
  </si>
  <si>
    <t>unm 95cursos financeiros</t>
  </si>
  <si>
    <t>frm 56cursos financeiros</t>
  </si>
  <si>
    <t>unm 11cursos financeiros</t>
  </si>
  <si>
    <t>unm 90cursos financeiros</t>
  </si>
  <si>
    <t>frm 10cursos financeiros</t>
  </si>
  <si>
    <t>sem epcursos financeiros</t>
  </si>
  <si>
    <t>dgm 90cursos financeiros</t>
  </si>
  <si>
    <t>frm 90cursos financeiros</t>
  </si>
  <si>
    <t>bsm 90cursos financeiros</t>
  </si>
  <si>
    <t>frm 88cursos financeiros</t>
  </si>
  <si>
    <t>unm 19cursos financeiros</t>
  </si>
  <si>
    <t>unm 51cursos financeiros</t>
  </si>
  <si>
    <t>unm 63cursos financeiros</t>
  </si>
  <si>
    <t>mhm 20cursos financeiros</t>
  </si>
  <si>
    <t>cóm 35cursos financeiros</t>
  </si>
  <si>
    <t>unm 33cursos financeiros</t>
  </si>
  <si>
    <t>uim 19cursos financeiros</t>
  </si>
  <si>
    <t>unm 31cursos financeiros</t>
  </si>
  <si>
    <t>unm 20cursos financeiros</t>
  </si>
  <si>
    <t>unm 12cursos financeiros</t>
  </si>
  <si>
    <t>unm 23cursos financeiros</t>
  </si>
  <si>
    <t>uam 20cursos financeiros</t>
  </si>
  <si>
    <t>fam 90cursos financeiros</t>
  </si>
  <si>
    <t>unm 18cursos financeiros</t>
  </si>
  <si>
    <t>rlm 32cursos financeiros</t>
  </si>
  <si>
    <t>unm 81cursos financeiros</t>
  </si>
  <si>
    <t>unm 35cursos financeiros</t>
  </si>
  <si>
    <t>enm 92cursos financeiros</t>
  </si>
  <si>
    <t>pam 92cursos financeiros</t>
  </si>
  <si>
    <t>PGTO ANTERIOR</t>
  </si>
  <si>
    <t>daniel.pellissaro@geneticabrasil.com.br</t>
  </si>
  <si>
    <t>GENETICA - DANIEL</t>
  </si>
  <si>
    <t>GENETICA</t>
  </si>
  <si>
    <t>00060-00005534/2021-41</t>
  </si>
  <si>
    <t>JULIANA</t>
  </si>
  <si>
    <t>casadaconstrucao21@gmail.com</t>
  </si>
  <si>
    <t>CONJUNTO PRIVATIVO LAVANDERIA Tamanho G. De acordo com as normas ABNT NBR 16060:2012; NBR 14726:2001 e NBR 12071:2002. Aplicação: para servidor que atua na Lavanderia. Material: tecido tela pré-lavado e pré encolhido, liso, cor marrom escuro, em tecido composição sarja 2:1;  67% poliéster e 33% algodão, gramatura mínima 225 gr/m², com variação de ±5%. Linha 100% algodão. Manequim: 44/46. Características: conjunto feito com costura dupla com linha 100% algodão, com acabamento em overlock com linha 100% algodão. MEDIDAS:CAMISA: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LAVANDERIA,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t>
  </si>
  <si>
    <t>CADASTRAR</t>
  </si>
  <si>
    <t>1000 MARCAS ()</t>
  </si>
  <si>
    <t>ACCORD ()</t>
  </si>
  <si>
    <t>ACRILPLAC (702856)</t>
  </si>
  <si>
    <t>ACRILPLAC (CLEIDSON SOUSA AGUIAR 56339445187)</t>
  </si>
  <si>
    <t>ACRILPLAC</t>
  </si>
  <si>
    <t>ADESIFLEX  (702832)</t>
  </si>
  <si>
    <t>AIR LIQUIDE 0029 (703813)</t>
  </si>
  <si>
    <t>AIR LIQUIDE 0029 (AIR LIQUIDE BRASIL LTDA)</t>
  </si>
  <si>
    <t>ANA PAULA LOPES</t>
  </si>
  <si>
    <t>00.331.788/0029-10</t>
  </si>
  <si>
    <t>AIR LIQUIDE 0029</t>
  </si>
  <si>
    <t>AIR LIQUIDE 0058 (702036)</t>
  </si>
  <si>
    <t>AIR LIQUIDE 0058 (AIR LIQUIDE BRASIL LTDA)</t>
  </si>
  <si>
    <t>AIR LIQUIDE 0058</t>
  </si>
  <si>
    <t>AJUSTE SERVICE ()</t>
  </si>
  <si>
    <t>AJUSTE SERVICE INFORMÁTICA</t>
  </si>
  <si>
    <t>26.863.778/0001-18</t>
  </si>
  <si>
    <t>AJUSTE SERVICE</t>
  </si>
  <si>
    <t>ALEX SARKIS ()</t>
  </si>
  <si>
    <t>ALIANÇA (703282)</t>
  </si>
  <si>
    <t>ALIANÇA HOSPITALAR LTDA</t>
  </si>
  <si>
    <t>21.368.399/0001-38</t>
  </si>
  <si>
    <t>ALIANÇA</t>
  </si>
  <si>
    <t>ALLIMED (700426)</t>
  </si>
  <si>
    <t>ALPHA  (700916)</t>
  </si>
  <si>
    <t>3.380-4</t>
  </si>
  <si>
    <t>AMICI (703993)</t>
  </si>
  <si>
    <t>AMICI COMÉRCIO E REPRESENTAÇÕES DE MEDICAMENTOS EIRELI</t>
  </si>
  <si>
    <t>LUCENY ALVES</t>
  </si>
  <si>
    <t>30.329.824/0001-70</t>
  </si>
  <si>
    <t>1181</t>
  </si>
  <si>
    <t>13.001.341-0</t>
  </si>
  <si>
    <t>AMICI</t>
  </si>
  <si>
    <t>ANMED ()</t>
  </si>
  <si>
    <t>AP TORTELLI (700021)</t>
  </si>
  <si>
    <t>ARS  (703124)</t>
  </si>
  <si>
    <t>ARS PAPELARIA INFORMÁTICA E SERVIÇOS - ME.</t>
  </si>
  <si>
    <t>ARTMED  (702071)</t>
  </si>
  <si>
    <t>2.901-7</t>
  </si>
  <si>
    <t>AWMED</t>
  </si>
  <si>
    <t>AS3 HOSPITALAR ()</t>
  </si>
  <si>
    <t>2.902-0</t>
  </si>
  <si>
    <t>ASTHAMED (701330)</t>
  </si>
  <si>
    <t>ASTROMEDICAL (704322)</t>
  </si>
  <si>
    <t>ASTROMEDICAL (WASHINGTON DO CARMO LOURES 60694050130)</t>
  </si>
  <si>
    <t>WASHINGTON</t>
  </si>
  <si>
    <t>40.052.237/0001-30</t>
  </si>
  <si>
    <t>ASTROMEDICAL</t>
  </si>
  <si>
    <t>ASTRO</t>
  </si>
  <si>
    <t>ATALAIA (702336)</t>
  </si>
  <si>
    <t>ATD DIAGNÓSTICA COMERCIO E IMPORTAÇÃO LTDA.</t>
  </si>
  <si>
    <t>1230-0</t>
  </si>
  <si>
    <t>130.349-0</t>
  </si>
  <si>
    <t>ATIVA (703219)</t>
  </si>
  <si>
    <t>AUDIOSONIC ()</t>
  </si>
  <si>
    <t>AUDIOSONIC EQUIPAMENTOS MÉDICOS LTDA</t>
  </si>
  <si>
    <t>JOÃO DE CASTRO</t>
  </si>
  <si>
    <t>03.490.615/0001-31</t>
  </si>
  <si>
    <t>AUDIOSONIC</t>
  </si>
  <si>
    <t>AUROBINDO (3875)</t>
  </si>
  <si>
    <t>AXON (703581)</t>
  </si>
  <si>
    <t>2024</t>
  </si>
  <si>
    <t>18.293-1</t>
  </si>
  <si>
    <t>BALONNY (701679)</t>
  </si>
  <si>
    <t>BASZI (701540)</t>
  </si>
  <si>
    <t>BAUMER (32)</t>
  </si>
  <si>
    <t>BBRAUN (257)</t>
  </si>
  <si>
    <t>BELBI (703418)</t>
  </si>
  <si>
    <t>BENENUTRI (702930)</t>
  </si>
  <si>
    <t>BHIO SUPPLY (703205)</t>
  </si>
  <si>
    <t>BHIO SUPPLY INDÚSTRIA E COMÉRCIO DE EQUIPAMENTOS MÉDICOS LTDA.</t>
  </si>
  <si>
    <t>BIOLINE (2929)</t>
  </si>
  <si>
    <t>BIOLINE FIOS CIRURGICOS LTDA</t>
  </si>
  <si>
    <t>RENATA CRISTINA DE SOUZA RODRIGUES</t>
  </si>
  <si>
    <t>37.844.479/0001-52</t>
  </si>
  <si>
    <t>3.206-9</t>
  </si>
  <si>
    <t>22.580-0</t>
  </si>
  <si>
    <t>BIOLINE</t>
  </si>
  <si>
    <t>BIOPLASMA (702938)</t>
  </si>
  <si>
    <t>BIOSYS (6514)</t>
  </si>
  <si>
    <t>BIOTÉCNICA (559)</t>
  </si>
  <si>
    <t>BMR (702779)</t>
  </si>
  <si>
    <t>BMR MEDICAL SA</t>
  </si>
  <si>
    <t>PAMELA RAQUEL PRUMZEL SANTOS</t>
  </si>
  <si>
    <t>07.213.544/0001-80</t>
  </si>
  <si>
    <t>1622-5</t>
  </si>
  <si>
    <t>40499-3</t>
  </si>
  <si>
    <t>BMR</t>
  </si>
  <si>
    <t>BR DANTAI (703557)</t>
  </si>
  <si>
    <t>Katherine / Vilma</t>
  </si>
  <si>
    <t>BRASALI ()</t>
  </si>
  <si>
    <t>BRASFREEZER (700048)</t>
  </si>
  <si>
    <t>BRASÍLIA CARTUCHOS (700981)</t>
  </si>
  <si>
    <t>BRASILIA COMERCIO (704233)</t>
  </si>
  <si>
    <t>BRASILIA COMERCIO ATACADISTA DE SUP DE PAPELARIA EIRELE</t>
  </si>
  <si>
    <t>34.698.137/0001-83</t>
  </si>
  <si>
    <t>41.234-1</t>
  </si>
  <si>
    <t>BRASILIA COMERCIO</t>
  </si>
  <si>
    <t>BRASILIA SCIENTIFIC (702726)</t>
  </si>
  <si>
    <t>BRASÍLIA UTILIDADES ()</t>
  </si>
  <si>
    <t>BRASMÉDICA (51)</t>
  </si>
  <si>
    <t>BRAZDI ()</t>
  </si>
  <si>
    <t>BRAZDI IMPORTAÇÃO EXPORTAÇÃO COMÉRCIO E SERVIÇOS DE PRODUTOS LABORATORIAIS EIRELI</t>
  </si>
  <si>
    <t>HENRIQUE HOSKEN</t>
  </si>
  <si>
    <t>08.845.041/0001-90</t>
  </si>
  <si>
    <t>1251-3</t>
  </si>
  <si>
    <t>115537-7</t>
  </si>
  <si>
    <t>BRAZDI</t>
  </si>
  <si>
    <t>BS MADEIRAS (700739)</t>
  </si>
  <si>
    <t>BSB COMERCIAL (703713)</t>
  </si>
  <si>
    <t>BSB COMERCIAL HOSPITALAR EIRELLI</t>
  </si>
  <si>
    <t>WELLINGTON</t>
  </si>
  <si>
    <t>04.925.272/0001-53</t>
  </si>
  <si>
    <t>0816</t>
  </si>
  <si>
    <t>13.000.769-3</t>
  </si>
  <si>
    <t>BSBC</t>
  </si>
  <si>
    <t>BSB DISTRIBUIÇÃO (700800)</t>
  </si>
  <si>
    <t>BSB GASES (702829)</t>
  </si>
  <si>
    <t>BSB MEDICAL (3958)</t>
  </si>
  <si>
    <t>BSD DROGARIA (702743)</t>
  </si>
  <si>
    <t>CALL MED (701484)</t>
  </si>
  <si>
    <t>CAMB (3055)</t>
  </si>
  <si>
    <t>CAMP MED (702584)</t>
  </si>
  <si>
    <t>CANTINHO DA MAMAE (703358)</t>
  </si>
  <si>
    <t>CAPITAL</t>
  </si>
  <si>
    <t>CARBOGRAFITE (704124)</t>
  </si>
  <si>
    <t>CARBOGRAFITE EQUIPAMENTOS INDUSTRIAIS LTDA</t>
  </si>
  <si>
    <t>VINICIOS MORAES</t>
  </si>
  <si>
    <t>36.427.615./0001-46</t>
  </si>
  <si>
    <t>CARBOGRAFITE</t>
  </si>
  <si>
    <t>CARDIOBRAS (1195)</t>
  </si>
  <si>
    <t>CASA DA QUIMICA (700119)</t>
  </si>
  <si>
    <t>CASA DAS ETIQUETAS (700559)</t>
  </si>
  <si>
    <t>CASA LIMPA ()</t>
  </si>
  <si>
    <t>CATTIS (703825)</t>
  </si>
  <si>
    <t>CATTIS MEDICAL Comércio e Importação de Materiais Hospitalares</t>
  </si>
  <si>
    <t>KEILLA</t>
  </si>
  <si>
    <t>CBA (700380)</t>
  </si>
  <si>
    <t>CDB ()</t>
  </si>
  <si>
    <t>CENTRAL MEDICA (3579)</t>
  </si>
  <si>
    <t>CENTRO OESTE COMERCIO (704036)</t>
  </si>
  <si>
    <t>CENTRO OESTE COMERCIO E DISTRIBUIÇÃO DE ALIMENTOS E UTILIDADES EIRELI. (NOVO GAMA)</t>
  </si>
  <si>
    <t>MATHEUS XAVIER GONTIJO DE GODOI</t>
  </si>
  <si>
    <t>29.573.676/0001-56</t>
  </si>
  <si>
    <t>311</t>
  </si>
  <si>
    <t>64.103-0</t>
  </si>
  <si>
    <t>CENTRO OESTE COMERCIO</t>
  </si>
  <si>
    <t>COCOMERCIO</t>
  </si>
  <si>
    <t>CENTRO OESTE HOSPITALAR (700502)</t>
  </si>
  <si>
    <t>CENTRO OESTE HOSPITALAR</t>
  </si>
  <si>
    <t>COHOSPITALAR</t>
  </si>
  <si>
    <t>CFB (703591)</t>
  </si>
  <si>
    <t>CFC (704044)</t>
  </si>
  <si>
    <t>1226-2</t>
  </si>
  <si>
    <t>83906-0</t>
  </si>
  <si>
    <t>CIA</t>
  </si>
  <si>
    <t>CID (703462)</t>
  </si>
  <si>
    <t>CIENTIFICA</t>
  </si>
  <si>
    <t>CINCOCONFIANÇA</t>
  </si>
  <si>
    <t>CIRURGICA ALSTYN (702916)</t>
  </si>
  <si>
    <t>CFERNANDES</t>
  </si>
  <si>
    <t>CRB</t>
  </si>
  <si>
    <t>CIRURTECH (703865)</t>
  </si>
  <si>
    <t>7823</t>
  </si>
  <si>
    <t>6200-6</t>
  </si>
  <si>
    <t>CIRURTECH</t>
  </si>
  <si>
    <t>CLASSE A ()</t>
  </si>
  <si>
    <t>CMC (702562)</t>
  </si>
  <si>
    <t>COBALTEC (700777)</t>
  </si>
  <si>
    <t>COLORADO (704160)</t>
  </si>
  <si>
    <t>COLORADO (DROGARIA BELA VISTA LTDA ME)</t>
  </si>
  <si>
    <t>ELVIS / CARLOS AUGUSTO</t>
  </si>
  <si>
    <t>06.926.940/0001-92</t>
  </si>
  <si>
    <t>55.385-1</t>
  </si>
  <si>
    <t>COLORADO</t>
  </si>
  <si>
    <t>COMERCIAL PLENITUDE (700777)</t>
  </si>
  <si>
    <t>COMERCIAL RIO (702481)</t>
  </si>
  <si>
    <t>COMLAB (3543)</t>
  </si>
  <si>
    <t>CONDOR (700787)</t>
  </si>
  <si>
    <t>CONFECÇÕES SÃO PAULO (700905)</t>
  </si>
  <si>
    <t>SAOPAULO</t>
  </si>
  <si>
    <t>CONFITECH (701796)</t>
  </si>
  <si>
    <t>CONTROL THERM ()</t>
  </si>
  <si>
    <t>CONTROL THERM AQUECIMENTO E REFRIGERAÇÃO LTDA</t>
  </si>
  <si>
    <t>CONVERGE ()</t>
  </si>
  <si>
    <t>CONVERGE SOLUÇÕES EM SAÚDE</t>
  </si>
  <si>
    <t>CONVERGE</t>
  </si>
  <si>
    <t>CRISTALIA</t>
  </si>
  <si>
    <t>CRUZEIRO (703877)</t>
  </si>
  <si>
    <t>CRUZEIRO</t>
  </si>
  <si>
    <t>CTA (703464)</t>
  </si>
  <si>
    <t>CTA CENTRO TECNÓLOGICO EM ADAPTAÇÕES LTDA - ME</t>
  </si>
  <si>
    <t>CTI (2046)</t>
  </si>
  <si>
    <t>CTI</t>
  </si>
  <si>
    <t>CVS (703292)</t>
  </si>
  <si>
    <t>D2MA (700796)</t>
  </si>
  <si>
    <t>DALIA HOSPITALAR (702700)</t>
  </si>
  <si>
    <t>3743</t>
  </si>
  <si>
    <t>13005404-6</t>
  </si>
  <si>
    <t>15.539.906/0001-56</t>
  </si>
  <si>
    <t>DEL GRANDI (701963)</t>
  </si>
  <si>
    <t>DELTA (702207)</t>
  </si>
  <si>
    <t>DELTRONIX (703599)</t>
  </si>
  <si>
    <t>DENTAL FORTE (703098)</t>
  </si>
  <si>
    <t>DENTAL PRINCIPAL (701032)</t>
  </si>
  <si>
    <t>0468017-0</t>
  </si>
  <si>
    <t>DIAGLAB (701027)</t>
  </si>
  <si>
    <t>DIMACI (1858)</t>
  </si>
  <si>
    <t>DIMENSIONAL (703898)</t>
  </si>
  <si>
    <t>DIRK (703322)</t>
  </si>
  <si>
    <t>DISPOMED (700858)</t>
  </si>
  <si>
    <t>DB</t>
  </si>
  <si>
    <t>DISTRIMIX ()</t>
  </si>
  <si>
    <t>DMG (3149)</t>
  </si>
  <si>
    <t>LUCAS SOUZA / FELIPE SEABRA</t>
  </si>
  <si>
    <t>DOMAX (703241)</t>
  </si>
  <si>
    <t>DROGALARES (703509)</t>
  </si>
  <si>
    <t>DROGARIA BRASIL (704194)</t>
  </si>
  <si>
    <t>DROGARIA BRASIL LTDA</t>
  </si>
  <si>
    <t>CLAUDIO</t>
  </si>
  <si>
    <t>00.372.383/0017-96</t>
  </si>
  <si>
    <t>65.194-X</t>
  </si>
  <si>
    <t>DROGARIA BRASIL</t>
  </si>
  <si>
    <t>00.372.383/0001-29</t>
  </si>
  <si>
    <t>DROGARIABRASIL</t>
  </si>
  <si>
    <t>DROGARIA LIBERAL ()</t>
  </si>
  <si>
    <t>DS</t>
  </si>
  <si>
    <t>DTUDO (701944)</t>
  </si>
  <si>
    <t>EASY (704134)</t>
  </si>
  <si>
    <t>EASY CIENTÍFICA COMÉRCIO DE PRODUTOS HOSPITALARES</t>
  </si>
  <si>
    <t>Veber de Castro</t>
  </si>
  <si>
    <t>36.886.490/0001-12</t>
  </si>
  <si>
    <t>49524-7</t>
  </si>
  <si>
    <t>EASY</t>
  </si>
  <si>
    <t>ECOLAR ()</t>
  </si>
  <si>
    <t>ECOLAR ENGENHARIA - LARISSA DA SILVA BERTANZIN  70475812190</t>
  </si>
  <si>
    <t>LARISSA BERTANZIN</t>
  </si>
  <si>
    <t>38.229.839/0001-79</t>
  </si>
  <si>
    <t>Nubank</t>
  </si>
  <si>
    <t>60.214.735-6</t>
  </si>
  <si>
    <t>ECOLAR</t>
  </si>
  <si>
    <t>ECOLOGIC ()</t>
  </si>
  <si>
    <t>EFICÁCIA (701959)</t>
  </si>
  <si>
    <t>ELÉTRICA ESTRELA (702334)</t>
  </si>
  <si>
    <t>ELETRO TERRÍVEL (2118)</t>
  </si>
  <si>
    <t>ELLO (702153)</t>
  </si>
  <si>
    <t>EMEDCAL (700674)</t>
  </si>
  <si>
    <t>EQUIPEMED (701187)</t>
  </si>
  <si>
    <t>EQUIPLEX (3147)</t>
  </si>
  <si>
    <t>ERIDATA (3793)</t>
  </si>
  <si>
    <t>ESTERILI MED (703076)</t>
  </si>
  <si>
    <t>ESTERILI MED – Indústria e Comércio de Produtos Médicos Hospitalares Ltda.</t>
  </si>
  <si>
    <t>00.252.903/0001-60</t>
  </si>
  <si>
    <t>3220-4</t>
  </si>
  <si>
    <t>20.128-6</t>
  </si>
  <si>
    <t>ESTERILI MED</t>
  </si>
  <si>
    <t>ESTERILI</t>
  </si>
  <si>
    <t>ETICA</t>
  </si>
  <si>
    <t>ETIFLEX ()</t>
  </si>
  <si>
    <t>EUROPA (2057)</t>
  </si>
  <si>
    <t>EXATECH (3941)</t>
  </si>
  <si>
    <t>EXCELENCIA (703060)</t>
  </si>
  <si>
    <t>2108</t>
  </si>
  <si>
    <t>13.001.433-0</t>
  </si>
  <si>
    <t>EXCELENCIA</t>
  </si>
  <si>
    <t>FABRICON ()</t>
  </si>
  <si>
    <t>FARMACE (1842)</t>
  </si>
  <si>
    <t>FARMACIA TOPAZIO (704190)</t>
  </si>
  <si>
    <t>FARMÁCIA TOPÁZIO LTDA.</t>
  </si>
  <si>
    <t>OLAVO LUIS DOS SANTOS</t>
  </si>
  <si>
    <t>00.117.408/0001-48</t>
  </si>
  <si>
    <t>FARMACIA TOPAZIO</t>
  </si>
  <si>
    <t>FARMACONN (3089)</t>
  </si>
  <si>
    <t>FARMAGREEN ()</t>
  </si>
  <si>
    <t>FARMATEX</t>
  </si>
  <si>
    <t>FARQUÍMICA (700633)</t>
  </si>
  <si>
    <t>FDF HOSPITALAR (702325)</t>
  </si>
  <si>
    <t>FERRAGENS BRILHAR (702404)</t>
  </si>
  <si>
    <t>FERRAGENS TENDTUDO (702713)</t>
  </si>
  <si>
    <t>FERRAGENS TENDTUDO LTDA EPP</t>
  </si>
  <si>
    <t>VILMAR / Yuri Alexandre</t>
  </si>
  <si>
    <t>FERRAGENS TENDTUDO</t>
  </si>
  <si>
    <t>FICXAR (703647)</t>
  </si>
  <si>
    <t>FJ</t>
  </si>
  <si>
    <t>FÓRMULAS MAGISTRAIS (702511)</t>
  </si>
  <si>
    <t>FORT ()</t>
  </si>
  <si>
    <t>FPS (703054)</t>
  </si>
  <si>
    <t>FRADEL (700651)</t>
  </si>
  <si>
    <t>FRAGA (702350)</t>
  </si>
  <si>
    <t>G.A.C. FREITAS (701309)</t>
  </si>
  <si>
    <t>13.000.702-6</t>
  </si>
  <si>
    <t>GA</t>
  </si>
  <si>
    <t>GAMACORP (700816)</t>
  </si>
  <si>
    <t>GENERAL MED (703200)</t>
  </si>
  <si>
    <t>GENERAL MED (C A BASTOS ME)</t>
  </si>
  <si>
    <t>LUIZ FERREIRA</t>
  </si>
  <si>
    <t>23.188.464/0001-79</t>
  </si>
  <si>
    <t>GENERAL MED</t>
  </si>
  <si>
    <t>GENESYS (703574)</t>
  </si>
  <si>
    <t>GENÉTICA (418)</t>
  </si>
  <si>
    <t>GO.MED (703791)</t>
  </si>
  <si>
    <t>GO.MED – DISTRIBUIDORA DE MEDICAMENTOS LTDA.</t>
  </si>
  <si>
    <t>17.114.621/0001-07</t>
  </si>
  <si>
    <t>38.120-9</t>
  </si>
  <si>
    <t>GO.MED</t>
  </si>
  <si>
    <t>GOMED</t>
  </si>
  <si>
    <t>GOIÂNIA (3392)</t>
  </si>
  <si>
    <t>GOLD GÁS (703034)</t>
  </si>
  <si>
    <t>GP (704221)</t>
  </si>
  <si>
    <t>GP (GILMAR PEREIRA COSTA 56453493187)</t>
  </si>
  <si>
    <t>22.624.925/0001-46</t>
  </si>
  <si>
    <t>GP</t>
  </si>
  <si>
    <t>GRANMEDICA (704305)</t>
  </si>
  <si>
    <t>GRANMEDICA (COUTINHO E FERNANDES PRODUTOS MEDICOS E HOSPITALARES LTDA)</t>
  </si>
  <si>
    <t>37.531.583/0001-97</t>
  </si>
  <si>
    <t>13.002.378-9</t>
  </si>
  <si>
    <t>GRANMEDICA</t>
  </si>
  <si>
    <t>GRIFOLS (702165)</t>
  </si>
  <si>
    <t>H &amp; F SALES (702232)</t>
  </si>
  <si>
    <t>HALEX ISTAR (259)</t>
  </si>
  <si>
    <t>HAOXI (702729)</t>
  </si>
  <si>
    <t>HAOXI EQUIPAMENTOS MÉDICOS HOSPITALARES LTDA.</t>
  </si>
  <si>
    <t>HCS (701782)</t>
  </si>
  <si>
    <t>HELP FARMA (701722)</t>
  </si>
  <si>
    <t>HEMOGRAM (5424)</t>
  </si>
  <si>
    <t>HEXAGON (704340)</t>
  </si>
  <si>
    <t>HEXAGON INDUSTRIA E COMERCIO DE IMPLANTES ORTOPEDICOS LTDA</t>
  </si>
  <si>
    <t>Fabio Ferola</t>
  </si>
  <si>
    <t>58.619.131/0001-31</t>
  </si>
  <si>
    <t>0052-3</t>
  </si>
  <si>
    <t>170.383-8</t>
  </si>
  <si>
    <t>HEXAGON</t>
  </si>
  <si>
    <t>HOLPEMED ()</t>
  </si>
  <si>
    <t>HOSPCOM (701227)</t>
  </si>
  <si>
    <t>HOSPFAR 0001 (2875)</t>
  </si>
  <si>
    <t>HOSPFAR 0001</t>
  </si>
  <si>
    <t>HOSPFAR 0002 (702680)</t>
  </si>
  <si>
    <t>HOSPFAR INDÚTRIA E COMÉRCIO DE PRODUTOS HOSPITALARES S.A.</t>
  </si>
  <si>
    <t>26.921.908/0002-02</t>
  </si>
  <si>
    <t>HOSPFAR 0002</t>
  </si>
  <si>
    <t>HOSPFAR2</t>
  </si>
  <si>
    <t>HOSPITECH ()</t>
  </si>
  <si>
    <t>HOSPSERVICE ()</t>
  </si>
  <si>
    <t>HOSPTECH (703717)</t>
  </si>
  <si>
    <t>HUMAN TEC (703611)</t>
  </si>
  <si>
    <t>IBEX ()</t>
  </si>
  <si>
    <t>IBF (410)</t>
  </si>
  <si>
    <t>IBF INDÚSTRIA BRASILEIRA DE FILMES</t>
  </si>
  <si>
    <t>IGARAÇU ()</t>
  </si>
  <si>
    <t>IGARAÇU COMÉRCIO, LIMPEZA E PAPELARIA EM GERAL.</t>
  </si>
  <si>
    <t>IMAGEM (703155)</t>
  </si>
  <si>
    <t>IMED (702095)</t>
  </si>
  <si>
    <t>IMUNNE ()</t>
  </si>
  <si>
    <t>IMUNNE COMÉRCIO DE MÓVEIS E EQUIPAMENTOS LTDA</t>
  </si>
  <si>
    <t>ALYSSON ALMEIDA DUARTE</t>
  </si>
  <si>
    <t>05.972.655/0001-45</t>
  </si>
  <si>
    <t>3596</t>
  </si>
  <si>
    <t>1030-2</t>
  </si>
  <si>
    <t>IMUNNE</t>
  </si>
  <si>
    <t>INFINITY PHARMA (704300)</t>
  </si>
  <si>
    <t>INFINITY PHARMA COMERCIO E REPRESENTAÇÕES DE MEDICAMENTOS LTDA</t>
  </si>
  <si>
    <t>FERNANDNA MENDES DE OLIVEIRA FREITAS</t>
  </si>
  <si>
    <t>42.291.390/0001-46</t>
  </si>
  <si>
    <t>027</t>
  </si>
  <si>
    <t>050.643-8</t>
  </si>
  <si>
    <t>INFINITY PHARMA</t>
  </si>
  <si>
    <t>INFINITY</t>
  </si>
  <si>
    <t>INJEX ()</t>
  </si>
  <si>
    <t>ISP SAUDE (703580)</t>
  </si>
  <si>
    <t>ITS ()</t>
  </si>
  <si>
    <t>ITS FACILITIE SERVICE</t>
  </si>
  <si>
    <t>MARCO PEREIRA CHAVES</t>
  </si>
  <si>
    <t>16.551.171/0001-49</t>
  </si>
  <si>
    <t>ITS</t>
  </si>
  <si>
    <t>J.S RECUPERADORA (703946)</t>
  </si>
  <si>
    <t>JHS ()</t>
  </si>
  <si>
    <t xml:space="preserve">JHS PAPELARIA E INFORMATICA E SERVIÇOS </t>
  </si>
  <si>
    <t>27.163.587/0001-06</t>
  </si>
  <si>
    <t>JHS</t>
  </si>
  <si>
    <t>AMARAL</t>
  </si>
  <si>
    <t>JL E B (701463)</t>
  </si>
  <si>
    <t>JM COM (701132)</t>
  </si>
  <si>
    <t>JN ()</t>
  </si>
  <si>
    <t>JN MÁQUINAS (JOÃO NATAN OLIVEIRA-ME)</t>
  </si>
  <si>
    <t>JOÃO NATAN C DE OLIVEIRA</t>
  </si>
  <si>
    <t>01.577.631/0001-30</t>
  </si>
  <si>
    <t>2883-5</t>
  </si>
  <si>
    <t>16.956-0</t>
  </si>
  <si>
    <t>JN</t>
  </si>
  <si>
    <t>JR (703632)</t>
  </si>
  <si>
    <t>JR LACERDA MATERIAL MEDICO HOSPITALAR EIRELI</t>
  </si>
  <si>
    <t>LOURIVAL CESAR BORGES</t>
  </si>
  <si>
    <t>03.595.984/0001-99</t>
  </si>
  <si>
    <t>1394</t>
  </si>
  <si>
    <t>0.002.054-1</t>
  </si>
  <si>
    <t>JR</t>
  </si>
  <si>
    <t>JRLACERDA</t>
  </si>
  <si>
    <t>ANDRÉ LUIZ</t>
  </si>
  <si>
    <t>KABU DEDETIZADORA Bruno Cesar Torquato Da Silva- ME</t>
  </si>
  <si>
    <t>KCA (702968)</t>
  </si>
  <si>
    <t>KOLPLAST (701546)</t>
  </si>
  <si>
    <t>KOMPAZO SAÚDE (702300)</t>
  </si>
  <si>
    <t>KRISTA (1144)</t>
  </si>
  <si>
    <t>ROSÂNGELA PEREIRA</t>
  </si>
  <si>
    <t>034.417-8</t>
  </si>
  <si>
    <t>Labs - BRADESCO 237 Ag. 2024 Cc. 28.963-9. Conta com problemas</t>
  </si>
  <si>
    <t>LAYETTE (704179)</t>
  </si>
  <si>
    <t>LAYETTE CODE COMERCIO DE TECIDOS LTDA</t>
  </si>
  <si>
    <t>JULIANA GUIMARAES</t>
  </si>
  <si>
    <t>24.948.672/0001-91</t>
  </si>
  <si>
    <t>LAYETTE</t>
  </si>
  <si>
    <t>LF (2938)</t>
  </si>
  <si>
    <t>LIFE FARMA (703982)</t>
  </si>
  <si>
    <t>LIFEMED 0001 (3158)</t>
  </si>
  <si>
    <t>LIFEMED 0001 (LIFEMED INDUSTRIAL DE EQUIPAMENTOS E ARTIGOS MEDICOS E HOSPITALARES)</t>
  </si>
  <si>
    <t>LIFEMED 0001</t>
  </si>
  <si>
    <t>LIFEMED 0016 (703090)</t>
  </si>
  <si>
    <t>LIFEMED 0016 (LIFEMED INDUSTRIAL DE EQUIPAMENTOS E ARTIGOS MEDICOS E HOSPITALARES)</t>
  </si>
  <si>
    <t>LIFEMED 0016</t>
  </si>
  <si>
    <t>LIFETRONIK (702445)</t>
  </si>
  <si>
    <t>LIMP BEM (702898)</t>
  </si>
  <si>
    <t>LM DISTRIBUIDORA (1362)</t>
  </si>
  <si>
    <t>LMFARMA</t>
  </si>
  <si>
    <t>LOTTUS (703928)</t>
  </si>
  <si>
    <t>LUZ.COM (703106)</t>
  </si>
  <si>
    <t>LUZICON (702401)</t>
  </si>
  <si>
    <t>MACRO (704141)</t>
  </si>
  <si>
    <t>MACRO ENGENHARIA E REFORMAS EIRELI</t>
  </si>
  <si>
    <t>Welma Durães</t>
  </si>
  <si>
    <t>08.267.448/0001-88</t>
  </si>
  <si>
    <t>1528</t>
  </si>
  <si>
    <t>38040-3</t>
  </si>
  <si>
    <t>MACRO</t>
  </si>
  <si>
    <t>MADEIREIRA RIBEIRO (701121)</t>
  </si>
  <si>
    <t>MADRE (703254)</t>
  </si>
  <si>
    <t>FACOS MOURA / GIOVANA MORAES</t>
  </si>
  <si>
    <t>7.145-5</t>
  </si>
  <si>
    <t>12.420.164/0001-57</t>
  </si>
  <si>
    <t>MARK FREEZER ()</t>
  </si>
  <si>
    <t>MAWED (703236)</t>
  </si>
  <si>
    <t>MAXSTER (704177)</t>
  </si>
  <si>
    <t>MAXSTER INDUSTRIA E COMERCIO LTDA</t>
  </si>
  <si>
    <t>CAROLINA MIRANDA MENEZES</t>
  </si>
  <si>
    <t>34.702.207/0001-20</t>
  </si>
  <si>
    <t>1239-4</t>
  </si>
  <si>
    <t>67.961-5</t>
  </si>
  <si>
    <t>MAXSTER</t>
  </si>
  <si>
    <t>MAYCARE (703951)</t>
  </si>
  <si>
    <t>MAYCARE COMERCIO IMPORTACAO SERVICOS E REPRESENTACAO DE PRODUTOS E INSTRUMENTOS EIRELI</t>
  </si>
  <si>
    <t>LUCIANO MAYER / JOYCE G. DE PAULA</t>
  </si>
  <si>
    <t>30.162.373/0001-20</t>
  </si>
  <si>
    <t>2200-4</t>
  </si>
  <si>
    <t>41.351-8</t>
  </si>
  <si>
    <t>MAYCARE</t>
  </si>
  <si>
    <t>MB TEXTIL ()</t>
  </si>
  <si>
    <t>MED OESTE (704015)</t>
  </si>
  <si>
    <t>MED OESTE HOSPITALAR EIRELI</t>
  </si>
  <si>
    <t>Gisele Borges</t>
  </si>
  <si>
    <t>31.441.210/0001-49</t>
  </si>
  <si>
    <t>4439</t>
  </si>
  <si>
    <t>44047-2</t>
  </si>
  <si>
    <t>MED OESTE</t>
  </si>
  <si>
    <t>MED VITTA (703491)</t>
  </si>
  <si>
    <t>MEDCAM ()</t>
  </si>
  <si>
    <t>MEDCOM 0001 (703579)</t>
  </si>
  <si>
    <t>MEDCOM 0001 (MEDCOM COMÉRCIO DE MEDICAMENTOS HOSPITALARES LTDA)</t>
  </si>
  <si>
    <t>MEDCOM 0001</t>
  </si>
  <si>
    <t>MEDCOM 0003 (703839)</t>
  </si>
  <si>
    <t>MEDCOM 0003 (MEDCOM COMÉRCIO DE MEDICAMENTOS HOSPITALARES LTDA)</t>
  </si>
  <si>
    <t>MEDCOM 0003</t>
  </si>
  <si>
    <t>37.396.017/0001-10</t>
  </si>
  <si>
    <t>MEDCORP (908)</t>
  </si>
  <si>
    <t>MEDCTEC (703997)</t>
  </si>
  <si>
    <t>MEDIC VITALL (703910)</t>
  </si>
  <si>
    <t>MEDIC VITALL (SAYONE TALITA QUINTAL)</t>
  </si>
  <si>
    <t>MEDIC VITALL</t>
  </si>
  <si>
    <t>1231</t>
  </si>
  <si>
    <t>132.736-4</t>
  </si>
  <si>
    <t>MEDICAPRO</t>
  </si>
  <si>
    <t>MEDICAL LIFE (702647)</t>
  </si>
  <si>
    <t>MEDICAL LIFE COMÉRCIO EIRELLI ME</t>
  </si>
  <si>
    <t>WESLENO CARDOSO FRANCISCO</t>
  </si>
  <si>
    <t>14.425.382/0001-00</t>
  </si>
  <si>
    <t>1403</t>
  </si>
  <si>
    <t>04.454-6</t>
  </si>
  <si>
    <t>MEDICAL LIFE</t>
  </si>
  <si>
    <t>MEDICALLIFE</t>
  </si>
  <si>
    <t>MEDICAL PEÇAS (702875)</t>
  </si>
  <si>
    <t>MEDICALMED (703016)</t>
  </si>
  <si>
    <t>MEDIMAC (702884)</t>
  </si>
  <si>
    <t>MEDLINN HOSPITALAR (702570)</t>
  </si>
  <si>
    <t>3.607-2</t>
  </si>
  <si>
    <t>49.322-8</t>
  </si>
  <si>
    <t>MEDLINNH</t>
  </si>
  <si>
    <t>THALES ADORNO</t>
  </si>
  <si>
    <t>MEDLINNP</t>
  </si>
  <si>
    <t>FERNANDA MORINEL</t>
  </si>
  <si>
    <t>MEDSELL ()</t>
  </si>
  <si>
    <t>META (703261)</t>
  </si>
  <si>
    <t>METRÓPOLE (2653)</t>
  </si>
  <si>
    <t>MF HOSPITALAR (703140)</t>
  </si>
  <si>
    <t>MG DIAGNOSTICA (704198)</t>
  </si>
  <si>
    <t>MG DIAGNOSTICA PRODUTOS PARA LABORATORIO E HOSP. EIRELI ME</t>
  </si>
  <si>
    <t>JACKELINE</t>
  </si>
  <si>
    <t>27.101.627/0001-95</t>
  </si>
  <si>
    <t>0287</t>
  </si>
  <si>
    <t>02.739-1</t>
  </si>
  <si>
    <t>MG DIAGNOSTICA</t>
  </si>
  <si>
    <t>MG</t>
  </si>
  <si>
    <t>MG HOSPITALAR (703430)</t>
  </si>
  <si>
    <t>MILESKI (701665)</t>
  </si>
  <si>
    <t>MISSNER  (1063)</t>
  </si>
  <si>
    <t>MIX MED (700753)</t>
  </si>
  <si>
    <t>ML COMÉRCIO (701487)</t>
  </si>
  <si>
    <t>MM MIX (700864)</t>
  </si>
  <si>
    <t>MONTEGGIA (702210)</t>
  </si>
  <si>
    <t>MS (701866)</t>
  </si>
  <si>
    <t>MULTICANAL ()</t>
  </si>
  <si>
    <t>29.460.170/0001-30</t>
  </si>
  <si>
    <t>MULTIWORKS (1423)</t>
  </si>
  <si>
    <t>MUNDOCOUROS</t>
  </si>
  <si>
    <t>MW (701604)</t>
  </si>
  <si>
    <t>NEOMED (701001)</t>
  </si>
  <si>
    <t>NEVALLI ()</t>
  </si>
  <si>
    <t>NEVALLI ARTIGOS MEDICOS E ORTOPEDICOS LTDA-EPP</t>
  </si>
  <si>
    <t>20.334.116/0001-55</t>
  </si>
  <si>
    <t>NEVALLI</t>
  </si>
  <si>
    <t>NEW DESC (702923)</t>
  </si>
  <si>
    <t>BSMIX</t>
  </si>
  <si>
    <t>NOVA ANALÍTICA (2135)</t>
  </si>
  <si>
    <t>NOVA GOIÁS (701397)</t>
  </si>
  <si>
    <t>NOVA HOSPITALAR (702094)</t>
  </si>
  <si>
    <t>NOVAMED (700754)</t>
  </si>
  <si>
    <t>NR DISTRIBUIDORA ()</t>
  </si>
  <si>
    <t>NR DISTRIBUIDORA DE MEDICAMENTOS LTDA</t>
  </si>
  <si>
    <t>03.322.655/0001-74</t>
  </si>
  <si>
    <t>NR DISTRIBUIDORA</t>
  </si>
  <si>
    <t>NRD</t>
  </si>
  <si>
    <t>NR HOSPITALAR (NR INDUSTRIA E COMERCIO DE PRODUTOS E ROUPAS HOSPITALARES EIRELI)</t>
  </si>
  <si>
    <t>NRH</t>
  </si>
  <si>
    <t>OCTALAB (701015)</t>
  </si>
  <si>
    <t>ODONTOMED (704106)</t>
  </si>
  <si>
    <t>ODONTOMED INDÚSTRIA COMÉRCIO LTDA (ANTONELLA ODONTOMED)</t>
  </si>
  <si>
    <t>37.910.277/0001-61</t>
  </si>
  <si>
    <t>3351</t>
  </si>
  <si>
    <t>5044-0</t>
  </si>
  <si>
    <t>ODONTOMED</t>
  </si>
  <si>
    <t>OLIVERTEC (701949)</t>
  </si>
  <si>
    <t>OLIVERTEC EQUIPAMENTOS HOSPITALARES LTDA</t>
  </si>
  <si>
    <t>BIANCA CONICELLI</t>
  </si>
  <si>
    <t>07.295.277/0001-38</t>
  </si>
  <si>
    <t>OLTEC (701215)</t>
  </si>
  <si>
    <t>OMNI ()</t>
  </si>
  <si>
    <t>OMNI COMERCIO E SERVIÇOS LTDA</t>
  </si>
  <si>
    <t>38.029.534/0001-13</t>
  </si>
  <si>
    <t>OMNI</t>
  </si>
  <si>
    <t>OPX DIAGNÓSTICA ()</t>
  </si>
  <si>
    <t>OREGON (701311)</t>
  </si>
  <si>
    <t>ORION (703410)</t>
  </si>
  <si>
    <t>ORTOP (702098)</t>
  </si>
  <si>
    <t>OSTEOFIX (700239)</t>
  </si>
  <si>
    <t>OSTEOFIX DISTRIBUIDORA COMERCIO E VENDA DE PRODUTOS MEDICO LTDA</t>
  </si>
  <si>
    <t>08.739.624/0001-37</t>
  </si>
  <si>
    <t>227.372-1</t>
  </si>
  <si>
    <t>OSTEOFIX</t>
  </si>
  <si>
    <t>PAPELARIA ÁGAPE (702056)</t>
  </si>
  <si>
    <t>PAPELARIA FARAGO (701094)</t>
  </si>
  <si>
    <t>FARAGO</t>
  </si>
  <si>
    <t>PAPELARIA LÍDER (700860)</t>
  </si>
  <si>
    <t>PASSEVIP ()</t>
  </si>
  <si>
    <t>PASSEVIP SISTEMA DE IDENTIFICAÇÃO</t>
  </si>
  <si>
    <t>PEDAGÓGICA ()</t>
  </si>
  <si>
    <t>PEDRÃO DEDETIZADORA ()</t>
  </si>
  <si>
    <t>PERMUTION (703003)</t>
  </si>
  <si>
    <t>PETROSOLO (701862)</t>
  </si>
  <si>
    <t>PHARMAC (701331)</t>
  </si>
  <si>
    <t>PHARMATEX (701093)</t>
  </si>
  <si>
    <t>PHARMEDICE</t>
  </si>
  <si>
    <t>PLANTÃO (2303)</t>
  </si>
  <si>
    <t>PLASTLABOR</t>
  </si>
  <si>
    <t>POINT SUTURE (1357)</t>
  </si>
  <si>
    <t>POINTER (2649)</t>
  </si>
  <si>
    <t>POLITEC (352)</t>
  </si>
  <si>
    <t>PRADO ()</t>
  </si>
  <si>
    <t>PRADO SERVIÇOS E TECNOLOGIA</t>
  </si>
  <si>
    <t>ELTON FERREIRA DO PRADO</t>
  </si>
  <si>
    <t>36.068.602/0001-28</t>
  </si>
  <si>
    <t>PRADO</t>
  </si>
  <si>
    <t>PREMIER (703376)</t>
  </si>
  <si>
    <t>PREMIER INDUSTRIA ()</t>
  </si>
  <si>
    <t>PRIME COMERCIO (702886)</t>
  </si>
  <si>
    <t>PRIME COMERCIO DE PRODUTOS HOSPITALARES LTDA.</t>
  </si>
  <si>
    <t>116.396-5</t>
  </si>
  <si>
    <t>PRIME COMERCIO</t>
  </si>
  <si>
    <t>PRIMEC</t>
  </si>
  <si>
    <t>PRIME TEXTEIS (703669)</t>
  </si>
  <si>
    <t>PRINT MASTER (701901)</t>
  </si>
  <si>
    <t>PRISMA (701556)</t>
  </si>
  <si>
    <t>PRÓ ÁGUA (701512)</t>
  </si>
  <si>
    <t>PRO DOCTOR ()</t>
  </si>
  <si>
    <t>PROSAUDE</t>
  </si>
  <si>
    <t>PROMEDH (355)</t>
  </si>
  <si>
    <t>PROMEDIC ()</t>
  </si>
  <si>
    <t>PROMEDIC COMÉRCIO DE PRODUTOS MÉDICO HOSPITLARES LTDA - ME.</t>
  </si>
  <si>
    <t>PROMÉDICA (701888)</t>
  </si>
  <si>
    <t>PROMEDICAL (701273)</t>
  </si>
  <si>
    <t>PROTEC (700639)</t>
  </si>
  <si>
    <t>PUBLICART (702240)</t>
  </si>
  <si>
    <t>QUALIMED (701529)</t>
  </si>
  <si>
    <t>QUALITY (702099)</t>
  </si>
  <si>
    <t>QUALITY FARMÁCIA DE MANIPULAÇÃO LTDA.</t>
  </si>
  <si>
    <t>QUINELATO (000197)</t>
  </si>
  <si>
    <t>R&amp;A MEDICAL (700925)</t>
  </si>
  <si>
    <t>R&amp;D (702559)</t>
  </si>
  <si>
    <t>RAPHAELA (704280)</t>
  </si>
  <si>
    <t>RAPHAELA RODRIGUES DA SILVA 04476845150</t>
  </si>
  <si>
    <t>Wallson Olimpio Garcez / Wellson</t>
  </si>
  <si>
    <t>35.289.161/0001-21</t>
  </si>
  <si>
    <t>39.098-4</t>
  </si>
  <si>
    <t>RAPHAELA</t>
  </si>
  <si>
    <t>RAVA (4035)</t>
  </si>
  <si>
    <t>RBR (703044)</t>
  </si>
  <si>
    <t>RECMED (700531)</t>
  </si>
  <si>
    <t>REOBOTE (702935)</t>
  </si>
  <si>
    <t>RF MEDICAL (703337)</t>
  </si>
  <si>
    <t>RGN (700544)</t>
  </si>
  <si>
    <t>RHOSS 1 (702512)</t>
  </si>
  <si>
    <t>RHOSS 2 (703189)</t>
  </si>
  <si>
    <t>RIACHO TINTAS ()</t>
  </si>
  <si>
    <t>RIACHO TINTAS LTG (703338)</t>
  </si>
  <si>
    <t>RIMTEC (701274)</t>
  </si>
  <si>
    <t>67.729.178/0001-49</t>
  </si>
  <si>
    <t>RKM (701943)</t>
  </si>
  <si>
    <t>RKP (703642)</t>
  </si>
  <si>
    <t>RQ TECNOLOGIA (702722)</t>
  </si>
  <si>
    <t>RRX (702960)</t>
  </si>
  <si>
    <t>RT</t>
  </si>
  <si>
    <t>RV</t>
  </si>
  <si>
    <t>SANNE (704125)</t>
  </si>
  <si>
    <t>SANNE METALS COMERCIO DE FERRAMENTAS LTDA</t>
  </si>
  <si>
    <t>Helen Cristina Pierozzi</t>
  </si>
  <si>
    <t>05.614.988/0001-00</t>
  </si>
  <si>
    <t>SANNE</t>
  </si>
  <si>
    <t>SATÉLITE (700879)</t>
  </si>
  <si>
    <t>428739-8</t>
  </si>
  <si>
    <t>SAUDE</t>
  </si>
  <si>
    <t>SCIENTIFIC (969068)</t>
  </si>
  <si>
    <t>SEMPRE (704149)</t>
  </si>
  <si>
    <t>SEMPRE HOSPITALAR LTDA</t>
  </si>
  <si>
    <t>GILMAR BANDEIRA</t>
  </si>
  <si>
    <t>37.751.411/0001-29</t>
  </si>
  <si>
    <t>41.954-0</t>
  </si>
  <si>
    <t>SEMPRE</t>
  </si>
  <si>
    <t>SG DISTRIBUIDORA (702766)</t>
  </si>
  <si>
    <t>SHALON (700809)</t>
  </si>
  <si>
    <t>33.348.467/0001-86</t>
  </si>
  <si>
    <t>SIMILAR (703425)</t>
  </si>
  <si>
    <t>SINGULAR (703084)</t>
  </si>
  <si>
    <t>SÍNTESE (700448)</t>
  </si>
  <si>
    <t>SISPACK (2578)</t>
  </si>
  <si>
    <t>SMITHS (701392)</t>
  </si>
  <si>
    <t>SODROGAS (701455)</t>
  </si>
  <si>
    <t>SOLUÇÃO EPI (703674)</t>
  </si>
  <si>
    <t>JOSÉ DE MENDONÇA RIBEIRO JÚNIOR</t>
  </si>
  <si>
    <t>0214</t>
  </si>
  <si>
    <t>024.677-7</t>
  </si>
  <si>
    <t>SOLUÇÃO</t>
  </si>
  <si>
    <t>SOUND MED ()</t>
  </si>
  <si>
    <t>SOUND MED LAB EQUIPAMENTOS MEDICOS LTDA</t>
  </si>
  <si>
    <t>10.800.056/0001-84</t>
  </si>
  <si>
    <t>1597</t>
  </si>
  <si>
    <t>25.845-6</t>
  </si>
  <si>
    <t>SOUND MED</t>
  </si>
  <si>
    <t>START UP  (701922)</t>
  </si>
  <si>
    <t>STARTEC (2143)</t>
  </si>
  <si>
    <t>STARTEC CIENTIFICA LTDA</t>
  </si>
  <si>
    <t>ANTONIO MARCOS LIMA</t>
  </si>
  <si>
    <t>03.605.417/0001-76</t>
  </si>
  <si>
    <t>403.246-2</t>
  </si>
  <si>
    <t>STARTEC</t>
  </si>
  <si>
    <t>STEFANY GOMES (701308)</t>
  </si>
  <si>
    <t>STOCK (3380)</t>
  </si>
  <si>
    <t>STRATTNER 0002 (329)</t>
  </si>
  <si>
    <t>STRATTNER 0002 (H. STRATTNER E CIA LTDA)</t>
  </si>
  <si>
    <t>1769-8</t>
  </si>
  <si>
    <t>8.529-4</t>
  </si>
  <si>
    <t>STRATTNER 0002</t>
  </si>
  <si>
    <t>33.250.713/0001-62</t>
  </si>
  <si>
    <t>STRATTNER2</t>
  </si>
  <si>
    <t>STRATTNER 0007 (704319)</t>
  </si>
  <si>
    <t>STRATTNER 0007 (H. STRATTNER E CIA LTDA)</t>
  </si>
  <si>
    <t>33.250.713/0007-58</t>
  </si>
  <si>
    <t>403.081-8</t>
  </si>
  <si>
    <t>STRATTNER 0007</t>
  </si>
  <si>
    <t>STRATTNER7</t>
  </si>
  <si>
    <t>SUPERA (704022)</t>
  </si>
  <si>
    <t>54521-X</t>
  </si>
  <si>
    <t>SUPERMEDICA</t>
  </si>
  <si>
    <t>SUTUPAR (703501)</t>
  </si>
  <si>
    <t>SYNTHES (A02)</t>
  </si>
  <si>
    <t>TAGUASUL (700766)</t>
  </si>
  <si>
    <t>TCA</t>
  </si>
  <si>
    <t>TECMED (703305)</t>
  </si>
  <si>
    <t>TECSERVICE (704299)</t>
  </si>
  <si>
    <t>TECSERVICE (B. E. DE LIMA FERREIRA COMERCIO DE ELETROELETRONICOS)</t>
  </si>
  <si>
    <t>Bruno Ferreira / Edmilson</t>
  </si>
  <si>
    <t>24.685.558/0001-16</t>
  </si>
  <si>
    <t>074</t>
  </si>
  <si>
    <t>018.241-2</t>
  </si>
  <si>
    <t>TECSERVICE</t>
  </si>
  <si>
    <t>TER FILTROS (701835)</t>
  </si>
  <si>
    <t>TEXTIL MED ()</t>
  </si>
  <si>
    <t>TM DISTRIBUIDORA DE PRODUTOS E SERV. HOSPITALARES LTDA</t>
  </si>
  <si>
    <t>CLODIMAR COLLA</t>
  </si>
  <si>
    <t>18.553.112/0001-35</t>
  </si>
  <si>
    <t>TEXTIL MED</t>
  </si>
  <si>
    <t>THEMED (701615)</t>
  </si>
  <si>
    <t>THYSSENKRUPP (486)</t>
  </si>
  <si>
    <t>TIRADENTES - FILIAL (701012)</t>
  </si>
  <si>
    <t>TJDFT ()</t>
  </si>
  <si>
    <t>TMR (701659)</t>
  </si>
  <si>
    <t>TOPDESCARTAVEIS</t>
  </si>
  <si>
    <t>TOP ODONTO (703627)</t>
  </si>
  <si>
    <t>TOPMED (701533)</t>
  </si>
  <si>
    <t>TOPMEDLAR (700358)</t>
  </si>
  <si>
    <t>TRAUMA SUGIRCAL (701201)</t>
  </si>
  <si>
    <t>TRAUMA SYSTEM (703963)</t>
  </si>
  <si>
    <t>TRAUMA SYSTEM COMÉRCIO DE MATERIAIS HOSPITALARES EIRELI</t>
  </si>
  <si>
    <t>PEDRO MARQUES / JOSUÉ BARCELOS</t>
  </si>
  <si>
    <t>35.353.862/0001-82</t>
  </si>
  <si>
    <t>TRAUMA SYSTEM</t>
  </si>
  <si>
    <t>TRE CIME (703799)</t>
  </si>
  <si>
    <t>TRE CIME HEALTH Prod. Odonto Médico Hospitalares Ltda - ME</t>
  </si>
  <si>
    <t>Rodrigo Galvão</t>
  </si>
  <si>
    <t>27.331.579/0001-21</t>
  </si>
  <si>
    <t>TRE CIME</t>
  </si>
  <si>
    <t>TRIAC (704045)</t>
  </si>
  <si>
    <t>TRIAC ENGENHARIA CLINICA</t>
  </si>
  <si>
    <t>JULIA ANDRADE</t>
  </si>
  <si>
    <t>39.466.731/0001-62</t>
  </si>
  <si>
    <t>TRINO (701431)</t>
  </si>
  <si>
    <t>TSL (607)</t>
  </si>
  <si>
    <t>UNIÃO QUÍMICA 0007 (76)</t>
  </si>
  <si>
    <t>UNIÃO QUÍMICA 007 (UNIÃO QUÍMICA FARMACÊUTICA NACIONAL S/A)</t>
  </si>
  <si>
    <t>Mariney Volpi</t>
  </si>
  <si>
    <t>60.665.981/0007-03</t>
  </si>
  <si>
    <t>UNIÃO QUÍMICA 0007</t>
  </si>
  <si>
    <t>60.665.981/0001-18</t>
  </si>
  <si>
    <t>UNIAO7</t>
  </si>
  <si>
    <t>UNIÃO QUÍMICA 0009 (702665)</t>
  </si>
  <si>
    <t>UNIÃO QUÍMICA 009 (UNIÃO QUÍMICA FARMACÊUTICA NACIONAL S/A)</t>
  </si>
  <si>
    <t>UNIÃO QUÍMICA 0009</t>
  </si>
  <si>
    <t>UNIAO9</t>
  </si>
  <si>
    <t>ÚNICA MEDICAL (703633)</t>
  </si>
  <si>
    <t>UNISCIENCE  (2311)</t>
  </si>
  <si>
    <t>UNITEC (702343)</t>
  </si>
  <si>
    <t>VERA</t>
  </si>
  <si>
    <t>VIDAFARMA (969081)</t>
  </si>
  <si>
    <t>VIDAMED PRODUTOS HOSPITALARES LTDA-ME.</t>
  </si>
  <si>
    <t>VILLI FARM (700676)</t>
  </si>
  <si>
    <t>VITA MEDICAL (700713)</t>
  </si>
  <si>
    <t>VITALMED (702891)</t>
  </si>
  <si>
    <t>VITTA HOSPITALAR (702980)</t>
  </si>
  <si>
    <t xml:space="preserve">VITTA HOSPITALAR (VITTA INDÚSTRIA E COMÉRCIO DE PRODUTOS HOSPITALARES EIRELI-ME) </t>
  </si>
  <si>
    <t>VITTRA (703371)</t>
  </si>
  <si>
    <t>VIVA (6500)</t>
  </si>
  <si>
    <t>VIVAMED (702684)</t>
  </si>
  <si>
    <t>VIVAMED EQUIPAMENTOS MÉDICO HOSPITALARES LTDA-ME</t>
  </si>
  <si>
    <t>DAIANA BEATRIZ</t>
  </si>
  <si>
    <t>06.131.330/0001-00</t>
  </si>
  <si>
    <t>VOGUE (1661)</t>
  </si>
  <si>
    <t>VPHARMA (702843)</t>
  </si>
  <si>
    <t>VULCÃO DA BORRACHA (701565)</t>
  </si>
  <si>
    <t>WA REPAROS (703194)</t>
  </si>
  <si>
    <t>WJ (704192)</t>
  </si>
  <si>
    <t>WJ COMERCIO DE PRODUTOS HOSPITALARES LTDA</t>
  </si>
  <si>
    <t>SIDNEY SOARES</t>
  </si>
  <si>
    <t>14.241.789/0001-87</t>
  </si>
  <si>
    <t>2174-1</t>
  </si>
  <si>
    <t>14.934-9</t>
  </si>
  <si>
    <t>WJ</t>
  </si>
  <si>
    <t>WJCOMERCIO</t>
  </si>
  <si>
    <t>WL DE OLIVEIRA (701290)</t>
  </si>
  <si>
    <t>WL SERVIÇOS (701717)</t>
  </si>
  <si>
    <t>ZIONTECH (704327)</t>
  </si>
  <si>
    <t>ZIONTECH IMPORTAÇÃO E EXPORTAÇÃO LTDA</t>
  </si>
  <si>
    <t>LARISSA DE JESUS</t>
  </si>
  <si>
    <t>11.960.237/0002-11</t>
  </si>
  <si>
    <t>ZIONTECH</t>
  </si>
  <si>
    <t>99147-0450</t>
  </si>
  <si>
    <t>98658-0986</t>
  </si>
  <si>
    <t>9825-1456</t>
  </si>
  <si>
    <t xml:space="preserve">99313-6387 </t>
  </si>
  <si>
    <t>BSB HOSPITALAR (6509)</t>
  </si>
  <si>
    <t>BSB HOSPITALAR</t>
  </si>
  <si>
    <t>Cartucho</t>
  </si>
  <si>
    <t>FIO GUIA HIDROFILICO EM NITINOL ZEBRADO  0,035\' E CATETER COM 400 CM DE COMPRIMENTO.AUTOCLAVÁVEL.</t>
  </si>
  <si>
    <t>COMPRESSOR HERMÉTICO SCROLL, Capacidade: 36.000 BTU\'s, Características Adicionais: 380V, 60Hz.</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</si>
</sst>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164" formatCode="_(&quot;R$&quot;* #,##0.00_);_(&quot;R$&quot;* \(#,##0.00\);_(&quot;R$&quot;* &quot;-&quot;??_);_(@_)"/>
    <numFmt numFmtId="165" formatCode="&quot;R$&quot;#,##0.00_);[Red]\(&quot;R$&quot;#,##0.00\)"/>
    <numFmt numFmtId="166" formatCode="_(* #,##0.00_);_(* \(#,##0.00\);_(* &quot;-&quot;??_);_(@_)"/>
    <numFmt numFmtId="167" formatCode="&quot;R$ &quot;#,##0.00"/>
    <numFmt numFmtId="168" formatCode="&quot;R$&quot;\ #,##0.00"/>
    <numFmt numFmtId="169" formatCode="&quot;R$&quot;\ #,##0.0000"/>
    <numFmt numFmtId="170" formatCode="&quot;R$ &quot;#,##0.0000"/>
    <numFmt numFmtId="171" formatCode="000,000"/>
    <numFmt numFmtId="172" formatCode="_-&quot;R$&quot;\ * #,##0.000_-;\-&quot;R$&quot;\ * #,##0.000_-;_-&quot;R$&quot;\ * &quot;-&quot;??_-;_-@_-"/>
    <numFmt numFmtId="173" formatCode="_-&quot;R$&quot;\ * #,##0.0000_-;\-&quot;R$&quot;\ * #,##0.0000_-;_-&quot;R$&quot;\ * &quot;-&quot;??_-;_-@_-"/>
    <numFmt numFmtId="174" formatCode="0.000%"/>
    <numFmt numFmtId="175" formatCode="_-&quot;R$&quot;\ * #,##0.00000_-;\-&quot;R$&quot;\ * #,##0.00000_-;_-&quot;R$&quot;\ * &quot;-&quot;??_-;_-@_-"/>
    <numFmt numFmtId="176" formatCode="_-&quot;R$&quot;\ * #,##0.0000000_-;\-&quot;R$&quot;\ * #,##0.0000000_-;_-&quot;R$&quot;\ * &quot;-&quot;??_-;_-@_-"/>
  </numFmts>
  <fonts count="134">
    <font>
      <sz val="11"/>
      <color theme="1"/>
      <name val="Calibri"/>
      <family val="2"/>
      <scheme val="minor"/>
    </font>
    <font>
      <sz val="11"/>
      <color theme="1"/>
      <name val="Times New Roman"/>
      <family val="1"/>
    </font>
    <font>
      <b/>
      <sz val="10"/>
      <color theme="1"/>
      <name val="Times New Roman"/>
      <family val="1"/>
    </font>
    <font>
      <sz val="10"/>
      <color theme="1"/>
      <name val="Times New Roman"/>
      <family val="1"/>
    </font>
    <font>
      <b/>
      <sz val="12"/>
      <color theme="1"/>
      <name val="Times New Roman"/>
      <family val="1"/>
    </font>
    <font>
      <sz val="10"/>
      <name val="Times New Roman"/>
      <family val="1"/>
    </font>
    <font>
      <sz val="9"/>
      <color theme="1"/>
      <name val="Times New Roman"/>
      <family val="1"/>
    </font>
    <font>
      <b/>
      <sz val="10"/>
      <name val="Times New Roman"/>
      <family val="1"/>
    </font>
    <font>
      <b/>
      <sz val="11"/>
      <color theme="1"/>
      <name val="Times New Roman"/>
      <family val="1"/>
    </font>
    <font>
      <b/>
      <sz val="9"/>
      <color theme="1"/>
      <name val="Times New Roman"/>
      <family val="1"/>
    </font>
    <font>
      <sz val="8"/>
      <color theme="1"/>
      <name val="Times New Roman"/>
      <family val="1"/>
    </font>
    <font>
      <b/>
      <sz val="8"/>
      <color theme="1"/>
      <name val="Times New Roman"/>
      <family val="1"/>
    </font>
    <font>
      <sz val="8"/>
      <color theme="1"/>
      <name val="Calibri"/>
      <family val="2"/>
      <scheme val="minor"/>
    </font>
    <font>
      <sz val="11"/>
      <name val="Calibri"/>
      <family val="2"/>
      <scheme val="minor"/>
    </font>
    <font>
      <b/>
      <sz val="11"/>
      <color theme="1"/>
      <name val="Calibri"/>
      <family val="2"/>
      <scheme val="minor"/>
    </font>
    <font>
      <u/>
      <sz val="9"/>
      <color theme="1"/>
      <name val="Times New Roman"/>
      <family val="1"/>
    </font>
    <font>
      <sz val="10"/>
      <color rgb="FF000000"/>
      <name val="Times New Roman"/>
      <family val="1"/>
    </font>
    <font>
      <b/>
      <sz val="10"/>
      <color rgb="FF000000"/>
      <name val="Times New Roman"/>
      <family val="1"/>
    </font>
    <font>
      <b/>
      <sz val="9"/>
      <color theme="1"/>
      <name val="Arial"/>
      <family val="2"/>
    </font>
    <font>
      <sz val="9"/>
      <color theme="1"/>
      <name val="Times"/>
      <family val="1"/>
    </font>
    <font>
      <b/>
      <sz val="14"/>
      <color theme="1"/>
      <name val="Times New Roman"/>
      <family val="1"/>
    </font>
    <font>
      <i/>
      <sz val="10"/>
      <color theme="1"/>
      <name val="Times New Roman"/>
      <family val="1"/>
    </font>
    <font>
      <b/>
      <sz val="10.5"/>
      <color rgb="FF000000"/>
      <name val="Times New Roman"/>
      <family val="1"/>
    </font>
    <font>
      <sz val="1"/>
      <color rgb="FF000000"/>
      <name val="Times New Roman"/>
      <family val="1"/>
    </font>
    <font>
      <b/>
      <i/>
      <sz val="16"/>
      <color theme="1"/>
      <name val="Times New Roman"/>
      <family val="1"/>
    </font>
    <font>
      <b/>
      <sz val="10.5"/>
      <color theme="1"/>
      <name val="Times New Roman"/>
      <family val="1"/>
    </font>
    <font>
      <b/>
      <i/>
      <sz val="10"/>
      <color theme="1"/>
      <name val="Times New Roman"/>
      <family val="1"/>
    </font>
    <font>
      <b/>
      <i/>
      <u/>
      <sz val="10"/>
      <color theme="1"/>
      <name val="Times New Roman"/>
      <family val="1"/>
    </font>
    <font>
      <b/>
      <sz val="7"/>
      <color theme="1"/>
      <name val="Times New Roman"/>
      <family val="1"/>
    </font>
    <font>
      <u/>
      <sz val="10"/>
      <color theme="1"/>
      <name val="Times New Roman"/>
      <family val="1"/>
    </font>
    <font>
      <b/>
      <sz val="16"/>
      <color theme="1"/>
      <name val="Times New Roman"/>
      <family val="1"/>
    </font>
    <font>
      <sz val="10"/>
      <color theme="1"/>
      <name val="Calibri"/>
      <family val="2"/>
      <scheme val="minor"/>
    </font>
    <font>
      <b/>
      <sz val="14"/>
      <name val="Times New Roman"/>
      <family val="1"/>
    </font>
    <font>
      <sz val="11"/>
      <color theme="1"/>
      <name val="Calibri"/>
      <family val="2"/>
      <scheme val="minor"/>
    </font>
    <font>
      <b/>
      <sz val="14"/>
      <color rgb="FFFF0000"/>
      <name val="Times New Roman"/>
      <family val="1"/>
    </font>
    <font>
      <sz val="10"/>
      <color theme="1"/>
      <name val="Times"/>
      <family val="1"/>
    </font>
    <font>
      <sz val="10"/>
      <name val="Times"/>
      <family val="1"/>
    </font>
    <font>
      <sz val="12"/>
      <color theme="1"/>
      <name val="Times New Roman"/>
      <family val="1"/>
    </font>
    <font>
      <b/>
      <sz val="14"/>
      <color rgb="FF000000"/>
      <name val="Times New Roman"/>
      <family val="1"/>
    </font>
    <font>
      <sz val="10"/>
      <name val="Rockwell"/>
      <family val="1"/>
    </font>
    <font>
      <sz val="10"/>
      <color theme="1"/>
      <name val="Rockwell"/>
      <family val="1"/>
    </font>
    <font>
      <b/>
      <sz val="11"/>
      <color theme="0"/>
      <name val="Rockwell"/>
      <family val="1"/>
    </font>
    <font>
      <b/>
      <sz val="12"/>
      <color theme="0"/>
      <name val="Rockwell"/>
      <family val="1"/>
    </font>
    <font>
      <b/>
      <sz val="11"/>
      <name val="Rockwell"/>
      <family val="1"/>
    </font>
    <font>
      <sz val="11"/>
      <color theme="0"/>
      <name val="Rockwell"/>
      <family val="1"/>
    </font>
    <font>
      <b/>
      <sz val="9"/>
      <color theme="0"/>
      <name val="Rockwell"/>
      <family val="1"/>
    </font>
    <font>
      <sz val="11"/>
      <color theme="1"/>
      <name val="Rockwell"/>
      <family val="1"/>
    </font>
    <font>
      <b/>
      <sz val="11"/>
      <color theme="0"/>
      <name val="Calibri"/>
      <family val="2"/>
      <scheme val="minor"/>
    </font>
    <font>
      <b/>
      <sz val="11"/>
      <color theme="1"/>
      <name val="Rockwell"/>
      <family val="1"/>
    </font>
    <font>
      <b/>
      <sz val="12"/>
      <color theme="0"/>
      <name val="Calibri"/>
      <family val="2"/>
      <scheme val="minor"/>
    </font>
    <font>
      <sz val="12"/>
      <color theme="1"/>
      <name val="Calibri"/>
      <family val="2"/>
      <scheme val="minor"/>
    </font>
    <font>
      <b/>
      <sz val="10"/>
      <name val="Rockwell"/>
      <family val="1"/>
    </font>
    <font>
      <b/>
      <u/>
      <sz val="10"/>
      <name val="Rockwell"/>
      <family val="1"/>
    </font>
    <font>
      <u/>
      <sz val="10"/>
      <name val="Rockwell"/>
      <family val="1"/>
    </font>
    <font>
      <b/>
      <i/>
      <sz val="10"/>
      <name val="Rockwell"/>
      <family val="1"/>
    </font>
    <font>
      <i/>
      <sz val="10"/>
      <name val="Rockwell"/>
      <family val="1"/>
    </font>
    <font>
      <b/>
      <sz val="10"/>
      <color theme="1"/>
      <name val="Rockwell"/>
      <family val="1"/>
    </font>
    <font>
      <b/>
      <sz val="14"/>
      <color theme="0"/>
      <name val="Rockwell"/>
      <family val="1"/>
    </font>
    <font>
      <b/>
      <i/>
      <sz val="11"/>
      <name val="Rockwell"/>
      <family val="1"/>
    </font>
    <font>
      <sz val="10"/>
      <color rgb="FFFF0000"/>
      <name val="Rockwell"/>
      <family val="1"/>
    </font>
    <font>
      <b/>
      <sz val="10"/>
      <color rgb="FF00B050"/>
      <name val="Rockwell"/>
      <family val="1"/>
    </font>
    <font>
      <b/>
      <sz val="8"/>
      <color rgb="FFFF0000"/>
      <name val="Rockwell"/>
      <family val="1"/>
    </font>
    <font>
      <b/>
      <sz val="8"/>
      <color theme="1"/>
      <name val="Rockwell"/>
      <family val="1"/>
    </font>
    <font>
      <b/>
      <sz val="10"/>
      <color theme="9" tint="-0.249977111117893"/>
      <name val="Rockwell"/>
      <family val="1"/>
    </font>
    <font>
      <sz val="11"/>
      <color rgb="FFFF0000"/>
      <name val="Rockwell"/>
      <family val="1"/>
    </font>
    <font>
      <b/>
      <sz val="11"/>
      <color theme="0"/>
      <name val="Times New Roman"/>
      <family val="1"/>
    </font>
    <font>
      <sz val="16"/>
      <color theme="1"/>
      <name val="Times New Roman"/>
      <family val="1"/>
    </font>
    <font>
      <sz val="11"/>
      <name val="Times New Roman"/>
      <family val="1"/>
    </font>
    <font>
      <sz val="10"/>
      <color theme="4" tint="-0.249977111117893"/>
      <name val="Rockwell"/>
      <family val="1"/>
    </font>
    <font>
      <sz val="11"/>
      <color theme="0"/>
      <name val="Calibri"/>
      <family val="2"/>
      <scheme val="minor"/>
    </font>
    <font>
      <b/>
      <sz val="10"/>
      <name val="Times"/>
      <family val="1"/>
    </font>
    <font>
      <b/>
      <sz val="11"/>
      <name val="Calibri"/>
      <family val="2"/>
      <scheme val="minor"/>
    </font>
    <font>
      <sz val="11"/>
      <color rgb="FFFF0000"/>
      <name val="Calibri"/>
      <family val="2"/>
      <scheme val="minor"/>
    </font>
    <font>
      <sz val="12"/>
      <color theme="1"/>
      <name val="Rockwell"/>
      <family val="1"/>
    </font>
    <font>
      <b/>
      <sz val="12"/>
      <color theme="1"/>
      <name val="Rockwell"/>
      <family val="1"/>
    </font>
    <font>
      <sz val="10"/>
      <color rgb="FFFF0000"/>
      <name val="Times New Roman"/>
      <family val="1"/>
    </font>
    <font>
      <b/>
      <sz val="16"/>
      <color rgb="FFFF0000"/>
      <name val="Times New Roman"/>
      <family val="1"/>
    </font>
    <font>
      <sz val="10"/>
      <color theme="1"/>
      <name val="Arial"/>
      <family val="2"/>
    </font>
    <font>
      <b/>
      <sz val="14"/>
      <color theme="1"/>
      <name val="Rockwell"/>
      <family val="1"/>
    </font>
    <font>
      <b/>
      <sz val="14"/>
      <color rgb="FF0070C0"/>
      <name val="Rockwell"/>
      <family val="1"/>
    </font>
    <font>
      <b/>
      <sz val="12"/>
      <name val="Rockwell"/>
      <family val="1"/>
    </font>
    <font>
      <b/>
      <sz val="11"/>
      <name val="Times New Roman"/>
      <family val="1"/>
    </font>
    <font>
      <b/>
      <sz val="18"/>
      <color theme="1"/>
      <name val="Calibri"/>
      <family val="2"/>
      <scheme val="minor"/>
    </font>
    <font>
      <b/>
      <sz val="14"/>
      <name val="Calibri"/>
      <family val="2"/>
      <scheme val="minor"/>
    </font>
    <font>
      <sz val="10"/>
      <name val="Arial"/>
      <family val="2"/>
    </font>
    <font>
      <b/>
      <i/>
      <sz val="12"/>
      <color theme="1"/>
      <name val="Times New Roman"/>
      <family val="1"/>
    </font>
    <font>
      <b/>
      <sz val="12"/>
      <color theme="1"/>
      <name val="Calibri"/>
      <family val="2"/>
      <scheme val="minor"/>
    </font>
    <font>
      <sz val="16"/>
      <color theme="1"/>
      <name val="Calibri"/>
      <family val="2"/>
      <scheme val="minor"/>
    </font>
    <font>
      <b/>
      <sz val="16"/>
      <name val="Rockwell"/>
      <family val="1"/>
    </font>
    <font>
      <sz val="11"/>
      <name val="Rockwell"/>
      <family val="1"/>
    </font>
    <font>
      <b/>
      <sz val="14"/>
      <name val="Rockwell"/>
      <family val="1"/>
    </font>
    <font>
      <b/>
      <sz val="14"/>
      <color theme="0"/>
      <name val="Arial Narrow"/>
      <family val="2"/>
    </font>
    <font>
      <b/>
      <sz val="12"/>
      <name val="Calibri"/>
      <family val="2"/>
      <scheme val="minor"/>
    </font>
    <font>
      <b/>
      <sz val="9"/>
      <name val="Rockwell"/>
      <family val="1"/>
    </font>
    <font>
      <sz val="14"/>
      <name val="Arial Narrow"/>
      <family val="2"/>
    </font>
    <font>
      <sz val="9"/>
      <name val="Times New Roman"/>
      <family val="1"/>
    </font>
    <font>
      <sz val="14"/>
      <color rgb="FF000000"/>
      <name val="Times New Roman"/>
      <family val="1"/>
    </font>
    <font>
      <b/>
      <i/>
      <sz val="14"/>
      <color rgb="FF000000"/>
      <name val="Times New Roman"/>
      <family val="1"/>
    </font>
    <font>
      <b/>
      <sz val="14"/>
      <color theme="1"/>
      <name val="Calibri"/>
      <family val="2"/>
      <scheme val="minor"/>
    </font>
    <font>
      <b/>
      <sz val="12"/>
      <color rgb="FF000000"/>
      <name val="Calibri"/>
      <family val="2"/>
      <scheme val="minor"/>
    </font>
    <font>
      <b/>
      <sz val="11"/>
      <name val="Calibri"/>
      <family val="2"/>
    </font>
    <font>
      <b/>
      <sz val="8"/>
      <name val="Calibri"/>
      <family val="2"/>
    </font>
    <font>
      <sz val="11"/>
      <color rgb="FF000000"/>
      <name val="Rockwell"/>
      <family val="1"/>
    </font>
    <font>
      <sz val="11"/>
      <name val="Calibri"/>
      <family val="2"/>
    </font>
    <font>
      <sz val="12"/>
      <color theme="0" tint="-0.499984740745262"/>
      <name val="Rockwell"/>
      <family val="1"/>
    </font>
    <font>
      <u/>
      <sz val="11"/>
      <color theme="10"/>
      <name val="Calibri"/>
      <family val="2"/>
      <scheme val="minor"/>
    </font>
    <font>
      <b/>
      <sz val="9"/>
      <name val="Times New Roman"/>
      <family val="1"/>
    </font>
    <font>
      <b/>
      <sz val="14"/>
      <color rgb="FFB22222"/>
      <name val="Times New Roman"/>
      <family val="1"/>
    </font>
    <font>
      <sz val="10"/>
      <color rgb="FF000000"/>
      <name val="Calibri"/>
      <family val="2"/>
      <scheme val="minor"/>
    </font>
    <font>
      <b/>
      <sz val="10"/>
      <color theme="0"/>
      <name val="Rockwell"/>
      <family val="1"/>
    </font>
    <font>
      <i/>
      <sz val="11"/>
      <name val="Calibri"/>
      <family val="2"/>
      <scheme val="minor"/>
    </font>
    <font>
      <i/>
      <sz val="11"/>
      <color theme="1"/>
      <name val="Calibri"/>
      <family val="2"/>
      <scheme val="minor"/>
    </font>
    <font>
      <sz val="10"/>
      <name val="Nirmala UI"/>
      <family val="2"/>
    </font>
    <font>
      <sz val="12"/>
      <color rgb="FF000000"/>
      <name val="Calibri"/>
      <family val="2"/>
      <scheme val="minor"/>
    </font>
    <font>
      <b/>
      <sz val="11"/>
      <color rgb="FF92D050"/>
      <name val="Calibri"/>
      <family val="2"/>
      <scheme val="minor"/>
    </font>
    <font>
      <b/>
      <sz val="14"/>
      <color rgb="FF92D050"/>
      <name val="Calibri"/>
      <family val="2"/>
      <scheme val="minor"/>
    </font>
    <font>
      <b/>
      <sz val="12"/>
      <color rgb="FF92D050"/>
      <name val="Calibri"/>
      <family val="2"/>
      <scheme val="minor"/>
    </font>
    <font>
      <b/>
      <sz val="8"/>
      <name val="Rockwell"/>
      <family val="1"/>
    </font>
    <font>
      <sz val="8"/>
      <name val="Rockwell"/>
      <family val="1"/>
    </font>
    <font>
      <b/>
      <i/>
      <sz val="11"/>
      <color theme="1"/>
      <name val="Calibri"/>
      <family val="2"/>
      <scheme val="minor"/>
    </font>
    <font>
      <sz val="8"/>
      <name val="Calibri"/>
      <family val="2"/>
      <scheme val="minor"/>
    </font>
    <font>
      <b/>
      <sz val="12"/>
      <color rgb="FF0000CD"/>
      <name val="Calibri"/>
      <family val="2"/>
      <scheme val="minor"/>
    </font>
    <font>
      <b/>
      <sz val="14"/>
      <color rgb="FF0000CD"/>
      <name val="Times New Roman"/>
      <family val="1"/>
    </font>
    <font>
      <sz val="10"/>
      <name val="Calibri"/>
      <family val="2"/>
      <scheme val="minor"/>
    </font>
    <font>
      <sz val="12"/>
      <name val="Arial"/>
      <family val="2"/>
    </font>
    <font>
      <b/>
      <sz val="11"/>
      <color rgb="FFFFFF00"/>
      <name val="Calibri"/>
      <family val="2"/>
      <scheme val="minor"/>
    </font>
    <font>
      <sz val="11"/>
      <color rgb="FF00B050"/>
      <name val="Calibri"/>
      <family val="2"/>
      <scheme val="minor"/>
    </font>
    <font>
      <sz val="11"/>
      <color rgb="FF222222"/>
      <name val="Arial"/>
      <family val="2"/>
    </font>
    <font>
      <b/>
      <sz val="11"/>
      <color rgb="FF0070C0"/>
      <name val="Rockwell"/>
      <family val="1"/>
    </font>
    <font>
      <sz val="11"/>
      <color rgb="FFFF0000"/>
      <name val="Calibri"/>
      <family val="2"/>
    </font>
    <font>
      <b/>
      <sz val="11"/>
      <color rgb="FFFF0000"/>
      <name val="Calibri"/>
      <family val="2"/>
    </font>
    <font>
      <sz val="14"/>
      <color rgb="FFFF0000"/>
      <name val="Arial Narrow"/>
      <family val="2"/>
    </font>
    <font>
      <b/>
      <sz val="9"/>
      <name val="Rockwell"/>
    </font>
    <font>
      <sz val="9"/>
      <name val="Rockwell"/>
    </font>
  </fonts>
  <fills count="24">
    <fill>
      <patternFill patternType="none"/>
    </fill>
    <fill>
      <patternFill patternType="gray125"/>
    </fill>
    <fill>
      <patternFill patternType="solid">
        <fgColor theme="0" tint="-0.34998626667073579"/>
        <bgColor indexed="64"/>
      </patternFill>
    </fill>
    <fill>
      <patternFill patternType="solid">
        <fgColor theme="0"/>
        <bgColor indexed="64"/>
      </patternFill>
    </fill>
    <fill>
      <patternFill patternType="solid">
        <fgColor theme="8" tint="-0.249977111117893"/>
        <bgColor indexed="64"/>
      </patternFill>
    </fill>
    <fill>
      <patternFill patternType="solid">
        <fgColor theme="6"/>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rgb="FFBFBFBF"/>
        <bgColor indexed="64"/>
      </patternFill>
    </fill>
    <fill>
      <patternFill patternType="solid">
        <fgColor theme="0" tint="-0.249977111117893"/>
        <bgColor indexed="64"/>
      </patternFill>
    </fill>
    <fill>
      <patternFill patternType="solid">
        <fgColor rgb="FF00B0F0"/>
        <bgColor indexed="64"/>
      </patternFill>
    </fill>
    <fill>
      <patternFill patternType="solid">
        <fgColor rgb="FF0070C0"/>
        <bgColor indexed="64"/>
      </patternFill>
    </fill>
    <fill>
      <patternFill patternType="solid">
        <fgColor rgb="FF03E7ED"/>
        <bgColor indexed="64"/>
      </patternFill>
    </fill>
    <fill>
      <patternFill patternType="solid">
        <fgColor rgb="FFA6A6A6"/>
        <bgColor rgb="FF000000"/>
      </patternFill>
    </fill>
    <fill>
      <patternFill patternType="solid">
        <fgColor rgb="FFFFC000"/>
        <bgColor indexed="64"/>
      </patternFill>
    </fill>
    <fill>
      <patternFill patternType="solid">
        <fgColor rgb="FF7030A0"/>
        <bgColor indexed="64"/>
      </patternFill>
    </fill>
    <fill>
      <patternFill patternType="solid">
        <fgColor theme="2" tint="-0.499984740745262"/>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9" tint="-0.249977111117893"/>
        <bgColor indexed="64"/>
      </patternFill>
    </fill>
    <fill>
      <patternFill patternType="solid">
        <fgColor rgb="FF00CC00"/>
        <bgColor indexed="64"/>
      </patternFill>
    </fill>
  </fills>
  <borders count="9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right style="thick">
        <color auto="1"/>
      </right>
      <top style="thin">
        <color auto="1"/>
      </top>
      <bottom style="thin">
        <color auto="1"/>
      </bottom>
      <diagonal/>
    </border>
    <border>
      <left style="thin">
        <color auto="1"/>
      </left>
      <right style="thin">
        <color auto="1"/>
      </right>
      <top style="thin">
        <color auto="1"/>
      </top>
      <bottom style="thick">
        <color auto="1"/>
      </bottom>
      <diagonal/>
    </border>
    <border>
      <left/>
      <right style="thick">
        <color auto="1"/>
      </right>
      <top style="thin">
        <color auto="1"/>
      </top>
      <bottom style="thick">
        <color auto="1"/>
      </bottom>
      <diagonal/>
    </border>
    <border>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style="thick">
        <color auto="1"/>
      </top>
      <bottom style="thick">
        <color auto="1"/>
      </bottom>
      <diagonal/>
    </border>
    <border>
      <left style="thin">
        <color auto="1"/>
      </left>
      <right/>
      <top/>
      <bottom style="thin">
        <color auto="1"/>
      </bottom>
      <diagonal/>
    </border>
    <border>
      <left/>
      <right style="thin">
        <color auto="1"/>
      </right>
      <top/>
      <bottom style="thin">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right style="thin">
        <color auto="1"/>
      </right>
      <top style="thick">
        <color auto="1"/>
      </top>
      <bottom style="thick">
        <color auto="1"/>
      </bottom>
      <diagonal/>
    </border>
    <border>
      <left/>
      <right style="thin">
        <color theme="0" tint="-0.14990691854609822"/>
      </right>
      <top style="thin">
        <color theme="0" tint="-0.14990691854609822"/>
      </top>
      <bottom style="thin">
        <color theme="0" tint="-0.14990691854609822"/>
      </bottom>
      <diagonal/>
    </border>
    <border>
      <left/>
      <right style="thin">
        <color theme="0" tint="-0.14993743705557422"/>
      </right>
      <top style="thin">
        <color theme="0" tint="-0.14993743705557422"/>
      </top>
      <bottom/>
      <diagonal/>
    </border>
    <border>
      <left style="thick">
        <color auto="1"/>
      </left>
      <right style="thin">
        <color auto="1"/>
      </right>
      <top style="thick">
        <color auto="1"/>
      </top>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right style="thin">
        <color auto="1"/>
      </right>
      <top style="thick">
        <color auto="1"/>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style="thick">
        <color auto="1"/>
      </top>
      <bottom/>
      <diagonal/>
    </border>
    <border>
      <left style="thick">
        <color auto="1"/>
      </left>
      <right style="thick">
        <color auto="1"/>
      </right>
      <top/>
      <bottom/>
      <diagonal/>
    </border>
    <border>
      <left style="thick">
        <color auto="1"/>
      </left>
      <right style="thick">
        <color auto="1"/>
      </right>
      <top/>
      <bottom style="thick">
        <color auto="1"/>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top style="thin">
        <color auto="1"/>
      </top>
      <bottom/>
      <diagonal/>
    </border>
    <border>
      <left style="medium">
        <color rgb="FF000000"/>
      </left>
      <right style="medium">
        <color rgb="FF000000"/>
      </right>
      <top/>
      <bottom style="medium">
        <color rgb="FF000000"/>
      </bottom>
      <diagonal/>
    </border>
    <border>
      <left/>
      <right/>
      <top/>
      <bottom style="thin">
        <color auto="1"/>
      </bottom>
      <diagonal/>
    </border>
    <border>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diagonal/>
    </border>
    <border>
      <left/>
      <right style="medium">
        <color rgb="FF000000"/>
      </right>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style="medium">
        <color indexed="64"/>
      </left>
      <right/>
      <top style="medium">
        <color rgb="FF000000"/>
      </top>
      <bottom/>
      <diagonal/>
    </border>
    <border>
      <left/>
      <right style="medium">
        <color indexed="64"/>
      </right>
      <top style="medium">
        <color rgb="FF000000"/>
      </top>
      <bottom/>
      <diagonal/>
    </border>
    <border>
      <left style="medium">
        <color indexed="64"/>
      </left>
      <right style="medium">
        <color rgb="FF000000"/>
      </right>
      <top style="medium">
        <color rgb="FF000000"/>
      </top>
      <bottom style="medium">
        <color rgb="FF000000"/>
      </bottom>
      <diagonal/>
    </border>
    <border>
      <left style="medium">
        <color rgb="FF000000"/>
      </left>
      <right style="medium">
        <color indexed="64"/>
      </right>
      <top style="medium">
        <color rgb="FF000000"/>
      </top>
      <bottom style="medium">
        <color rgb="FF000000"/>
      </bottom>
      <diagonal/>
    </border>
    <border>
      <left style="medium">
        <color indexed="64"/>
      </left>
      <right/>
      <top/>
      <bottom style="medium">
        <color indexed="64"/>
      </bottom>
      <diagonal/>
    </border>
    <border>
      <left/>
      <right/>
      <top/>
      <bottom style="medium">
        <color indexed="64"/>
      </bottom>
      <diagonal/>
    </border>
    <border>
      <left/>
      <right style="medium">
        <color rgb="FF000000"/>
      </right>
      <top/>
      <bottom style="medium">
        <color indexed="64"/>
      </bottom>
      <diagonal/>
    </border>
    <border>
      <left style="medium">
        <color rgb="FF000000"/>
      </left>
      <right/>
      <top/>
      <bottom style="medium">
        <color indexed="64"/>
      </bottom>
      <diagonal/>
    </border>
    <border>
      <left/>
      <right/>
      <top style="medium">
        <color indexed="64"/>
      </top>
      <bottom style="medium">
        <color rgb="FF000000"/>
      </bottom>
      <diagonal/>
    </border>
    <border>
      <left style="thick">
        <color auto="1"/>
      </left>
      <right/>
      <top style="thick">
        <color auto="1"/>
      </top>
      <bottom style="thick">
        <color auto="1"/>
      </bottom>
      <diagonal/>
    </border>
    <border>
      <left style="thick">
        <color auto="1"/>
      </left>
      <right style="medium">
        <color auto="1"/>
      </right>
      <top style="thick">
        <color auto="1"/>
      </top>
      <bottom style="thick">
        <color auto="1"/>
      </bottom>
      <diagonal/>
    </border>
    <border>
      <left style="medium">
        <color auto="1"/>
      </left>
      <right style="medium">
        <color auto="1"/>
      </right>
      <top style="thick">
        <color auto="1"/>
      </top>
      <bottom style="thick">
        <color auto="1"/>
      </bottom>
      <diagonal/>
    </border>
    <border>
      <left style="medium">
        <color auto="1"/>
      </left>
      <right style="thick">
        <color auto="1"/>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ck">
        <color auto="1"/>
      </left>
      <right style="thin">
        <color auto="1"/>
      </right>
      <top/>
      <bottom style="thin">
        <color auto="1"/>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ck">
        <color auto="1"/>
      </right>
      <top style="thin">
        <color auto="1"/>
      </top>
      <bottom style="thick">
        <color auto="1"/>
      </bottom>
      <diagonal/>
    </border>
    <border>
      <left style="thick">
        <color auto="1"/>
      </left>
      <right style="thick">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indexed="64"/>
      </left>
      <right style="thin">
        <color indexed="64"/>
      </right>
      <top style="thin">
        <color indexed="64"/>
      </top>
      <bottom/>
      <diagonal/>
    </border>
    <border>
      <left style="thick">
        <color auto="1"/>
      </left>
      <right/>
      <top/>
      <bottom/>
      <diagonal/>
    </border>
    <border>
      <left style="thick">
        <color auto="1"/>
      </left>
      <right style="medium">
        <color auto="1"/>
      </right>
      <top style="thick">
        <color auto="1"/>
      </top>
      <bottom/>
      <diagonal/>
    </border>
    <border>
      <left style="medium">
        <color auto="1"/>
      </left>
      <right style="medium">
        <color auto="1"/>
      </right>
      <top style="thick">
        <color auto="1"/>
      </top>
      <bottom/>
      <diagonal/>
    </border>
    <border>
      <left style="medium">
        <color auto="1"/>
      </left>
      <right style="thick">
        <color auto="1"/>
      </right>
      <top style="thick">
        <color auto="1"/>
      </top>
      <bottom/>
      <diagonal/>
    </border>
    <border>
      <left/>
      <right style="thick">
        <color auto="1"/>
      </right>
      <top/>
      <bottom/>
      <diagonal/>
    </border>
    <border>
      <left/>
      <right style="thick">
        <color auto="1"/>
      </right>
      <top style="thick">
        <color auto="1"/>
      </top>
      <bottom style="thin">
        <color auto="1"/>
      </bottom>
      <diagonal/>
    </border>
    <border>
      <left style="thick">
        <color auto="1"/>
      </left>
      <right style="thin">
        <color auto="1"/>
      </right>
      <top style="thin">
        <color auto="1"/>
      </top>
      <bottom style="thick">
        <color auto="1"/>
      </bottom>
      <diagonal/>
    </border>
    <border>
      <left style="thin">
        <color auto="1"/>
      </left>
      <right/>
      <top style="thick">
        <color auto="1"/>
      </top>
      <bottom style="thick">
        <color auto="1"/>
      </bottom>
      <diagonal/>
    </border>
    <border>
      <left style="medium">
        <color auto="1"/>
      </left>
      <right style="medium">
        <color auto="1"/>
      </right>
      <top/>
      <bottom style="thin">
        <color auto="1"/>
      </bottom>
      <diagonal/>
    </border>
    <border>
      <left/>
      <right style="thin">
        <color theme="0" tint="-0.14990691854609822"/>
      </right>
      <top/>
      <bottom style="thin">
        <color theme="0" tint="-0.14990691854609822"/>
      </bottom>
      <diagonal/>
    </border>
    <border>
      <left style="thick">
        <color auto="1"/>
      </left>
      <right style="thick">
        <color auto="1"/>
      </right>
      <top style="thin">
        <color indexed="64"/>
      </top>
      <bottom style="thin">
        <color theme="0"/>
      </bottom>
      <diagonal/>
    </border>
    <border>
      <left style="thick">
        <color auto="1"/>
      </left>
      <right style="thick">
        <color auto="1"/>
      </right>
      <top style="thin">
        <color theme="0"/>
      </top>
      <bottom style="thin">
        <color theme="0"/>
      </bottom>
      <diagonal/>
    </border>
    <border>
      <left style="thick">
        <color auto="1"/>
      </left>
      <right style="thick">
        <color auto="1"/>
      </right>
      <top style="thin">
        <color theme="0"/>
      </top>
      <bottom style="thin">
        <color auto="1"/>
      </bottom>
      <diagonal/>
    </border>
    <border>
      <left style="thin">
        <color auto="1"/>
      </left>
      <right style="thin">
        <color auto="1"/>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style="thin">
        <color indexed="64"/>
      </top>
      <bottom style="thick">
        <color indexed="64"/>
      </bottom>
      <diagonal/>
    </border>
    <border>
      <left/>
      <right/>
      <top style="thin">
        <color auto="1"/>
      </top>
      <bottom style="thin">
        <color auto="1"/>
      </bottom>
      <diagonal/>
    </border>
  </borders>
  <cellStyleXfs count="7">
    <xf numFmtId="0" fontId="0" fillId="0" borderId="0"/>
    <xf numFmtId="164" fontId="33" fillId="0" borderId="0" applyFont="0" applyFill="0" applyBorder="0" applyAlignment="0" applyProtection="0"/>
    <xf numFmtId="9" fontId="33" fillId="0" borderId="0" applyFont="0" applyFill="0" applyBorder="0" applyAlignment="0" applyProtection="0"/>
    <xf numFmtId="166" fontId="33" fillId="0" borderId="0" applyFont="0" applyFill="0" applyBorder="0" applyAlignment="0" applyProtection="0"/>
    <xf numFmtId="0" fontId="84" fillId="0" borderId="0"/>
    <xf numFmtId="166" fontId="84" fillId="0" borderId="0" applyFill="0" applyBorder="0" applyAlignment="0" applyProtection="0"/>
    <xf numFmtId="0" fontId="105" fillId="0" borderId="0" applyNumberFormat="0" applyFill="0" applyBorder="0" applyAlignment="0" applyProtection="0"/>
  </cellStyleXfs>
  <cellXfs count="978">
    <xf numFmtId="0" fontId="0" fillId="0" borderId="0" xfId="0"/>
    <xf numFmtId="0" fontId="0" fillId="3" borderId="0" xfId="0" applyFill="1" applyBorder="1"/>
    <xf numFmtId="0" fontId="0" fillId="0" borderId="0" xfId="0" applyAlignment="1">
      <alignment horizontal="center" vertical="center"/>
    </xf>
    <xf numFmtId="0" fontId="14" fillId="3" borderId="0" xfId="0" applyFont="1" applyFill="1" applyBorder="1"/>
    <xf numFmtId="0" fontId="2" fillId="2" borderId="1" xfId="0" applyFont="1" applyFill="1" applyBorder="1" applyAlignment="1">
      <alignment horizontal="center" vertical="center"/>
    </xf>
    <xf numFmtId="0" fontId="3" fillId="0" borderId="1" xfId="0" applyFont="1" applyBorder="1" applyAlignment="1">
      <alignment horizontal="center" vertical="center"/>
    </xf>
    <xf numFmtId="0" fontId="0" fillId="0" borderId="0" xfId="0" applyAlignment="1">
      <alignment horizontal="right"/>
    </xf>
    <xf numFmtId="0" fontId="0" fillId="0" borderId="0" xfId="0" applyProtection="1"/>
    <xf numFmtId="0" fontId="3" fillId="0" borderId="38" xfId="0" applyNumberFormat="1" applyFont="1" applyBorder="1" applyAlignment="1" applyProtection="1">
      <alignment horizontal="center" vertical="center" wrapText="1"/>
    </xf>
    <xf numFmtId="0" fontId="6" fillId="0" borderId="44" xfId="0" applyFont="1" applyBorder="1" applyAlignment="1" applyProtection="1">
      <alignment horizontal="right" vertical="center"/>
    </xf>
    <xf numFmtId="0" fontId="0" fillId="0" borderId="44" xfId="0" applyBorder="1" applyAlignment="1" applyProtection="1">
      <alignment horizontal="center" vertical="center"/>
    </xf>
    <xf numFmtId="0" fontId="14" fillId="0" borderId="44" xfId="0" applyFont="1" applyBorder="1" applyAlignment="1" applyProtection="1">
      <alignment horizontal="center" vertical="center"/>
    </xf>
    <xf numFmtId="0" fontId="25" fillId="0" borderId="57" xfId="0" applyFont="1" applyBorder="1" applyAlignment="1" applyProtection="1">
      <alignment horizontal="center" vertical="center" wrapText="1"/>
    </xf>
    <xf numFmtId="0" fontId="25" fillId="0" borderId="38" xfId="0" applyFont="1" applyBorder="1" applyAlignment="1" applyProtection="1">
      <alignment horizontal="center" vertical="center" wrapText="1"/>
    </xf>
    <xf numFmtId="0" fontId="25" fillId="0" borderId="58" xfId="0" applyFont="1" applyBorder="1" applyAlignment="1" applyProtection="1">
      <alignment horizontal="center" vertical="center" wrapText="1"/>
    </xf>
    <xf numFmtId="0" fontId="3" fillId="0" borderId="57" xfId="0" applyFont="1" applyBorder="1" applyAlignment="1" applyProtection="1">
      <alignment horizontal="center" vertical="center" wrapText="1"/>
    </xf>
    <xf numFmtId="0" fontId="3" fillId="0" borderId="38" xfId="0" applyFont="1" applyBorder="1" applyAlignment="1" applyProtection="1">
      <alignment horizontal="center" vertical="center" wrapText="1"/>
    </xf>
    <xf numFmtId="0" fontId="14" fillId="0" borderId="54" xfId="0" applyFont="1" applyBorder="1" applyAlignment="1" applyProtection="1">
      <alignment horizontal="right"/>
    </xf>
    <xf numFmtId="0" fontId="14" fillId="0" borderId="0" xfId="0" applyFont="1" applyAlignment="1" applyProtection="1">
      <alignment horizontal="right"/>
    </xf>
    <xf numFmtId="0" fontId="11" fillId="0" borderId="0" xfId="0" applyFont="1" applyAlignment="1" applyProtection="1">
      <alignment horizontal="right"/>
    </xf>
    <xf numFmtId="0" fontId="11" fillId="2" borderId="13" xfId="0" applyFont="1" applyFill="1" applyBorder="1" applyAlignment="1" applyProtection="1">
      <alignment horizontal="center" vertical="center" wrapText="1"/>
    </xf>
    <xf numFmtId="0" fontId="14" fillId="0" borderId="0" xfId="0" applyFont="1" applyAlignment="1" applyProtection="1">
      <alignment horizontal="center" vertical="center"/>
    </xf>
    <xf numFmtId="0" fontId="0" fillId="0" borderId="0" xfId="0" applyAlignment="1" applyProtection="1">
      <alignment horizontal="center" vertical="center"/>
    </xf>
    <xf numFmtId="0" fontId="3" fillId="0" borderId="42" xfId="0" applyFont="1" applyBorder="1" applyAlignment="1" applyProtection="1">
      <alignment horizontal="center"/>
    </xf>
    <xf numFmtId="0" fontId="0" fillId="0" borderId="42" xfId="0" applyBorder="1" applyAlignment="1" applyProtection="1"/>
    <xf numFmtId="0" fontId="3" fillId="0" borderId="42" xfId="0" applyFont="1" applyBorder="1" applyAlignment="1" applyProtection="1">
      <alignment horizontal="center" wrapText="1"/>
    </xf>
    <xf numFmtId="0" fontId="3" fillId="0" borderId="0" xfId="0" applyFont="1" applyAlignment="1" applyProtection="1">
      <alignment horizontal="center" vertical="center"/>
    </xf>
    <xf numFmtId="0" fontId="16" fillId="0" borderId="0" xfId="0" applyFont="1" applyAlignment="1" applyProtection="1">
      <alignment vertical="center"/>
    </xf>
    <xf numFmtId="0" fontId="21" fillId="0" borderId="0" xfId="0" applyFont="1" applyAlignment="1" applyProtection="1">
      <alignment horizontal="justify" vertical="center"/>
    </xf>
    <xf numFmtId="0" fontId="2" fillId="0" borderId="0" xfId="0" applyFont="1" applyAlignment="1" applyProtection="1">
      <alignment horizontal="center" vertical="center"/>
    </xf>
    <xf numFmtId="0" fontId="2" fillId="0" borderId="0" xfId="0" applyFont="1" applyAlignment="1" applyProtection="1">
      <alignment vertical="center"/>
    </xf>
    <xf numFmtId="0" fontId="6" fillId="0" borderId="0" xfId="0" applyFont="1" applyBorder="1" applyAlignment="1" applyProtection="1">
      <alignment horizontal="right" vertical="center"/>
    </xf>
    <xf numFmtId="0" fontId="11" fillId="2" borderId="13" xfId="0" applyFont="1" applyFill="1" applyBorder="1" applyAlignment="1" applyProtection="1">
      <alignment horizontal="center" vertical="center"/>
    </xf>
    <xf numFmtId="0" fontId="10" fillId="0" borderId="13" xfId="0" applyFont="1" applyBorder="1" applyAlignment="1" applyProtection="1">
      <alignment horizontal="center" vertical="center" wrapText="1"/>
    </xf>
    <xf numFmtId="0" fontId="0" fillId="0" borderId="0" xfId="0"/>
    <xf numFmtId="0" fontId="31" fillId="0" borderId="0" xfId="0" applyFont="1"/>
    <xf numFmtId="0" fontId="2" fillId="0" borderId="38" xfId="0" applyFont="1" applyBorder="1" applyAlignment="1" applyProtection="1">
      <alignment horizontal="center" vertical="center"/>
    </xf>
    <xf numFmtId="0" fontId="3" fillId="0" borderId="33" xfId="0" applyFont="1" applyBorder="1" applyAlignment="1" applyProtection="1">
      <alignment horizontal="center" vertical="center" wrapText="1"/>
    </xf>
    <xf numFmtId="0" fontId="31" fillId="0" borderId="0" xfId="0" applyFont="1" applyAlignment="1">
      <alignment horizontal="center" vertical="center"/>
    </xf>
    <xf numFmtId="170" fontId="3" fillId="0" borderId="29" xfId="0" applyNumberFormat="1" applyFont="1" applyBorder="1" applyAlignment="1" applyProtection="1">
      <alignment horizontal="center" vertical="center" wrapText="1"/>
    </xf>
    <xf numFmtId="0" fontId="31" fillId="0" borderId="0" xfId="0" applyFont="1" applyAlignment="1" applyProtection="1">
      <alignment horizontal="center" vertical="center"/>
    </xf>
    <xf numFmtId="0" fontId="31" fillId="0" borderId="0" xfId="0" applyFont="1" applyProtection="1"/>
    <xf numFmtId="168" fontId="16" fillId="0" borderId="38" xfId="0" applyNumberFormat="1" applyFont="1" applyBorder="1" applyAlignment="1" applyProtection="1">
      <alignment horizontal="center" vertical="center" wrapText="1"/>
    </xf>
    <xf numFmtId="169" fontId="16" fillId="0" borderId="38" xfId="0" applyNumberFormat="1" applyFont="1" applyBorder="1" applyAlignment="1" applyProtection="1">
      <alignment horizontal="center" vertical="center" wrapText="1"/>
    </xf>
    <xf numFmtId="167" fontId="3" fillId="0" borderId="31" xfId="0" applyNumberFormat="1" applyFont="1" applyBorder="1" applyAlignment="1" applyProtection="1">
      <alignment horizontal="center" vertical="center" wrapText="1"/>
    </xf>
    <xf numFmtId="0" fontId="0" fillId="0" borderId="1" xfId="0" applyBorder="1"/>
    <xf numFmtId="0" fontId="14" fillId="0" borderId="1" xfId="0" applyFont="1" applyBorder="1" applyAlignment="1"/>
    <xf numFmtId="0" fontId="2" fillId="0" borderId="60" xfId="0" applyFont="1" applyBorder="1" applyAlignment="1" applyProtection="1">
      <alignment horizontal="justify" vertical="center"/>
      <protection locked="0"/>
    </xf>
    <xf numFmtId="3" fontId="3" fillId="0" borderId="38" xfId="0" applyNumberFormat="1" applyFont="1" applyBorder="1" applyAlignment="1" applyProtection="1">
      <alignment horizontal="center" vertical="center" wrapText="1"/>
    </xf>
    <xf numFmtId="3" fontId="3" fillId="0" borderId="33" xfId="0" applyNumberFormat="1" applyFont="1" applyBorder="1" applyAlignment="1" applyProtection="1">
      <alignment horizontal="center" vertical="center" wrapText="1"/>
    </xf>
    <xf numFmtId="0" fontId="11" fillId="0" borderId="34" xfId="0" applyFont="1" applyBorder="1" applyAlignment="1" applyProtection="1">
      <alignment horizontal="center" vertical="center" wrapText="1"/>
    </xf>
    <xf numFmtId="0" fontId="0" fillId="0" borderId="0" xfId="0" applyFill="1"/>
    <xf numFmtId="0" fontId="11" fillId="0" borderId="13" xfId="0" applyFont="1" applyBorder="1" applyAlignment="1" applyProtection="1">
      <alignment horizontal="center" vertical="center" wrapText="1"/>
    </xf>
    <xf numFmtId="0" fontId="3" fillId="0" borderId="0" xfId="0" applyFont="1" applyAlignment="1" applyProtection="1">
      <alignment horizontal="right"/>
    </xf>
    <xf numFmtId="171" fontId="2" fillId="0" borderId="0" xfId="0" applyNumberFormat="1" applyFont="1" applyAlignment="1" applyProtection="1">
      <alignment horizontal="left"/>
    </xf>
    <xf numFmtId="0" fontId="8" fillId="2" borderId="13" xfId="0" applyFont="1" applyFill="1" applyBorder="1" applyAlignment="1" applyProtection="1">
      <alignment horizontal="center" vertical="center" wrapText="1"/>
    </xf>
    <xf numFmtId="0" fontId="35" fillId="0" borderId="0" xfId="0" applyFont="1" applyAlignment="1">
      <alignment horizontal="center" vertical="center"/>
    </xf>
    <xf numFmtId="0" fontId="35" fillId="0" borderId="0" xfId="0" applyFont="1"/>
    <xf numFmtId="0" fontId="35" fillId="0" borderId="0" xfId="0" applyFont="1" applyFill="1" applyBorder="1"/>
    <xf numFmtId="0" fontId="5" fillId="0" borderId="0" xfId="0" applyFont="1" applyFill="1" applyAlignment="1" applyProtection="1">
      <alignment vertical="center" wrapText="1"/>
      <protection locked="0"/>
    </xf>
    <xf numFmtId="0" fontId="0" fillId="0" borderId="0" xfId="0" applyFill="1" applyProtection="1"/>
    <xf numFmtId="0" fontId="14" fillId="0" borderId="0" xfId="0" applyFont="1" applyFill="1" applyAlignment="1" applyProtection="1">
      <alignment horizontal="center" vertical="center"/>
    </xf>
    <xf numFmtId="0" fontId="0" fillId="0" borderId="0" xfId="0" applyFill="1" applyAlignment="1" applyProtection="1">
      <alignment horizontal="center" vertical="center"/>
    </xf>
    <xf numFmtId="0" fontId="37" fillId="0" borderId="0" xfId="0" applyFont="1" applyAlignment="1">
      <alignment horizontal="center" vertical="center"/>
    </xf>
    <xf numFmtId="0" fontId="25" fillId="0" borderId="38" xfId="0" applyFont="1" applyBorder="1" applyAlignment="1" applyProtection="1">
      <alignment horizontal="center" vertical="center" wrapText="1"/>
    </xf>
    <xf numFmtId="0" fontId="0" fillId="0" borderId="0" xfId="0"/>
    <xf numFmtId="0" fontId="0" fillId="0" borderId="0" xfId="0" applyFill="1" applyBorder="1" applyProtection="1"/>
    <xf numFmtId="0" fontId="14" fillId="0" borderId="0" xfId="0" applyFont="1" applyFill="1" applyBorder="1" applyProtection="1"/>
    <xf numFmtId="0" fontId="0" fillId="0" borderId="0" xfId="0" applyFill="1" applyBorder="1"/>
    <xf numFmtId="0" fontId="0" fillId="0" borderId="0" xfId="0" applyFill="1" applyAlignment="1" applyProtection="1">
      <alignment horizontal="left" vertical="center" wrapText="1"/>
    </xf>
    <xf numFmtId="0" fontId="2" fillId="0" borderId="0" xfId="0" applyFont="1" applyAlignment="1" applyProtection="1">
      <alignment vertical="center" wrapText="1"/>
    </xf>
    <xf numFmtId="0" fontId="11" fillId="0" borderId="0" xfId="0" applyFont="1" applyAlignment="1" applyProtection="1">
      <alignment horizontal="right"/>
    </xf>
    <xf numFmtId="0" fontId="25" fillId="0" borderId="38" xfId="0" applyFont="1" applyBorder="1" applyAlignment="1" applyProtection="1">
      <alignment horizontal="center" vertical="center" wrapText="1"/>
    </xf>
    <xf numFmtId="0" fontId="14" fillId="0" borderId="1" xfId="0" quotePrefix="1" applyFont="1" applyBorder="1" applyAlignment="1"/>
    <xf numFmtId="0" fontId="44" fillId="0" borderId="0" xfId="0" applyFont="1" applyFill="1" applyAlignment="1">
      <alignment horizontal="center" vertical="center"/>
    </xf>
    <xf numFmtId="0" fontId="46" fillId="0" borderId="0" xfId="0" applyFont="1" applyAlignment="1">
      <alignment horizontal="center" vertical="center"/>
    </xf>
    <xf numFmtId="0" fontId="39" fillId="0" borderId="0" xfId="0" applyFont="1" applyFill="1" applyBorder="1" applyAlignment="1">
      <alignment horizontal="center" vertical="center"/>
    </xf>
    <xf numFmtId="168" fontId="46" fillId="0" borderId="73" xfId="0" applyNumberFormat="1" applyFont="1" applyBorder="1" applyAlignment="1">
      <alignment horizontal="center" vertical="center"/>
    </xf>
    <xf numFmtId="168" fontId="46" fillId="0" borderId="0" xfId="0" applyNumberFormat="1" applyFont="1" applyBorder="1" applyAlignment="1">
      <alignment horizontal="center" vertical="center"/>
    </xf>
    <xf numFmtId="0" fontId="48" fillId="3" borderId="0" xfId="0" applyFont="1" applyFill="1" applyBorder="1" applyAlignment="1">
      <alignment horizontal="center" vertical="center"/>
    </xf>
    <xf numFmtId="0" fontId="46" fillId="0" borderId="75" xfId="0" applyFont="1" applyBorder="1" applyAlignment="1">
      <alignment horizontal="center" vertical="center"/>
    </xf>
    <xf numFmtId="0" fontId="46" fillId="0" borderId="76" xfId="0" applyFont="1" applyBorder="1" applyAlignment="1">
      <alignment horizontal="center" vertical="center"/>
    </xf>
    <xf numFmtId="0" fontId="41" fillId="10" borderId="71" xfId="0" applyFont="1" applyFill="1" applyBorder="1" applyAlignment="1">
      <alignment horizontal="center" vertical="center"/>
    </xf>
    <xf numFmtId="0" fontId="40" fillId="0" borderId="1" xfId="0" applyFont="1" applyBorder="1" applyAlignment="1">
      <alignment horizontal="center" vertical="center"/>
    </xf>
    <xf numFmtId="0" fontId="39" fillId="0" borderId="0" xfId="0" applyFont="1" applyAlignment="1">
      <alignment horizontal="center" vertical="center"/>
    </xf>
    <xf numFmtId="0" fontId="3" fillId="0" borderId="38" xfId="0" applyFont="1" applyBorder="1" applyAlignment="1" applyProtection="1">
      <alignment horizontal="justify" vertical="top" wrapText="1"/>
    </xf>
    <xf numFmtId="0" fontId="46" fillId="0" borderId="0" xfId="0" applyFont="1"/>
    <xf numFmtId="0" fontId="46" fillId="0" borderId="0" xfId="0" applyFont="1" applyProtection="1"/>
    <xf numFmtId="0" fontId="46" fillId="0" borderId="0" xfId="0" applyFont="1" applyBorder="1" applyAlignment="1" applyProtection="1">
      <alignment wrapText="1"/>
    </xf>
    <xf numFmtId="0" fontId="46" fillId="0" borderId="0" xfId="0" applyFont="1" applyAlignment="1">
      <alignment wrapText="1"/>
    </xf>
    <xf numFmtId="0" fontId="56" fillId="3" borderId="0" xfId="0" applyFont="1" applyFill="1" applyAlignment="1" applyProtection="1">
      <alignment wrapText="1"/>
    </xf>
    <xf numFmtId="167" fontId="59" fillId="3" borderId="21" xfId="0" applyNumberFormat="1" applyFont="1" applyFill="1" applyBorder="1" applyAlignment="1">
      <alignment horizontal="center" vertical="center"/>
    </xf>
    <xf numFmtId="167" fontId="40" fillId="0" borderId="1" xfId="0" applyNumberFormat="1" applyFont="1" applyBorder="1" applyAlignment="1" applyProtection="1">
      <alignment horizontal="center" vertical="center" wrapText="1"/>
    </xf>
    <xf numFmtId="0" fontId="40" fillId="0" borderId="1" xfId="0" applyFont="1" applyBorder="1" applyAlignment="1" applyProtection="1">
      <alignment horizontal="center" vertical="center" wrapText="1"/>
    </xf>
    <xf numFmtId="0" fontId="40" fillId="0" borderId="1" xfId="0" applyNumberFormat="1" applyFont="1" applyBorder="1" applyAlignment="1" applyProtection="1">
      <alignment horizontal="center" vertical="center" wrapText="1"/>
      <protection locked="0"/>
    </xf>
    <xf numFmtId="0" fontId="56" fillId="0" borderId="8" xfId="0" applyFont="1" applyBorder="1" applyAlignment="1" applyProtection="1">
      <alignment horizontal="center" vertical="center" wrapText="1"/>
      <protection locked="0"/>
    </xf>
    <xf numFmtId="170" fontId="39" fillId="0" borderId="7" xfId="0" applyNumberFormat="1" applyFont="1" applyBorder="1" applyAlignment="1" applyProtection="1">
      <alignment horizontal="center" vertical="center" wrapText="1"/>
      <protection locked="0"/>
    </xf>
    <xf numFmtId="0" fontId="39" fillId="3" borderId="20" xfId="0" applyFont="1" applyFill="1" applyBorder="1" applyAlignment="1">
      <alignment horizontal="center" vertical="center" wrapText="1"/>
    </xf>
    <xf numFmtId="0" fontId="40" fillId="0" borderId="9" xfId="0" applyFont="1" applyBorder="1" applyAlignment="1" applyProtection="1">
      <alignment horizontal="center" vertical="center" wrapText="1"/>
    </xf>
    <xf numFmtId="0" fontId="40" fillId="0" borderId="9" xfId="0" applyNumberFormat="1" applyFont="1" applyBorder="1" applyAlignment="1" applyProtection="1">
      <alignment horizontal="center" vertical="center" wrapText="1"/>
      <protection locked="0"/>
    </xf>
    <xf numFmtId="0" fontId="56" fillId="0" borderId="10" xfId="0" applyFont="1" applyBorder="1" applyAlignment="1" applyProtection="1">
      <alignment horizontal="center" vertical="center" wrapText="1"/>
      <protection locked="0"/>
    </xf>
    <xf numFmtId="167" fontId="40" fillId="0" borderId="9" xfId="0" applyNumberFormat="1" applyFont="1" applyBorder="1" applyAlignment="1" applyProtection="1">
      <alignment horizontal="center" vertical="center" wrapText="1"/>
    </xf>
    <xf numFmtId="0" fontId="40" fillId="0" borderId="0" xfId="0" applyFont="1" applyAlignment="1" applyProtection="1">
      <alignment wrapText="1"/>
    </xf>
    <xf numFmtId="0" fontId="40" fillId="4" borderId="3" xfId="0" applyFont="1" applyFill="1" applyBorder="1" applyAlignment="1" applyProtection="1">
      <alignment horizontal="center" vertical="center" wrapText="1"/>
    </xf>
    <xf numFmtId="167" fontId="60" fillId="0" borderId="3" xfId="0" applyNumberFormat="1" applyFont="1" applyBorder="1" applyAlignment="1" applyProtection="1">
      <alignment horizontal="center" vertical="center" wrapText="1"/>
    </xf>
    <xf numFmtId="0" fontId="40" fillId="0" borderId="0" xfId="0" applyFont="1" applyAlignment="1" applyProtection="1">
      <alignment horizontal="center" vertical="center" wrapText="1"/>
    </xf>
    <xf numFmtId="167" fontId="40" fillId="0" borderId="0" xfId="0" applyNumberFormat="1" applyFont="1" applyAlignment="1" applyProtection="1">
      <alignment wrapText="1"/>
    </xf>
    <xf numFmtId="0" fontId="40" fillId="4" borderId="1" xfId="0" applyFont="1" applyFill="1" applyBorder="1" applyAlignment="1" applyProtection="1">
      <alignment horizontal="center" vertical="center" wrapText="1"/>
    </xf>
    <xf numFmtId="0" fontId="60" fillId="0" borderId="1" xfId="0" applyNumberFormat="1" applyFont="1" applyBorder="1" applyAlignment="1" applyProtection="1">
      <alignment horizontal="center" vertical="center" wrapText="1"/>
    </xf>
    <xf numFmtId="0" fontId="63" fillId="0" borderId="1" xfId="0" applyFont="1" applyBorder="1" applyAlignment="1" applyProtection="1">
      <alignment horizontal="center" vertical="center" wrapText="1"/>
      <protection locked="0"/>
    </xf>
    <xf numFmtId="170" fontId="40" fillId="0" borderId="7" xfId="0" applyNumberFormat="1" applyFont="1" applyBorder="1" applyAlignment="1" applyProtection="1">
      <alignment horizontal="center" vertical="center" wrapText="1"/>
      <protection locked="0"/>
    </xf>
    <xf numFmtId="0" fontId="46" fillId="0" borderId="0" xfId="0" applyFont="1" applyProtection="1">
      <protection locked="0"/>
    </xf>
    <xf numFmtId="0" fontId="46" fillId="0" borderId="0" xfId="0" quotePrefix="1" applyFont="1" applyAlignment="1">
      <alignment horizontal="center" vertical="center"/>
    </xf>
    <xf numFmtId="0" fontId="8" fillId="0" borderId="1" xfId="0" applyFont="1" applyBorder="1"/>
    <xf numFmtId="164" fontId="1" fillId="0" borderId="1" xfId="1" applyFont="1" applyBorder="1" applyAlignment="1">
      <alignment horizontal="center"/>
    </xf>
    <xf numFmtId="0" fontId="8" fillId="10" borderId="1" xfId="0" applyFont="1" applyFill="1" applyBorder="1"/>
    <xf numFmtId="164" fontId="8" fillId="10" borderId="1" xfId="0" applyNumberFormat="1" applyFont="1" applyFill="1" applyBorder="1" applyAlignment="1">
      <alignment horizontal="center"/>
    </xf>
    <xf numFmtId="9" fontId="8" fillId="10" borderId="1" xfId="2" applyFont="1" applyFill="1" applyBorder="1" applyAlignment="1">
      <alignment horizontal="center"/>
    </xf>
    <xf numFmtId="0" fontId="64" fillId="0" borderId="0" xfId="0" applyFont="1" applyAlignment="1">
      <alignment horizontal="left" vertical="center"/>
    </xf>
    <xf numFmtId="0" fontId="8" fillId="0" borderId="3" xfId="0" applyFont="1" applyBorder="1"/>
    <xf numFmtId="164" fontId="1" fillId="0" borderId="3" xfId="1" applyFont="1" applyBorder="1" applyAlignment="1">
      <alignment horizontal="center"/>
    </xf>
    <xf numFmtId="0" fontId="65" fillId="10" borderId="13" xfId="0" applyFont="1" applyFill="1" applyBorder="1" applyAlignment="1">
      <alignment horizontal="center"/>
    </xf>
    <xf numFmtId="168" fontId="46" fillId="0" borderId="13" xfId="0" applyNumberFormat="1" applyFont="1" applyBorder="1" applyAlignment="1">
      <alignment horizontal="center" vertical="center"/>
    </xf>
    <xf numFmtId="0" fontId="46" fillId="0" borderId="0" xfId="0" applyNumberFormat="1" applyFont="1" applyAlignment="1">
      <alignment horizontal="center" vertical="center"/>
    </xf>
    <xf numFmtId="0" fontId="54" fillId="2" borderId="80" xfId="0" applyFont="1" applyFill="1" applyBorder="1" applyAlignment="1" applyProtection="1">
      <alignment horizontal="center" vertical="center" wrapText="1"/>
    </xf>
    <xf numFmtId="0" fontId="43" fillId="2" borderId="82" xfId="0" applyFont="1" applyFill="1" applyBorder="1" applyAlignment="1" applyProtection="1">
      <alignment horizontal="center" vertical="center" wrapText="1"/>
    </xf>
    <xf numFmtId="0" fontId="43" fillId="2" borderId="32" xfId="0" applyFont="1" applyFill="1" applyBorder="1" applyAlignment="1" applyProtection="1">
      <alignment horizontal="center" vertical="center" wrapText="1"/>
    </xf>
    <xf numFmtId="0" fontId="56" fillId="2" borderId="13" xfId="0" applyFont="1" applyFill="1" applyBorder="1" applyAlignment="1" applyProtection="1">
      <alignment wrapText="1"/>
    </xf>
    <xf numFmtId="0" fontId="51" fillId="2" borderId="13" xfId="0" applyFont="1" applyFill="1" applyBorder="1" applyAlignment="1" applyProtection="1">
      <alignment horizontal="center" vertical="center" wrapText="1"/>
    </xf>
    <xf numFmtId="0" fontId="56" fillId="5" borderId="71" xfId="0" applyFont="1" applyFill="1" applyBorder="1" applyAlignment="1" applyProtection="1">
      <alignment wrapText="1"/>
      <protection locked="0"/>
    </xf>
    <xf numFmtId="0" fontId="56" fillId="5" borderId="72" xfId="0" applyFont="1" applyFill="1" applyBorder="1" applyAlignment="1" applyProtection="1">
      <alignment wrapText="1"/>
      <protection locked="0"/>
    </xf>
    <xf numFmtId="0" fontId="56" fillId="5" borderId="73" xfId="0" applyFont="1" applyFill="1" applyBorder="1" applyAlignment="1" applyProtection="1">
      <alignment wrapText="1"/>
      <protection locked="0"/>
    </xf>
    <xf numFmtId="167" fontId="39" fillId="0" borderId="4" xfId="0" applyNumberFormat="1" applyFont="1" applyBorder="1" applyAlignment="1" applyProtection="1">
      <alignment horizontal="center" vertical="center" wrapText="1"/>
      <protection locked="0"/>
    </xf>
    <xf numFmtId="167" fontId="40" fillId="0" borderId="5" xfId="0" applyNumberFormat="1" applyFont="1" applyBorder="1" applyAlignment="1" applyProtection="1">
      <alignment horizontal="center" vertical="center" wrapText="1"/>
    </xf>
    <xf numFmtId="0" fontId="40" fillId="0" borderId="5" xfId="0" applyFont="1" applyBorder="1" applyAlignment="1" applyProtection="1">
      <alignment horizontal="center" vertical="center" wrapText="1"/>
    </xf>
    <xf numFmtId="0" fontId="40" fillId="0" borderId="5" xfId="0" applyNumberFormat="1" applyFont="1" applyBorder="1" applyAlignment="1" applyProtection="1">
      <alignment horizontal="center" vertical="center" wrapText="1"/>
      <protection locked="0"/>
    </xf>
    <xf numFmtId="0" fontId="56" fillId="0" borderId="83" xfId="0" applyFont="1" applyBorder="1" applyAlignment="1" applyProtection="1">
      <alignment horizontal="center" vertical="center" wrapText="1"/>
      <protection locked="0"/>
    </xf>
    <xf numFmtId="170" fontId="39" fillId="0" borderId="84" xfId="0" applyNumberFormat="1" applyFont="1" applyBorder="1" applyAlignment="1" applyProtection="1">
      <alignment horizontal="center" vertical="center" wrapText="1"/>
      <protection locked="0"/>
    </xf>
    <xf numFmtId="0" fontId="56" fillId="5" borderId="71" xfId="0" applyFont="1" applyFill="1" applyBorder="1" applyAlignment="1" applyProtection="1">
      <alignment wrapText="1"/>
    </xf>
    <xf numFmtId="0" fontId="56" fillId="5" borderId="72" xfId="0" applyFont="1" applyFill="1" applyBorder="1" applyAlignment="1" applyProtection="1">
      <alignment wrapText="1"/>
    </xf>
    <xf numFmtId="0" fontId="56" fillId="5" borderId="73" xfId="0" applyFont="1" applyFill="1" applyBorder="1" applyAlignment="1" applyProtection="1">
      <alignment wrapText="1"/>
    </xf>
    <xf numFmtId="170" fontId="40" fillId="0" borderId="84" xfId="0" applyNumberFormat="1" applyFont="1" applyBorder="1" applyAlignment="1" applyProtection="1">
      <alignment horizontal="center" vertical="center" wrapText="1"/>
      <protection locked="0"/>
    </xf>
    <xf numFmtId="0" fontId="3" fillId="0" borderId="0" xfId="0" applyFont="1" applyAlignment="1" applyProtection="1">
      <alignment horizontal="justify" vertical="center"/>
    </xf>
    <xf numFmtId="0" fontId="2" fillId="0" borderId="0" xfId="0" applyFont="1" applyAlignment="1" applyProtection="1">
      <alignment horizontal="justify" vertical="center"/>
    </xf>
    <xf numFmtId="0" fontId="3" fillId="0" borderId="0" xfId="0" applyFont="1" applyAlignment="1" applyProtection="1">
      <alignment horizontal="center" vertical="center"/>
    </xf>
    <xf numFmtId="0" fontId="1" fillId="0" borderId="0" xfId="0" applyFont="1" applyProtection="1"/>
    <xf numFmtId="0" fontId="1" fillId="0" borderId="0" xfId="0" applyFont="1"/>
    <xf numFmtId="0" fontId="8" fillId="0" borderId="0" xfId="0" applyFont="1" applyAlignment="1" applyProtection="1">
      <alignment horizontal="left" vertical="center" indent="11"/>
    </xf>
    <xf numFmtId="0" fontId="9" fillId="0" borderId="0" xfId="0" applyFont="1" applyAlignment="1" applyProtection="1">
      <alignment horizontal="left" vertical="center" indent="11"/>
    </xf>
    <xf numFmtId="0" fontId="8" fillId="0" borderId="0" xfId="0" applyFont="1" applyProtection="1"/>
    <xf numFmtId="0" fontId="8" fillId="0" borderId="0" xfId="0" applyFont="1" applyAlignment="1" applyProtection="1">
      <alignment horizontal="left"/>
    </xf>
    <xf numFmtId="0" fontId="1" fillId="0" borderId="0" xfId="0" applyFont="1" applyAlignment="1" applyProtection="1"/>
    <xf numFmtId="0" fontId="1" fillId="0" borderId="0" xfId="0" applyFont="1" applyAlignment="1"/>
    <xf numFmtId="0" fontId="1" fillId="0" borderId="0" xfId="0" applyFont="1" applyAlignment="1" applyProtection="1">
      <alignment wrapText="1"/>
    </xf>
    <xf numFmtId="49" fontId="1" fillId="0" borderId="0" xfId="0" applyNumberFormat="1" applyFont="1"/>
    <xf numFmtId="0" fontId="1" fillId="0" borderId="0" xfId="0" applyFont="1" applyProtection="1">
      <protection locked="0"/>
    </xf>
    <xf numFmtId="0" fontId="8" fillId="0" borderId="0" xfId="0" applyFont="1" applyAlignment="1" applyProtection="1"/>
    <xf numFmtId="0" fontId="1" fillId="0" borderId="0" xfId="0" applyFont="1" applyAlignment="1">
      <alignment horizontal="left"/>
    </xf>
    <xf numFmtId="0" fontId="2" fillId="0" borderId="0" xfId="0" applyFont="1" applyAlignment="1">
      <alignment horizontal="center" vertical="center"/>
    </xf>
    <xf numFmtId="0" fontId="3" fillId="0" borderId="43" xfId="0" applyNumberFormat="1" applyFont="1" applyBorder="1" applyAlignment="1" applyProtection="1">
      <alignment horizontal="center" vertical="center" wrapText="1"/>
    </xf>
    <xf numFmtId="0" fontId="2" fillId="0" borderId="43" xfId="0" applyFont="1" applyBorder="1" applyAlignment="1" applyProtection="1">
      <alignment horizontal="center" vertical="center"/>
    </xf>
    <xf numFmtId="0" fontId="3" fillId="0" borderId="43" xfId="0" applyFont="1" applyBorder="1" applyAlignment="1" applyProtection="1">
      <alignment horizontal="justify" vertical="top" wrapText="1"/>
    </xf>
    <xf numFmtId="3" fontId="3" fillId="0" borderId="43" xfId="0" applyNumberFormat="1" applyFont="1" applyBorder="1" applyAlignment="1" applyProtection="1">
      <alignment horizontal="center" vertical="center" wrapText="1"/>
    </xf>
    <xf numFmtId="0" fontId="3" fillId="0" borderId="43" xfId="0" applyFont="1" applyBorder="1" applyAlignment="1" applyProtection="1">
      <alignment horizontal="center" vertical="center" wrapText="1"/>
    </xf>
    <xf numFmtId="169" fontId="3" fillId="0" borderId="43" xfId="0" applyNumberFormat="1" applyFont="1" applyBorder="1" applyAlignment="1" applyProtection="1">
      <alignment horizontal="center" vertical="center" wrapText="1"/>
    </xf>
    <xf numFmtId="168" fontId="16" fillId="0" borderId="43" xfId="0" applyNumberFormat="1" applyFont="1" applyBorder="1" applyAlignment="1" applyProtection="1">
      <alignment horizontal="center" vertical="center" wrapText="1"/>
    </xf>
    <xf numFmtId="0" fontId="2" fillId="2" borderId="38" xfId="0" applyFont="1" applyFill="1" applyBorder="1" applyAlignment="1">
      <alignment horizontal="center" vertical="center"/>
    </xf>
    <xf numFmtId="0" fontId="2" fillId="0" borderId="38" xfId="0" applyFont="1" applyBorder="1" applyAlignment="1">
      <alignment horizontal="center" vertical="center"/>
    </xf>
    <xf numFmtId="0" fontId="43" fillId="2" borderId="18" xfId="0" applyFont="1" applyFill="1" applyBorder="1" applyAlignment="1" applyProtection="1">
      <alignment horizontal="center" vertical="center"/>
    </xf>
    <xf numFmtId="0" fontId="43" fillId="2" borderId="18" xfId="0" quotePrefix="1" applyFont="1" applyFill="1" applyBorder="1" applyAlignment="1" applyProtection="1">
      <alignment horizontal="center" vertical="center"/>
    </xf>
    <xf numFmtId="0" fontId="57" fillId="10" borderId="13" xfId="0" applyFont="1" applyFill="1" applyBorder="1" applyAlignment="1" applyProtection="1">
      <alignment horizontal="center" vertical="center"/>
      <protection locked="0"/>
    </xf>
    <xf numFmtId="0" fontId="39" fillId="0" borderId="0" xfId="0" applyFont="1" applyFill="1" applyBorder="1" applyAlignment="1" applyProtection="1">
      <alignment horizontal="center" vertical="center"/>
      <protection locked="0"/>
    </xf>
    <xf numFmtId="169" fontId="39" fillId="0" borderId="37" xfId="0" applyNumberFormat="1" applyFont="1" applyBorder="1" applyAlignment="1" applyProtection="1">
      <alignment horizontal="center" vertical="center"/>
    </xf>
    <xf numFmtId="168" fontId="39" fillId="0" borderId="35" xfId="0" applyNumberFormat="1" applyFont="1" applyBorder="1" applyAlignment="1" applyProtection="1">
      <alignment horizontal="center" vertical="center"/>
    </xf>
    <xf numFmtId="168" fontId="39" fillId="0" borderId="0" xfId="0" applyNumberFormat="1" applyFont="1" applyFill="1" applyBorder="1" applyAlignment="1" applyProtection="1">
      <alignment horizontal="center" vertical="center"/>
    </xf>
    <xf numFmtId="167" fontId="39" fillId="0" borderId="0" xfId="0" applyNumberFormat="1" applyFont="1" applyFill="1" applyBorder="1" applyAlignment="1" applyProtection="1">
      <alignment horizontal="center" vertical="center"/>
    </xf>
    <xf numFmtId="0" fontId="39" fillId="3" borderId="1" xfId="0" applyFont="1" applyFill="1" applyBorder="1" applyAlignment="1" applyProtection="1">
      <alignment horizontal="center" vertical="center"/>
      <protection locked="0"/>
    </xf>
    <xf numFmtId="14" fontId="39" fillId="3" borderId="1" xfId="0" applyNumberFormat="1" applyFont="1" applyFill="1" applyBorder="1" applyAlignment="1" applyProtection="1">
      <alignment horizontal="center" vertical="center"/>
      <protection locked="0"/>
    </xf>
    <xf numFmtId="0" fontId="40" fillId="0" borderId="1" xfId="0" applyFont="1" applyFill="1" applyBorder="1" applyAlignment="1" applyProtection="1">
      <alignment horizontal="center" vertical="center"/>
      <protection locked="0"/>
    </xf>
    <xf numFmtId="14" fontId="39" fillId="0" borderId="0" xfId="0" applyNumberFormat="1" applyFont="1" applyFill="1" applyBorder="1" applyAlignment="1" applyProtection="1">
      <alignment horizontal="center" vertical="center"/>
      <protection locked="0"/>
    </xf>
    <xf numFmtId="0" fontId="40" fillId="0" borderId="0" xfId="0" applyFont="1" applyFill="1" applyBorder="1" applyAlignment="1" applyProtection="1">
      <alignment horizontal="center" vertical="center"/>
      <protection locked="0"/>
    </xf>
    <xf numFmtId="0" fontId="40" fillId="0" borderId="0" xfId="0" applyNumberFormat="1" applyFont="1" applyBorder="1" applyAlignment="1" applyProtection="1">
      <alignment horizontal="center" vertical="center"/>
      <protection locked="0"/>
    </xf>
    <xf numFmtId="1" fontId="39" fillId="3" borderId="1" xfId="0" applyNumberFormat="1" applyFont="1" applyFill="1" applyBorder="1" applyAlignment="1" applyProtection="1">
      <alignment horizontal="center" vertical="center"/>
      <protection locked="0"/>
    </xf>
    <xf numFmtId="1" fontId="39" fillId="0" borderId="0" xfId="0" applyNumberFormat="1" applyFont="1" applyFill="1" applyBorder="1" applyAlignment="1" applyProtection="1">
      <alignment horizontal="center" vertical="center"/>
      <protection locked="0"/>
    </xf>
    <xf numFmtId="0" fontId="39" fillId="0" borderId="0" xfId="0" applyNumberFormat="1" applyFont="1" applyFill="1" applyBorder="1" applyAlignment="1" applyProtection="1">
      <alignment horizontal="center" vertical="center"/>
      <protection locked="0"/>
    </xf>
    <xf numFmtId="0" fontId="68" fillId="0" borderId="0" xfId="0" applyFont="1" applyAlignment="1">
      <alignment vertical="center"/>
    </xf>
    <xf numFmtId="0" fontId="40" fillId="0" borderId="0" xfId="0" applyFont="1" applyAlignment="1">
      <alignment vertical="center"/>
    </xf>
    <xf numFmtId="169" fontId="39" fillId="0" borderId="12" xfId="0" applyNumberFormat="1" applyFont="1" applyBorder="1" applyAlignment="1">
      <alignment horizontal="center" vertical="center"/>
    </xf>
    <xf numFmtId="0" fontId="68" fillId="0" borderId="0" xfId="0" applyFont="1" applyFill="1" applyBorder="1" applyAlignment="1">
      <alignment vertical="center"/>
    </xf>
    <xf numFmtId="169" fontId="39" fillId="0" borderId="12" xfId="0" applyNumberFormat="1" applyFont="1" applyBorder="1" applyAlignment="1" applyProtection="1">
      <alignment horizontal="center" vertical="center"/>
    </xf>
    <xf numFmtId="0" fontId="0" fillId="0" borderId="0" xfId="0" applyAlignment="1">
      <alignment horizontal="center" vertical="center"/>
    </xf>
    <xf numFmtId="0" fontId="39" fillId="0" borderId="12" xfId="0" applyNumberFormat="1" applyFont="1" applyBorder="1" applyAlignment="1" applyProtection="1">
      <alignment horizontal="center" vertical="center"/>
    </xf>
    <xf numFmtId="0" fontId="39" fillId="0" borderId="0" xfId="0" applyNumberFormat="1" applyFont="1" applyFill="1" applyBorder="1" applyAlignment="1" applyProtection="1">
      <alignment horizontal="center" vertical="center"/>
    </xf>
    <xf numFmtId="0" fontId="39" fillId="0" borderId="12" xfId="0" applyFont="1" applyFill="1" applyBorder="1" applyAlignment="1" applyProtection="1">
      <alignment horizontal="justify" vertical="top" wrapText="1"/>
    </xf>
    <xf numFmtId="0" fontId="39" fillId="0" borderId="35" xfId="0" applyFont="1" applyFill="1" applyBorder="1" applyAlignment="1">
      <alignment horizontal="justify" vertical="top" wrapText="1"/>
    </xf>
    <xf numFmtId="0" fontId="39" fillId="0" borderId="0" xfId="0" applyFont="1" applyFill="1" applyBorder="1" applyAlignment="1" applyProtection="1">
      <alignment horizontal="left" vertical="top"/>
    </xf>
    <xf numFmtId="0" fontId="39" fillId="0" borderId="12" xfId="0" applyNumberFormat="1" applyFont="1" applyBorder="1" applyAlignment="1">
      <alignment horizontal="center" vertical="center"/>
    </xf>
    <xf numFmtId="169" fontId="39" fillId="0" borderId="37" xfId="0" applyNumberFormat="1" applyFont="1" applyBorder="1" applyAlignment="1">
      <alignment horizontal="center" vertical="center"/>
    </xf>
    <xf numFmtId="0" fontId="41" fillId="10" borderId="74" xfId="0" applyFont="1" applyFill="1" applyBorder="1" applyAlignment="1">
      <alignment horizontal="center" vertical="center"/>
    </xf>
    <xf numFmtId="0" fontId="70" fillId="0" borderId="0" xfId="0" applyFont="1" applyFill="1" applyAlignment="1" applyProtection="1">
      <alignment horizontal="center" wrapText="1"/>
      <protection locked="0"/>
    </xf>
    <xf numFmtId="3" fontId="43" fillId="2" borderId="79" xfId="0" quotePrefix="1" applyNumberFormat="1" applyFont="1" applyFill="1" applyBorder="1" applyAlignment="1" applyProtection="1">
      <alignment horizontal="center" vertical="center"/>
    </xf>
    <xf numFmtId="3" fontId="43" fillId="2" borderId="81" xfId="0" applyNumberFormat="1" applyFont="1" applyFill="1" applyBorder="1" applyAlignment="1" applyProtection="1">
      <alignment horizontal="center" vertical="center"/>
      <protection locked="0"/>
    </xf>
    <xf numFmtId="3" fontId="43" fillId="2" borderId="81" xfId="3" applyNumberFormat="1" applyFont="1" applyFill="1" applyBorder="1" applyAlignment="1" applyProtection="1">
      <alignment horizontal="center" vertical="center"/>
      <protection locked="0"/>
    </xf>
    <xf numFmtId="0" fontId="39" fillId="0" borderId="1" xfId="0" applyFont="1" applyFill="1" applyBorder="1" applyAlignment="1" applyProtection="1">
      <alignment horizontal="center" vertical="center"/>
      <protection locked="0"/>
    </xf>
    <xf numFmtId="10" fontId="1" fillId="0" borderId="1" xfId="2" applyNumberFormat="1" applyFont="1" applyFill="1" applyBorder="1" applyAlignment="1">
      <alignment horizontal="center"/>
    </xf>
    <xf numFmtId="10" fontId="1" fillId="0" borderId="3" xfId="2" applyNumberFormat="1" applyFont="1" applyFill="1" applyBorder="1" applyAlignment="1">
      <alignment horizontal="center"/>
    </xf>
    <xf numFmtId="1" fontId="39" fillId="0" borderId="1" xfId="0" applyNumberFormat="1" applyFont="1" applyFill="1" applyBorder="1" applyAlignment="1" applyProtection="1">
      <alignment horizontal="center" vertical="center"/>
      <protection locked="0"/>
    </xf>
    <xf numFmtId="0" fontId="39" fillId="4" borderId="5" xfId="0" applyFont="1" applyFill="1" applyBorder="1" applyAlignment="1" applyProtection="1">
      <alignment horizontal="center" vertical="center" wrapText="1"/>
    </xf>
    <xf numFmtId="0" fontId="40" fillId="0" borderId="3" xfId="0" applyFont="1" applyBorder="1" applyAlignment="1">
      <alignment horizontal="center" vertical="center"/>
    </xf>
    <xf numFmtId="0" fontId="46" fillId="0" borderId="86" xfId="0" applyFont="1" applyBorder="1" applyAlignment="1">
      <alignment horizontal="center" vertical="center"/>
    </xf>
    <xf numFmtId="0" fontId="48" fillId="10" borderId="1" xfId="0" applyFont="1" applyFill="1" applyBorder="1" applyAlignment="1">
      <alignment horizontal="center" vertical="center"/>
    </xf>
    <xf numFmtId="0" fontId="46" fillId="0" borderId="1" xfId="0" applyFont="1" applyBorder="1" applyAlignment="1">
      <alignment horizontal="center" vertical="center"/>
    </xf>
    <xf numFmtId="0" fontId="11" fillId="2" borderId="71" xfId="0" applyFont="1" applyFill="1" applyBorder="1" applyAlignment="1" applyProtection="1">
      <alignment horizontal="center" vertical="center" wrapText="1"/>
    </xf>
    <xf numFmtId="0" fontId="11" fillId="2" borderId="72" xfId="0" applyFont="1" applyFill="1" applyBorder="1" applyAlignment="1" applyProtection="1">
      <alignment horizontal="center" vertical="center" wrapText="1"/>
      <protection locked="0"/>
    </xf>
    <xf numFmtId="0" fontId="9" fillId="2" borderId="73" xfId="0" applyFont="1" applyFill="1" applyBorder="1" applyAlignment="1" applyProtection="1">
      <alignment horizontal="center" vertical="center" wrapText="1"/>
    </xf>
    <xf numFmtId="0" fontId="56" fillId="0" borderId="1" xfId="0" applyFont="1" applyBorder="1" applyAlignment="1" applyProtection="1">
      <alignment horizontal="center" vertical="center" wrapText="1"/>
      <protection locked="0"/>
    </xf>
    <xf numFmtId="0" fontId="56" fillId="2" borderId="13" xfId="0" applyFont="1" applyFill="1" applyBorder="1" applyAlignment="1" applyProtection="1">
      <alignment horizontal="center" vertical="center" wrapText="1"/>
    </xf>
    <xf numFmtId="0" fontId="56" fillId="5" borderId="71" xfId="0" applyFont="1" applyFill="1" applyBorder="1" applyAlignment="1" applyProtection="1">
      <alignment horizontal="left" wrapText="1"/>
    </xf>
    <xf numFmtId="0" fontId="56" fillId="5" borderId="72" xfId="0" applyFont="1" applyFill="1" applyBorder="1" applyAlignment="1" applyProtection="1">
      <alignment horizontal="left" wrapText="1"/>
    </xf>
    <xf numFmtId="0" fontId="56" fillId="5" borderId="73" xfId="0" applyFont="1" applyFill="1" applyBorder="1" applyAlignment="1" applyProtection="1">
      <alignment horizontal="left" wrapText="1"/>
    </xf>
    <xf numFmtId="0" fontId="56" fillId="2" borderId="13" xfId="0" applyFont="1" applyFill="1" applyBorder="1"/>
    <xf numFmtId="0" fontId="39" fillId="3" borderId="87" xfId="0" applyFont="1" applyFill="1" applyBorder="1" applyAlignment="1">
      <alignment horizontal="center" vertical="center" wrapText="1"/>
    </xf>
    <xf numFmtId="14" fontId="39" fillId="3" borderId="72" xfId="0" applyNumberFormat="1" applyFont="1" applyFill="1" applyBorder="1" applyAlignment="1" applyProtection="1">
      <alignment horizontal="center" vertical="center" wrapText="1"/>
      <protection locked="0"/>
    </xf>
    <xf numFmtId="14" fontId="46" fillId="0" borderId="71" xfId="0" applyNumberFormat="1" applyFont="1" applyBorder="1" applyAlignment="1">
      <alignment horizontal="center"/>
    </xf>
    <xf numFmtId="14" fontId="46" fillId="0" borderId="72" xfId="0" applyNumberFormat="1" applyFont="1" applyBorder="1" applyAlignment="1">
      <alignment horizontal="center"/>
    </xf>
    <xf numFmtId="14" fontId="46" fillId="0" borderId="73" xfId="0" applyNumberFormat="1" applyFont="1" applyBorder="1" applyAlignment="1">
      <alignment horizontal="center"/>
    </xf>
    <xf numFmtId="14" fontId="46" fillId="0" borderId="71" xfId="0" applyNumberFormat="1" applyFont="1" applyBorder="1" applyAlignment="1" applyProtection="1">
      <alignment horizontal="center"/>
      <protection locked="0"/>
    </xf>
    <xf numFmtId="14" fontId="39" fillId="3" borderId="73" xfId="0" applyNumberFormat="1" applyFont="1" applyFill="1" applyBorder="1" applyAlignment="1" applyProtection="1">
      <alignment horizontal="center" vertical="center" wrapText="1"/>
      <protection locked="0"/>
    </xf>
    <xf numFmtId="167" fontId="39" fillId="0" borderId="70" xfId="0" applyNumberFormat="1" applyFont="1" applyBorder="1" applyAlignment="1" applyProtection="1">
      <alignment horizontal="center" vertical="center" wrapText="1"/>
      <protection locked="0"/>
    </xf>
    <xf numFmtId="0" fontId="0" fillId="0" borderId="1" xfId="0" applyBorder="1" applyAlignment="1">
      <alignment horizontal="center" vertical="center" wrapText="1"/>
    </xf>
    <xf numFmtId="0" fontId="46" fillId="0" borderId="0" xfId="0" applyFont="1" applyAlignment="1">
      <alignment horizontal="left" vertical="center"/>
    </xf>
    <xf numFmtId="49" fontId="46" fillId="0" borderId="75" xfId="0" applyNumberFormat="1" applyFont="1" applyBorder="1" applyAlignment="1">
      <alignment horizontal="center" vertical="center"/>
    </xf>
    <xf numFmtId="0" fontId="73" fillId="0" borderId="0" xfId="0" applyFont="1" applyAlignment="1">
      <alignment wrapText="1"/>
    </xf>
    <xf numFmtId="0" fontId="73" fillId="0" borderId="72" xfId="0" applyFont="1" applyBorder="1" applyAlignment="1">
      <alignment wrapText="1"/>
    </xf>
    <xf numFmtId="0" fontId="74" fillId="0" borderId="71" xfId="0" applyFont="1" applyBorder="1" applyAlignment="1">
      <alignment wrapText="1"/>
    </xf>
    <xf numFmtId="0" fontId="78" fillId="2" borderId="13" xfId="0" applyFont="1" applyFill="1" applyBorder="1" applyAlignment="1">
      <alignment horizontal="center" vertical="center" wrapText="1"/>
    </xf>
    <xf numFmtId="0" fontId="73" fillId="0" borderId="74" xfId="0" applyFont="1" applyBorder="1" applyAlignment="1">
      <alignment wrapText="1"/>
    </xf>
    <xf numFmtId="0" fontId="73" fillId="0" borderId="88" xfId="0" applyFont="1" applyBorder="1" applyAlignment="1">
      <alignment wrapText="1"/>
    </xf>
    <xf numFmtId="0" fontId="73" fillId="0" borderId="89" xfId="0" applyFont="1" applyBorder="1" applyAlignment="1">
      <alignment wrapText="1"/>
    </xf>
    <xf numFmtId="0" fontId="73" fillId="0" borderId="90" xfId="0" applyFont="1" applyBorder="1" applyAlignment="1">
      <alignment wrapText="1"/>
    </xf>
    <xf numFmtId="0" fontId="73" fillId="0" borderId="34" xfId="0" applyFont="1" applyBorder="1" applyAlignment="1">
      <alignment wrapText="1"/>
    </xf>
    <xf numFmtId="0" fontId="0" fillId="0" borderId="91" xfId="0" applyFill="1" applyBorder="1" applyAlignment="1">
      <alignment horizontal="center" vertical="center" wrapText="1"/>
    </xf>
    <xf numFmtId="0" fontId="0" fillId="0" borderId="91" xfId="0" applyBorder="1" applyAlignment="1">
      <alignment horizontal="center" vertical="center" wrapText="1"/>
    </xf>
    <xf numFmtId="16" fontId="46" fillId="0" borderId="0" xfId="0" applyNumberFormat="1" applyFont="1" applyAlignment="1">
      <alignment horizontal="center" vertical="center"/>
    </xf>
    <xf numFmtId="14" fontId="39" fillId="0" borderId="0" xfId="0" applyNumberFormat="1" applyFont="1" applyFill="1" applyBorder="1" applyAlignment="1">
      <alignment horizontal="center" vertical="center"/>
    </xf>
    <xf numFmtId="0" fontId="39" fillId="0" borderId="0" xfId="0" applyNumberFormat="1" applyFont="1" applyFill="1" applyBorder="1" applyAlignment="1">
      <alignment horizontal="center" vertical="center"/>
    </xf>
    <xf numFmtId="164" fontId="39" fillId="3" borderId="1" xfId="1" applyFont="1" applyFill="1" applyBorder="1" applyAlignment="1" applyProtection="1">
      <alignment horizontal="center" vertical="center"/>
    </xf>
    <xf numFmtId="173" fontId="39" fillId="3" borderId="1" xfId="1" applyNumberFormat="1" applyFont="1" applyFill="1" applyBorder="1" applyAlignment="1" applyProtection="1">
      <alignment horizontal="right" vertical="center"/>
      <protection locked="0"/>
    </xf>
    <xf numFmtId="0" fontId="39" fillId="0" borderId="0" xfId="0" applyFont="1" applyFill="1" applyBorder="1" applyAlignment="1">
      <alignment horizontal="left" vertical="top"/>
    </xf>
    <xf numFmtId="0" fontId="39" fillId="0" borderId="0" xfId="0" applyNumberFormat="1" applyFont="1" applyFill="1" applyBorder="1" applyAlignment="1" applyProtection="1">
      <alignment vertical="center"/>
      <protection locked="0"/>
    </xf>
    <xf numFmtId="0" fontId="39" fillId="0" borderId="0" xfId="0" applyFont="1" applyFill="1" applyBorder="1" applyAlignment="1">
      <alignment horizontal="center" vertical="top"/>
    </xf>
    <xf numFmtId="0" fontId="45" fillId="12" borderId="65" xfId="0" applyFont="1" applyFill="1" applyBorder="1" applyAlignment="1" applyProtection="1">
      <alignment horizontal="center" vertical="center"/>
      <protection locked="0"/>
    </xf>
    <xf numFmtId="0" fontId="89" fillId="13" borderId="27" xfId="0" applyFont="1" applyFill="1" applyBorder="1"/>
    <xf numFmtId="0" fontId="89" fillId="13" borderId="30" xfId="0" applyFont="1" applyFill="1" applyBorder="1" applyAlignment="1" applyProtection="1">
      <alignment vertical="center"/>
    </xf>
    <xf numFmtId="164" fontId="46" fillId="0" borderId="0" xfId="0" applyNumberFormat="1" applyFont="1" applyAlignment="1">
      <alignment horizontal="center" vertical="center"/>
    </xf>
    <xf numFmtId="164" fontId="46" fillId="0" borderId="0" xfId="0" applyNumberFormat="1" applyFont="1" applyAlignment="1">
      <alignment horizontal="center" vertical="center"/>
    </xf>
    <xf numFmtId="164" fontId="46" fillId="0" borderId="0" xfId="1" applyFont="1" applyAlignment="1">
      <alignment horizontal="center" vertical="center"/>
    </xf>
    <xf numFmtId="9" fontId="46" fillId="0" borderId="0" xfId="2" applyFont="1" applyAlignment="1">
      <alignment horizontal="center" vertical="center"/>
    </xf>
    <xf numFmtId="174" fontId="46" fillId="0" borderId="0" xfId="2" applyNumberFormat="1" applyFont="1" applyAlignment="1">
      <alignment horizontal="center" vertical="center"/>
    </xf>
    <xf numFmtId="49" fontId="94" fillId="3" borderId="1" xfId="0" applyNumberFormat="1" applyFont="1" applyFill="1" applyBorder="1" applyAlignment="1" applyProtection="1">
      <alignment horizontal="center" vertical="center"/>
      <protection locked="0"/>
    </xf>
    <xf numFmtId="0" fontId="0" fillId="0" borderId="0" xfId="0" applyAlignment="1">
      <alignment vertical="top"/>
    </xf>
    <xf numFmtId="0" fontId="0" fillId="0" borderId="0" xfId="0" applyAlignment="1">
      <alignment horizontal="center" vertical="top"/>
    </xf>
    <xf numFmtId="0" fontId="0" fillId="0" borderId="1" xfId="0" applyFill="1" applyBorder="1" applyAlignment="1">
      <alignment vertical="top"/>
    </xf>
    <xf numFmtId="164" fontId="0" fillId="0" borderId="1" xfId="1" applyFont="1" applyFill="1" applyBorder="1" applyAlignment="1">
      <alignment vertical="top"/>
    </xf>
    <xf numFmtId="0" fontId="0" fillId="0" borderId="0" xfId="0" applyFill="1" applyAlignment="1">
      <alignment vertical="top"/>
    </xf>
    <xf numFmtId="14" fontId="13" fillId="0" borderId="1" xfId="0" applyNumberFormat="1" applyFont="1" applyFill="1" applyBorder="1" applyAlignment="1">
      <alignment horizontal="center" vertical="top"/>
    </xf>
    <xf numFmtId="0" fontId="0" fillId="0" borderId="0" xfId="0" applyBorder="1" applyAlignment="1">
      <alignment vertical="top"/>
    </xf>
    <xf numFmtId="164" fontId="14" fillId="0" borderId="1" xfId="1" applyFont="1" applyBorder="1" applyAlignment="1">
      <alignment horizontal="center"/>
    </xf>
    <xf numFmtId="164" fontId="14" fillId="0" borderId="0" xfId="0" applyNumberFormat="1" applyFont="1" applyAlignment="1">
      <alignment horizontal="center"/>
    </xf>
    <xf numFmtId="164" fontId="0" fillId="0" borderId="0" xfId="1" applyFont="1" applyAlignment="1">
      <alignment horizontal="center"/>
    </xf>
    <xf numFmtId="0" fontId="0" fillId="0" borderId="1" xfId="0" applyFill="1" applyBorder="1" applyAlignment="1">
      <alignment horizontal="left" vertical="top"/>
    </xf>
    <xf numFmtId="0" fontId="13" fillId="0" borderId="0" xfId="0" applyFont="1" applyBorder="1" applyAlignment="1">
      <alignment horizontal="left"/>
    </xf>
    <xf numFmtId="0" fontId="0" fillId="0" borderId="0" xfId="0" applyAlignment="1">
      <alignment horizontal="left"/>
    </xf>
    <xf numFmtId="0" fontId="14" fillId="0" borderId="0" xfId="0" applyFont="1" applyAlignment="1">
      <alignment horizontal="left"/>
    </xf>
    <xf numFmtId="0" fontId="0" fillId="0" borderId="0" xfId="0" applyAlignment="1">
      <alignment horizontal="left" vertical="top"/>
    </xf>
    <xf numFmtId="0" fontId="39" fillId="0" borderId="1" xfId="0" applyFont="1" applyFill="1" applyBorder="1" applyAlignment="1">
      <alignment horizontal="left" vertical="top" wrapText="1"/>
    </xf>
    <xf numFmtId="0" fontId="39" fillId="0" borderId="1" xfId="0" applyFont="1" applyFill="1" applyBorder="1" applyAlignment="1" applyProtection="1">
      <alignment horizontal="left" vertical="top" wrapText="1"/>
      <protection locked="0"/>
    </xf>
    <xf numFmtId="0" fontId="39" fillId="0" borderId="1" xfId="0" applyFont="1" applyFill="1" applyBorder="1" applyAlignment="1">
      <alignment vertical="top" wrapText="1"/>
    </xf>
    <xf numFmtId="164" fontId="0" fillId="0" borderId="0" xfId="1" applyFont="1" applyFill="1" applyBorder="1" applyAlignment="1">
      <alignment vertical="top"/>
    </xf>
    <xf numFmtId="0" fontId="13" fillId="0" borderId="0" xfId="0" applyFont="1" applyFill="1" applyBorder="1" applyAlignment="1">
      <alignment horizontal="center" vertical="center"/>
    </xf>
    <xf numFmtId="0" fontId="45" fillId="2" borderId="1" xfId="0" applyFont="1" applyFill="1" applyBorder="1" applyAlignment="1">
      <alignment horizontal="center" vertical="center"/>
    </xf>
    <xf numFmtId="0" fontId="45" fillId="2" borderId="1" xfId="0" applyFont="1" applyFill="1" applyBorder="1" applyAlignment="1">
      <alignment horizontal="center" vertical="center" wrapText="1"/>
    </xf>
    <xf numFmtId="0" fontId="6" fillId="0" borderId="1" xfId="0" applyFont="1" applyFill="1" applyBorder="1" applyAlignment="1" applyProtection="1">
      <alignment horizontal="center" vertical="center"/>
      <protection locked="0"/>
    </xf>
    <xf numFmtId="0" fontId="95" fillId="0" borderId="11" xfId="0" applyFont="1" applyFill="1" applyBorder="1" applyAlignment="1">
      <alignment horizontal="left" vertical="top" wrapText="1"/>
    </xf>
    <xf numFmtId="0" fontId="95" fillId="0" borderId="0" xfId="0" applyFont="1" applyFill="1" applyBorder="1" applyAlignment="1">
      <alignment horizontal="center" vertical="center"/>
    </xf>
    <xf numFmtId="3" fontId="95" fillId="0" borderId="3" xfId="1" applyNumberFormat="1" applyFont="1" applyFill="1" applyBorder="1" applyAlignment="1" applyProtection="1">
      <alignment horizontal="center" vertical="center"/>
      <protection locked="0"/>
    </xf>
    <xf numFmtId="0" fontId="95" fillId="0" borderId="1" xfId="0" applyFont="1" applyFill="1" applyBorder="1" applyAlignment="1" applyProtection="1">
      <alignment horizontal="left" vertical="top"/>
      <protection locked="0"/>
    </xf>
    <xf numFmtId="164" fontId="95" fillId="0" borderId="1" xfId="1" applyNumberFormat="1" applyFont="1" applyFill="1" applyBorder="1" applyAlignment="1" applyProtection="1">
      <alignment horizontal="right" vertical="center"/>
      <protection locked="0"/>
    </xf>
    <xf numFmtId="173" fontId="40" fillId="0" borderId="0" xfId="1" applyNumberFormat="1" applyFont="1" applyBorder="1" applyAlignment="1" applyProtection="1">
      <alignment horizontal="right" vertical="center"/>
      <protection locked="0"/>
    </xf>
    <xf numFmtId="0" fontId="95" fillId="0" borderId="0" xfId="0" applyFont="1" applyFill="1" applyBorder="1" applyAlignment="1">
      <alignment horizontal="left" vertical="center"/>
    </xf>
    <xf numFmtId="0" fontId="0" fillId="0" borderId="0" xfId="0" applyBorder="1" applyAlignment="1">
      <alignment horizontal="center" vertical="top"/>
    </xf>
    <xf numFmtId="0" fontId="6" fillId="0" borderId="0" xfId="0" applyFont="1" applyFill="1"/>
    <xf numFmtId="0" fontId="6" fillId="0" borderId="0" xfId="0" applyFont="1" applyFill="1" applyAlignment="1">
      <alignment horizontal="left" vertical="center"/>
    </xf>
    <xf numFmtId="0" fontId="6" fillId="0" borderId="0" xfId="0" applyFont="1" applyFill="1" applyAlignment="1">
      <alignment horizontal="center" vertical="center"/>
    </xf>
    <xf numFmtId="49" fontId="95" fillId="0" borderId="1" xfId="0" applyNumberFormat="1" applyFont="1" applyFill="1" applyBorder="1" applyAlignment="1" applyProtection="1">
      <alignment horizontal="center" vertical="center"/>
      <protection locked="0"/>
    </xf>
    <xf numFmtId="164" fontId="95" fillId="0" borderId="1" xfId="1" applyFont="1" applyFill="1" applyBorder="1" applyAlignment="1" applyProtection="1">
      <alignment horizontal="center" vertical="center"/>
    </xf>
    <xf numFmtId="14" fontId="95" fillId="0" borderId="1" xfId="0" applyNumberFormat="1" applyFont="1" applyFill="1" applyBorder="1" applyAlignment="1" applyProtection="1">
      <alignment horizontal="center" vertical="center"/>
      <protection locked="0"/>
    </xf>
    <xf numFmtId="0" fontId="6" fillId="0" borderId="0" xfId="0" applyFont="1" applyFill="1" applyAlignment="1">
      <alignment horizontal="left" vertical="top"/>
    </xf>
    <xf numFmtId="164" fontId="6" fillId="0" borderId="0" xfId="0" applyNumberFormat="1" applyFont="1" applyFill="1"/>
    <xf numFmtId="0" fontId="6" fillId="0" borderId="0" xfId="0" applyFont="1" applyFill="1" applyAlignment="1">
      <alignment horizontal="left"/>
    </xf>
    <xf numFmtId="0" fontId="13" fillId="0" borderId="0" xfId="0" applyNumberFormat="1" applyFont="1" applyFill="1" applyBorder="1" applyAlignment="1">
      <alignment horizontal="left" vertical="center"/>
    </xf>
    <xf numFmtId="0" fontId="45" fillId="12" borderId="65" xfId="0" applyFont="1" applyFill="1" applyBorder="1" applyAlignment="1" applyProtection="1">
      <alignment horizontal="center" vertical="top"/>
      <protection locked="0"/>
    </xf>
    <xf numFmtId="0" fontId="6" fillId="0" borderId="0" xfId="0" applyFont="1" applyFill="1" applyAlignment="1">
      <alignment vertical="top"/>
    </xf>
    <xf numFmtId="164" fontId="95" fillId="0" borderId="0" xfId="1" applyFont="1" applyFill="1" applyBorder="1" applyAlignment="1">
      <alignment horizontal="left" vertical="center"/>
    </xf>
    <xf numFmtId="164" fontId="6" fillId="0" borderId="0" xfId="1" applyFont="1" applyFill="1"/>
    <xf numFmtId="164" fontId="6" fillId="0" borderId="0" xfId="1" applyFont="1" applyFill="1" applyAlignment="1">
      <alignment horizontal="left"/>
    </xf>
    <xf numFmtId="0" fontId="13" fillId="0" borderId="1" xfId="0" applyFont="1" applyFill="1" applyBorder="1" applyAlignment="1">
      <alignment vertical="top"/>
    </xf>
    <xf numFmtId="0" fontId="13" fillId="0" borderId="1" xfId="0" applyFont="1" applyFill="1" applyBorder="1" applyAlignment="1">
      <alignment horizontal="left" vertical="top"/>
    </xf>
    <xf numFmtId="164" fontId="13" fillId="0" borderId="1" xfId="1" applyFont="1" applyFill="1" applyBorder="1" applyAlignment="1">
      <alignment vertical="top"/>
    </xf>
    <xf numFmtId="0" fontId="98" fillId="11" borderId="0" xfId="0" applyFont="1" applyFill="1" applyAlignment="1">
      <alignment horizontal="center" vertical="center"/>
    </xf>
    <xf numFmtId="0" fontId="39" fillId="6" borderId="12" xfId="0" applyFont="1" applyFill="1" applyBorder="1" applyAlignment="1" applyProtection="1">
      <alignment horizontal="left" vertical="top"/>
    </xf>
    <xf numFmtId="168" fontId="39" fillId="6" borderId="12" xfId="0" applyNumberFormat="1" applyFont="1" applyFill="1" applyBorder="1" applyAlignment="1" applyProtection="1">
      <alignment horizontal="center" vertical="center"/>
    </xf>
    <xf numFmtId="0" fontId="39" fillId="6" borderId="12" xfId="0" applyNumberFormat="1" applyFont="1" applyFill="1" applyBorder="1" applyAlignment="1" applyProtection="1">
      <alignment horizontal="center" vertical="center"/>
    </xf>
    <xf numFmtId="167" fontId="39" fillId="6" borderId="12" xfId="0" applyNumberFormat="1" applyFont="1" applyFill="1" applyBorder="1" applyAlignment="1" applyProtection="1">
      <alignment horizontal="center" vertical="center"/>
    </xf>
    <xf numFmtId="0" fontId="14" fillId="0" borderId="0" xfId="0" applyFont="1" applyBorder="1" applyAlignment="1">
      <alignment vertical="top"/>
    </xf>
    <xf numFmtId="164" fontId="14" fillId="0" borderId="0" xfId="0" applyNumberFormat="1" applyFont="1" applyBorder="1" applyAlignment="1">
      <alignment vertical="top"/>
    </xf>
    <xf numFmtId="0" fontId="13" fillId="0" borderId="0" xfId="0" applyFont="1" applyBorder="1" applyAlignment="1">
      <alignment vertical="top"/>
    </xf>
    <xf numFmtId="0" fontId="39" fillId="0" borderId="0" xfId="0" applyFont="1" applyFill="1" applyBorder="1" applyAlignment="1">
      <alignment horizontal="left" vertical="center"/>
    </xf>
    <xf numFmtId="0" fontId="48" fillId="11" borderId="13" xfId="0" applyFont="1" applyFill="1" applyBorder="1" applyAlignment="1">
      <alignment horizontal="center" vertical="center"/>
    </xf>
    <xf numFmtId="0" fontId="48" fillId="11" borderId="71" xfId="0" applyFont="1" applyFill="1" applyBorder="1" applyAlignment="1">
      <alignment horizontal="center" vertical="center"/>
    </xf>
    <xf numFmtId="0" fontId="100" fillId="14" borderId="12" xfId="0" applyFont="1" applyFill="1" applyBorder="1" applyAlignment="1">
      <alignment horizontal="center" vertical="center"/>
    </xf>
    <xf numFmtId="0" fontId="100" fillId="14" borderId="12" xfId="0" applyFont="1" applyFill="1" applyBorder="1" applyAlignment="1">
      <alignment horizontal="center" vertical="center" wrapText="1"/>
    </xf>
    <xf numFmtId="0" fontId="102" fillId="0" borderId="0" xfId="0" applyFont="1" applyFill="1" applyBorder="1" applyAlignment="1">
      <alignment horizontal="left" vertical="center"/>
    </xf>
    <xf numFmtId="14" fontId="100" fillId="0" borderId="86" xfId="0" applyNumberFormat="1" applyFont="1" applyFill="1" applyBorder="1" applyAlignment="1">
      <alignment horizontal="center"/>
    </xf>
    <xf numFmtId="164" fontId="103" fillId="0" borderId="44" xfId="0" applyNumberFormat="1" applyFont="1" applyFill="1" applyBorder="1" applyAlignment="1">
      <alignment horizontal="center"/>
    </xf>
    <xf numFmtId="164" fontId="103" fillId="0" borderId="1" xfId="1" applyNumberFormat="1" applyFont="1" applyFill="1" applyBorder="1"/>
    <xf numFmtId="164" fontId="100" fillId="0" borderId="1" xfId="1" applyNumberFormat="1" applyFont="1" applyFill="1" applyBorder="1"/>
    <xf numFmtId="164" fontId="100" fillId="0" borderId="44" xfId="0" applyNumberFormat="1" applyFont="1" applyFill="1" applyBorder="1" applyAlignment="1">
      <alignment horizontal="center"/>
    </xf>
    <xf numFmtId="0" fontId="41" fillId="10" borderId="74" xfId="0" applyFont="1" applyFill="1" applyBorder="1" applyAlignment="1">
      <alignment horizontal="left" vertical="center"/>
    </xf>
    <xf numFmtId="168" fontId="46" fillId="0" borderId="73" xfId="0" applyNumberFormat="1" applyFont="1" applyBorder="1" applyAlignment="1">
      <alignment horizontal="left" vertical="center"/>
    </xf>
    <xf numFmtId="0" fontId="41" fillId="10" borderId="71" xfId="0" applyFont="1" applyFill="1" applyBorder="1" applyAlignment="1">
      <alignment horizontal="left" vertical="center"/>
    </xf>
    <xf numFmtId="168" fontId="46" fillId="0" borderId="13" xfId="0" applyNumberFormat="1" applyFont="1" applyBorder="1" applyAlignment="1">
      <alignment horizontal="left" vertical="center"/>
    </xf>
    <xf numFmtId="0" fontId="80" fillId="2" borderId="66" xfId="0" applyFont="1" applyFill="1" applyBorder="1" applyAlignment="1" applyProtection="1">
      <alignment horizontal="center" vertical="top" wrapText="1"/>
    </xf>
    <xf numFmtId="0" fontId="80" fillId="0" borderId="35" xfId="0" applyFont="1" applyFill="1" applyBorder="1" applyAlignment="1" applyProtection="1">
      <alignment horizontal="center" vertical="center" wrapText="1"/>
    </xf>
    <xf numFmtId="0" fontId="80" fillId="0" borderId="12" xfId="0" applyFont="1" applyFill="1" applyBorder="1" applyAlignment="1" applyProtection="1">
      <alignment horizontal="center" vertical="center" wrapText="1"/>
    </xf>
    <xf numFmtId="0" fontId="80" fillId="0" borderId="12" xfId="0" applyFont="1" applyFill="1" applyBorder="1" applyAlignment="1" applyProtection="1">
      <alignment horizontal="center" vertical="center"/>
    </xf>
    <xf numFmtId="0" fontId="80" fillId="0" borderId="0" xfId="0" applyFont="1" applyFill="1" applyBorder="1" applyAlignment="1" applyProtection="1">
      <alignment horizontal="center" vertical="center"/>
    </xf>
    <xf numFmtId="0" fontId="104" fillId="0" borderId="35" xfId="0" applyFont="1" applyFill="1" applyBorder="1" applyAlignment="1" applyProtection="1">
      <alignment horizontal="center" vertical="center" wrapText="1"/>
    </xf>
    <xf numFmtId="0" fontId="51" fillId="0" borderId="35" xfId="0" applyFont="1" applyFill="1" applyBorder="1" applyAlignment="1" applyProtection="1">
      <alignment horizontal="justify" vertical="top" wrapText="1"/>
    </xf>
    <xf numFmtId="168" fontId="51" fillId="0" borderId="35" xfId="0" applyNumberFormat="1" applyFont="1" applyBorder="1" applyAlignment="1" applyProtection="1">
      <alignment horizontal="center" vertical="center"/>
    </xf>
    <xf numFmtId="0" fontId="0" fillId="0" borderId="1" xfId="0" applyBorder="1" applyAlignment="1">
      <alignment horizontal="center" vertical="center"/>
    </xf>
    <xf numFmtId="0" fontId="0" fillId="0" borderId="1" xfId="0" applyFill="1" applyBorder="1"/>
    <xf numFmtId="0" fontId="0" fillId="0" borderId="0" xfId="0" applyBorder="1"/>
    <xf numFmtId="0" fontId="105" fillId="0" borderId="1" xfId="6" applyBorder="1"/>
    <xf numFmtId="0" fontId="0" fillId="0" borderId="11" xfId="0" applyBorder="1"/>
    <xf numFmtId="0" fontId="0" fillId="7" borderId="1" xfId="0" applyFill="1" applyBorder="1" applyAlignment="1">
      <alignment horizontal="center" vertical="center"/>
    </xf>
    <xf numFmtId="0" fontId="0" fillId="0" borderId="1" xfId="0" applyFill="1" applyBorder="1" applyAlignment="1">
      <alignment horizontal="center" vertical="center"/>
    </xf>
    <xf numFmtId="0" fontId="84" fillId="0" borderId="1" xfId="0" applyFont="1" applyBorder="1" applyAlignment="1"/>
    <xf numFmtId="0" fontId="86" fillId="15" borderId="1" xfId="0" applyFont="1" applyFill="1" applyBorder="1" applyAlignment="1">
      <alignment horizontal="center" vertical="center" textRotation="90" wrapText="1"/>
    </xf>
    <xf numFmtId="0" fontId="0" fillId="0" borderId="3" xfId="0" applyFill="1" applyBorder="1"/>
    <xf numFmtId="0" fontId="0" fillId="0" borderId="1" xfId="0" quotePrefix="1" applyFill="1" applyBorder="1"/>
    <xf numFmtId="14" fontId="39" fillId="0" borderId="1" xfId="0" applyNumberFormat="1" applyFont="1" applyFill="1" applyBorder="1" applyAlignment="1" applyProtection="1">
      <alignment horizontal="center" vertical="center"/>
      <protection locked="0"/>
    </xf>
    <xf numFmtId="164" fontId="46" fillId="0" borderId="0" xfId="0" applyNumberFormat="1" applyFont="1" applyAlignment="1">
      <alignment horizontal="center" vertical="center"/>
    </xf>
    <xf numFmtId="0" fontId="73" fillId="0" borderId="35" xfId="0" applyFont="1" applyFill="1" applyBorder="1" applyAlignment="1" applyProtection="1">
      <alignment horizontal="center" vertical="center" wrapText="1"/>
    </xf>
    <xf numFmtId="0" fontId="0" fillId="0" borderId="0" xfId="0" applyFill="1" applyAlignment="1">
      <alignment horizontal="center" vertical="center"/>
    </xf>
    <xf numFmtId="14" fontId="0" fillId="0" borderId="0" xfId="0" applyNumberFormat="1" applyFill="1"/>
    <xf numFmtId="0" fontId="45" fillId="12" borderId="65" xfId="0" applyFont="1" applyFill="1" applyBorder="1" applyAlignment="1" applyProtection="1">
      <alignment horizontal="center" vertical="top" wrapText="1"/>
      <protection locked="0"/>
    </xf>
    <xf numFmtId="0" fontId="95" fillId="0" borderId="1" xfId="0" applyFont="1" applyFill="1" applyBorder="1" applyAlignment="1" applyProtection="1">
      <alignment horizontal="center" vertical="top" wrapText="1"/>
      <protection locked="0"/>
    </xf>
    <xf numFmtId="0" fontId="6" fillId="0" borderId="0" xfId="0" applyFont="1" applyFill="1" applyAlignment="1">
      <alignment vertical="top" wrapText="1"/>
    </xf>
    <xf numFmtId="0" fontId="0" fillId="0" borderId="0" xfId="0" quotePrefix="1" applyAlignment="1">
      <alignment vertical="top"/>
    </xf>
    <xf numFmtId="0" fontId="105" fillId="0" borderId="1" xfId="6" applyFill="1" applyBorder="1"/>
    <xf numFmtId="0" fontId="0" fillId="0" borderId="11" xfId="0" applyFill="1" applyBorder="1"/>
    <xf numFmtId="168" fontId="46" fillId="0" borderId="0" xfId="0" applyNumberFormat="1" applyFont="1" applyAlignment="1">
      <alignment horizontal="center" vertical="center"/>
    </xf>
    <xf numFmtId="0" fontId="48" fillId="11" borderId="64" xfId="0" applyNumberFormat="1" applyFont="1" applyFill="1" applyBorder="1" applyAlignment="1">
      <alignment horizontal="center" vertical="center"/>
    </xf>
    <xf numFmtId="168" fontId="46" fillId="0" borderId="4" xfId="0" applyNumberFormat="1" applyFont="1" applyBorder="1" applyAlignment="1" applyProtection="1">
      <alignment horizontal="center" vertical="center"/>
      <protection locked="0"/>
    </xf>
    <xf numFmtId="0" fontId="46" fillId="0" borderId="5" xfId="0" applyFont="1" applyBorder="1" applyAlignment="1" applyProtection="1">
      <alignment horizontal="center" vertical="center"/>
      <protection locked="0"/>
    </xf>
    <xf numFmtId="168" fontId="46" fillId="0" borderId="7" xfId="0" applyNumberFormat="1" applyFont="1" applyBorder="1" applyAlignment="1" applyProtection="1">
      <alignment horizontal="center" vertical="center"/>
      <protection locked="0"/>
    </xf>
    <xf numFmtId="0" fontId="46" fillId="0" borderId="1" xfId="0" applyFont="1" applyBorder="1" applyAlignment="1" applyProtection="1">
      <alignment horizontal="center" vertical="center"/>
      <protection locked="0"/>
    </xf>
    <xf numFmtId="168" fontId="46" fillId="0" borderId="84" xfId="0" applyNumberFormat="1" applyFont="1" applyBorder="1" applyAlignment="1" applyProtection="1">
      <alignment horizontal="center" vertical="center"/>
      <protection locked="0"/>
    </xf>
    <xf numFmtId="0" fontId="46" fillId="0" borderId="9" xfId="0" applyFont="1" applyBorder="1" applyAlignment="1" applyProtection="1">
      <alignment horizontal="center" vertical="center"/>
      <protection locked="0"/>
    </xf>
    <xf numFmtId="14" fontId="46" fillId="0" borderId="6" xfId="0" applyNumberFormat="1" applyFont="1" applyBorder="1" applyAlignment="1" applyProtection="1">
      <alignment horizontal="center" vertical="center"/>
      <protection locked="0"/>
    </xf>
    <xf numFmtId="14" fontId="46" fillId="0" borderId="92" xfId="0" applyNumberFormat="1" applyFont="1" applyBorder="1" applyAlignment="1" applyProtection="1">
      <alignment horizontal="center" vertical="center"/>
      <protection locked="0"/>
    </xf>
    <xf numFmtId="14" fontId="46" fillId="0" borderId="93" xfId="0" applyNumberFormat="1" applyFont="1" applyBorder="1" applyAlignment="1" applyProtection="1">
      <alignment horizontal="center" vertical="center"/>
      <protection locked="0"/>
    </xf>
    <xf numFmtId="0" fontId="46" fillId="0" borderId="5" xfId="0" applyNumberFormat="1" applyFont="1" applyBorder="1" applyAlignment="1" applyProtection="1">
      <alignment horizontal="center" vertical="center"/>
      <protection locked="0"/>
    </xf>
    <xf numFmtId="0" fontId="46" fillId="0" borderId="1" xfId="0" applyNumberFormat="1" applyFont="1" applyBorder="1" applyAlignment="1" applyProtection="1">
      <alignment horizontal="center" vertical="center"/>
      <protection locked="0"/>
    </xf>
    <xf numFmtId="14" fontId="46" fillId="0" borderId="1" xfId="0" applyNumberFormat="1" applyFont="1" applyBorder="1" applyAlignment="1" applyProtection="1">
      <alignment horizontal="center" vertical="center"/>
      <protection locked="0"/>
    </xf>
    <xf numFmtId="0" fontId="46" fillId="0" borderId="9" xfId="0" applyNumberFormat="1" applyFont="1" applyBorder="1" applyAlignment="1" applyProtection="1">
      <alignment horizontal="center" vertical="center"/>
      <protection locked="0"/>
    </xf>
    <xf numFmtId="0" fontId="51" fillId="2" borderId="66" xfId="0" applyFont="1" applyFill="1" applyBorder="1" applyAlignment="1" applyProtection="1">
      <alignment horizontal="center" vertical="top" wrapText="1"/>
    </xf>
    <xf numFmtId="168" fontId="51" fillId="2" borderId="66" xfId="0" applyNumberFormat="1" applyFont="1" applyFill="1" applyBorder="1" applyAlignment="1" applyProtection="1">
      <alignment horizontal="center" vertical="center" wrapText="1"/>
    </xf>
    <xf numFmtId="0" fontId="51" fillId="2" borderId="66" xfId="0" applyNumberFormat="1" applyFont="1" applyFill="1" applyBorder="1" applyAlignment="1" applyProtection="1">
      <alignment horizontal="center" vertical="center"/>
    </xf>
    <xf numFmtId="0" fontId="51" fillId="2" borderId="66" xfId="0" applyFont="1" applyFill="1" applyBorder="1" applyAlignment="1" applyProtection="1">
      <alignment horizontal="center" vertical="center" wrapText="1"/>
    </xf>
    <xf numFmtId="0" fontId="31" fillId="0" borderId="0" xfId="0" applyFont="1" applyAlignment="1"/>
    <xf numFmtId="9" fontId="31" fillId="0" borderId="0" xfId="0" applyNumberFormat="1" applyFont="1" applyAlignment="1"/>
    <xf numFmtId="0" fontId="45" fillId="2" borderId="32" xfId="0" applyFont="1" applyFill="1" applyBorder="1" applyAlignment="1">
      <alignment horizontal="center" vertical="center"/>
    </xf>
    <xf numFmtId="14" fontId="13" fillId="0" borderId="0" xfId="0" applyNumberFormat="1" applyFont="1" applyFill="1" applyBorder="1" applyAlignment="1">
      <alignment vertical="top"/>
    </xf>
    <xf numFmtId="14" fontId="71" fillId="8" borderId="0" xfId="0" applyNumberFormat="1" applyFont="1" applyFill="1" applyBorder="1" applyAlignment="1">
      <alignment horizontal="left"/>
    </xf>
    <xf numFmtId="0" fontId="0" fillId="8" borderId="0" xfId="0" applyFill="1" applyBorder="1" applyAlignment="1">
      <alignment vertical="top"/>
    </xf>
    <xf numFmtId="0" fontId="105" fillId="0" borderId="0" xfId="6" applyBorder="1"/>
    <xf numFmtId="0" fontId="105" fillId="0" borderId="1" xfId="6" applyBorder="1" applyAlignment="1"/>
    <xf numFmtId="0" fontId="39" fillId="0" borderId="1" xfId="0" applyFont="1" applyBorder="1"/>
    <xf numFmtId="171" fontId="39" fillId="3" borderId="1" xfId="0" applyNumberFormat="1" applyFont="1" applyFill="1" applyBorder="1" applyAlignment="1">
      <alignment horizontal="center" vertical="center" wrapText="1"/>
    </xf>
    <xf numFmtId="0" fontId="39" fillId="0" borderId="1" xfId="0" applyFont="1" applyBorder="1" applyAlignment="1">
      <alignment horizontal="center"/>
    </xf>
    <xf numFmtId="49" fontId="39" fillId="0" borderId="1" xfId="0" applyNumberFormat="1" applyFont="1" applyBorder="1" applyAlignment="1">
      <alignment horizontal="right"/>
    </xf>
    <xf numFmtId="0" fontId="51" fillId="0" borderId="1" xfId="0" applyFont="1" applyBorder="1"/>
    <xf numFmtId="0" fontId="39" fillId="0" borderId="0" xfId="0" applyFont="1"/>
    <xf numFmtId="14" fontId="0" fillId="0" borderId="1" xfId="0" applyNumberFormat="1" applyFill="1" applyBorder="1" applyAlignment="1">
      <alignment vertical="top"/>
    </xf>
    <xf numFmtId="0" fontId="46" fillId="0" borderId="1" xfId="0" applyNumberFormat="1" applyFont="1" applyBorder="1" applyAlignment="1" applyProtection="1">
      <alignment horizontal="left" vertical="center"/>
      <protection locked="0"/>
    </xf>
    <xf numFmtId="0" fontId="110" fillId="0" borderId="1" xfId="0" applyFont="1" applyFill="1" applyBorder="1" applyAlignment="1">
      <alignment vertical="top"/>
    </xf>
    <xf numFmtId="0" fontId="111" fillId="0" borderId="1" xfId="0" applyFont="1" applyFill="1" applyBorder="1" applyAlignment="1">
      <alignment vertical="top"/>
    </xf>
    <xf numFmtId="0" fontId="13" fillId="0" borderId="42" xfId="0" applyFont="1" applyBorder="1" applyAlignment="1">
      <alignment vertical="top"/>
    </xf>
    <xf numFmtId="49" fontId="94" fillId="0" borderId="0" xfId="0" applyNumberFormat="1" applyFont="1" applyFill="1" applyBorder="1" applyAlignment="1" applyProtection="1">
      <alignment horizontal="center" vertical="center"/>
      <protection locked="0"/>
    </xf>
    <xf numFmtId="0" fontId="13" fillId="0" borderId="1" xfId="0" applyFont="1" applyBorder="1"/>
    <xf numFmtId="0" fontId="0" fillId="0" borderId="35" xfId="0" applyBorder="1"/>
    <xf numFmtId="0" fontId="39" fillId="0" borderId="0" xfId="0" applyFont="1" applyFill="1" applyBorder="1" applyAlignment="1">
      <alignment horizontal="justify" vertical="top" wrapText="1"/>
    </xf>
    <xf numFmtId="0" fontId="0" fillId="0" borderId="1" xfId="0" applyBorder="1" applyAlignment="1">
      <alignment vertical="top"/>
    </xf>
    <xf numFmtId="0" fontId="14" fillId="0" borderId="1" xfId="0" applyFont="1" applyBorder="1" applyAlignment="1">
      <alignment vertical="top"/>
    </xf>
    <xf numFmtId="164" fontId="14" fillId="0" borderId="1" xfId="0" applyNumberFormat="1" applyFont="1" applyBorder="1" applyAlignment="1">
      <alignment vertical="top"/>
    </xf>
    <xf numFmtId="0" fontId="39" fillId="0" borderId="0" xfId="0" applyFont="1" applyFill="1" applyBorder="1" applyAlignment="1">
      <alignment horizontal="left" vertical="top" wrapText="1"/>
    </xf>
    <xf numFmtId="0" fontId="72" fillId="0" borderId="1" xfId="0" applyFont="1" applyFill="1" applyBorder="1" applyAlignment="1">
      <alignment vertical="top"/>
    </xf>
    <xf numFmtId="0" fontId="0" fillId="0" borderId="0" xfId="0" applyFill="1" applyBorder="1" applyAlignment="1">
      <alignment vertical="top"/>
    </xf>
    <xf numFmtId="0" fontId="72" fillId="0" borderId="1" xfId="0" applyFont="1" applyFill="1" applyBorder="1" applyAlignment="1">
      <alignment horizontal="left" vertical="top"/>
    </xf>
    <xf numFmtId="0" fontId="0" fillId="0" borderId="0" xfId="0" applyFill="1" applyBorder="1" applyAlignment="1">
      <alignment horizontal="left" vertical="top"/>
    </xf>
    <xf numFmtId="164" fontId="72" fillId="0" borderId="1" xfId="1" applyFont="1" applyFill="1" applyBorder="1" applyAlignment="1">
      <alignment vertical="top"/>
    </xf>
    <xf numFmtId="173" fontId="39" fillId="0" borderId="1" xfId="1" applyNumberFormat="1" applyFont="1" applyFill="1" applyBorder="1" applyAlignment="1" applyProtection="1">
      <alignment horizontal="right" vertical="center"/>
      <protection locked="0"/>
    </xf>
    <xf numFmtId="164" fontId="39" fillId="0" borderId="1" xfId="1" applyFont="1" applyFill="1" applyBorder="1" applyAlignment="1" applyProtection="1">
      <alignment horizontal="center" vertical="center"/>
    </xf>
    <xf numFmtId="0" fontId="39" fillId="3" borderId="1" xfId="0" applyNumberFormat="1" applyFont="1" applyFill="1" applyBorder="1" applyAlignment="1" applyProtection="1">
      <alignment horizontal="center" vertical="center"/>
      <protection locked="0"/>
    </xf>
    <xf numFmtId="0" fontId="71" fillId="0" borderId="1" xfId="0" applyFont="1" applyBorder="1" applyAlignment="1">
      <alignment vertical="top"/>
    </xf>
    <xf numFmtId="0" fontId="13" fillId="0" borderId="0" xfId="0" applyFont="1" applyFill="1" applyBorder="1" applyAlignment="1">
      <alignment vertical="top"/>
    </xf>
    <xf numFmtId="0" fontId="13" fillId="0" borderId="0" xfId="0" applyFont="1" applyAlignment="1">
      <alignment vertical="top"/>
    </xf>
    <xf numFmtId="0" fontId="0" fillId="7" borderId="1" xfId="0" applyFill="1" applyBorder="1" applyAlignment="1">
      <alignment vertical="top"/>
    </xf>
    <xf numFmtId="0" fontId="0" fillId="7" borderId="1" xfId="0" applyFill="1" applyBorder="1" applyAlignment="1">
      <alignment horizontal="left" vertical="top"/>
    </xf>
    <xf numFmtId="164" fontId="0" fillId="7" borderId="1" xfId="1" applyFont="1" applyFill="1" applyBorder="1" applyAlignment="1">
      <alignment vertical="top"/>
    </xf>
    <xf numFmtId="0" fontId="0" fillId="0" borderId="0" xfId="0" quotePrefix="1" applyAlignment="1">
      <alignment horizontal="left" vertical="top"/>
    </xf>
    <xf numFmtId="0" fontId="14" fillId="0" borderId="0" xfId="0" applyFont="1"/>
    <xf numFmtId="0" fontId="14" fillId="2" borderId="1" xfId="0" applyFont="1" applyFill="1" applyBorder="1" applyAlignment="1">
      <alignment horizontal="center"/>
    </xf>
    <xf numFmtId="0" fontId="112" fillId="0" borderId="0" xfId="0" applyFont="1" applyFill="1" applyBorder="1" applyAlignment="1" applyProtection="1">
      <alignment horizontal="center" vertical="center"/>
      <protection locked="0"/>
    </xf>
    <xf numFmtId="0" fontId="13" fillId="0" borderId="1" xfId="0" applyFont="1" applyFill="1" applyBorder="1"/>
    <xf numFmtId="0" fontId="13" fillId="0" borderId="0" xfId="0" applyFont="1" applyFill="1"/>
    <xf numFmtId="0" fontId="71" fillId="0" borderId="0" xfId="0" applyFont="1" applyFill="1" applyBorder="1" applyAlignment="1">
      <alignment horizontal="left" vertical="top"/>
    </xf>
    <xf numFmtId="164" fontId="14" fillId="0" borderId="0" xfId="1" applyFont="1" applyFill="1" applyBorder="1" applyAlignment="1">
      <alignment vertical="top"/>
    </xf>
    <xf numFmtId="0" fontId="13" fillId="0" borderId="0" xfId="0" applyFont="1" applyFill="1" applyAlignment="1">
      <alignment vertical="top"/>
    </xf>
    <xf numFmtId="0" fontId="71" fillId="0" borderId="1" xfId="0" applyFont="1" applyFill="1" applyBorder="1" applyAlignment="1">
      <alignment vertical="top"/>
    </xf>
    <xf numFmtId="164" fontId="71" fillId="0" borderId="1" xfId="0" applyNumberFormat="1" applyFont="1" applyFill="1" applyBorder="1" applyAlignment="1">
      <alignment vertical="top"/>
    </xf>
    <xf numFmtId="0" fontId="0" fillId="0" borderId="1" xfId="0" applyNumberFormat="1" applyFont="1" applyFill="1" applyBorder="1" applyAlignment="1">
      <alignment horizontal="center"/>
    </xf>
    <xf numFmtId="0" fontId="13" fillId="7" borderId="1" xfId="0" applyFont="1" applyFill="1" applyBorder="1" applyAlignment="1">
      <alignment vertical="top"/>
    </xf>
    <xf numFmtId="0" fontId="13" fillId="7" borderId="1" xfId="0" applyFont="1" applyFill="1" applyBorder="1" applyAlignment="1">
      <alignment horizontal="left" vertical="top"/>
    </xf>
    <xf numFmtId="164" fontId="13" fillId="7" borderId="1" xfId="1" applyFont="1" applyFill="1" applyBorder="1" applyAlignment="1">
      <alignment vertical="top"/>
    </xf>
    <xf numFmtId="16" fontId="13" fillId="0" borderId="0" xfId="0" applyNumberFormat="1" applyFont="1" applyFill="1" applyBorder="1" applyAlignment="1">
      <alignment horizontal="center" vertical="center"/>
    </xf>
    <xf numFmtId="166" fontId="0" fillId="0" borderId="0" xfId="3" applyFont="1" applyAlignment="1">
      <alignment vertical="top"/>
    </xf>
    <xf numFmtId="166" fontId="0" fillId="0" borderId="0" xfId="0" applyNumberFormat="1" applyAlignment="1">
      <alignment vertical="top"/>
    </xf>
    <xf numFmtId="0" fontId="0" fillId="8" borderId="0" xfId="0" applyFill="1" applyAlignment="1">
      <alignment horizontal="left" vertical="top"/>
    </xf>
    <xf numFmtId="0" fontId="98" fillId="11" borderId="1" xfId="0" applyFont="1" applyFill="1" applyBorder="1" applyAlignment="1">
      <alignment horizontal="center" vertical="center"/>
    </xf>
    <xf numFmtId="0" fontId="0" fillId="0" borderId="1" xfId="0" quotePrefix="1" applyBorder="1" applyAlignment="1">
      <alignment vertical="top"/>
    </xf>
    <xf numFmtId="0" fontId="0" fillId="0" borderId="1" xfId="0" applyBorder="1" applyAlignment="1">
      <alignment horizontal="left" vertical="top"/>
    </xf>
    <xf numFmtId="168" fontId="0" fillId="0" borderId="1" xfId="3" applyNumberFormat="1" applyFont="1" applyBorder="1" applyAlignment="1">
      <alignment vertical="top"/>
    </xf>
    <xf numFmtId="0" fontId="0" fillId="8" borderId="1" xfId="0" applyFill="1" applyBorder="1" applyAlignment="1">
      <alignment vertical="top"/>
    </xf>
    <xf numFmtId="0" fontId="0" fillId="8" borderId="1" xfId="0" applyFill="1" applyBorder="1" applyAlignment="1">
      <alignment horizontal="left" vertical="top"/>
    </xf>
    <xf numFmtId="168" fontId="0" fillId="8" borderId="1" xfId="3" applyNumberFormat="1" applyFont="1" applyFill="1" applyBorder="1" applyAlignment="1">
      <alignment vertical="top"/>
    </xf>
    <xf numFmtId="0" fontId="14" fillId="0" borderId="1" xfId="0" applyFont="1" applyBorder="1"/>
    <xf numFmtId="168" fontId="14" fillId="0" borderId="1" xfId="0" applyNumberFormat="1" applyFont="1" applyBorder="1"/>
    <xf numFmtId="0" fontId="13" fillId="0" borderId="0" xfId="0" applyFont="1" applyBorder="1"/>
    <xf numFmtId="166" fontId="0" fillId="0" borderId="0" xfId="0" applyNumberFormat="1"/>
    <xf numFmtId="166" fontId="0" fillId="0" borderId="0" xfId="3" applyFont="1"/>
    <xf numFmtId="166" fontId="0" fillId="8" borderId="0" xfId="3" applyFont="1" applyFill="1" applyAlignment="1">
      <alignment vertical="top"/>
    </xf>
    <xf numFmtId="1" fontId="39" fillId="7" borderId="1" xfId="0" applyNumberFormat="1" applyFont="1" applyFill="1" applyBorder="1" applyAlignment="1" applyProtection="1">
      <alignment horizontal="center" vertical="center"/>
      <protection locked="0"/>
    </xf>
    <xf numFmtId="1" fontId="59" fillId="7" borderId="1" xfId="0" applyNumberFormat="1" applyFont="1" applyFill="1" applyBorder="1" applyAlignment="1" applyProtection="1">
      <alignment horizontal="center" vertical="center"/>
      <protection locked="0"/>
    </xf>
    <xf numFmtId="14" fontId="39" fillId="7" borderId="1" xfId="0" applyNumberFormat="1" applyFont="1" applyFill="1" applyBorder="1" applyAlignment="1" applyProtection="1">
      <alignment horizontal="center" vertical="center"/>
      <protection locked="0"/>
    </xf>
    <xf numFmtId="0" fontId="86" fillId="13" borderId="1" xfId="0" applyFont="1" applyFill="1" applyBorder="1" applyAlignment="1">
      <alignment horizontal="center" vertical="center" textRotation="90" wrapText="1"/>
    </xf>
    <xf numFmtId="0" fontId="86" fillId="7" borderId="1" xfId="0" applyFont="1" applyFill="1" applyBorder="1" applyAlignment="1">
      <alignment horizontal="center" vertical="center" textRotation="90" wrapText="1"/>
    </xf>
    <xf numFmtId="0" fontId="86" fillId="6" borderId="1" xfId="0" applyFont="1" applyFill="1" applyBorder="1" applyAlignment="1">
      <alignment horizontal="center" vertical="center" textRotation="90" wrapText="1"/>
    </xf>
    <xf numFmtId="0" fontId="86" fillId="17" borderId="1" xfId="0" applyFont="1" applyFill="1" applyBorder="1" applyAlignment="1">
      <alignment horizontal="center" vertical="center" textRotation="90" wrapText="1"/>
    </xf>
    <xf numFmtId="0" fontId="86" fillId="18" borderId="1" xfId="0" applyFont="1" applyFill="1" applyBorder="1" applyAlignment="1">
      <alignment horizontal="center" vertical="center" textRotation="90" wrapText="1"/>
    </xf>
    <xf numFmtId="0" fontId="86" fillId="19" borderId="1" xfId="0" applyFont="1" applyFill="1" applyBorder="1" applyAlignment="1">
      <alignment horizontal="center" vertical="center" textRotation="90" wrapText="1"/>
    </xf>
    <xf numFmtId="0" fontId="86" fillId="20" borderId="1" xfId="0" applyFont="1" applyFill="1" applyBorder="1" applyAlignment="1">
      <alignment horizontal="center" vertical="center" textRotation="90" wrapText="1"/>
    </xf>
    <xf numFmtId="0" fontId="86" fillId="21" borderId="1" xfId="0" applyFont="1" applyFill="1" applyBorder="1" applyAlignment="1">
      <alignment horizontal="center" vertical="center" textRotation="90" wrapText="1"/>
    </xf>
    <xf numFmtId="0" fontId="86" fillId="10" borderId="1" xfId="0" applyFont="1" applyFill="1" applyBorder="1" applyAlignment="1">
      <alignment horizontal="center" vertical="center" textRotation="90" wrapText="1"/>
    </xf>
    <xf numFmtId="0" fontId="86" fillId="22" borderId="1" xfId="0" applyFont="1" applyFill="1" applyBorder="1" applyAlignment="1">
      <alignment horizontal="center" vertical="center" textRotation="90" wrapText="1"/>
    </xf>
    <xf numFmtId="0" fontId="86" fillId="8" borderId="1" xfId="0" applyFont="1" applyFill="1" applyBorder="1" applyAlignment="1">
      <alignment horizontal="center" vertical="center" textRotation="90" wrapText="1"/>
    </xf>
    <xf numFmtId="0" fontId="86" fillId="23" borderId="1" xfId="0" applyFont="1" applyFill="1" applyBorder="1" applyAlignment="1">
      <alignment horizontal="center" vertical="center" textRotation="90" wrapText="1"/>
    </xf>
    <xf numFmtId="0" fontId="86" fillId="12" borderId="1" xfId="0" applyFont="1" applyFill="1" applyBorder="1" applyAlignment="1">
      <alignment horizontal="center" vertical="center" textRotation="90" wrapText="1"/>
    </xf>
    <xf numFmtId="0" fontId="86" fillId="16" borderId="1" xfId="0" applyFont="1" applyFill="1" applyBorder="1" applyAlignment="1">
      <alignment horizontal="center" vertical="center" textRotation="90" wrapText="1"/>
    </xf>
    <xf numFmtId="166" fontId="0" fillId="0" borderId="1" xfId="3" applyFont="1" applyBorder="1" applyAlignment="1">
      <alignment vertical="top"/>
    </xf>
    <xf numFmtId="0" fontId="72" fillId="7" borderId="1" xfId="0" applyFont="1" applyFill="1" applyBorder="1" applyAlignment="1">
      <alignment vertical="top"/>
    </xf>
    <xf numFmtId="0" fontId="72" fillId="7" borderId="1" xfId="0" applyFont="1" applyFill="1" applyBorder="1" applyAlignment="1">
      <alignment horizontal="left" vertical="top"/>
    </xf>
    <xf numFmtId="166" fontId="0" fillId="7" borderId="1" xfId="3" applyFont="1" applyFill="1" applyBorder="1" applyAlignment="1">
      <alignment vertical="top"/>
    </xf>
    <xf numFmtId="0" fontId="14" fillId="0" borderId="1" xfId="0" applyFont="1" applyBorder="1" applyAlignment="1">
      <alignment horizontal="left" vertical="top"/>
    </xf>
    <xf numFmtId="166" fontId="14" fillId="0" borderId="1" xfId="0" applyNumberFormat="1" applyFont="1" applyBorder="1"/>
    <xf numFmtId="14" fontId="45" fillId="12" borderId="65" xfId="0" applyNumberFormat="1" applyFont="1" applyFill="1" applyBorder="1" applyAlignment="1" applyProtection="1">
      <alignment horizontal="center" vertical="center" wrapText="1"/>
      <protection locked="0"/>
    </xf>
    <xf numFmtId="0" fontId="0" fillId="0" borderId="0" xfId="0" applyAlignment="1"/>
    <xf numFmtId="0" fontId="112" fillId="7" borderId="0" xfId="0" applyFont="1" applyFill="1" applyBorder="1" applyAlignment="1" applyProtection="1">
      <alignment horizontal="center" vertical="center"/>
      <protection locked="0"/>
    </xf>
    <xf numFmtId="16" fontId="39" fillId="3" borderId="1" xfId="0" applyNumberFormat="1" applyFont="1" applyFill="1" applyBorder="1" applyAlignment="1" applyProtection="1">
      <alignment horizontal="center" vertical="center"/>
      <protection locked="0"/>
    </xf>
    <xf numFmtId="49" fontId="94" fillId="6" borderId="1" xfId="0" applyNumberFormat="1" applyFont="1" applyFill="1" applyBorder="1" applyAlignment="1" applyProtection="1">
      <alignment horizontal="center" vertical="center"/>
      <protection locked="0"/>
    </xf>
    <xf numFmtId="0" fontId="13" fillId="0" borderId="0" xfId="0" applyFont="1"/>
    <xf numFmtId="166" fontId="14" fillId="0" borderId="1" xfId="0" applyNumberFormat="1" applyFont="1" applyBorder="1" applyAlignment="1">
      <alignment vertical="top"/>
    </xf>
    <xf numFmtId="0" fontId="0" fillId="0" borderId="1" xfId="0" applyNumberFormat="1" applyBorder="1" applyAlignment="1">
      <alignment vertical="top"/>
    </xf>
    <xf numFmtId="16" fontId="98" fillId="11" borderId="1" xfId="0" applyNumberFormat="1" applyFont="1" applyFill="1" applyBorder="1" applyAlignment="1">
      <alignment horizontal="center" vertical="center"/>
    </xf>
    <xf numFmtId="3" fontId="39" fillId="3" borderId="1" xfId="1" applyNumberFormat="1" applyFont="1" applyFill="1" applyBorder="1" applyAlignment="1" applyProtection="1">
      <alignment horizontal="center" vertical="center"/>
      <protection locked="0"/>
    </xf>
    <xf numFmtId="0" fontId="39" fillId="0" borderId="12" xfId="0" applyFont="1" applyFill="1" applyBorder="1" applyAlignment="1">
      <alignment horizontal="justify" vertical="top" wrapText="1"/>
    </xf>
    <xf numFmtId="0" fontId="39" fillId="3" borderId="1" xfId="0" applyNumberFormat="1" applyFont="1" applyFill="1" applyBorder="1" applyAlignment="1" applyProtection="1">
      <alignment horizontal="justify" vertical="top"/>
      <protection locked="0"/>
    </xf>
    <xf numFmtId="0" fontId="113" fillId="0" borderId="1" xfId="0" applyFont="1" applyBorder="1"/>
    <xf numFmtId="0" fontId="108" fillId="0" borderId="1" xfId="0" applyFont="1" applyBorder="1"/>
    <xf numFmtId="0" fontId="39" fillId="3" borderId="35" xfId="0" applyFont="1" applyFill="1" applyBorder="1" applyAlignment="1" applyProtection="1">
      <alignment horizontal="left" vertical="center"/>
      <protection locked="0"/>
    </xf>
    <xf numFmtId="0" fontId="72" fillId="0" borderId="0" xfId="0" applyFont="1" applyAlignment="1">
      <alignment vertical="top"/>
    </xf>
    <xf numFmtId="0" fontId="72" fillId="0" borderId="0" xfId="0" applyFont="1" applyAlignment="1">
      <alignment horizontal="left" vertical="top"/>
    </xf>
    <xf numFmtId="166" fontId="72" fillId="0" borderId="0" xfId="3" applyFont="1" applyAlignment="1">
      <alignment vertical="top"/>
    </xf>
    <xf numFmtId="0" fontId="72" fillId="0" borderId="1" xfId="0" applyFont="1" applyBorder="1" applyAlignment="1">
      <alignment vertical="top"/>
    </xf>
    <xf numFmtId="0" fontId="72" fillId="0" borderId="1" xfId="0" applyFont="1" applyBorder="1" applyAlignment="1">
      <alignment horizontal="left" vertical="top"/>
    </xf>
    <xf numFmtId="166" fontId="72" fillId="0" borderId="1" xfId="3" applyFont="1" applyBorder="1" applyAlignment="1">
      <alignment vertical="top"/>
    </xf>
    <xf numFmtId="14" fontId="0" fillId="0" borderId="0" xfId="0" applyNumberFormat="1" applyAlignment="1">
      <alignment horizontal="left" vertical="top"/>
    </xf>
    <xf numFmtId="175" fontId="39" fillId="3" borderId="1" xfId="1" applyNumberFormat="1" applyFont="1" applyFill="1" applyBorder="1" applyAlignment="1" applyProtection="1">
      <alignment horizontal="right" vertical="center"/>
      <protection locked="0"/>
    </xf>
    <xf numFmtId="166" fontId="0" fillId="0" borderId="1" xfId="0" applyNumberFormat="1" applyBorder="1" applyAlignment="1">
      <alignment vertical="top"/>
    </xf>
    <xf numFmtId="0" fontId="59" fillId="3" borderId="1" xfId="0" applyFont="1" applyFill="1" applyBorder="1" applyAlignment="1" applyProtection="1">
      <alignment horizontal="center" vertical="center" wrapText="1"/>
      <protection locked="0"/>
    </xf>
    <xf numFmtId="14" fontId="59" fillId="3" borderId="1" xfId="0" applyNumberFormat="1" applyFont="1" applyFill="1" applyBorder="1" applyAlignment="1" applyProtection="1">
      <alignment horizontal="center" vertical="center" wrapText="1"/>
      <protection locked="0"/>
    </xf>
    <xf numFmtId="0" fontId="59" fillId="3" borderId="1" xfId="0" applyFont="1" applyFill="1" applyBorder="1" applyAlignment="1" applyProtection="1">
      <alignment horizontal="center" vertical="top" wrapText="1"/>
      <protection locked="0"/>
    </xf>
    <xf numFmtId="14" fontId="114" fillId="8" borderId="0" xfId="0" applyNumberFormat="1" applyFont="1" applyFill="1" applyBorder="1" applyAlignment="1">
      <alignment horizontal="left"/>
    </xf>
    <xf numFmtId="0" fontId="117" fillId="2" borderId="66" xfId="0" applyFont="1" applyFill="1" applyBorder="1" applyAlignment="1" applyProtection="1">
      <alignment horizontal="center" vertical="center"/>
    </xf>
    <xf numFmtId="0" fontId="117" fillId="2" borderId="67" xfId="0" applyFont="1" applyFill="1" applyBorder="1" applyAlignment="1" applyProtection="1">
      <alignment horizontal="center" vertical="center"/>
    </xf>
    <xf numFmtId="168" fontId="118" fillId="0" borderId="35" xfId="0" applyNumberFormat="1" applyFont="1" applyBorder="1" applyAlignment="1" applyProtection="1">
      <alignment horizontal="center" vertical="center"/>
    </xf>
    <xf numFmtId="167" fontId="117" fillId="6" borderId="12" xfId="0" applyNumberFormat="1" applyFont="1" applyFill="1" applyBorder="1" applyAlignment="1" applyProtection="1">
      <alignment horizontal="center" vertical="center"/>
    </xf>
    <xf numFmtId="0" fontId="118" fillId="0" borderId="0" xfId="0" applyFont="1" applyFill="1" applyBorder="1" applyAlignment="1" applyProtection="1">
      <alignment horizontal="center" vertical="center"/>
    </xf>
    <xf numFmtId="176" fontId="39" fillId="3" borderId="1" xfId="1" applyNumberFormat="1" applyFont="1" applyFill="1" applyBorder="1" applyAlignment="1" applyProtection="1">
      <alignment horizontal="right" vertical="center"/>
      <protection locked="0"/>
    </xf>
    <xf numFmtId="0" fontId="0" fillId="7" borderId="0" xfId="0" applyFill="1" applyAlignment="1">
      <alignment vertical="top"/>
    </xf>
    <xf numFmtId="0" fontId="0" fillId="7" borderId="0" xfId="0" applyFill="1" applyAlignment="1">
      <alignment horizontal="left" vertical="top"/>
    </xf>
    <xf numFmtId="166" fontId="0" fillId="7" borderId="0" xfId="3" applyFont="1" applyFill="1" applyAlignment="1">
      <alignment vertical="top"/>
    </xf>
    <xf numFmtId="0" fontId="39" fillId="3" borderId="35" xfId="0" applyFont="1" applyFill="1" applyBorder="1" applyAlignment="1" applyProtection="1">
      <alignment horizontal="center" vertical="center"/>
      <protection locked="0"/>
    </xf>
    <xf numFmtId="166" fontId="0" fillId="0" borderId="1" xfId="3" applyFont="1" applyFill="1" applyBorder="1" applyAlignment="1">
      <alignment vertical="top"/>
    </xf>
    <xf numFmtId="49" fontId="94" fillId="7" borderId="1" xfId="0" applyNumberFormat="1" applyFont="1" applyFill="1" applyBorder="1" applyAlignment="1" applyProtection="1">
      <alignment horizontal="center" vertical="center"/>
      <protection locked="0"/>
    </xf>
    <xf numFmtId="49" fontId="94" fillId="0" borderId="1" xfId="0" applyNumberFormat="1" applyFont="1" applyFill="1" applyBorder="1" applyAlignment="1" applyProtection="1">
      <alignment horizontal="center" vertical="center"/>
      <protection locked="0"/>
    </xf>
    <xf numFmtId="164" fontId="0" fillId="0" borderId="1" xfId="1" applyFont="1" applyBorder="1" applyAlignment="1">
      <alignment vertical="top"/>
    </xf>
    <xf numFmtId="164" fontId="0" fillId="0" borderId="1" xfId="0" applyNumberFormat="1" applyBorder="1" applyAlignment="1">
      <alignment vertical="top"/>
    </xf>
    <xf numFmtId="164" fontId="0" fillId="7" borderId="0" xfId="1" applyFont="1" applyFill="1" applyAlignment="1">
      <alignment vertical="top"/>
    </xf>
    <xf numFmtId="0" fontId="119" fillId="0" borderId="0" xfId="0" applyFont="1" applyAlignment="1">
      <alignment vertical="top"/>
    </xf>
    <xf numFmtId="164" fontId="119" fillId="0" borderId="0" xfId="0" applyNumberFormat="1" applyFont="1" applyAlignment="1">
      <alignment vertical="top"/>
    </xf>
    <xf numFmtId="164" fontId="13" fillId="0" borderId="1" xfId="1" applyFont="1" applyBorder="1" applyAlignment="1">
      <alignment vertical="top"/>
    </xf>
    <xf numFmtId="0" fontId="0" fillId="7" borderId="1" xfId="0" applyFill="1" applyBorder="1"/>
    <xf numFmtId="164" fontId="14" fillId="0" borderId="1" xfId="1" applyFont="1" applyBorder="1" applyAlignment="1">
      <alignment vertical="top"/>
    </xf>
    <xf numFmtId="164" fontId="72" fillId="0" borderId="1" xfId="1" applyFont="1" applyBorder="1" applyAlignment="1">
      <alignment vertical="top"/>
    </xf>
    <xf numFmtId="0" fontId="0" fillId="0" borderId="0" xfId="0" applyNumberFormat="1" applyFont="1" applyFill="1" applyAlignment="1">
      <alignment horizontal="center"/>
    </xf>
    <xf numFmtId="0" fontId="45" fillId="2" borderId="11" xfId="0" applyFont="1" applyFill="1" applyBorder="1" applyAlignment="1">
      <alignment horizontal="center" vertical="center"/>
    </xf>
    <xf numFmtId="0" fontId="0" fillId="0" borderId="1" xfId="0" applyBorder="1" applyAlignment="1">
      <alignment horizontal="center" vertical="top"/>
    </xf>
    <xf numFmtId="0" fontId="51" fillId="0" borderId="3" xfId="0" applyFont="1" applyBorder="1"/>
    <xf numFmtId="1" fontId="123" fillId="0" borderId="1" xfId="0" applyNumberFormat="1" applyFont="1" applyFill="1" applyBorder="1" applyAlignment="1">
      <alignment horizontal="center" vertical="center"/>
    </xf>
    <xf numFmtId="0" fontId="39" fillId="0" borderId="3" xfId="0" applyFont="1" applyBorder="1"/>
    <xf numFmtId="0" fontId="39" fillId="0" borderId="1" xfId="0" applyFont="1" applyFill="1" applyBorder="1"/>
    <xf numFmtId="171" fontId="39" fillId="0" borderId="1" xfId="0" applyNumberFormat="1" applyFont="1" applyFill="1" applyBorder="1" applyAlignment="1">
      <alignment horizontal="center" vertical="center" wrapText="1"/>
    </xf>
    <xf numFmtId="0" fontId="39" fillId="0" borderId="1" xfId="0" applyFont="1" applyFill="1" applyBorder="1" applyAlignment="1">
      <alignment horizontal="center"/>
    </xf>
    <xf numFmtId="49" fontId="39" fillId="0" borderId="1" xfId="0" applyNumberFormat="1" applyFont="1" applyFill="1" applyBorder="1" applyAlignment="1">
      <alignment horizontal="right"/>
    </xf>
    <xf numFmtId="0" fontId="51" fillId="0" borderId="1" xfId="0" applyFont="1" applyFill="1" applyBorder="1"/>
    <xf numFmtId="0" fontId="39" fillId="0" borderId="0" xfId="0" applyFont="1" applyFill="1"/>
    <xf numFmtId="0" fontId="39" fillId="0" borderId="0" xfId="0" applyFont="1" applyBorder="1"/>
    <xf numFmtId="0" fontId="39" fillId="0" borderId="1" xfId="0" applyFont="1" applyBorder="1" applyAlignment="1">
      <alignment vertical="center" wrapText="1"/>
    </xf>
    <xf numFmtId="0" fontId="39" fillId="0" borderId="1" xfId="0" applyFont="1" applyBorder="1" applyAlignment="1">
      <alignment horizontal="center" vertical="center"/>
    </xf>
    <xf numFmtId="49" fontId="39" fillId="0" borderId="1" xfId="0" applyNumberFormat="1" applyFont="1" applyBorder="1" applyAlignment="1">
      <alignment horizontal="right" vertical="center"/>
    </xf>
    <xf numFmtId="0" fontId="51" fillId="0" borderId="1" xfId="0" applyFont="1" applyBorder="1" applyAlignment="1">
      <alignment vertical="center"/>
    </xf>
    <xf numFmtId="0" fontId="39" fillId="0" borderId="0" xfId="0" applyFont="1" applyAlignment="1">
      <alignment vertical="center"/>
    </xf>
    <xf numFmtId="0" fontId="124" fillId="0" borderId="0" xfId="0" applyFont="1"/>
    <xf numFmtId="0" fontId="124" fillId="0" borderId="0" xfId="0" applyFont="1" applyAlignment="1">
      <alignment vertical="center" wrapText="1"/>
    </xf>
    <xf numFmtId="0" fontId="39" fillId="0" borderId="1" xfId="0" applyFont="1" applyBorder="1" applyAlignment="1">
      <alignment wrapText="1"/>
    </xf>
    <xf numFmtId="49" fontId="39" fillId="7" borderId="1" xfId="0" applyNumberFormat="1" applyFont="1" applyFill="1" applyBorder="1" applyAlignment="1">
      <alignment horizontal="right"/>
    </xf>
    <xf numFmtId="0" fontId="123" fillId="0" borderId="1" xfId="0" applyFont="1" applyBorder="1" applyAlignment="1">
      <alignment horizontal="center" vertical="center"/>
    </xf>
    <xf numFmtId="0" fontId="39" fillId="0" borderId="77" xfId="0" applyFont="1" applyBorder="1" applyAlignment="1">
      <alignment horizontal="center"/>
    </xf>
    <xf numFmtId="171" fontId="39" fillId="3" borderId="0" xfId="0" applyNumberFormat="1" applyFont="1" applyFill="1" applyBorder="1" applyAlignment="1">
      <alignment horizontal="center" vertical="center" wrapText="1"/>
    </xf>
    <xf numFmtId="0" fontId="39" fillId="0" borderId="0" xfId="0" applyFont="1" applyBorder="1" applyAlignment="1">
      <alignment horizontal="center"/>
    </xf>
    <xf numFmtId="49" fontId="39" fillId="0" borderId="0" xfId="0" applyNumberFormat="1" applyFont="1" applyBorder="1" applyAlignment="1">
      <alignment horizontal="right"/>
    </xf>
    <xf numFmtId="0" fontId="51" fillId="0" borderId="0" xfId="0" applyFont="1" applyBorder="1"/>
    <xf numFmtId="49" fontId="123" fillId="0" borderId="1" xfId="0" applyNumberFormat="1" applyFont="1" applyFill="1" applyBorder="1" applyAlignment="1">
      <alignment horizontal="center" vertical="center"/>
    </xf>
    <xf numFmtId="0" fontId="51" fillId="0" borderId="0" xfId="0" applyFont="1"/>
    <xf numFmtId="0" fontId="39" fillId="0" borderId="0" xfId="0" applyFont="1" applyAlignment="1">
      <alignment horizontal="center"/>
    </xf>
    <xf numFmtId="49" fontId="39" fillId="0" borderId="0" xfId="0" applyNumberFormat="1" applyFont="1" applyAlignment="1">
      <alignment horizontal="right"/>
    </xf>
    <xf numFmtId="0" fontId="1" fillId="0" borderId="0" xfId="0" applyFont="1" applyAlignment="1" applyProtection="1">
      <alignment horizontal="right"/>
    </xf>
    <xf numFmtId="0" fontId="59" fillId="0" borderId="1" xfId="0" applyFont="1" applyFill="1" applyBorder="1" applyAlignment="1" applyProtection="1">
      <alignment horizontal="center" vertical="center"/>
      <protection locked="0"/>
    </xf>
    <xf numFmtId="0" fontId="51" fillId="0" borderId="1" xfId="0" applyFont="1" applyFill="1" applyBorder="1" applyAlignment="1" applyProtection="1">
      <alignment horizontal="justify" vertical="top" wrapText="1"/>
    </xf>
    <xf numFmtId="14" fontId="125" fillId="8" borderId="0" xfId="0" applyNumberFormat="1" applyFont="1" applyFill="1" applyBorder="1" applyAlignment="1">
      <alignment horizontal="left"/>
    </xf>
    <xf numFmtId="0" fontId="126" fillId="0" borderId="0" xfId="0" applyFont="1" applyAlignment="1">
      <alignment horizontal="left" vertical="top"/>
    </xf>
    <xf numFmtId="0" fontId="93" fillId="12" borderId="1" xfId="0" applyFont="1" applyFill="1" applyBorder="1" applyAlignment="1" applyProtection="1">
      <alignment horizontal="center" vertical="center"/>
      <protection locked="0"/>
    </xf>
    <xf numFmtId="166" fontId="45" fillId="12" borderId="1" xfId="3" applyFont="1" applyFill="1" applyBorder="1" applyAlignment="1" applyProtection="1">
      <alignment horizontal="center" vertical="center"/>
      <protection locked="0"/>
    </xf>
    <xf numFmtId="0" fontId="109" fillId="12" borderId="1" xfId="0" applyFont="1" applyFill="1" applyBorder="1" applyAlignment="1" applyProtection="1">
      <alignment horizontal="center" vertical="center"/>
      <protection locked="0"/>
    </xf>
    <xf numFmtId="168" fontId="41" fillId="12" borderId="1" xfId="0" applyNumberFormat="1" applyFont="1" applyFill="1" applyBorder="1" applyAlignment="1" applyProtection="1">
      <alignment vertical="center"/>
    </xf>
    <xf numFmtId="168" fontId="69" fillId="12" borderId="1" xfId="0" applyNumberFormat="1" applyFont="1" applyFill="1" applyBorder="1" applyAlignment="1" applyProtection="1">
      <alignment vertical="center"/>
    </xf>
    <xf numFmtId="49" fontId="41" fillId="12" borderId="1" xfId="0" applyNumberFormat="1" applyFont="1" applyFill="1" applyBorder="1" applyAlignment="1" applyProtection="1">
      <alignment horizontal="right" vertical="center"/>
      <protection locked="0"/>
    </xf>
    <xf numFmtId="0" fontId="0" fillId="12" borderId="1" xfId="0" applyFill="1" applyBorder="1" applyAlignment="1" applyProtection="1">
      <alignment vertical="center"/>
      <protection locked="0"/>
    </xf>
    <xf numFmtId="168" fontId="42" fillId="12" borderId="1" xfId="0" applyNumberFormat="1" applyFont="1" applyFill="1" applyBorder="1" applyAlignment="1" applyProtection="1">
      <alignment horizontal="center" vertical="center"/>
    </xf>
    <xf numFmtId="166" fontId="41" fillId="12" borderId="1" xfId="0" applyNumberFormat="1" applyFont="1" applyFill="1" applyBorder="1" applyAlignment="1">
      <alignment horizontal="left" vertical="top" wrapText="1"/>
    </xf>
    <xf numFmtId="0" fontId="41" fillId="12" borderId="1" xfId="0" applyFont="1" applyFill="1" applyBorder="1" applyAlignment="1">
      <alignment horizontal="left" vertical="top"/>
    </xf>
    <xf numFmtId="0" fontId="41" fillId="12" borderId="1" xfId="0" applyFont="1" applyFill="1" applyBorder="1" applyAlignment="1" applyProtection="1">
      <alignment horizontal="center" vertical="center"/>
      <protection locked="0"/>
    </xf>
    <xf numFmtId="173" fontId="42" fillId="12" borderId="1" xfId="1" applyNumberFormat="1" applyFont="1" applyFill="1" applyBorder="1" applyAlignment="1" applyProtection="1">
      <alignment horizontal="right" vertical="center"/>
      <protection locked="0"/>
    </xf>
    <xf numFmtId="172" fontId="42" fillId="12" borderId="1" xfId="1" applyNumberFormat="1" applyFont="1" applyFill="1" applyBorder="1" applyAlignment="1" applyProtection="1">
      <alignment horizontal="right" vertical="center"/>
      <protection locked="0"/>
    </xf>
    <xf numFmtId="172" fontId="80" fillId="12" borderId="1" xfId="1" applyNumberFormat="1" applyFont="1" applyFill="1" applyBorder="1" applyAlignment="1" applyProtection="1">
      <alignment horizontal="right" vertical="center"/>
      <protection locked="0"/>
    </xf>
    <xf numFmtId="0" fontId="44" fillId="12" borderId="1" xfId="0" applyFont="1" applyFill="1" applyBorder="1" applyAlignment="1">
      <alignment horizontal="center" vertical="top"/>
    </xf>
    <xf numFmtId="0" fontId="45" fillId="12" borderId="1" xfId="0" applyFont="1" applyFill="1" applyBorder="1" applyAlignment="1">
      <alignment horizontal="center" vertical="top"/>
    </xf>
    <xf numFmtId="0" fontId="44" fillId="12" borderId="1" xfId="0" applyFont="1" applyFill="1" applyBorder="1" applyAlignment="1">
      <alignment horizontal="center" vertical="center"/>
    </xf>
    <xf numFmtId="0" fontId="44" fillId="0" borderId="1" xfId="0" applyFont="1" applyFill="1" applyBorder="1" applyAlignment="1">
      <alignment horizontal="left" vertical="center"/>
    </xf>
    <xf numFmtId="0" fontId="45" fillId="12" borderId="1" xfId="0" applyFont="1" applyFill="1" applyBorder="1" applyAlignment="1" applyProtection="1">
      <alignment horizontal="center" vertical="center"/>
      <protection locked="0"/>
    </xf>
    <xf numFmtId="14" fontId="109" fillId="12" borderId="1" xfId="0" applyNumberFormat="1" applyFont="1" applyFill="1" applyBorder="1" applyAlignment="1" applyProtection="1">
      <alignment horizontal="center" vertical="center"/>
      <protection locked="0"/>
    </xf>
    <xf numFmtId="49" fontId="91" fillId="12" borderId="1" xfId="0" applyNumberFormat="1" applyFont="1" applyFill="1" applyBorder="1" applyAlignment="1" applyProtection="1">
      <alignment horizontal="center" vertical="center"/>
      <protection locked="0"/>
    </xf>
    <xf numFmtId="0" fontId="45" fillId="12" borderId="1" xfId="0" applyNumberFormat="1" applyFont="1" applyFill="1" applyBorder="1" applyAlignment="1" applyProtection="1">
      <alignment horizontal="center" vertical="center"/>
      <protection locked="0"/>
    </xf>
    <xf numFmtId="0" fontId="45" fillId="12" borderId="1" xfId="0" applyFont="1" applyFill="1" applyBorder="1" applyAlignment="1">
      <alignment horizontal="left" vertical="top" wrapText="1"/>
    </xf>
    <xf numFmtId="0" fontId="45" fillId="12" borderId="1" xfId="0" applyFont="1" applyFill="1" applyBorder="1" applyAlignment="1">
      <alignment horizontal="left" vertical="top"/>
    </xf>
    <xf numFmtId="173" fontId="45" fillId="12" borderId="1" xfId="0" applyNumberFormat="1" applyFont="1" applyFill="1" applyBorder="1" applyAlignment="1" applyProtection="1">
      <alignment horizontal="center" vertical="center"/>
      <protection locked="0"/>
    </xf>
    <xf numFmtId="0" fontId="45" fillId="12" borderId="1" xfId="0" applyFont="1" applyFill="1" applyBorder="1" applyAlignment="1" applyProtection="1">
      <alignment horizontal="center" vertical="center"/>
    </xf>
    <xf numFmtId="14" fontId="45" fillId="12" borderId="1" xfId="0" applyNumberFormat="1" applyFont="1" applyFill="1" applyBorder="1" applyAlignment="1" applyProtection="1">
      <alignment horizontal="center" vertical="center"/>
      <protection locked="0"/>
    </xf>
    <xf numFmtId="0" fontId="46" fillId="0" borderId="1" xfId="0" applyFont="1" applyBorder="1" applyAlignment="1">
      <alignment horizontal="left" vertical="center"/>
    </xf>
    <xf numFmtId="0" fontId="40" fillId="0" borderId="1" xfId="0" applyFont="1" applyFill="1" applyBorder="1" applyAlignment="1" applyProtection="1">
      <alignment horizontal="center" vertical="center"/>
    </xf>
    <xf numFmtId="0" fontId="39" fillId="0" borderId="1" xfId="0" applyFont="1" applyFill="1" applyBorder="1" applyAlignment="1">
      <alignment horizontal="left" vertical="top"/>
    </xf>
    <xf numFmtId="0" fontId="39" fillId="0" borderId="1" xfId="0" applyFont="1" applyFill="1" applyBorder="1" applyAlignment="1">
      <alignment horizontal="center" vertical="top"/>
    </xf>
    <xf numFmtId="14" fontId="39" fillId="0" borderId="1" xfId="0" applyNumberFormat="1" applyFont="1" applyFill="1" applyBorder="1" applyAlignment="1">
      <alignment horizontal="center" vertical="center"/>
    </xf>
    <xf numFmtId="0" fontId="39" fillId="0" borderId="1" xfId="0" applyNumberFormat="1" applyFont="1" applyFill="1" applyBorder="1" applyAlignment="1">
      <alignment horizontal="center" vertical="center"/>
    </xf>
    <xf numFmtId="0" fontId="39" fillId="0" borderId="1" xfId="0" applyFont="1" applyFill="1" applyBorder="1" applyAlignment="1">
      <alignment horizontal="left" vertical="center"/>
    </xf>
    <xf numFmtId="0" fontId="39" fillId="0" borderId="1" xfId="0" applyNumberFormat="1" applyFont="1" applyFill="1" applyBorder="1" applyAlignment="1" applyProtection="1">
      <alignment horizontal="center" vertical="center"/>
      <protection locked="0"/>
    </xf>
    <xf numFmtId="165" fontId="39" fillId="3" borderId="1" xfId="0" applyNumberFormat="1" applyFont="1" applyFill="1" applyBorder="1" applyAlignment="1" applyProtection="1">
      <alignment horizontal="justify" vertical="top"/>
      <protection locked="0"/>
    </xf>
    <xf numFmtId="0" fontId="96" fillId="0" borderId="1" xfId="0" applyFont="1" applyBorder="1" applyAlignment="1">
      <alignment horizontal="center" vertical="center"/>
    </xf>
    <xf numFmtId="0" fontId="34" fillId="0" borderId="1" xfId="0" applyFont="1" applyBorder="1" applyAlignment="1"/>
    <xf numFmtId="0" fontId="99" fillId="0" borderId="1" xfId="0" applyFont="1" applyBorder="1" applyAlignment="1"/>
    <xf numFmtId="0" fontId="97" fillId="0" borderId="1" xfId="0" applyFont="1" applyBorder="1" applyAlignment="1"/>
    <xf numFmtId="0" fontId="107" fillId="0" borderId="1" xfId="0" applyFont="1" applyBorder="1" applyAlignment="1"/>
    <xf numFmtId="0" fontId="96" fillId="0" borderId="1" xfId="0" applyFont="1" applyBorder="1" applyAlignment="1">
      <alignment horizontal="center" vertical="center" wrapText="1"/>
    </xf>
    <xf numFmtId="0" fontId="34" fillId="0" borderId="1" xfId="0" quotePrefix="1" applyFont="1" applyBorder="1" applyAlignment="1"/>
    <xf numFmtId="0" fontId="59" fillId="3" borderId="1" xfId="0" applyNumberFormat="1" applyFont="1" applyFill="1" applyBorder="1" applyAlignment="1" applyProtection="1">
      <alignment horizontal="center" vertical="center"/>
      <protection locked="0"/>
    </xf>
    <xf numFmtId="0" fontId="59" fillId="3" borderId="1" xfId="0" applyNumberFormat="1" applyFont="1" applyFill="1" applyBorder="1" applyAlignment="1" applyProtection="1">
      <alignment horizontal="justify" vertical="top"/>
      <protection locked="0"/>
    </xf>
    <xf numFmtId="0" fontId="39" fillId="3" borderId="1" xfId="0" applyFont="1" applyFill="1" applyBorder="1" applyAlignment="1" applyProtection="1">
      <alignment horizontal="justify" vertical="top"/>
      <protection locked="0"/>
    </xf>
    <xf numFmtId="0" fontId="39" fillId="0" borderId="1" xfId="0" applyNumberFormat="1" applyFont="1" applyFill="1" applyBorder="1" applyAlignment="1" applyProtection="1">
      <alignment horizontal="justify" vertical="top"/>
      <protection locked="0"/>
    </xf>
    <xf numFmtId="0" fontId="0" fillId="3" borderId="1" xfId="0" applyFont="1" applyFill="1" applyBorder="1" applyAlignment="1"/>
    <xf numFmtId="0" fontId="96" fillId="0" borderId="1" xfId="0" applyFont="1" applyBorder="1"/>
    <xf numFmtId="3" fontId="39" fillId="0" borderId="1" xfId="1" applyNumberFormat="1" applyFont="1" applyFill="1" applyBorder="1" applyAlignment="1" applyProtection="1">
      <alignment horizontal="center" vertical="center"/>
      <protection locked="0"/>
    </xf>
    <xf numFmtId="4" fontId="39" fillId="3" borderId="1" xfId="1" applyNumberFormat="1" applyFont="1" applyFill="1" applyBorder="1" applyAlignment="1" applyProtection="1">
      <alignment horizontal="center" vertical="center"/>
      <protection locked="0"/>
    </xf>
    <xf numFmtId="0" fontId="39" fillId="3" borderId="1" xfId="0" quotePrefix="1" applyNumberFormat="1" applyFont="1" applyFill="1" applyBorder="1" applyAlignment="1" applyProtection="1">
      <alignment horizontal="justify" vertical="top"/>
      <protection locked="0"/>
    </xf>
    <xf numFmtId="0" fontId="121" fillId="0" borderId="1" xfId="0" applyFont="1" applyBorder="1"/>
    <xf numFmtId="0" fontId="107" fillId="0" borderId="1" xfId="0" applyFont="1" applyBorder="1"/>
    <xf numFmtId="0" fontId="39" fillId="7" borderId="1" xfId="0" applyFont="1" applyFill="1" applyBorder="1" applyAlignment="1">
      <alignment horizontal="left" vertical="top" wrapText="1"/>
    </xf>
    <xf numFmtId="0" fontId="39" fillId="0" borderId="1" xfId="0" applyFont="1" applyFill="1" applyBorder="1" applyAlignment="1">
      <alignment horizontal="center" vertical="center"/>
    </xf>
    <xf numFmtId="0" fontId="40" fillId="0" borderId="1" xfId="0" applyNumberFormat="1" applyFont="1" applyBorder="1" applyAlignment="1" applyProtection="1">
      <alignment horizontal="center" vertical="center"/>
      <protection locked="0"/>
    </xf>
    <xf numFmtId="173" fontId="40" fillId="0" borderId="1" xfId="1" applyNumberFormat="1" applyFont="1" applyBorder="1" applyAlignment="1" applyProtection="1">
      <alignment horizontal="right" vertical="center"/>
      <protection locked="0"/>
    </xf>
    <xf numFmtId="168" fontId="39" fillId="0" borderId="1" xfId="0" applyNumberFormat="1" applyFont="1" applyFill="1" applyBorder="1" applyAlignment="1" applyProtection="1">
      <alignment horizontal="center" vertical="center"/>
    </xf>
    <xf numFmtId="0" fontId="39" fillId="0" borderId="1" xfId="0" applyNumberFormat="1" applyFont="1" applyFill="1" applyBorder="1" applyAlignment="1" applyProtection="1">
      <alignment vertical="center"/>
      <protection locked="0"/>
    </xf>
    <xf numFmtId="0" fontId="0" fillId="0" borderId="91" xfId="0" applyBorder="1"/>
    <xf numFmtId="164" fontId="106" fillId="0" borderId="1" xfId="0" applyNumberFormat="1" applyFont="1" applyFill="1" applyBorder="1"/>
    <xf numFmtId="0" fontId="9" fillId="0" borderId="2" xfId="0" applyFont="1" applyFill="1" applyBorder="1"/>
    <xf numFmtId="0" fontId="6" fillId="0" borderId="94" xfId="0" applyFont="1" applyFill="1" applyBorder="1"/>
    <xf numFmtId="0" fontId="6" fillId="0" borderId="11" xfId="0" applyFont="1" applyFill="1" applyBorder="1"/>
    <xf numFmtId="0" fontId="95" fillId="7" borderId="1" xfId="0" applyFont="1" applyFill="1" applyBorder="1" applyAlignment="1" applyProtection="1">
      <alignment horizontal="center" vertical="top" wrapText="1"/>
      <protection locked="0"/>
    </xf>
    <xf numFmtId="49" fontId="95" fillId="7" borderId="1" xfId="0" applyNumberFormat="1" applyFont="1" applyFill="1" applyBorder="1" applyAlignment="1" applyProtection="1">
      <alignment horizontal="center" vertical="center"/>
      <protection locked="0"/>
    </xf>
    <xf numFmtId="0" fontId="6" fillId="7" borderId="1" xfId="0" applyFont="1" applyFill="1" applyBorder="1" applyAlignment="1" applyProtection="1">
      <alignment horizontal="center" vertical="center"/>
      <protection locked="0"/>
    </xf>
    <xf numFmtId="0" fontId="95" fillId="7" borderId="11" xfId="0" applyFont="1" applyFill="1" applyBorder="1" applyAlignment="1">
      <alignment horizontal="left" vertical="top" wrapText="1"/>
    </xf>
    <xf numFmtId="0" fontId="95" fillId="7" borderId="1" xfId="0" applyFont="1" applyFill="1" applyBorder="1" applyAlignment="1" applyProtection="1">
      <alignment horizontal="left" vertical="top"/>
      <protection locked="0"/>
    </xf>
    <xf numFmtId="3" fontId="95" fillId="7" borderId="3" xfId="1" applyNumberFormat="1" applyFont="1" applyFill="1" applyBorder="1" applyAlignment="1" applyProtection="1">
      <alignment horizontal="center" vertical="center"/>
      <protection locked="0"/>
    </xf>
    <xf numFmtId="164" fontId="95" fillId="7" borderId="1" xfId="1" applyNumberFormat="1" applyFont="1" applyFill="1" applyBorder="1" applyAlignment="1" applyProtection="1">
      <alignment horizontal="right" vertical="center"/>
      <protection locked="0"/>
    </xf>
    <xf numFmtId="164" fontId="95" fillId="7" borderId="1" xfId="1" applyFont="1" applyFill="1" applyBorder="1" applyAlignment="1" applyProtection="1">
      <alignment horizontal="center" vertical="center"/>
    </xf>
    <xf numFmtId="14" fontId="95" fillId="7" borderId="1" xfId="0" applyNumberFormat="1" applyFont="1" applyFill="1" applyBorder="1" applyAlignment="1" applyProtection="1">
      <alignment horizontal="center" vertical="center"/>
      <protection locked="0"/>
    </xf>
    <xf numFmtId="164" fontId="95" fillId="7" borderId="0" xfId="1" applyFont="1" applyFill="1" applyBorder="1" applyAlignment="1">
      <alignment horizontal="left" vertical="center"/>
    </xf>
    <xf numFmtId="14" fontId="59" fillId="0" borderId="1" xfId="0" applyNumberFormat="1" applyFont="1" applyFill="1" applyBorder="1" applyAlignment="1" applyProtection="1">
      <alignment horizontal="center" vertical="center"/>
      <protection locked="0"/>
    </xf>
    <xf numFmtId="0" fontId="59" fillId="0" borderId="1" xfId="0" applyFont="1" applyFill="1" applyBorder="1" applyAlignment="1" applyProtection="1">
      <alignment horizontal="center" vertical="center"/>
    </xf>
    <xf numFmtId="0" fontId="59" fillId="0" borderId="1" xfId="0" applyFont="1" applyFill="1" applyBorder="1" applyAlignment="1">
      <alignment horizontal="left" vertical="top" wrapText="1"/>
    </xf>
    <xf numFmtId="0" fontId="59" fillId="0" borderId="1" xfId="0" applyFont="1" applyFill="1" applyBorder="1" applyAlignment="1">
      <alignment horizontal="left" vertical="top"/>
    </xf>
    <xf numFmtId="3" fontId="59" fillId="0" borderId="1" xfId="1" applyNumberFormat="1" applyFont="1" applyFill="1" applyBorder="1" applyAlignment="1" applyProtection="1">
      <alignment horizontal="center" vertical="center"/>
      <protection locked="0"/>
    </xf>
    <xf numFmtId="173" fontId="59" fillId="0" borderId="1" xfId="1" applyNumberFormat="1" applyFont="1" applyFill="1" applyBorder="1" applyAlignment="1" applyProtection="1">
      <alignment horizontal="right" vertical="center"/>
      <protection locked="0"/>
    </xf>
    <xf numFmtId="164" fontId="59" fillId="0" borderId="1" xfId="1" applyFont="1" applyFill="1" applyBorder="1" applyAlignment="1" applyProtection="1">
      <alignment horizontal="center" vertical="center"/>
    </xf>
    <xf numFmtId="1" fontId="59" fillId="0" borderId="1" xfId="0" applyNumberFormat="1" applyFont="1" applyFill="1" applyBorder="1" applyAlignment="1" applyProtection="1">
      <alignment horizontal="center" vertical="center"/>
      <protection locked="0"/>
    </xf>
    <xf numFmtId="0" fontId="59" fillId="0" borderId="1" xfId="0" applyNumberFormat="1" applyFont="1" applyFill="1" applyBorder="1" applyAlignment="1" applyProtection="1">
      <alignment horizontal="justify" vertical="top"/>
      <protection locked="0"/>
    </xf>
    <xf numFmtId="0" fontId="59" fillId="0" borderId="1" xfId="0" applyFont="1" applyFill="1" applyBorder="1" applyAlignment="1">
      <alignment horizontal="center" vertical="top"/>
    </xf>
    <xf numFmtId="14" fontId="59" fillId="0" borderId="1" xfId="0" applyNumberFormat="1" applyFont="1" applyFill="1" applyBorder="1" applyAlignment="1">
      <alignment horizontal="center" vertical="center"/>
    </xf>
    <xf numFmtId="0" fontId="59" fillId="0" borderId="1" xfId="0" applyNumberFormat="1" applyFont="1" applyFill="1" applyBorder="1" applyAlignment="1">
      <alignment horizontal="center" vertical="center"/>
    </xf>
    <xf numFmtId="0" fontId="59" fillId="0" borderId="0" xfId="0" applyFont="1" applyFill="1" applyBorder="1" applyAlignment="1">
      <alignment horizontal="center" vertical="center"/>
    </xf>
    <xf numFmtId="168" fontId="64" fillId="0" borderId="7" xfId="0" applyNumberFormat="1" applyFont="1" applyBorder="1" applyAlignment="1" applyProtection="1">
      <alignment horizontal="center" vertical="center"/>
      <protection locked="0"/>
    </xf>
    <xf numFmtId="0" fontId="64" fillId="0" borderId="1" xfId="0" applyFont="1" applyBorder="1" applyAlignment="1" applyProtection="1">
      <alignment horizontal="center" vertical="center"/>
      <protection locked="0"/>
    </xf>
    <xf numFmtId="14" fontId="64" fillId="0" borderId="1" xfId="0" applyNumberFormat="1" applyFont="1" applyBorder="1" applyAlignment="1" applyProtection="1">
      <alignment horizontal="center" vertical="center"/>
      <protection locked="0"/>
    </xf>
    <xf numFmtId="14" fontId="64" fillId="0" borderId="92" xfId="0" applyNumberFormat="1" applyFont="1" applyBorder="1" applyAlignment="1" applyProtection="1">
      <alignment horizontal="center" vertical="center"/>
      <protection locked="0"/>
    </xf>
    <xf numFmtId="164" fontId="102" fillId="0" borderId="0" xfId="0" applyNumberFormat="1" applyFont="1" applyFill="1" applyBorder="1" applyAlignment="1">
      <alignment horizontal="left" vertical="center"/>
    </xf>
    <xf numFmtId="166" fontId="14" fillId="0" borderId="1" xfId="3" applyFont="1" applyBorder="1" applyAlignment="1">
      <alignment vertical="top"/>
    </xf>
    <xf numFmtId="0" fontId="14" fillId="0" borderId="1" xfId="0" applyFont="1" applyFill="1" applyBorder="1" applyAlignment="1">
      <alignment horizontal="left" vertical="top"/>
    </xf>
    <xf numFmtId="164" fontId="0" fillId="0" borderId="91" xfId="1" applyFont="1" applyFill="1" applyBorder="1" applyAlignment="1">
      <alignment vertical="top"/>
    </xf>
    <xf numFmtId="164" fontId="0" fillId="0" borderId="0" xfId="0" applyNumberFormat="1"/>
    <xf numFmtId="0" fontId="39" fillId="0" borderId="1" xfId="0" applyFont="1" applyFill="1" applyBorder="1" applyAlignment="1" applyProtection="1">
      <alignment horizontal="center" vertical="center"/>
    </xf>
    <xf numFmtId="0" fontId="127" fillId="0" borderId="0" xfId="0" applyFont="1"/>
    <xf numFmtId="0" fontId="0" fillId="7" borderId="0" xfId="0" applyFill="1"/>
    <xf numFmtId="166" fontId="0" fillId="7" borderId="0" xfId="3" applyFont="1" applyFill="1"/>
    <xf numFmtId="168" fontId="128" fillId="7" borderId="1" xfId="0" applyNumberFormat="1" applyFont="1" applyFill="1" applyBorder="1" applyAlignment="1" applyProtection="1">
      <alignment horizontal="center" vertical="center"/>
    </xf>
    <xf numFmtId="0" fontId="31" fillId="0" borderId="0" xfId="0" applyFont="1" applyAlignment="1">
      <alignment wrapText="1"/>
    </xf>
    <xf numFmtId="0" fontId="40" fillId="7" borderId="1" xfId="0" applyFont="1" applyFill="1" applyBorder="1" applyAlignment="1" applyProtection="1">
      <alignment horizontal="center" vertical="center"/>
      <protection locked="0"/>
    </xf>
    <xf numFmtId="0" fontId="105" fillId="0" borderId="0" xfId="6"/>
    <xf numFmtId="166" fontId="0" fillId="0" borderId="0" xfId="3" applyNumberFormat="1" applyFont="1" applyAlignment="1">
      <alignment vertical="top"/>
    </xf>
    <xf numFmtId="164" fontId="129" fillId="0" borderId="1" xfId="1" applyNumberFormat="1" applyFont="1" applyFill="1" applyBorder="1"/>
    <xf numFmtId="14" fontId="130" fillId="0" borderId="86" xfId="0" applyNumberFormat="1" applyFont="1" applyFill="1" applyBorder="1" applyAlignment="1">
      <alignment horizontal="center" wrapText="1"/>
    </xf>
    <xf numFmtId="0" fontId="59" fillId="3" borderId="1" xfId="0" applyFont="1" applyFill="1" applyBorder="1" applyAlignment="1" applyProtection="1">
      <alignment horizontal="center" vertical="center"/>
      <protection locked="0"/>
    </xf>
    <xf numFmtId="14" fontId="59" fillId="3" borderId="1" xfId="0" applyNumberFormat="1" applyFont="1" applyFill="1" applyBorder="1" applyAlignment="1" applyProtection="1">
      <alignment horizontal="center" vertical="center"/>
      <protection locked="0"/>
    </xf>
    <xf numFmtId="49" fontId="131" fillId="3" borderId="1" xfId="0" applyNumberFormat="1" applyFont="1" applyFill="1" applyBorder="1" applyAlignment="1" applyProtection="1">
      <alignment horizontal="center" vertical="center"/>
      <protection locked="0"/>
    </xf>
    <xf numFmtId="3" fontId="59" fillId="3" borderId="1" xfId="1" applyNumberFormat="1" applyFont="1" applyFill="1" applyBorder="1" applyAlignment="1" applyProtection="1">
      <alignment horizontal="center" vertical="center"/>
      <protection locked="0"/>
    </xf>
    <xf numFmtId="173" fontId="59" fillId="3" borderId="1" xfId="1" applyNumberFormat="1" applyFont="1" applyFill="1" applyBorder="1" applyAlignment="1" applyProtection="1">
      <alignment horizontal="right" vertical="center"/>
      <protection locked="0"/>
    </xf>
    <xf numFmtId="164" fontId="59" fillId="3" borderId="1" xfId="1" applyFont="1" applyFill="1" applyBorder="1" applyAlignment="1" applyProtection="1">
      <alignment horizontal="center" vertical="center"/>
    </xf>
    <xf numFmtId="1" fontId="59" fillId="3" borderId="1" xfId="0" applyNumberFormat="1" applyFont="1" applyFill="1" applyBorder="1" applyAlignment="1" applyProtection="1">
      <alignment horizontal="center" vertical="center"/>
      <protection locked="0"/>
    </xf>
    <xf numFmtId="0" fontId="59" fillId="0" borderId="1" xfId="0" applyFont="1" applyFill="1" applyBorder="1" applyAlignment="1">
      <alignment horizontal="left" vertical="center"/>
    </xf>
    <xf numFmtId="0" fontId="39" fillId="0" borderId="1" xfId="0" applyFont="1" applyBorder="1" applyAlignment="1">
      <alignment horizontal="left" vertical="center"/>
    </xf>
    <xf numFmtId="3" fontId="5" fillId="0" borderId="1" xfId="0" applyNumberFormat="1" applyFont="1" applyFill="1" applyBorder="1" applyAlignment="1">
      <alignment horizontal="left" vertical="center"/>
    </xf>
    <xf numFmtId="0" fontId="39" fillId="0" borderId="91" xfId="0" applyFont="1" applyBorder="1" applyAlignment="1">
      <alignment horizontal="left" vertical="center"/>
    </xf>
    <xf numFmtId="0" fontId="39" fillId="0" borderId="0" xfId="0" applyFont="1" applyAlignment="1">
      <alignment horizontal="left" vertical="center"/>
    </xf>
    <xf numFmtId="0" fontId="39" fillId="0" borderId="1" xfId="0" applyNumberFormat="1" applyFont="1" applyBorder="1" applyAlignment="1">
      <alignment horizontal="center" vertical="center"/>
    </xf>
    <xf numFmtId="0" fontId="39" fillId="0" borderId="0" xfId="0" applyNumberFormat="1" applyFont="1" applyAlignment="1">
      <alignment horizontal="center" vertical="center"/>
    </xf>
    <xf numFmtId="3" fontId="39" fillId="0" borderId="1" xfId="0" applyNumberFormat="1" applyFont="1" applyBorder="1" applyAlignment="1">
      <alignment horizontal="center"/>
    </xf>
    <xf numFmtId="0" fontId="39" fillId="3" borderId="1" xfId="0" applyNumberFormat="1" applyFont="1" applyFill="1" applyBorder="1" applyAlignment="1">
      <alignment horizontal="center" vertical="center" wrapText="1"/>
    </xf>
    <xf numFmtId="3" fontId="13" fillId="0" borderId="1" xfId="0" applyNumberFormat="1" applyFont="1" applyBorder="1" applyAlignment="1">
      <alignment horizontal="center"/>
    </xf>
    <xf numFmtId="171" fontId="51" fillId="0" borderId="0" xfId="0" applyNumberFormat="1" applyFont="1" applyAlignment="1">
      <alignment horizontal="center"/>
    </xf>
    <xf numFmtId="0" fontId="39" fillId="3" borderId="1" xfId="0" applyNumberFormat="1" applyFont="1" applyFill="1" applyBorder="1" applyAlignment="1">
      <alignment horizontal="center" wrapText="1"/>
    </xf>
    <xf numFmtId="0" fontId="39" fillId="0" borderId="1" xfId="0" applyNumberFormat="1" applyFont="1" applyBorder="1" applyAlignment="1">
      <alignment horizontal="center"/>
    </xf>
    <xf numFmtId="0" fontId="39" fillId="0" borderId="1" xfId="0" applyNumberFormat="1" applyFont="1" applyFill="1" applyBorder="1" applyAlignment="1">
      <alignment horizontal="center" wrapText="1"/>
    </xf>
    <xf numFmtId="0" fontId="39" fillId="3" borderId="91" xfId="0" applyNumberFormat="1" applyFont="1" applyFill="1" applyBorder="1" applyAlignment="1">
      <alignment horizontal="center" wrapText="1"/>
    </xf>
    <xf numFmtId="0" fontId="39" fillId="0" borderId="0" xfId="0" applyNumberFormat="1" applyFont="1" applyAlignment="1">
      <alignment horizontal="center"/>
    </xf>
    <xf numFmtId="0" fontId="39" fillId="0" borderId="1" xfId="0" applyNumberFormat="1" applyFont="1" applyBorder="1" applyAlignment="1">
      <alignment horizontal="left" vertical="center"/>
    </xf>
    <xf numFmtId="0" fontId="39" fillId="0" borderId="1" xfId="0" applyNumberFormat="1" applyFont="1" applyFill="1" applyBorder="1" applyAlignment="1">
      <alignment horizontal="left" vertical="center"/>
    </xf>
    <xf numFmtId="0" fontId="5" fillId="0" borderId="1" xfId="0" applyNumberFormat="1" applyFont="1" applyFill="1" applyBorder="1" applyAlignment="1">
      <alignment horizontal="left" vertical="center"/>
    </xf>
    <xf numFmtId="0" fontId="39" fillId="0" borderId="91" xfId="0" applyNumberFormat="1" applyFont="1" applyBorder="1" applyAlignment="1">
      <alignment horizontal="left" vertical="center"/>
    </xf>
    <xf numFmtId="0" fontId="39" fillId="0" borderId="0" xfId="0" applyNumberFormat="1" applyFont="1" applyAlignment="1">
      <alignment horizontal="left" vertical="center"/>
    </xf>
    <xf numFmtId="0" fontId="39" fillId="0" borderId="1" xfId="0" applyNumberFormat="1" applyFont="1" applyBorder="1" applyAlignment="1">
      <alignment horizontal="left" vertical="center" wrapText="1"/>
    </xf>
    <xf numFmtId="0" fontId="39" fillId="0" borderId="0" xfId="0" applyNumberFormat="1" applyFont="1" applyBorder="1" applyAlignment="1">
      <alignment horizontal="left" vertical="center"/>
    </xf>
    <xf numFmtId="0" fontId="5" fillId="8" borderId="1" xfId="0" applyNumberFormat="1" applyFont="1" applyFill="1" applyBorder="1" applyAlignment="1">
      <alignment horizontal="left" vertical="center"/>
    </xf>
    <xf numFmtId="3" fontId="39" fillId="0" borderId="1" xfId="0" applyNumberFormat="1" applyFont="1" applyBorder="1" applyAlignment="1">
      <alignment horizontal="left" vertical="center"/>
    </xf>
    <xf numFmtId="0" fontId="132" fillId="0" borderId="3" xfId="0" applyFont="1" applyBorder="1"/>
    <xf numFmtId="0" fontId="133" fillId="0" borderId="1" xfId="0" applyFont="1" applyBorder="1"/>
    <xf numFmtId="0" fontId="133" fillId="0" borderId="1" xfId="0" applyFont="1" applyBorder="1" applyAlignment="1">
      <alignment horizontal="left" vertical="center"/>
    </xf>
    <xf numFmtId="0" fontId="133" fillId="0" borderId="1" xfId="0" applyNumberFormat="1" applyFont="1" applyBorder="1" applyAlignment="1">
      <alignment horizontal="center" vertical="center"/>
    </xf>
    <xf numFmtId="0" fontId="133" fillId="0" borderId="1" xfId="0" applyNumberFormat="1" applyFont="1" applyBorder="1" applyAlignment="1">
      <alignment horizontal="left" vertical="center"/>
    </xf>
    <xf numFmtId="171" fontId="133" fillId="3" borderId="1" xfId="0" applyNumberFormat="1" applyFont="1" applyFill="1" applyBorder="1" applyAlignment="1">
      <alignment horizontal="center" vertical="center" wrapText="1"/>
    </xf>
    <xf numFmtId="0" fontId="133" fillId="0" borderId="1" xfId="0" applyFont="1" applyBorder="1" applyAlignment="1">
      <alignment horizontal="center"/>
    </xf>
    <xf numFmtId="0" fontId="133" fillId="7" borderId="1" xfId="0" applyFont="1" applyFill="1" applyBorder="1" applyAlignment="1">
      <alignment horizontal="center"/>
    </xf>
    <xf numFmtId="1" fontId="133" fillId="0" borderId="1" xfId="0" applyNumberFormat="1" applyFont="1" applyFill="1" applyBorder="1" applyAlignment="1">
      <alignment horizontal="center" vertical="center"/>
    </xf>
    <xf numFmtId="49" fontId="133" fillId="7" borderId="1" xfId="0" applyNumberFormat="1" applyFont="1" applyFill="1" applyBorder="1" applyAlignment="1">
      <alignment horizontal="right"/>
    </xf>
    <xf numFmtId="49" fontId="133" fillId="0" borderId="1" xfId="0" applyNumberFormat="1" applyFont="1" applyBorder="1" applyAlignment="1">
      <alignment horizontal="right"/>
    </xf>
    <xf numFmtId="0" fontId="133" fillId="3" borderId="1" xfId="0" applyNumberFormat="1" applyFont="1" applyFill="1" applyBorder="1" applyAlignment="1">
      <alignment horizontal="center" wrapText="1"/>
    </xf>
    <xf numFmtId="0" fontId="132" fillId="0" borderId="1" xfId="0" applyFont="1" applyBorder="1"/>
    <xf numFmtId="0" fontId="133" fillId="0" borderId="0" xfId="0" applyFont="1"/>
    <xf numFmtId="0" fontId="90" fillId="13" borderId="26" xfId="0" applyFont="1" applyFill="1" applyBorder="1" applyAlignment="1" applyProtection="1">
      <alignment horizontal="center" vertical="center"/>
    </xf>
    <xf numFmtId="0" fontId="90" fillId="13" borderId="27" xfId="0" applyFont="1" applyFill="1" applyBorder="1" applyAlignment="1" applyProtection="1">
      <alignment horizontal="center" vertical="center"/>
    </xf>
    <xf numFmtId="0" fontId="90" fillId="13" borderId="29" xfId="0" applyFont="1" applyFill="1" applyBorder="1" applyAlignment="1" applyProtection="1">
      <alignment horizontal="center" vertical="center"/>
    </xf>
    <xf numFmtId="0" fontId="90" fillId="13" borderId="30" xfId="0" applyFont="1" applyFill="1" applyBorder="1" applyAlignment="1" applyProtection="1">
      <alignment horizontal="center" vertical="center"/>
    </xf>
    <xf numFmtId="0" fontId="88" fillId="13" borderId="27" xfId="0" applyFont="1" applyFill="1" applyBorder="1" applyAlignment="1" applyProtection="1">
      <alignment horizontal="left" vertical="center"/>
      <protection locked="0"/>
    </xf>
    <xf numFmtId="0" fontId="88" fillId="13" borderId="30" xfId="0" applyFont="1" applyFill="1" applyBorder="1" applyAlignment="1" applyProtection="1">
      <alignment horizontal="left" vertical="center"/>
      <protection locked="0"/>
    </xf>
    <xf numFmtId="0" fontId="88" fillId="13" borderId="26" xfId="0" applyFont="1" applyFill="1" applyBorder="1" applyAlignment="1" applyProtection="1">
      <alignment horizontal="right" vertical="center"/>
    </xf>
    <xf numFmtId="0" fontId="88" fillId="13" borderId="27" xfId="0" applyFont="1" applyFill="1" applyBorder="1" applyAlignment="1" applyProtection="1">
      <alignment horizontal="right" vertical="center"/>
    </xf>
    <xf numFmtId="0" fontId="88" fillId="13" borderId="29" xfId="0" applyFont="1" applyFill="1" applyBorder="1" applyAlignment="1" applyProtection="1">
      <alignment horizontal="right" vertical="center"/>
    </xf>
    <xf numFmtId="0" fontId="88" fillId="13" borderId="30" xfId="0" applyFont="1" applyFill="1" applyBorder="1" applyAlignment="1" applyProtection="1">
      <alignment horizontal="right" vertical="center"/>
    </xf>
    <xf numFmtId="0" fontId="90" fillId="13" borderId="26" xfId="0" applyFont="1" applyFill="1" applyBorder="1" applyAlignment="1" applyProtection="1">
      <alignment horizontal="center" vertical="center" wrapText="1"/>
    </xf>
    <xf numFmtId="0" fontId="90" fillId="13" borderId="27" xfId="0" applyFont="1" applyFill="1" applyBorder="1" applyAlignment="1" applyProtection="1">
      <alignment horizontal="center" vertical="center" wrapText="1"/>
    </xf>
    <xf numFmtId="0" fontId="90" fillId="13" borderId="28" xfId="0" applyFont="1" applyFill="1" applyBorder="1" applyAlignment="1" applyProtection="1">
      <alignment horizontal="center" vertical="center" wrapText="1"/>
    </xf>
    <xf numFmtId="0" fontId="90" fillId="13" borderId="29" xfId="0" applyFont="1" applyFill="1" applyBorder="1" applyAlignment="1" applyProtection="1">
      <alignment horizontal="center" vertical="center" wrapText="1"/>
    </xf>
    <xf numFmtId="0" fontId="90" fillId="13" borderId="30" xfId="0" applyFont="1" applyFill="1" applyBorder="1" applyAlignment="1" applyProtection="1">
      <alignment horizontal="center" vertical="center" wrapText="1"/>
    </xf>
    <xf numFmtId="0" fontId="90" fillId="13" borderId="31" xfId="0" applyFont="1" applyFill="1" applyBorder="1" applyAlignment="1" applyProtection="1">
      <alignment horizontal="center" vertical="center" wrapText="1"/>
    </xf>
    <xf numFmtId="0" fontId="90" fillId="13" borderId="27" xfId="0" applyFont="1" applyFill="1" applyBorder="1" applyAlignment="1" applyProtection="1">
      <alignment horizontal="left" vertical="center"/>
    </xf>
    <xf numFmtId="0" fontId="90" fillId="13" borderId="28" xfId="0" applyFont="1" applyFill="1" applyBorder="1" applyAlignment="1" applyProtection="1">
      <alignment horizontal="left" vertical="center"/>
    </xf>
    <xf numFmtId="0" fontId="90" fillId="13" borderId="30" xfId="0" applyFont="1" applyFill="1" applyBorder="1" applyAlignment="1" applyProtection="1">
      <alignment horizontal="left" vertical="center"/>
    </xf>
    <xf numFmtId="0" fontId="90" fillId="13" borderId="31" xfId="0" applyFont="1" applyFill="1" applyBorder="1" applyAlignment="1" applyProtection="1">
      <alignment horizontal="left" vertical="center"/>
    </xf>
    <xf numFmtId="0" fontId="40" fillId="4" borderId="14" xfId="0" applyFont="1" applyFill="1" applyBorder="1" applyAlignment="1" applyProtection="1">
      <alignment horizontal="center" vertical="center" wrapText="1"/>
    </xf>
    <xf numFmtId="0" fontId="40" fillId="4" borderId="15" xfId="0" applyFont="1" applyFill="1" applyBorder="1" applyAlignment="1" applyProtection="1">
      <alignment horizontal="center" vertical="center" wrapText="1"/>
    </xf>
    <xf numFmtId="167" fontId="61" fillId="3" borderId="2" xfId="0" applyNumberFormat="1" applyFont="1" applyFill="1" applyBorder="1" applyAlignment="1" applyProtection="1">
      <alignment horizontal="center" vertical="center" wrapText="1"/>
    </xf>
    <xf numFmtId="167" fontId="62" fillId="0" borderId="11" xfId="0" applyNumberFormat="1" applyFont="1" applyBorder="1" applyAlignment="1" applyProtection="1">
      <alignment wrapText="1"/>
    </xf>
    <xf numFmtId="0" fontId="51" fillId="2" borderId="13" xfId="0" applyFont="1" applyFill="1" applyBorder="1" applyAlignment="1" applyProtection="1">
      <alignment horizontal="center" vertical="center" wrapText="1"/>
    </xf>
    <xf numFmtId="0" fontId="43" fillId="2" borderId="22" xfId="0" applyFont="1" applyFill="1" applyBorder="1" applyAlignment="1" applyProtection="1">
      <alignment horizontal="center" vertical="center" wrapText="1"/>
    </xf>
    <xf numFmtId="0" fontId="43" fillId="2" borderId="23" xfId="0" applyFont="1" applyFill="1" applyBorder="1" applyAlignment="1" applyProtection="1">
      <alignment horizontal="center" vertical="center" wrapText="1"/>
    </xf>
    <xf numFmtId="0" fontId="43" fillId="2" borderId="6" xfId="0" applyFont="1" applyFill="1" applyBorder="1" applyAlignment="1" applyProtection="1">
      <alignment horizontal="center" vertical="center" wrapText="1"/>
    </xf>
    <xf numFmtId="0" fontId="58" fillId="2" borderId="19" xfId="0" applyFont="1" applyFill="1" applyBorder="1" applyAlignment="1" applyProtection="1">
      <alignment horizontal="center" vertical="center" wrapText="1"/>
    </xf>
    <xf numFmtId="0" fontId="58" fillId="2" borderId="17" xfId="0" applyFont="1" applyFill="1" applyBorder="1" applyAlignment="1" applyProtection="1">
      <alignment horizontal="center" vertical="center" wrapText="1"/>
    </xf>
    <xf numFmtId="0" fontId="43" fillId="2" borderId="24" xfId="0" applyFont="1" applyFill="1" applyBorder="1" applyAlignment="1" applyProtection="1">
      <alignment horizontal="center" vertical="center" wrapText="1"/>
    </xf>
    <xf numFmtId="0" fontId="51" fillId="3" borderId="26" xfId="0" applyFont="1" applyFill="1" applyBorder="1" applyAlignment="1" applyProtection="1">
      <alignment horizontal="justify" vertical="top" wrapText="1"/>
    </xf>
    <xf numFmtId="0" fontId="0" fillId="0" borderId="28" xfId="0" applyBorder="1" applyAlignment="1">
      <alignment horizontal="justify" vertical="top" wrapText="1"/>
    </xf>
    <xf numFmtId="0" fontId="58" fillId="2" borderId="25" xfId="0" applyFont="1" applyFill="1" applyBorder="1" applyAlignment="1" applyProtection="1">
      <alignment horizontal="center" vertical="center" wrapText="1"/>
    </xf>
    <xf numFmtId="0" fontId="58" fillId="2" borderId="23" xfId="0" applyFont="1" applyFill="1" applyBorder="1" applyAlignment="1" applyProtection="1">
      <alignment horizontal="center" vertical="center" wrapText="1"/>
    </xf>
    <xf numFmtId="0" fontId="43" fillId="2" borderId="25" xfId="0" applyFont="1" applyFill="1" applyBorder="1" applyAlignment="1" applyProtection="1">
      <alignment horizontal="center" vertical="center" wrapText="1"/>
    </xf>
    <xf numFmtId="0" fontId="43" fillId="2" borderId="64" xfId="0" applyFont="1" applyFill="1" applyBorder="1" applyAlignment="1" applyProtection="1">
      <alignment horizontal="center" vertical="center" wrapText="1"/>
    </xf>
    <xf numFmtId="0" fontId="0" fillId="0" borderId="69" xfId="0" applyBorder="1" applyAlignment="1">
      <alignment horizontal="center" vertical="center" wrapText="1"/>
    </xf>
    <xf numFmtId="0" fontId="58" fillId="2" borderId="16" xfId="0" applyFont="1" applyFill="1" applyBorder="1" applyAlignment="1" applyProtection="1">
      <alignment horizontal="center" vertical="center" wrapText="1"/>
    </xf>
    <xf numFmtId="0" fontId="0" fillId="0" borderId="23" xfId="0" applyBorder="1" applyAlignment="1">
      <alignment horizontal="center" vertical="center" wrapText="1"/>
    </xf>
    <xf numFmtId="0" fontId="0" fillId="0" borderId="17" xfId="0" applyBorder="1" applyAlignment="1">
      <alignment horizontal="center" vertical="center" wrapText="1"/>
    </xf>
    <xf numFmtId="0" fontId="51" fillId="3" borderId="78" xfId="0" applyFont="1" applyFill="1" applyBorder="1" applyAlignment="1" applyProtection="1">
      <alignment horizontal="justify" vertical="top" wrapText="1"/>
    </xf>
    <xf numFmtId="0" fontId="0" fillId="0" borderId="0" xfId="0" applyBorder="1" applyAlignment="1">
      <alignment horizontal="justify" vertical="top" wrapText="1"/>
    </xf>
    <xf numFmtId="0" fontId="11" fillId="0" borderId="54" xfId="0" applyFont="1" applyBorder="1" applyAlignment="1" applyProtection="1">
      <alignment horizontal="right" vertical="center"/>
    </xf>
    <xf numFmtId="0" fontId="0" fillId="0" borderId="54" xfId="0" applyBorder="1" applyAlignment="1" applyProtection="1">
      <alignment horizontal="right"/>
    </xf>
    <xf numFmtId="0" fontId="6" fillId="0" borderId="50" xfId="0" applyFont="1" applyBorder="1" applyAlignment="1" applyProtection="1">
      <alignment horizontal="justify" vertical="center" wrapText="1"/>
    </xf>
    <xf numFmtId="0" fontId="6" fillId="0" borderId="0" xfId="0" applyFont="1" applyBorder="1" applyAlignment="1" applyProtection="1">
      <alignment horizontal="justify" vertical="center" wrapText="1"/>
    </xf>
    <xf numFmtId="0" fontId="0" fillId="0" borderId="0" xfId="0" applyBorder="1" applyAlignment="1" applyProtection="1"/>
    <xf numFmtId="0" fontId="0" fillId="0" borderId="49" xfId="0" applyBorder="1" applyAlignment="1" applyProtection="1"/>
    <xf numFmtId="0" fontId="3" fillId="0" borderId="48" xfId="0" applyFont="1" applyBorder="1" applyAlignment="1" applyProtection="1">
      <alignment horizontal="center" vertical="top" wrapText="1"/>
    </xf>
    <xf numFmtId="0" fontId="3" fillId="0" borderId="0" xfId="0" applyFont="1" applyBorder="1" applyAlignment="1" applyProtection="1">
      <alignment horizontal="center" vertical="top" wrapText="1"/>
    </xf>
    <xf numFmtId="0" fontId="3" fillId="0" borderId="51" xfId="0" applyFont="1" applyBorder="1" applyAlignment="1" applyProtection="1">
      <alignment horizontal="center" vertical="top" wrapText="1"/>
    </xf>
    <xf numFmtId="0" fontId="27" fillId="0" borderId="50" xfId="0" applyFont="1" applyFill="1" applyBorder="1" applyAlignment="1" applyProtection="1">
      <alignment horizontal="center" vertical="center" wrapText="1"/>
    </xf>
    <xf numFmtId="0" fontId="27" fillId="0" borderId="0" xfId="0" applyFont="1" applyFill="1" applyBorder="1" applyAlignment="1" applyProtection="1">
      <alignment horizontal="center" vertical="center" wrapText="1"/>
    </xf>
    <xf numFmtId="0" fontId="0" fillId="0" borderId="0" xfId="0" applyFill="1" applyBorder="1" applyAlignment="1" applyProtection="1"/>
    <xf numFmtId="0" fontId="0" fillId="0" borderId="49" xfId="0" applyFill="1" applyBorder="1" applyAlignment="1" applyProtection="1"/>
    <xf numFmtId="0" fontId="9" fillId="0" borderId="50" xfId="0" applyFont="1" applyBorder="1" applyAlignment="1" applyProtection="1">
      <alignment horizontal="justify" vertical="center" wrapText="1"/>
    </xf>
    <xf numFmtId="0" fontId="9" fillId="0" borderId="0" xfId="0" applyFont="1" applyBorder="1" applyAlignment="1" applyProtection="1">
      <alignment horizontal="justify" vertical="center" wrapText="1"/>
    </xf>
    <xf numFmtId="0" fontId="6" fillId="0" borderId="50" xfId="0" applyFont="1" applyBorder="1" applyAlignment="1" applyProtection="1">
      <alignment horizontal="justify" wrapText="1"/>
    </xf>
    <xf numFmtId="0" fontId="6" fillId="0" borderId="0" xfId="0" applyFont="1" applyBorder="1" applyAlignment="1" applyProtection="1">
      <alignment horizontal="justify" wrapText="1"/>
    </xf>
    <xf numFmtId="0" fontId="2" fillId="0" borderId="48" xfId="0" applyFont="1" applyBorder="1" applyAlignment="1" applyProtection="1">
      <alignment horizontal="center" vertical="center" wrapText="1"/>
    </xf>
    <xf numFmtId="0" fontId="31" fillId="0" borderId="0" xfId="0" applyFont="1"/>
    <xf numFmtId="0" fontId="31" fillId="0" borderId="51" xfId="0" applyFont="1" applyBorder="1"/>
    <xf numFmtId="0" fontId="21" fillId="0" borderId="48" xfId="0" applyFont="1" applyBorder="1" applyAlignment="1" applyProtection="1">
      <alignment horizontal="center" vertical="center" wrapText="1"/>
    </xf>
    <xf numFmtId="0" fontId="21" fillId="0" borderId="0" xfId="0" applyFont="1" applyBorder="1" applyAlignment="1" applyProtection="1">
      <alignment horizontal="center" vertical="center" wrapText="1"/>
    </xf>
    <xf numFmtId="0" fontId="21" fillId="0" borderId="51" xfId="0" applyFont="1" applyBorder="1" applyAlignment="1" applyProtection="1">
      <alignment horizontal="center" vertical="center" wrapText="1"/>
    </xf>
    <xf numFmtId="0" fontId="0" fillId="0" borderId="48" xfId="0" applyBorder="1" applyAlignment="1" applyProtection="1">
      <alignment vertical="center" wrapText="1"/>
    </xf>
    <xf numFmtId="0" fontId="0" fillId="0" borderId="0" xfId="0" applyBorder="1" applyAlignment="1" applyProtection="1">
      <alignment vertical="center" wrapText="1"/>
    </xf>
    <xf numFmtId="0" fontId="0" fillId="0" borderId="51" xfId="0" applyBorder="1" applyAlignment="1" applyProtection="1">
      <alignment vertical="center" wrapText="1"/>
    </xf>
    <xf numFmtId="0" fontId="9" fillId="0" borderId="59" xfId="0" applyFont="1" applyFill="1" applyBorder="1" applyAlignment="1" applyProtection="1">
      <alignment horizontal="center" vertical="center" wrapText="1"/>
    </xf>
    <xf numFmtId="0" fontId="9" fillId="0" borderId="60" xfId="0" applyFont="1" applyFill="1" applyBorder="1" applyAlignment="1" applyProtection="1">
      <alignment horizontal="center" vertical="center" wrapText="1"/>
    </xf>
    <xf numFmtId="0" fontId="0" fillId="0" borderId="60" xfId="0" applyFill="1" applyBorder="1" applyAlignment="1" applyProtection="1">
      <alignment horizontal="center"/>
    </xf>
    <xf numFmtId="0" fontId="0" fillId="0" borderId="61" xfId="0" applyFill="1" applyBorder="1" applyAlignment="1" applyProtection="1">
      <alignment horizontal="center"/>
    </xf>
    <xf numFmtId="0" fontId="0" fillId="0" borderId="62" xfId="0" applyBorder="1" applyAlignment="1" applyProtection="1">
      <alignment vertical="center" wrapText="1"/>
    </xf>
    <xf numFmtId="0" fontId="0" fillId="0" borderId="60" xfId="0" applyBorder="1" applyAlignment="1" applyProtection="1">
      <alignment vertical="center" wrapText="1"/>
    </xf>
    <xf numFmtId="0" fontId="0" fillId="0" borderId="37" xfId="0" applyBorder="1" applyAlignment="1" applyProtection="1">
      <alignment vertical="center" wrapText="1"/>
    </xf>
    <xf numFmtId="0" fontId="3" fillId="0" borderId="40" xfId="0" applyFont="1" applyBorder="1" applyAlignment="1" applyProtection="1">
      <alignment horizontal="justify" vertical="top" wrapText="1"/>
    </xf>
    <xf numFmtId="0" fontId="31" fillId="0" borderId="41" xfId="0" applyFont="1" applyBorder="1" applyAlignment="1" applyProtection="1">
      <alignment horizontal="justify" vertical="top" wrapText="1"/>
    </xf>
    <xf numFmtId="0" fontId="31" fillId="0" borderId="39" xfId="0" applyFont="1" applyBorder="1" applyAlignment="1" applyProtection="1">
      <alignment horizontal="justify" vertical="top" wrapText="1"/>
    </xf>
    <xf numFmtId="0" fontId="11" fillId="0" borderId="0" xfId="0" applyFont="1" applyAlignment="1" applyProtection="1">
      <alignment horizontal="right" vertical="center"/>
    </xf>
    <xf numFmtId="0" fontId="12" fillId="0" borderId="0" xfId="0" applyFont="1" applyAlignment="1" applyProtection="1">
      <alignment horizontal="right"/>
    </xf>
    <xf numFmtId="0" fontId="8" fillId="0" borderId="55" xfId="0" applyFont="1" applyBorder="1" applyAlignment="1" applyProtection="1">
      <alignment horizontal="center" vertical="center" wrapText="1"/>
      <protection locked="0"/>
    </xf>
    <xf numFmtId="0" fontId="8" fillId="0" borderId="47" xfId="0" applyFont="1" applyBorder="1" applyAlignment="1" applyProtection="1">
      <alignment horizontal="center" vertical="center" wrapText="1"/>
      <protection locked="0"/>
    </xf>
    <xf numFmtId="0" fontId="0" fillId="0" borderId="47" xfId="0" applyBorder="1" applyAlignment="1" applyProtection="1">
      <protection locked="0"/>
    </xf>
    <xf numFmtId="0" fontId="0" fillId="0" borderId="45" xfId="0" applyBorder="1" applyAlignment="1" applyProtection="1">
      <protection locked="0"/>
    </xf>
    <xf numFmtId="0" fontId="1" fillId="0" borderId="46" xfId="0" applyFont="1" applyBorder="1" applyAlignment="1" applyProtection="1">
      <alignment horizontal="justify" vertical="center" wrapText="1"/>
    </xf>
    <xf numFmtId="0" fontId="1" fillId="0" borderId="47" xfId="0" applyFont="1" applyBorder="1" applyAlignment="1" applyProtection="1">
      <alignment horizontal="justify" vertical="center" wrapText="1"/>
    </xf>
    <xf numFmtId="0" fontId="1" fillId="0" borderId="56" xfId="0" applyFont="1" applyBorder="1" applyAlignment="1" applyProtection="1">
      <alignment horizontal="justify" vertical="center" wrapText="1"/>
    </xf>
    <xf numFmtId="0" fontId="0" fillId="0" borderId="48" xfId="0" applyBorder="1" applyAlignment="1" applyProtection="1"/>
    <xf numFmtId="0" fontId="0" fillId="0" borderId="51" xfId="0" applyBorder="1" applyAlignment="1" applyProtection="1"/>
    <xf numFmtId="0" fontId="3" fillId="0" borderId="50" xfId="0" applyFont="1" applyBorder="1" applyAlignment="1" applyProtection="1">
      <alignment vertical="center" wrapText="1"/>
    </xf>
    <xf numFmtId="0" fontId="3" fillId="0" borderId="0" xfId="0" applyFont="1" applyBorder="1" applyAlignment="1" applyProtection="1">
      <alignment vertical="center" wrapText="1"/>
    </xf>
    <xf numFmtId="0" fontId="5" fillId="0" borderId="50" xfId="0" applyFont="1" applyBorder="1" applyAlignment="1" applyProtection="1">
      <alignment horizontal="justify" vertical="center" wrapText="1"/>
      <protection locked="0"/>
    </xf>
    <xf numFmtId="0" fontId="5" fillId="0" borderId="0" xfId="0" applyFont="1" applyBorder="1" applyAlignment="1" applyProtection="1">
      <alignment horizontal="justify" vertical="center" wrapText="1"/>
      <protection locked="0"/>
    </xf>
    <xf numFmtId="0" fontId="13" fillId="0" borderId="0" xfId="0" applyFont="1" applyBorder="1" applyAlignment="1" applyProtection="1">
      <protection locked="0"/>
    </xf>
    <xf numFmtId="0" fontId="13" fillId="0" borderId="49" xfId="0" applyFont="1" applyBorder="1" applyAlignment="1" applyProtection="1">
      <protection locked="0"/>
    </xf>
    <xf numFmtId="0" fontId="85" fillId="13" borderId="50" xfId="0" applyFont="1" applyFill="1" applyBorder="1" applyAlignment="1" applyProtection="1">
      <alignment horizontal="center" vertical="center" wrapText="1"/>
    </xf>
    <xf numFmtId="0" fontId="85" fillId="13" borderId="0" xfId="0" applyFont="1" applyFill="1" applyBorder="1" applyAlignment="1" applyProtection="1">
      <alignment horizontal="center" vertical="center" wrapText="1"/>
    </xf>
    <xf numFmtId="0" fontId="86" fillId="13" borderId="0" xfId="0" applyFont="1" applyFill="1" applyBorder="1" applyAlignment="1" applyProtection="1"/>
    <xf numFmtId="0" fontId="86" fillId="13" borderId="49" xfId="0" applyFont="1" applyFill="1" applyBorder="1" applyAlignment="1" applyProtection="1"/>
    <xf numFmtId="0" fontId="26" fillId="0" borderId="50" xfId="0" applyFont="1" applyBorder="1" applyAlignment="1" applyProtection="1">
      <alignment horizontal="center" vertical="center" wrapText="1"/>
    </xf>
    <xf numFmtId="0" fontId="26" fillId="0" borderId="0" xfId="0" applyFont="1" applyBorder="1" applyAlignment="1" applyProtection="1">
      <alignment horizontal="center" vertical="center" wrapText="1"/>
    </xf>
    <xf numFmtId="0" fontId="11" fillId="0" borderId="0" xfId="0" applyFont="1" applyAlignment="1" applyProtection="1">
      <alignment horizontal="right"/>
    </xf>
    <xf numFmtId="0" fontId="8" fillId="7" borderId="52" xfId="0" applyFont="1" applyFill="1" applyBorder="1" applyAlignment="1" applyProtection="1">
      <alignment horizontal="center" vertical="center" wrapText="1"/>
    </xf>
    <xf numFmtId="0" fontId="8" fillId="7" borderId="53" xfId="0" applyFont="1" applyFill="1" applyBorder="1" applyAlignment="1" applyProtection="1">
      <alignment horizontal="center" vertical="center" wrapText="1"/>
    </xf>
    <xf numFmtId="0" fontId="8" fillId="7" borderId="36" xfId="0" applyFont="1" applyFill="1" applyBorder="1" applyAlignment="1" applyProtection="1">
      <alignment horizontal="center" vertical="center" wrapText="1"/>
    </xf>
    <xf numFmtId="0" fontId="3" fillId="0" borderId="50" xfId="0" applyFont="1" applyBorder="1" applyAlignment="1" applyProtection="1">
      <alignment horizontal="justify" vertical="center" wrapText="1"/>
      <protection locked="0"/>
    </xf>
    <xf numFmtId="0" fontId="3" fillId="0" borderId="0" xfId="0" applyFont="1" applyBorder="1" applyAlignment="1" applyProtection="1">
      <alignment horizontal="justify" vertical="center" wrapText="1"/>
      <protection locked="0"/>
    </xf>
    <xf numFmtId="0" fontId="0" fillId="0" borderId="0" xfId="0" applyBorder="1" applyAlignment="1" applyProtection="1">
      <protection locked="0"/>
    </xf>
    <xf numFmtId="0" fontId="0" fillId="0" borderId="51" xfId="0" applyBorder="1" applyAlignment="1" applyProtection="1">
      <protection locked="0"/>
    </xf>
    <xf numFmtId="0" fontId="3" fillId="0" borderId="50" xfId="0" applyFont="1" applyBorder="1" applyAlignment="1" applyProtection="1">
      <alignment horizontal="justify" vertical="center" wrapText="1"/>
    </xf>
    <xf numFmtId="0" fontId="3" fillId="0" borderId="0" xfId="0" applyFont="1" applyBorder="1" applyAlignment="1" applyProtection="1">
      <alignment horizontal="justify" vertical="center" wrapText="1"/>
    </xf>
    <xf numFmtId="0" fontId="25" fillId="0" borderId="38" xfId="0" applyFont="1" applyBorder="1" applyAlignment="1" applyProtection="1">
      <alignment horizontal="center" vertical="center" wrapText="1"/>
    </xf>
    <xf numFmtId="0" fontId="0" fillId="0" borderId="38" xfId="0" applyBorder="1" applyAlignment="1" applyProtection="1"/>
    <xf numFmtId="0" fontId="2" fillId="0" borderId="60" xfId="0" applyFont="1" applyBorder="1" applyAlignment="1" applyProtection="1">
      <alignment horizontal="justify" vertical="center" wrapText="1"/>
      <protection locked="0"/>
    </xf>
    <xf numFmtId="0" fontId="14" fillId="0" borderId="60" xfId="0" applyFont="1" applyBorder="1" applyAlignment="1" applyProtection="1">
      <alignment wrapText="1"/>
      <protection locked="0"/>
    </xf>
    <xf numFmtId="0" fontId="22" fillId="0" borderId="12" xfId="0" applyFont="1" applyBorder="1" applyAlignment="1" applyProtection="1">
      <alignment horizontal="center" vertical="center" wrapText="1"/>
    </xf>
    <xf numFmtId="0" fontId="0" fillId="0" borderId="12" xfId="0" applyBorder="1" applyAlignment="1" applyProtection="1">
      <alignment vertical="center"/>
    </xf>
    <xf numFmtId="0" fontId="0" fillId="0" borderId="12" xfId="0" applyBorder="1" applyAlignment="1" applyProtection="1"/>
    <xf numFmtId="0" fontId="22" fillId="0" borderId="52" xfId="0" applyFont="1" applyBorder="1" applyAlignment="1" applyProtection="1">
      <alignment horizontal="right" vertical="center" wrapText="1"/>
    </xf>
    <xf numFmtId="0" fontId="0" fillId="0" borderId="53" xfId="0" applyBorder="1" applyAlignment="1" applyProtection="1">
      <alignment horizontal="right"/>
    </xf>
    <xf numFmtId="0" fontId="25" fillId="0" borderId="53" xfId="0" applyFont="1" applyBorder="1" applyAlignment="1" applyProtection="1">
      <alignment horizontal="left" vertical="center"/>
    </xf>
    <xf numFmtId="0" fontId="25" fillId="0" borderId="36" xfId="0" applyFont="1" applyBorder="1" applyAlignment="1" applyProtection="1">
      <alignment horizontal="left" vertical="center"/>
    </xf>
    <xf numFmtId="0" fontId="23" fillId="0" borderId="63" xfId="0" applyFont="1" applyBorder="1" applyAlignment="1" applyProtection="1">
      <alignment vertical="center"/>
    </xf>
    <xf numFmtId="0" fontId="0" fillId="0" borderId="63" xfId="0" applyBorder="1" applyAlignment="1" applyProtection="1"/>
    <xf numFmtId="0" fontId="17" fillId="0" borderId="55" xfId="0" applyFont="1" applyBorder="1" applyAlignment="1" applyProtection="1">
      <alignment horizontal="center" vertical="center" wrapText="1"/>
    </xf>
    <xf numFmtId="0" fontId="0" fillId="0" borderId="45" xfId="0" applyBorder="1" applyAlignment="1" applyProtection="1">
      <alignment horizontal="center" vertical="center" wrapText="1"/>
    </xf>
    <xf numFmtId="0" fontId="17" fillId="0" borderId="50" xfId="0" applyFont="1" applyBorder="1" applyAlignment="1" applyProtection="1">
      <alignment horizontal="center" vertical="center" wrapText="1"/>
    </xf>
    <xf numFmtId="0" fontId="0" fillId="0" borderId="49" xfId="0" applyBorder="1" applyAlignment="1" applyProtection="1">
      <alignment horizontal="center" vertical="center" wrapText="1"/>
    </xf>
    <xf numFmtId="0" fontId="24" fillId="13" borderId="54" xfId="0" applyFont="1" applyFill="1" applyBorder="1" applyAlignment="1" applyProtection="1">
      <alignment horizontal="center" vertical="center"/>
      <protection locked="0"/>
    </xf>
    <xf numFmtId="0" fontId="0" fillId="13" borderId="54" xfId="0" applyFill="1" applyBorder="1" applyAlignment="1" applyProtection="1">
      <protection locked="0"/>
    </xf>
    <xf numFmtId="0" fontId="0" fillId="13" borderId="60" xfId="0" applyFill="1" applyBorder="1" applyAlignment="1" applyProtection="1">
      <protection locked="0"/>
    </xf>
    <xf numFmtId="0" fontId="8" fillId="0" borderId="50" xfId="0" applyFont="1" applyBorder="1" applyAlignment="1" applyProtection="1">
      <alignment horizontal="center" vertical="center" wrapText="1"/>
    </xf>
    <xf numFmtId="0" fontId="8" fillId="0" borderId="0" xfId="0" applyFont="1" applyBorder="1" applyAlignment="1" applyProtection="1">
      <alignment horizontal="center" vertical="center" wrapText="1"/>
    </xf>
    <xf numFmtId="0" fontId="30" fillId="0" borderId="46" xfId="0" applyFont="1" applyBorder="1" applyAlignment="1" applyProtection="1">
      <alignment horizontal="center" vertical="center" wrapText="1"/>
      <protection locked="0"/>
    </xf>
    <xf numFmtId="0" fontId="30" fillId="0" borderId="47" xfId="0" applyFont="1" applyBorder="1" applyAlignment="1" applyProtection="1">
      <alignment horizontal="center" vertical="center" wrapText="1"/>
      <protection locked="0"/>
    </xf>
    <xf numFmtId="0" fontId="30" fillId="0" borderId="56" xfId="0" applyFont="1" applyBorder="1" applyAlignment="1" applyProtection="1">
      <alignment horizontal="center" vertical="center" wrapText="1"/>
      <protection locked="0"/>
    </xf>
    <xf numFmtId="0" fontId="30" fillId="0" borderId="62" xfId="0" applyFont="1" applyBorder="1" applyAlignment="1" applyProtection="1">
      <alignment horizontal="center" vertical="center" wrapText="1"/>
      <protection locked="0"/>
    </xf>
    <xf numFmtId="0" fontId="30" fillId="0" borderId="60" xfId="0" applyFont="1" applyBorder="1" applyAlignment="1" applyProtection="1">
      <alignment horizontal="center" vertical="center" wrapText="1"/>
      <protection locked="0"/>
    </xf>
    <xf numFmtId="0" fontId="30" fillId="0" borderId="37" xfId="0" applyFont="1" applyBorder="1" applyAlignment="1" applyProtection="1">
      <alignment horizontal="center" vertical="center" wrapText="1"/>
      <protection locked="0"/>
    </xf>
    <xf numFmtId="0" fontId="0" fillId="0" borderId="49" xfId="0" applyBorder="1" applyAlignment="1" applyProtection="1">
      <protection locked="0"/>
    </xf>
    <xf numFmtId="0" fontId="1" fillId="0" borderId="50" xfId="0" applyFont="1" applyBorder="1" applyAlignment="1" applyProtection="1">
      <alignment horizontal="justify" vertical="center" wrapText="1"/>
      <protection locked="0"/>
    </xf>
    <xf numFmtId="0" fontId="1" fillId="0" borderId="0" xfId="0" applyFont="1" applyBorder="1" applyAlignment="1" applyProtection="1">
      <alignment horizontal="justify" vertical="center" wrapText="1"/>
      <protection locked="0"/>
    </xf>
    <xf numFmtId="0" fontId="0" fillId="0" borderId="0" xfId="0" applyFont="1" applyBorder="1" applyAlignment="1" applyProtection="1">
      <protection locked="0"/>
    </xf>
    <xf numFmtId="0" fontId="0" fillId="0" borderId="49" xfId="0" applyFont="1" applyBorder="1" applyAlignment="1" applyProtection="1">
      <protection locked="0"/>
    </xf>
    <xf numFmtId="0" fontId="2" fillId="0" borderId="0" xfId="0" applyFont="1" applyBorder="1" applyAlignment="1" applyProtection="1">
      <alignment horizontal="center" vertical="center" wrapText="1"/>
    </xf>
    <xf numFmtId="0" fontId="2" fillId="0" borderId="51" xfId="0" applyFont="1" applyBorder="1" applyAlignment="1" applyProtection="1">
      <alignment horizontal="center" vertical="center" wrapText="1"/>
    </xf>
    <xf numFmtId="0" fontId="75" fillId="0" borderId="50" xfId="0" applyFont="1" applyBorder="1" applyAlignment="1" applyProtection="1">
      <alignment horizontal="justify" vertical="center" wrapText="1"/>
      <protection locked="0"/>
    </xf>
    <xf numFmtId="0" fontId="75" fillId="0" borderId="0" xfId="0" applyFont="1" applyBorder="1" applyAlignment="1" applyProtection="1">
      <alignment horizontal="justify" vertical="center" wrapText="1"/>
      <protection locked="0"/>
    </xf>
    <xf numFmtId="0" fontId="72" fillId="0" borderId="0" xfId="0" applyFont="1" applyBorder="1" applyAlignment="1" applyProtection="1">
      <protection locked="0"/>
    </xf>
    <xf numFmtId="0" fontId="72" fillId="0" borderId="49" xfId="0" applyFont="1" applyBorder="1" applyAlignment="1" applyProtection="1">
      <protection locked="0"/>
    </xf>
    <xf numFmtId="0" fontId="21" fillId="13" borderId="50" xfId="0" applyFont="1" applyFill="1" applyBorder="1" applyAlignment="1" applyProtection="1">
      <alignment horizontal="center" vertical="center" wrapText="1"/>
    </xf>
    <xf numFmtId="0" fontId="21" fillId="13" borderId="0" xfId="0" applyFont="1" applyFill="1" applyBorder="1" applyAlignment="1" applyProtection="1">
      <alignment horizontal="center" vertical="center" wrapText="1"/>
    </xf>
    <xf numFmtId="0" fontId="0" fillId="13" borderId="0" xfId="0" applyFill="1" applyBorder="1" applyAlignment="1" applyProtection="1"/>
    <xf numFmtId="0" fontId="0" fillId="13" borderId="49" xfId="0" applyFill="1" applyBorder="1" applyAlignment="1" applyProtection="1"/>
    <xf numFmtId="0" fontId="4" fillId="2" borderId="64" xfId="0" applyFont="1" applyFill="1" applyBorder="1" applyAlignment="1" applyProtection="1">
      <alignment horizontal="center" vertical="center" wrapText="1"/>
    </xf>
    <xf numFmtId="0" fontId="4" fillId="2" borderId="68" xfId="0" applyFont="1" applyFill="1" applyBorder="1" applyAlignment="1" applyProtection="1">
      <alignment horizontal="center" vertical="center" wrapText="1"/>
    </xf>
    <xf numFmtId="0" fontId="4" fillId="2" borderId="69" xfId="0" applyFont="1" applyFill="1" applyBorder="1" applyAlignment="1" applyProtection="1">
      <alignment horizontal="center" vertical="center" wrapText="1"/>
    </xf>
    <xf numFmtId="168" fontId="4" fillId="0" borderId="64" xfId="0" applyNumberFormat="1" applyFont="1" applyFill="1" applyBorder="1" applyAlignment="1" applyProtection="1">
      <alignment horizontal="left" vertical="center" wrapText="1"/>
    </xf>
    <xf numFmtId="168" fontId="4" fillId="0" borderId="68" xfId="0" applyNumberFormat="1" applyFont="1" applyFill="1" applyBorder="1" applyAlignment="1" applyProtection="1">
      <alignment horizontal="left" vertical="center" wrapText="1"/>
    </xf>
    <xf numFmtId="168" fontId="4" fillId="0" borderId="69" xfId="0" applyNumberFormat="1" applyFont="1" applyFill="1" applyBorder="1" applyAlignment="1" applyProtection="1">
      <alignment horizontal="left" vertical="center" wrapText="1"/>
    </xf>
    <xf numFmtId="0" fontId="3" fillId="0" borderId="1" xfId="0" applyFont="1" applyBorder="1" applyAlignment="1" applyProtection="1">
      <alignment horizontal="center" wrapText="1"/>
    </xf>
    <xf numFmtId="0" fontId="18" fillId="0" borderId="0" xfId="0" applyFont="1" applyFill="1" applyBorder="1" applyAlignment="1" applyProtection="1">
      <alignment horizontal="left" vertical="center" wrapText="1"/>
    </xf>
    <xf numFmtId="0" fontId="0" fillId="0" borderId="0" xfId="0" applyFill="1" applyAlignment="1"/>
    <xf numFmtId="0" fontId="20" fillId="0" borderId="0" xfId="0" applyFont="1" applyAlignment="1" applyProtection="1">
      <alignment horizontal="right" vertical="center" wrapText="1"/>
    </xf>
    <xf numFmtId="0" fontId="0" fillId="0" borderId="0" xfId="0" applyAlignment="1" applyProtection="1">
      <alignment horizontal="right" wrapText="1"/>
    </xf>
    <xf numFmtId="0" fontId="0" fillId="0" borderId="0" xfId="0" applyAlignment="1" applyProtection="1">
      <alignment wrapText="1"/>
    </xf>
    <xf numFmtId="0" fontId="2" fillId="3" borderId="26" xfId="0" applyFont="1" applyFill="1" applyBorder="1" applyAlignment="1" applyProtection="1">
      <alignment horizontal="center" vertical="center" wrapText="1"/>
    </xf>
    <xf numFmtId="0" fontId="2" fillId="3" borderId="28" xfId="0" applyFont="1" applyFill="1" applyBorder="1" applyAlignment="1" applyProtection="1">
      <alignment horizontal="center" vertical="center" wrapText="1"/>
    </xf>
    <xf numFmtId="0" fontId="2" fillId="0" borderId="26" xfId="0" applyFont="1" applyBorder="1" applyAlignment="1" applyProtection="1">
      <alignment horizontal="center" vertical="center" wrapText="1"/>
    </xf>
    <xf numFmtId="0" fontId="2" fillId="0" borderId="28" xfId="0" applyFont="1" applyBorder="1" applyAlignment="1" applyProtection="1">
      <alignment horizontal="center" vertical="center" wrapText="1"/>
    </xf>
    <xf numFmtId="0" fontId="9" fillId="2" borderId="64" xfId="0" applyFont="1" applyFill="1" applyBorder="1" applyAlignment="1" applyProtection="1">
      <alignment horizontal="center" vertical="center" wrapText="1"/>
    </xf>
    <xf numFmtId="0" fontId="9" fillId="2" borderId="69" xfId="0" applyFont="1" applyFill="1" applyBorder="1" applyAlignment="1" applyProtection="1">
      <alignment horizontal="center" vertical="center" wrapText="1"/>
    </xf>
    <xf numFmtId="0" fontId="20" fillId="0" borderId="0" xfId="0" applyFont="1" applyAlignment="1" applyProtection="1">
      <alignment horizontal="center" vertical="center" wrapText="1"/>
      <protection locked="0"/>
    </xf>
    <xf numFmtId="0" fontId="0" fillId="0" borderId="0" xfId="0" applyAlignment="1" applyProtection="1">
      <alignment horizontal="center" vertical="center" wrapText="1"/>
      <protection locked="0"/>
    </xf>
    <xf numFmtId="0" fontId="0" fillId="0" borderId="0" xfId="0" applyFill="1" applyAlignment="1" applyProtection="1"/>
    <xf numFmtId="0" fontId="32" fillId="0" borderId="0" xfId="0" applyFont="1" applyAlignment="1" applyProtection="1">
      <alignment wrapText="1"/>
      <protection locked="0"/>
    </xf>
    <xf numFmtId="0" fontId="13" fillId="0" borderId="0" xfId="0" applyFont="1" applyAlignment="1" applyProtection="1">
      <alignment wrapText="1"/>
      <protection locked="0"/>
    </xf>
    <xf numFmtId="0" fontId="20" fillId="13" borderId="0" xfId="0" applyFont="1" applyFill="1" applyAlignment="1" applyProtection="1">
      <alignment horizontal="center" vertical="center" wrapText="1"/>
    </xf>
    <xf numFmtId="0" fontId="0" fillId="13" borderId="0" xfId="0" applyFill="1" applyAlignment="1" applyProtection="1">
      <alignment wrapText="1"/>
    </xf>
    <xf numFmtId="0" fontId="3" fillId="0" borderId="0" xfId="0" applyFont="1" applyFill="1" applyAlignment="1" applyProtection="1">
      <alignment horizontal="justify" vertical="center" wrapText="1"/>
    </xf>
    <xf numFmtId="0" fontId="0" fillId="0" borderId="0" xfId="0" applyFill="1" applyAlignment="1" applyProtection="1">
      <alignment wrapText="1"/>
    </xf>
    <xf numFmtId="0" fontId="3" fillId="0" borderId="1" xfId="0" applyFont="1" applyBorder="1" applyAlignment="1" applyProtection="1">
      <alignment horizontal="center"/>
    </xf>
    <xf numFmtId="0" fontId="0" fillId="0" borderId="1" xfId="0" applyBorder="1" applyAlignment="1" applyProtection="1"/>
    <xf numFmtId="0" fontId="8" fillId="0" borderId="0" xfId="0" applyFont="1" applyAlignment="1" applyProtection="1">
      <alignment horizontal="center" vertical="center" wrapText="1"/>
    </xf>
    <xf numFmtId="0" fontId="0" fillId="0" borderId="0" xfId="0" applyFont="1" applyAlignment="1" applyProtection="1">
      <alignment wrapText="1"/>
    </xf>
    <xf numFmtId="0" fontId="2" fillId="2" borderId="1" xfId="0" applyFont="1" applyFill="1" applyBorder="1" applyAlignment="1" applyProtection="1">
      <alignment horizontal="center" vertical="center" wrapText="1"/>
    </xf>
    <xf numFmtId="0" fontId="0" fillId="0" borderId="1" xfId="0" applyBorder="1" applyAlignment="1" applyProtection="1">
      <alignment vertical="center" wrapText="1"/>
    </xf>
    <xf numFmtId="0" fontId="5" fillId="0" borderId="0" xfId="0" applyFont="1" applyAlignment="1" applyProtection="1">
      <alignment horizontal="justify" vertical="center" wrapText="1"/>
      <protection locked="0"/>
    </xf>
    <xf numFmtId="0" fontId="0" fillId="0" borderId="1" xfId="0" applyBorder="1" applyAlignment="1" applyProtection="1">
      <alignment horizontal="center" vertical="center" wrapText="1"/>
    </xf>
    <xf numFmtId="0" fontId="82" fillId="0" borderId="30" xfId="0" applyFont="1" applyBorder="1" applyAlignment="1" applyProtection="1">
      <alignment horizontal="center"/>
    </xf>
    <xf numFmtId="0" fontId="50" fillId="2" borderId="68" xfId="0" applyFont="1" applyFill="1" applyBorder="1" applyAlignment="1">
      <alignment horizontal="center" vertical="center" wrapText="1"/>
    </xf>
    <xf numFmtId="0" fontId="50" fillId="2" borderId="69" xfId="0" applyFont="1" applyFill="1" applyBorder="1" applyAlignment="1">
      <alignment horizontal="center" vertical="center" wrapText="1"/>
    </xf>
    <xf numFmtId="0" fontId="6" fillId="0" borderId="0" xfId="0" applyFont="1" applyAlignment="1" applyProtection="1">
      <alignment horizontal="right"/>
    </xf>
    <xf numFmtId="0" fontId="6" fillId="0" borderId="44" xfId="0" applyFont="1" applyBorder="1" applyAlignment="1" applyProtection="1">
      <alignment horizontal="right"/>
    </xf>
    <xf numFmtId="0" fontId="0" fillId="0" borderId="44" xfId="0" applyBorder="1" applyAlignment="1" applyProtection="1"/>
    <xf numFmtId="0" fontId="36" fillId="0" borderId="0" xfId="0" applyFont="1" applyFill="1" applyAlignment="1" applyProtection="1">
      <alignment horizontal="right" wrapText="1"/>
      <protection locked="0"/>
    </xf>
    <xf numFmtId="0" fontId="3" fillId="0" borderId="0" xfId="0" applyFont="1" applyAlignment="1" applyProtection="1">
      <alignment horizontal="justify" vertical="center" wrapText="1"/>
    </xf>
    <xf numFmtId="0" fontId="3" fillId="0" borderId="0" xfId="0" applyFont="1" applyAlignment="1" applyProtection="1">
      <alignment horizontal="center" vertical="center" wrapText="1"/>
    </xf>
    <xf numFmtId="0" fontId="19" fillId="0" borderId="42" xfId="0" applyFont="1" applyBorder="1" applyAlignment="1" applyProtection="1">
      <alignment horizontal="right"/>
    </xf>
    <xf numFmtId="0" fontId="1" fillId="0" borderId="0" xfId="0" applyFont="1" applyAlignment="1" applyProtection="1">
      <alignment horizontal="center" vertical="center" wrapText="1"/>
    </xf>
    <xf numFmtId="0" fontId="0" fillId="0" borderId="0" xfId="0" applyFont="1" applyAlignment="1" applyProtection="1">
      <alignment horizontal="center" wrapText="1"/>
    </xf>
    <xf numFmtId="0" fontId="2" fillId="0" borderId="0" xfId="0" applyFont="1" applyAlignment="1" applyProtection="1">
      <alignment horizontal="justify" vertical="center" wrapText="1"/>
    </xf>
    <xf numFmtId="0" fontId="5" fillId="0" borderId="0" xfId="0" applyFont="1" applyFill="1" applyAlignment="1" applyProtection="1">
      <alignment horizontal="right" vertical="center" wrapText="1"/>
      <protection locked="0"/>
    </xf>
    <xf numFmtId="0" fontId="13" fillId="0" borderId="0" xfId="0" applyFont="1" applyFill="1" applyAlignment="1" applyProtection="1">
      <alignment wrapText="1"/>
      <protection locked="0"/>
    </xf>
    <xf numFmtId="0" fontId="36" fillId="0" borderId="0" xfId="0" applyFont="1" applyFill="1" applyAlignment="1" applyProtection="1">
      <alignment horizontal="left" wrapText="1"/>
      <protection locked="0"/>
    </xf>
    <xf numFmtId="0" fontId="0" fillId="0" borderId="0" xfId="0" applyAlignment="1">
      <alignment wrapText="1"/>
    </xf>
    <xf numFmtId="0" fontId="82" fillId="0" borderId="0" xfId="0" applyFont="1" applyAlignment="1" applyProtection="1">
      <alignment horizontal="center"/>
    </xf>
    <xf numFmtId="0" fontId="16" fillId="0" borderId="0" xfId="0" applyFont="1" applyAlignment="1" applyProtection="1">
      <alignment vertical="center" wrapText="1"/>
    </xf>
    <xf numFmtId="0" fontId="3" fillId="0" borderId="0" xfId="0" applyFont="1" applyAlignment="1" applyProtection="1">
      <alignment horizontal="right" vertical="center"/>
    </xf>
    <xf numFmtId="0" fontId="1" fillId="0" borderId="0" xfId="0" applyFont="1" applyAlignment="1" applyProtection="1">
      <alignment horizontal="right"/>
    </xf>
    <xf numFmtId="0" fontId="2" fillId="0" borderId="0" xfId="0" applyFont="1" applyAlignment="1" applyProtection="1"/>
    <xf numFmtId="0" fontId="30" fillId="13" borderId="50" xfId="0" applyFont="1" applyFill="1" applyBorder="1" applyAlignment="1" applyProtection="1">
      <alignment horizontal="center" vertical="center" wrapText="1"/>
    </xf>
    <xf numFmtId="0" fontId="30" fillId="13" borderId="0" xfId="0" applyFont="1" applyFill="1" applyBorder="1" applyAlignment="1" applyProtection="1">
      <alignment horizontal="center" vertical="center" wrapText="1"/>
    </xf>
    <xf numFmtId="0" fontId="87" fillId="13" borderId="0" xfId="0" applyFont="1" applyFill="1" applyAlignment="1">
      <alignment horizontal="center" vertical="center"/>
    </xf>
    <xf numFmtId="0" fontId="30" fillId="13" borderId="0" xfId="0" applyFont="1" applyFill="1" applyAlignment="1" applyProtection="1">
      <alignment horizontal="justify" vertical="center"/>
    </xf>
    <xf numFmtId="0" fontId="66" fillId="13" borderId="0" xfId="0" applyFont="1" applyFill="1" applyAlignment="1" applyProtection="1"/>
    <xf numFmtId="0" fontId="0" fillId="13" borderId="0" xfId="0" applyFill="1" applyAlignment="1"/>
    <xf numFmtId="0" fontId="2" fillId="0" borderId="0" xfId="0" applyFont="1" applyAlignment="1" applyProtection="1">
      <alignment horizontal="justify" vertical="center"/>
    </xf>
    <xf numFmtId="0" fontId="8" fillId="0" borderId="0" xfId="0" applyFont="1" applyAlignment="1" applyProtection="1"/>
    <xf numFmtId="0" fontId="0" fillId="0" borderId="0" xfId="0" applyAlignment="1"/>
    <xf numFmtId="0" fontId="3" fillId="0" borderId="0" xfId="0" applyFont="1" applyAlignment="1" applyProtection="1">
      <alignment horizontal="justify" vertical="center"/>
    </xf>
    <xf numFmtId="0" fontId="1" fillId="0" borderId="0" xfId="0" applyFont="1" applyAlignment="1" applyProtection="1"/>
    <xf numFmtId="0" fontId="2" fillId="0" borderId="40" xfId="0" applyFont="1" applyBorder="1" applyAlignment="1" applyProtection="1">
      <alignment horizontal="center" vertical="center" wrapText="1"/>
    </xf>
    <xf numFmtId="0" fontId="1" fillId="0" borderId="41" xfId="0" applyFont="1" applyBorder="1" applyAlignment="1">
      <alignment horizontal="center" wrapText="1"/>
    </xf>
    <xf numFmtId="0" fontId="0" fillId="0" borderId="41" xfId="0" applyBorder="1" applyAlignment="1">
      <alignment horizontal="center" wrapText="1"/>
    </xf>
    <xf numFmtId="0" fontId="0" fillId="0" borderId="39" xfId="0" applyBorder="1" applyAlignment="1">
      <alignment horizontal="center" wrapText="1"/>
    </xf>
    <xf numFmtId="165" fontId="17" fillId="9" borderId="40" xfId="0" applyNumberFormat="1" applyFont="1" applyFill="1" applyBorder="1" applyAlignment="1" applyProtection="1">
      <alignment horizontal="center" vertical="center" wrapText="1"/>
    </xf>
    <xf numFmtId="0" fontId="0" fillId="0" borderId="39" xfId="0" applyBorder="1" applyAlignment="1">
      <alignment horizontal="center" vertical="center"/>
    </xf>
    <xf numFmtId="0" fontId="4" fillId="13" borderId="0" xfId="0" applyFont="1" applyFill="1" applyAlignment="1" applyProtection="1">
      <alignment horizontal="center" vertical="center" wrapText="1"/>
    </xf>
    <xf numFmtId="0" fontId="8" fillId="0" borderId="0" xfId="0" applyFont="1" applyAlignment="1" applyProtection="1">
      <alignment horizontal="center" wrapText="1"/>
    </xf>
    <xf numFmtId="0" fontId="3" fillId="0" borderId="0" xfId="0" applyFont="1" applyAlignment="1" applyProtection="1">
      <alignment horizontal="center" vertical="center"/>
    </xf>
    <xf numFmtId="0" fontId="1" fillId="0" borderId="0" xfId="0" applyFont="1" applyAlignment="1" applyProtection="1">
      <alignment horizontal="center"/>
    </xf>
    <xf numFmtId="0" fontId="0" fillId="0" borderId="0" xfId="0" applyAlignment="1">
      <alignment horizontal="center"/>
    </xf>
    <xf numFmtId="0" fontId="6" fillId="0" borderId="0" xfId="0" applyFont="1" applyBorder="1" applyAlignment="1" applyProtection="1">
      <alignment horizontal="right"/>
    </xf>
    <xf numFmtId="0" fontId="1" fillId="0" borderId="0" xfId="0" applyFont="1" applyBorder="1" applyAlignment="1" applyProtection="1"/>
    <xf numFmtId="0" fontId="5" fillId="0" borderId="0" xfId="0" applyFont="1" applyAlignment="1" applyProtection="1">
      <alignment horizontal="right" vertical="center"/>
    </xf>
    <xf numFmtId="0" fontId="67" fillId="0" borderId="0" xfId="0" applyFont="1" applyAlignment="1" applyProtection="1"/>
    <xf numFmtId="0" fontId="0" fillId="0" borderId="0" xfId="0" applyAlignment="1" applyProtection="1"/>
    <xf numFmtId="0" fontId="2" fillId="0" borderId="0" xfId="0" applyFont="1" applyAlignment="1" applyProtection="1">
      <alignment horizontal="center" vertical="center"/>
    </xf>
    <xf numFmtId="0" fontId="2" fillId="0" borderId="0" xfId="0" applyFont="1" applyAlignment="1" applyProtection="1">
      <alignment horizontal="left"/>
    </xf>
    <xf numFmtId="0" fontId="2" fillId="0" borderId="0" xfId="0" applyFont="1" applyAlignment="1" applyProtection="1">
      <protection locked="0"/>
    </xf>
    <xf numFmtId="0" fontId="1" fillId="0" borderId="0" xfId="0" applyFont="1" applyAlignment="1" applyProtection="1">
      <protection locked="0"/>
    </xf>
    <xf numFmtId="0" fontId="0" fillId="7" borderId="77" xfId="0" applyFill="1" applyBorder="1" applyAlignment="1">
      <alignment horizontal="center" vertical="top" wrapText="1"/>
    </xf>
    <xf numFmtId="0" fontId="0" fillId="7" borderId="91" xfId="0" applyFill="1" applyBorder="1" applyAlignment="1">
      <alignment horizontal="center" vertical="top" wrapText="1"/>
    </xf>
    <xf numFmtId="0" fontId="0" fillId="7" borderId="3" xfId="0" applyFill="1" applyBorder="1" applyAlignment="1">
      <alignment horizontal="center" vertical="top" wrapText="1"/>
    </xf>
    <xf numFmtId="0" fontId="0" fillId="7" borderId="42" xfId="0" applyFill="1" applyBorder="1" applyAlignment="1">
      <alignment horizontal="center" vertical="top" wrapText="1"/>
    </xf>
    <xf numFmtId="0" fontId="0" fillId="7" borderId="0" xfId="0" applyFill="1" applyBorder="1" applyAlignment="1">
      <alignment horizontal="center" vertical="top" wrapText="1"/>
    </xf>
    <xf numFmtId="0" fontId="42" fillId="10" borderId="16" xfId="0" applyFont="1" applyFill="1" applyBorder="1" applyAlignment="1">
      <alignment horizontal="center" vertical="center" wrapText="1"/>
    </xf>
    <xf numFmtId="0" fontId="50" fillId="0" borderId="17" xfId="0" applyFont="1" applyBorder="1" applyAlignment="1">
      <alignment horizontal="center" vertical="center" wrapText="1"/>
    </xf>
    <xf numFmtId="0" fontId="50" fillId="0" borderId="85" xfId="0" applyFont="1" applyBorder="1" applyAlignment="1">
      <alignment horizontal="center" vertical="center" wrapText="1"/>
    </xf>
    <xf numFmtId="0" fontId="57" fillId="10" borderId="13" xfId="0" applyFont="1" applyFill="1" applyBorder="1" applyAlignment="1">
      <alignment horizontal="center" vertical="center"/>
    </xf>
    <xf numFmtId="168" fontId="47" fillId="10" borderId="85" xfId="0" applyNumberFormat="1" applyFont="1" applyFill="1" applyBorder="1" applyAlignment="1">
      <alignment horizontal="center" vertical="center" wrapText="1"/>
    </xf>
    <xf numFmtId="0" fontId="0" fillId="0" borderId="69" xfId="0" applyBorder="1" applyAlignment="1">
      <alignment horizontal="center" vertical="center"/>
    </xf>
    <xf numFmtId="168" fontId="47" fillId="10" borderId="64" xfId="0" applyNumberFormat="1" applyFont="1" applyFill="1" applyBorder="1" applyAlignment="1">
      <alignment horizontal="center" vertical="center" wrapText="1"/>
    </xf>
    <xf numFmtId="0" fontId="42" fillId="10" borderId="64" xfId="0" applyFont="1" applyFill="1" applyBorder="1" applyAlignment="1">
      <alignment horizontal="center" vertical="center" wrapText="1"/>
    </xf>
    <xf numFmtId="0" fontId="49" fillId="10" borderId="68" xfId="0" applyFont="1" applyFill="1" applyBorder="1" applyAlignment="1">
      <alignment horizontal="center" vertical="center" wrapText="1"/>
    </xf>
    <xf numFmtId="0" fontId="39" fillId="0" borderId="35" xfId="0" applyNumberFormat="1" applyFont="1" applyBorder="1" applyAlignment="1" applyProtection="1">
      <alignment horizontal="center" vertical="center"/>
    </xf>
    <xf numFmtId="0" fontId="39" fillId="0" borderId="35" xfId="0" applyNumberFormat="1" applyFont="1" applyBorder="1" applyAlignment="1">
      <alignment horizontal="center" vertical="center"/>
    </xf>
    <xf numFmtId="0" fontId="39" fillId="0" borderId="12" xfId="0" applyNumberFormat="1" applyFont="1" applyBorder="1" applyAlignment="1" applyProtection="1">
      <alignment horizontal="center" vertical="center" wrapText="1"/>
    </xf>
  </cellXfs>
  <cellStyles count="7">
    <cellStyle name="Hiperlink" xfId="6" builtinId="8"/>
    <cellStyle name="Moeda" xfId="1" builtinId="4"/>
    <cellStyle name="Normal" xfId="0" builtinId="0"/>
    <cellStyle name="Normal 2" xfId="4"/>
    <cellStyle name="Porcentagem" xfId="2" builtinId="5"/>
    <cellStyle name="Vírgula" xfId="3" builtinId="3"/>
    <cellStyle name="Vírgula 2" xfId="5"/>
  </cellStyles>
  <dxfs count="42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7" tint="-0.499984740745262"/>
        </patternFill>
      </fill>
    </dxf>
    <dxf>
      <font>
        <color theme="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rgb="FFFF0000"/>
      </font>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color theme="0" tint="-0.34998626667073579"/>
      </font>
    </dxf>
    <dxf>
      <font>
        <color rgb="FFFF0000"/>
      </font>
    </dxf>
    <dxf>
      <font>
        <color rgb="FFFF0000"/>
      </font>
    </dxf>
    <dxf>
      <font>
        <color theme="0"/>
      </font>
    </dxf>
    <dxf>
      <font>
        <color theme="0"/>
      </font>
    </dxf>
    <dxf>
      <font>
        <color theme="0"/>
      </font>
    </dxf>
    <dxf>
      <font>
        <color theme="0"/>
      </font>
    </dxf>
    <dxf>
      <font>
        <color theme="0"/>
      </font>
    </dxf>
    <dxf>
      <font>
        <color theme="0"/>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0.34998626667073579"/>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i val="0"/>
        <color rgb="FFFF0000"/>
      </font>
    </dxf>
    <dxf>
      <font>
        <color auto="1"/>
      </font>
      <fill>
        <patternFill>
          <bgColor rgb="FFFF0000"/>
        </patternFill>
      </fill>
    </dxf>
    <dxf>
      <font>
        <color rgb="FF0070C0"/>
      </font>
    </dxf>
    <dxf>
      <font>
        <color rgb="FFFF0000"/>
      </font>
    </dxf>
    <dxf>
      <fill>
        <patternFill>
          <bgColor rgb="FF00B050"/>
        </patternFill>
      </fill>
    </dxf>
    <dxf>
      <fill>
        <patternFill>
          <bgColor rgb="FFFFFF00"/>
        </patternFill>
      </fill>
    </dxf>
    <dxf>
      <fill>
        <patternFill>
          <bgColor rgb="FF0070C0"/>
        </patternFill>
      </fill>
    </dxf>
    <dxf>
      <fill>
        <patternFill>
          <bgColor theme="9" tint="-0.2499465926084170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auto="1"/>
      </font>
      <fill>
        <patternFill>
          <bgColor theme="9" tint="-0.24994659260841701"/>
        </patternFill>
      </fill>
    </dxf>
    <dxf>
      <font>
        <color auto="1"/>
      </font>
      <fill>
        <patternFill>
          <bgColor theme="9" tint="-0.24994659260841701"/>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000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auto="1"/>
      </font>
      <fill>
        <patternFill>
          <bgColor theme="9" tint="-0.2499465926084170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FF0000"/>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00B050"/>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auto="1"/>
      </font>
      <fill>
        <patternFill>
          <bgColor theme="9" tint="-0.2499465926084170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auto="1"/>
      </font>
      <fill>
        <patternFill>
          <bgColor theme="9" tint="-0.2499465926084170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FFFF00"/>
        </patternFill>
      </fill>
    </dxf>
    <dxf>
      <font>
        <color theme="0"/>
      </font>
      <fill>
        <patternFill>
          <bgColor rgb="FF0070C0"/>
        </patternFill>
      </fill>
    </dxf>
    <dxf>
      <fill>
        <patternFill>
          <bgColor rgb="FF00B050"/>
        </patternFill>
      </fill>
    </dxf>
    <dxf>
      <font>
        <color theme="1"/>
      </font>
      <fill>
        <patternFill>
          <bgColor rgb="FFFF0000"/>
        </patternFill>
      </fill>
    </dxf>
    <dxf>
      <font>
        <color theme="0"/>
      </font>
      <fill>
        <patternFill>
          <bgColor theme="1"/>
        </patternFill>
      </fill>
    </dxf>
    <dxf>
      <font>
        <color theme="0"/>
      </font>
      <fill>
        <patternFill>
          <bgColor theme="7" tint="-0.499984740745262"/>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ill>
        <patternFill>
          <bgColor rgb="FF00B050"/>
        </patternFill>
      </fill>
    </dxf>
    <dxf>
      <font>
        <color theme="0"/>
      </font>
      <fill>
        <patternFill>
          <bgColor theme="7" tint="-0.499984740745262"/>
        </patternFill>
      </fill>
    </dxf>
    <dxf>
      <font>
        <color theme="0"/>
      </font>
      <fill>
        <patternFill>
          <bgColor theme="1" tint="4.9989318521683403E-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ill>
        <patternFill>
          <bgColor rgb="FF00B05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auto="1"/>
      </font>
      <fill>
        <patternFill>
          <bgColor rgb="FFFF0000"/>
        </patternFill>
      </fill>
    </dxf>
    <dxf>
      <font>
        <color theme="0"/>
      </font>
      <fill>
        <patternFill>
          <bgColor rgb="FF00B050"/>
        </patternFill>
      </fill>
    </dxf>
    <dxf>
      <fill>
        <patternFill>
          <bgColor rgb="FF00B050"/>
        </patternFill>
      </fill>
    </dxf>
    <dxf>
      <font>
        <color theme="0"/>
      </font>
      <fill>
        <patternFill>
          <bgColor rgb="FF00B0F0"/>
        </patternFill>
      </fill>
    </dxf>
    <dxf>
      <font>
        <color theme="1"/>
      </font>
      <fill>
        <patternFill>
          <bgColor rgb="FFFF0000"/>
        </patternFill>
      </fill>
    </dxf>
    <dxf>
      <fill>
        <patternFill>
          <bgColor rgb="FFFF0000"/>
        </patternFill>
      </fill>
    </dxf>
    <dxf>
      <font>
        <color theme="0"/>
      </font>
      <fill>
        <patternFill>
          <bgColor theme="7" tint="-0.499984740745262"/>
        </patternFill>
      </fill>
    </dxf>
    <dxf>
      <fill>
        <patternFill>
          <bgColor rgb="FFFFFF00"/>
        </patternFill>
      </fill>
    </dxf>
    <dxf>
      <fill>
        <patternFill>
          <bgColor rgb="FF0070C0"/>
        </patternFill>
      </fill>
    </dxf>
    <dxf>
      <font>
        <color theme="1"/>
      </font>
      <fill>
        <patternFill>
          <bgColor rgb="FFFF0000"/>
        </patternFill>
      </fill>
    </dxf>
    <dxf>
      <fill>
        <patternFill>
          <bgColor theme="0"/>
        </patternFill>
      </fill>
    </dxf>
    <dxf>
      <font>
        <color auto="1"/>
      </font>
      <fill>
        <patternFill>
          <bgColor theme="9" tint="-0.24994659260841701"/>
        </patternFill>
      </fill>
    </dxf>
    <dxf>
      <font>
        <color theme="0"/>
      </font>
      <fill>
        <patternFill>
          <bgColor theme="7" tint="-0.499984740745262"/>
        </patternFill>
      </fill>
    </dxf>
    <dxf>
      <font>
        <color theme="0"/>
      </font>
      <fill>
        <patternFill>
          <bgColor theme="1"/>
        </patternFill>
      </fill>
    </dxf>
    <dxf>
      <font>
        <color theme="0"/>
      </font>
      <fill>
        <patternFill>
          <bgColor theme="7" tint="-0.499984740745262"/>
        </patternFill>
      </fill>
    </dxf>
    <dxf>
      <font>
        <color theme="0"/>
      </font>
      <fill>
        <patternFill>
          <bgColor theme="1"/>
        </patternFill>
      </fill>
    </dxf>
    <dxf>
      <font>
        <color theme="0"/>
      </font>
      <fill>
        <patternFill>
          <bgColor theme="1" tint="4.9989318521683403E-2"/>
        </patternFill>
      </fill>
    </dxf>
    <dxf>
      <fill>
        <patternFill>
          <bgColor rgb="FFFFFF00"/>
        </patternFill>
      </fill>
    </dxf>
    <dxf>
      <fill>
        <patternFill>
          <bgColor rgb="FF0070C0"/>
        </patternFill>
      </fill>
    </dxf>
    <dxf>
      <font>
        <color rgb="FFFFFF00"/>
      </font>
      <fill>
        <patternFill>
          <bgColor rgb="FFFF0000"/>
        </patternFill>
      </fill>
    </dxf>
    <dxf>
      <fill>
        <patternFill>
          <bgColor theme="0"/>
        </patternFill>
      </fill>
    </dxf>
    <dxf>
      <font>
        <color theme="0"/>
      </font>
      <fill>
        <patternFill>
          <bgColor rgb="FF684D00"/>
        </patternFill>
      </fill>
    </dxf>
    <dxf>
      <font>
        <color theme="0"/>
      </font>
      <fill>
        <patternFill>
          <bgColor theme="9" tint="-0.499984740745262"/>
        </patternFill>
      </fill>
    </dxf>
  </dxfs>
  <tableStyles count="0" defaultTableStyle="TableStyleMedium9" defaultPivotStyle="PivotStyleLight16"/>
  <colors>
    <mruColors>
      <color rgb="FF00CC00"/>
      <color rgb="FF03E7ED"/>
      <color rgb="FF1D33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19051</xdr:rowOff>
    </xdr:from>
    <xdr:to>
      <xdr:col>11</xdr:col>
      <xdr:colOff>175008</xdr:colOff>
      <xdr:row>4</xdr:row>
      <xdr:rowOff>174787</xdr:rowOff>
    </xdr:to>
    <xdr:grpSp>
      <xdr:nvGrpSpPr>
        <xdr:cNvPr id="2" name="Group 5">
          <a:extLst>
            <a:ext uri="{FF2B5EF4-FFF2-40B4-BE49-F238E27FC236}">
              <a16:creationId xmlns="" xmlns:a16="http://schemas.microsoft.com/office/drawing/2014/main" id="{00000000-0008-0000-0300-000002000000}"/>
            </a:ext>
          </a:extLst>
        </xdr:cNvPr>
        <xdr:cNvGrpSpPr>
          <a:grpSpLocks noChangeAspect="1"/>
        </xdr:cNvGrpSpPr>
      </xdr:nvGrpSpPr>
      <xdr:grpSpPr bwMode="auto">
        <a:xfrm>
          <a:off x="0" y="19051"/>
          <a:ext cx="7394958" cy="917736"/>
          <a:chOff x="0" y="1"/>
          <a:chExt cx="786" cy="132"/>
        </a:xfrm>
      </xdr:grpSpPr>
      <xdr:sp macro="" textlink="">
        <xdr:nvSpPr>
          <xdr:cNvPr id="5" name="Rectangle 7">
            <a:extLst>
              <a:ext uri="{FF2B5EF4-FFF2-40B4-BE49-F238E27FC236}">
                <a16:creationId xmlns="" xmlns:a16="http://schemas.microsoft.com/office/drawing/2014/main" id="{00000000-0008-0000-0300-000005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 name="Rectangle 10">
            <a:extLst>
              <a:ext uri="{FF2B5EF4-FFF2-40B4-BE49-F238E27FC236}">
                <a16:creationId xmlns="" xmlns:a16="http://schemas.microsoft.com/office/drawing/2014/main" id="{00000000-0008-0000-0300-000008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9" name="Rectangle 11">
            <a:extLst>
              <a:ext uri="{FF2B5EF4-FFF2-40B4-BE49-F238E27FC236}">
                <a16:creationId xmlns="" xmlns:a16="http://schemas.microsoft.com/office/drawing/2014/main" id="{00000000-0008-0000-0300-000009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10" name="Rectangle 12">
            <a:extLst>
              <a:ext uri="{FF2B5EF4-FFF2-40B4-BE49-F238E27FC236}">
                <a16:creationId xmlns="" xmlns:a16="http://schemas.microsoft.com/office/drawing/2014/main" id="{00000000-0008-0000-0300-00000A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11" name="Rectangle 13">
            <a:extLst>
              <a:ext uri="{FF2B5EF4-FFF2-40B4-BE49-F238E27FC236}">
                <a16:creationId xmlns="" xmlns:a16="http://schemas.microsoft.com/office/drawing/2014/main" id="{00000000-0008-0000-0300-00000B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12" name="Rectangle 14">
            <a:extLst>
              <a:ext uri="{FF2B5EF4-FFF2-40B4-BE49-F238E27FC236}">
                <a16:creationId xmlns="" xmlns:a16="http://schemas.microsoft.com/office/drawing/2014/main" id="{00000000-0008-0000-0300-00000C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13" name="Rectangle 15">
            <a:extLst>
              <a:ext uri="{FF2B5EF4-FFF2-40B4-BE49-F238E27FC236}">
                <a16:creationId xmlns="" xmlns:a16="http://schemas.microsoft.com/office/drawing/2014/main" id="{00000000-0008-0000-0300-00000D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14" name="Rectangle 16">
            <a:extLst>
              <a:ext uri="{FF2B5EF4-FFF2-40B4-BE49-F238E27FC236}">
                <a16:creationId xmlns="" xmlns:a16="http://schemas.microsoft.com/office/drawing/2014/main" id="{00000000-0008-0000-0300-00000E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15" name="Rectangle 17">
            <a:extLst>
              <a:ext uri="{FF2B5EF4-FFF2-40B4-BE49-F238E27FC236}">
                <a16:creationId xmlns="" xmlns:a16="http://schemas.microsoft.com/office/drawing/2014/main" id="{00000000-0008-0000-0300-00000F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 name="Rectangle 18">
            <a:extLst>
              <a:ext uri="{FF2B5EF4-FFF2-40B4-BE49-F238E27FC236}">
                <a16:creationId xmlns="" xmlns:a16="http://schemas.microsoft.com/office/drawing/2014/main" id="{00000000-0008-0000-0300-000010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7" name="Rectangle 19">
            <a:extLst>
              <a:ext uri="{FF2B5EF4-FFF2-40B4-BE49-F238E27FC236}">
                <a16:creationId xmlns="" xmlns:a16="http://schemas.microsoft.com/office/drawing/2014/main" id="{00000000-0008-0000-0300-000011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 name="Rectangle 20">
            <a:extLst>
              <a:ext uri="{FF2B5EF4-FFF2-40B4-BE49-F238E27FC236}">
                <a16:creationId xmlns="" xmlns:a16="http://schemas.microsoft.com/office/drawing/2014/main" id="{00000000-0008-0000-0300-000012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9" name="Rectangle 21">
            <a:extLst>
              <a:ext uri="{FF2B5EF4-FFF2-40B4-BE49-F238E27FC236}">
                <a16:creationId xmlns="" xmlns:a16="http://schemas.microsoft.com/office/drawing/2014/main" id="{00000000-0008-0000-0300-000013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 name="Rectangle 22">
            <a:extLst>
              <a:ext uri="{FF2B5EF4-FFF2-40B4-BE49-F238E27FC236}">
                <a16:creationId xmlns="" xmlns:a16="http://schemas.microsoft.com/office/drawing/2014/main" id="{00000000-0008-0000-0300-000014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 name="Rectangle 23">
            <a:extLst>
              <a:ext uri="{FF2B5EF4-FFF2-40B4-BE49-F238E27FC236}">
                <a16:creationId xmlns="" xmlns:a16="http://schemas.microsoft.com/office/drawing/2014/main" id="{00000000-0008-0000-0300-000015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2" name="Rectangle 24">
            <a:extLst>
              <a:ext uri="{FF2B5EF4-FFF2-40B4-BE49-F238E27FC236}">
                <a16:creationId xmlns="" xmlns:a16="http://schemas.microsoft.com/office/drawing/2014/main" id="{00000000-0008-0000-0300-000016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3" name="Rectangle 25">
            <a:extLst>
              <a:ext uri="{FF2B5EF4-FFF2-40B4-BE49-F238E27FC236}">
                <a16:creationId xmlns="" xmlns:a16="http://schemas.microsoft.com/office/drawing/2014/main" id="{00000000-0008-0000-0300-000017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4" name="Rectangle 26">
            <a:extLst>
              <a:ext uri="{FF2B5EF4-FFF2-40B4-BE49-F238E27FC236}">
                <a16:creationId xmlns="" xmlns:a16="http://schemas.microsoft.com/office/drawing/2014/main" id="{00000000-0008-0000-0300-000018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5" name="Rectangle 27">
            <a:extLst>
              <a:ext uri="{FF2B5EF4-FFF2-40B4-BE49-F238E27FC236}">
                <a16:creationId xmlns="" xmlns:a16="http://schemas.microsoft.com/office/drawing/2014/main" id="{00000000-0008-0000-0300-000019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0" name="Line 32">
            <a:extLst>
              <a:ext uri="{FF2B5EF4-FFF2-40B4-BE49-F238E27FC236}">
                <a16:creationId xmlns="" xmlns:a16="http://schemas.microsoft.com/office/drawing/2014/main" id="{00000000-0008-0000-0300-00001E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1" name="Rectangle 33">
            <a:extLst>
              <a:ext uri="{FF2B5EF4-FFF2-40B4-BE49-F238E27FC236}">
                <a16:creationId xmlns="" xmlns:a16="http://schemas.microsoft.com/office/drawing/2014/main" id="{00000000-0008-0000-0300-00001F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2" name="Line 34">
            <a:extLst>
              <a:ext uri="{FF2B5EF4-FFF2-40B4-BE49-F238E27FC236}">
                <a16:creationId xmlns="" xmlns:a16="http://schemas.microsoft.com/office/drawing/2014/main" id="{00000000-0008-0000-0300-000020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3" name="Rectangle 35">
            <a:extLst>
              <a:ext uri="{FF2B5EF4-FFF2-40B4-BE49-F238E27FC236}">
                <a16:creationId xmlns="" xmlns:a16="http://schemas.microsoft.com/office/drawing/2014/main" id="{00000000-0008-0000-0300-000021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4" name="Line 36">
            <a:extLst>
              <a:ext uri="{FF2B5EF4-FFF2-40B4-BE49-F238E27FC236}">
                <a16:creationId xmlns="" xmlns:a16="http://schemas.microsoft.com/office/drawing/2014/main" id="{00000000-0008-0000-0300-000022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5" name="Rectangle 37">
            <a:extLst>
              <a:ext uri="{FF2B5EF4-FFF2-40B4-BE49-F238E27FC236}">
                <a16:creationId xmlns="" xmlns:a16="http://schemas.microsoft.com/office/drawing/2014/main" id="{00000000-0008-0000-0300-000023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6" name="Line 38">
            <a:extLst>
              <a:ext uri="{FF2B5EF4-FFF2-40B4-BE49-F238E27FC236}">
                <a16:creationId xmlns="" xmlns:a16="http://schemas.microsoft.com/office/drawing/2014/main" id="{00000000-0008-0000-0300-000024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7" name="Rectangle 39">
            <a:extLst>
              <a:ext uri="{FF2B5EF4-FFF2-40B4-BE49-F238E27FC236}">
                <a16:creationId xmlns="" xmlns:a16="http://schemas.microsoft.com/office/drawing/2014/main" id="{00000000-0008-0000-0300-000025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8" name="Line 40">
            <a:extLst>
              <a:ext uri="{FF2B5EF4-FFF2-40B4-BE49-F238E27FC236}">
                <a16:creationId xmlns="" xmlns:a16="http://schemas.microsoft.com/office/drawing/2014/main" id="{00000000-0008-0000-0300-000026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9" name="Rectangle 41">
            <a:extLst>
              <a:ext uri="{FF2B5EF4-FFF2-40B4-BE49-F238E27FC236}">
                <a16:creationId xmlns="" xmlns:a16="http://schemas.microsoft.com/office/drawing/2014/main" id="{00000000-0008-0000-0300-000027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0" name="Line 42">
            <a:extLst>
              <a:ext uri="{FF2B5EF4-FFF2-40B4-BE49-F238E27FC236}">
                <a16:creationId xmlns="" xmlns:a16="http://schemas.microsoft.com/office/drawing/2014/main" id="{00000000-0008-0000-0300-000028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1" name="Rectangle 43">
            <a:extLst>
              <a:ext uri="{FF2B5EF4-FFF2-40B4-BE49-F238E27FC236}">
                <a16:creationId xmlns="" xmlns:a16="http://schemas.microsoft.com/office/drawing/2014/main" id="{00000000-0008-0000-0300-000029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2" name="Line 44">
            <a:extLst>
              <a:ext uri="{FF2B5EF4-FFF2-40B4-BE49-F238E27FC236}">
                <a16:creationId xmlns="" xmlns:a16="http://schemas.microsoft.com/office/drawing/2014/main" id="{00000000-0008-0000-0300-00002A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3" name="Rectangle 45">
            <a:extLst>
              <a:ext uri="{FF2B5EF4-FFF2-40B4-BE49-F238E27FC236}">
                <a16:creationId xmlns="" xmlns:a16="http://schemas.microsoft.com/office/drawing/2014/main" id="{00000000-0008-0000-0300-00002B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4" name="Line 46">
            <a:extLst>
              <a:ext uri="{FF2B5EF4-FFF2-40B4-BE49-F238E27FC236}">
                <a16:creationId xmlns="" xmlns:a16="http://schemas.microsoft.com/office/drawing/2014/main" id="{00000000-0008-0000-0300-00002C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5" name="Rectangle 47">
            <a:extLst>
              <a:ext uri="{FF2B5EF4-FFF2-40B4-BE49-F238E27FC236}">
                <a16:creationId xmlns="" xmlns:a16="http://schemas.microsoft.com/office/drawing/2014/main" id="{00000000-0008-0000-0300-00002D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6" name="Line 48">
            <a:extLst>
              <a:ext uri="{FF2B5EF4-FFF2-40B4-BE49-F238E27FC236}">
                <a16:creationId xmlns="" xmlns:a16="http://schemas.microsoft.com/office/drawing/2014/main" id="{00000000-0008-0000-0300-00002E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7" name="Rectangle 49">
            <a:extLst>
              <a:ext uri="{FF2B5EF4-FFF2-40B4-BE49-F238E27FC236}">
                <a16:creationId xmlns="" xmlns:a16="http://schemas.microsoft.com/office/drawing/2014/main" id="{00000000-0008-0000-0300-00002F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0" name="Line 52">
            <a:extLst>
              <a:ext uri="{FF2B5EF4-FFF2-40B4-BE49-F238E27FC236}">
                <a16:creationId xmlns="" xmlns:a16="http://schemas.microsoft.com/office/drawing/2014/main" id="{00000000-0008-0000-0300-000032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51" name="Rectangle 53">
            <a:extLst>
              <a:ext uri="{FF2B5EF4-FFF2-40B4-BE49-F238E27FC236}">
                <a16:creationId xmlns="" xmlns:a16="http://schemas.microsoft.com/office/drawing/2014/main" id="{00000000-0008-0000-0300-000033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3" name="Rectangle 55">
            <a:extLst>
              <a:ext uri="{FF2B5EF4-FFF2-40B4-BE49-F238E27FC236}">
                <a16:creationId xmlns="" xmlns:a16="http://schemas.microsoft.com/office/drawing/2014/main" id="{00000000-0008-0000-0300-000035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54" name="Imagem 53">
            <a:extLst>
              <a:ext uri="{FF2B5EF4-FFF2-40B4-BE49-F238E27FC236}">
                <a16:creationId xmlns="" xmlns:a16="http://schemas.microsoft.com/office/drawing/2014/main" id="{00000000-0008-0000-0300-00003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11</xdr:col>
      <xdr:colOff>463550</xdr:colOff>
      <xdr:row>4</xdr:row>
      <xdr:rowOff>171450</xdr:rowOff>
    </xdr:to>
    <xdr:sp macro="" textlink="">
      <xdr:nvSpPr>
        <xdr:cNvPr id="7170" name="AutoShape 2">
          <a:extLst>
            <a:ext uri="{FF2B5EF4-FFF2-40B4-BE49-F238E27FC236}">
              <a16:creationId xmlns="" xmlns:a16="http://schemas.microsoft.com/office/drawing/2014/main" id="{00000000-0008-0000-0400-0000021C0000}"/>
            </a:ext>
          </a:extLst>
        </xdr:cNvPr>
        <xdr:cNvSpPr>
          <a:spLocks noChangeAspect="1" noChangeArrowheads="1"/>
        </xdr:cNvSpPr>
      </xdr:nvSpPr>
      <xdr:spPr bwMode="auto">
        <a:xfrm>
          <a:off x="9525" y="0"/>
          <a:ext cx="7791450" cy="933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0</xdr:colOff>
      <xdr:row>0</xdr:row>
      <xdr:rowOff>0</xdr:rowOff>
    </xdr:from>
    <xdr:to>
      <xdr:col>11</xdr:col>
      <xdr:colOff>184533</xdr:colOff>
      <xdr:row>4</xdr:row>
      <xdr:rowOff>141831</xdr:rowOff>
    </xdr:to>
    <xdr:grpSp>
      <xdr:nvGrpSpPr>
        <xdr:cNvPr id="45" name="Group 5">
          <a:extLst>
            <a:ext uri="{FF2B5EF4-FFF2-40B4-BE49-F238E27FC236}">
              <a16:creationId xmlns="" xmlns:a16="http://schemas.microsoft.com/office/drawing/2014/main" id="{00000000-0008-0000-0400-00002D000000}"/>
            </a:ext>
          </a:extLst>
        </xdr:cNvPr>
        <xdr:cNvGrpSpPr>
          <a:grpSpLocks noChangeAspect="1"/>
        </xdr:cNvGrpSpPr>
      </xdr:nvGrpSpPr>
      <xdr:grpSpPr bwMode="auto">
        <a:xfrm>
          <a:off x="0" y="0"/>
          <a:ext cx="7528308" cy="903831"/>
          <a:chOff x="0" y="1"/>
          <a:chExt cx="786" cy="130"/>
        </a:xfrm>
      </xdr:grpSpPr>
      <xdr:sp macro="" textlink="">
        <xdr:nvSpPr>
          <xdr:cNvPr id="46" name="Rectangle 7">
            <a:extLst>
              <a:ext uri="{FF2B5EF4-FFF2-40B4-BE49-F238E27FC236}">
                <a16:creationId xmlns="" xmlns:a16="http://schemas.microsoft.com/office/drawing/2014/main" id="{00000000-0008-0000-0400-00002E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7" name="Rectangle 10">
            <a:extLst>
              <a:ext uri="{FF2B5EF4-FFF2-40B4-BE49-F238E27FC236}">
                <a16:creationId xmlns="" xmlns:a16="http://schemas.microsoft.com/office/drawing/2014/main" id="{00000000-0008-0000-0400-00002F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48" name="Rectangle 11">
            <a:extLst>
              <a:ext uri="{FF2B5EF4-FFF2-40B4-BE49-F238E27FC236}">
                <a16:creationId xmlns="" xmlns:a16="http://schemas.microsoft.com/office/drawing/2014/main" id="{00000000-0008-0000-0400-000030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49" name="Rectangle 12">
            <a:extLst>
              <a:ext uri="{FF2B5EF4-FFF2-40B4-BE49-F238E27FC236}">
                <a16:creationId xmlns="" xmlns:a16="http://schemas.microsoft.com/office/drawing/2014/main" id="{00000000-0008-0000-0400-000031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50" name="Rectangle 13">
            <a:extLst>
              <a:ext uri="{FF2B5EF4-FFF2-40B4-BE49-F238E27FC236}">
                <a16:creationId xmlns="" xmlns:a16="http://schemas.microsoft.com/office/drawing/2014/main" id="{00000000-0008-0000-0400-000032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51" name="Rectangle 14">
            <a:extLst>
              <a:ext uri="{FF2B5EF4-FFF2-40B4-BE49-F238E27FC236}">
                <a16:creationId xmlns="" xmlns:a16="http://schemas.microsoft.com/office/drawing/2014/main" id="{00000000-0008-0000-0400-000033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52" name="Rectangle 15">
            <a:extLst>
              <a:ext uri="{FF2B5EF4-FFF2-40B4-BE49-F238E27FC236}">
                <a16:creationId xmlns="" xmlns:a16="http://schemas.microsoft.com/office/drawing/2014/main" id="{00000000-0008-0000-0400-000034000000}"/>
              </a:ext>
            </a:extLst>
          </xdr:cNvPr>
          <xdr:cNvSpPr>
            <a:spLocks noChangeArrowheads="1"/>
          </xdr:cNvSpPr>
        </xdr:nvSpPr>
        <xdr:spPr bwMode="auto">
          <a:xfrm>
            <a:off x="132" y="95"/>
            <a:ext cx="548" cy="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xdr:txBody>
      </xdr:sp>
      <xdr:sp macro="" textlink="">
        <xdr:nvSpPr>
          <xdr:cNvPr id="53" name="Rectangle 16">
            <a:extLst>
              <a:ext uri="{FF2B5EF4-FFF2-40B4-BE49-F238E27FC236}">
                <a16:creationId xmlns="" xmlns:a16="http://schemas.microsoft.com/office/drawing/2014/main" id="{00000000-0008-0000-0400-000035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4" name="Rectangle 17">
            <a:extLst>
              <a:ext uri="{FF2B5EF4-FFF2-40B4-BE49-F238E27FC236}">
                <a16:creationId xmlns="" xmlns:a16="http://schemas.microsoft.com/office/drawing/2014/main" id="{00000000-0008-0000-0400-000036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5" name="Rectangle 18">
            <a:extLst>
              <a:ext uri="{FF2B5EF4-FFF2-40B4-BE49-F238E27FC236}">
                <a16:creationId xmlns="" xmlns:a16="http://schemas.microsoft.com/office/drawing/2014/main" id="{00000000-0008-0000-0400-000037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8" name="Rectangle 19">
            <a:extLst>
              <a:ext uri="{FF2B5EF4-FFF2-40B4-BE49-F238E27FC236}">
                <a16:creationId xmlns="" xmlns:a16="http://schemas.microsoft.com/office/drawing/2014/main" id="{00000000-0008-0000-0400-00003A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9" name="Rectangle 20">
            <a:extLst>
              <a:ext uri="{FF2B5EF4-FFF2-40B4-BE49-F238E27FC236}">
                <a16:creationId xmlns="" xmlns:a16="http://schemas.microsoft.com/office/drawing/2014/main" id="{00000000-0008-0000-0400-00003B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0" name="Rectangle 21">
            <a:extLst>
              <a:ext uri="{FF2B5EF4-FFF2-40B4-BE49-F238E27FC236}">
                <a16:creationId xmlns="" xmlns:a16="http://schemas.microsoft.com/office/drawing/2014/main" id="{00000000-0008-0000-0400-00003C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1" name="Rectangle 22">
            <a:extLst>
              <a:ext uri="{FF2B5EF4-FFF2-40B4-BE49-F238E27FC236}">
                <a16:creationId xmlns="" xmlns:a16="http://schemas.microsoft.com/office/drawing/2014/main" id="{00000000-0008-0000-0400-00003D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2" name="Rectangle 23">
            <a:extLst>
              <a:ext uri="{FF2B5EF4-FFF2-40B4-BE49-F238E27FC236}">
                <a16:creationId xmlns="" xmlns:a16="http://schemas.microsoft.com/office/drawing/2014/main" id="{00000000-0008-0000-0400-00003E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3" name="Rectangle 24">
            <a:extLst>
              <a:ext uri="{FF2B5EF4-FFF2-40B4-BE49-F238E27FC236}">
                <a16:creationId xmlns="" xmlns:a16="http://schemas.microsoft.com/office/drawing/2014/main" id="{00000000-0008-0000-0400-00003F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4" name="Rectangle 25">
            <a:extLst>
              <a:ext uri="{FF2B5EF4-FFF2-40B4-BE49-F238E27FC236}">
                <a16:creationId xmlns="" xmlns:a16="http://schemas.microsoft.com/office/drawing/2014/main" id="{00000000-0008-0000-0400-000040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5" name="Rectangle 26">
            <a:extLst>
              <a:ext uri="{FF2B5EF4-FFF2-40B4-BE49-F238E27FC236}">
                <a16:creationId xmlns="" xmlns:a16="http://schemas.microsoft.com/office/drawing/2014/main" id="{00000000-0008-0000-0400-000041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6" name="Rectangle 27">
            <a:extLst>
              <a:ext uri="{FF2B5EF4-FFF2-40B4-BE49-F238E27FC236}">
                <a16:creationId xmlns="" xmlns:a16="http://schemas.microsoft.com/office/drawing/2014/main" id="{00000000-0008-0000-0400-000042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7" name="Line 32">
            <a:extLst>
              <a:ext uri="{FF2B5EF4-FFF2-40B4-BE49-F238E27FC236}">
                <a16:creationId xmlns="" xmlns:a16="http://schemas.microsoft.com/office/drawing/2014/main" id="{00000000-0008-0000-0400-000043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68" name="Rectangle 33">
            <a:extLst>
              <a:ext uri="{FF2B5EF4-FFF2-40B4-BE49-F238E27FC236}">
                <a16:creationId xmlns="" xmlns:a16="http://schemas.microsoft.com/office/drawing/2014/main" id="{00000000-0008-0000-0400-000044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69" name="Line 34">
            <a:extLst>
              <a:ext uri="{FF2B5EF4-FFF2-40B4-BE49-F238E27FC236}">
                <a16:creationId xmlns="" xmlns:a16="http://schemas.microsoft.com/office/drawing/2014/main" id="{00000000-0008-0000-0400-000045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0" name="Rectangle 35">
            <a:extLst>
              <a:ext uri="{FF2B5EF4-FFF2-40B4-BE49-F238E27FC236}">
                <a16:creationId xmlns="" xmlns:a16="http://schemas.microsoft.com/office/drawing/2014/main" id="{00000000-0008-0000-0400-000046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1" name="Line 36">
            <a:extLst>
              <a:ext uri="{FF2B5EF4-FFF2-40B4-BE49-F238E27FC236}">
                <a16:creationId xmlns="" xmlns:a16="http://schemas.microsoft.com/office/drawing/2014/main" id="{00000000-0008-0000-0400-000047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2" name="Rectangle 37">
            <a:extLst>
              <a:ext uri="{FF2B5EF4-FFF2-40B4-BE49-F238E27FC236}">
                <a16:creationId xmlns="" xmlns:a16="http://schemas.microsoft.com/office/drawing/2014/main" id="{00000000-0008-0000-0400-000048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3" name="Line 38">
            <a:extLst>
              <a:ext uri="{FF2B5EF4-FFF2-40B4-BE49-F238E27FC236}">
                <a16:creationId xmlns="" xmlns:a16="http://schemas.microsoft.com/office/drawing/2014/main" id="{00000000-0008-0000-0400-000049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4" name="Rectangle 39">
            <a:extLst>
              <a:ext uri="{FF2B5EF4-FFF2-40B4-BE49-F238E27FC236}">
                <a16:creationId xmlns="" xmlns:a16="http://schemas.microsoft.com/office/drawing/2014/main" id="{00000000-0008-0000-0400-00004A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5" name="Line 40">
            <a:extLst>
              <a:ext uri="{FF2B5EF4-FFF2-40B4-BE49-F238E27FC236}">
                <a16:creationId xmlns="" xmlns:a16="http://schemas.microsoft.com/office/drawing/2014/main" id="{00000000-0008-0000-0400-00004B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6" name="Rectangle 41">
            <a:extLst>
              <a:ext uri="{FF2B5EF4-FFF2-40B4-BE49-F238E27FC236}">
                <a16:creationId xmlns="" xmlns:a16="http://schemas.microsoft.com/office/drawing/2014/main" id="{00000000-0008-0000-0400-00004C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7" name="Line 42">
            <a:extLst>
              <a:ext uri="{FF2B5EF4-FFF2-40B4-BE49-F238E27FC236}">
                <a16:creationId xmlns="" xmlns:a16="http://schemas.microsoft.com/office/drawing/2014/main" id="{00000000-0008-0000-0400-00004D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78" name="Rectangle 43">
            <a:extLst>
              <a:ext uri="{FF2B5EF4-FFF2-40B4-BE49-F238E27FC236}">
                <a16:creationId xmlns="" xmlns:a16="http://schemas.microsoft.com/office/drawing/2014/main" id="{00000000-0008-0000-0400-00004E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79" name="Line 44">
            <a:extLst>
              <a:ext uri="{FF2B5EF4-FFF2-40B4-BE49-F238E27FC236}">
                <a16:creationId xmlns="" xmlns:a16="http://schemas.microsoft.com/office/drawing/2014/main" id="{00000000-0008-0000-0400-00004F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0" name="Rectangle 45">
            <a:extLst>
              <a:ext uri="{FF2B5EF4-FFF2-40B4-BE49-F238E27FC236}">
                <a16:creationId xmlns="" xmlns:a16="http://schemas.microsoft.com/office/drawing/2014/main" id="{00000000-0008-0000-0400-000050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1" name="Line 46">
            <a:extLst>
              <a:ext uri="{FF2B5EF4-FFF2-40B4-BE49-F238E27FC236}">
                <a16:creationId xmlns="" xmlns:a16="http://schemas.microsoft.com/office/drawing/2014/main" id="{00000000-0008-0000-0400-000051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2" name="Rectangle 47">
            <a:extLst>
              <a:ext uri="{FF2B5EF4-FFF2-40B4-BE49-F238E27FC236}">
                <a16:creationId xmlns="" xmlns:a16="http://schemas.microsoft.com/office/drawing/2014/main" id="{00000000-0008-0000-0400-000052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3" name="Line 48">
            <a:extLst>
              <a:ext uri="{FF2B5EF4-FFF2-40B4-BE49-F238E27FC236}">
                <a16:creationId xmlns="" xmlns:a16="http://schemas.microsoft.com/office/drawing/2014/main" id="{00000000-0008-0000-0400-000053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4" name="Rectangle 49">
            <a:extLst>
              <a:ext uri="{FF2B5EF4-FFF2-40B4-BE49-F238E27FC236}">
                <a16:creationId xmlns="" xmlns:a16="http://schemas.microsoft.com/office/drawing/2014/main" id="{00000000-0008-0000-0400-000054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5" name="Line 52">
            <a:extLst>
              <a:ext uri="{FF2B5EF4-FFF2-40B4-BE49-F238E27FC236}">
                <a16:creationId xmlns="" xmlns:a16="http://schemas.microsoft.com/office/drawing/2014/main" id="{00000000-0008-0000-0400-000055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86" name="Rectangle 53">
            <a:extLst>
              <a:ext uri="{FF2B5EF4-FFF2-40B4-BE49-F238E27FC236}">
                <a16:creationId xmlns="" xmlns:a16="http://schemas.microsoft.com/office/drawing/2014/main" id="{00000000-0008-0000-0400-000056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87" name="Rectangle 55">
            <a:extLst>
              <a:ext uri="{FF2B5EF4-FFF2-40B4-BE49-F238E27FC236}">
                <a16:creationId xmlns="" xmlns:a16="http://schemas.microsoft.com/office/drawing/2014/main" id="{00000000-0008-0000-0400-000057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88" name="Imagem 87">
            <a:extLst>
              <a:ext uri="{FF2B5EF4-FFF2-40B4-BE49-F238E27FC236}">
                <a16:creationId xmlns="" xmlns:a16="http://schemas.microsoft.com/office/drawing/2014/main" id="{00000000-0008-0000-0400-00005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194058</xdr:colOff>
      <xdr:row>4</xdr:row>
      <xdr:rowOff>155736</xdr:rowOff>
    </xdr:to>
    <xdr:grpSp>
      <xdr:nvGrpSpPr>
        <xdr:cNvPr id="44" name="Group 5">
          <a:extLst>
            <a:ext uri="{FF2B5EF4-FFF2-40B4-BE49-F238E27FC236}">
              <a16:creationId xmlns="" xmlns:a16="http://schemas.microsoft.com/office/drawing/2014/main" id="{00000000-0008-0000-0500-00002C000000}"/>
            </a:ext>
          </a:extLst>
        </xdr:cNvPr>
        <xdr:cNvGrpSpPr>
          <a:grpSpLocks noChangeAspect="1"/>
        </xdr:cNvGrpSpPr>
      </xdr:nvGrpSpPr>
      <xdr:grpSpPr bwMode="auto">
        <a:xfrm>
          <a:off x="0" y="0"/>
          <a:ext cx="7394958" cy="917736"/>
          <a:chOff x="0" y="1"/>
          <a:chExt cx="786" cy="132"/>
        </a:xfrm>
      </xdr:grpSpPr>
      <xdr:sp macro="" textlink="">
        <xdr:nvSpPr>
          <xdr:cNvPr id="45" name="Rectangle 7">
            <a:extLst>
              <a:ext uri="{FF2B5EF4-FFF2-40B4-BE49-F238E27FC236}">
                <a16:creationId xmlns="" xmlns:a16="http://schemas.microsoft.com/office/drawing/2014/main" id="{00000000-0008-0000-0500-00002D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6" name="Rectangle 10">
            <a:extLst>
              <a:ext uri="{FF2B5EF4-FFF2-40B4-BE49-F238E27FC236}">
                <a16:creationId xmlns="" xmlns:a16="http://schemas.microsoft.com/office/drawing/2014/main" id="{00000000-0008-0000-0500-00002E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47" name="Rectangle 11">
            <a:extLst>
              <a:ext uri="{FF2B5EF4-FFF2-40B4-BE49-F238E27FC236}">
                <a16:creationId xmlns="" xmlns:a16="http://schemas.microsoft.com/office/drawing/2014/main" id="{00000000-0008-0000-0500-00002F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48" name="Rectangle 12">
            <a:extLst>
              <a:ext uri="{FF2B5EF4-FFF2-40B4-BE49-F238E27FC236}">
                <a16:creationId xmlns="" xmlns:a16="http://schemas.microsoft.com/office/drawing/2014/main" id="{00000000-0008-0000-0500-000030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49" name="Rectangle 13">
            <a:extLst>
              <a:ext uri="{FF2B5EF4-FFF2-40B4-BE49-F238E27FC236}">
                <a16:creationId xmlns="" xmlns:a16="http://schemas.microsoft.com/office/drawing/2014/main" id="{00000000-0008-0000-0500-000031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50" name="Rectangle 14">
            <a:extLst>
              <a:ext uri="{FF2B5EF4-FFF2-40B4-BE49-F238E27FC236}">
                <a16:creationId xmlns="" xmlns:a16="http://schemas.microsoft.com/office/drawing/2014/main" id="{00000000-0008-0000-0500-000032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51" name="Rectangle 15">
            <a:extLst>
              <a:ext uri="{FF2B5EF4-FFF2-40B4-BE49-F238E27FC236}">
                <a16:creationId xmlns="" xmlns:a16="http://schemas.microsoft.com/office/drawing/2014/main" id="{00000000-0008-0000-0500-000033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52" name="Rectangle 16">
            <a:extLst>
              <a:ext uri="{FF2B5EF4-FFF2-40B4-BE49-F238E27FC236}">
                <a16:creationId xmlns="" xmlns:a16="http://schemas.microsoft.com/office/drawing/2014/main" id="{00000000-0008-0000-0500-000034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3" name="Rectangle 17">
            <a:extLst>
              <a:ext uri="{FF2B5EF4-FFF2-40B4-BE49-F238E27FC236}">
                <a16:creationId xmlns="" xmlns:a16="http://schemas.microsoft.com/office/drawing/2014/main" id="{00000000-0008-0000-0500-000035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54" name="Rectangle 18">
            <a:extLst>
              <a:ext uri="{FF2B5EF4-FFF2-40B4-BE49-F238E27FC236}">
                <a16:creationId xmlns="" xmlns:a16="http://schemas.microsoft.com/office/drawing/2014/main" id="{00000000-0008-0000-0500-000036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5" name="Rectangle 19">
            <a:extLst>
              <a:ext uri="{FF2B5EF4-FFF2-40B4-BE49-F238E27FC236}">
                <a16:creationId xmlns="" xmlns:a16="http://schemas.microsoft.com/office/drawing/2014/main" id="{00000000-0008-0000-0500-00005F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8" name="Rectangle 20">
            <a:extLst>
              <a:ext uri="{FF2B5EF4-FFF2-40B4-BE49-F238E27FC236}">
                <a16:creationId xmlns="" xmlns:a16="http://schemas.microsoft.com/office/drawing/2014/main" id="{00000000-0008-0000-0500-000062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99" name="Rectangle 21">
            <a:extLst>
              <a:ext uri="{FF2B5EF4-FFF2-40B4-BE49-F238E27FC236}">
                <a16:creationId xmlns="" xmlns:a16="http://schemas.microsoft.com/office/drawing/2014/main" id="{00000000-0008-0000-0500-000063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0" name="Rectangle 22">
            <a:extLst>
              <a:ext uri="{FF2B5EF4-FFF2-40B4-BE49-F238E27FC236}">
                <a16:creationId xmlns="" xmlns:a16="http://schemas.microsoft.com/office/drawing/2014/main" id="{00000000-0008-0000-0500-000064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1" name="Rectangle 23">
            <a:extLst>
              <a:ext uri="{FF2B5EF4-FFF2-40B4-BE49-F238E27FC236}">
                <a16:creationId xmlns="" xmlns:a16="http://schemas.microsoft.com/office/drawing/2014/main" id="{00000000-0008-0000-0500-000065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2" name="Rectangle 24">
            <a:extLst>
              <a:ext uri="{FF2B5EF4-FFF2-40B4-BE49-F238E27FC236}">
                <a16:creationId xmlns="" xmlns:a16="http://schemas.microsoft.com/office/drawing/2014/main" id="{00000000-0008-0000-0500-000066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3" name="Rectangle 25">
            <a:extLst>
              <a:ext uri="{FF2B5EF4-FFF2-40B4-BE49-F238E27FC236}">
                <a16:creationId xmlns="" xmlns:a16="http://schemas.microsoft.com/office/drawing/2014/main" id="{00000000-0008-0000-0500-000067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4" name="Rectangle 26">
            <a:extLst>
              <a:ext uri="{FF2B5EF4-FFF2-40B4-BE49-F238E27FC236}">
                <a16:creationId xmlns="" xmlns:a16="http://schemas.microsoft.com/office/drawing/2014/main" id="{00000000-0008-0000-0500-000068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5" name="Rectangle 27">
            <a:extLst>
              <a:ext uri="{FF2B5EF4-FFF2-40B4-BE49-F238E27FC236}">
                <a16:creationId xmlns="" xmlns:a16="http://schemas.microsoft.com/office/drawing/2014/main" id="{00000000-0008-0000-0500-000069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6" name="Line 32">
            <a:extLst>
              <a:ext uri="{FF2B5EF4-FFF2-40B4-BE49-F238E27FC236}">
                <a16:creationId xmlns="" xmlns:a16="http://schemas.microsoft.com/office/drawing/2014/main" id="{00000000-0008-0000-0500-00006A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07" name="Rectangle 33">
            <a:extLst>
              <a:ext uri="{FF2B5EF4-FFF2-40B4-BE49-F238E27FC236}">
                <a16:creationId xmlns="" xmlns:a16="http://schemas.microsoft.com/office/drawing/2014/main" id="{00000000-0008-0000-0500-00006B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08" name="Line 34">
            <a:extLst>
              <a:ext uri="{FF2B5EF4-FFF2-40B4-BE49-F238E27FC236}">
                <a16:creationId xmlns="" xmlns:a16="http://schemas.microsoft.com/office/drawing/2014/main" id="{00000000-0008-0000-0500-00006C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09" name="Rectangle 35">
            <a:extLst>
              <a:ext uri="{FF2B5EF4-FFF2-40B4-BE49-F238E27FC236}">
                <a16:creationId xmlns="" xmlns:a16="http://schemas.microsoft.com/office/drawing/2014/main" id="{00000000-0008-0000-0500-00006D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0" name="Line 36">
            <a:extLst>
              <a:ext uri="{FF2B5EF4-FFF2-40B4-BE49-F238E27FC236}">
                <a16:creationId xmlns="" xmlns:a16="http://schemas.microsoft.com/office/drawing/2014/main" id="{00000000-0008-0000-0500-00006E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1" name="Rectangle 37">
            <a:extLst>
              <a:ext uri="{FF2B5EF4-FFF2-40B4-BE49-F238E27FC236}">
                <a16:creationId xmlns="" xmlns:a16="http://schemas.microsoft.com/office/drawing/2014/main" id="{00000000-0008-0000-0500-00006F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2" name="Line 38">
            <a:extLst>
              <a:ext uri="{FF2B5EF4-FFF2-40B4-BE49-F238E27FC236}">
                <a16:creationId xmlns="" xmlns:a16="http://schemas.microsoft.com/office/drawing/2014/main" id="{00000000-0008-0000-0500-000070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3" name="Rectangle 39">
            <a:extLst>
              <a:ext uri="{FF2B5EF4-FFF2-40B4-BE49-F238E27FC236}">
                <a16:creationId xmlns="" xmlns:a16="http://schemas.microsoft.com/office/drawing/2014/main" id="{00000000-0008-0000-0500-000071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4" name="Line 40">
            <a:extLst>
              <a:ext uri="{FF2B5EF4-FFF2-40B4-BE49-F238E27FC236}">
                <a16:creationId xmlns="" xmlns:a16="http://schemas.microsoft.com/office/drawing/2014/main" id="{00000000-0008-0000-0500-000072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5" name="Rectangle 41">
            <a:extLst>
              <a:ext uri="{FF2B5EF4-FFF2-40B4-BE49-F238E27FC236}">
                <a16:creationId xmlns="" xmlns:a16="http://schemas.microsoft.com/office/drawing/2014/main" id="{00000000-0008-0000-0500-000073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6" name="Line 42">
            <a:extLst>
              <a:ext uri="{FF2B5EF4-FFF2-40B4-BE49-F238E27FC236}">
                <a16:creationId xmlns="" xmlns:a16="http://schemas.microsoft.com/office/drawing/2014/main" id="{00000000-0008-0000-0500-000074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7" name="Rectangle 43">
            <a:extLst>
              <a:ext uri="{FF2B5EF4-FFF2-40B4-BE49-F238E27FC236}">
                <a16:creationId xmlns="" xmlns:a16="http://schemas.microsoft.com/office/drawing/2014/main" id="{00000000-0008-0000-0500-000075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18" name="Line 44">
            <a:extLst>
              <a:ext uri="{FF2B5EF4-FFF2-40B4-BE49-F238E27FC236}">
                <a16:creationId xmlns="" xmlns:a16="http://schemas.microsoft.com/office/drawing/2014/main" id="{00000000-0008-0000-0500-000076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19" name="Rectangle 45">
            <a:extLst>
              <a:ext uri="{FF2B5EF4-FFF2-40B4-BE49-F238E27FC236}">
                <a16:creationId xmlns="" xmlns:a16="http://schemas.microsoft.com/office/drawing/2014/main" id="{00000000-0008-0000-0500-000077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0" name="Line 46">
            <a:extLst>
              <a:ext uri="{FF2B5EF4-FFF2-40B4-BE49-F238E27FC236}">
                <a16:creationId xmlns="" xmlns:a16="http://schemas.microsoft.com/office/drawing/2014/main" id="{00000000-0008-0000-0500-000078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1" name="Rectangle 47">
            <a:extLst>
              <a:ext uri="{FF2B5EF4-FFF2-40B4-BE49-F238E27FC236}">
                <a16:creationId xmlns="" xmlns:a16="http://schemas.microsoft.com/office/drawing/2014/main" id="{00000000-0008-0000-0500-000079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2" name="Line 48">
            <a:extLst>
              <a:ext uri="{FF2B5EF4-FFF2-40B4-BE49-F238E27FC236}">
                <a16:creationId xmlns="" xmlns:a16="http://schemas.microsoft.com/office/drawing/2014/main" id="{00000000-0008-0000-0500-00007A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3" name="Rectangle 49">
            <a:extLst>
              <a:ext uri="{FF2B5EF4-FFF2-40B4-BE49-F238E27FC236}">
                <a16:creationId xmlns="" xmlns:a16="http://schemas.microsoft.com/office/drawing/2014/main" id="{00000000-0008-0000-0500-00007B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4" name="Line 52">
            <a:extLst>
              <a:ext uri="{FF2B5EF4-FFF2-40B4-BE49-F238E27FC236}">
                <a16:creationId xmlns="" xmlns:a16="http://schemas.microsoft.com/office/drawing/2014/main" id="{00000000-0008-0000-0500-00007C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125" name="Rectangle 53">
            <a:extLst>
              <a:ext uri="{FF2B5EF4-FFF2-40B4-BE49-F238E27FC236}">
                <a16:creationId xmlns="" xmlns:a16="http://schemas.microsoft.com/office/drawing/2014/main" id="{00000000-0008-0000-0500-00007D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6" name="Rectangle 55">
            <a:extLst>
              <a:ext uri="{FF2B5EF4-FFF2-40B4-BE49-F238E27FC236}">
                <a16:creationId xmlns="" xmlns:a16="http://schemas.microsoft.com/office/drawing/2014/main" id="{00000000-0008-0000-0500-00007E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127" name="Imagem 126">
            <a:extLst>
              <a:ext uri="{FF2B5EF4-FFF2-40B4-BE49-F238E27FC236}">
                <a16:creationId xmlns="" xmlns:a16="http://schemas.microsoft.com/office/drawing/2014/main" id="{00000000-0008-0000-0500-00007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194058</xdr:colOff>
      <xdr:row>4</xdr:row>
      <xdr:rowOff>155736</xdr:rowOff>
    </xdr:to>
    <xdr:grpSp>
      <xdr:nvGrpSpPr>
        <xdr:cNvPr id="2" name="Group 5">
          <a:extLst>
            <a:ext uri="{FF2B5EF4-FFF2-40B4-BE49-F238E27FC236}">
              <a16:creationId xmlns="" xmlns:a16="http://schemas.microsoft.com/office/drawing/2014/main" id="{00000000-0008-0000-0600-000002000000}"/>
            </a:ext>
          </a:extLst>
        </xdr:cNvPr>
        <xdr:cNvGrpSpPr>
          <a:grpSpLocks noChangeAspect="1"/>
        </xdr:cNvGrpSpPr>
      </xdr:nvGrpSpPr>
      <xdr:grpSpPr bwMode="auto">
        <a:xfrm>
          <a:off x="0" y="0"/>
          <a:ext cx="7394958" cy="917736"/>
          <a:chOff x="0" y="1"/>
          <a:chExt cx="786" cy="132"/>
        </a:xfrm>
      </xdr:grpSpPr>
      <xdr:sp macro="" textlink="">
        <xdr:nvSpPr>
          <xdr:cNvPr id="3" name="Rectangle 7">
            <a:extLst>
              <a:ext uri="{FF2B5EF4-FFF2-40B4-BE49-F238E27FC236}">
                <a16:creationId xmlns="" xmlns:a16="http://schemas.microsoft.com/office/drawing/2014/main" id="{00000000-0008-0000-0600-000003000000}"/>
              </a:ext>
            </a:extLst>
          </xdr:cNvPr>
          <xdr:cNvSpPr>
            <a:spLocks noChangeArrowheads="1"/>
          </xdr:cNvSpPr>
        </xdr:nvSpPr>
        <xdr:spPr bwMode="auto">
          <a:xfrm>
            <a:off x="0" y="27"/>
            <a:ext cx="48" cy="88"/>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 name="Rectangle 10">
            <a:extLst>
              <a:ext uri="{FF2B5EF4-FFF2-40B4-BE49-F238E27FC236}">
                <a16:creationId xmlns="" xmlns:a16="http://schemas.microsoft.com/office/drawing/2014/main" id="{00000000-0008-0000-0600-000004000000}"/>
              </a:ext>
            </a:extLst>
          </xdr:cNvPr>
          <xdr:cNvSpPr>
            <a:spLocks noChangeArrowheads="1"/>
          </xdr:cNvSpPr>
        </xdr:nvSpPr>
        <xdr:spPr bwMode="auto">
          <a:xfrm>
            <a:off x="132" y="15"/>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5" name="Rectangle 11">
            <a:extLst>
              <a:ext uri="{FF2B5EF4-FFF2-40B4-BE49-F238E27FC236}">
                <a16:creationId xmlns="" xmlns:a16="http://schemas.microsoft.com/office/drawing/2014/main" id="{00000000-0008-0000-0600-000005000000}"/>
              </a:ext>
            </a:extLst>
          </xdr:cNvPr>
          <xdr:cNvSpPr>
            <a:spLocks noChangeArrowheads="1"/>
          </xdr:cNvSpPr>
        </xdr:nvSpPr>
        <xdr:spPr bwMode="auto">
          <a:xfrm>
            <a:off x="132" y="31"/>
            <a:ext cx="203"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GOVERNO DO DISTRITO FEDERAL</a:t>
            </a:r>
            <a:endParaRPr lang="pt-BR" b="1"/>
          </a:p>
        </xdr:txBody>
      </xdr:sp>
      <xdr:sp macro="" textlink="">
        <xdr:nvSpPr>
          <xdr:cNvPr id="6" name="Rectangle 12">
            <a:extLst>
              <a:ext uri="{FF2B5EF4-FFF2-40B4-BE49-F238E27FC236}">
                <a16:creationId xmlns="" xmlns:a16="http://schemas.microsoft.com/office/drawing/2014/main" id="{00000000-0008-0000-0600-000006000000}"/>
              </a:ext>
            </a:extLst>
          </xdr:cNvPr>
          <xdr:cNvSpPr>
            <a:spLocks noChangeArrowheads="1"/>
          </xdr:cNvSpPr>
        </xdr:nvSpPr>
        <xdr:spPr bwMode="auto">
          <a:xfrm>
            <a:off x="132" y="47"/>
            <a:ext cx="219"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SECRETARIA DE ESTADO DE SAÚDE</a:t>
            </a:r>
            <a:endParaRPr lang="pt-BR" b="1"/>
          </a:p>
        </xdr:txBody>
      </xdr:sp>
      <xdr:sp macro="" textlink="">
        <xdr:nvSpPr>
          <xdr:cNvPr id="7" name="Rectangle 13">
            <a:extLst>
              <a:ext uri="{FF2B5EF4-FFF2-40B4-BE49-F238E27FC236}">
                <a16:creationId xmlns="" xmlns:a16="http://schemas.microsoft.com/office/drawing/2014/main" id="{00000000-0008-0000-0600-000007000000}"/>
              </a:ext>
            </a:extLst>
          </xdr:cNvPr>
          <xdr:cNvSpPr>
            <a:spLocks noChangeArrowheads="1"/>
          </xdr:cNvSpPr>
        </xdr:nvSpPr>
        <xdr:spPr bwMode="auto">
          <a:xfrm>
            <a:off x="132" y="63"/>
            <a:ext cx="294" cy="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SUPERINTENDÊNCIA DA REGIÂO DE SAÚDE SUL</a:t>
            </a:r>
          </a:p>
          <a:p>
            <a:pPr algn="l" rtl="0">
              <a:defRPr sz="1000"/>
            </a:pPr>
            <a:endParaRPr lang="pt-BR" b="1"/>
          </a:p>
        </xdr:txBody>
      </xdr:sp>
      <xdr:sp macro="" textlink="">
        <xdr:nvSpPr>
          <xdr:cNvPr id="8" name="Rectangle 14">
            <a:extLst>
              <a:ext uri="{FF2B5EF4-FFF2-40B4-BE49-F238E27FC236}">
                <a16:creationId xmlns="" xmlns:a16="http://schemas.microsoft.com/office/drawing/2014/main" id="{00000000-0008-0000-0600-000008000000}"/>
              </a:ext>
            </a:extLst>
          </xdr:cNvPr>
          <xdr:cNvSpPr>
            <a:spLocks noChangeArrowheads="1"/>
          </xdr:cNvSpPr>
        </xdr:nvSpPr>
        <xdr:spPr bwMode="auto">
          <a:xfrm>
            <a:off x="132" y="79"/>
            <a:ext cx="176" cy="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DIRETORIA ADMINISTRATIVA </a:t>
            </a:r>
            <a:endParaRPr lang="pt-BR" b="1"/>
          </a:p>
        </xdr:txBody>
      </xdr:sp>
      <xdr:sp macro="" textlink="">
        <xdr:nvSpPr>
          <xdr:cNvPr id="9" name="Rectangle 15">
            <a:extLst>
              <a:ext uri="{FF2B5EF4-FFF2-40B4-BE49-F238E27FC236}">
                <a16:creationId xmlns="" xmlns:a16="http://schemas.microsoft.com/office/drawing/2014/main" id="{00000000-0008-0000-0600-000009000000}"/>
              </a:ext>
            </a:extLst>
          </xdr:cNvPr>
          <xdr:cNvSpPr>
            <a:spLocks noChangeArrowheads="1"/>
          </xdr:cNvSpPr>
        </xdr:nvSpPr>
        <xdr:spPr bwMode="auto">
          <a:xfrm>
            <a:off x="132" y="95"/>
            <a:ext cx="539" cy="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pt-BR" sz="900" b="1" i="0" u="none" strike="noStrike" baseline="0">
                <a:solidFill>
                  <a:srgbClr val="000000"/>
                </a:solidFill>
                <a:latin typeface="Arial"/>
                <a:cs typeface="Arial"/>
              </a:rPr>
              <a:t>PROGRAMA DE DESCENTRALIZAÇÃO PROGRESSIVA DE AÇÕES DE SAÚDE - PDPAS/HRG</a:t>
            </a:r>
          </a:p>
          <a:p>
            <a:pPr algn="l" rtl="0">
              <a:defRPr sz="1000"/>
            </a:pPr>
            <a:endParaRPr lang="pt-BR" sz="900" b="1" i="0" u="none" strike="noStrike" baseline="0">
              <a:solidFill>
                <a:srgbClr val="000000"/>
              </a:solidFill>
              <a:latin typeface="Arial"/>
              <a:cs typeface="Arial"/>
            </a:endParaRPr>
          </a:p>
        </xdr:txBody>
      </xdr:sp>
      <xdr:sp macro="" textlink="">
        <xdr:nvSpPr>
          <xdr:cNvPr id="10" name="Rectangle 16">
            <a:extLst>
              <a:ext uri="{FF2B5EF4-FFF2-40B4-BE49-F238E27FC236}">
                <a16:creationId xmlns="" xmlns:a16="http://schemas.microsoft.com/office/drawing/2014/main" id="{00000000-0008-0000-0600-00000A000000}"/>
              </a:ext>
            </a:extLst>
          </xdr:cNvPr>
          <xdr:cNvSpPr>
            <a:spLocks noChangeArrowheads="1"/>
          </xdr:cNvSpPr>
        </xdr:nvSpPr>
        <xdr:spPr bwMode="auto">
          <a:xfrm>
            <a:off x="132" y="111"/>
            <a:ext cx="1" cy="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sp macro="" textlink="">
        <xdr:nvSpPr>
          <xdr:cNvPr id="11" name="Rectangle 17">
            <a:extLst>
              <a:ext uri="{FF2B5EF4-FFF2-40B4-BE49-F238E27FC236}">
                <a16:creationId xmlns="" xmlns:a16="http://schemas.microsoft.com/office/drawing/2014/main" id="{00000000-0008-0000-0600-00000B000000}"/>
              </a:ext>
            </a:extLst>
          </xdr:cNvPr>
          <xdr:cNvSpPr>
            <a:spLocks noChangeArrowheads="1"/>
          </xdr:cNvSpPr>
        </xdr:nvSpPr>
        <xdr:spPr bwMode="auto">
          <a:xfrm>
            <a:off x="0"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2" name="Rectangle 18">
            <a:extLst>
              <a:ext uri="{FF2B5EF4-FFF2-40B4-BE49-F238E27FC236}">
                <a16:creationId xmlns="" xmlns:a16="http://schemas.microsoft.com/office/drawing/2014/main" id="{00000000-0008-0000-0600-00000C000000}"/>
              </a:ext>
            </a:extLst>
          </xdr:cNvPr>
          <xdr:cNvSpPr>
            <a:spLocks noChangeArrowheads="1"/>
          </xdr:cNvSpPr>
        </xdr:nvSpPr>
        <xdr:spPr bwMode="auto">
          <a:xfrm>
            <a:off x="4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3" name="Rectangle 19">
            <a:extLst>
              <a:ext uri="{FF2B5EF4-FFF2-40B4-BE49-F238E27FC236}">
                <a16:creationId xmlns="" xmlns:a16="http://schemas.microsoft.com/office/drawing/2014/main" id="{00000000-0008-0000-0600-00000D000000}"/>
              </a:ext>
            </a:extLst>
          </xdr:cNvPr>
          <xdr:cNvSpPr>
            <a:spLocks noChangeArrowheads="1"/>
          </xdr:cNvSpPr>
        </xdr:nvSpPr>
        <xdr:spPr bwMode="auto">
          <a:xfrm>
            <a:off x="12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4" name="Rectangle 20">
            <a:extLst>
              <a:ext uri="{FF2B5EF4-FFF2-40B4-BE49-F238E27FC236}">
                <a16:creationId xmlns="" xmlns:a16="http://schemas.microsoft.com/office/drawing/2014/main" id="{00000000-0008-0000-0600-00000E000000}"/>
              </a:ext>
            </a:extLst>
          </xdr:cNvPr>
          <xdr:cNvSpPr>
            <a:spLocks noChangeArrowheads="1"/>
          </xdr:cNvSpPr>
        </xdr:nvSpPr>
        <xdr:spPr bwMode="auto">
          <a:xfrm>
            <a:off x="21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5" name="Rectangle 21">
            <a:extLst>
              <a:ext uri="{FF2B5EF4-FFF2-40B4-BE49-F238E27FC236}">
                <a16:creationId xmlns="" xmlns:a16="http://schemas.microsoft.com/office/drawing/2014/main" id="{00000000-0008-0000-0600-00000F000000}"/>
              </a:ext>
            </a:extLst>
          </xdr:cNvPr>
          <xdr:cNvSpPr>
            <a:spLocks noChangeArrowheads="1"/>
          </xdr:cNvSpPr>
        </xdr:nvSpPr>
        <xdr:spPr bwMode="auto">
          <a:xfrm>
            <a:off x="29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6" name="Rectangle 22">
            <a:extLst>
              <a:ext uri="{FF2B5EF4-FFF2-40B4-BE49-F238E27FC236}">
                <a16:creationId xmlns="" xmlns:a16="http://schemas.microsoft.com/office/drawing/2014/main" id="{00000000-0008-0000-0600-000010000000}"/>
              </a:ext>
            </a:extLst>
          </xdr:cNvPr>
          <xdr:cNvSpPr>
            <a:spLocks noChangeArrowheads="1"/>
          </xdr:cNvSpPr>
        </xdr:nvSpPr>
        <xdr:spPr bwMode="auto">
          <a:xfrm>
            <a:off x="37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7" name="Rectangle 23">
            <a:extLst>
              <a:ext uri="{FF2B5EF4-FFF2-40B4-BE49-F238E27FC236}">
                <a16:creationId xmlns="" xmlns:a16="http://schemas.microsoft.com/office/drawing/2014/main" id="{00000000-0008-0000-0600-000011000000}"/>
              </a:ext>
            </a:extLst>
          </xdr:cNvPr>
          <xdr:cNvSpPr>
            <a:spLocks noChangeArrowheads="1"/>
          </xdr:cNvSpPr>
        </xdr:nvSpPr>
        <xdr:spPr bwMode="auto">
          <a:xfrm>
            <a:off x="457"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8" name="Rectangle 24">
            <a:extLst>
              <a:ext uri="{FF2B5EF4-FFF2-40B4-BE49-F238E27FC236}">
                <a16:creationId xmlns="" xmlns:a16="http://schemas.microsoft.com/office/drawing/2014/main" id="{00000000-0008-0000-0600-000012000000}"/>
              </a:ext>
            </a:extLst>
          </xdr:cNvPr>
          <xdr:cNvSpPr>
            <a:spLocks noChangeArrowheads="1"/>
          </xdr:cNvSpPr>
        </xdr:nvSpPr>
        <xdr:spPr bwMode="auto">
          <a:xfrm>
            <a:off x="539"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19" name="Rectangle 25">
            <a:extLst>
              <a:ext uri="{FF2B5EF4-FFF2-40B4-BE49-F238E27FC236}">
                <a16:creationId xmlns="" xmlns:a16="http://schemas.microsoft.com/office/drawing/2014/main" id="{00000000-0008-0000-0600-000013000000}"/>
              </a:ext>
            </a:extLst>
          </xdr:cNvPr>
          <xdr:cNvSpPr>
            <a:spLocks noChangeArrowheads="1"/>
          </xdr:cNvSpPr>
        </xdr:nvSpPr>
        <xdr:spPr bwMode="auto">
          <a:xfrm>
            <a:off x="621"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0" name="Rectangle 26">
            <a:extLst>
              <a:ext uri="{FF2B5EF4-FFF2-40B4-BE49-F238E27FC236}">
                <a16:creationId xmlns="" xmlns:a16="http://schemas.microsoft.com/office/drawing/2014/main" id="{00000000-0008-0000-0600-000014000000}"/>
              </a:ext>
            </a:extLst>
          </xdr:cNvPr>
          <xdr:cNvSpPr>
            <a:spLocks noChangeArrowheads="1"/>
          </xdr:cNvSpPr>
        </xdr:nvSpPr>
        <xdr:spPr bwMode="auto">
          <a:xfrm>
            <a:off x="703"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1" name="Rectangle 27">
            <a:extLst>
              <a:ext uri="{FF2B5EF4-FFF2-40B4-BE49-F238E27FC236}">
                <a16:creationId xmlns="" xmlns:a16="http://schemas.microsoft.com/office/drawing/2014/main" id="{00000000-0008-0000-0600-000015000000}"/>
              </a:ext>
            </a:extLst>
          </xdr:cNvPr>
          <xdr:cNvSpPr>
            <a:spLocks noChangeArrowheads="1"/>
          </xdr:cNvSpPr>
        </xdr:nvSpPr>
        <xdr:spPr bwMode="auto">
          <a:xfrm>
            <a:off x="785" y="1"/>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2" name="Line 32">
            <a:extLst>
              <a:ext uri="{FF2B5EF4-FFF2-40B4-BE49-F238E27FC236}">
                <a16:creationId xmlns="" xmlns:a16="http://schemas.microsoft.com/office/drawing/2014/main" id="{00000000-0008-0000-0600-000016000000}"/>
              </a:ext>
            </a:extLst>
          </xdr:cNvPr>
          <xdr:cNvSpPr>
            <a:spLocks noChangeShapeType="1"/>
          </xdr:cNvSpPr>
        </xdr:nvSpPr>
        <xdr:spPr bwMode="auto">
          <a:xfrm>
            <a:off x="0"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3" name="Rectangle 33">
            <a:extLst>
              <a:ext uri="{FF2B5EF4-FFF2-40B4-BE49-F238E27FC236}">
                <a16:creationId xmlns="" xmlns:a16="http://schemas.microsoft.com/office/drawing/2014/main" id="{00000000-0008-0000-0600-000017000000}"/>
              </a:ext>
            </a:extLst>
          </xdr:cNvPr>
          <xdr:cNvSpPr>
            <a:spLocks noChangeArrowheads="1"/>
          </xdr:cNvSpPr>
        </xdr:nvSpPr>
        <xdr:spPr bwMode="auto">
          <a:xfrm>
            <a:off x="0"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4" name="Line 34">
            <a:extLst>
              <a:ext uri="{FF2B5EF4-FFF2-40B4-BE49-F238E27FC236}">
                <a16:creationId xmlns="" xmlns:a16="http://schemas.microsoft.com/office/drawing/2014/main" id="{00000000-0008-0000-0600-000018000000}"/>
              </a:ext>
            </a:extLst>
          </xdr:cNvPr>
          <xdr:cNvSpPr>
            <a:spLocks noChangeShapeType="1"/>
          </xdr:cNvSpPr>
        </xdr:nvSpPr>
        <xdr:spPr bwMode="auto">
          <a:xfrm>
            <a:off x="4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5" name="Rectangle 35">
            <a:extLst>
              <a:ext uri="{FF2B5EF4-FFF2-40B4-BE49-F238E27FC236}">
                <a16:creationId xmlns="" xmlns:a16="http://schemas.microsoft.com/office/drawing/2014/main" id="{00000000-0008-0000-0600-000019000000}"/>
              </a:ext>
            </a:extLst>
          </xdr:cNvPr>
          <xdr:cNvSpPr>
            <a:spLocks noChangeArrowheads="1"/>
          </xdr:cNvSpPr>
        </xdr:nvSpPr>
        <xdr:spPr bwMode="auto">
          <a:xfrm>
            <a:off x="4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6" name="Line 36">
            <a:extLst>
              <a:ext uri="{FF2B5EF4-FFF2-40B4-BE49-F238E27FC236}">
                <a16:creationId xmlns="" xmlns:a16="http://schemas.microsoft.com/office/drawing/2014/main" id="{00000000-0008-0000-0600-00001A000000}"/>
              </a:ext>
            </a:extLst>
          </xdr:cNvPr>
          <xdr:cNvSpPr>
            <a:spLocks noChangeShapeType="1"/>
          </xdr:cNvSpPr>
        </xdr:nvSpPr>
        <xdr:spPr bwMode="auto">
          <a:xfrm>
            <a:off x="12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7" name="Rectangle 37">
            <a:extLst>
              <a:ext uri="{FF2B5EF4-FFF2-40B4-BE49-F238E27FC236}">
                <a16:creationId xmlns="" xmlns:a16="http://schemas.microsoft.com/office/drawing/2014/main" id="{00000000-0008-0000-0600-00001B000000}"/>
              </a:ext>
            </a:extLst>
          </xdr:cNvPr>
          <xdr:cNvSpPr>
            <a:spLocks noChangeArrowheads="1"/>
          </xdr:cNvSpPr>
        </xdr:nvSpPr>
        <xdr:spPr bwMode="auto">
          <a:xfrm>
            <a:off x="12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28" name="Line 38">
            <a:extLst>
              <a:ext uri="{FF2B5EF4-FFF2-40B4-BE49-F238E27FC236}">
                <a16:creationId xmlns="" xmlns:a16="http://schemas.microsoft.com/office/drawing/2014/main" id="{00000000-0008-0000-0600-00001C000000}"/>
              </a:ext>
            </a:extLst>
          </xdr:cNvPr>
          <xdr:cNvSpPr>
            <a:spLocks noChangeShapeType="1"/>
          </xdr:cNvSpPr>
        </xdr:nvSpPr>
        <xdr:spPr bwMode="auto">
          <a:xfrm>
            <a:off x="21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29" name="Rectangle 39">
            <a:extLst>
              <a:ext uri="{FF2B5EF4-FFF2-40B4-BE49-F238E27FC236}">
                <a16:creationId xmlns="" xmlns:a16="http://schemas.microsoft.com/office/drawing/2014/main" id="{00000000-0008-0000-0600-00001D000000}"/>
              </a:ext>
            </a:extLst>
          </xdr:cNvPr>
          <xdr:cNvSpPr>
            <a:spLocks noChangeArrowheads="1"/>
          </xdr:cNvSpPr>
        </xdr:nvSpPr>
        <xdr:spPr bwMode="auto">
          <a:xfrm>
            <a:off x="21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0" name="Line 40">
            <a:extLst>
              <a:ext uri="{FF2B5EF4-FFF2-40B4-BE49-F238E27FC236}">
                <a16:creationId xmlns="" xmlns:a16="http://schemas.microsoft.com/office/drawing/2014/main" id="{00000000-0008-0000-0600-00001E000000}"/>
              </a:ext>
            </a:extLst>
          </xdr:cNvPr>
          <xdr:cNvSpPr>
            <a:spLocks noChangeShapeType="1"/>
          </xdr:cNvSpPr>
        </xdr:nvSpPr>
        <xdr:spPr bwMode="auto">
          <a:xfrm>
            <a:off x="293"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1" name="Rectangle 41">
            <a:extLst>
              <a:ext uri="{FF2B5EF4-FFF2-40B4-BE49-F238E27FC236}">
                <a16:creationId xmlns="" xmlns:a16="http://schemas.microsoft.com/office/drawing/2014/main" id="{00000000-0008-0000-0600-00001F000000}"/>
              </a:ext>
            </a:extLst>
          </xdr:cNvPr>
          <xdr:cNvSpPr>
            <a:spLocks noChangeArrowheads="1"/>
          </xdr:cNvSpPr>
        </xdr:nvSpPr>
        <xdr:spPr bwMode="auto">
          <a:xfrm>
            <a:off x="293"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2" name="Line 42">
            <a:extLst>
              <a:ext uri="{FF2B5EF4-FFF2-40B4-BE49-F238E27FC236}">
                <a16:creationId xmlns="" xmlns:a16="http://schemas.microsoft.com/office/drawing/2014/main" id="{00000000-0008-0000-0600-000020000000}"/>
              </a:ext>
            </a:extLst>
          </xdr:cNvPr>
          <xdr:cNvSpPr>
            <a:spLocks noChangeShapeType="1"/>
          </xdr:cNvSpPr>
        </xdr:nvSpPr>
        <xdr:spPr bwMode="auto">
          <a:xfrm>
            <a:off x="37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3" name="Rectangle 43">
            <a:extLst>
              <a:ext uri="{FF2B5EF4-FFF2-40B4-BE49-F238E27FC236}">
                <a16:creationId xmlns="" xmlns:a16="http://schemas.microsoft.com/office/drawing/2014/main" id="{00000000-0008-0000-0600-000021000000}"/>
              </a:ext>
            </a:extLst>
          </xdr:cNvPr>
          <xdr:cNvSpPr>
            <a:spLocks noChangeArrowheads="1"/>
          </xdr:cNvSpPr>
        </xdr:nvSpPr>
        <xdr:spPr bwMode="auto">
          <a:xfrm>
            <a:off x="37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4" name="Line 44">
            <a:extLst>
              <a:ext uri="{FF2B5EF4-FFF2-40B4-BE49-F238E27FC236}">
                <a16:creationId xmlns="" xmlns:a16="http://schemas.microsoft.com/office/drawing/2014/main" id="{00000000-0008-0000-0600-000022000000}"/>
              </a:ext>
            </a:extLst>
          </xdr:cNvPr>
          <xdr:cNvSpPr>
            <a:spLocks noChangeShapeType="1"/>
          </xdr:cNvSpPr>
        </xdr:nvSpPr>
        <xdr:spPr bwMode="auto">
          <a:xfrm>
            <a:off x="457"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5" name="Rectangle 45">
            <a:extLst>
              <a:ext uri="{FF2B5EF4-FFF2-40B4-BE49-F238E27FC236}">
                <a16:creationId xmlns="" xmlns:a16="http://schemas.microsoft.com/office/drawing/2014/main" id="{00000000-0008-0000-0600-000023000000}"/>
              </a:ext>
            </a:extLst>
          </xdr:cNvPr>
          <xdr:cNvSpPr>
            <a:spLocks noChangeArrowheads="1"/>
          </xdr:cNvSpPr>
        </xdr:nvSpPr>
        <xdr:spPr bwMode="auto">
          <a:xfrm>
            <a:off x="457"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6" name="Line 46">
            <a:extLst>
              <a:ext uri="{FF2B5EF4-FFF2-40B4-BE49-F238E27FC236}">
                <a16:creationId xmlns="" xmlns:a16="http://schemas.microsoft.com/office/drawing/2014/main" id="{00000000-0008-0000-0600-000024000000}"/>
              </a:ext>
            </a:extLst>
          </xdr:cNvPr>
          <xdr:cNvSpPr>
            <a:spLocks noChangeShapeType="1"/>
          </xdr:cNvSpPr>
        </xdr:nvSpPr>
        <xdr:spPr bwMode="auto">
          <a:xfrm>
            <a:off x="539"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7" name="Rectangle 47">
            <a:extLst>
              <a:ext uri="{FF2B5EF4-FFF2-40B4-BE49-F238E27FC236}">
                <a16:creationId xmlns="" xmlns:a16="http://schemas.microsoft.com/office/drawing/2014/main" id="{00000000-0008-0000-0600-000025000000}"/>
              </a:ext>
            </a:extLst>
          </xdr:cNvPr>
          <xdr:cNvSpPr>
            <a:spLocks noChangeArrowheads="1"/>
          </xdr:cNvSpPr>
        </xdr:nvSpPr>
        <xdr:spPr bwMode="auto">
          <a:xfrm>
            <a:off x="539"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38" name="Line 48">
            <a:extLst>
              <a:ext uri="{FF2B5EF4-FFF2-40B4-BE49-F238E27FC236}">
                <a16:creationId xmlns="" xmlns:a16="http://schemas.microsoft.com/office/drawing/2014/main" id="{00000000-0008-0000-0600-000026000000}"/>
              </a:ext>
            </a:extLst>
          </xdr:cNvPr>
          <xdr:cNvSpPr>
            <a:spLocks noChangeShapeType="1"/>
          </xdr:cNvSpPr>
        </xdr:nvSpPr>
        <xdr:spPr bwMode="auto">
          <a:xfrm>
            <a:off x="621"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39" name="Rectangle 49">
            <a:extLst>
              <a:ext uri="{FF2B5EF4-FFF2-40B4-BE49-F238E27FC236}">
                <a16:creationId xmlns="" xmlns:a16="http://schemas.microsoft.com/office/drawing/2014/main" id="{00000000-0008-0000-0600-000027000000}"/>
              </a:ext>
            </a:extLst>
          </xdr:cNvPr>
          <xdr:cNvSpPr>
            <a:spLocks noChangeArrowheads="1"/>
          </xdr:cNvSpPr>
        </xdr:nvSpPr>
        <xdr:spPr bwMode="auto">
          <a:xfrm>
            <a:off x="621"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0" name="Line 52">
            <a:extLst>
              <a:ext uri="{FF2B5EF4-FFF2-40B4-BE49-F238E27FC236}">
                <a16:creationId xmlns="" xmlns:a16="http://schemas.microsoft.com/office/drawing/2014/main" id="{00000000-0008-0000-0600-000028000000}"/>
              </a:ext>
            </a:extLst>
          </xdr:cNvPr>
          <xdr:cNvSpPr>
            <a:spLocks noChangeShapeType="1"/>
          </xdr:cNvSpPr>
        </xdr:nvSpPr>
        <xdr:spPr bwMode="auto">
          <a:xfrm>
            <a:off x="785" y="115"/>
            <a:ext cx="1" cy="1"/>
          </a:xfrm>
          <a:prstGeom prst="line">
            <a:avLst/>
          </a:prstGeom>
          <a:noFill/>
          <a:ln w="0">
            <a:solidFill>
              <a:srgbClr val="DADCDD"/>
            </a:solidFill>
            <a:prstDash val="solid"/>
            <a:round/>
            <a:headEnd/>
            <a:tailEnd/>
          </a:ln>
          <a:extLst>
            <a:ext uri="{909E8E84-426E-40DD-AFC4-6F175D3DCCD1}">
              <a14:hiddenFill xmlns:a14="http://schemas.microsoft.com/office/drawing/2010/main">
                <a:noFill/>
              </a14:hiddenFill>
            </a:ext>
          </a:extLst>
        </xdr:spPr>
      </xdr:sp>
      <xdr:sp macro="" textlink="">
        <xdr:nvSpPr>
          <xdr:cNvPr id="41" name="Rectangle 53">
            <a:extLst>
              <a:ext uri="{FF2B5EF4-FFF2-40B4-BE49-F238E27FC236}">
                <a16:creationId xmlns="" xmlns:a16="http://schemas.microsoft.com/office/drawing/2014/main" id="{00000000-0008-0000-0600-000029000000}"/>
              </a:ext>
            </a:extLst>
          </xdr:cNvPr>
          <xdr:cNvSpPr>
            <a:spLocks noChangeArrowheads="1"/>
          </xdr:cNvSpPr>
        </xdr:nvSpPr>
        <xdr:spPr bwMode="auto">
          <a:xfrm>
            <a:off x="785" y="115"/>
            <a:ext cx="1" cy="1"/>
          </a:xfrm>
          <a:prstGeom prst="rect">
            <a:avLst/>
          </a:prstGeom>
          <a:solidFill>
            <a:srgbClr val="DADCDD"/>
          </a:solidFill>
          <a:ln>
            <a:noFill/>
          </a:ln>
          <a:extLst>
            <a:ext uri="{91240B29-F687-4F45-9708-019B960494DF}">
              <a14:hiddenLine xmlns:a14="http://schemas.microsoft.com/office/drawing/2010/main" w="9525">
                <a:solidFill>
                  <a:srgbClr val="000000"/>
                </a:solidFill>
                <a:miter lim="800000"/>
                <a:headEnd/>
                <a:tailEnd/>
              </a14:hiddenLine>
            </a:ext>
          </a:extLst>
        </xdr:spPr>
      </xdr:sp>
      <xdr:sp macro="" textlink="">
        <xdr:nvSpPr>
          <xdr:cNvPr id="42" name="Rectangle 55">
            <a:extLst>
              <a:ext uri="{FF2B5EF4-FFF2-40B4-BE49-F238E27FC236}">
                <a16:creationId xmlns="" xmlns:a16="http://schemas.microsoft.com/office/drawing/2014/main" id="{00000000-0008-0000-0600-00002A000000}"/>
              </a:ext>
            </a:extLst>
          </xdr:cNvPr>
          <xdr:cNvSpPr>
            <a:spLocks noChangeArrowheads="1"/>
          </xdr:cNvSpPr>
        </xdr:nvSpPr>
        <xdr:spPr bwMode="auto">
          <a:xfrm>
            <a:off x="22" y="17"/>
            <a:ext cx="72" cy="96"/>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pic>
        <xdr:nvPicPr>
          <xdr:cNvPr id="43" name="Imagem 42">
            <a:extLst>
              <a:ext uri="{FF2B5EF4-FFF2-40B4-BE49-F238E27FC236}">
                <a16:creationId xmlns="" xmlns:a16="http://schemas.microsoft.com/office/drawing/2014/main" id="{00000000-0008-0000-0600-00002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 y="17"/>
            <a:ext cx="71" cy="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74</xdr:row>
      <xdr:rowOff>109220</xdr:rowOff>
    </xdr:from>
    <xdr:to>
      <xdr:col>9</xdr:col>
      <xdr:colOff>702310</xdr:colOff>
      <xdr:row>74</xdr:row>
      <xdr:rowOff>109220</xdr:rowOff>
    </xdr:to>
    <xdr:cxnSp macro="">
      <xdr:nvCxnSpPr>
        <xdr:cNvPr id="6" name="Conector reto 5">
          <a:extLst>
            <a:ext uri="{FF2B5EF4-FFF2-40B4-BE49-F238E27FC236}">
              <a16:creationId xmlns="" xmlns:a16="http://schemas.microsoft.com/office/drawing/2014/main" id="{00000000-0008-0000-0700-000006000000}"/>
            </a:ext>
          </a:extLst>
        </xdr:cNvPr>
        <xdr:cNvCxnSpPr/>
      </xdr:nvCxnSpPr>
      <xdr:spPr>
        <a:xfrm>
          <a:off x="533400" y="12148820"/>
          <a:ext cx="6645910" cy="0"/>
        </a:xfrm>
        <a:prstGeom prst="line">
          <a:avLst/>
        </a:prstGeom>
        <a:ln w="82550" cmpd="tri">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xdr:from>
          <xdr:col>0</xdr:col>
          <xdr:colOff>104775</xdr:colOff>
          <xdr:row>0</xdr:row>
          <xdr:rowOff>76200</xdr:rowOff>
        </xdr:from>
        <xdr:to>
          <xdr:col>1</xdr:col>
          <xdr:colOff>228600</xdr:colOff>
          <xdr:row>1</xdr:row>
          <xdr:rowOff>409575</xdr:rowOff>
        </xdr:to>
        <xdr:sp macro="" textlink="">
          <xdr:nvSpPr>
            <xdr:cNvPr id="5121" name="Object 1" hidden="1">
              <a:extLst>
                <a:ext uri="{63B3BB69-23CF-44E3-9099-C40C66FF867C}">
                  <a14:compatExt spid="_x0000_s5121"/>
                </a:ext>
                <a:ext uri="{FF2B5EF4-FFF2-40B4-BE49-F238E27FC236}">
                  <a16:creationId xmlns="" xmlns:a16="http://schemas.microsoft.com/office/drawing/2014/main" id="{F62B8529-6BF7-4B60-890C-8309294A8555}"/>
                </a:ext>
              </a:extLst>
            </xdr:cNvPr>
            <xdr:cNvSpPr/>
          </xdr:nvSpPr>
          <xdr:spPr bwMode="auto">
            <a:xfrm>
              <a:off x="0" y="0"/>
              <a:ext cx="0" cy="0"/>
            </a:xfrm>
            <a:prstGeom prst="rect">
              <a:avLst/>
            </a:prstGeom>
            <a:solidFill>
              <a:srgbClr val="FFFFFF"/>
            </a:solidFill>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95250</xdr:colOff>
          <xdr:row>1</xdr:row>
          <xdr:rowOff>28575</xdr:rowOff>
        </xdr:from>
        <xdr:to>
          <xdr:col>2</xdr:col>
          <xdr:colOff>219075</xdr:colOff>
          <xdr:row>5</xdr:row>
          <xdr:rowOff>85725</xdr:rowOff>
        </xdr:to>
        <xdr:sp macro="" textlink="">
          <xdr:nvSpPr>
            <xdr:cNvPr id="9217" name="Object 1" hidden="1">
              <a:extLst>
                <a:ext uri="{63B3BB69-23CF-44E3-9099-C40C66FF867C}">
                  <a14:compatExt spid="_x0000_s9217"/>
                </a:ext>
                <a:ext uri="{FF2B5EF4-FFF2-40B4-BE49-F238E27FC236}">
                  <a16:creationId xmlns="" xmlns:a16="http://schemas.microsoft.com/office/drawing/2014/main" id="{B218168B-5ECF-47B8-9BCB-E758F6F97C54}"/>
                </a:ext>
              </a:extLst>
            </xdr:cNvPr>
            <xdr:cNvSpPr/>
          </xdr:nvSpPr>
          <xdr:spPr bwMode="auto">
            <a:xfrm>
              <a:off x="0" y="0"/>
              <a:ext cx="0" cy="0"/>
            </a:xfrm>
            <a:prstGeom prst="rect">
              <a:avLst/>
            </a:prstGeom>
            <a:solidFill>
              <a:srgbClr val="FFFFFF"/>
            </a:solidFill>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rg-74977\HRSM\PDPAS%202019\MATRIX%20-%20HRSM%202019\Matrix%20PDPAS%202019%20-%20HRS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rsm-geof-01\HRG\PDPAS%202018%20HRG\MATRIX%20-%20HRG\Matrix%20PDPAS%202018%20-%20HR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rg-74977\HRG\PDPAS%202019%20HRG\MATRIX%20-%20HRG\Matrix%20PDPAS%202019%20-%20HR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Mapa"/>
      <sheetName val="Cot.A"/>
      <sheetName val="Cot.F"/>
      <sheetName val="Cot.M"/>
      <sheetName val="Cot.Eng"/>
      <sheetName val="Adjudicação"/>
      <sheetName val="Ordem"/>
      <sheetName val="Financeiro"/>
      <sheetName val="BD"/>
      <sheetName val="Instruções"/>
      <sheetName val="Fornecedores"/>
      <sheetName val="PAGAMENTO"/>
      <sheetName val="Prestação contas"/>
      <sheetName val="Fonte"/>
      <sheetName val="Validação"/>
      <sheetName val="Prest. Contas"/>
      <sheetName val="Plan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A2" t="str">
            <v>*CANCELADO</v>
          </cell>
          <cell r="B2" t="str">
            <v>*CANCELADO</v>
          </cell>
        </row>
        <row r="3">
          <cell r="A3" t="str">
            <v>*OBSERVAÇÃO</v>
          </cell>
          <cell r="B3" t="str">
            <v>*OBSERVAÇÃO</v>
          </cell>
        </row>
        <row r="4">
          <cell r="A4" t="str">
            <v>*SUSPENSO</v>
          </cell>
          <cell r="B4" t="str">
            <v>*URGENTE</v>
          </cell>
        </row>
        <row r="5">
          <cell r="A5" t="str">
            <v>*URGENTE</v>
          </cell>
          <cell r="B5" t="str">
            <v>*URGENTE</v>
          </cell>
        </row>
        <row r="6">
          <cell r="A6" t="str">
            <v>1000 MARCAS ()</v>
          </cell>
          <cell r="B6" t="str">
            <v>1000 MARCAS SAFETY BRASIL EIRELI</v>
          </cell>
          <cell r="C6" t="str">
            <v>RONALDO AMORAS</v>
          </cell>
        </row>
        <row r="7">
          <cell r="A7" t="str">
            <v>ACCORD ()</v>
          </cell>
          <cell r="B7" t="str">
            <v>ACCORD FARMA</v>
          </cell>
          <cell r="C7" t="str">
            <v>JOAQUIM NETO</v>
          </cell>
          <cell r="D7" t="str">
            <v>(61) 99651-3314</v>
          </cell>
        </row>
        <row r="8">
          <cell r="A8" t="str">
            <v>ACRIlPLAC (702856)</v>
          </cell>
          <cell r="B8" t="str">
            <v>ACRILPLAC (CLEIDSON SOUSA AGUIAR)</v>
          </cell>
          <cell r="C8" t="str">
            <v>CLEIDSON SOUSA AGUIAR</v>
          </cell>
          <cell r="D8" t="str">
            <v>(61) 3967-8927</v>
          </cell>
        </row>
        <row r="9">
          <cell r="A9" t="str">
            <v>ADESIFLEX  (702832)</v>
          </cell>
          <cell r="B9" t="str">
            <v>ADESIFLEX (REIS GRÁFICA E COMÉRCIO DE ETIQUETAS EIRELI ME)</v>
          </cell>
          <cell r="C9" t="str">
            <v>MANOELA SIMONE</v>
          </cell>
          <cell r="D9" t="str">
            <v>(61) 3427-1399 / (61) 8125-1406</v>
          </cell>
        </row>
        <row r="10">
          <cell r="A10" t="str">
            <v>AGIMED (700378)</v>
          </cell>
          <cell r="B10" t="str">
            <v>AGIMED COMÉRCIO DE EQUIPAMENTOS LTDA.</v>
          </cell>
          <cell r="C10" t="str">
            <v>ANDRÉIA ESTELITA PERNÉ</v>
          </cell>
          <cell r="D10" t="str">
            <v>(61) 3522-2401</v>
          </cell>
        </row>
        <row r="11">
          <cell r="A11" t="str">
            <v>AIR LIQUIDE (702036)</v>
          </cell>
          <cell r="B11" t="str">
            <v>AIR LIQUIDE BRASIL LTDA</v>
          </cell>
          <cell r="C11" t="str">
            <v>CÉSAR AMBROSI / MARILENE SILVA</v>
          </cell>
          <cell r="D11" t="str">
            <v>(61) 3568-5666 César / (21) 3541 3913 Mari.</v>
          </cell>
        </row>
        <row r="12">
          <cell r="A12" t="str">
            <v>ALEX SARKIS ()</v>
          </cell>
          <cell r="B12" t="str">
            <v>ALEX SARKIS COMÉRCIO E SERVIÇOS EM AÇO INOX LTDA - ME.</v>
          </cell>
        </row>
        <row r="13">
          <cell r="A13" t="str">
            <v>ALFA (703521)</v>
          </cell>
          <cell r="B13" t="str">
            <v>ALFA COMERCIO DE PRODUTOS HOSPITALARES LTDA ME</v>
          </cell>
          <cell r="C13" t="str">
            <v>ALEXCILENIO</v>
          </cell>
          <cell r="D13" t="str">
            <v>(61) 3554-9002</v>
          </cell>
        </row>
        <row r="14">
          <cell r="A14" t="str">
            <v>ALIMED MEDICAL (703436)</v>
          </cell>
          <cell r="B14" t="str">
            <v>ALIMED MEDICAL (MARCIA SILVA CAMPOS)</v>
          </cell>
          <cell r="C14" t="str">
            <v>MARCIA</v>
          </cell>
          <cell r="D14" t="str">
            <v>(61) 3373-5504</v>
          </cell>
        </row>
        <row r="15">
          <cell r="A15" t="str">
            <v>ALLIMED (700426)</v>
          </cell>
          <cell r="B15" t="str">
            <v>ALLIMED COMÉRCIO DE MATERIAL MEDICO LTDA.</v>
          </cell>
          <cell r="C15" t="str">
            <v>ADRIANA LIRA</v>
          </cell>
          <cell r="D15" t="str">
            <v>(61) 3201-1300</v>
          </cell>
        </row>
        <row r="16">
          <cell r="A16" t="str">
            <v>ALPHA  (700916)</v>
          </cell>
          <cell r="B16" t="str">
            <v>ALPHA SUPRIMENTOS DE INFORMATICA LTDA-ME.</v>
          </cell>
          <cell r="C16" t="str">
            <v>ANGELA CAMPOS</v>
          </cell>
          <cell r="D16" t="str">
            <v>(61) 3045-4215</v>
          </cell>
        </row>
        <row r="17">
          <cell r="A17" t="str">
            <v>ANMED ()</v>
          </cell>
          <cell r="B17" t="str">
            <v>ANMED PRODUTOS E SERVIÇOS MEDICOS HOSPITALARES LTDA.</v>
          </cell>
          <cell r="C17" t="str">
            <v>ANÍBAL</v>
          </cell>
          <cell r="D17" t="str">
            <v>(61) 3033-7535</v>
          </cell>
        </row>
        <row r="18">
          <cell r="A18" t="str">
            <v>AP TORTELLI (700021)</v>
          </cell>
          <cell r="B18" t="str">
            <v>AP TORTELLI COMÉRCIO E REP. DE PROD. MED.E HOSP. LTDA.</v>
          </cell>
          <cell r="C18" t="str">
            <v>LUCIANO TORTELLI</v>
          </cell>
          <cell r="D18" t="str">
            <v>(41) 3327-4333</v>
          </cell>
        </row>
        <row r="19">
          <cell r="A19" t="str">
            <v>APOLLO (703256)</v>
          </cell>
          <cell r="B19" t="str">
            <v>APOLLO MATERIAIS MEDICO HOSPITALARES LTDA ME</v>
          </cell>
          <cell r="C19" t="str">
            <v>ANDERSON OLIVEIRA</v>
          </cell>
          <cell r="D19" t="str">
            <v>(61) 361-6696</v>
          </cell>
        </row>
        <row r="20">
          <cell r="A20" t="str">
            <v>ARS  (703124)</v>
          </cell>
          <cell r="B20" t="str">
            <v>ARS - PAPELARIA INFORMÁTICA E SERVIÇOS - ME.</v>
          </cell>
          <cell r="C20" t="str">
            <v>ANILSON RAMOS</v>
          </cell>
          <cell r="D20" t="str">
            <v>(61) 99417-7021 / (61) 3711-1044</v>
          </cell>
        </row>
        <row r="21">
          <cell r="A21" t="str">
            <v>ARTMED  (702071)</v>
          </cell>
          <cell r="B21" t="str">
            <v>ARTMED HOSPITALAR LTDA.</v>
          </cell>
          <cell r="C21" t="str">
            <v>SILVANA ROCHA</v>
          </cell>
          <cell r="D21" t="str">
            <v>(62) 3636-5877 / (62) 3636-5877 Silvana</v>
          </cell>
        </row>
        <row r="22">
          <cell r="A22" t="str">
            <v>ARTWARE (702395)</v>
          </cell>
          <cell r="B22" t="str">
            <v>ARTWARE PRODUTOS E SERVIÇOS LTDA.</v>
          </cell>
          <cell r="C22" t="str">
            <v>PEDRO BARBOSA</v>
          </cell>
          <cell r="D22" t="str">
            <v>(61) 3386-0161 / 9981-8930</v>
          </cell>
        </row>
        <row r="23">
          <cell r="A23" t="str">
            <v>AS3 HOSPITALAR ()</v>
          </cell>
          <cell r="B23" t="str">
            <v>AS3 HOSPITALAR LTDA</v>
          </cell>
          <cell r="C23" t="str">
            <v>LUANA / LEWANDER</v>
          </cell>
          <cell r="D23" t="str">
            <v>62-3586-3307</v>
          </cell>
        </row>
        <row r="24">
          <cell r="A24" t="str">
            <v>ASTEM (3864)</v>
          </cell>
          <cell r="B24" t="str">
            <v>ASTEM COMÉRCIO, REPRESENTAÇÕES E SERVIÇOS LTDA.</v>
          </cell>
          <cell r="C24" t="str">
            <v>LUANA / LEWANDER</v>
          </cell>
          <cell r="D24" t="str">
            <v>(61) 3233-8191</v>
          </cell>
        </row>
        <row r="25">
          <cell r="A25" t="str">
            <v>ASTHAMED (701330)</v>
          </cell>
          <cell r="B25" t="str">
            <v>ASTHAMED COMÉRCIO DE PROD. E EQUIP. HOSP. LTDA.</v>
          </cell>
          <cell r="C25" t="str">
            <v>ANDRESSA CRISTINA</v>
          </cell>
          <cell r="D25" t="str">
            <v>(62) 3092-3817</v>
          </cell>
        </row>
        <row r="26">
          <cell r="A26" t="str">
            <v>ATALAIA (702336)</v>
          </cell>
          <cell r="B26" t="str">
            <v>ATALAIA HOSPITALAR LTDA ME.</v>
          </cell>
          <cell r="C26" t="str">
            <v>ELAIS GOMES</v>
          </cell>
          <cell r="D26" t="str">
            <v>(62) 3706-1110</v>
          </cell>
        </row>
        <row r="27">
          <cell r="A27" t="str">
            <v>ATAX (703508)</v>
          </cell>
          <cell r="B27" t="str">
            <v>ATAX EMPREENDIMENTOS COMERCIAIS EIRELE - ME</v>
          </cell>
          <cell r="C27" t="str">
            <v>EDGAR ROCHA</v>
          </cell>
          <cell r="D27" t="str">
            <v>(61) 3026 - 0927</v>
          </cell>
        </row>
        <row r="28">
          <cell r="A28" t="str">
            <v>ATD (700657)</v>
          </cell>
          <cell r="B28" t="str">
            <v>ATD DIAGNÓSTICA COMPERCIO E IMPORTAÇÃO LTDA.</v>
          </cell>
          <cell r="C28" t="str">
            <v>RENATO</v>
          </cell>
          <cell r="D28" t="str">
            <v>(61) 3201-7336 / 99119-8773 / 3964-0266</v>
          </cell>
        </row>
        <row r="29">
          <cell r="A29" t="str">
            <v>ATIVA (703219)</v>
          </cell>
          <cell r="B29" t="str">
            <v>ATIVA MÉDICO CIRÚRGICA EIRELI</v>
          </cell>
          <cell r="C29" t="str">
            <v>TATIANA GUIDINE</v>
          </cell>
          <cell r="D29" t="str">
            <v>(32) 2101-1556</v>
          </cell>
        </row>
        <row r="30">
          <cell r="A30" t="str">
            <v>AUROBINDO (3875)</v>
          </cell>
          <cell r="B30" t="str">
            <v>AUROBINDO PHARMA INDÚSTRIA FARMACEUTICA LTDA.</v>
          </cell>
          <cell r="C30" t="str">
            <v>VILMA</v>
          </cell>
          <cell r="D30" t="str">
            <v>(62) 4015-3500</v>
          </cell>
        </row>
        <row r="31">
          <cell r="A31" t="str">
            <v>BALONNY (701679)</v>
          </cell>
          <cell r="B31" t="str">
            <v>BALONNY CARIMBOS INDÚSTRIA E COMÉRCIO LTDA.</v>
          </cell>
          <cell r="C31" t="str">
            <v>ITALO CRUZ</v>
          </cell>
          <cell r="D31" t="str">
            <v>(61) 3556-8420</v>
          </cell>
        </row>
        <row r="32">
          <cell r="A32" t="str">
            <v>BASZI (701540)</v>
          </cell>
          <cell r="B32" t="str">
            <v>BASZI COMERCIAL EIRELI - ME.</v>
          </cell>
          <cell r="C32" t="str">
            <v>LEONARDO SILVA</v>
          </cell>
          <cell r="D32" t="str">
            <v>(62) 3548-1194 / 3085-4131</v>
          </cell>
        </row>
        <row r="33">
          <cell r="A33" t="str">
            <v>BAUMER (32)</v>
          </cell>
          <cell r="B33" t="str">
            <v>BAUMER HOSPITALAR LTDA.</v>
          </cell>
          <cell r="C33" t="str">
            <v>KELLY LEMES</v>
          </cell>
          <cell r="D33" t="str">
            <v>(11) 3670-0008/0007</v>
          </cell>
        </row>
        <row r="34">
          <cell r="A34" t="str">
            <v>BBRAUN (257)</v>
          </cell>
          <cell r="B34" t="str">
            <v>BBRAUN (LABORATÓRIOS B. BRAUN S.A)</v>
          </cell>
          <cell r="C34" t="str">
            <v>NAYGILA</v>
          </cell>
          <cell r="D34" t="str">
            <v>(61) 8111-4423</v>
          </cell>
        </row>
        <row r="35">
          <cell r="A35" t="str">
            <v>BELBI (703418)</v>
          </cell>
          <cell r="B35" t="str">
            <v>BELBI COMÉRCIO IMPORTAÇÃO E EXPORTAÇÃO</v>
          </cell>
          <cell r="C35" t="str">
            <v>VÂNIA</v>
          </cell>
          <cell r="D35" t="str">
            <v>(61) 3201-1312</v>
          </cell>
        </row>
        <row r="36">
          <cell r="A36" t="str">
            <v>BENENUTRI (702930)</v>
          </cell>
          <cell r="B36" t="str">
            <v>BENENUTRI COMERCIAL LTDA - ME</v>
          </cell>
          <cell r="C36" t="str">
            <v>VÂNIA</v>
          </cell>
          <cell r="D36" t="str">
            <v>(61) 3365-1028 / 61 99251-6739</v>
          </cell>
        </row>
        <row r="37">
          <cell r="A37" t="str">
            <v>BHIO SUPPLY (703205)</v>
          </cell>
          <cell r="B37" t="str">
            <v>BHIO SUPPLY - INDÚSTRIA E COMÉRCIO DE EQUIPAMENTOS MÉDICOS LTDA.</v>
          </cell>
          <cell r="C37" t="str">
            <v>DENISE DIAS</v>
          </cell>
          <cell r="D37" t="str">
            <v>(51) 3459-4000 / (51) 3458-4479</v>
          </cell>
        </row>
        <row r="38">
          <cell r="A38" t="str">
            <v>BIOLOG (396)</v>
          </cell>
          <cell r="B38" t="str">
            <v>BIOLOG ENGENHARIA BIOMEDICA LTDA.</v>
          </cell>
          <cell r="C38" t="str">
            <v>LUIZ A. PINEDO</v>
          </cell>
          <cell r="D38" t="str">
            <v>(61) 3248-6496</v>
          </cell>
        </row>
        <row r="39">
          <cell r="A39" t="str">
            <v>BIOPLASMA (702938)</v>
          </cell>
          <cell r="B39" t="str">
            <v>BIOPLASMA PRODUTOS PARA LABORATÓRIO E CORRELATOS LTDA.</v>
          </cell>
          <cell r="C39" t="str">
            <v>MARCELINO ANDRADE</v>
          </cell>
          <cell r="D39" t="str">
            <v>(61) 3362-7993</v>
          </cell>
        </row>
        <row r="40">
          <cell r="A40" t="str">
            <v>BIOSYS (6514)</v>
          </cell>
          <cell r="B40" t="str">
            <v>BIOSYS LTDA</v>
          </cell>
          <cell r="C40" t="str">
            <v>JUCELIO ARAUJO</v>
          </cell>
          <cell r="D40" t="str">
            <v>61-99977-3804</v>
          </cell>
        </row>
        <row r="41">
          <cell r="A41" t="str">
            <v>BIOTEC (701860)</v>
          </cell>
          <cell r="B41" t="str">
            <v>BIOTEC PRODUTOS HOSPITALARES LTDA</v>
          </cell>
          <cell r="C41" t="str">
            <v>MAURICIO ARRUDA / FABIANA</v>
          </cell>
          <cell r="D41" t="str">
            <v>(61) 99212-7139 M / (11) 4818-9000 F</v>
          </cell>
        </row>
        <row r="42">
          <cell r="A42" t="str">
            <v>BIOTÉCNICA (559)</v>
          </cell>
          <cell r="B42" t="str">
            <v>BIOTÉCNICA COMÉRCIO E ASS. DE EQUIP. HOSPITALARES LTDA</v>
          </cell>
          <cell r="C42" t="str">
            <v>BRUNO / MILTON AIRES</v>
          </cell>
          <cell r="D42" t="str">
            <v>(61) 3346-1300</v>
          </cell>
        </row>
        <row r="43">
          <cell r="A43" t="str">
            <v>BR DANTAI (703557)</v>
          </cell>
          <cell r="B43" t="str">
            <v>BR DANTAI DISTRIBUIDOR ATACADISTA LTDA</v>
          </cell>
          <cell r="C43" t="str">
            <v>JAIME / DANIEL ROSSI</v>
          </cell>
          <cell r="D43" t="str">
            <v>(62) 3280-5152</v>
          </cell>
        </row>
        <row r="44">
          <cell r="A44" t="str">
            <v>BRAKKO (1365)</v>
          </cell>
          <cell r="B44" t="str">
            <v>BRAKKO COMÉRCIO E IMPORTAÇÃO LTDA.</v>
          </cell>
          <cell r="C44" t="str">
            <v>MADLEYNE MATOS / MARCELLO CHAGAS</v>
          </cell>
          <cell r="D44" t="str">
            <v>(61) 3349-7006</v>
          </cell>
        </row>
        <row r="45">
          <cell r="A45" t="str">
            <v>BRASFREEZER (700048)</v>
          </cell>
          <cell r="B45" t="str">
            <v>BRASFREEZER REFRIGERAÇÃO E SERVIÇOS LTDA.</v>
          </cell>
          <cell r="C45" t="str">
            <v>ALEXANDRE ALARCÃO</v>
          </cell>
          <cell r="D45" t="str">
            <v>(61) 3562-1069 / 3562-2068</v>
          </cell>
        </row>
        <row r="46">
          <cell r="A46" t="str">
            <v>BRASÍLIA CARTUCHOS (700981)</v>
          </cell>
          <cell r="B46" t="str">
            <v>BRASÍLIA CARTUCHOS E SUPRIMENTOS DE INFORMATICA LTDA - ME.</v>
          </cell>
          <cell r="C46" t="str">
            <v>ANILSON</v>
          </cell>
          <cell r="D46" t="str">
            <v>(61) 3223-3202 / 3965-3302</v>
          </cell>
        </row>
        <row r="47">
          <cell r="A47" t="str">
            <v>BRASILIA SCIENTIFIC (702726)</v>
          </cell>
          <cell r="B47" t="str">
            <v>BRASÍLIA SCIENTIFIC PRODUTOS HOSPITALARES LTDA-EPP.</v>
          </cell>
          <cell r="C47" t="str">
            <v>MAURÍSIO / JANAÍNA</v>
          </cell>
          <cell r="D47" t="str">
            <v>(61) 3021-2203 / 9502-9119</v>
          </cell>
        </row>
        <row r="48">
          <cell r="A48" t="str">
            <v>BRASÍLIA UTILIDADES ()</v>
          </cell>
          <cell r="B48" t="str">
            <v>BRASÍLIA UTILIDADES (KARINA OLIVEIRA DA SILVA - EPP).</v>
          </cell>
          <cell r="C48" t="str">
            <v>KARINA OLIVEIRA DA SILVA</v>
          </cell>
          <cell r="D48" t="str">
            <v>(61) 3022-4010 / 9215-0423</v>
          </cell>
        </row>
        <row r="49">
          <cell r="A49" t="str">
            <v>BRASMÉDICA (51)</v>
          </cell>
          <cell r="B49" t="str">
            <v>BRASMÉDICA HOSPITALAR E ORTOPÉDICA LTDA.</v>
          </cell>
          <cell r="C49" t="str">
            <v>WAGNER SANTOS</v>
          </cell>
          <cell r="D49" t="str">
            <v>(61) 3273-3620</v>
          </cell>
        </row>
        <row r="50">
          <cell r="A50" t="str">
            <v>BS MADEIRAS (700739)</v>
          </cell>
          <cell r="B50" t="str">
            <v>BS MADEIRAS (BS MATERIAL DE CONSTRUÇÃO LTDA)</v>
          </cell>
          <cell r="C50" t="str">
            <v>SELMA ALVES FERREIRA</v>
          </cell>
          <cell r="D50" t="str">
            <v>(61) 8550-7952</v>
          </cell>
        </row>
        <row r="51">
          <cell r="A51" t="str">
            <v>BSB DISTRIBUIÇÃO (700800)</v>
          </cell>
          <cell r="B51" t="str">
            <v>BSB DISTRIBUIÇÃO (BSB CENTRO DE DISTRIBUIÇÃO E LOGÍSTICA EIRELLI-EPP.)</v>
          </cell>
          <cell r="C51" t="str">
            <v>MANUELA / GERALDO VELOSO</v>
          </cell>
          <cell r="D51" t="str">
            <v xml:space="preserve">(61) 3354-5882 / 9658-8778 </v>
          </cell>
        </row>
        <row r="52">
          <cell r="A52" t="str">
            <v>BSB GASES (702829)</v>
          </cell>
          <cell r="B52" t="str">
            <v>BSB GASES E EQUIPAMENTOS MEDICINAIS LTDA - ME.</v>
          </cell>
          <cell r="C52" t="str">
            <v>MANUELA / GERALDO VELOSO</v>
          </cell>
          <cell r="D52" t="str">
            <v xml:space="preserve">(61) 3354-5882 / 9658-8778 </v>
          </cell>
        </row>
        <row r="53">
          <cell r="A53" t="str">
            <v>BSB HOSPITALAR (6509)</v>
          </cell>
          <cell r="B53" t="str">
            <v>BSB HOSPITALAR (BSB COMÉRCIO DE PRODUTOS HOSPITALARES LTDA)</v>
          </cell>
          <cell r="C53" t="str">
            <v>FACOS / ADJAILTON "TOM"</v>
          </cell>
          <cell r="D53" t="str">
            <v>(61) 2104-3444/8139-1153/8418-8951 Facos</v>
          </cell>
        </row>
        <row r="54">
          <cell r="A54" t="str">
            <v>BSB MEDICAL (3958)</v>
          </cell>
          <cell r="B54" t="str">
            <v>BSB MEDICAL LTDA.</v>
          </cell>
          <cell r="C54" t="str">
            <v>GLEIDSON PASSO</v>
          </cell>
          <cell r="D54" t="str">
            <v>(61) 3381-8106 / 9989-8984</v>
          </cell>
        </row>
        <row r="55">
          <cell r="A55" t="str">
            <v>BSD DROGARIA (702743)</v>
          </cell>
          <cell r="B55" t="str">
            <v>BSD DROGARIA E HOSPITLAR LTDA - ME.</v>
          </cell>
          <cell r="C55" t="str">
            <v>PATRÍCIA MEDEIROS / PABLO MIRANDA</v>
          </cell>
          <cell r="D55" t="str">
            <v>(62) 4107-1010/ 3645-3753 / 3954-8639</v>
          </cell>
        </row>
        <row r="56">
          <cell r="A56" t="str">
            <v>CALL MED (701484)</v>
          </cell>
          <cell r="B56" t="str">
            <v>CALL MED DISTRIBUIDORA DE PRODUTOS FARMACÊUTICOS LTDA.</v>
          </cell>
          <cell r="C56" t="str">
            <v>ACACCIO ALVES CAVALCANTE</v>
          </cell>
          <cell r="D56" t="str">
            <v>(62) 3091-1041</v>
          </cell>
        </row>
        <row r="57">
          <cell r="A57" t="str">
            <v>CAMB (3055)</v>
          </cell>
          <cell r="B57" t="str">
            <v>CAMB COMÉRCIO E REPRESENTACOES LTDA</v>
          </cell>
          <cell r="C57" t="str">
            <v>FLÁVIO / RENAN</v>
          </cell>
          <cell r="D57" t="str">
            <v>(31) 3421-2658</v>
          </cell>
        </row>
        <row r="58">
          <cell r="A58" t="str">
            <v>CAMP MED (702584)</v>
          </cell>
          <cell r="B58" t="str">
            <v>CAMP MED COMÉRCIO E REPRESENTAÇÕES EIRELI-EPP.</v>
          </cell>
          <cell r="C58" t="str">
            <v>JACSON ANDRADE</v>
          </cell>
          <cell r="D58" t="str">
            <v>(61) 8103-7393</v>
          </cell>
        </row>
        <row r="59">
          <cell r="A59" t="str">
            <v>CANTINHO DA MAMAE (703358)</v>
          </cell>
          <cell r="B59" t="str">
            <v>CANTINHO DA MAMAE LOCAÇÃO DE BOMBAS E COMÉRCIO DE ARTIGOS INFANTIS LTDA EPP</v>
          </cell>
          <cell r="C59" t="str">
            <v>LUISA / GRACIELE</v>
          </cell>
          <cell r="D59" t="str">
            <v>(11) 2348-4444 R 33</v>
          </cell>
        </row>
        <row r="60">
          <cell r="A60" t="str">
            <v>CARDIOBRAS (1195)</v>
          </cell>
          <cell r="B60" t="str">
            <v>CARDIOBRAS EQUIPAMENTOS HOSPITALARES E ASSISTÊNCIA TÉCNICA LTDA.</v>
          </cell>
          <cell r="C60" t="str">
            <v>TANIO C. RAEFF</v>
          </cell>
          <cell r="D60" t="str">
            <v>(61) 3399-8013</v>
          </cell>
        </row>
        <row r="61">
          <cell r="A61" t="str">
            <v>CASA DA QUIMICA (700119)</v>
          </cell>
          <cell r="B61" t="str">
            <v>CASA DA QUÍMICA LTDA</v>
          </cell>
          <cell r="C61" t="str">
            <v>ROBERTO MARTINS</v>
          </cell>
          <cell r="D61" t="str">
            <v>(61) 3354-9200 / 3354-9229</v>
          </cell>
        </row>
        <row r="62">
          <cell r="A62" t="str">
            <v>CASA DAS ETIQUETAS (700559)</v>
          </cell>
          <cell r="B62" t="str">
            <v>CASA DAS ETIQUETAS BSB LTDA ME.</v>
          </cell>
          <cell r="C62" t="str">
            <v>LAÍS BITTENCOURT</v>
          </cell>
          <cell r="D62" t="str">
            <v>(61) 3562-2129 / 9382-8892</v>
          </cell>
        </row>
        <row r="63">
          <cell r="A63" t="str">
            <v>CBA (700380)</v>
          </cell>
          <cell r="B63" t="str">
            <v>CBA COMÉRCIO DE PRODUTOS HOSPITALARES LTDA.</v>
          </cell>
          <cell r="C63" t="str">
            <v>THIAGO MENDES</v>
          </cell>
          <cell r="D63" t="str">
            <v>(61) 3255-5000</v>
          </cell>
        </row>
        <row r="64">
          <cell r="A64" t="str">
            <v>CDB ()</v>
          </cell>
          <cell r="B64" t="str">
            <v>CDB - CIRURGICA DOM BOSCO</v>
          </cell>
          <cell r="C64" t="str">
            <v>Kléia Leite</v>
          </cell>
          <cell r="D64" t="str">
            <v>(62) 4012-2222 /4012-2225</v>
          </cell>
        </row>
        <row r="65">
          <cell r="A65" t="str">
            <v>CEI (4067)</v>
          </cell>
          <cell r="B65" t="str">
            <v>CEI COMÉRCIO, EXPORTAÇÃO E IMPORTAÇÃO DE MATERIAIS MÉDICOS LTDA.</v>
          </cell>
          <cell r="C65" t="str">
            <v>BIANCA GUEDES/ PAULA TAVARES</v>
          </cell>
          <cell r="D65" t="str">
            <v>(21) 3525-9450 / (61) 9144-9126 Paula</v>
          </cell>
        </row>
        <row r="66">
          <cell r="A66" t="str">
            <v>CENTRAL MEDICA (3579)</v>
          </cell>
          <cell r="B66" t="str">
            <v>CENTRAL MÉDICA LTDA</v>
          </cell>
          <cell r="C66" t="str">
            <v>GLAUBER HUDSON</v>
          </cell>
          <cell r="D66" t="str">
            <v>(61) 3964-2095</v>
          </cell>
        </row>
        <row r="67">
          <cell r="A67" t="str">
            <v>CENTRO OESTE (700502)</v>
          </cell>
          <cell r="B67" t="str">
            <v>CENTRO OESTE HOSPITALAR LTDA.</v>
          </cell>
          <cell r="C67" t="str">
            <v>BRUNO / RONALDO</v>
          </cell>
          <cell r="D67" t="str">
            <v>(67) 3042-2565 / (61) 9615-7892 Ronaldo</v>
          </cell>
        </row>
        <row r="68">
          <cell r="A68" t="str">
            <v>CEPHEID (703752)</v>
          </cell>
          <cell r="B68" t="str">
            <v>CEPHEID BRASIL IMPORTAÇÃO, EXPORTAÇÃO E COMÉRCIO DE PRODUTOS DE DIAGNÓSTICOS LTDA</v>
          </cell>
          <cell r="C68" t="str">
            <v>ANDRÉA CASTRO</v>
          </cell>
          <cell r="D68" t="str">
            <v>(11) 3524 8383 / (11) 98953 5688</v>
          </cell>
        </row>
        <row r="69">
          <cell r="A69" t="str">
            <v>CFB (703591)</v>
          </cell>
          <cell r="B69" t="str">
            <v>CFB MEDICAL PRODUTOS HOSPITALARES E COMERCIO DE MEDICAMENTOS EIRELI</v>
          </cell>
          <cell r="C69" t="str">
            <v>CELSO FELIX BRUN</v>
          </cell>
          <cell r="D69" t="str">
            <v>(61) 4141-9955 / (61) 983513041</v>
          </cell>
        </row>
        <row r="70">
          <cell r="A70" t="str">
            <v>CIA SUPRIMENTOS (703699)</v>
          </cell>
          <cell r="B70" t="str">
            <v>CIA SUPRIMENTOS (AEJ IMPORTAÇÃO E EXPORTAÇÃO DE MATERIAIS HOSPITALARES E EDUCACIONAIS LTDA)</v>
          </cell>
          <cell r="C70" t="str">
            <v>MEYBEL BRANDÃO</v>
          </cell>
          <cell r="D70" t="str">
            <v>(61) 3387-2808</v>
          </cell>
        </row>
        <row r="71">
          <cell r="A71" t="str">
            <v>CID (703462)</v>
          </cell>
          <cell r="B71" t="str">
            <v>CID PRODUTOS MEDICOS HOSPITALARES LTDA EPP</v>
          </cell>
          <cell r="C71" t="str">
            <v>ELISANGELA OLIVEIRA</v>
          </cell>
          <cell r="D71" t="str">
            <v>(61) 3254-1147</v>
          </cell>
        </row>
        <row r="72">
          <cell r="A72" t="str">
            <v>CIENTÍFICA (700617)</v>
          </cell>
          <cell r="B72" t="str">
            <v>CIENTÍFICA MÉDICA HOSPITALAR LTDA.</v>
          </cell>
          <cell r="C72" t="str">
            <v>ALESSANDRA</v>
          </cell>
          <cell r="D72" t="str">
            <v>(62) 3088-9700</v>
          </cell>
        </row>
        <row r="73">
          <cell r="A73" t="str">
            <v>CINCO CONFIANÇA (702125)</v>
          </cell>
          <cell r="B73" t="str">
            <v>CINCO CONFIANÇA INDÚSTRIA E COMÉRCIOLTDA.</v>
          </cell>
          <cell r="C73" t="str">
            <v>Eduardo-Marcela / JULIANA</v>
          </cell>
          <cell r="D73" t="str">
            <v>(62) 3329-4300</v>
          </cell>
        </row>
        <row r="74">
          <cell r="A74" t="str">
            <v>CIRURGICA ALSTYN (702916)</v>
          </cell>
          <cell r="B74" t="str">
            <v>CIRÚRGICA ALSTYN EIRELI - ME.</v>
          </cell>
          <cell r="C74" t="str">
            <v>RUTE TRINDADE</v>
          </cell>
          <cell r="D74" t="str">
            <v>(62) 3284-8732</v>
          </cell>
        </row>
        <row r="75">
          <cell r="A75" t="str">
            <v>CIRÚRGICA FERNANDES (3510)</v>
          </cell>
          <cell r="B75" t="str">
            <v>CIRÚRGICA FERNANDES COMÉRCIO DE MATERIAIS CIRÚRGICOS E HOSP.</v>
          </cell>
          <cell r="C75" t="str">
            <v>Eduardo-Marcela / JULIANA</v>
          </cell>
          <cell r="D75" t="str">
            <v>(61) 3026-5140 /99937-3652 E /  (11) 4152-0525 Juliana</v>
          </cell>
        </row>
        <row r="76">
          <cell r="A76" t="str">
            <v>CIRÚRGICA RIBEIRÃO PRETO (702755)</v>
          </cell>
          <cell r="B76" t="str">
            <v>CIRÚRGICA RIBEIRÃO PRETO</v>
          </cell>
          <cell r="C76" t="str">
            <v>MARCOS VINÍCIUS</v>
          </cell>
          <cell r="D76" t="str">
            <v>(16)  3963-2829 /99364-3235</v>
          </cell>
        </row>
        <row r="77">
          <cell r="A77" t="str">
            <v>CITOPHARMA (701352)</v>
          </cell>
          <cell r="B77" t="str">
            <v>CITOPHARMA - MANIPULAÇÕES PARENTERAIS.</v>
          </cell>
          <cell r="C77" t="str">
            <v>JOSÉ JORGE</v>
          </cell>
          <cell r="D77" t="str">
            <v>(31) 3115-6000</v>
          </cell>
        </row>
        <row r="78">
          <cell r="A78" t="str">
            <v>CLASSE A ()</v>
          </cell>
          <cell r="B78" t="str">
            <v>CLASSE A - COMÉRCIO E SERVIÇOS LTDA - ME.</v>
          </cell>
          <cell r="C78" t="str">
            <v>EDMILSON</v>
          </cell>
          <cell r="D78" t="str">
            <v>(61) 3036-3309</v>
          </cell>
        </row>
        <row r="79">
          <cell r="A79" t="str">
            <v>CMC (702562)</v>
          </cell>
          <cell r="B79" t="str">
            <v>CMC PRODUTOS HOSPITALARES LTDA</v>
          </cell>
          <cell r="C79" t="str">
            <v>CAMILE PRADO / Alessandra</v>
          </cell>
          <cell r="D79" t="str">
            <v>(62) 3942-7141 / 99294-8047 /62 98153-8549-Alessandra</v>
          </cell>
        </row>
        <row r="80">
          <cell r="A80" t="str">
            <v>COMERCIAL PLENITUDE (700777)</v>
          </cell>
          <cell r="B80" t="str">
            <v>COMERCIAL PLENITUDE (CLÉIA REGINA DE SOUSA)</v>
          </cell>
          <cell r="C80" t="str">
            <v>EDMILSON</v>
          </cell>
          <cell r="D80" t="str">
            <v>(61) 3491-2062</v>
          </cell>
        </row>
        <row r="81">
          <cell r="A81" t="str">
            <v>COMERCIAL RIO (702481)</v>
          </cell>
          <cell r="B81" t="str">
            <v>COMERCIAL RIO (EDMILSON FRANCISCO DE OLIVEIRA - ME)</v>
          </cell>
          <cell r="C81" t="str">
            <v>EDMILSON</v>
          </cell>
          <cell r="D81" t="str">
            <v>(61) 3047-2094</v>
          </cell>
        </row>
        <row r="82">
          <cell r="A82" t="str">
            <v>COMLAB (3543)</v>
          </cell>
          <cell r="B82" t="str">
            <v>COMLAB PARTES E SERVICOS LTDA</v>
          </cell>
          <cell r="C82" t="str">
            <v>KELCY HAYANNA</v>
          </cell>
          <cell r="D82" t="str">
            <v>(61) 3245-6892</v>
          </cell>
        </row>
        <row r="83">
          <cell r="A83" t="str">
            <v>CONDOR (700787)</v>
          </cell>
          <cell r="B83" t="str">
            <v>CONDOR COMÉRCIO DE SUPRIMENTOS DE INFORMÁTICA LTDA-ME.</v>
          </cell>
          <cell r="C83" t="str">
            <v>GISLENE DE FÁTIMA</v>
          </cell>
          <cell r="D83" t="str">
            <v>(61) 3034-0909</v>
          </cell>
        </row>
        <row r="84">
          <cell r="A84" t="str">
            <v>CONFECÇÕES SÃO PAULO (700905)</v>
          </cell>
          <cell r="B84" t="str">
            <v>CONFECÇÕES SÃO PAULO</v>
          </cell>
          <cell r="C84" t="str">
            <v>MAURO SÍRIO SIMON</v>
          </cell>
          <cell r="D84" t="str">
            <v>(61) 99598-0480</v>
          </cell>
        </row>
        <row r="85">
          <cell r="A85" t="str">
            <v>CONFITECH (701796)</v>
          </cell>
          <cell r="B85" t="str">
            <v>CONFITECH ASSISTÊNCIA TÉCNICA HOSPITALAR LTDA.</v>
          </cell>
          <cell r="C85" t="str">
            <v>GILSON SANTOS</v>
          </cell>
          <cell r="D85" t="str">
            <v>(61) 8545-9766</v>
          </cell>
        </row>
        <row r="86">
          <cell r="A86" t="str">
            <v>CONTROL THERM ()</v>
          </cell>
          <cell r="B86" t="str">
            <v>CONTROL - THERM AQUECIMENTO E REFRIGERAÇÃO LTDA</v>
          </cell>
          <cell r="C86" t="str">
            <v>Edivan</v>
          </cell>
          <cell r="D86" t="str">
            <v>(61) 99598-0480</v>
          </cell>
        </row>
        <row r="87">
          <cell r="A87" t="str">
            <v>CRISTÁLIA (114)</v>
          </cell>
          <cell r="B87" t="str">
            <v>CRISTÁLIA PRODUTOS QUÍMICOS FARMACÊUTICOS LTDA.</v>
          </cell>
          <cell r="C87" t="str">
            <v>ALEX DINIZ / LUCIANA DOS SANTOS</v>
          </cell>
          <cell r="D87" t="str">
            <v>(61) 8121-7402 Alex / (19) 3863-9512</v>
          </cell>
        </row>
        <row r="88">
          <cell r="A88" t="str">
            <v>CTA (703464)</v>
          </cell>
          <cell r="B88" t="str">
            <v>CTA - CENTRO TECNÓLOGICO EM ADAPTAÇÕES LTDA - ME</v>
          </cell>
          <cell r="C88" t="str">
            <v>EDMILSON</v>
          </cell>
          <cell r="D88" t="str">
            <v>(11) 5093-2527</v>
          </cell>
        </row>
        <row r="89">
          <cell r="A89" t="str">
            <v>CTI  (2046)</v>
          </cell>
          <cell r="B89" t="str">
            <v>CTI COMÉRCIO REPRESENTAÇÕES E ASSISTENCIA TÉCNICA LTDA.</v>
          </cell>
          <cell r="C89" t="str">
            <v>JOSENI BASTOS DE MOURA</v>
          </cell>
          <cell r="D89" t="str">
            <v>(61) 3314-6256</v>
          </cell>
        </row>
        <row r="90">
          <cell r="A90" t="str">
            <v>CVS (703292)</v>
          </cell>
          <cell r="B90" t="str">
            <v>CVS DE OLIVEIRA COMERCIAL E SERVIÇOS EIRELI-ME</v>
          </cell>
          <cell r="C90" t="str">
            <v>EDMILSON</v>
          </cell>
          <cell r="D90" t="str">
            <v>(61) 3257-9943</v>
          </cell>
        </row>
        <row r="91">
          <cell r="A91" t="str">
            <v>D2MA (700796)</v>
          </cell>
          <cell r="B91" t="str">
            <v>D2MA COMÉRCIO E SERVIÇOS DE INFORMATICA ME.</v>
          </cell>
          <cell r="C91" t="str">
            <v>JOSÉ LUIZ</v>
          </cell>
          <cell r="D91" t="str">
            <v>(61) 3038-1011 / 8190-0176</v>
          </cell>
        </row>
        <row r="92">
          <cell r="A92" t="str">
            <v>DALIA HOSPITALAR (702700)</v>
          </cell>
          <cell r="B92" t="str">
            <v>DALIA HOSPITALAR LTDA.</v>
          </cell>
          <cell r="C92" t="str">
            <v>KAIRITA</v>
          </cell>
          <cell r="D92" t="str">
            <v>(62) 8227-0006</v>
          </cell>
        </row>
        <row r="93">
          <cell r="A93" t="str">
            <v>DEL GRANDI (701963)</v>
          </cell>
          <cell r="B93" t="str">
            <v>DEL GRANDI COMERCIAL LTDA - EPP.</v>
          </cell>
          <cell r="C93" t="str">
            <v>JOÃO DEL GRANDI JR.</v>
          </cell>
          <cell r="D93" t="str">
            <v>(11) 2977-8266</v>
          </cell>
        </row>
        <row r="94">
          <cell r="A94" t="str">
            <v>DELTA (702207)</v>
          </cell>
          <cell r="B94" t="str">
            <v xml:space="preserve">DELTA MED COMÉRCIO DE PRODUTOS HOSPITALARES LTDA. </v>
          </cell>
          <cell r="C94" t="str">
            <v>FERNANDA</v>
          </cell>
          <cell r="D94" t="str">
            <v>(62) 3998-4950 / (62) 3945-8050</v>
          </cell>
        </row>
        <row r="95">
          <cell r="A95" t="str">
            <v>DELTRONIX (703599)</v>
          </cell>
          <cell r="B95" t="str">
            <v>DELTRONIX EQUIPAMENTOS LTDA</v>
          </cell>
          <cell r="C95" t="str">
            <v>JOSÉ RAIMUNDO / LUCIANO</v>
          </cell>
          <cell r="D95" t="str">
            <v>(16) 4004-5454 / (61) 98101-6794 J</v>
          </cell>
        </row>
        <row r="96">
          <cell r="A96" t="str">
            <v>DENTAL FORTE (703098)</v>
          </cell>
          <cell r="B96" t="str">
            <v>DENTAL FORTE (RAFAEL SILVA ARAUJO 74509535104)</v>
          </cell>
          <cell r="C96" t="str">
            <v>RAFAEL SILVA</v>
          </cell>
          <cell r="D96" t="str">
            <v>(61) 3967-9186</v>
          </cell>
        </row>
        <row r="97">
          <cell r="A97" t="str">
            <v>DENTAL PRINCIPAL (701032)</v>
          </cell>
          <cell r="B97" t="str">
            <v>DENTAL PRINCIPAL (PRINCIPAL ARTIGOS DENTARIOS LTDA EPP).</v>
          </cell>
          <cell r="C97" t="str">
            <v>RIBEIRO DE JESUS MARTINS</v>
          </cell>
          <cell r="D97" t="str">
            <v>(61) 3037-3772</v>
          </cell>
        </row>
        <row r="98">
          <cell r="A98" t="str">
            <v>DESCARTEK (703689)</v>
          </cell>
          <cell r="B98" t="str">
            <v>DESCARTEK</v>
          </cell>
          <cell r="C98" t="str">
            <v>MARCELO FEIJÓ</v>
          </cell>
          <cell r="D98" t="str">
            <v>(61) 8199-4595</v>
          </cell>
        </row>
        <row r="99">
          <cell r="A99" t="str">
            <v>DIAGLAB (701027)</v>
          </cell>
          <cell r="B99" t="str">
            <v>DIAGLAB PRODUTOS PARA LABORATÓRIO LTDA - EPP.</v>
          </cell>
          <cell r="C99" t="str">
            <v>PAULO LESSA</v>
          </cell>
          <cell r="D99" t="str">
            <v>(61) 3047-2222</v>
          </cell>
        </row>
        <row r="100">
          <cell r="A100" t="str">
            <v>DIMACI (1858)</v>
          </cell>
          <cell r="B100" t="str">
            <v>DIMACI MATERIAL CIRURGICO LTDA.</v>
          </cell>
          <cell r="C100" t="str">
            <v>JULIO CESAR</v>
          </cell>
          <cell r="D100" t="str">
            <v>(61) 3381-3661</v>
          </cell>
        </row>
        <row r="101">
          <cell r="A101" t="str">
            <v>DIRK (703322)</v>
          </cell>
          <cell r="B101" t="str">
            <v>DIRK LABIMED LTDA ME</v>
          </cell>
          <cell r="C101" t="str">
            <v>VINICIUS</v>
          </cell>
          <cell r="D101" t="str">
            <v>(62) 3565-1600 / (62) 99147-6733</v>
          </cell>
        </row>
        <row r="102">
          <cell r="A102" t="str">
            <v>DISPOMED (700858)</v>
          </cell>
          <cell r="B102" t="str">
            <v>DISPOMED PRODUTOS MÉDICOS LTDA.</v>
          </cell>
          <cell r="C102" t="str">
            <v>MARTINS - FERNANDO VECCHI</v>
          </cell>
          <cell r="D102" t="str">
            <v>(62) 3932-4611</v>
          </cell>
        </row>
        <row r="103">
          <cell r="A103" t="str">
            <v>DISTRIBUIDORA BRASIL (701810)</v>
          </cell>
          <cell r="B103" t="str">
            <v>DISTRIBUIDORA BRASIL COMÉRCIO PROD. HOSP. LTDA.</v>
          </cell>
          <cell r="C103" t="str">
            <v>EDUARDO CARDOSO</v>
          </cell>
          <cell r="D103" t="str">
            <v>(62) 3565-1600 / (62) 99147-6733</v>
          </cell>
        </row>
        <row r="104">
          <cell r="A104" t="str">
            <v>DISTRIMIX ()</v>
          </cell>
          <cell r="B104" t="str">
            <v>DISTRIMIX DISTRIBUIDORA DE MEDICAMENTOS LTDA</v>
          </cell>
          <cell r="C104" t="str">
            <v>CYNDI HELEINNE</v>
          </cell>
          <cell r="D104" t="str">
            <v>(62) 3142-1952/ (62) 9 8154-1095</v>
          </cell>
        </row>
        <row r="105">
          <cell r="A105" t="str">
            <v>DMG (3149)</v>
          </cell>
          <cell r="B105" t="str">
            <v>DMG COMÉRCIO E REPRESENTACOES LTDA.</v>
          </cell>
          <cell r="C105" t="str">
            <v>FELIPE SEABRA</v>
          </cell>
          <cell r="D105" t="str">
            <v>(61) 9699-4908</v>
          </cell>
        </row>
        <row r="106">
          <cell r="A106" t="str">
            <v>DMI (2073)</v>
          </cell>
          <cell r="B106" t="str">
            <v>DMI MATERIAL MÉDICO HOPITALAR LTDA - ME.</v>
          </cell>
          <cell r="C106" t="str">
            <v>Washington / ADRIANA</v>
          </cell>
          <cell r="D106" t="str">
            <v>(61) 3048-7650</v>
          </cell>
        </row>
        <row r="107">
          <cell r="A107" t="str">
            <v>DOMAX (703241)</v>
          </cell>
          <cell r="B107" t="str">
            <v>DOMAX INDUSTRIA COMÉRCIO IMPORTAÇÃO E EXPORTAÇÃO DE EQUIPAMENTOS HOSPITALARES</v>
          </cell>
          <cell r="C107" t="str">
            <v>DAYSE DYANE</v>
          </cell>
          <cell r="D107" t="str">
            <v>(11) 56412445</v>
          </cell>
        </row>
        <row r="108">
          <cell r="A108" t="str">
            <v>DROGALARES (703509)</v>
          </cell>
          <cell r="B108" t="str">
            <v>DROGALARES (ANDRE FELIPE LARES CAMARGO)</v>
          </cell>
          <cell r="C108" t="str">
            <v>ANDRE LARES</v>
          </cell>
          <cell r="D108" t="str">
            <v>(61) 992125758</v>
          </cell>
        </row>
        <row r="109">
          <cell r="A109" t="str">
            <v>DS MEDICAL (702905)</v>
          </cell>
          <cell r="B109" t="str">
            <v>DS MEDICAL COMÉRCIO E SERVIÇOS DE EQUIPAMENTOS MÉD. HOSP. EIRELI.</v>
          </cell>
          <cell r="C109" t="str">
            <v>DIEGO CABRAL</v>
          </cell>
          <cell r="D109" t="str">
            <v>(61) 9644-2463 / (61) 8169-1157</v>
          </cell>
        </row>
        <row r="110">
          <cell r="A110" t="str">
            <v>DTUDO (701944)</v>
          </cell>
          <cell r="B110" t="str">
            <v>DTUDO DISTRIBUIDORA HOSPITALAR EIRELI - ME.</v>
          </cell>
          <cell r="C110" t="str">
            <v>HALISSON</v>
          </cell>
          <cell r="D110" t="str">
            <v>(62) 3289-5959 / (62) 3295-1951</v>
          </cell>
        </row>
        <row r="111">
          <cell r="A111" t="str">
            <v>ECOMED (701313)</v>
          </cell>
          <cell r="B111" t="str">
            <v>ECOMED COMÉRCIO DE PRODUTOS MEDICOS LTDA.</v>
          </cell>
          <cell r="C111" t="str">
            <v>ANDERSON LEÃO MEIRELES BARBOSA</v>
          </cell>
          <cell r="D111" t="str">
            <v>(61) 3621-1160</v>
          </cell>
        </row>
        <row r="112">
          <cell r="A112" t="str">
            <v>ECOPRINT (701495)</v>
          </cell>
          <cell r="B112" t="str">
            <v>ECOPRINT LOCAÇÃO E COMÉRCIO DE EQUIPAMENTOS ELETRÔNICOS</v>
          </cell>
          <cell r="C112" t="str">
            <v>TIAGO GOMES</v>
          </cell>
          <cell r="D112" t="str">
            <v>(61) 8154-4326 / 9333-5818</v>
          </cell>
        </row>
        <row r="113">
          <cell r="A113" t="str">
            <v>EDJ (702924)</v>
          </cell>
          <cell r="B113" t="str">
            <v>EDJ INDÚSTRIA E COMPERCIO EIRELI-ME</v>
          </cell>
          <cell r="C113" t="str">
            <v>Tatielly Cristine G. Costa</v>
          </cell>
          <cell r="D113" t="str">
            <v>(62)3088-5331 / 3256-8857</v>
          </cell>
        </row>
        <row r="114">
          <cell r="A114" t="str">
            <v>EFICÁCIA (701959)</v>
          </cell>
          <cell r="B114" t="str">
            <v>EFICÁCIA MANIPULAÇÕES E DROGARIA LTDA-ME.</v>
          </cell>
          <cell r="C114" t="str">
            <v>ANDERSON LEÃO MEIRELES BARBOSA</v>
          </cell>
          <cell r="D114" t="str">
            <v>(61) 3621-1160</v>
          </cell>
        </row>
        <row r="115">
          <cell r="A115" t="str">
            <v>ELÉTRICA ESTRELA (702334)</v>
          </cell>
          <cell r="B115" t="str">
            <v>ELETRICA ESTRELA LTDA.</v>
          </cell>
          <cell r="C115" t="str">
            <v>EDINALDO</v>
          </cell>
          <cell r="D115" t="str">
            <v>(61) 3434-7004</v>
          </cell>
        </row>
        <row r="116">
          <cell r="A116" t="str">
            <v>ELÉTRICA PISTÃO (702896)</v>
          </cell>
          <cell r="B116" t="str">
            <v>ELÉTRICA PISTÃO (JAIRO LOPES FERREIRA - EPP)</v>
          </cell>
          <cell r="C116" t="str">
            <v>FANCIVALDO</v>
          </cell>
          <cell r="D116" t="str">
            <v>(61) 3033-7772</v>
          </cell>
        </row>
        <row r="117">
          <cell r="A117" t="str">
            <v>ELÉTRICA REGIONAL (701099)</v>
          </cell>
          <cell r="B117" t="str">
            <v>ELÉTRICA REGIONAL (REGIONAL MATERIAL ELÉTRICO LTDA)</v>
          </cell>
          <cell r="C117" t="str">
            <v>RONIE TAVARES</v>
          </cell>
          <cell r="D117" t="str">
            <v>(61) 3384-2677</v>
          </cell>
        </row>
        <row r="118">
          <cell r="A118" t="str">
            <v>ELETRO TERRÍVEL (2118)</v>
          </cell>
          <cell r="B118" t="str">
            <v>ELETRO TERRIVEL LTDA.</v>
          </cell>
          <cell r="C118" t="str">
            <v>PATRÍCIA</v>
          </cell>
          <cell r="D118" t="str">
            <v>(11) 3959-6875</v>
          </cell>
        </row>
        <row r="119">
          <cell r="A119" t="str">
            <v>ELETROSPITALAR (162)</v>
          </cell>
          <cell r="B119" t="str">
            <v>ELETROSPITALAR COMÉRCIO E ASSISTÊNCIA TÉCNICA LTDA</v>
          </cell>
          <cell r="C119" t="str">
            <v>JORNEI MONTEIRO</v>
          </cell>
          <cell r="D119" t="str">
            <v>(61) 3346-1443 / 9360-7019</v>
          </cell>
        </row>
        <row r="120">
          <cell r="A120" t="str">
            <v>ELLO (702153)</v>
          </cell>
          <cell r="B120" t="str">
            <v>ELLO DISTRIBUIÇÃO LTDA - EPP</v>
          </cell>
          <cell r="C120" t="str">
            <v>ANA LIVIA SOUZA ARAUJO</v>
          </cell>
          <cell r="D120" t="str">
            <v>(62) 3565-3354</v>
          </cell>
        </row>
        <row r="121">
          <cell r="A121" t="str">
            <v>EMEDCAL (700674)</v>
          </cell>
          <cell r="B121" t="str">
            <v>EMEDCAL COMÉRCIO DE PRODUTOS HOSPITALARES LTDA</v>
          </cell>
          <cell r="C121" t="str">
            <v>EMILY PAZ</v>
          </cell>
          <cell r="D121" t="str">
            <v>(61) 3034-5026 - (61) 99147-0450</v>
          </cell>
        </row>
        <row r="122">
          <cell r="A122" t="str">
            <v>EQUIPEMED (701187)</v>
          </cell>
          <cell r="B122" t="str">
            <v>EQUIPEMED (JS PRODUTOS MEDICO-HOSPITALARES LTDA).</v>
          </cell>
          <cell r="C122" t="str">
            <v>JOSÉ AIRTON</v>
          </cell>
          <cell r="D122" t="str">
            <v>(61) 3356-6039 / 3356-6051</v>
          </cell>
        </row>
        <row r="123">
          <cell r="A123" t="str">
            <v>EQUIPLEX (3147)</v>
          </cell>
          <cell r="B123" t="str">
            <v>EQUIPLEX INDÚSTRIA  FARMACEUTICA LTDA.</v>
          </cell>
          <cell r="C123" t="str">
            <v>MAURO SÍRIO SIMON</v>
          </cell>
          <cell r="D123" t="str">
            <v>(61) 3234-4395 / 8422-1598</v>
          </cell>
        </row>
        <row r="124">
          <cell r="A124" t="str">
            <v>ERIDATA (3793)</v>
          </cell>
          <cell r="B124" t="str">
            <v>ERIDATA TELEINFORMATICA LTDA</v>
          </cell>
          <cell r="C124" t="str">
            <v>EDILSON/FÁTIMA RAMALHO</v>
          </cell>
          <cell r="D124" t="str">
            <v>(61)3322-2121</v>
          </cell>
        </row>
        <row r="125">
          <cell r="A125" t="str">
            <v>ÉTICA (703252)</v>
          </cell>
          <cell r="B125" t="str">
            <v>ÉTICA HOSPITALAR EIRELI-ME</v>
          </cell>
          <cell r="C125" t="str">
            <v>SILVANA MARQUES ROCHA LIMA</v>
          </cell>
          <cell r="D125" t="str">
            <v>(62) 3226-3263 / (62) 3636-5877</v>
          </cell>
        </row>
        <row r="126">
          <cell r="A126" t="str">
            <v>ETIFLEX ()</v>
          </cell>
          <cell r="B126" t="str">
            <v>ETIFLEX RÓTULOS E ETIQUETAS LTDA.</v>
          </cell>
          <cell r="C126" t="str">
            <v>SIMONE</v>
          </cell>
          <cell r="D126" t="str">
            <v>(61) 3465-2210 / 8125-1406</v>
          </cell>
        </row>
        <row r="127">
          <cell r="A127" t="str">
            <v>EUROPA (2057)</v>
          </cell>
          <cell r="B127" t="str">
            <v>EUROPA MEDICO SERVICE LTDA.</v>
          </cell>
          <cell r="C127" t="str">
            <v>KELLY</v>
          </cell>
          <cell r="D127" t="str">
            <v>(81) 34237344</v>
          </cell>
        </row>
        <row r="128">
          <cell r="A128" t="str">
            <v>EXATECH (3941)</v>
          </cell>
          <cell r="B128" t="str">
            <v>EXATECH INDÚSTRIA E COMÉRCIO LTDA.</v>
          </cell>
          <cell r="C128" t="str">
            <v>KELLY / RODRIGO TOLEDO</v>
          </cell>
          <cell r="D128" t="str">
            <v>(62) 3942-2225</v>
          </cell>
        </row>
        <row r="129">
          <cell r="A129" t="str">
            <v>FABRICON ()</v>
          </cell>
          <cell r="B129" t="str">
            <v>FABRICON (ATHOS E.B. DA COSTA COM. E SERVIÇOS DE SERRALHERIA EPP).</v>
          </cell>
          <cell r="C129" t="str">
            <v>IVALDO JUNIOR</v>
          </cell>
          <cell r="D129" t="str">
            <v>(61) 3356-6107 / 6201-5641</v>
          </cell>
        </row>
        <row r="130">
          <cell r="A130" t="str">
            <v>FARMACE (1842)</v>
          </cell>
          <cell r="B130" t="str">
            <v>FARMACE INDÚSTRIA QUIMICO FARMACEUTICA CEARENSE LTDA.</v>
          </cell>
          <cell r="C130" t="str">
            <v>CATIANE LANDIM</v>
          </cell>
          <cell r="D130" t="str">
            <v>(88) 3532-7000</v>
          </cell>
        </row>
        <row r="131">
          <cell r="A131" t="str">
            <v>FARMACONN (3089)</v>
          </cell>
          <cell r="B131" t="str">
            <v>FARMACONN LTDA.</v>
          </cell>
          <cell r="C131" t="str">
            <v>ANDREA / VERA</v>
          </cell>
          <cell r="D131" t="str">
            <v>(31) 2111-7575</v>
          </cell>
        </row>
        <row r="132">
          <cell r="A132" t="str">
            <v>FARMAGREEN ()</v>
          </cell>
          <cell r="B132" t="str">
            <v>FARMAGREEN MANIPULAÇÕES E HOMEOPATIA</v>
          </cell>
          <cell r="C132" t="str">
            <v>ALÍPIO GOMES</v>
          </cell>
          <cell r="D132" t="str">
            <v>(61) 3443-0581</v>
          </cell>
        </row>
        <row r="133">
          <cell r="A133" t="str">
            <v>FARMARIM (701211)</v>
          </cell>
          <cell r="B133" t="str">
            <v>FARMARIN INDUSTRIA E COMERCIO LTDA</v>
          </cell>
          <cell r="C133" t="str">
            <v>ROSANA QUEIROZ</v>
          </cell>
          <cell r="D133" t="str">
            <v>(11) 2402 8800 / (11) 94056-0153</v>
          </cell>
        </row>
        <row r="134">
          <cell r="A134" t="str">
            <v>FARMATEX DO BRASIL (703448)</v>
          </cell>
          <cell r="B134" t="str">
            <v>FARMATEX DO BRASIL S/A</v>
          </cell>
          <cell r="C134" t="str">
            <v>JOSEMAR RAMOS</v>
          </cell>
          <cell r="D134" t="str">
            <v>(41) 3023-7763</v>
          </cell>
        </row>
        <row r="135">
          <cell r="A135" t="str">
            <v>FARQUÍMICA (700633)</v>
          </cell>
          <cell r="B135" t="str">
            <v>FARQUÍMICA DISTRIBUIDORA DE MEDICAMENTOS LTDA.</v>
          </cell>
          <cell r="C135" t="str">
            <v>JUNIOR</v>
          </cell>
          <cell r="D135" t="str">
            <v>(62) 3575-6534</v>
          </cell>
        </row>
        <row r="136">
          <cell r="A136" t="str">
            <v>FDF HOSPITALAR (702325)</v>
          </cell>
          <cell r="B136" t="str">
            <v>FDF HOSPITALAR (FDF DISTRIBUIDORA DE MEDICAMENTOS HOSP LTDA).</v>
          </cell>
          <cell r="C136" t="str">
            <v>ADRIANO</v>
          </cell>
          <cell r="D136" t="str">
            <v>(62) 3549-8373</v>
          </cell>
        </row>
        <row r="137">
          <cell r="A137" t="str">
            <v>FENIX MATERIAIS (703244)</v>
          </cell>
          <cell r="B137" t="str">
            <v>FENIX MATERIAIS DE CONSTRUÇÃO</v>
          </cell>
          <cell r="C137" t="str">
            <v>ALBERTO / ELISABETE CARLOS</v>
          </cell>
          <cell r="D137" t="str">
            <v>(61) 98593-6306 / (61) 3024-5212</v>
          </cell>
        </row>
        <row r="138">
          <cell r="A138" t="str">
            <v>FERRAGENS BRILHAR (702404)</v>
          </cell>
          <cell r="B138" t="str">
            <v>FERRAGENS BRILHAR (JOSÉ ESPEDITO CAVALCANTI - ME)</v>
          </cell>
          <cell r="C138" t="str">
            <v>JOSÉ ESPEDITO CAVALCANTE</v>
          </cell>
          <cell r="D138" t="str">
            <v>(61) 3965-6885 – (61) 9222-3959</v>
          </cell>
        </row>
        <row r="139">
          <cell r="A139" t="str">
            <v>FERRAGENS GAMA (3580)</v>
          </cell>
          <cell r="B139" t="str">
            <v>FERRAGENS GAMA COMÉRCIO LTDA-ME.</v>
          </cell>
          <cell r="C139" t="str">
            <v>ADRIANO WESLEY. F. PAIVA</v>
          </cell>
          <cell r="D139" t="str">
            <v>(61) 3484-1313 / 1300</v>
          </cell>
        </row>
        <row r="140">
          <cell r="A140" t="str">
            <v>FERRAGENS LÍDER (700064)</v>
          </cell>
          <cell r="B140" t="str">
            <v>FERRAGENS LÍDER COMÉRCIO E SERVIÇOS LTDA.</v>
          </cell>
          <cell r="C140" t="str">
            <v>VILMAR</v>
          </cell>
          <cell r="D140" t="str">
            <v>(61) 3384-3803</v>
          </cell>
        </row>
        <row r="141">
          <cell r="A141" t="str">
            <v>FERRAGENS LÍDER GAMA (702713)</v>
          </cell>
          <cell r="B141" t="str">
            <v>FERRAGENS LIDER GAMA COMÉRCIO E SERVIÇOS LTDA.</v>
          </cell>
          <cell r="C141" t="str">
            <v>VILMAR</v>
          </cell>
          <cell r="D141" t="str">
            <v>(61) 3384-3803</v>
          </cell>
        </row>
        <row r="142">
          <cell r="A142" t="str">
            <v>FICXAR (703647)</v>
          </cell>
          <cell r="B142" t="str">
            <v xml:space="preserve">FICXAR COMUNICAÇÃO EIRELI </v>
          </cell>
          <cell r="C142" t="str">
            <v>GLÊNIO RODRIGUES TIBA</v>
          </cell>
          <cell r="D142" t="str">
            <v>(61) 3475-1992</v>
          </cell>
        </row>
        <row r="143">
          <cell r="A143" t="str">
            <v>FJ COMÉRCIO (703245)</v>
          </cell>
          <cell r="B143" t="str">
            <v>FJ COMERCIO E DISTRIBUIÇÃO LTDA ME</v>
          </cell>
          <cell r="C143" t="str">
            <v>FÁBIO</v>
          </cell>
          <cell r="D143" t="str">
            <v>(62) 3996-5636 / 3996-5638 / 9-9184-5636</v>
          </cell>
        </row>
        <row r="144">
          <cell r="A144" t="str">
            <v>FLUKKA (702981)</v>
          </cell>
          <cell r="B144" t="str">
            <v>FLUKKA LABORATÓRIO DE MANIPULAÇÃO.</v>
          </cell>
          <cell r="C144" t="str">
            <v>FELIPE NOVAES DE CARVALHO</v>
          </cell>
          <cell r="D144" t="str">
            <v>(11) 4421-9849</v>
          </cell>
        </row>
        <row r="145">
          <cell r="A145" t="str">
            <v>FÓRMULAS MAGISTRAIS (702511)</v>
          </cell>
          <cell r="B145" t="str">
            <v>FÓRMULAS MAGISTRAIS MANIPULAÇÕES ESPECIAIS LTDA-EPP.</v>
          </cell>
          <cell r="C145" t="str">
            <v>JÉSSICA REIS / MÔNICA COPOLLA</v>
          </cell>
          <cell r="D145" t="str">
            <v>(21) 3593-0873 / (21) 2456-6865</v>
          </cell>
        </row>
        <row r="146">
          <cell r="A146" t="str">
            <v>FORT ()</v>
          </cell>
          <cell r="B146" t="str">
            <v>FORT PAPELARIA E INFORMÁTICA  E SERVIÇOS LTDA-ME</v>
          </cell>
          <cell r="C146" t="str">
            <v>IVONETE PEREIRA</v>
          </cell>
          <cell r="D146" t="str">
            <v>(61) 3361-4338</v>
          </cell>
        </row>
        <row r="147">
          <cell r="A147" t="str">
            <v>FPS (703054)</v>
          </cell>
          <cell r="B147" t="str">
            <v>FPS REPRESENTAÇÃO E COMÉRCIO DE MATERIAL MÉDICO HOSPITALAR LTDA</v>
          </cell>
          <cell r="C147" t="str">
            <v>NILTON DOS SANTOS</v>
          </cell>
          <cell r="D147" t="str">
            <v>(61) 99982-5017</v>
          </cell>
        </row>
        <row r="148">
          <cell r="A148" t="str">
            <v>FRADEL (700651)</v>
          </cell>
          <cell r="B148" t="str">
            <v>FRADEL MED INDÚSTRIA E COMÉRCIO APAR. MEDICOS LTDA.</v>
          </cell>
          <cell r="C148" t="str">
            <v>ANTÔNIO UILAME FELIX DA SILVA</v>
          </cell>
          <cell r="D148" t="str">
            <v>(11) 5562-3541</v>
          </cell>
        </row>
        <row r="149">
          <cell r="A149" t="str">
            <v>FRAGA (702350)</v>
          </cell>
          <cell r="B149" t="str">
            <v>FRAGA PRODUTOS HOSPITALARES LTDA.</v>
          </cell>
          <cell r="C149" t="str">
            <v>DAVID ROBERTO</v>
          </cell>
          <cell r="D149" t="str">
            <v>(62) 3094-9040 / (62) 9234-8107</v>
          </cell>
        </row>
        <row r="150">
          <cell r="A150" t="str">
            <v>G.A.C. FREITAS (701309)</v>
          </cell>
          <cell r="B150" t="str">
            <v>G.A.C FREITAS COMERCIAL.</v>
          </cell>
          <cell r="C150" t="str">
            <v>MAURO SÍRIO SIMON</v>
          </cell>
          <cell r="D150" t="str">
            <v>(61) 8422-1598 / 3234-4395</v>
          </cell>
        </row>
        <row r="151">
          <cell r="A151" t="str">
            <v>GAMACORP (700816)</v>
          </cell>
          <cell r="B151" t="str">
            <v>GAMACORP HOSPITALAR - COMÉRCIO DE MEDICAMENTOS LTDA - EPP.</v>
          </cell>
          <cell r="C151" t="str">
            <v>DANIELA G.</v>
          </cell>
          <cell r="D151" t="str">
            <v>(19) 3367-6913</v>
          </cell>
        </row>
        <row r="152">
          <cell r="A152" t="str">
            <v>GENESYS (703574)</v>
          </cell>
          <cell r="B152" t="str">
            <v>GENESYS COMÉRCIO DE MATERIAL MÉDICO HOSPITALAR LTDA</v>
          </cell>
          <cell r="C152" t="str">
            <v>FELIPE SEABRA</v>
          </cell>
          <cell r="D152" t="str">
            <v>(61) 9927-1449</v>
          </cell>
        </row>
        <row r="153">
          <cell r="A153" t="str">
            <v>GENÉTICA (418)</v>
          </cell>
          <cell r="B153" t="str">
            <v>GENÉTICA COMÉRCIO IMPORTAÇÃO E EXPORTAÇÃO EIRELI.</v>
          </cell>
          <cell r="C153" t="str">
            <v>IVONETE PEREIRA/DEBORA SOUZA</v>
          </cell>
          <cell r="D153" t="str">
            <v>(61) 3361-4338/3048-9073</v>
          </cell>
        </row>
        <row r="154">
          <cell r="A154" t="str">
            <v>GLOBAL (702998)</v>
          </cell>
          <cell r="B154" t="str">
            <v xml:space="preserve">GLOBAL HOSPITALAR IMPORTAÇÃO E COMÉRCIO LTDA </v>
          </cell>
          <cell r="C154" t="str">
            <v>FABIANA / ROSE</v>
          </cell>
          <cell r="D154" t="str">
            <v>(31) 3315-2020 / 2516-6198 / 2516-6199</v>
          </cell>
        </row>
        <row r="155">
          <cell r="A155" t="str">
            <v>GOIÂNIA (3392)</v>
          </cell>
          <cell r="B155" t="str">
            <v>GOIÂNIA MÉDICA PRODUTOS HOSPITALARES LTDA.</v>
          </cell>
          <cell r="C155" t="str">
            <v>NATÁLIA LAVOR</v>
          </cell>
          <cell r="D155" t="str">
            <v>(61) 3386-0707 / (62) 3281-6462</v>
          </cell>
        </row>
        <row r="156">
          <cell r="A156" t="str">
            <v>GOLD GÁS (703034)</v>
          </cell>
          <cell r="B156" t="str">
            <v>GOLD GÁS (BHC COMÉRCIO DE GASES E TRANSPORTES LTDA-ME)</v>
          </cell>
          <cell r="C156" t="str">
            <v>ÁUREA ALVES</v>
          </cell>
          <cell r="D156" t="str">
            <v>(61) 8472-3648 (61) 3484-1756</v>
          </cell>
        </row>
        <row r="157">
          <cell r="A157" t="str">
            <v>GRIFOLS (702165)</v>
          </cell>
          <cell r="B157" t="str">
            <v>GRIFOLS BRASIL LTDA</v>
          </cell>
          <cell r="C157" t="str">
            <v>JOÃO OLIVEIRA / GILMAR</v>
          </cell>
          <cell r="D157" t="str">
            <v>(41) 3375-5450 (61) 99201-2440 João</v>
          </cell>
        </row>
        <row r="158">
          <cell r="A158" t="str">
            <v>H &amp; F SALES (702232)</v>
          </cell>
          <cell r="B158" t="str">
            <v>H &amp; F SALES LTDA (TIRADENTES COMÉRCIO EXTERIOR)</v>
          </cell>
          <cell r="C158" t="str">
            <v>DALTON SANTOS</v>
          </cell>
          <cell r="D158" t="str">
            <v>(61) 3225-1020 / (62) 3221-8900 / (61) 99115-8748 DALTON</v>
          </cell>
        </row>
        <row r="159">
          <cell r="A159" t="str">
            <v>HALEX ISTAR (259)</v>
          </cell>
          <cell r="B159" t="str">
            <v>HALEX ISTAR INDÚSTRIA FARMACEUTICA LTDA.</v>
          </cell>
          <cell r="C159" t="str">
            <v>PAULO CARVALO</v>
          </cell>
          <cell r="D159" t="str">
            <v>(62) 3265-6500</v>
          </cell>
        </row>
        <row r="160">
          <cell r="A160" t="str">
            <v>HAOXI (702729)</v>
          </cell>
          <cell r="B160" t="str">
            <v>HAOXI - EQUIPAMENTOS MÉDICOS HOSPITALARES LTDA.</v>
          </cell>
          <cell r="C160" t="str">
            <v>DAYSE DYANE</v>
          </cell>
          <cell r="D160" t="str">
            <v>(11) 5642-0587 - (11) 5642-0347</v>
          </cell>
        </row>
        <row r="161">
          <cell r="A161" t="str">
            <v>HCS (701782)</v>
          </cell>
          <cell r="B161" t="str">
            <v>HCS (HENRIQUE CANDIDO SANTANA HCS DISTRIBUIDORA ODONTO-HOSPITALAR - ME).</v>
          </cell>
          <cell r="C161" t="str">
            <v>HENRIQUE</v>
          </cell>
          <cell r="D161" t="str">
            <v>(62) 3575-6534 / (62) 8519-2265</v>
          </cell>
        </row>
        <row r="162">
          <cell r="A162" t="str">
            <v>HELP FARMA (701722)</v>
          </cell>
          <cell r="B162" t="str">
            <v>HELP FARMA PRODUTOS FARMACÊUTICOS LTDA.</v>
          </cell>
          <cell r="C162" t="str">
            <v>CATARINA DE JESUS</v>
          </cell>
          <cell r="D162" t="str">
            <v>0800.2830.080 / (31) 3071-0667</v>
          </cell>
        </row>
        <row r="163">
          <cell r="A163" t="str">
            <v>HEMOGRAM (5424)</v>
          </cell>
          <cell r="B163" t="str">
            <v>HEMOGRAM IND E COMÉRCIO DE PROD. HOSP. LTDA.</v>
          </cell>
          <cell r="C163" t="str">
            <v>LUCIAMARA CARLINI</v>
          </cell>
          <cell r="D163" t="str">
            <v>(11) 4035-8500 / (11) 99363 1989</v>
          </cell>
        </row>
        <row r="164">
          <cell r="A164" t="str">
            <v>HOLPEMED ()</v>
          </cell>
          <cell r="B164" t="str">
            <v>HOPEMED COMERCIO E DISTRIBUIÇÃO DE MATERIAIS MEDICOS</v>
          </cell>
          <cell r="C164" t="str">
            <v>WILIAN SILVA DE ALMEIDA</v>
          </cell>
          <cell r="D164" t="str">
            <v>(61) 3335-4721</v>
          </cell>
        </row>
        <row r="165">
          <cell r="A165" t="str">
            <v>HOSPCOM (701227)</v>
          </cell>
          <cell r="B165" t="str">
            <v>HOSPCOM EQUIPAMENTOS HOSPITALARES LTDA</v>
          </cell>
          <cell r="C165" t="str">
            <v>ANGELICA ARAUJO</v>
          </cell>
          <cell r="D165" t="str">
            <v>(62) 3241-5555</v>
          </cell>
        </row>
        <row r="166">
          <cell r="A166" t="str">
            <v>HOSPDROGAS (700179)</v>
          </cell>
          <cell r="B166" t="str">
            <v>HOSPDROGAS COMERCIAL LTDA</v>
          </cell>
          <cell r="C166" t="str">
            <v>HERMILTON ARAÚJO</v>
          </cell>
          <cell r="D166" t="str">
            <v>(62) 98503-4851 / (62) 3278-6000</v>
          </cell>
        </row>
        <row r="167">
          <cell r="A167" t="str">
            <v>HOSPFAR (2875)</v>
          </cell>
          <cell r="B167" t="str">
            <v>HOSPFAR INDÚTRIA E COMÉRCIO DE PRODUTOS HOSPITALARES LTDA.</v>
          </cell>
          <cell r="C167" t="str">
            <v>HELLEN BORGES (DF) / JANINE (Goiânia)</v>
          </cell>
          <cell r="D167" t="str">
            <v>(61) 3403-3500 / (62) 3269.3500</v>
          </cell>
        </row>
        <row r="168">
          <cell r="A168" t="str">
            <v>HOSPITECH ()</v>
          </cell>
          <cell r="B168" t="str">
            <v>HOSPITECH (ROGENS LINO GONÇALVES BARBOSA ME)</v>
          </cell>
          <cell r="C168" t="str">
            <v>ROGENS LINO</v>
          </cell>
          <cell r="D168" t="str">
            <v>(61)3435-7918</v>
          </cell>
        </row>
        <row r="169">
          <cell r="A169" t="str">
            <v>HOSPSERVICE ()</v>
          </cell>
          <cell r="B169" t="str">
            <v>HOSPSERVICE (RC &amp; A INDÚSTRIA E COMÉRCIO DE SERVIÇOS LTDA</v>
          </cell>
          <cell r="C169" t="str">
            <v>ALBERTO CARLOS</v>
          </cell>
          <cell r="D169" t="str">
            <v>(61) 3435-7918</v>
          </cell>
        </row>
        <row r="170">
          <cell r="A170" t="str">
            <v>HOSPTECH (703717)</v>
          </cell>
          <cell r="B170" t="str">
            <v>HOSPTECH SERVIÇO PARA SAÚDE EIRELI</v>
          </cell>
          <cell r="C170" t="str">
            <v>VITÓRIA / MESSIAS</v>
          </cell>
          <cell r="D170" t="str">
            <v>(61) 3435-7918</v>
          </cell>
        </row>
        <row r="171">
          <cell r="A171" t="str">
            <v>IBEX ()</v>
          </cell>
          <cell r="B171" t="str">
            <v>IBEX COMERCIAL DE ALIMENTOS LTDA.</v>
          </cell>
          <cell r="C171" t="str">
            <v>LUCINEIDE DIAS DOS SANTOS</v>
          </cell>
          <cell r="D171" t="str">
            <v>(61) 3365-1028</v>
          </cell>
        </row>
        <row r="172">
          <cell r="A172" t="str">
            <v>IBF (410)</v>
          </cell>
          <cell r="B172" t="str">
            <v>IBF - INDÚSTRIA BRASILEIRA DE FILMES</v>
          </cell>
          <cell r="C172" t="str">
            <v>SÉRGIO DE LA-ROCQUE</v>
          </cell>
          <cell r="D172" t="str">
            <v>(21) 2103-1044 / (11) 2103-2000</v>
          </cell>
        </row>
        <row r="173">
          <cell r="A173" t="str">
            <v>IGARAÇU ()</v>
          </cell>
          <cell r="B173" t="str">
            <v>IGARAÇU - COMÉRCIO, LIMPEZA E PAPELARIA EM GERAL.</v>
          </cell>
          <cell r="C173" t="str">
            <v>JANILDA PEREIRA DOS SANTOS</v>
          </cell>
          <cell r="D173" t="str">
            <v>(61) 3335-4721</v>
          </cell>
        </row>
        <row r="174">
          <cell r="A174" t="str">
            <v>IMAGEM (703155)</v>
          </cell>
          <cell r="B174" t="str">
            <v>IMAGEM PRODUTOS HOSPITALARES LTDA</v>
          </cell>
          <cell r="C174" t="str">
            <v>JACKSON AMARAL</v>
          </cell>
          <cell r="D174" t="str">
            <v>(61) 3335-4721</v>
          </cell>
        </row>
        <row r="175">
          <cell r="A175" t="str">
            <v>IMED (702095)</v>
          </cell>
          <cell r="B175" t="str">
            <v>IMED SOLUÇÕES PARA SAÚDE</v>
          </cell>
          <cell r="C175" t="str">
            <v>CAIO</v>
          </cell>
          <cell r="D175" t="str">
            <v>(62) 3087-4606</v>
          </cell>
        </row>
        <row r="176">
          <cell r="A176" t="str">
            <v>INJEX ()</v>
          </cell>
          <cell r="B176" t="str">
            <v>INJEX INDÚSTRIAS CIRÚRGICAS LTDA.</v>
          </cell>
          <cell r="C176" t="str">
            <v>PAULO ROBERTO DE CARVALHO</v>
          </cell>
          <cell r="D176" t="str">
            <v>(62) 3541-3717 / (62) 99925-0333</v>
          </cell>
        </row>
        <row r="177">
          <cell r="A177" t="str">
            <v>ISS ()</v>
          </cell>
          <cell r="B177" t="str">
            <v>RETENÇÃO DE ISS</v>
          </cell>
          <cell r="C177" t="str">
            <v>SALVANDI</v>
          </cell>
          <cell r="D177" t="str">
            <v>(61) 3214-9004</v>
          </cell>
        </row>
        <row r="178">
          <cell r="A178" t="str">
            <v>ITATIAIA (703193)</v>
          </cell>
          <cell r="B178" t="str">
            <v>ITATIAIA COMERCIAL DE MATERIAL PARA CONSTRUÇÃO LTDA</v>
          </cell>
          <cell r="C178" t="str">
            <v>ALBERTO CARLOS</v>
          </cell>
          <cell r="D178" t="str">
            <v>(61) 3361-0003 / (61) 98593-6306</v>
          </cell>
        </row>
        <row r="179">
          <cell r="A179" t="str">
            <v>JD PAPELARIA (703434)</v>
          </cell>
          <cell r="B179" t="str">
            <v>JD PAPELARIA COMÉRCIO SUPRIMENTOS E SERVIÇOS EIRELI-ME</v>
          </cell>
          <cell r="C179" t="str">
            <v>EDMILSON</v>
          </cell>
          <cell r="D179" t="str">
            <v>61 3257-9943</v>
          </cell>
        </row>
        <row r="180">
          <cell r="A180" t="str">
            <v>JJT AMARAL (703513)</v>
          </cell>
          <cell r="B180" t="str">
            <v>JJT AMARAL (AMARAL PRODUTOS HOSPITALARES ME)</v>
          </cell>
          <cell r="C180" t="str">
            <v>JACKSON JOHN T AMARAL</v>
          </cell>
          <cell r="D180" t="str">
            <v>(61) 3973-6410 / (61) 98658-0986</v>
          </cell>
        </row>
        <row r="181">
          <cell r="A181" t="str">
            <v>JL E B (701463)</v>
          </cell>
          <cell r="B181" t="str">
            <v>JL E B LOGISTICA E REPRESENTAÇÕES LTDA.</v>
          </cell>
          <cell r="C181" t="str">
            <v>DENISE BUENO</v>
          </cell>
          <cell r="D181" t="str">
            <v>(62) 3284-5727 / 5552</v>
          </cell>
        </row>
        <row r="182">
          <cell r="A182" t="str">
            <v>JM COM (701132)</v>
          </cell>
          <cell r="B182" t="str">
            <v>JM COMÉRCIO DE VESTUÁRIO EIRELI-ME.</v>
          </cell>
          <cell r="C182" t="str">
            <v>JANILDA PEREIRA DOS SANTOS</v>
          </cell>
          <cell r="D182" t="str">
            <v>(61) 3465-5815 / 98564-8564</v>
          </cell>
        </row>
        <row r="183">
          <cell r="A183" t="str">
            <v>KCA (702968)</v>
          </cell>
          <cell r="B183" t="str">
            <v>KCA COMERCIAL EIRELI-ME.</v>
          </cell>
          <cell r="C183" t="str">
            <v>ADEMILTON DANTAS</v>
          </cell>
          <cell r="D183" t="str">
            <v>(62) 3922-3150</v>
          </cell>
        </row>
        <row r="184">
          <cell r="A184" t="str">
            <v>KOLPLAST (701546)</v>
          </cell>
          <cell r="B184" t="str">
            <v>KOLPLAST CI LTDA.</v>
          </cell>
          <cell r="C184" t="str">
            <v>SUSANA PERES</v>
          </cell>
          <cell r="D184" t="str">
            <v>(11) 3874-6157</v>
          </cell>
        </row>
        <row r="185">
          <cell r="A185" t="str">
            <v>KOMPAZO SAÚDE (702300)</v>
          </cell>
          <cell r="B185" t="str">
            <v>KOMPAZO SAUDE SERVIÇOS HOSPITALARES LTDA.</v>
          </cell>
          <cell r="C185" t="str">
            <v>RAMON ESPINDOLA</v>
          </cell>
          <cell r="D185" t="str">
            <v>(84) 3231-0973</v>
          </cell>
        </row>
        <row r="186">
          <cell r="A186" t="str">
            <v>KRISTA (1144)</v>
          </cell>
          <cell r="B186" t="str">
            <v>KRISTA ELETRONICA LTDA.</v>
          </cell>
          <cell r="C186" t="str">
            <v>SALVANDI</v>
          </cell>
          <cell r="D186" t="str">
            <v>(61) 3214-9004</v>
          </cell>
        </row>
        <row r="187">
          <cell r="A187" t="str">
            <v>LABINBRAZ (1633)</v>
          </cell>
          <cell r="B187" t="str">
            <v>LABINBRAZ COMERCIAL LTDA.</v>
          </cell>
          <cell r="C187" t="str">
            <v>MARTA HONÓRIO / ANDRÉA BRANDÃO</v>
          </cell>
          <cell r="D187" t="str">
            <v>(11) 2162- 0226 / 0200</v>
          </cell>
        </row>
        <row r="188">
          <cell r="A188" t="str">
            <v>LABS (703021)</v>
          </cell>
          <cell r="B188" t="str">
            <v>LABS DISTRIBUIDORA DE PROD, E SERV. PARA SAÚDE LTDA ME</v>
          </cell>
          <cell r="C188" t="str">
            <v>DANIEL PELLISSARO</v>
          </cell>
          <cell r="D188" t="str">
            <v>(61) 3036-7801 / (61) 98275-9324</v>
          </cell>
        </row>
        <row r="189">
          <cell r="A189" t="str">
            <v>LARISSA (703011)</v>
          </cell>
          <cell r="B189" t="str">
            <v>LARISSA AQUINO DE MEDEIROS – ME</v>
          </cell>
          <cell r="C189" t="str">
            <v>MÁRCIO</v>
          </cell>
          <cell r="D189" t="str">
            <v>(61) 3581-1054 / (61) 99112-6245</v>
          </cell>
        </row>
        <row r="190">
          <cell r="A190" t="str">
            <v>LF (2938)</v>
          </cell>
          <cell r="B190" t="str">
            <v>LF MATERIAL HOSPITALAR CIRURGICA LTDA - EPP.</v>
          </cell>
          <cell r="C190" t="str">
            <v>CARLA HIDLAGO</v>
          </cell>
          <cell r="D190" t="str">
            <v>(61) 3328-4806</v>
          </cell>
        </row>
        <row r="191">
          <cell r="A191" t="str">
            <v>LIFEMED FILIAL (703090)</v>
          </cell>
          <cell r="B191" t="str">
            <v>LIFEMED INDUSTRIAL DE EQUIPAMENTOS E ARTIGOS MEDICOS E HOSPITALARES - FILIAL</v>
          </cell>
          <cell r="C191" t="str">
            <v>VANESSA</v>
          </cell>
          <cell r="D191" t="str">
            <v>(11) 5564-3232</v>
          </cell>
        </row>
        <row r="192">
          <cell r="A192" t="str">
            <v>LIFEMED MATRIZ (3158)</v>
          </cell>
          <cell r="B192" t="str">
            <v>LIFEMED INDUSTRIAL DE EQUIPAMENTOS E ARTIGOS MEDICOS E HOSPITALARES - MATRIZ</v>
          </cell>
          <cell r="C192" t="str">
            <v>VANESSA</v>
          </cell>
          <cell r="D192" t="str">
            <v>(11) 5564-3232</v>
          </cell>
        </row>
        <row r="193">
          <cell r="A193" t="str">
            <v>LIMP BEM (702898)</v>
          </cell>
          <cell r="B193" t="str">
            <v>LIMP BEM COMERCIAL DE PRODUTOS DE LIMPEZA.</v>
          </cell>
          <cell r="C193" t="str">
            <v>ROSE</v>
          </cell>
          <cell r="D193" t="str">
            <v>(61) 3042-1066</v>
          </cell>
        </row>
        <row r="194">
          <cell r="A194" t="str">
            <v>LM COPIADORA ()</v>
          </cell>
          <cell r="B194" t="str">
            <v>LM COMUNICAÇÃO VISUAL DE PROJETOS LTDA - EPP.</v>
          </cell>
          <cell r="C194" t="str">
            <v>KÁTIA MOREIRA</v>
          </cell>
          <cell r="D194" t="str">
            <v>(61) 8626-0535</v>
          </cell>
        </row>
        <row r="195">
          <cell r="A195" t="str">
            <v>LM DISTRIBUIDORA (1362)</v>
          </cell>
          <cell r="B195" t="str">
            <v>LM DISTRIBUIDORA COMÉRCIO E REPRESENTACOES DE PAPEIS LTDA</v>
          </cell>
          <cell r="C195" t="str">
            <v>ANDRÉ MIRANDA</v>
          </cell>
          <cell r="D195" t="str">
            <v>(61) 99987-3407</v>
          </cell>
        </row>
        <row r="196">
          <cell r="A196" t="str">
            <v>LM FARMA (692)</v>
          </cell>
          <cell r="B196" t="str">
            <v>LM FARMA INDÚSTRIA E COMÉRCIOLTDA.</v>
          </cell>
          <cell r="C196" t="str">
            <v>CIBELE CRISTINA / Alice (Asses. Técnica)</v>
          </cell>
          <cell r="D196" t="str">
            <v>(12) 3202-1300 / (61) 9196-6843 Alice</v>
          </cell>
        </row>
        <row r="197">
          <cell r="A197" t="str">
            <v>LUZ.COM (703106)</v>
          </cell>
          <cell r="B197" t="str">
            <v>LUZ.COM ELETRICA LTDA ME</v>
          </cell>
          <cell r="C197" t="str">
            <v>ALMIR</v>
          </cell>
          <cell r="D197" t="str">
            <v>(61) 30424040</v>
          </cell>
        </row>
        <row r="198">
          <cell r="A198" t="str">
            <v>LUZICON (702401)</v>
          </cell>
          <cell r="B198" t="str">
            <v>LUZICON PRODUTOS MÉDICOS E HOSPITALARES LTDA.</v>
          </cell>
          <cell r="C198" t="str">
            <v>GRACIELI LORENZETTI</v>
          </cell>
          <cell r="D198" t="str">
            <v>(61) 3622-8692</v>
          </cell>
        </row>
        <row r="199">
          <cell r="A199" t="str">
            <v>MACOM (701406)</v>
          </cell>
          <cell r="B199" t="str">
            <v>MACOM INSTRUMETNAL CIRURGICO.</v>
          </cell>
          <cell r="C199" t="str">
            <v>REINALDO RODRIGUES DOS SANTOS</v>
          </cell>
          <cell r="D199" t="str">
            <v>(11) 2431-4636</v>
          </cell>
        </row>
        <row r="200">
          <cell r="A200" t="str">
            <v>MADEIREIRA RIBEIRO (701121)</v>
          </cell>
          <cell r="B200" t="str">
            <v>MADEIREIRA RIBEIRO MATERIAIS PARA CONSTRUÇÃO</v>
          </cell>
          <cell r="C200" t="str">
            <v>JOSÉ RAIMUNDO</v>
          </cell>
          <cell r="D200" t="str">
            <v>(61) 3543 - 8688 / (61) 98101-6794</v>
          </cell>
        </row>
        <row r="201">
          <cell r="A201" t="str">
            <v>MADRE (703254)</v>
          </cell>
          <cell r="B201" t="str">
            <v>MADRE PRODUTOS MEDICOS HOSPITALARES LTDA - EPP</v>
          </cell>
          <cell r="C201" t="str">
            <v>Mário Cunha</v>
          </cell>
          <cell r="D201" t="str">
            <v>(61) 3967-6457</v>
          </cell>
        </row>
        <row r="202">
          <cell r="A202" t="str">
            <v>MAFRA (703141)</v>
          </cell>
          <cell r="B202" t="str">
            <v>MAFRA (CM HOSPITALAR S.A)</v>
          </cell>
          <cell r="C202" t="str">
            <v>WELLINGTON MONTEIRO / FACOS MOURA</v>
          </cell>
          <cell r="D202" t="str">
            <v>(61) 2104-3401</v>
          </cell>
        </row>
        <row r="203">
          <cell r="A203" t="str">
            <v>MAIS SOLUÇÕES (702759)</v>
          </cell>
          <cell r="B203" t="str">
            <v>MAIS SOLUCÕES E MANUTENÇÃO PREDIAL LTDA</v>
          </cell>
          <cell r="C203" t="str">
            <v>ANDRÉ MIRANDA</v>
          </cell>
          <cell r="D203" t="str">
            <v>(61) 99987-3407</v>
          </cell>
        </row>
        <row r="204">
          <cell r="A204" t="str">
            <v>MARK FREEZER ()</v>
          </cell>
          <cell r="B204" t="str">
            <v>MARK FREEZER (TERESA FILHA FONTINELE - ME).</v>
          </cell>
          <cell r="C204" t="str">
            <v>TERESA FILHA FONTINELE</v>
          </cell>
          <cell r="D204" t="str">
            <v>(61) 3581-1522 / 3373-3858-Fax</v>
          </cell>
        </row>
        <row r="205">
          <cell r="A205" t="str">
            <v>MARTINS (700168)</v>
          </cell>
          <cell r="B205" t="str">
            <v>MARTINS COMÉRCIO DE MEDICAMENTOS LTDA.</v>
          </cell>
          <cell r="C205" t="str">
            <v>ALESSANDRA TEIXEIRA</v>
          </cell>
          <cell r="D205" t="str">
            <v>(62) 4013-5041 / 5000</v>
          </cell>
        </row>
        <row r="206">
          <cell r="A206" t="str">
            <v>MAWED (703236)</v>
          </cell>
          <cell r="B206" t="str">
            <v xml:space="preserve">MAWED COMERCIAL LTDA - ME </v>
          </cell>
          <cell r="C206" t="str">
            <v>LIVIA</v>
          </cell>
          <cell r="D206" t="str">
            <v>(62) 9822-3030</v>
          </cell>
        </row>
        <row r="207">
          <cell r="A207" t="str">
            <v>MAZIMUS ()</v>
          </cell>
          <cell r="B207" t="str">
            <v>MAZIMUS ENGENHARIA EIRELI</v>
          </cell>
          <cell r="C207" t="str">
            <v>ALESSANDRA TEIXEIRA</v>
          </cell>
          <cell r="D207" t="str">
            <v>(61) 3012-1278</v>
          </cell>
        </row>
        <row r="208">
          <cell r="A208" t="str">
            <v>MB TEXTIL ()</v>
          </cell>
          <cell r="B208" t="str">
            <v>MB TEXTIL LTDA.</v>
          </cell>
          <cell r="C208" t="str">
            <v>JOSÉ RAIMUNDO</v>
          </cell>
          <cell r="D208" t="str">
            <v>(61) 3543 - 8688 / (61) 98101-6794</v>
          </cell>
        </row>
        <row r="209">
          <cell r="A209" t="str">
            <v>MED VITTA (703491)</v>
          </cell>
          <cell r="B209" t="str">
            <v>MED VITTA COMÉRCIO DE PRODUTOS HOSPTALARES LTDA ME</v>
          </cell>
          <cell r="C209" t="str">
            <v>JULIANA MONTEIRO</v>
          </cell>
          <cell r="D209" t="str">
            <v>(61) 3012-1278</v>
          </cell>
        </row>
        <row r="210">
          <cell r="A210" t="str">
            <v>MEDCAM ()</v>
          </cell>
          <cell r="B210" t="str">
            <v>MEDCAM COMÉRCIO E REPRESENTAÇÃO</v>
          </cell>
          <cell r="C210" t="str">
            <v>ROSILDA PESSOA PEREIRA</v>
          </cell>
          <cell r="D210" t="str">
            <v>(61) 3021-9008 / 9174-5378</v>
          </cell>
        </row>
        <row r="211">
          <cell r="A211" t="str">
            <v>MEDCOMERCE (2756)</v>
          </cell>
          <cell r="B211" t="str">
            <v>MEDCOMERCE COMERCIAL DE MEDICAMENTOS E PRODUTOS HOSPITALARES LTDA.</v>
          </cell>
          <cell r="C211" t="str">
            <v>ANA LÍDIA</v>
          </cell>
          <cell r="D211" t="str">
            <v>(61) 3399-9600</v>
          </cell>
        </row>
        <row r="212">
          <cell r="A212" t="str">
            <v>MEDCORP (908)</v>
          </cell>
          <cell r="B212" t="str">
            <v>MEDCORP PRODUTOS HOSPITALARES LTDA.</v>
          </cell>
          <cell r="C212" t="str">
            <v>RICARDO / MARIA ROSADO</v>
          </cell>
          <cell r="D212" t="str">
            <v>(61) 3362-9814</v>
          </cell>
        </row>
        <row r="213">
          <cell r="A213" t="str">
            <v>MÉDICA PRO (1229)</v>
          </cell>
          <cell r="B213" t="str">
            <v>MÉDICA PRODUTOS HOSPITALARES LTDA. (MÉDICA PRO)</v>
          </cell>
          <cell r="C213" t="str">
            <v>SÔNIA LOPES</v>
          </cell>
          <cell r="D213" t="str">
            <v>(61) 3033-6181</v>
          </cell>
        </row>
        <row r="214">
          <cell r="A214" t="str">
            <v>MEDICAL INNOVATION (700214)</v>
          </cell>
          <cell r="B214" t="str">
            <v>MEDICAL INNOVATION (MI COMÉRCIO DE PROD. HOSP. E EQUIPAMENTOS LTDA.)</v>
          </cell>
          <cell r="C214" t="str">
            <v>DANIELY ARAÚJO</v>
          </cell>
          <cell r="D214" t="str">
            <v>(61) 3393-6660 / 6331</v>
          </cell>
        </row>
        <row r="215">
          <cell r="A215" t="str">
            <v>MEDICAL PEÇAS (702875)</v>
          </cell>
          <cell r="B215" t="str">
            <v>MEDICAL PEÇAS (RM VIEIRA COMERCIAL ME.)</v>
          </cell>
          <cell r="C215" t="str">
            <v>RODYNEI DARELLA</v>
          </cell>
          <cell r="D215" t="str">
            <v>(61) 3327-5290</v>
          </cell>
        </row>
        <row r="216">
          <cell r="A216" t="str">
            <v>MEDICAL TECH (701542)</v>
          </cell>
          <cell r="B216" t="str">
            <v>MEDICAL TECH COMÉRCIO DE PRODUTOS E EQUIPAMENTOS MÉDICOS E HOSPITALARES LTDA - ME</v>
          </cell>
          <cell r="C216" t="str">
            <v>SUZANA ROLLEMBERG</v>
          </cell>
          <cell r="D216" t="str">
            <v>(61) 3393-8922 / (61) 99575-2474</v>
          </cell>
        </row>
        <row r="217">
          <cell r="A217" t="str">
            <v>MEDICALMED (703016)</v>
          </cell>
          <cell r="B217" t="str">
            <v>MEDICALMED (ANDERSON DE LIMA VERLINDO-ME)</v>
          </cell>
          <cell r="C217" t="str">
            <v>Ana Paula Sudatti</v>
          </cell>
          <cell r="D217" t="str">
            <v>(51) 3026-5636</v>
          </cell>
        </row>
        <row r="218">
          <cell r="A218" t="str">
            <v>MEDICINI (703641)</v>
          </cell>
          <cell r="B218" t="str">
            <v>MEDICINI COMERCIO HOSPITALAR LTDA</v>
          </cell>
          <cell r="C218" t="str">
            <v>RUTE LIMA</v>
          </cell>
          <cell r="D218" t="str">
            <v>(62) 3988-9252</v>
          </cell>
        </row>
        <row r="219">
          <cell r="A219" t="str">
            <v>MEDLINN (702570)</v>
          </cell>
          <cell r="B219" t="str">
            <v>MEDLINN HOSPITALAR LTDA-ME.</v>
          </cell>
          <cell r="C219" t="str">
            <v>ADEMILTON DANTAS</v>
          </cell>
          <cell r="D219" t="str">
            <v>(62) 3945-4005</v>
          </cell>
        </row>
        <row r="220">
          <cell r="A220" t="str">
            <v>MEDSONDA (700669)</v>
          </cell>
          <cell r="B220" t="str">
            <v>MEDSONDA INDÚSTRIA E COMÉRCIO DE PRODUTOS HOSPITALARES LTDA.</v>
          </cell>
          <cell r="C220" t="str">
            <v>FERNANDO SEMEDO</v>
          </cell>
          <cell r="D220" t="str">
            <v>(43) 3512-2800</v>
          </cell>
        </row>
        <row r="221">
          <cell r="A221" t="str">
            <v>META (703261)</v>
          </cell>
          <cell r="B221" t="str">
            <v>META COMERCIAL EIRELI - ME</v>
          </cell>
          <cell r="C221" t="str">
            <v>SILVANA ROCHA</v>
          </cell>
          <cell r="D221" t="str">
            <v>(62) 3285-6650 / (62) 3636-5877 Silvana</v>
          </cell>
        </row>
        <row r="222">
          <cell r="A222" t="str">
            <v>METHABIO (701878)</v>
          </cell>
          <cell r="B222" t="str">
            <v>METHABIO FARMACÊUTICA DO BRASIL LTDA.</v>
          </cell>
          <cell r="C222" t="str">
            <v>STAIKOS</v>
          </cell>
          <cell r="D222" t="str">
            <v>(61) 3052-2525</v>
          </cell>
        </row>
        <row r="223">
          <cell r="A223" t="str">
            <v>METRÓPOLE (2653)</v>
          </cell>
          <cell r="B223" t="str">
            <v>METRÓPOLE COMÉRCIO E REP. DE PRODUTOS HOSPITALARES LTDA.</v>
          </cell>
          <cell r="C223" t="str">
            <v>RODYNEI DARELLA</v>
          </cell>
          <cell r="D223" t="str">
            <v>(61) 3327-5290</v>
          </cell>
        </row>
        <row r="224">
          <cell r="A224" t="str">
            <v>MF HOSPITALAR (703140)</v>
          </cell>
          <cell r="B224" t="str">
            <v>MF HOSPITALAR (MENDES MOURA MATERIAL HOSPITALAR CIRURGICA EIRELLI-ME)</v>
          </cell>
          <cell r="C224" t="str">
            <v>LUIZ OLIVEIRA</v>
          </cell>
          <cell r="D224" t="str">
            <v>(61) 3328-3388 / 99300-5256</v>
          </cell>
        </row>
        <row r="225">
          <cell r="A225" t="str">
            <v>MG HOSPITALAR (703430)</v>
          </cell>
          <cell r="B225" t="str">
            <v>MG HOSPITALAR - PRODUTOS HOSPITALARES</v>
          </cell>
          <cell r="C225" t="str">
            <v>RAFAELA MONTEIRO CARMELLO</v>
          </cell>
          <cell r="D225" t="str">
            <v>(43) 3242-3333</v>
          </cell>
        </row>
        <row r="226">
          <cell r="A226" t="str">
            <v>MICROMEDICAL (384)</v>
          </cell>
          <cell r="B226" t="str">
            <v>MICROMEDICAL MATERIAL MÉDICO HOSPITALAR LTDA</v>
          </cell>
          <cell r="C226" t="str">
            <v>Marcos David Toledo Bernardino</v>
          </cell>
          <cell r="D226" t="str">
            <v xml:space="preserve">(61) 3327-0700 </v>
          </cell>
        </row>
        <row r="227">
          <cell r="A227" t="str">
            <v>MILESKI (701665)</v>
          </cell>
          <cell r="B227" t="str">
            <v>MILESKI INDÚSTRIA E COMÉRCIO DE DESCARTÁVEIS EIRELLI - EPP</v>
          </cell>
          <cell r="C227" t="str">
            <v>Mauricio Pereira/Patricia</v>
          </cell>
          <cell r="D227" t="str">
            <v>(61) 3387-3909 / 8564-9531 / 98616-6635</v>
          </cell>
        </row>
        <row r="228">
          <cell r="A228" t="str">
            <v>MISSNER  (1063)</v>
          </cell>
          <cell r="B228" t="str">
            <v>MISSNER &amp; MISSNER LTDA.</v>
          </cell>
          <cell r="C228" t="str">
            <v>JÚLIO CÉSAR XAVIER</v>
          </cell>
          <cell r="D228" t="str">
            <v>(61) 3381-3661</v>
          </cell>
        </row>
        <row r="229">
          <cell r="A229" t="str">
            <v>MIX MED (700753)</v>
          </cell>
          <cell r="B229" t="str">
            <v>MIX MED PRODUTOS HOSPITALAR LTDA.</v>
          </cell>
          <cell r="C229" t="str">
            <v>GISELE / TÂNIA</v>
          </cell>
          <cell r="D229" t="str">
            <v>(62) 3954-8570</v>
          </cell>
        </row>
        <row r="230">
          <cell r="A230" t="str">
            <v>ML COMÉRCIO (701487)</v>
          </cell>
          <cell r="B230" t="str">
            <v>ML COMÉRCIO, IMPORTAÇÃO E EXPORTAÇÃO DE MAT. MÉDICO HOSP. LTDA.</v>
          </cell>
          <cell r="C230" t="str">
            <v>MARIANA ALVES DOS SANTOS</v>
          </cell>
          <cell r="D230" t="str">
            <v>(11) 4071-1520</v>
          </cell>
        </row>
        <row r="231">
          <cell r="A231" t="str">
            <v>MM MIX (700864)</v>
          </cell>
          <cell r="B231" t="str">
            <v>MM MIX (MM LIVROS E PAPEIS).</v>
          </cell>
          <cell r="C231" t="str">
            <v>MARINA LACERDA</v>
          </cell>
          <cell r="D231" t="str">
            <v>(61) 3274-4340</v>
          </cell>
        </row>
        <row r="232">
          <cell r="A232" t="str">
            <v>MONTEGGIA (702210)</v>
          </cell>
          <cell r="B232" t="str">
            <v>MONTEGGIA - PRODUTOS HOSPITALARES LTDA.</v>
          </cell>
          <cell r="C232" t="str">
            <v>ISABEL FERNANDES / VINÍCIUS LOBO</v>
          </cell>
          <cell r="D232" t="str">
            <v>(51) 3439-4518</v>
          </cell>
        </row>
        <row r="233">
          <cell r="A233" t="str">
            <v>MS (701866)</v>
          </cell>
          <cell r="B233" t="str">
            <v>MS HOSPITALAR LTDA - ME.</v>
          </cell>
          <cell r="C233" t="str">
            <v>THAYANE MENDEZ / SILVANA</v>
          </cell>
          <cell r="D233" t="str">
            <v>(62) 3088-5858 / (62) 3636-5877 Silvana</v>
          </cell>
        </row>
        <row r="234">
          <cell r="A234" t="str">
            <v>MULTIWORKS (1423)</v>
          </cell>
          <cell r="B234" t="str">
            <v>MULTIWORKS COMÉRCIO DE PRODUTOS E EQUIPAMENTOS PROFISSIONAIS LTDA.</v>
          </cell>
          <cell r="C234" t="str">
            <v>SOLANGE</v>
          </cell>
          <cell r="D234" t="str">
            <v>(61) 3568-7206 / (61) 9184-2615</v>
          </cell>
        </row>
        <row r="235">
          <cell r="A235" t="str">
            <v>MUNDO DOS COUROS (700773)</v>
          </cell>
          <cell r="B235" t="str">
            <v>MUNDO DOS COUROS E PLASTICOS LTDA - ME.</v>
          </cell>
          <cell r="C235" t="str">
            <v>BRUNO ALVES</v>
          </cell>
          <cell r="D235" t="str">
            <v>(61) 3351-1419 / 8428-7873</v>
          </cell>
        </row>
        <row r="236">
          <cell r="A236" t="str">
            <v>MW (701604)</v>
          </cell>
          <cell r="B236" t="str">
            <v>MW DISTRIBUIDORA DE MEDICAMENTOS LTDA EPP.</v>
          </cell>
          <cell r="C236" t="str">
            <v>MEURIN R MAIA</v>
          </cell>
          <cell r="D236" t="str">
            <v>(62) 3240-5748 / (62) 3093-0005</v>
          </cell>
        </row>
        <row r="237">
          <cell r="A237" t="str">
            <v>NEOMED (701001)</v>
          </cell>
          <cell r="B237" t="str">
            <v>NEOMED COMÉRCIO E SERVIÇOS DE PRODUTOS MEDICOS E HOSPITALAR ME.</v>
          </cell>
          <cell r="C237" t="str">
            <v>THUANE MELO</v>
          </cell>
          <cell r="D237" t="str">
            <v>(61) 3462-1062 / 3462-1061</v>
          </cell>
        </row>
        <row r="238">
          <cell r="A238" t="str">
            <v>NEW DESC (702923)</v>
          </cell>
          <cell r="B238" t="str">
            <v>NEW DESC INDÚSTRIA DESCARTAVEIS MEDICOS E HOSPITALARES.</v>
          </cell>
          <cell r="C238" t="str">
            <v>IOLANDA PIMENTA</v>
          </cell>
          <cell r="D238" t="str">
            <v>(62) 3094-3584</v>
          </cell>
        </row>
        <row r="239">
          <cell r="A239" t="str">
            <v>NL (SUPERMEDICAL) (700820)</v>
          </cell>
          <cell r="B239" t="str">
            <v>NL (SUPERMEDICAL) - NL PRODUTOS HOSPITALARES LTDA.</v>
          </cell>
          <cell r="C239" t="str">
            <v>ANGÉLICA DAYANE / PRISCILA ROSA</v>
          </cell>
          <cell r="D239" t="str">
            <v>(62) 3088-5468 / 3088-5462</v>
          </cell>
        </row>
        <row r="240">
          <cell r="A240" t="str">
            <v>NOVA ANALÍTICA (2135)</v>
          </cell>
          <cell r="B240" t="str">
            <v>NOVA ANALITICA IMPORTACAO E EXPORTACAO LTDA.</v>
          </cell>
          <cell r="C240" t="str">
            <v>JAQUELINE LIMA</v>
          </cell>
          <cell r="D240" t="str">
            <v>(11) 2162-8080</v>
          </cell>
        </row>
        <row r="241">
          <cell r="A241" t="str">
            <v>NOVA HOSPITALAR (702094)</v>
          </cell>
          <cell r="B241" t="str">
            <v>NOVA HOSPITALAR LTDA-ME.</v>
          </cell>
          <cell r="C241" t="str">
            <v>ADRIANO CIPRIANO</v>
          </cell>
          <cell r="D241" t="str">
            <v>(62) 3218-7040</v>
          </cell>
        </row>
        <row r="242">
          <cell r="A242" t="str">
            <v>NOVAGOIÁS (701397)</v>
          </cell>
          <cell r="B242" t="str">
            <v>NOVA GOIÁS COMÉRCIO E SERVICOS TÉCNICOS LTDA-ME.</v>
          </cell>
          <cell r="C242" t="str">
            <v>PATRÍCIO</v>
          </cell>
          <cell r="D242" t="str">
            <v>(61) 8407-8814</v>
          </cell>
        </row>
        <row r="243">
          <cell r="A243" t="str">
            <v>NOVAMED (700754)</v>
          </cell>
          <cell r="B243" t="str">
            <v>NOVAMED MATERIAL MÉDICO HOSPITALAR E REPRESENTAÇÕES LTDA.</v>
          </cell>
          <cell r="C243" t="str">
            <v>SUZANA / WILLIAN SANTOS</v>
          </cell>
          <cell r="D243" t="str">
            <v>(61) 3373-1936 / 0223</v>
          </cell>
        </row>
        <row r="244">
          <cell r="A244" t="str">
            <v>NR GOIÁS (702924)</v>
          </cell>
          <cell r="B244" t="str">
            <v>NR GOIÁS (NR INDÚSTRIA E COMÉRCIO LTDA)</v>
          </cell>
          <cell r="C244" t="str">
            <v>Tatielly Cristine G. Costa</v>
          </cell>
          <cell r="D244" t="str">
            <v>(62) 3088-5331  / (62) 98492-2967</v>
          </cell>
        </row>
        <row r="245">
          <cell r="A245" t="str">
            <v>NR HOSPITALAR (703435)</v>
          </cell>
          <cell r="B245" t="str">
            <v>NR HOSPITALAR (NR INDUSTRIA E COMERCIO DE PRODUTOS E ROUPAS HOSPITALRES EIRELI)</v>
          </cell>
          <cell r="C245" t="str">
            <v>Tatielly Cristine G. Costa</v>
          </cell>
          <cell r="D245" t="str">
            <v>(62) 3258-4196</v>
          </cell>
        </row>
        <row r="246">
          <cell r="A246" t="str">
            <v>OCTALAB (701015)</v>
          </cell>
          <cell r="B246" t="str">
            <v>OCTALAB FARMÁCIA DE MANIPULAÇÃO LTDA.</v>
          </cell>
          <cell r="C246" t="str">
            <v>MAYARA SANTOS / CAROLINA RONDON</v>
          </cell>
          <cell r="D246" t="str">
            <v>(11) 4469-1818</v>
          </cell>
        </row>
        <row r="247">
          <cell r="A247" t="str">
            <v>OLTEC (701215)</v>
          </cell>
          <cell r="B247" t="str">
            <v>OLTEC DO BRASIL LTDA.</v>
          </cell>
          <cell r="C247" t="str">
            <v>IOLANDA PIMENTA</v>
          </cell>
          <cell r="D247" t="str">
            <v>(62) 3094-3584</v>
          </cell>
        </row>
        <row r="248">
          <cell r="A248" t="str">
            <v>OPX DIAGNÓSTICA ()</v>
          </cell>
          <cell r="B248" t="str">
            <v>OPX DIAGNÓSTICA (PEIXOTO TECNOLOGIA IMP E EXP DE PROD. E SERV. LABORATORIAIS EIRELI - ME.</v>
          </cell>
          <cell r="C248" t="str">
            <v>RAFAEL PEIXOTO</v>
          </cell>
          <cell r="D248" t="str">
            <v>(61) 3026-5053</v>
          </cell>
        </row>
        <row r="249">
          <cell r="A249" t="str">
            <v>OREGON (701311)</v>
          </cell>
          <cell r="B249" t="str">
            <v>OREGON FARMACEUTICA LTDA.EPP.</v>
          </cell>
          <cell r="C249" t="str">
            <v>FLÁVIA FERREURA</v>
          </cell>
          <cell r="D249" t="str">
            <v>(21) 3184-7500</v>
          </cell>
        </row>
        <row r="250">
          <cell r="A250" t="str">
            <v>ORION (703410)</v>
          </cell>
          <cell r="B250" t="str">
            <v>ORION HEALTH CARE (MURILO DA SILVA BURITIZAL)</v>
          </cell>
          <cell r="C250" t="str">
            <v>MURILO / LÍVIA</v>
          </cell>
          <cell r="D250" t="str">
            <v>(62) 98223 0303 /(62) 4141-1621 / (62) 99686-3538</v>
          </cell>
        </row>
        <row r="251">
          <cell r="A251" t="str">
            <v>ORTOP (702098)</v>
          </cell>
          <cell r="B251" t="str">
            <v>ORTOP INSTRUMENTAL CIRURGICO LTDA.</v>
          </cell>
          <cell r="C251" t="str">
            <v>NAYANE</v>
          </cell>
          <cell r="D251" t="str">
            <v>(31) 2559-5500</v>
          </cell>
        </row>
        <row r="252">
          <cell r="A252" t="str">
            <v>PAPELARIA ÁGAPE (702056)</v>
          </cell>
          <cell r="B252" t="str">
            <v>PAPELARIA ÁGAPE</v>
          </cell>
          <cell r="C252" t="str">
            <v>IGOR DA SILVA ROSA</v>
          </cell>
          <cell r="D252" t="str">
            <v>(61) 8415-2454</v>
          </cell>
        </row>
        <row r="253">
          <cell r="A253" t="str">
            <v>PAPELARIA FARAGO (701094)</v>
          </cell>
          <cell r="B253" t="str">
            <v>PAPELARIA FARAGO (HÉLIO FARAGO GUEDES - ME)</v>
          </cell>
          <cell r="C253" t="str">
            <v>ANILSON RAMOS</v>
          </cell>
          <cell r="D253" t="str">
            <v>(61) 3045-9063</v>
          </cell>
        </row>
        <row r="254">
          <cell r="A254" t="str">
            <v>PAPELARIA LÍDER (700860)</v>
          </cell>
          <cell r="B254" t="str">
            <v>PAPELARIA LÍDER (PAPELARIA E LIVRARIA LÍDER).</v>
          </cell>
          <cell r="C254" t="str">
            <v>ALEXANDRE / TALITA</v>
          </cell>
          <cell r="D254" t="str">
            <v>(61) 3556-2693</v>
          </cell>
        </row>
        <row r="255">
          <cell r="A255" t="str">
            <v>PASSEVIP ()</v>
          </cell>
          <cell r="B255" t="str">
            <v>PASSEVIP - SISTEMA DE IDENTIFICAÇÃO</v>
          </cell>
          <cell r="C255" t="str">
            <v>GEISIANE</v>
          </cell>
          <cell r="D255" t="str">
            <v>(21) 3575-4464</v>
          </cell>
        </row>
        <row r="256">
          <cell r="A256" t="str">
            <v>PEDAGÓGICA ()</v>
          </cell>
          <cell r="B256" t="str">
            <v>PEDAGÓGICA.COM (JBF COMÉRCIO DE EQUIPAMENTOS LTDA)</v>
          </cell>
          <cell r="C256" t="str">
            <v>SÔNIA RODRIGUES</v>
          </cell>
          <cell r="D256" t="str">
            <v>(61) 3045-5653</v>
          </cell>
        </row>
        <row r="257">
          <cell r="A257" t="str">
            <v>PERFIL (702720)</v>
          </cell>
          <cell r="B257" t="str">
            <v>PERFIL HOSPITALAR LTDA</v>
          </cell>
          <cell r="C257" t="str">
            <v>SILVANA ROCHA</v>
          </cell>
          <cell r="D257" t="str">
            <v>(62) 99989-1191 / 62 3626-3263</v>
          </cell>
        </row>
        <row r="258">
          <cell r="A258" t="str">
            <v>PERMUTION (703003)</v>
          </cell>
          <cell r="B258" t="str">
            <v>PERMUTION (E.J.KRIEGER E CIA LTDA.)</v>
          </cell>
          <cell r="C258" t="str">
            <v>JUSCILENE</v>
          </cell>
          <cell r="D258" t="str">
            <v>(11) 4512-8612</v>
          </cell>
        </row>
        <row r="259">
          <cell r="A259" t="str">
            <v>PETROSOLO (701862)</v>
          </cell>
          <cell r="B259" t="str">
            <v>PETROSOLO DIESEL LTDA (PAPAGAIO DIESEL)</v>
          </cell>
          <cell r="C259" t="str">
            <v>GIULIANO / ELVIS</v>
          </cell>
          <cell r="D259" t="str">
            <v>(62) 8213-8627 / (63) 9224-2458 E</v>
          </cell>
        </row>
        <row r="260">
          <cell r="A260" t="str">
            <v>PHARMAC (701331)</v>
          </cell>
          <cell r="B260" t="str">
            <v>PHARMAC (PHARMACIA MAMEDE LTDA.)</v>
          </cell>
          <cell r="C260" t="str">
            <v>KÉLVIA / ANA CAROLINA</v>
          </cell>
          <cell r="D260" t="str">
            <v>(61) 3364-3640 / 1594</v>
          </cell>
        </row>
        <row r="261">
          <cell r="A261" t="str">
            <v>PHARMATEX (701093)</v>
          </cell>
          <cell r="B261" t="str">
            <v>PHARMATEX COMERCIAL DE PRODUTOS HOSPITALARES LTDA.</v>
          </cell>
          <cell r="C261" t="str">
            <v>JOSEMAR, RUBIANE / ITALO BELON</v>
          </cell>
          <cell r="D261" t="str">
            <v>(41) 3044-7606 OP 06 / (41) 97420131</v>
          </cell>
        </row>
        <row r="262">
          <cell r="A262" t="str">
            <v>PHARMÉDICE (702085)</v>
          </cell>
          <cell r="B262" t="str">
            <v>PHARMÉDICE MANIPULAÇÕES ESPECIALIZADAS LTDA.</v>
          </cell>
          <cell r="C262" t="str">
            <v>ANGÉLICA PATRÍCIA</v>
          </cell>
          <cell r="D262" t="str">
            <v>(31) 3223-1170</v>
          </cell>
        </row>
        <row r="263">
          <cell r="A263" t="str">
            <v>PLANTÃO (2303)</v>
          </cell>
          <cell r="B263" t="str">
            <v>PLANTÃO COMÉRCIO E REPRESENTAÇÕES LTDA.</v>
          </cell>
          <cell r="C263" t="str">
            <v>MARILENE</v>
          </cell>
          <cell r="D263" t="str">
            <v>(61) 3344-5205 / (61) 3202-8965</v>
          </cell>
        </row>
        <row r="264">
          <cell r="A264" t="str">
            <v>PLAST LABOR (3537)</v>
          </cell>
          <cell r="B264" t="str">
            <v>PLAST LABOR INDÚSTRIA E COMÉRCIO DE E H LAB LTDA.</v>
          </cell>
          <cell r="C264" t="str">
            <v>CLAUDIA NUNES / GISELE BADAUY</v>
          </cell>
          <cell r="D264" t="str">
            <v>(21) 2501-0888 Claudia (61) 3403-2459</v>
          </cell>
        </row>
        <row r="265">
          <cell r="A265" t="str">
            <v>PMH (347)</v>
          </cell>
          <cell r="B265" t="str">
            <v>PMH PRODUTOS MEDICO HOSPITALARES LTDA.</v>
          </cell>
          <cell r="C265" t="str">
            <v>TEUNÍSIO / FRANCISCO REIS / GIVAN</v>
          </cell>
          <cell r="D265" t="str">
            <v>(61) 3403-1300</v>
          </cell>
        </row>
        <row r="266">
          <cell r="A266" t="str">
            <v>POINT SUTURE (1357)</v>
          </cell>
          <cell r="B266" t="str">
            <v>POINT SUTURE DO BRASIL INDÚSTRIA DE FIOS CIRÚRGICOS LTDA.</v>
          </cell>
          <cell r="C266" t="str">
            <v>RODRIGO TOLEDO</v>
          </cell>
          <cell r="D266" t="str">
            <v>(62) 3942-2225 Rodrigo (85) 3211-2700 Indústria</v>
          </cell>
        </row>
        <row r="267">
          <cell r="A267" t="str">
            <v>POINTER (2649)</v>
          </cell>
          <cell r="B267" t="str">
            <v>POINTER HOSPITALAR LTDA.</v>
          </cell>
          <cell r="C267" t="str">
            <v>TÂNIA F. DOURADO</v>
          </cell>
          <cell r="D267" t="str">
            <v>(61) 3349-7006 / (61) 8146- 0607</v>
          </cell>
        </row>
        <row r="268">
          <cell r="A268" t="str">
            <v>POLARFIX (3815)</v>
          </cell>
          <cell r="B268" t="str">
            <v>POLAR FIX INDÚSTRIA E COMÉRCIO DE PRODUTOS HOSPITALARES LTDA</v>
          </cell>
          <cell r="C268" t="str">
            <v>JUSCILENE</v>
          </cell>
          <cell r="D268" t="str">
            <v>(11) 4512-8612</v>
          </cell>
        </row>
        <row r="269">
          <cell r="A269" t="str">
            <v>POLITEC (352)</v>
          </cell>
          <cell r="B269" t="str">
            <v>POLITEC IMPORTAÇÃO E COMÉRCIO LTDA</v>
          </cell>
          <cell r="C269" t="str">
            <v>JOSÉ RAIMUNDO</v>
          </cell>
          <cell r="D269" t="str">
            <v>(11) 4195.6001 / (61) 98101.6794</v>
          </cell>
        </row>
        <row r="270">
          <cell r="A270" t="str">
            <v>PREMIER (703376)</v>
          </cell>
          <cell r="B270" t="str">
            <v>PREMIER COMERCIO DE PRODUTOS HOSPITALARES LTDA</v>
          </cell>
          <cell r="C270" t="str">
            <v>MARCOS BURITIZAL</v>
          </cell>
          <cell r="D270" t="str">
            <v>(62) 3952-0071</v>
          </cell>
        </row>
        <row r="271">
          <cell r="A271" t="str">
            <v>PREMIER INDUSTRIA ()</v>
          </cell>
          <cell r="B271" t="str">
            <v>PREMIER INDUSTRIA E COMERCIO EIRELI-ME</v>
          </cell>
          <cell r="C271" t="str">
            <v>JOSÉ RAIMUNDO</v>
          </cell>
          <cell r="D271" t="str">
            <v>(11) 4195.6001 / (61) 98101.6794</v>
          </cell>
        </row>
        <row r="272">
          <cell r="A272" t="str">
            <v>PRIME (702886)</v>
          </cell>
          <cell r="B272" t="str">
            <v>PRIME COMÉRCIO DE PRODUTOS HOSPITALARES LTDA.</v>
          </cell>
          <cell r="C272" t="str">
            <v>FÁBIO ALVES PEREIRA</v>
          </cell>
          <cell r="D272" t="str">
            <v>(62) 4018-5882 / (62) 8500-2815</v>
          </cell>
        </row>
        <row r="273">
          <cell r="A273" t="str">
            <v>PRIME TEXTEIS (703669)</v>
          </cell>
          <cell r="B273" t="str">
            <v>PRIME TEXTEIS (PRIME FABRICACAO E COMERCIO DE ARTEFATOS TEXTEIS EIRELI)</v>
          </cell>
          <cell r="C273" t="str">
            <v>DIEGO</v>
          </cell>
          <cell r="D273" t="str">
            <v>(11) 2069-3500</v>
          </cell>
        </row>
        <row r="274">
          <cell r="A274" t="str">
            <v>PRIMEIRA LINHA (878)</v>
          </cell>
          <cell r="B274" t="str">
            <v>PRIMEIRA LINHA COMERCIAL ROLAMENTOS LTDA.</v>
          </cell>
          <cell r="C274" t="str">
            <v>RAIMUNDO NONATO</v>
          </cell>
          <cell r="D274" t="str">
            <v>(61) 3462-5046 / (61) 3462-5020</v>
          </cell>
        </row>
        <row r="275">
          <cell r="A275" t="str">
            <v>PRINT MASTER (701901)</v>
          </cell>
          <cell r="B275" t="str">
            <v>PRINT MASTER COMÉRCIO E SERVIÇOS LTDA.</v>
          </cell>
          <cell r="C275" t="str">
            <v>KARLA SILVA</v>
          </cell>
          <cell r="D275" t="str">
            <v>(61) 3027-1029 / (61) 8476-9355</v>
          </cell>
        </row>
        <row r="276">
          <cell r="A276" t="str">
            <v>PRISMA (701556)</v>
          </cell>
          <cell r="B276" t="str">
            <v>PRISMA (JA PRODUTOS HOSPITALARES LDTA).</v>
          </cell>
          <cell r="C276" t="str">
            <v>MARCOS BURITIZAL</v>
          </cell>
          <cell r="D276" t="str">
            <v>(62) 3089-0592 / 8557-8682</v>
          </cell>
        </row>
        <row r="277">
          <cell r="A277" t="str">
            <v>PRÓ ÁGUA (701512)</v>
          </cell>
          <cell r="B277" t="str">
            <v>PRO ÁGUA (BIOPURE COMÉRCIO DE PRODUTOS PARA LIMPEZA DE ÁGUA).</v>
          </cell>
          <cell r="C277" t="str">
            <v>MARCOS JOSÉ</v>
          </cell>
          <cell r="D277" t="str">
            <v>(61) 8471-3650 / (61) 9180-9152</v>
          </cell>
        </row>
        <row r="278">
          <cell r="A278" t="str">
            <v>PRO DOCTOR ()</v>
          </cell>
          <cell r="B278" t="str">
            <v>PRO DOCTOR (A F MANUTENÇÃO ODONTO-HOSPITALAR LTDA - ME.)</v>
          </cell>
          <cell r="C278" t="str">
            <v>CAMILA SAMARA FERNANDES</v>
          </cell>
          <cell r="D278" t="str">
            <v>(83) 3048-1324 / (83) 3048-1332</v>
          </cell>
        </row>
        <row r="279">
          <cell r="A279" t="str">
            <v>PRÓ SAÚDE (702918)</v>
          </cell>
          <cell r="B279" t="str">
            <v>PRÓ SAÚDE DISTRIBUIDORA DE MEDICAMENTOS EIRELI - ME</v>
          </cell>
          <cell r="C279" t="str">
            <v>Handrey Ribeiro da Silva</v>
          </cell>
          <cell r="D279" t="str">
            <v>(61) 3044-3250 / (61) 999414130</v>
          </cell>
        </row>
        <row r="280">
          <cell r="A280" t="str">
            <v>PROMEDH (355)</v>
          </cell>
          <cell r="B280" t="str">
            <v>PROMEDH PRODUTOS MEDICO HOSPITALARES LTDA.</v>
          </cell>
          <cell r="C280" t="str">
            <v>MURILO FERNANDES</v>
          </cell>
          <cell r="D280" t="str">
            <v>(61) 3274-1537</v>
          </cell>
        </row>
        <row r="281">
          <cell r="A281" t="str">
            <v>PROMEDIC ()</v>
          </cell>
          <cell r="B281" t="str">
            <v>PROMEDIC - COMÉRCIO DE PRODUTOS MÉDICO HOSPITLARES LTDA - ME.</v>
          </cell>
          <cell r="C281" t="str">
            <v>DAIANE MILLARCH</v>
          </cell>
          <cell r="D281" t="str">
            <v xml:space="preserve">(41) 3078-2200 </v>
          </cell>
        </row>
        <row r="282">
          <cell r="A282" t="str">
            <v>PROMÉDICA (701888)</v>
          </cell>
          <cell r="B282" t="str">
            <v>PROMÉDICA PRODUTOS HOSPITALARES LTDA.</v>
          </cell>
          <cell r="C282" t="str">
            <v>AILTON FREITAS</v>
          </cell>
          <cell r="D282" t="str">
            <v>(31) 3337-2929</v>
          </cell>
        </row>
        <row r="283">
          <cell r="A283" t="str">
            <v>PROMEDICAL (701273)</v>
          </cell>
          <cell r="B283" t="str">
            <v>PROMEDICAL EQUIPAMENTOS MÉDICOS LTDA.</v>
          </cell>
          <cell r="C283" t="str">
            <v>JULIANA / ROSANA</v>
          </cell>
          <cell r="D283" t="str">
            <v>(32) 3313-6902 / 6904</v>
          </cell>
        </row>
        <row r="284">
          <cell r="A284" t="str">
            <v>PROTEC (700639)</v>
          </cell>
          <cell r="B284" t="str">
            <v>PROTEC INDÚSTRIA, COMÉRCIO, IMPORTAÇÃO DE EQUIP. MED. HOSP. LTDA.</v>
          </cell>
          <cell r="C284" t="str">
            <v>EMILIO</v>
          </cell>
          <cell r="D284" t="str">
            <v>(17) 3227-5432 / 3304-5432 / 5433</v>
          </cell>
        </row>
        <row r="285">
          <cell r="A285" t="str">
            <v>PUBLICART (702240)</v>
          </cell>
          <cell r="B285" t="str">
            <v>PUBLICART (ALAN JORGE PEREIRA MACIEL-MEI).</v>
          </cell>
          <cell r="C285" t="str">
            <v>ALAN JORGE PEREIRA MACIEL</v>
          </cell>
          <cell r="D285" t="str">
            <v>(61) 3358-2226 / (61) 3358-6941</v>
          </cell>
        </row>
        <row r="286">
          <cell r="A286" t="str">
            <v>QUALIMED (701529)</v>
          </cell>
          <cell r="B286" t="str">
            <v>QUALIMED COMÉRCIO E REPRSENTAÇÕES.</v>
          </cell>
          <cell r="C286" t="str">
            <v>DAIANY GONÇALVES</v>
          </cell>
          <cell r="D286" t="str">
            <v>(62) 3225-2011</v>
          </cell>
        </row>
        <row r="287">
          <cell r="A287" t="str">
            <v>QUALITY (702099)</v>
          </cell>
          <cell r="B287" t="str">
            <v>QUALITY - FARMÁCIA DE MANIPULAÇÃO LTDA.</v>
          </cell>
          <cell r="C287" t="str">
            <v>FLÁVIA</v>
          </cell>
          <cell r="D287" t="str">
            <v>(61) 3048-0070 / 3048-0969</v>
          </cell>
        </row>
        <row r="288">
          <cell r="A288" t="str">
            <v>QUINELATO ()</v>
          </cell>
          <cell r="B288" t="str">
            <v>QUINELATO INSTRUMENTOS CIRÚRGICOS</v>
          </cell>
          <cell r="C288" t="str">
            <v>RAFAELA ARRUDA</v>
          </cell>
          <cell r="D288" t="str">
            <v>(19) 2112-5200</v>
          </cell>
        </row>
        <row r="289">
          <cell r="A289" t="str">
            <v>R&amp;A MEDICAL (700925)</v>
          </cell>
          <cell r="B289" t="str">
            <v>R&amp;A MEDICAL DISTRIBUIDORA DE PRODUTOS MEDICOS HOSPITALARES LTDA.</v>
          </cell>
          <cell r="C289" t="str">
            <v>ROSÂNGELA</v>
          </cell>
          <cell r="D289" t="str">
            <v>(61) 3627-0275 / (61) 8151-1282</v>
          </cell>
        </row>
        <row r="290">
          <cell r="A290" t="str">
            <v>R&amp;D (702559)</v>
          </cell>
          <cell r="B290" t="str">
            <v>R&amp;D MEDIQ EQUIPAMENTOS E SERVIÇOS ESP. LTDA.</v>
          </cell>
          <cell r="C290" t="str">
            <v>RENAN DE OLIVEIRA</v>
          </cell>
          <cell r="D290" t="str">
            <v>(19) 2112-5200</v>
          </cell>
        </row>
        <row r="291">
          <cell r="A291" t="str">
            <v>RAVA (4035)</v>
          </cell>
          <cell r="B291" t="str">
            <v>RAVA EMBALAGENS INDÚSTRIA E COMÉRCIO LTDA.</v>
          </cell>
          <cell r="C291" t="str">
            <v>CAMILA SAMARA FERNANDES</v>
          </cell>
          <cell r="D291" t="str">
            <v>(83) 3048-1324 / (83) 3048-1332</v>
          </cell>
        </row>
        <row r="292">
          <cell r="A292" t="str">
            <v>RBR (703044)</v>
          </cell>
          <cell r="B292" t="str">
            <v>RBR COMERCIO DE PRODUTOS HOSPITALARES EIRELLI EPP</v>
          </cell>
          <cell r="C292" t="str">
            <v>THIAGO MENDES</v>
          </cell>
          <cell r="D292" t="str">
            <v>(61) 3255-5000 / (61) 3247-9931</v>
          </cell>
        </row>
        <row r="293">
          <cell r="A293" t="str">
            <v>RECMED (700531)</v>
          </cell>
          <cell r="B293" t="str">
            <v>RECMED COMÉRCIO MAT, HOSPITALARES LTDA</v>
          </cell>
          <cell r="C293" t="str">
            <v>SUZANA / VALDINEIDE / JUAREZ</v>
          </cell>
          <cell r="D293" t="str">
            <v>(61) 3033-1002 / (62) 3088-7600</v>
          </cell>
        </row>
        <row r="294">
          <cell r="A294" t="str">
            <v>REOBOTE (702935)</v>
          </cell>
          <cell r="B294" t="str">
            <v>REOBOTE HOSPITALAR</v>
          </cell>
          <cell r="C294" t="str">
            <v>MARCELO GOMES DE ALCANTARA</v>
          </cell>
          <cell r="D294" t="str">
            <v>(62) 3596-6228</v>
          </cell>
        </row>
        <row r="295">
          <cell r="A295" t="str">
            <v>RF MEDICAL (703337)</v>
          </cell>
          <cell r="B295" t="str">
            <v>RF MEDICAL SERVIÇOS E EQUIPAMENTOS MÉDICOS LTDA</v>
          </cell>
          <cell r="C295" t="str">
            <v>AILTON FREITAS</v>
          </cell>
          <cell r="D295" t="str">
            <v>(31) 3337-2929</v>
          </cell>
        </row>
        <row r="296">
          <cell r="A296" t="str">
            <v>RGN (700544)</v>
          </cell>
          <cell r="B296" t="str">
            <v>RGN SOM ELETRÔNICA E INFORMÁTICA LTDA.</v>
          </cell>
          <cell r="C296" t="str">
            <v>WILLIAN LEAL</v>
          </cell>
          <cell r="D296" t="str">
            <v>(61) 3242-5563 / 8449-1425</v>
          </cell>
        </row>
        <row r="297">
          <cell r="A297" t="str">
            <v>RHOSS 1 (702512)</v>
          </cell>
          <cell r="B297" t="str">
            <v>RHOSS 1 (MATERIAL CIRURGICO GONÇALVES)</v>
          </cell>
          <cell r="C297" t="str">
            <v>EMILIO</v>
          </cell>
          <cell r="D297" t="str">
            <v>(17) 3227-5432 / 3304-5432 / 5433</v>
          </cell>
        </row>
        <row r="298">
          <cell r="A298" t="str">
            <v>RHOSS 2 (703189)</v>
          </cell>
          <cell r="B298" t="str">
            <v>RHOSS 2 (RAPHAEL CONÇALVES NICESIO - ME)</v>
          </cell>
          <cell r="C298" t="str">
            <v>EMILIO</v>
          </cell>
          <cell r="D298" t="str">
            <v>(17) 3304-7701 / 3227-5432</v>
          </cell>
        </row>
        <row r="299">
          <cell r="A299" t="str">
            <v>RIACHO TINTAS ()</v>
          </cell>
          <cell r="B299" t="str">
            <v>RIACHO TINTAS (JS COMÉRCIO DE TINTAS LTDA).</v>
          </cell>
          <cell r="C299" t="str">
            <v>CESAR</v>
          </cell>
          <cell r="D299" t="str">
            <v>(61) 3355-5001</v>
          </cell>
        </row>
        <row r="300">
          <cell r="A300" t="str">
            <v>RIACHO TINTAS LTG (703338)</v>
          </cell>
          <cell r="B300" t="str">
            <v>RIACHO TINTAS LTG (LTG COMÉRCIO DE TINTAS LTDA).</v>
          </cell>
          <cell r="C300" t="str">
            <v>TAIS</v>
          </cell>
          <cell r="D300" t="str">
            <v>(61) 3629-9444</v>
          </cell>
        </row>
        <row r="301">
          <cell r="A301" t="str">
            <v>RIMTEC (701274)</v>
          </cell>
          <cell r="B301" t="str">
            <v>RIMTEC MANUTENÇÃO DE EQUIPAMENTOS HOSPITALARES LTDA.</v>
          </cell>
          <cell r="C301" t="str">
            <v>PAULO HENRIQUE DE SOUZA RIBEIRO</v>
          </cell>
          <cell r="D301" t="str">
            <v>(61) 3346-7998</v>
          </cell>
        </row>
        <row r="302">
          <cell r="A302" t="str">
            <v>RIOCLARENSE (3374)</v>
          </cell>
          <cell r="B302" t="str">
            <v>RIOCLARENSE (COMERCIAL CIRURGICA RIOCLARENSE LTDA.)</v>
          </cell>
          <cell r="C302" t="str">
            <v>RAFAELA ARRUDA</v>
          </cell>
          <cell r="D302" t="str">
            <v>(19) 3522-5800</v>
          </cell>
        </row>
        <row r="303">
          <cell r="A303" t="str">
            <v>RISK (3874)</v>
          </cell>
          <cell r="B303" t="str">
            <v>PAPELARIA E LIVRARIA RISK LTDA</v>
          </cell>
          <cell r="C303" t="str">
            <v>RONALDO ROCHA</v>
          </cell>
          <cell r="D303" t="str">
            <v>(61) 3351-2126</v>
          </cell>
        </row>
        <row r="304">
          <cell r="A304" t="str">
            <v>RKM (701943)</v>
          </cell>
          <cell r="B304" t="str">
            <v>RKM ASSISTÊNCIA E MANUTENÇÃO HOSPITALAR LTDA.</v>
          </cell>
          <cell r="C304" t="str">
            <v>RAIMUNDO MACEDO</v>
          </cell>
          <cell r="D304" t="str">
            <v>(61) 3359-4349 / 9638-5141</v>
          </cell>
        </row>
        <row r="305">
          <cell r="A305" t="str">
            <v>RKP (703642)</v>
          </cell>
          <cell r="B305" t="str">
            <v>RKP ENGENHARIA CLINICA LTDA</v>
          </cell>
          <cell r="C305" t="str">
            <v>SAMIRA SANGE</v>
          </cell>
          <cell r="D305" t="str">
            <v>(11) 5061-5088</v>
          </cell>
        </row>
        <row r="306">
          <cell r="A306" t="str">
            <v>RQ TECNOLOGIA (702722)</v>
          </cell>
          <cell r="B306" t="str">
            <v>RQ TECNOLOGIA (KARINA BACCAR QUEIROZ ME).</v>
          </cell>
          <cell r="C306" t="str">
            <v>DEISE</v>
          </cell>
          <cell r="D306" t="str">
            <v>(17) 3312-8008</v>
          </cell>
        </row>
        <row r="307">
          <cell r="A307" t="str">
            <v>RRX (702960)</v>
          </cell>
          <cell r="B307" t="str">
            <v>RRX COMÉRCIO DE PRODUTOS HOSPITALARES EIRELI - EPP.</v>
          </cell>
          <cell r="C307" t="str">
            <v>RAFAEL ARATANI</v>
          </cell>
          <cell r="D307" t="str">
            <v>(61) 3345-6073 / 0800-647 4776 / (61) 8350-6060</v>
          </cell>
        </row>
        <row r="308">
          <cell r="A308" t="str">
            <v>RT COMERCIO (702949)</v>
          </cell>
          <cell r="B308" t="str">
            <v>RT COMERCIO E SERVIÇOS LTDA-ME</v>
          </cell>
          <cell r="C308" t="str">
            <v>JOSE LAURENCIO</v>
          </cell>
          <cell r="D308" t="str">
            <v>(61)3254-1021</v>
          </cell>
        </row>
        <row r="309">
          <cell r="A309" t="str">
            <v>RV GRÁFICA (703134)</v>
          </cell>
          <cell r="B309" t="str">
            <v>RV GRÁFICA (RV COMERCIO E SERVICOS LTDA EPP)</v>
          </cell>
          <cell r="C309" t="str">
            <v>MANOELA SIMONE</v>
          </cell>
          <cell r="D309" t="str">
            <v>(61) 4141-1880 / (61) 8125-1406</v>
          </cell>
        </row>
        <row r="310">
          <cell r="A310" t="str">
            <v>SANTÉ (3869)</v>
          </cell>
          <cell r="B310" t="str">
            <v>SANTÉ PRODUTOS HOSPITALARES LTDA.</v>
          </cell>
          <cell r="C310" t="str">
            <v>JOYCE</v>
          </cell>
          <cell r="D310" t="str">
            <v>(61) 3386-0707 / 9965-0054</v>
          </cell>
        </row>
        <row r="311">
          <cell r="A311" t="str">
            <v>SÃO BERNARDO (83)</v>
          </cell>
          <cell r="B311" t="str">
            <v>SÃO BERNARDO (CIRURGICA SÃO BERNARDO LTDA.)</v>
          </cell>
          <cell r="C311" t="str">
            <v>CLAUDINEY / DENISE</v>
          </cell>
          <cell r="D311" t="str">
            <v>(61) 3233-2958</v>
          </cell>
        </row>
        <row r="312">
          <cell r="A312" t="str">
            <v>SATÉLITE (700879)</v>
          </cell>
          <cell r="B312" t="str">
            <v>SATÉLITE PROMOÇÕES E COMÉRCIO LTDA.</v>
          </cell>
          <cell r="C312" t="str">
            <v>MERIVAN SUELY / EDMILSON</v>
          </cell>
          <cell r="D312" t="str">
            <v>(61) 3045-8024 / 3491-2062</v>
          </cell>
        </row>
        <row r="313">
          <cell r="A313" t="str">
            <v>SAÚDE (1822)</v>
          </cell>
          <cell r="B313" t="str">
            <v>SAÚDE COMÉRCIO DE PRODUTOS HOSPITALARES LTDA.</v>
          </cell>
          <cell r="C313" t="str">
            <v>JÚLIO CÉSAR</v>
          </cell>
          <cell r="D313" t="str">
            <v>(61) 3033-4174</v>
          </cell>
        </row>
        <row r="314">
          <cell r="A314" t="str">
            <v>SCIENTIFIC (969068)</v>
          </cell>
          <cell r="B314" t="str">
            <v>SCIENTIFIC COMÉRCIO E IMPORTAÇÃO LTDA.</v>
          </cell>
          <cell r="C314" t="str">
            <v>JÉSSICA FERNANDES / ELIANE PIRES</v>
          </cell>
          <cell r="D314" t="str">
            <v>(62) 3607-5700</v>
          </cell>
        </row>
        <row r="315">
          <cell r="A315" t="str">
            <v>SEMED (703277)</v>
          </cell>
          <cell r="B315" t="str">
            <v>SEMED EQUIPAMENTOS HOSPITALARES LTDA</v>
          </cell>
          <cell r="C315" t="str">
            <v xml:space="preserve">SEBASTIÃO FEITOSA </v>
          </cell>
          <cell r="D315" t="str">
            <v>(61) 8146-5342 / 9309-9416</v>
          </cell>
        </row>
        <row r="316">
          <cell r="A316" t="str">
            <v>SG DISTRIBUIDORA (702766)</v>
          </cell>
          <cell r="B316" t="str">
            <v>SG DISTRIBUIDORA HOSPITALAR EIRELI - ME</v>
          </cell>
          <cell r="C316" t="str">
            <v>MARCELO</v>
          </cell>
          <cell r="D316" t="str">
            <v>(62) 3295-9938</v>
          </cell>
        </row>
        <row r="317">
          <cell r="A317" t="str">
            <v>SHALON (700809)</v>
          </cell>
          <cell r="B317" t="str">
            <v>SHALON FIOS CIRÚRGICOS LTDA.</v>
          </cell>
          <cell r="C317" t="str">
            <v>LEILA REGIANE / MARINA</v>
          </cell>
          <cell r="D317" t="str">
            <v>(61) 3877-9478, 9205-1575 L / (62) 3259-4546</v>
          </cell>
        </row>
        <row r="318">
          <cell r="A318" t="str">
            <v>SHOPPING DO ALUNO (700790)</v>
          </cell>
          <cell r="B318" t="str">
            <v>SHOPPING DO ALUNO LIVRARIA E PAPELARIA LTDA.</v>
          </cell>
          <cell r="C318" t="str">
            <v>RONALDO ROCHA</v>
          </cell>
          <cell r="D318" t="str">
            <v>(61) 3351-2126</v>
          </cell>
        </row>
        <row r="319">
          <cell r="A319" t="str">
            <v>SINGULAR (703084)</v>
          </cell>
          <cell r="B319" t="str">
            <v>SINGULAR PRODUTOS E EQUIPAMENTOS HOSPITALARES EIRELI -ME</v>
          </cell>
          <cell r="C319" t="str">
            <v>DANILO RIBEIRO</v>
          </cell>
          <cell r="D319" t="str">
            <v>(62)3636-1391 – (61) 9 8274-2723</v>
          </cell>
        </row>
        <row r="320">
          <cell r="A320" t="str">
            <v>SÍNTESE (700448)</v>
          </cell>
          <cell r="B320" t="str">
            <v>SÍNTESE COMERCIAL HOSPITALAR LTDA.</v>
          </cell>
          <cell r="C320" t="str">
            <v>JOSÉ RAIMUNDO</v>
          </cell>
          <cell r="D320" t="str">
            <v>(62) 3212-3015</v>
          </cell>
        </row>
        <row r="321">
          <cell r="A321" t="str">
            <v>SITEC (5757)</v>
          </cell>
          <cell r="B321" t="str">
            <v>SITEC MEDICAL COMÉRCIO E MANUTENÇÃO DE EQUIPAMENTOS MÉDICOS.</v>
          </cell>
          <cell r="C321" t="str">
            <v>FLÁVIO MAIA</v>
          </cell>
          <cell r="D321" t="str">
            <v>(61) 9651-2637 / (61) 8470-3510</v>
          </cell>
        </row>
        <row r="322">
          <cell r="A322" t="str">
            <v>SMITHS (701392)</v>
          </cell>
          <cell r="B322" t="str">
            <v>SMITHS MEDICAL DO BRASIL</v>
          </cell>
          <cell r="C322" t="str">
            <v>FÁBIO HOSOKAWA</v>
          </cell>
          <cell r="D322" t="str">
            <v>(62) 3212-3015</v>
          </cell>
        </row>
        <row r="323">
          <cell r="A323" t="str">
            <v>SÓ QUÍMICA (702925)</v>
          </cell>
          <cell r="B323" t="str">
            <v>SÓ QUÍMICA</v>
          </cell>
          <cell r="C323" t="str">
            <v>DALTON SANTOS</v>
          </cell>
          <cell r="D323" t="str">
            <v>(17) 2139-3090</v>
          </cell>
        </row>
        <row r="324">
          <cell r="A324" t="str">
            <v>SÓDROGAS (701455)</v>
          </cell>
          <cell r="B324" t="str">
            <v>SODROGAS DISTRIBUIDORA DE MEDICAMENTOS E MATERIAIS MEDICO HOSPITALARES LTDA</v>
          </cell>
          <cell r="C324" t="str">
            <v>ADRIANO ALFAIATE</v>
          </cell>
          <cell r="D324" t="str">
            <v>(17) 2139-3090 (17) 99153-8922</v>
          </cell>
        </row>
        <row r="325">
          <cell r="A325" t="str">
            <v>SOLUÇÃO EPI ()</v>
          </cell>
          <cell r="B325" t="str">
            <v>SOLUÇÃO EPI COMERCIO DE EQUIPAMENTOS PROFISSIONAIS DE SEGURANÇA EIRELI</v>
          </cell>
          <cell r="C325" t="str">
            <v>PATRICIA RIBEIRO FEITOSA</v>
          </cell>
          <cell r="D325" t="str">
            <v>(17) 2139-3090</v>
          </cell>
        </row>
        <row r="326">
          <cell r="A326" t="str">
            <v>START UP  (701922)</v>
          </cell>
          <cell r="B326" t="str">
            <v>START UP COMÉRCIO E SERVIÇOS LTDA.</v>
          </cell>
          <cell r="C326" t="str">
            <v>ALESSANDRA CARDOSO</v>
          </cell>
          <cell r="D326" t="str">
            <v>(62) 3251-5340</v>
          </cell>
        </row>
        <row r="327">
          <cell r="A327" t="str">
            <v>STEFANY GOMES (701308)</v>
          </cell>
          <cell r="B327" t="str">
            <v>STEFANY GOMES DE FREITAS LTDA</v>
          </cell>
          <cell r="C327" t="str">
            <v>KLÉLIA SILVA</v>
          </cell>
          <cell r="D327" t="str">
            <v>JOSE DE MENDONÇA</v>
          </cell>
        </row>
        <row r="328">
          <cell r="A328" t="str">
            <v>STOCK (3380)</v>
          </cell>
          <cell r="B328" t="str">
            <v>STOCK COMERCIAL HOSPITALAR LTDA</v>
          </cell>
          <cell r="C328" t="str">
            <v>HUDSON</v>
          </cell>
          <cell r="D328" t="str">
            <v>(62) 3097-8000</v>
          </cell>
        </row>
        <row r="329">
          <cell r="A329" t="str">
            <v>STRATTNER (329)</v>
          </cell>
          <cell r="B329" t="str">
            <v>STRATTNER (H. STRATTNER E CIA LTDA)</v>
          </cell>
          <cell r="C329" t="str">
            <v>LORENA SILVA FLOR</v>
          </cell>
          <cell r="D329" t="str">
            <v>(61) 3323-1858 / (61) 99995-4530</v>
          </cell>
        </row>
        <row r="330">
          <cell r="A330" t="str">
            <v>SUPERMÉDICA (702730)</v>
          </cell>
          <cell r="B330" t="str">
            <v>SUPERMÉDICA DISTRIBUIDORA HOSPITALAR EIRELI - ME.</v>
          </cell>
          <cell r="C330" t="str">
            <v>CAMILA ALVES</v>
          </cell>
          <cell r="D330" t="str">
            <v>(62) 3928-8989 / (62) 8557-8682</v>
          </cell>
        </row>
        <row r="331">
          <cell r="A331" t="str">
            <v>SYNTHES (A02)</v>
          </cell>
          <cell r="B331" t="str">
            <v>SYNTHES INDÚSTRIA E COMÉRCIO LTDA.</v>
          </cell>
          <cell r="C331" t="str">
            <v>SARAH BASSO / GABRIELA VARUSSA</v>
          </cell>
          <cell r="D331" t="str">
            <v xml:space="preserve">(19) 2112 6600 – Ramal: 6706 </v>
          </cell>
        </row>
        <row r="332">
          <cell r="A332" t="str">
            <v>TAGUASUL (700766)</v>
          </cell>
          <cell r="B332" t="str">
            <v>TAGUASUL (ELÉTRICA E HIDRÁULICA TAGUASUL LTDA.)</v>
          </cell>
          <cell r="C332" t="str">
            <v>PAULO SILVEIRA PASSOS</v>
          </cell>
          <cell r="D332" t="str">
            <v>(61) 3562-1002</v>
          </cell>
        </row>
        <row r="333">
          <cell r="A333" t="str">
            <v>TCA FARMA (3360)</v>
          </cell>
          <cell r="B333" t="str">
            <v>TCA FARMA COMÉRCIO LTDA.</v>
          </cell>
          <cell r="C333" t="str">
            <v>JÉSSICA REIS / PEDRO RICARDO</v>
          </cell>
          <cell r="D333" t="str">
            <v>(21) 2456-7007</v>
          </cell>
        </row>
        <row r="334">
          <cell r="A334" t="str">
            <v>TECMED (703305)</v>
          </cell>
          <cell r="B334" t="str">
            <v>TECMED MANUTENÇÃO HOSPITALAR (WELLINGTON COSTA DA SILVA)</v>
          </cell>
          <cell r="C334" t="str">
            <v>WELLIGTON COSTA DA SILVA</v>
          </cell>
          <cell r="D334" t="str">
            <v>61 98509-1372 / 61 99367-2401</v>
          </cell>
        </row>
        <row r="335">
          <cell r="A335" t="str">
            <v>TECNO4 (700319)</v>
          </cell>
          <cell r="B335" t="str">
            <v>TECNO4 PRODUTOS HOSPITALARES LTFA EPP.</v>
          </cell>
          <cell r="C335" t="str">
            <v>MARCO ANTONIO DE OLIVEIRA SANTOS</v>
          </cell>
          <cell r="D335" t="str">
            <v>(11) 96441-0957</v>
          </cell>
        </row>
        <row r="336">
          <cell r="A336" t="str">
            <v>TER FILTROS (701835)</v>
          </cell>
          <cell r="B336" t="str">
            <v>TER FILTROS</v>
          </cell>
          <cell r="C336" t="str">
            <v>CAROLINE</v>
          </cell>
          <cell r="D336" t="str">
            <v>(61) 3022-4416</v>
          </cell>
        </row>
        <row r="337">
          <cell r="A337" t="str">
            <v>THEMED (701615)</v>
          </cell>
          <cell r="B337" t="str">
            <v>THEMED PRODUTOS MÉDICOS E HOSPITALARES.</v>
          </cell>
          <cell r="C337" t="str">
            <v>JOSÉ RAIMUNDO</v>
          </cell>
          <cell r="D337" t="str">
            <v>(63) 3213-1437</v>
          </cell>
        </row>
        <row r="338">
          <cell r="A338" t="str">
            <v>THYSSENKRUPP (486)</v>
          </cell>
          <cell r="B338" t="str">
            <v>THYSSENKRUPP ELEVADORES SA.</v>
          </cell>
          <cell r="C338" t="str">
            <v>FERNANDO JOSÉ</v>
          </cell>
          <cell r="D338" t="str">
            <v>(61) 2108-2333</v>
          </cell>
        </row>
        <row r="339">
          <cell r="A339" t="str">
            <v>TIRADENTES - FILIAL (701012)</v>
          </cell>
          <cell r="B339" t="str">
            <v>TIRADENTES - FILIAL (TIRADENTES MÉDICO HOSPITALAR LTDA.)</v>
          </cell>
          <cell r="C339" t="str">
            <v>DALTON SANTOS</v>
          </cell>
          <cell r="D339" t="str">
            <v>(61) 3225-1020 / (62) 3221-8900 / (61) 99115-8748 DALTON</v>
          </cell>
        </row>
        <row r="340">
          <cell r="A340" t="str">
            <v>TIRADENTES - MATRIZ (295)</v>
          </cell>
          <cell r="B340" t="str">
            <v>TIRADENTES - MATRIZ (TIRADENTES MÉDICO HOSPITALAR LTDA.)</v>
          </cell>
        </row>
        <row r="341">
          <cell r="A341" t="str">
            <v>TJDFT ()</v>
          </cell>
          <cell r="B341" t="str">
            <v>TJDFT - BLOQUEIO JUDICIAL</v>
          </cell>
        </row>
        <row r="342">
          <cell r="A342" t="str">
            <v>TMR (701659)</v>
          </cell>
          <cell r="B342" t="str">
            <v>TMR SILVA ME. (ENTREGUE REFORMAS E SERVIÇOS DE MANUTENÇÃO).</v>
          </cell>
        </row>
        <row r="343">
          <cell r="A343" t="str">
            <v>TOP DESCARTÁVEIS (703221)</v>
          </cell>
          <cell r="B343" t="str">
            <v>TOP DESCARTÁVEIS (M.F PIRES - ME)</v>
          </cell>
        </row>
        <row r="344">
          <cell r="A344" t="str">
            <v>TOP ODONTO (703627)</v>
          </cell>
          <cell r="B344" t="str">
            <v>TOP ODONTO (PATRICIA RIBEIRO FEITOSA ME)</v>
          </cell>
        </row>
        <row r="345">
          <cell r="A345" t="str">
            <v>TOPMED (701533)</v>
          </cell>
          <cell r="B345" t="str">
            <v>TOPMED PRODUTOS HOSPITALARES LTDA.</v>
          </cell>
        </row>
        <row r="346">
          <cell r="A346" t="str">
            <v>TOPMEDLAR (700358)</v>
          </cell>
          <cell r="B346" t="str">
            <v>TOPMEDLAR NUTRIÇÃO CLÍNICA E PRODUTOS HOSPITALARES LTDA.</v>
          </cell>
        </row>
        <row r="347">
          <cell r="A347" t="str">
            <v>TRAUMA SUGIRCAL (701201)</v>
          </cell>
          <cell r="B347" t="str">
            <v>TRAUMA SURGICAL PRODUTOS MEDICOS E HOSPITALARES LTDA.</v>
          </cell>
        </row>
        <row r="348">
          <cell r="A348" t="str">
            <v>TRINO (701431)</v>
          </cell>
          <cell r="B348" t="str">
            <v>TRINO HOSPITALAR LTDA.</v>
          </cell>
        </row>
        <row r="349">
          <cell r="A349" t="str">
            <v>TSL (607)</v>
          </cell>
          <cell r="B349" t="str">
            <v>TSL COMÉRCIO E REP. DE MATERIAL MEDICO HOSPITALAR LTDA</v>
          </cell>
        </row>
      </sheetData>
      <sheetData sheetId="12" refreshError="1"/>
      <sheetData sheetId="13" refreshError="1"/>
      <sheetData sheetId="14">
        <row r="17">
          <cell r="F17" t="str">
            <v>1 - Matrix de cotação gerada.</v>
          </cell>
        </row>
        <row r="18">
          <cell r="A18" t="str">
            <v xml:space="preserve"> - Bruno</v>
          </cell>
          <cell r="F18" t="str">
            <v>2 - Matrix de cotação - pedido de cotação gerado.</v>
          </cell>
        </row>
        <row r="19">
          <cell r="A19" t="str">
            <v xml:space="preserve"> - Clayton</v>
          </cell>
          <cell r="F19" t="str">
            <v>3 - Interrupção - aguardando liberação de códigos.</v>
          </cell>
        </row>
        <row r="20">
          <cell r="A20" t="str">
            <v xml:space="preserve"> - Robson</v>
          </cell>
          <cell r="F20" t="str">
            <v>4 - SIS - cadastro iniciado.</v>
          </cell>
        </row>
        <row r="21">
          <cell r="A21" t="str">
            <v xml:space="preserve"> - Oberdan</v>
          </cell>
          <cell r="F21" t="str">
            <v>5 - SEI - Pedido de cotação anexada ao processo.</v>
          </cell>
        </row>
        <row r="22">
          <cell r="A22" t="str">
            <v xml:space="preserve"> - Jefferson</v>
          </cell>
          <cell r="F22" t="str">
            <v>6 - SEI - Pedido de cotação incluído no Bloco de Assinatura.</v>
          </cell>
        </row>
        <row r="23">
          <cell r="A23" t="str">
            <v xml:space="preserve"> - Lorena</v>
          </cell>
          <cell r="F23" t="str">
            <v>7 - SEI - Pedido de cotação assinado.</v>
          </cell>
        </row>
        <row r="24">
          <cell r="F24" t="str">
            <v>8 - Pedido de cotação publicado.</v>
          </cell>
        </row>
        <row r="25">
          <cell r="F25" t="str">
            <v>9 - Matrix de cotação - 2ª publicação</v>
          </cell>
        </row>
        <row r="26">
          <cell r="F26" t="str">
            <v>10 - SEI - E-mail(s) anexado(s).</v>
          </cell>
        </row>
        <row r="27">
          <cell r="F27" t="str">
            <v>11 - Prazo para recebimento de propostas encerrado.</v>
          </cell>
        </row>
        <row r="28">
          <cell r="F28" t="str">
            <v>12 - Matrix de cotação - Propostas apuradas.</v>
          </cell>
        </row>
        <row r="29">
          <cell r="F29" t="str">
            <v>13 - Matrix de cotação - Adjudicação e Orden(s) de compra(s) geradas.</v>
          </cell>
        </row>
        <row r="30">
          <cell r="F30" t="str">
            <v>14 - SIS - Cadastro realizado até a fase de parecer.</v>
          </cell>
        </row>
        <row r="31">
          <cell r="F31" t="str">
            <v>15 - SIS - Pedido de cotação SIS e mapa comparativo gerados</v>
          </cell>
        </row>
        <row r="32">
          <cell r="F32" t="str">
            <v>16 - SEI - Pedido SIS, prop., mapa, adju. e Orden(s) de anexadas ao processo.</v>
          </cell>
        </row>
        <row r="33">
          <cell r="F33" t="str">
            <v>17 - SEI - Adjudicação e Ordem(ns) de compra(s) incluídos no Bloco de Assinatura</v>
          </cell>
        </row>
        <row r="34">
          <cell r="F34" t="str">
            <v>18 - SEI - Adjudicação e Ordem(ns) de compra(s) assinados.</v>
          </cell>
        </row>
        <row r="35">
          <cell r="F35" t="str">
            <v>19 - Ordem(ns) de compra enviada(s) ao fornecedor.</v>
          </cell>
        </row>
        <row r="36">
          <cell r="F36" t="str">
            <v>20 - SEI - Processo encaminhado ao setor solicitante para inclusão de nota fiscal.</v>
          </cell>
        </row>
        <row r="37">
          <cell r="F37" t="str">
            <v>21 - Matrix geral - Nota Fiscal cadastrada</v>
          </cell>
        </row>
        <row r="38">
          <cell r="F38" t="str">
            <v>22 - Matrix geral - TED anexada.</v>
          </cell>
        </row>
        <row r="39">
          <cell r="F39" t="str">
            <v>23 - SEI - certidões compiladas anexadas.</v>
          </cell>
        </row>
        <row r="40">
          <cell r="F40" t="str">
            <v>24 - Processo finalizado.</v>
          </cell>
        </row>
      </sheetData>
      <sheetData sheetId="15">
        <row r="2">
          <cell r="A2" t="str">
            <v>NFH</v>
          </cell>
          <cell r="B2">
            <v>1</v>
          </cell>
          <cell r="C2" t="str">
            <v>E-mail</v>
          </cell>
          <cell r="D2" t="str">
            <v>Bruno</v>
          </cell>
          <cell r="E2" t="str">
            <v>S</v>
          </cell>
        </row>
        <row r="3">
          <cell r="A3" t="str">
            <v>NMPAT</v>
          </cell>
          <cell r="B3">
            <v>2</v>
          </cell>
          <cell r="C3" t="str">
            <v>SEI</v>
          </cell>
          <cell r="D3" t="str">
            <v>Clayton</v>
          </cell>
          <cell r="E3" t="str">
            <v>T</v>
          </cell>
        </row>
        <row r="4">
          <cell r="A4" t="str">
            <v>NECFM</v>
          </cell>
          <cell r="B4">
            <v>3</v>
          </cell>
          <cell r="C4" t="str">
            <v>Físico</v>
          </cell>
          <cell r="D4" t="str">
            <v>Jefferson</v>
          </cell>
        </row>
        <row r="5">
          <cell r="A5" t="str">
            <v>NAGMP</v>
          </cell>
          <cell r="B5">
            <v>4</v>
          </cell>
          <cell r="C5" t="str">
            <v>Ok</v>
          </cell>
          <cell r="D5" t="str">
            <v>Tyrion Lannister</v>
          </cell>
        </row>
        <row r="6">
          <cell r="B6">
            <v>5</v>
          </cell>
          <cell r="D6" t="str">
            <v>Claudia</v>
          </cell>
        </row>
        <row r="7">
          <cell r="B7">
            <v>6</v>
          </cell>
          <cell r="D7" t="str">
            <v>Roseli</v>
          </cell>
        </row>
        <row r="8">
          <cell r="B8" t="str">
            <v>A/A</v>
          </cell>
          <cell r="D8" t="str">
            <v>Oberdan</v>
          </cell>
        </row>
        <row r="9">
          <cell r="D9" t="str">
            <v>Robson</v>
          </cell>
        </row>
      </sheetData>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FERIADOS"/>
      <sheetName val="Mapa"/>
      <sheetName val="Cot.A"/>
      <sheetName val="Cot.F"/>
      <sheetName val="Cot.M"/>
      <sheetName val="Cot.Eng"/>
      <sheetName val="Adjudicação"/>
      <sheetName val="Ordem"/>
      <sheetName val="Financeiro"/>
      <sheetName val="BD"/>
      <sheetName val="Instruções"/>
      <sheetName val="Fornecedores"/>
      <sheetName val="PAGAMENTO"/>
      <sheetName val="Prazo de entrega"/>
      <sheetName val="PRESTAÇÃO DE CONTAS"/>
      <sheetName val="Fonte"/>
      <sheetName val="Validação"/>
      <sheetName val="Plan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
          <cell r="A2" t="str">
            <v>*CANCELADO</v>
          </cell>
        </row>
        <row r="3">
          <cell r="A3" t="str">
            <v>*OBSERVAÇÃO</v>
          </cell>
        </row>
        <row r="4">
          <cell r="A4" t="str">
            <v>*URGENTE</v>
          </cell>
        </row>
        <row r="5">
          <cell r="A5" t="str">
            <v>1000 MARCAS ()</v>
          </cell>
        </row>
        <row r="6">
          <cell r="A6" t="str">
            <v>ACRIlPLAC (702856)</v>
          </cell>
        </row>
        <row r="7">
          <cell r="A7" t="str">
            <v>ADESIFLEX  (702832)</v>
          </cell>
        </row>
        <row r="8">
          <cell r="A8" t="str">
            <v>AGIMED (700378)</v>
          </cell>
        </row>
        <row r="9">
          <cell r="A9" t="str">
            <v>AIR LIQUIDE (702036)</v>
          </cell>
        </row>
        <row r="10">
          <cell r="A10" t="str">
            <v>ALEX SARKIS ()</v>
          </cell>
        </row>
        <row r="11">
          <cell r="A11" t="str">
            <v>ALIMED MEDICAL (703436)</v>
          </cell>
        </row>
        <row r="12">
          <cell r="A12" t="str">
            <v>ALLIMED (700426)</v>
          </cell>
        </row>
        <row r="13">
          <cell r="A13" t="str">
            <v>ALPHA  (700916)</v>
          </cell>
        </row>
        <row r="14">
          <cell r="A14" t="str">
            <v>ANMED ()</v>
          </cell>
        </row>
        <row r="15">
          <cell r="A15" t="str">
            <v>AP TORTELLI (700021)</v>
          </cell>
        </row>
        <row r="16">
          <cell r="A16" t="str">
            <v>ARS  (703124)</v>
          </cell>
        </row>
        <row r="17">
          <cell r="A17" t="str">
            <v>ARTMED  (702071)</v>
          </cell>
        </row>
        <row r="18">
          <cell r="A18" t="str">
            <v>ARTWARE (702395)</v>
          </cell>
        </row>
        <row r="19">
          <cell r="A19" t="str">
            <v>ASTEM (3864)</v>
          </cell>
        </row>
        <row r="20">
          <cell r="A20" t="str">
            <v>ASTHAMED (701330)</v>
          </cell>
        </row>
        <row r="21">
          <cell r="A21" t="str">
            <v>ATALAIA (702336)</v>
          </cell>
        </row>
        <row r="22">
          <cell r="A22" t="str">
            <v>ATAX (703508)</v>
          </cell>
        </row>
        <row r="23">
          <cell r="A23" t="str">
            <v>ATD (700657)</v>
          </cell>
        </row>
        <row r="24">
          <cell r="A24" t="str">
            <v>ATIVA (703219)</v>
          </cell>
        </row>
        <row r="25">
          <cell r="A25" t="str">
            <v>AUROBINDO (3875)</v>
          </cell>
        </row>
        <row r="26">
          <cell r="A26" t="str">
            <v>BALONNY (701679)</v>
          </cell>
        </row>
        <row r="27">
          <cell r="A27" t="str">
            <v>BASZI (701540)</v>
          </cell>
        </row>
        <row r="28">
          <cell r="A28" t="str">
            <v>BAUMER (32)</v>
          </cell>
        </row>
        <row r="29">
          <cell r="A29" t="str">
            <v>BBRAUN (257)</v>
          </cell>
        </row>
        <row r="30">
          <cell r="A30" t="str">
            <v>BELBI (703418)</v>
          </cell>
        </row>
        <row r="31">
          <cell r="A31" t="str">
            <v>BENENUTRI (702930)</v>
          </cell>
        </row>
        <row r="32">
          <cell r="A32" t="str">
            <v>BHIO SUPPLY (703205)</v>
          </cell>
        </row>
        <row r="33">
          <cell r="A33" t="str">
            <v>BIOLOG (396)</v>
          </cell>
        </row>
        <row r="34">
          <cell r="A34" t="str">
            <v>BIOPLASMA (702938)</v>
          </cell>
        </row>
        <row r="35">
          <cell r="A35" t="str">
            <v>BIOSYS (6514)</v>
          </cell>
        </row>
        <row r="36">
          <cell r="A36" t="str">
            <v>BIOTÉCNICA (559)</v>
          </cell>
        </row>
        <row r="37">
          <cell r="A37" t="str">
            <v>BRAKKO (1365)</v>
          </cell>
        </row>
        <row r="38">
          <cell r="A38" t="str">
            <v>BRASFREEZER (700048)</v>
          </cell>
        </row>
        <row r="39">
          <cell r="A39" t="str">
            <v>BRASÍLIA CARTUCHOS (700981)</v>
          </cell>
        </row>
        <row r="40">
          <cell r="A40" t="str">
            <v>BRASILIA SCIENTIFIC (702726)</v>
          </cell>
        </row>
        <row r="41">
          <cell r="A41" t="str">
            <v>BRASÍLIA UTILIDADES ()</v>
          </cell>
        </row>
        <row r="42">
          <cell r="A42" t="str">
            <v>BRASMÉDICA (51)</v>
          </cell>
        </row>
        <row r="43">
          <cell r="A43" t="str">
            <v>BS MADEIRAS (700739)</v>
          </cell>
        </row>
        <row r="44">
          <cell r="A44" t="str">
            <v>BSB DISTRIBUIÇÃO (700800)</v>
          </cell>
        </row>
        <row r="45">
          <cell r="A45" t="str">
            <v>BSB GASES (702829)</v>
          </cell>
        </row>
        <row r="46">
          <cell r="A46" t="str">
            <v>BSB HOSPITALAR (6509)</v>
          </cell>
        </row>
        <row r="47">
          <cell r="A47" t="str">
            <v>BSB MEDICAL (3958)</v>
          </cell>
        </row>
        <row r="48">
          <cell r="A48" t="str">
            <v>BSD DROGARIA (702743)</v>
          </cell>
        </row>
        <row r="49">
          <cell r="A49" t="str">
            <v>CALL MED (701484)</v>
          </cell>
        </row>
        <row r="50">
          <cell r="A50" t="str">
            <v>CAMB (3055)</v>
          </cell>
        </row>
        <row r="51">
          <cell r="A51" t="str">
            <v>CAMP MED (702584)</v>
          </cell>
        </row>
        <row r="52">
          <cell r="A52" t="str">
            <v>CANTINHO DA MAMAE (703358)</v>
          </cell>
        </row>
        <row r="53">
          <cell r="A53" t="str">
            <v>CARDIOBRAS (1195)</v>
          </cell>
        </row>
        <row r="54">
          <cell r="A54" t="str">
            <v>CASA DA QUIMICA (700119)</v>
          </cell>
        </row>
        <row r="55">
          <cell r="A55" t="str">
            <v>CASA DAS ETIQUETAS (700559)</v>
          </cell>
        </row>
        <row r="56">
          <cell r="A56" t="str">
            <v>CBA (700380)</v>
          </cell>
        </row>
        <row r="57">
          <cell r="A57" t="str">
            <v>CDB ()</v>
          </cell>
        </row>
        <row r="58">
          <cell r="A58" t="str">
            <v>CEI (4067)</v>
          </cell>
        </row>
        <row r="59">
          <cell r="A59" t="str">
            <v>CENTRAL MEDICA (3579)</v>
          </cell>
        </row>
        <row r="60">
          <cell r="A60" t="str">
            <v>CENTRO OESTE (700502)</v>
          </cell>
        </row>
        <row r="61">
          <cell r="A61" t="str">
            <v>CID (703462)</v>
          </cell>
        </row>
        <row r="62">
          <cell r="A62" t="str">
            <v>CIENTÍFICA (700617)</v>
          </cell>
        </row>
        <row r="63">
          <cell r="A63" t="str">
            <v>CINCO CONFIANÇA (702125)</v>
          </cell>
        </row>
        <row r="64">
          <cell r="A64" t="str">
            <v>CIRURGICA ALSTYN (702916)</v>
          </cell>
        </row>
        <row r="65">
          <cell r="A65" t="str">
            <v>CIRÚRGICA FERNANDES (3510)</v>
          </cell>
        </row>
        <row r="66">
          <cell r="A66" t="str">
            <v>CIRÚRGICA RIBEIRÃO PRETO (702755)</v>
          </cell>
        </row>
        <row r="67">
          <cell r="A67" t="str">
            <v>CITOPHARMA (701352)</v>
          </cell>
        </row>
        <row r="68">
          <cell r="A68" t="str">
            <v>CLASSE A ()</v>
          </cell>
        </row>
        <row r="69">
          <cell r="A69" t="str">
            <v>CMC (702562)</v>
          </cell>
        </row>
        <row r="70">
          <cell r="A70" t="str">
            <v>COMERCIAL PLENITUDE (700777)</v>
          </cell>
        </row>
        <row r="71">
          <cell r="A71" t="str">
            <v>COMERCIAL RIO (702481)</v>
          </cell>
        </row>
        <row r="72">
          <cell r="A72" t="str">
            <v>COMLAB (3543)</v>
          </cell>
        </row>
        <row r="73">
          <cell r="A73" t="str">
            <v>CONDOR (700787)</v>
          </cell>
        </row>
        <row r="74">
          <cell r="A74" t="str">
            <v>CONFECÇÕES SÃO PAULO (700905)</v>
          </cell>
        </row>
        <row r="75">
          <cell r="A75" t="str">
            <v>CONFITECH (701796)</v>
          </cell>
        </row>
        <row r="76">
          <cell r="A76" t="str">
            <v>CONTROL THERM ()</v>
          </cell>
        </row>
        <row r="77">
          <cell r="A77" t="str">
            <v>CRISTÁLIA (114)</v>
          </cell>
        </row>
        <row r="78">
          <cell r="A78" t="str">
            <v>CTI  (2046)</v>
          </cell>
        </row>
        <row r="79">
          <cell r="A79" t="str">
            <v>CVS (703292)</v>
          </cell>
        </row>
        <row r="80">
          <cell r="A80" t="str">
            <v>D2MA (700796)</v>
          </cell>
        </row>
        <row r="81">
          <cell r="A81" t="str">
            <v>DALIA HOSPITALAR (702700)</v>
          </cell>
        </row>
        <row r="82">
          <cell r="A82" t="str">
            <v>DEL GRANDI (701963)</v>
          </cell>
        </row>
        <row r="83">
          <cell r="A83" t="str">
            <v>DELTA (702207)</v>
          </cell>
        </row>
        <row r="84">
          <cell r="A84" t="str">
            <v>DENTAL FORTE (703098)</v>
          </cell>
        </row>
        <row r="85">
          <cell r="A85" t="str">
            <v>DENTAL PRINCIPAL (701032)</v>
          </cell>
        </row>
        <row r="86">
          <cell r="A86" t="str">
            <v>DIAGLAB (701027)</v>
          </cell>
        </row>
        <row r="87">
          <cell r="A87" t="str">
            <v>DIMACI (1858)</v>
          </cell>
        </row>
        <row r="88">
          <cell r="A88" t="str">
            <v>DIRK (703322)</v>
          </cell>
        </row>
        <row r="89">
          <cell r="A89" t="str">
            <v>DISPOMED (700858)</v>
          </cell>
        </row>
        <row r="90">
          <cell r="A90" t="str">
            <v>DISTRIBUIDORA BRASIL (701810)</v>
          </cell>
        </row>
        <row r="91">
          <cell r="A91" t="str">
            <v>DISTRIMIX ()</v>
          </cell>
        </row>
        <row r="92">
          <cell r="A92" t="str">
            <v>DMG (3149)</v>
          </cell>
        </row>
        <row r="93">
          <cell r="A93" t="str">
            <v>DMI (2073)</v>
          </cell>
        </row>
        <row r="94">
          <cell r="A94" t="str">
            <v>DROGALARES (703509)</v>
          </cell>
        </row>
        <row r="95">
          <cell r="A95" t="str">
            <v>DS MEDICAL (702905)</v>
          </cell>
        </row>
        <row r="96">
          <cell r="A96" t="str">
            <v>DTUDO (701944)</v>
          </cell>
        </row>
        <row r="97">
          <cell r="A97" t="str">
            <v>ECOMED (701313)</v>
          </cell>
        </row>
        <row r="98">
          <cell r="A98" t="str">
            <v>ECOPRINT (701495)</v>
          </cell>
        </row>
        <row r="99">
          <cell r="A99" t="str">
            <v>EDJ (702924)</v>
          </cell>
        </row>
        <row r="100">
          <cell r="A100" t="str">
            <v>EFICÁCIA (701959)</v>
          </cell>
        </row>
        <row r="101">
          <cell r="A101" t="str">
            <v>ELÉTRICA ESTRELA (702334)</v>
          </cell>
        </row>
        <row r="102">
          <cell r="A102" t="str">
            <v>ELÉTRICA PISTÃO (702896)</v>
          </cell>
        </row>
        <row r="103">
          <cell r="A103" t="str">
            <v>ELÉTRICA REGIONAL (701099)</v>
          </cell>
        </row>
        <row r="104">
          <cell r="A104" t="str">
            <v>ELETRO TERRÍVEL (2118)</v>
          </cell>
        </row>
        <row r="105">
          <cell r="A105" t="str">
            <v>ELETROSPITALAR (162)</v>
          </cell>
        </row>
        <row r="106">
          <cell r="A106" t="str">
            <v>ELLO (702153)</v>
          </cell>
        </row>
        <row r="107">
          <cell r="A107" t="str">
            <v>EMEDCAL (700674)</v>
          </cell>
        </row>
        <row r="108">
          <cell r="A108" t="str">
            <v>EQUIPEMED (701187)</v>
          </cell>
        </row>
        <row r="109">
          <cell r="A109" t="str">
            <v>EQUIPLEX (3147)</v>
          </cell>
        </row>
        <row r="110">
          <cell r="A110" t="str">
            <v>ERIDATA (3793)</v>
          </cell>
        </row>
        <row r="111">
          <cell r="A111" t="str">
            <v>ÉTICA (703252)</v>
          </cell>
        </row>
        <row r="112">
          <cell r="A112" t="str">
            <v>ETIFLEX ()</v>
          </cell>
        </row>
        <row r="113">
          <cell r="A113" t="str">
            <v>EUROPA (2057)</v>
          </cell>
        </row>
        <row r="114">
          <cell r="A114" t="str">
            <v>EXATECH (3941)</v>
          </cell>
        </row>
        <row r="115">
          <cell r="A115" t="str">
            <v>FABRICON ()</v>
          </cell>
        </row>
        <row r="116">
          <cell r="A116" t="str">
            <v>FARMACE (1842)</v>
          </cell>
        </row>
        <row r="117">
          <cell r="A117" t="str">
            <v>FARMACONN (3089)</v>
          </cell>
        </row>
        <row r="118">
          <cell r="A118" t="str">
            <v>FARMAGREEN ()</v>
          </cell>
        </row>
        <row r="119">
          <cell r="A119" t="str">
            <v>FARMATEX (703448)</v>
          </cell>
        </row>
        <row r="120">
          <cell r="A120" t="str">
            <v>FARQUÍMICA (700633)</v>
          </cell>
        </row>
        <row r="121">
          <cell r="A121" t="str">
            <v>FDF HOSPITALAR (702325)</v>
          </cell>
        </row>
        <row r="122">
          <cell r="A122" t="str">
            <v>FENIX MATERIAIS ()</v>
          </cell>
        </row>
        <row r="123">
          <cell r="A123" t="str">
            <v>FERRAGENS BRILHAR (702404)</v>
          </cell>
        </row>
        <row r="124">
          <cell r="A124" t="str">
            <v>FERRAGENS GAMA (3580)</v>
          </cell>
        </row>
        <row r="125">
          <cell r="A125" t="str">
            <v>FERRAGENS LÍDER (700064)</v>
          </cell>
        </row>
        <row r="126">
          <cell r="A126" t="str">
            <v>FERRAGENS LÍDER GAMA (702713)</v>
          </cell>
        </row>
        <row r="127">
          <cell r="A127" t="str">
            <v>FJ COMÉRCIO (703245)</v>
          </cell>
        </row>
        <row r="128">
          <cell r="A128" t="str">
            <v>FLUKKA (702981)</v>
          </cell>
        </row>
        <row r="129">
          <cell r="A129" t="str">
            <v>FÓRMULAS MAGISTRAIS (702511)</v>
          </cell>
        </row>
        <row r="130">
          <cell r="A130" t="str">
            <v>FORT ()</v>
          </cell>
        </row>
        <row r="131">
          <cell r="A131" t="str">
            <v>FPS (703054)</v>
          </cell>
        </row>
        <row r="132">
          <cell r="A132" t="str">
            <v>FRADEL (700651)</v>
          </cell>
        </row>
        <row r="133">
          <cell r="A133" t="str">
            <v>FRAGA (702350)</v>
          </cell>
        </row>
        <row r="134">
          <cell r="A134" t="str">
            <v>G.A.C. FREITAS (701309)</v>
          </cell>
        </row>
        <row r="135">
          <cell r="A135" t="str">
            <v>GAMACORP (700816)</v>
          </cell>
        </row>
        <row r="136">
          <cell r="A136" t="str">
            <v>GENÉTICA (418)</v>
          </cell>
        </row>
        <row r="137">
          <cell r="A137" t="str">
            <v>GLOBAL (702998)</v>
          </cell>
        </row>
        <row r="138">
          <cell r="A138" t="str">
            <v>GOIÂNIA (3392)</v>
          </cell>
        </row>
        <row r="139">
          <cell r="A139" t="str">
            <v>GOLD GÁS (703034)</v>
          </cell>
        </row>
        <row r="140">
          <cell r="A140" t="str">
            <v>GRIFOLS (702165)</v>
          </cell>
        </row>
        <row r="141">
          <cell r="A141" t="str">
            <v>H &amp; F SALES (702232)</v>
          </cell>
        </row>
        <row r="142">
          <cell r="A142" t="str">
            <v>HALEX ISTAR (259)</v>
          </cell>
        </row>
        <row r="143">
          <cell r="A143" t="str">
            <v>HAOXI (702729)</v>
          </cell>
        </row>
        <row r="144">
          <cell r="A144" t="str">
            <v>HCS (701782)</v>
          </cell>
        </row>
        <row r="145">
          <cell r="A145" t="str">
            <v>HELP FARMA (701722)</v>
          </cell>
        </row>
        <row r="146">
          <cell r="A146" t="str">
            <v>HEMOGRAM (5424)</v>
          </cell>
        </row>
        <row r="147">
          <cell r="A147" t="str">
            <v>HOSPCOM (701227)</v>
          </cell>
        </row>
        <row r="148">
          <cell r="A148" t="str">
            <v>HOSPDROGAS (700179)</v>
          </cell>
        </row>
        <row r="149">
          <cell r="A149" t="str">
            <v>HOSPFAR (2875)</v>
          </cell>
        </row>
        <row r="150">
          <cell r="A150" t="str">
            <v>HOSPITECH ()</v>
          </cell>
        </row>
        <row r="151">
          <cell r="A151" t="str">
            <v>HOSPSERVICE ()</v>
          </cell>
        </row>
        <row r="152">
          <cell r="A152" t="str">
            <v>IBEX ()</v>
          </cell>
        </row>
        <row r="153">
          <cell r="A153" t="str">
            <v>IBF (410)</v>
          </cell>
        </row>
        <row r="154">
          <cell r="A154" t="str">
            <v>IGARAÇU ()</v>
          </cell>
        </row>
        <row r="155">
          <cell r="A155" t="str">
            <v>IMAGEM (703155)</v>
          </cell>
        </row>
        <row r="156">
          <cell r="A156" t="str">
            <v>IMED (702095)</v>
          </cell>
        </row>
        <row r="157">
          <cell r="A157" t="str">
            <v>INJEX ()</v>
          </cell>
        </row>
        <row r="158">
          <cell r="A158" t="str">
            <v>ISS ()</v>
          </cell>
        </row>
        <row r="159">
          <cell r="A159" t="str">
            <v>ITATIAIA (703193)</v>
          </cell>
        </row>
        <row r="160">
          <cell r="A160" t="str">
            <v>JD PAPELARIA (703434)</v>
          </cell>
        </row>
        <row r="161">
          <cell r="A161" t="str">
            <v>JJT AMARAL (703513)</v>
          </cell>
        </row>
        <row r="162">
          <cell r="A162" t="str">
            <v>JL E B (701463)</v>
          </cell>
        </row>
        <row r="163">
          <cell r="A163" t="str">
            <v>JM COM (701132)</v>
          </cell>
        </row>
        <row r="164">
          <cell r="A164" t="str">
            <v>KCA (702968)</v>
          </cell>
        </row>
        <row r="165">
          <cell r="A165" t="str">
            <v>KOLPLAST (701546)</v>
          </cell>
        </row>
        <row r="166">
          <cell r="A166" t="str">
            <v>KOMPAZO SAÚDE (702300)</v>
          </cell>
        </row>
        <row r="167">
          <cell r="A167" t="str">
            <v>KRISTA (1144)</v>
          </cell>
        </row>
        <row r="168">
          <cell r="A168" t="str">
            <v>LABINBRAZ (1633)</v>
          </cell>
        </row>
        <row r="169">
          <cell r="A169" t="str">
            <v>LABS (703021)</v>
          </cell>
        </row>
        <row r="170">
          <cell r="A170" t="str">
            <v>LARISSA (703011)</v>
          </cell>
        </row>
        <row r="171">
          <cell r="A171" t="str">
            <v>LF (2938)</v>
          </cell>
        </row>
        <row r="172">
          <cell r="A172" t="str">
            <v>LIFEMED FILIAL (703090)</v>
          </cell>
        </row>
        <row r="173">
          <cell r="A173" t="str">
            <v>LIFEMED MATRIZ (3158)</v>
          </cell>
        </row>
        <row r="174">
          <cell r="A174" t="str">
            <v>LIMP BEM (702898)</v>
          </cell>
        </row>
        <row r="175">
          <cell r="A175" t="str">
            <v>LM COPIADORA ()</v>
          </cell>
        </row>
        <row r="176">
          <cell r="A176" t="str">
            <v>LM DISTRIBUIDORA (1362)</v>
          </cell>
        </row>
        <row r="177">
          <cell r="A177" t="str">
            <v>LM FARMA (692)</v>
          </cell>
        </row>
        <row r="178">
          <cell r="A178" t="str">
            <v>LUZ.COM (703106)</v>
          </cell>
        </row>
        <row r="179">
          <cell r="A179" t="str">
            <v>LUZICON (702401)</v>
          </cell>
        </row>
        <row r="180">
          <cell r="A180" t="str">
            <v>MACOM (701406)</v>
          </cell>
        </row>
        <row r="181">
          <cell r="A181" t="str">
            <v>MADEIREIRA RIBEIRO (701121)</v>
          </cell>
        </row>
        <row r="182">
          <cell r="A182" t="str">
            <v>MADRE (703254)</v>
          </cell>
        </row>
        <row r="183">
          <cell r="A183" t="str">
            <v>MAFRA (703141)</v>
          </cell>
        </row>
        <row r="184">
          <cell r="A184" t="str">
            <v>MAIS SOLUÇÕES (702759)</v>
          </cell>
        </row>
        <row r="185">
          <cell r="A185" t="str">
            <v>MARK FREEZER ()</v>
          </cell>
        </row>
        <row r="186">
          <cell r="A186" t="str">
            <v>MARTINS (700168)</v>
          </cell>
        </row>
        <row r="187">
          <cell r="A187" t="str">
            <v>MAWED (703236)</v>
          </cell>
        </row>
        <row r="188">
          <cell r="A188" t="str">
            <v>MAZIMUS ()</v>
          </cell>
        </row>
        <row r="189">
          <cell r="A189" t="str">
            <v>MB TEXTIL ()</v>
          </cell>
        </row>
        <row r="190">
          <cell r="A190" t="str">
            <v>MEDCAM ()</v>
          </cell>
        </row>
        <row r="191">
          <cell r="A191" t="str">
            <v>MEDCOMERCE (2756)</v>
          </cell>
        </row>
        <row r="192">
          <cell r="A192" t="str">
            <v>MEDCORP (908)</v>
          </cell>
        </row>
        <row r="193">
          <cell r="A193" t="str">
            <v>MÉDICA PRO (1229)</v>
          </cell>
        </row>
        <row r="194">
          <cell r="A194" t="str">
            <v>MEDICAL INNOVATION (700214)</v>
          </cell>
        </row>
        <row r="195">
          <cell r="A195" t="str">
            <v>MEDICAL PEÇAS (702875)</v>
          </cell>
        </row>
        <row r="196">
          <cell r="A196" t="str">
            <v>MEDICAL TECH (701542)</v>
          </cell>
        </row>
        <row r="197">
          <cell r="A197" t="str">
            <v>MEDICALMED (703016)</v>
          </cell>
        </row>
        <row r="198">
          <cell r="A198" t="str">
            <v>MEDLINN (702570)</v>
          </cell>
        </row>
        <row r="199">
          <cell r="A199" t="str">
            <v>MEDSONDA (700669)</v>
          </cell>
        </row>
        <row r="200">
          <cell r="A200" t="str">
            <v>META (703261)</v>
          </cell>
        </row>
        <row r="201">
          <cell r="A201" t="str">
            <v>METHABIO (701878)</v>
          </cell>
        </row>
        <row r="202">
          <cell r="A202" t="str">
            <v>METRÓPOLE (2653)</v>
          </cell>
        </row>
        <row r="203">
          <cell r="A203" t="str">
            <v>MF HOSPITALAR (703140)</v>
          </cell>
        </row>
        <row r="204">
          <cell r="A204" t="str">
            <v>MG HOSPITALAR (703430)</v>
          </cell>
        </row>
        <row r="205">
          <cell r="A205" t="str">
            <v>MICROMEDICAL (384)</v>
          </cell>
        </row>
        <row r="206">
          <cell r="A206" t="str">
            <v>MILESKI (701665)</v>
          </cell>
        </row>
        <row r="207">
          <cell r="A207" t="str">
            <v>MISSNER  (1063)</v>
          </cell>
        </row>
        <row r="208">
          <cell r="A208" t="str">
            <v>MIX MED (700753)</v>
          </cell>
        </row>
        <row r="209">
          <cell r="A209" t="str">
            <v>ML COMÉRCIO (701487)</v>
          </cell>
        </row>
        <row r="210">
          <cell r="A210" t="str">
            <v>MM MIX (700864)</v>
          </cell>
        </row>
        <row r="211">
          <cell r="A211" t="str">
            <v>MONTEGGIA (702210)</v>
          </cell>
        </row>
        <row r="212">
          <cell r="A212" t="str">
            <v>MS (701866)</v>
          </cell>
        </row>
        <row r="213">
          <cell r="A213" t="str">
            <v>MULTIWORKS (1423)</v>
          </cell>
        </row>
        <row r="214">
          <cell r="A214" t="str">
            <v>MUNDO DOS COUROS (700773)</v>
          </cell>
        </row>
        <row r="215">
          <cell r="A215" t="str">
            <v>MW (701604)</v>
          </cell>
        </row>
        <row r="216">
          <cell r="A216" t="str">
            <v>NEOMED (701001)</v>
          </cell>
        </row>
        <row r="217">
          <cell r="A217" t="str">
            <v>NEW DESC (702923)</v>
          </cell>
        </row>
        <row r="218">
          <cell r="A218" t="str">
            <v>NL (SUPERMEDICAL) (700820)</v>
          </cell>
        </row>
        <row r="219">
          <cell r="A219" t="str">
            <v>NOVA ANALÍTICA (2135)</v>
          </cell>
        </row>
        <row r="220">
          <cell r="A220" t="str">
            <v>NOVA HOSPITALAR (702094)</v>
          </cell>
        </row>
        <row r="221">
          <cell r="A221" t="str">
            <v>NOVAGOIÁS (701397)</v>
          </cell>
        </row>
        <row r="222">
          <cell r="A222" t="str">
            <v>NOVAMED (700754)</v>
          </cell>
        </row>
        <row r="223">
          <cell r="A223" t="str">
            <v>NR HOSPITALAR (703435)</v>
          </cell>
        </row>
        <row r="224">
          <cell r="A224" t="str">
            <v>OCTALAB (701015)</v>
          </cell>
        </row>
        <row r="225">
          <cell r="A225" t="str">
            <v>OLTEC (701215)</v>
          </cell>
        </row>
        <row r="226">
          <cell r="A226" t="str">
            <v>OPX DIAGNÓSTICA ()</v>
          </cell>
        </row>
        <row r="227">
          <cell r="A227" t="str">
            <v>OREGON (701311)</v>
          </cell>
        </row>
        <row r="228">
          <cell r="A228" t="str">
            <v>ORION (703410)</v>
          </cell>
        </row>
        <row r="229">
          <cell r="A229" t="str">
            <v>ORTOP (702098)</v>
          </cell>
        </row>
        <row r="230">
          <cell r="A230" t="str">
            <v>PAPELARIA ÁGAPE (702056)</v>
          </cell>
        </row>
        <row r="231">
          <cell r="A231" t="str">
            <v>PAPELARIA FARAGO (701094)</v>
          </cell>
        </row>
        <row r="232">
          <cell r="A232" t="str">
            <v>PAPELARIA LÍDER (700860)</v>
          </cell>
        </row>
        <row r="233">
          <cell r="A233" t="str">
            <v>PASSEVIP ()</v>
          </cell>
        </row>
        <row r="234">
          <cell r="A234" t="str">
            <v>PEDAGÓGICA ()</v>
          </cell>
        </row>
        <row r="235">
          <cell r="A235" t="str">
            <v>PERFIL (702720)</v>
          </cell>
        </row>
        <row r="236">
          <cell r="A236" t="str">
            <v>PERMUTION (703003)</v>
          </cell>
        </row>
        <row r="237">
          <cell r="A237" t="str">
            <v>PETROSOLO (701862)</v>
          </cell>
        </row>
        <row r="238">
          <cell r="A238" t="str">
            <v>PHARMAC (701331)</v>
          </cell>
        </row>
        <row r="239">
          <cell r="A239" t="str">
            <v>PHARMATEX (701093)</v>
          </cell>
        </row>
        <row r="240">
          <cell r="A240" t="str">
            <v>PHARMÉDICE (702085)</v>
          </cell>
        </row>
        <row r="241">
          <cell r="A241" t="str">
            <v>PLANTÃO (2303)</v>
          </cell>
        </row>
        <row r="242">
          <cell r="A242" t="str">
            <v>PLAST LABOR (3537)</v>
          </cell>
        </row>
        <row r="243">
          <cell r="A243" t="str">
            <v>PMH (347)</v>
          </cell>
        </row>
        <row r="244">
          <cell r="A244" t="str">
            <v>POINT SUTURE (1357)</v>
          </cell>
        </row>
        <row r="245">
          <cell r="A245" t="str">
            <v>POINTER (2649)</v>
          </cell>
        </row>
        <row r="246">
          <cell r="A246" t="str">
            <v>POLARFIX (3815)</v>
          </cell>
        </row>
        <row r="247">
          <cell r="A247" t="str">
            <v>PRIME (702886)</v>
          </cell>
        </row>
        <row r="248">
          <cell r="A248" t="str">
            <v>PRIMEIRA LINHA (878)</v>
          </cell>
        </row>
        <row r="249">
          <cell r="A249" t="str">
            <v>PRINT MASTER (701901)</v>
          </cell>
        </row>
        <row r="250">
          <cell r="A250" t="str">
            <v>PRISMA (701556)</v>
          </cell>
        </row>
        <row r="251">
          <cell r="A251" t="str">
            <v>PRÓ ÁGUA (701512)</v>
          </cell>
        </row>
        <row r="252">
          <cell r="A252" t="str">
            <v>PRO DOCTOR ()</v>
          </cell>
        </row>
        <row r="253">
          <cell r="A253" t="str">
            <v>PRÓ SAÚDE (702918)</v>
          </cell>
        </row>
        <row r="254">
          <cell r="A254" t="str">
            <v>PROMEDH (355)</v>
          </cell>
        </row>
        <row r="255">
          <cell r="A255" t="str">
            <v>PROMEDIC ()</v>
          </cell>
        </row>
        <row r="256">
          <cell r="A256" t="str">
            <v>PROMÉDICA (701888)</v>
          </cell>
        </row>
        <row r="257">
          <cell r="A257" t="str">
            <v>PROMEDICAL (701273)</v>
          </cell>
        </row>
        <row r="258">
          <cell r="A258" t="str">
            <v>PROTEC (700639)</v>
          </cell>
        </row>
        <row r="259">
          <cell r="A259" t="str">
            <v>PUBLICART (702240)</v>
          </cell>
        </row>
        <row r="260">
          <cell r="A260" t="str">
            <v>QUALIMED (701529)</v>
          </cell>
        </row>
        <row r="261">
          <cell r="A261" t="str">
            <v>QUALITY (702099)</v>
          </cell>
        </row>
        <row r="262">
          <cell r="A262" t="str">
            <v>QUINELATO ()</v>
          </cell>
        </row>
        <row r="263">
          <cell r="A263" t="str">
            <v>R&amp;A MEDICAL (700925)</v>
          </cell>
        </row>
        <row r="264">
          <cell r="A264" t="str">
            <v>R&amp;D (702559)</v>
          </cell>
        </row>
        <row r="265">
          <cell r="A265" t="str">
            <v>RAVA (4035)</v>
          </cell>
        </row>
        <row r="266">
          <cell r="A266" t="str">
            <v>RBR (703044)</v>
          </cell>
        </row>
        <row r="267">
          <cell r="A267" t="str">
            <v>RECMED (700531)</v>
          </cell>
        </row>
        <row r="268">
          <cell r="A268" t="str">
            <v>REOBOTE (702935)</v>
          </cell>
        </row>
        <row r="269">
          <cell r="A269" t="str">
            <v>RF MEDICAL (703337)</v>
          </cell>
        </row>
        <row r="270">
          <cell r="A270" t="str">
            <v>RGN (700544)</v>
          </cell>
        </row>
        <row r="271">
          <cell r="A271" t="str">
            <v>RHOSS 1 (702512)</v>
          </cell>
        </row>
        <row r="272">
          <cell r="A272" t="str">
            <v>RHOSS 2 (703189)</v>
          </cell>
        </row>
        <row r="273">
          <cell r="A273" t="str">
            <v>RIACHO TINTAS ()</v>
          </cell>
        </row>
        <row r="274">
          <cell r="A274" t="str">
            <v>RIMTEC (701274)</v>
          </cell>
        </row>
        <row r="275">
          <cell r="A275" t="str">
            <v>RIOCLARENSE (3374)</v>
          </cell>
        </row>
        <row r="276">
          <cell r="A276" t="str">
            <v>RKM (701943)</v>
          </cell>
        </row>
        <row r="277">
          <cell r="A277" t="str">
            <v>RQ TECNOLOGIA (702722)</v>
          </cell>
        </row>
        <row r="278">
          <cell r="A278" t="str">
            <v>RRX (702960)</v>
          </cell>
        </row>
        <row r="279">
          <cell r="A279" t="str">
            <v>RT COMERCIO (702949)</v>
          </cell>
        </row>
        <row r="280">
          <cell r="A280" t="str">
            <v>RV GRÁFICA (703134)</v>
          </cell>
        </row>
        <row r="281">
          <cell r="A281" t="str">
            <v>SANTÉ (3869)</v>
          </cell>
        </row>
        <row r="282">
          <cell r="A282" t="str">
            <v>SÃO BERNARDO (83)</v>
          </cell>
        </row>
        <row r="283">
          <cell r="A283" t="str">
            <v>SATÉLITE (700879)</v>
          </cell>
        </row>
        <row r="284">
          <cell r="A284" t="str">
            <v>SAÚDE (1822)</v>
          </cell>
        </row>
        <row r="285">
          <cell r="A285" t="str">
            <v>SCIENTIFIC (969068)</v>
          </cell>
        </row>
        <row r="286">
          <cell r="A286" t="str">
            <v>SEMED (703277)</v>
          </cell>
        </row>
        <row r="287">
          <cell r="A287" t="str">
            <v>SG DISTRIBUIDORA (702766)</v>
          </cell>
        </row>
        <row r="288">
          <cell r="A288" t="str">
            <v>SHALON (700809)</v>
          </cell>
        </row>
        <row r="289">
          <cell r="A289" t="str">
            <v>SHOPPING DO ALUNO (700790)</v>
          </cell>
        </row>
        <row r="290">
          <cell r="A290" t="str">
            <v>SINGULAR (703084)</v>
          </cell>
        </row>
        <row r="291">
          <cell r="A291" t="str">
            <v>SÍNTESE (700448)</v>
          </cell>
        </row>
        <row r="292">
          <cell r="A292" t="str">
            <v>SITEC (5757)</v>
          </cell>
        </row>
        <row r="293">
          <cell r="A293" t="str">
            <v>SMITHS (701392)</v>
          </cell>
        </row>
        <row r="294">
          <cell r="A294" t="str">
            <v>SÓ QUÍMICA (702925)</v>
          </cell>
        </row>
        <row r="295">
          <cell r="A295" t="str">
            <v>SÓDROGAS (701455)</v>
          </cell>
        </row>
        <row r="296">
          <cell r="A296" t="str">
            <v>START UP  (701922)</v>
          </cell>
        </row>
        <row r="297">
          <cell r="A297" t="str">
            <v>STEFANY GOMES (701308)</v>
          </cell>
        </row>
        <row r="298">
          <cell r="A298" t="str">
            <v>STOCK (3380)</v>
          </cell>
        </row>
        <row r="299">
          <cell r="A299" t="str">
            <v>STRATTNER (329)</v>
          </cell>
        </row>
        <row r="300">
          <cell r="A300" t="str">
            <v>SUPERMÉDICA (702730)</v>
          </cell>
        </row>
        <row r="301">
          <cell r="A301" t="str">
            <v>SYNTHES (A02)</v>
          </cell>
        </row>
        <row r="302">
          <cell r="A302" t="str">
            <v>TAGUASUL (700766)</v>
          </cell>
        </row>
        <row r="303">
          <cell r="A303" t="str">
            <v>TCA FARMA (3360)</v>
          </cell>
        </row>
        <row r="304">
          <cell r="A304" t="str">
            <v>TECMED (703305)</v>
          </cell>
        </row>
        <row r="305">
          <cell r="A305" t="str">
            <v>TECNO4 (700319)</v>
          </cell>
        </row>
        <row r="306">
          <cell r="A306" t="str">
            <v>TER FILTROS (701835)</v>
          </cell>
        </row>
        <row r="307">
          <cell r="A307" t="str">
            <v>THEMED (701615)</v>
          </cell>
        </row>
      </sheetData>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Mapa"/>
      <sheetName val="Cot.A"/>
      <sheetName val="Cot.F"/>
      <sheetName val="Cot.M"/>
      <sheetName val="Cot.Eng"/>
      <sheetName val="Adjudicação"/>
      <sheetName val="Ordem"/>
      <sheetName val="PAGAMENTO"/>
      <sheetName val="BD"/>
      <sheetName val="Instruções"/>
      <sheetName val="EmailsForn"/>
      <sheetName val="Fornecedores"/>
      <sheetName val="Financeiro"/>
      <sheetName val="Atrasado"/>
      <sheetName val="Prest. Contas"/>
      <sheetName val="PRESTAÇÃO DE CONTAS"/>
      <sheetName val="Fonte"/>
      <sheetName val="Validação"/>
      <sheetName val="Prazo de entrega"/>
    </sheetNames>
    <sheetDataSet>
      <sheetData sheetId="0">
        <row r="3">
          <cell r="F3"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7">
          <cell r="F17" t="str">
            <v>1 - Matrix de cotação gerada.</v>
          </cell>
        </row>
        <row r="18">
          <cell r="F18" t="str">
            <v>2 - Matrix de cotação - pedido de cotação gerado.</v>
          </cell>
        </row>
        <row r="19">
          <cell r="F19" t="str">
            <v>3 - Interrupção - aguardando liberação de códigos.</v>
          </cell>
        </row>
        <row r="20">
          <cell r="F20" t="str">
            <v>4 - SIS - cadastro iniciado.</v>
          </cell>
        </row>
        <row r="21">
          <cell r="F21" t="str">
            <v>5 - SEI - Pedido de cotação anexada ao processo.</v>
          </cell>
        </row>
        <row r="22">
          <cell r="F22" t="str">
            <v>6 - SEI - Pedido de cotação incluído no Bloco de Assinatura.</v>
          </cell>
        </row>
        <row r="23">
          <cell r="F23" t="str">
            <v>7 - SEI - Pedido de cotação assinado.</v>
          </cell>
        </row>
        <row r="24">
          <cell r="F24" t="str">
            <v>8 - Pedido de cotação publicado.</v>
          </cell>
        </row>
        <row r="25">
          <cell r="F25" t="str">
            <v>9 - Matrix de cotação - 2ª publicação</v>
          </cell>
        </row>
        <row r="26">
          <cell r="F26" t="str">
            <v>10 - SEI - E-mail(s) anexado(s).</v>
          </cell>
        </row>
        <row r="27">
          <cell r="F27" t="str">
            <v>11 - Prazo para recebimento de propostas encerrado.</v>
          </cell>
        </row>
        <row r="28">
          <cell r="F28" t="str">
            <v>12 - Matrix de cotação - Propostas apuradas.</v>
          </cell>
        </row>
        <row r="29">
          <cell r="F29" t="str">
            <v>13 - Matrix de cotação - Adjudicação e Orden(s) de compra(s) geradas.</v>
          </cell>
        </row>
        <row r="30">
          <cell r="F30" t="str">
            <v>14 - SIS - Cadastro realizado até a fase de parecer.</v>
          </cell>
        </row>
        <row r="31">
          <cell r="F31" t="str">
            <v>15 - SIS - Pedido de cotação SIS e mapa comparativo gerados</v>
          </cell>
        </row>
        <row r="32">
          <cell r="F32" t="str">
            <v>16 - SEI - Pedido SIS, prop., mapa, adju. e Orden(s) de anexadas ao processo.</v>
          </cell>
        </row>
        <row r="33">
          <cell r="F33" t="str">
            <v>17 - SEI - Adjudicação e Ordem(ns) de compra(s) incluídos no Bloco de Assinatura</v>
          </cell>
        </row>
        <row r="34">
          <cell r="F34" t="str">
            <v>18 - SEI - Adjudicação e Ordem(ns) de compra(s) assinados.</v>
          </cell>
        </row>
        <row r="35">
          <cell r="F35" t="str">
            <v>19 - Ordem(ns) de compra enviada(s) ao fornecedor.</v>
          </cell>
        </row>
        <row r="36">
          <cell r="F36" t="str">
            <v>20 - SEI - Processo encaminhado ao setor solicitante para inclusão de nota fiscal.</v>
          </cell>
        </row>
        <row r="37">
          <cell r="F37" t="str">
            <v>21 - Matrix geral - Nota Fiscal cadastrada</v>
          </cell>
        </row>
        <row r="38">
          <cell r="F38" t="str">
            <v>22 - Matrix geral - TED anexada.</v>
          </cell>
        </row>
        <row r="39">
          <cell r="F39" t="str">
            <v>23 - SEI - certidões compiladas anexadas.</v>
          </cell>
        </row>
        <row r="40">
          <cell r="F40" t="str">
            <v>24 - Processo finalizado.</v>
          </cell>
        </row>
      </sheetData>
      <sheetData sheetId="18" refreshError="1"/>
      <sheetData sheetId="19"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oleObject" Target="../embeddings/oleObject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17" Type="http://schemas.openxmlformats.org/officeDocument/2006/relationships/hyperlink" Target="mailto:vendasortop2@ortop.com.br" TargetMode="External"/><Relationship Id="rId21" Type="http://schemas.openxmlformats.org/officeDocument/2006/relationships/hyperlink" Target="mailto:vendas1@farmarin.com.br" TargetMode="External"/><Relationship Id="rId42" Type="http://schemas.openxmlformats.org/officeDocument/2006/relationships/hyperlink" Target="mailto:vendas4@vittahospitalar.com.br" TargetMode="External"/><Relationship Id="rId63" Type="http://schemas.openxmlformats.org/officeDocument/2006/relationships/hyperlink" Target="mailto:claudio@rcvendas.com.br" TargetMode="External"/><Relationship Id="rId84" Type="http://schemas.openxmlformats.org/officeDocument/2006/relationships/hyperlink" Target="mailto:satelitededetizadora@hotmail.com" TargetMode="External"/><Relationship Id="rId138" Type="http://schemas.openxmlformats.org/officeDocument/2006/relationships/hyperlink" Target="mailto:contato@triacengenharia.com.br" TargetMode="External"/><Relationship Id="rId107" Type="http://schemas.openxmlformats.org/officeDocument/2006/relationships/hyperlink" Target="mailto:comercial@multiplahospitalar.com.br" TargetMode="External"/><Relationship Id="rId11" Type="http://schemas.openxmlformats.org/officeDocument/2006/relationships/hyperlink" Target="mailto:vendas7@cientificahospitalar.com.br" TargetMode="External"/><Relationship Id="rId32" Type="http://schemas.openxmlformats.org/officeDocument/2006/relationships/hyperlink" Target="mailto:vendas@insightmedgo.com" TargetMode="External"/><Relationship Id="rId53" Type="http://schemas.openxmlformats.org/officeDocument/2006/relationships/hyperlink" Target="mailto:licitacao.br@alere.com" TargetMode="External"/><Relationship Id="rId74" Type="http://schemas.openxmlformats.org/officeDocument/2006/relationships/hyperlink" Target="mailto:helpdaspiscinasme@gmail.com" TargetMode="External"/><Relationship Id="rId128" Type="http://schemas.openxmlformats.org/officeDocument/2006/relationships/hyperlink" Target="mailto:rafael@axonbr.com" TargetMode="External"/><Relationship Id="rId149" Type="http://schemas.openxmlformats.org/officeDocument/2006/relationships/printerSettings" Target="../printerSettings/printerSettings12.bin"/><Relationship Id="rId5" Type="http://schemas.openxmlformats.org/officeDocument/2006/relationships/hyperlink" Target="mailto:comercial@pharmatex.com.br" TargetMode="External"/><Relationship Id="rId95" Type="http://schemas.openxmlformats.org/officeDocument/2006/relationships/hyperlink" Target="mailto:atendimento7@pharmedice.com.br" TargetMode="External"/><Relationship Id="rId22" Type="http://schemas.openxmlformats.org/officeDocument/2006/relationships/hyperlink" Target="mailto:andreia@agimed.com.br" TargetMode="External"/><Relationship Id="rId27" Type="http://schemas.openxmlformats.org/officeDocument/2006/relationships/hyperlink" Target="mailto:andrea@veracruzhospitalar.com.br" TargetMode="External"/><Relationship Id="rId43" Type="http://schemas.openxmlformats.org/officeDocument/2006/relationships/hyperlink" Target="mailto:financeiro@phitosdobrasil.com.br" TargetMode="External"/><Relationship Id="rId48" Type="http://schemas.openxmlformats.org/officeDocument/2006/relationships/hyperlink" Target="mailto:thaissa.farmarin@gmail.com" TargetMode="External"/><Relationship Id="rId64" Type="http://schemas.openxmlformats.org/officeDocument/2006/relationships/hyperlink" Target="mailto:luiza@rcvendas.com.br" TargetMode="External"/><Relationship Id="rId69" Type="http://schemas.openxmlformats.org/officeDocument/2006/relationships/hyperlink" Target="mailto:evellyn.oipapelaria@gmail.com" TargetMode="External"/><Relationship Id="rId113" Type="http://schemas.openxmlformats.org/officeDocument/2006/relationships/hyperlink" Target="mailto:marcelo@rhosse.com.br" TargetMode="External"/><Relationship Id="rId118" Type="http://schemas.openxmlformats.org/officeDocument/2006/relationships/hyperlink" Target="mailto:visionservicosespecializados@gmail.com" TargetMode="External"/><Relationship Id="rId134" Type="http://schemas.openxmlformats.org/officeDocument/2006/relationships/hyperlink" Target="mailto:escritorio@papelariarisk.com.br" TargetMode="External"/><Relationship Id="rId139" Type="http://schemas.openxmlformats.org/officeDocument/2006/relationships/hyperlink" Target="mailto:thais@renovarewd.com.br" TargetMode="External"/><Relationship Id="rId80" Type="http://schemas.openxmlformats.org/officeDocument/2006/relationships/hyperlink" Target="mailto:casalimpadf@hotmail.com" TargetMode="External"/><Relationship Id="rId85" Type="http://schemas.openxmlformats.org/officeDocument/2006/relationships/hyperlink" Target="mailto:comercial@ataxmed.com.br" TargetMode="External"/><Relationship Id="rId12" Type="http://schemas.openxmlformats.org/officeDocument/2006/relationships/hyperlink" Target="mailto:sarah@bmrmedical.com.br" TargetMode="External"/><Relationship Id="rId17" Type="http://schemas.openxmlformats.org/officeDocument/2006/relationships/hyperlink" Target="mailto:vendas@insightmedgo.com" TargetMode="External"/><Relationship Id="rId33" Type="http://schemas.openxmlformats.org/officeDocument/2006/relationships/hyperlink" Target="mailto:gahospitalaradm@gmail.com" TargetMode="External"/><Relationship Id="rId38" Type="http://schemas.openxmlformats.org/officeDocument/2006/relationships/hyperlink" Target="mailto:adriano.alfaiate@gruposoquimica.com.br" TargetMode="External"/><Relationship Id="rId59" Type="http://schemas.openxmlformats.org/officeDocument/2006/relationships/hyperlink" Target="mailto:jeancarlonetto@gmail.com" TargetMode="External"/><Relationship Id="rId103" Type="http://schemas.openxmlformats.org/officeDocument/2006/relationships/hyperlink" Target="mailto:cotacao.pdpas@nrindustria.com.br" TargetMode="External"/><Relationship Id="rId108" Type="http://schemas.openxmlformats.org/officeDocument/2006/relationships/hyperlink" Target="mailto:vendas.suporte@sispack.com.br" TargetMode="External"/><Relationship Id="rId124" Type="http://schemas.openxmlformats.org/officeDocument/2006/relationships/hyperlink" Target="mailto:layettecodevendas1@gmail.com" TargetMode="External"/><Relationship Id="rId129" Type="http://schemas.openxmlformats.org/officeDocument/2006/relationships/hyperlink" Target="mailto:alex@fltshospitalares.com.br" TargetMode="External"/><Relationship Id="rId54" Type="http://schemas.openxmlformats.org/officeDocument/2006/relationships/hyperlink" Target="mailto:juliana.silva@aurobindo.com.br" TargetMode="External"/><Relationship Id="rId70" Type="http://schemas.openxmlformats.org/officeDocument/2006/relationships/hyperlink" Target="mailto:tami.porfirio@dimensional.com.br" TargetMode="External"/><Relationship Id="rId75" Type="http://schemas.openxmlformats.org/officeDocument/2006/relationships/hyperlink" Target="mailto:dedetizadorafolha@gmail.com" TargetMode="External"/><Relationship Id="rId91" Type="http://schemas.openxmlformats.org/officeDocument/2006/relationships/hyperlink" Target="mailto:coordenador@dldistribuidora.net.br" TargetMode="External"/><Relationship Id="rId96" Type="http://schemas.openxmlformats.org/officeDocument/2006/relationships/hyperlink" Target="mailto:licitacao@dcruzcomercial.com.br" TargetMode="External"/><Relationship Id="rId140" Type="http://schemas.openxmlformats.org/officeDocument/2006/relationships/hyperlink" Target="mailto:wemersonbiosoluto@hotmail.com" TargetMode="External"/><Relationship Id="rId145" Type="http://schemas.openxmlformats.org/officeDocument/2006/relationships/hyperlink" Target="mailto:vendas1biopharmedicamentos@gmail.com" TargetMode="External"/><Relationship Id="rId1" Type="http://schemas.openxmlformats.org/officeDocument/2006/relationships/hyperlink" Target="mailto:viamagistral@uol.com.br" TargetMode="External"/><Relationship Id="rId6" Type="http://schemas.openxmlformats.org/officeDocument/2006/relationships/hyperlink" Target="mailto:comercial3@pharmatex.com.br" TargetMode="External"/><Relationship Id="rId23" Type="http://schemas.openxmlformats.org/officeDocument/2006/relationships/hyperlink" Target="mailto:printmaster.adm@gmail.com" TargetMode="External"/><Relationship Id="rId28" Type="http://schemas.openxmlformats.org/officeDocument/2006/relationships/hyperlink" Target="mailto:compras@vittahospitalar.com.br" TargetMode="External"/><Relationship Id="rId49" Type="http://schemas.openxmlformats.org/officeDocument/2006/relationships/hyperlink" Target="mailto:pedidos@wiener-lab.com.br" TargetMode="External"/><Relationship Id="rId114" Type="http://schemas.openxmlformats.org/officeDocument/2006/relationships/hyperlink" Target="mailto:contato@harteinstrumentos.com.br" TargetMode="External"/><Relationship Id="rId119" Type="http://schemas.openxmlformats.org/officeDocument/2006/relationships/hyperlink" Target="mailto:thais.felix@cristalia.com.br" TargetMode="External"/><Relationship Id="rId44" Type="http://schemas.openxmlformats.org/officeDocument/2006/relationships/hyperlink" Target="mailto:epi@adecil.com.br" TargetMode="External"/><Relationship Id="rId60" Type="http://schemas.openxmlformats.org/officeDocument/2006/relationships/hyperlink" Target="mailto:beto@gruposoquimica.com.br" TargetMode="External"/><Relationship Id="rId65" Type="http://schemas.openxmlformats.org/officeDocument/2006/relationships/hyperlink" Target="mailto:licitacao@makeline.com.br" TargetMode="External"/><Relationship Id="rId81" Type="http://schemas.openxmlformats.org/officeDocument/2006/relationships/hyperlink" Target="mailto:contato@ecologicdedetizadora.com.br" TargetMode="External"/><Relationship Id="rId86" Type="http://schemas.openxmlformats.org/officeDocument/2006/relationships/hyperlink" Target="mailto:contato@cruzeirodedetizadora.com.br" TargetMode="External"/><Relationship Id="rId130" Type="http://schemas.openxmlformats.org/officeDocument/2006/relationships/hyperlink" Target="mailto:comercial@amicidistribuidora.com.br" TargetMode="External"/><Relationship Id="rId135" Type="http://schemas.openxmlformats.org/officeDocument/2006/relationships/hyperlink" Target="mailto:pdpasholpemed@gmail.com" TargetMode="External"/><Relationship Id="rId13" Type="http://schemas.openxmlformats.org/officeDocument/2006/relationships/hyperlink" Target="mailto:araujo.venda@hotmail.com" TargetMode="External"/><Relationship Id="rId18" Type="http://schemas.openxmlformats.org/officeDocument/2006/relationships/hyperlink" Target="mailto:jose.wilsonpereira@cepheid.com" TargetMode="External"/><Relationship Id="rId39" Type="http://schemas.openxmlformats.org/officeDocument/2006/relationships/hyperlink" Target="mailto:licitacao@medimac.com.br" TargetMode="External"/><Relationship Id="rId109" Type="http://schemas.openxmlformats.org/officeDocument/2006/relationships/hyperlink" Target="mailto:vendas@generalmed.com.br" TargetMode="External"/><Relationship Id="rId34" Type="http://schemas.openxmlformats.org/officeDocument/2006/relationships/hyperlink" Target="mailto:vendas@generalmed.com.br" TargetMode="External"/><Relationship Id="rId50" Type="http://schemas.openxmlformats.org/officeDocument/2006/relationships/hyperlink" Target="mailto:imprimindo.contato@gmail.com" TargetMode="External"/><Relationship Id="rId55" Type="http://schemas.openxmlformats.org/officeDocument/2006/relationships/hyperlink" Target="mailto:luana.astem@gmail.com" TargetMode="External"/><Relationship Id="rId76" Type="http://schemas.openxmlformats.org/officeDocument/2006/relationships/hyperlink" Target="mailto:kabudedetizadora@hotmail.com" TargetMode="External"/><Relationship Id="rId97" Type="http://schemas.openxmlformats.org/officeDocument/2006/relationships/hyperlink" Target="mailto:contato@solmillennium.com" TargetMode="External"/><Relationship Id="rId104" Type="http://schemas.openxmlformats.org/officeDocument/2006/relationships/hyperlink" Target="mailto:medcamdf@gmail.com" TargetMode="External"/><Relationship Id="rId120" Type="http://schemas.openxmlformats.org/officeDocument/2006/relationships/hyperlink" Target="mailto:eder.moura@cristalia.com.br" TargetMode="External"/><Relationship Id="rId125" Type="http://schemas.openxmlformats.org/officeDocument/2006/relationships/hyperlink" Target="mailto:allen@lifetronikmedical.com.br" TargetMode="External"/><Relationship Id="rId141" Type="http://schemas.openxmlformats.org/officeDocument/2006/relationships/hyperlink" Target="mailto:vendas2.dentalmed@gmail.com" TargetMode="External"/><Relationship Id="rId146" Type="http://schemas.openxmlformats.org/officeDocument/2006/relationships/hyperlink" Target="mailto:contato@biotecmed.com.br" TargetMode="External"/><Relationship Id="rId7" Type="http://schemas.openxmlformats.org/officeDocument/2006/relationships/hyperlink" Target="mailto:dsmedicalequipamentos@gmail.com" TargetMode="External"/><Relationship Id="rId71" Type="http://schemas.openxmlformats.org/officeDocument/2006/relationships/hyperlink" Target="mailto:danilo.novaes@alcon.com" TargetMode="External"/><Relationship Id="rId92" Type="http://schemas.openxmlformats.org/officeDocument/2006/relationships/hyperlink" Target="mailto:andersem@3albe.com.br" TargetMode="External"/><Relationship Id="rId2" Type="http://schemas.openxmlformats.org/officeDocument/2006/relationships/hyperlink" Target="mailto:vendas@ciasuprimentos.com.br" TargetMode="External"/><Relationship Id="rId29" Type="http://schemas.openxmlformats.org/officeDocument/2006/relationships/hyperlink" Target="mailto:compradireta@medlive.com.br" TargetMode="External"/><Relationship Id="rId24" Type="http://schemas.openxmlformats.org/officeDocument/2006/relationships/hyperlink" Target="mailto:J.SANTOS@BR.URGO.COM" TargetMode="External"/><Relationship Id="rId40" Type="http://schemas.openxmlformats.org/officeDocument/2006/relationships/hyperlink" Target="mailto:viratec@viratec-rj.com.br" TargetMode="External"/><Relationship Id="rId45" Type="http://schemas.openxmlformats.org/officeDocument/2006/relationships/hyperlink" Target="mailto:vendas@protcap.com.br" TargetMode="External"/><Relationship Id="rId66" Type="http://schemas.openxmlformats.org/officeDocument/2006/relationships/hyperlink" Target="mailto:novaluzeletricahidraulica@gmail.com" TargetMode="External"/><Relationship Id="rId87" Type="http://schemas.openxmlformats.org/officeDocument/2006/relationships/hyperlink" Target="mailto:vidamed.dff@gmail.com" TargetMode="External"/><Relationship Id="rId110" Type="http://schemas.openxmlformats.org/officeDocument/2006/relationships/hyperlink" Target="mailto:vendaspdpaslottusmed@gmail.com" TargetMode="External"/><Relationship Id="rId115" Type="http://schemas.openxmlformats.org/officeDocument/2006/relationships/hyperlink" Target="mailto:vendas@euromedicalinstrumental.com.br" TargetMode="External"/><Relationship Id="rId131" Type="http://schemas.openxmlformats.org/officeDocument/2006/relationships/hyperlink" Target="mailto:comercial@amicifarma.com.br" TargetMode="External"/><Relationship Id="rId136" Type="http://schemas.openxmlformats.org/officeDocument/2006/relationships/hyperlink" Target="mailto:contato@torneadorajsantos.com.br" TargetMode="External"/><Relationship Id="rId61" Type="http://schemas.openxmlformats.org/officeDocument/2006/relationships/hyperlink" Target="mailto:dl15@dldistribuidora.net.br" TargetMode="External"/><Relationship Id="rId82" Type="http://schemas.openxmlformats.org/officeDocument/2006/relationships/hyperlink" Target="mailto:contato@folhadedetizadora.com.br" TargetMode="External"/><Relationship Id="rId19" Type="http://schemas.openxmlformats.org/officeDocument/2006/relationships/hyperlink" Target="mailto:vendas01@martinsdistlog.com.br" TargetMode="External"/><Relationship Id="rId14" Type="http://schemas.openxmlformats.org/officeDocument/2006/relationships/hyperlink" Target="mailto:licitacao1@vittahospitalar.com.br" TargetMode="External"/><Relationship Id="rId30" Type="http://schemas.openxmlformats.org/officeDocument/2006/relationships/hyperlink" Target="mailto:cnunes@medlive.com.br" TargetMode="External"/><Relationship Id="rId35" Type="http://schemas.openxmlformats.org/officeDocument/2006/relationships/hyperlink" Target="mailto:ebbezerra@ablbrasil.com.br" TargetMode="External"/><Relationship Id="rId56" Type="http://schemas.openxmlformats.org/officeDocument/2006/relationships/hyperlink" Target="mailto:cotacao@pmh.com.br" TargetMode="External"/><Relationship Id="rId77" Type="http://schemas.openxmlformats.org/officeDocument/2006/relationships/hyperlink" Target="mailto:pedraodedetiza&#231;&#227;o@gmail.com" TargetMode="External"/><Relationship Id="rId100" Type="http://schemas.openxmlformats.org/officeDocument/2006/relationships/hyperlink" Target="mailto:thais.silva@distribuidoramedcom.com.br" TargetMode="External"/><Relationship Id="rId105" Type="http://schemas.openxmlformats.org/officeDocument/2006/relationships/hyperlink" Target="mailto:engenhariatenas@gmail.com" TargetMode="External"/><Relationship Id="rId126" Type="http://schemas.openxmlformats.org/officeDocument/2006/relationships/hyperlink" Target="mailto:vendas5@ktequipamentos.com.br" TargetMode="External"/><Relationship Id="rId147" Type="http://schemas.openxmlformats.org/officeDocument/2006/relationships/hyperlink" Target="mailto:william.brasilia@gmail.com" TargetMode="External"/><Relationship Id="rId8" Type="http://schemas.openxmlformats.org/officeDocument/2006/relationships/hyperlink" Target="mailto:vendas12@joaomed.com.br" TargetMode="External"/><Relationship Id="rId51" Type="http://schemas.openxmlformats.org/officeDocument/2006/relationships/hyperlink" Target="mailto:karla.vendas3@gmail.com" TargetMode="External"/><Relationship Id="rId72" Type="http://schemas.openxmlformats.org/officeDocument/2006/relationships/hyperlink" Target="mailto:cotacao@curaemed.com.br" TargetMode="External"/><Relationship Id="rId93" Type="http://schemas.openxmlformats.org/officeDocument/2006/relationships/hyperlink" Target="mailto:medic.vitall@gmail.com" TargetMode="External"/><Relationship Id="rId98" Type="http://schemas.openxmlformats.org/officeDocument/2006/relationships/hyperlink" Target="mailto:hosptel@hosptel.com.br" TargetMode="External"/><Relationship Id="rId121" Type="http://schemas.openxmlformats.org/officeDocument/2006/relationships/hyperlink" Target="mailto:traumasystem.med@gmail.com" TargetMode="External"/><Relationship Id="rId142" Type="http://schemas.openxmlformats.org/officeDocument/2006/relationships/hyperlink" Target="mailto:faturamentolicitacoes@uniaoquimica.com.br" TargetMode="External"/><Relationship Id="rId3" Type="http://schemas.openxmlformats.org/officeDocument/2006/relationships/hyperlink" Target="mailto:vendas2@vittahospitalar.com.br" TargetMode="External"/><Relationship Id="rId25" Type="http://schemas.openxmlformats.org/officeDocument/2006/relationships/hyperlink" Target="mailto:as3@as3hospitalar.com" TargetMode="External"/><Relationship Id="rId46" Type="http://schemas.openxmlformats.org/officeDocument/2006/relationships/hyperlink" Target="mailto:pradoservicotec@gmail.com" TargetMode="External"/><Relationship Id="rId67" Type="http://schemas.openxmlformats.org/officeDocument/2006/relationships/hyperlink" Target="mailto:televendas06@distbrasil.net" TargetMode="External"/><Relationship Id="rId116" Type="http://schemas.openxmlformats.org/officeDocument/2006/relationships/hyperlink" Target="mailto:comercialconectta@gmail.com" TargetMode="External"/><Relationship Id="rId137" Type="http://schemas.openxmlformats.org/officeDocument/2006/relationships/hyperlink" Target="mailto:luizescuro@gmail.com" TargetMode="External"/><Relationship Id="rId20" Type="http://schemas.openxmlformats.org/officeDocument/2006/relationships/hyperlink" Target="mailto:vendas06.espsantohospitalares@gmail.com" TargetMode="External"/><Relationship Id="rId41" Type="http://schemas.openxmlformats.org/officeDocument/2006/relationships/hyperlink" Target="mailto:consultordevendasnr@gmail.com" TargetMode="External"/><Relationship Id="rId62" Type="http://schemas.openxmlformats.org/officeDocument/2006/relationships/hyperlink" Target="mailto:michaelsilveira@ispsaude.com.br" TargetMode="External"/><Relationship Id="rId83" Type="http://schemas.openxmlformats.org/officeDocument/2006/relationships/hyperlink" Target="mailto:kadudedetizadora@hotmail.com" TargetMode="External"/><Relationship Id="rId88" Type="http://schemas.openxmlformats.org/officeDocument/2006/relationships/hyperlink" Target="mailto:ciasup.med@gmail.com" TargetMode="External"/><Relationship Id="rId111" Type="http://schemas.openxmlformats.org/officeDocument/2006/relationships/hyperlink" Target="mailto:vendas2@olivertechospitalar.com.br" TargetMode="External"/><Relationship Id="rId132" Type="http://schemas.openxmlformats.org/officeDocument/2006/relationships/hyperlink" Target="mailto:silvio@medtecnet.com.br" TargetMode="External"/><Relationship Id="rId15" Type="http://schemas.openxmlformats.org/officeDocument/2006/relationships/hyperlink" Target="mailto:vitoria.hospitech@gmail.com" TargetMode="External"/><Relationship Id="rId36" Type="http://schemas.openxmlformats.org/officeDocument/2006/relationships/hyperlink" Target="mailto:comercial@capitalmedh.com" TargetMode="External"/><Relationship Id="rId57" Type="http://schemas.openxmlformats.org/officeDocument/2006/relationships/hyperlink" Target="mailto:silvanarochalima@hotmail.com" TargetMode="External"/><Relationship Id="rId106" Type="http://schemas.openxmlformats.org/officeDocument/2006/relationships/hyperlink" Target="mailto:comercial@dblasslhospitalar.com.br" TargetMode="External"/><Relationship Id="rId127" Type="http://schemas.openxmlformats.org/officeDocument/2006/relationships/hyperlink" Target="mailto:pedidos@fmc-ag.com" TargetMode="External"/><Relationship Id="rId10" Type="http://schemas.openxmlformats.org/officeDocument/2006/relationships/hyperlink" Target="mailto:micomercioltda@gmail.com" TargetMode="External"/><Relationship Id="rId31" Type="http://schemas.openxmlformats.org/officeDocument/2006/relationships/hyperlink" Target="mailto:chermes@medlive.com.br" TargetMode="External"/><Relationship Id="rId52" Type="http://schemas.openxmlformats.org/officeDocument/2006/relationships/hyperlink" Target="mailto:licitacao@gruposante.com.br" TargetMode="External"/><Relationship Id="rId73" Type="http://schemas.openxmlformats.org/officeDocument/2006/relationships/hyperlink" Target="mailto:leticia.jordao@curaemed.com.br" TargetMode="External"/><Relationship Id="rId78" Type="http://schemas.openxmlformats.org/officeDocument/2006/relationships/hyperlink" Target="mailto:brasalidedetizadora@gmail.com" TargetMode="External"/><Relationship Id="rId94" Type="http://schemas.openxmlformats.org/officeDocument/2006/relationships/hyperlink" Target="mailto:julliar@icloud.com" TargetMode="External"/><Relationship Id="rId99" Type="http://schemas.openxmlformats.org/officeDocument/2006/relationships/hyperlink" Target="mailto:info@forlabexpress.com.br" TargetMode="External"/><Relationship Id="rId101" Type="http://schemas.openxmlformats.org/officeDocument/2006/relationships/hyperlink" Target="mailto:tiago.sales@cattismedical.com.br" TargetMode="External"/><Relationship Id="rId122" Type="http://schemas.openxmlformats.org/officeDocument/2006/relationships/hyperlink" Target="mailto:tavares.stenio@hotmail.com" TargetMode="External"/><Relationship Id="rId143" Type="http://schemas.openxmlformats.org/officeDocument/2006/relationships/hyperlink" Target="mailto:kcaetano@uniaoquimica.com.br" TargetMode="External"/><Relationship Id="rId148" Type="http://schemas.openxmlformats.org/officeDocument/2006/relationships/hyperlink" Target="mailto:daniel.pellissaro@geneticabrasil.com.br" TargetMode="External"/><Relationship Id="rId4" Type="http://schemas.openxmlformats.org/officeDocument/2006/relationships/hyperlink" Target="mailto:vendas4@pharmatex.com.br" TargetMode="External"/><Relationship Id="rId9" Type="http://schemas.openxmlformats.org/officeDocument/2006/relationships/hyperlink" Target="mailto:microscopiaribeiro2018@gmail.com" TargetMode="External"/><Relationship Id="rId26" Type="http://schemas.openxmlformats.org/officeDocument/2006/relationships/hyperlink" Target="mailto:vendas03@supermedica.com.br" TargetMode="External"/><Relationship Id="rId47" Type="http://schemas.openxmlformats.org/officeDocument/2006/relationships/hyperlink" Target="mailto:vendas2@farmarin.com.br" TargetMode="External"/><Relationship Id="rId68" Type="http://schemas.openxmlformats.org/officeDocument/2006/relationships/hyperlink" Target="mailto:comercialrio2@hotmail.com" TargetMode="External"/><Relationship Id="rId89" Type="http://schemas.openxmlformats.org/officeDocument/2006/relationships/hyperlink" Target="mailto:vendas18@medvittadist.com.br" TargetMode="External"/><Relationship Id="rId112" Type="http://schemas.openxmlformats.org/officeDocument/2006/relationships/hyperlink" Target="mailto:vendas1@primeinstrumentos.com.br" TargetMode="External"/><Relationship Id="rId133" Type="http://schemas.openxmlformats.org/officeDocument/2006/relationships/hyperlink" Target="mailto:licitacao@premiumhosp.com.br" TargetMode="External"/><Relationship Id="rId16" Type="http://schemas.openxmlformats.org/officeDocument/2006/relationships/hyperlink" Target="mailto:messias.hospitech@gmail.com" TargetMode="External"/><Relationship Id="rId37" Type="http://schemas.openxmlformats.org/officeDocument/2006/relationships/hyperlink" Target="mailto:elciney@capitalmedh.com" TargetMode="External"/><Relationship Id="rId58" Type="http://schemas.openxmlformats.org/officeDocument/2006/relationships/hyperlink" Target="mailto:jeancarlonetto@gmail.com" TargetMode="External"/><Relationship Id="rId79" Type="http://schemas.openxmlformats.org/officeDocument/2006/relationships/hyperlink" Target="mailto:bratoxbrasilia@gmail.com" TargetMode="External"/><Relationship Id="rId102" Type="http://schemas.openxmlformats.org/officeDocument/2006/relationships/hyperlink" Target="mailto:comercial.nrgoias@gmail.com" TargetMode="External"/><Relationship Id="rId123" Type="http://schemas.openxmlformats.org/officeDocument/2006/relationships/hyperlink" Target="mailto:lifefarmacentral@gmail.com" TargetMode="External"/><Relationship Id="rId144" Type="http://schemas.openxmlformats.org/officeDocument/2006/relationships/hyperlink" Target="mailto:itsservicosgerais@gmail.com" TargetMode="External"/><Relationship Id="rId90" Type="http://schemas.openxmlformats.org/officeDocument/2006/relationships/hyperlink" Target="mailto:bsbcomhosp@gmail.com"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2">
    <tabColor rgb="FF00B0F0"/>
    <pageSetUpPr fitToPage="1"/>
  </sheetPr>
  <dimension ref="A1:AF3042"/>
  <sheetViews>
    <sheetView zoomScale="80" zoomScaleNormal="80" workbookViewId="0">
      <pane xSplit="8" ySplit="2" topLeftCell="I1426" activePane="bottomRight" state="frozen"/>
      <selection pane="topRight" activeCell="I1" sqref="I1"/>
      <selection pane="bottomLeft" activeCell="A3" sqref="A3"/>
      <selection pane="bottomRight" activeCell="C1426" sqref="C1426"/>
    </sheetView>
  </sheetViews>
  <sheetFormatPr defaultColWidth="9.140625" defaultRowHeight="14.25" customHeight="1"/>
  <cols>
    <col min="1" max="1" width="11.140625" style="171" customWidth="1"/>
    <col min="2" max="2" width="15.7109375" style="171" customWidth="1"/>
    <col min="3" max="3" width="12.5703125" style="179" customWidth="1"/>
    <col min="4" max="4" width="23.28515625" style="171" customWidth="1"/>
    <col min="5" max="5" width="11" style="171" customWidth="1"/>
    <col min="6" max="6" width="10.5703125" style="400" customWidth="1"/>
    <col min="7" max="7" width="4.85546875" style="171" customWidth="1"/>
    <col min="8" max="8" width="15.28515625" style="180" customWidth="1"/>
    <col min="9" max="9" width="3.42578125" style="180" customWidth="1"/>
    <col min="10" max="11" width="4.28515625" style="180" customWidth="1"/>
    <col min="12" max="12" width="72.42578125" style="407" customWidth="1"/>
    <col min="13" max="13" width="5.5703125" style="248" customWidth="1"/>
    <col min="14" max="14" width="8.85546875" style="171" customWidth="1"/>
    <col min="15" max="15" width="29.42578125" style="171" customWidth="1"/>
    <col min="16" max="16" width="10.85546875" style="181" customWidth="1"/>
    <col min="17" max="17" width="17" style="288" customWidth="1"/>
    <col min="18" max="18" width="17.7109375" style="174" customWidth="1"/>
    <col min="19" max="19" width="13.7109375" style="179" customWidth="1"/>
    <col min="20" max="20" width="15.42578125" style="183" customWidth="1"/>
    <col min="21" max="21" width="11.5703125" style="171" customWidth="1"/>
    <col min="22" max="23" width="14" style="171" customWidth="1"/>
    <col min="24" max="24" width="14.42578125" style="171" customWidth="1"/>
    <col min="25" max="25" width="13.7109375" style="171" customWidth="1"/>
    <col min="26" max="26" width="10.28515625" style="184" customWidth="1"/>
    <col min="27" max="27" width="121.28515625" style="249" customWidth="1"/>
    <col min="28" max="28" width="73.42578125" style="250" customWidth="1"/>
    <col min="29" max="29" width="22.85546875" style="244" bestFit="1" customWidth="1"/>
    <col min="30" max="30" width="21.42578125" style="245" bestFit="1" customWidth="1"/>
    <col min="31" max="31" width="25.7109375" style="76" customWidth="1"/>
    <col min="32" max="32" width="35.28515625" style="317" bestFit="1" customWidth="1"/>
    <col min="33" max="16384" width="9.140625" style="76"/>
  </cols>
  <sheetData>
    <row r="1" spans="1:32" s="74" customFormat="1" ht="14.25" customHeight="1">
      <c r="A1" s="564" t="s">
        <v>1873</v>
      </c>
      <c r="B1" s="565">
        <f>SUM(Financeiro!F3:K3)</f>
        <v>2786847.5060000001</v>
      </c>
      <c r="C1" s="566" t="s">
        <v>1833</v>
      </c>
      <c r="D1" s="567">
        <f>produtos_escape2!L2795</f>
        <v>2786847.5041133361</v>
      </c>
      <c r="E1" s="568"/>
      <c r="F1" s="569" t="s">
        <v>1834</v>
      </c>
      <c r="G1" s="570"/>
      <c r="H1" s="665">
        <f>Financeiro!K12</f>
        <v>1.8866665195673704E-3</v>
      </c>
      <c r="I1" s="571"/>
      <c r="J1" s="571"/>
      <c r="K1" s="571"/>
      <c r="L1" s="572"/>
      <c r="M1" s="573"/>
      <c r="N1" s="574"/>
      <c r="O1" s="573" t="s">
        <v>2734</v>
      </c>
      <c r="P1" s="573"/>
      <c r="Q1" s="575"/>
      <c r="R1" s="576"/>
      <c r="S1" s="576"/>
      <c r="T1" s="576"/>
      <c r="U1" s="576"/>
      <c r="V1" s="576"/>
      <c r="W1" s="576"/>
      <c r="X1" s="577"/>
      <c r="Y1" s="577"/>
      <c r="Z1" s="576"/>
      <c r="AA1" s="576"/>
      <c r="AB1" s="578"/>
      <c r="AC1" s="579"/>
      <c r="AD1" s="579"/>
      <c r="AE1" s="580"/>
      <c r="AF1" s="581"/>
    </row>
    <row r="2" spans="1:32" s="75" customFormat="1" ht="14.25" customHeight="1">
      <c r="A2" s="564" t="s">
        <v>1835</v>
      </c>
      <c r="B2" s="582" t="s">
        <v>1113</v>
      </c>
      <c r="C2" s="583" t="s">
        <v>1836</v>
      </c>
      <c r="D2" s="582" t="s">
        <v>3609</v>
      </c>
      <c r="E2" s="582" t="s">
        <v>1838</v>
      </c>
      <c r="F2" s="584" t="s">
        <v>568</v>
      </c>
      <c r="G2" s="582" t="s">
        <v>543</v>
      </c>
      <c r="H2" s="585" t="s">
        <v>1839</v>
      </c>
      <c r="I2" s="585" t="s">
        <v>3800</v>
      </c>
      <c r="J2" s="585" t="s">
        <v>3650</v>
      </c>
      <c r="K2" s="585" t="s">
        <v>3651</v>
      </c>
      <c r="L2" s="586" t="s">
        <v>1840</v>
      </c>
      <c r="M2" s="587" t="s">
        <v>3904</v>
      </c>
      <c r="N2" s="582" t="s">
        <v>2560</v>
      </c>
      <c r="O2" s="582" t="s">
        <v>0</v>
      </c>
      <c r="P2" s="585" t="s">
        <v>2559</v>
      </c>
      <c r="Q2" s="588" t="s">
        <v>1841</v>
      </c>
      <c r="R2" s="589" t="s">
        <v>1842</v>
      </c>
      <c r="S2" s="590" t="s">
        <v>1843</v>
      </c>
      <c r="T2" s="582" t="s">
        <v>1844</v>
      </c>
      <c r="U2" s="590" t="s">
        <v>1845</v>
      </c>
      <c r="V2" s="590" t="s">
        <v>3675</v>
      </c>
      <c r="W2" s="590" t="s">
        <v>3676</v>
      </c>
      <c r="X2" s="590" t="s">
        <v>1846</v>
      </c>
      <c r="Y2" s="585" t="s">
        <v>1847</v>
      </c>
      <c r="Z2" s="585" t="s">
        <v>1852</v>
      </c>
      <c r="AA2" s="585" t="s">
        <v>1848</v>
      </c>
      <c r="AB2" s="579" t="s">
        <v>3649</v>
      </c>
      <c r="AC2" s="579" t="s">
        <v>3942</v>
      </c>
      <c r="AD2" s="579" t="s">
        <v>4281</v>
      </c>
      <c r="AE2" s="579" t="s">
        <v>4282</v>
      </c>
      <c r="AF2" s="591" t="s">
        <v>4503</v>
      </c>
    </row>
    <row r="3" spans="1:32" ht="14.25" customHeight="1">
      <c r="A3" s="176" t="s">
        <v>7255</v>
      </c>
      <c r="B3" s="176" t="s">
        <v>7207</v>
      </c>
      <c r="C3" s="177">
        <v>43852</v>
      </c>
      <c r="D3" s="176" t="s">
        <v>7346</v>
      </c>
      <c r="E3" s="176"/>
      <c r="F3" s="259" t="s">
        <v>7807</v>
      </c>
      <c r="G3" s="176">
        <v>1</v>
      </c>
      <c r="H3" s="178">
        <v>35479</v>
      </c>
      <c r="I3" s="592">
        <f t="shared" ref="I3:I66" si="0">COUNTIF($H$3:$H$3041,H3)</f>
        <v>6</v>
      </c>
      <c r="J3" s="178" t="s">
        <v>816</v>
      </c>
      <c r="K3" s="178" t="s">
        <v>816</v>
      </c>
      <c r="L3" s="275"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3" s="593" t="str">
        <f>IF(H:H=0,"",IF(ISERROR(VLOOKUP(H:H,produtos_escape2!$A$2:$D$2794,2,FALSE)),"Código não cadastrado",(VLOOKUP(H:H,produtos_escape2!$A$2:$D$2794,4,FALSE))))</f>
        <v>UN</v>
      </c>
      <c r="N3" s="486">
        <v>5</v>
      </c>
      <c r="O3" s="176" t="s">
        <v>1868</v>
      </c>
      <c r="P3" s="486"/>
      <c r="Q3" s="247"/>
      <c r="R3" s="246">
        <f t="shared" ref="R3:R66" si="1">P3*Q3</f>
        <v>0</v>
      </c>
      <c r="S3" s="177">
        <v>43902</v>
      </c>
      <c r="T3" s="182"/>
      <c r="U3" s="177"/>
      <c r="V3" s="177"/>
      <c r="W3" s="177"/>
      <c r="X3" s="176"/>
      <c r="Y3" s="177"/>
      <c r="Z3" s="415">
        <v>2</v>
      </c>
      <c r="AA3" s="488" t="s">
        <v>7808</v>
      </c>
      <c r="AB3" s="594"/>
      <c r="AC3" s="595"/>
      <c r="AD3" s="596"/>
      <c r="AE3" s="596"/>
      <c r="AF3" s="597" t="str">
        <f>IFERROR(INDEX(produtos_escape2!M:M,MATCH(Controle!H3,produtos_escape2!A:A,0)),"")</f>
        <v>CAIXA ORGANIZADORA 70L</v>
      </c>
    </row>
    <row r="4" spans="1:32" ht="14.25" customHeight="1">
      <c r="A4" s="176" t="s">
        <v>7255</v>
      </c>
      <c r="B4" s="176" t="s">
        <v>7207</v>
      </c>
      <c r="C4" s="177">
        <v>43852</v>
      </c>
      <c r="D4" s="176" t="s">
        <v>7346</v>
      </c>
      <c r="E4" s="176"/>
      <c r="F4" s="259" t="s">
        <v>7807</v>
      </c>
      <c r="G4" s="176">
        <v>2</v>
      </c>
      <c r="H4" s="178">
        <v>27707</v>
      </c>
      <c r="I4" s="592">
        <f t="shared" si="0"/>
        <v>2</v>
      </c>
      <c r="J4" s="178" t="s">
        <v>816</v>
      </c>
      <c r="K4" s="178" t="s">
        <v>816</v>
      </c>
      <c r="L4" s="275" t="str">
        <f>IF(H:H=0,"",IF(ISERROR(VLOOKUP(H:H,produtos_escape2!$A$2:$B$2794,2,FALSE)),"Código não cadastrado",(VLOOKUP(H:H,produtos_escape2!$A$2:$B$2794,2,FALSE))))</f>
        <v>CAIXA PLÁSTICA organizadora contêiner de 30 Litros; Finalidade: guarda de material para atender às normas da DIVISA; Material: Plástico transparente; Tamanho: 30 litros com variação de até 10%; Características: Caixa plástica com tampa; Forma de apresentação:</v>
      </c>
      <c r="M4" s="593" t="str">
        <f>IF(H:H=0,"",IF(ISERROR(VLOOKUP(H:H,produtos_escape2!$A$2:$D$2794,2,FALSE)),"Código não cadastrado",(VLOOKUP(H:H,produtos_escape2!$A$2:$D$2794,4,FALSE))))</f>
        <v>UN</v>
      </c>
      <c r="N4" s="486">
        <v>5</v>
      </c>
      <c r="O4" s="176" t="s">
        <v>1868</v>
      </c>
      <c r="P4" s="486"/>
      <c r="Q4" s="247"/>
      <c r="R4" s="246">
        <f t="shared" si="1"/>
        <v>0</v>
      </c>
      <c r="S4" s="177">
        <v>43902</v>
      </c>
      <c r="T4" s="182"/>
      <c r="U4" s="177"/>
      <c r="V4" s="177"/>
      <c r="W4" s="177"/>
      <c r="X4" s="176"/>
      <c r="Y4" s="177"/>
      <c r="Z4" s="415">
        <v>2</v>
      </c>
      <c r="AA4" s="488" t="s">
        <v>7808</v>
      </c>
      <c r="AB4" s="594"/>
      <c r="AC4" s="595"/>
      <c r="AD4" s="596"/>
      <c r="AE4" s="596"/>
      <c r="AF4" s="597" t="str">
        <f>IFERROR(INDEX(produtos_escape2!M:M,MATCH(Controle!H4,produtos_escape2!A:A,0)),"")</f>
        <v>CAIXA PLÁSTICA organizadora contêiner de 30 Litros</v>
      </c>
    </row>
    <row r="5" spans="1:32" ht="14.25" customHeight="1">
      <c r="A5" s="176" t="s">
        <v>7910</v>
      </c>
      <c r="B5" s="176" t="s">
        <v>7207</v>
      </c>
      <c r="C5" s="177">
        <v>44000</v>
      </c>
      <c r="D5" s="176" t="s">
        <v>8997</v>
      </c>
      <c r="E5" s="176"/>
      <c r="F5" s="259" t="s">
        <v>7807</v>
      </c>
      <c r="G5" s="176">
        <v>1</v>
      </c>
      <c r="H5" s="178">
        <v>27391</v>
      </c>
      <c r="I5" s="592">
        <f t="shared" si="0"/>
        <v>1</v>
      </c>
      <c r="J5" s="178" t="s">
        <v>816</v>
      </c>
      <c r="K5" s="178" t="s">
        <v>816</v>
      </c>
      <c r="L5" s="275" t="str">
        <f>IF(H:H=0,"",IF(ISERROR(VLOOKUP(H:H,produtos_escape2!$A$2:$B$2794,2,FALSE)),"Código não cadastrado",(VLOOKUP(H:H,produtos_escape2!$A$2:$B$2794,2,FALSE))))</f>
        <v>FAIXA - faixa, material látex de borracha natural, largura 15, comprimento 5,5, tipo elástica, modelo média, cor com cor. Código BR: 326108.</v>
      </c>
      <c r="M5" s="593" t="str">
        <f>IF(H:H=0,"",IF(ISERROR(VLOOKUP(H:H,produtos_escape2!$A$2:$D$2794,2,FALSE)),"Código não cadastrado",(VLOOKUP(H:H,produtos_escape2!$A$2:$D$2794,4,FALSE))))</f>
        <v>UN</v>
      </c>
      <c r="N5" s="486">
        <v>100</v>
      </c>
      <c r="O5" s="176" t="s">
        <v>1868</v>
      </c>
      <c r="P5" s="486"/>
      <c r="Q5" s="247"/>
      <c r="R5" s="246">
        <f t="shared" si="1"/>
        <v>0</v>
      </c>
      <c r="S5" s="177">
        <v>44000</v>
      </c>
      <c r="T5" s="182"/>
      <c r="U5" s="177"/>
      <c r="V5" s="177"/>
      <c r="W5" s="177"/>
      <c r="X5" s="176"/>
      <c r="Y5" s="177"/>
      <c r="Z5" s="415">
        <v>3</v>
      </c>
      <c r="AA5" s="489" t="s">
        <v>8998</v>
      </c>
      <c r="AB5" s="594"/>
      <c r="AC5" s="595"/>
      <c r="AD5" s="596" t="str">
        <f>IF(AND(AC5&lt;&gt;"",S5&lt;&gt;""),NETWORKDAYS(AC5,S5,#REF!),"")</f>
        <v/>
      </c>
      <c r="AE5" s="596" t="str">
        <f ca="1">IF(AND(AD5="",AC5=""),"",IF(OR(AD5&lt;&gt;"",O5="*CANCELADO"),"",NETWORKDAYS(AC5,TODAY(),#REF!)))</f>
        <v/>
      </c>
      <c r="AF5" s="597" t="str">
        <f>IFERROR(INDEX(produtos_escape2!M:M,MATCH(Controle!H5,produtos_escape2!A:A,0)),"")</f>
        <v>FAIXA - faixa</v>
      </c>
    </row>
    <row r="6" spans="1:32" ht="14.25" customHeight="1">
      <c r="A6" s="176" t="s">
        <v>5859</v>
      </c>
      <c r="B6" s="176" t="s">
        <v>3608</v>
      </c>
      <c r="C6" s="177">
        <v>43697</v>
      </c>
      <c r="D6" s="176" t="s">
        <v>6866</v>
      </c>
      <c r="E6" s="176" t="s">
        <v>3009</v>
      </c>
      <c r="F6" s="259" t="s">
        <v>7210</v>
      </c>
      <c r="G6" s="176">
        <v>1</v>
      </c>
      <c r="H6" s="178">
        <v>95571</v>
      </c>
      <c r="I6" s="592">
        <f t="shared" si="0"/>
        <v>1</v>
      </c>
      <c r="J6" s="178" t="s">
        <v>816</v>
      </c>
      <c r="K6" s="178" t="s">
        <v>816</v>
      </c>
      <c r="L6" s="275" t="str">
        <f>IF(H:H=0,"",IF(ISERROR(VLOOKUP(H:H,produtos_escape2!$A$2:$B$2794,2,FALSE)),"Código não cadastrado",(VLOOKUP(H:H,produtos_escape2!$A$2:$B$2794,2,FALSE))))</f>
        <v>SULFATO DE ALUMINIO E AMONIO P.A. FRASCO DE 500 G</v>
      </c>
      <c r="M6" s="593" t="str">
        <f>IF(H:H=0,"",IF(ISERROR(VLOOKUP(H:H,produtos_escape2!$A$2:$D$2794,2,FALSE)),"Código não cadastrado",(VLOOKUP(H:H,produtos_escape2!$A$2:$D$2794,4,FALSE))))</f>
        <v>FR</v>
      </c>
      <c r="N6" s="486">
        <v>3</v>
      </c>
      <c r="O6" s="176" t="s">
        <v>3670</v>
      </c>
      <c r="P6" s="486">
        <v>3</v>
      </c>
      <c r="Q6" s="247">
        <v>20</v>
      </c>
      <c r="R6" s="246">
        <f t="shared" si="1"/>
        <v>60</v>
      </c>
      <c r="S6" s="177">
        <v>43748</v>
      </c>
      <c r="T6" s="182">
        <v>3656</v>
      </c>
      <c r="U6" s="177">
        <v>43826</v>
      </c>
      <c r="V6" s="177">
        <v>43826</v>
      </c>
      <c r="W6" s="177">
        <v>43829</v>
      </c>
      <c r="X6" s="415">
        <v>3267</v>
      </c>
      <c r="Y6" s="177">
        <v>43854</v>
      </c>
      <c r="Z6" s="598" t="s">
        <v>2755</v>
      </c>
      <c r="AA6" s="488"/>
      <c r="AB6" s="594"/>
      <c r="AC6" s="595"/>
      <c r="AD6" s="596" t="str">
        <f>IF(AND(AC6&lt;&gt;"",S6&lt;&gt;""),NETWORKDAYS(AC6,S6,#REF!),"")</f>
        <v/>
      </c>
      <c r="AE6" s="596" t="str">
        <f ca="1">IF(AND(AD6="",AC6=""),"",IF(OR(AD6&lt;&gt;"",O6="*CANCELADO"),"",NETWORKDAYS(AC6,TODAY(),#REF!)))</f>
        <v/>
      </c>
      <c r="AF6" s="597" t="str">
        <f>IFERROR(INDEX(produtos_escape2!M:M,MATCH(Controle!H6,produtos_escape2!A:A,0)),"")</f>
        <v>SULFATO DE ALUMINIO E AMONIO P</v>
      </c>
    </row>
    <row r="7" spans="1:32" ht="14.25" customHeight="1">
      <c r="A7" s="176" t="s">
        <v>5859</v>
      </c>
      <c r="B7" s="176" t="s">
        <v>3608</v>
      </c>
      <c r="C7" s="177">
        <v>43697</v>
      </c>
      <c r="D7" s="176" t="s">
        <v>6866</v>
      </c>
      <c r="E7" s="176" t="s">
        <v>3009</v>
      </c>
      <c r="F7" s="259" t="s">
        <v>7210</v>
      </c>
      <c r="G7" s="176">
        <v>4</v>
      </c>
      <c r="H7" s="178">
        <v>34014</v>
      </c>
      <c r="I7" s="592">
        <f t="shared" si="0"/>
        <v>1</v>
      </c>
      <c r="J7" s="178" t="s">
        <v>816</v>
      </c>
      <c r="K7" s="178" t="s">
        <v>816</v>
      </c>
      <c r="L7" s="275" t="str">
        <f>IF(H:H=0,"",IF(ISERROR(VLOOKUP(H:H,produtos_escape2!$A$2:$B$2794,2,FALSE)),"Código não cadastrado",(VLOOKUP(H:H,produtos_escape2!$A$2:$B$2794,2,FALSE))))</f>
        <v>EOSINA AMARELA - Corante citopatológico e histopatológico para colorações de rotina (Papanicolau e H/E). Corante tipo eosina amarela, em pó, CI 45380.</v>
      </c>
      <c r="M7" s="593" t="str">
        <f>IF(H:H=0,"",IF(ISERROR(VLOOKUP(H:H,produtos_escape2!$A$2:$D$2794,2,FALSE)),"Código não cadastrado",(VLOOKUP(H:H,produtos_escape2!$A$2:$D$2794,4,FALSE))))</f>
        <v>FR</v>
      </c>
      <c r="N7" s="486">
        <v>51</v>
      </c>
      <c r="O7" s="176" t="s">
        <v>3670</v>
      </c>
      <c r="P7" s="486">
        <v>51</v>
      </c>
      <c r="Q7" s="247">
        <v>23</v>
      </c>
      <c r="R7" s="246">
        <f t="shared" si="1"/>
        <v>1173</v>
      </c>
      <c r="S7" s="177">
        <v>43748</v>
      </c>
      <c r="T7" s="182">
        <v>3656</v>
      </c>
      <c r="U7" s="177">
        <v>43826</v>
      </c>
      <c r="V7" s="177">
        <v>43826</v>
      </c>
      <c r="W7" s="177">
        <v>43829</v>
      </c>
      <c r="X7" s="415">
        <v>3267</v>
      </c>
      <c r="Y7" s="177">
        <v>43854</v>
      </c>
      <c r="Z7" s="598" t="s">
        <v>2755</v>
      </c>
      <c r="AA7" s="488"/>
      <c r="AB7" s="594"/>
      <c r="AC7" s="595"/>
      <c r="AD7" s="596" t="str">
        <f>IF(AND(AC7&lt;&gt;"",S7&lt;&gt;""),NETWORKDAYS(AC7,S7,#REF!),"")</f>
        <v/>
      </c>
      <c r="AE7" s="596" t="str">
        <f ca="1">IF(AND(AD7="",AC7=""),"",IF(OR(AD7&lt;&gt;"",O7="*CANCELADO"),"",NETWORKDAYS(AC7,TODAY(),#REF!)))</f>
        <v/>
      </c>
      <c r="AF7" s="597" t="str">
        <f>IFERROR(INDEX(produtos_escape2!M:M,MATCH(Controle!H7,produtos_escape2!A:A,0)),"")</f>
        <v>EOSINA AMARELA - Corante citopatológico e histopatológico para colorações de rotina (Papanicolau e H/E)</v>
      </c>
    </row>
    <row r="8" spans="1:32" ht="14.25" customHeight="1">
      <c r="A8" s="176" t="s">
        <v>5859</v>
      </c>
      <c r="B8" s="176" t="s">
        <v>3608</v>
      </c>
      <c r="C8" s="177">
        <v>43697</v>
      </c>
      <c r="D8" s="176" t="s">
        <v>6866</v>
      </c>
      <c r="E8" s="176" t="s">
        <v>3009</v>
      </c>
      <c r="F8" s="259" t="s">
        <v>7210</v>
      </c>
      <c r="G8" s="176">
        <v>5</v>
      </c>
      <c r="H8" s="178">
        <v>95351</v>
      </c>
      <c r="I8" s="592">
        <f t="shared" si="0"/>
        <v>2</v>
      </c>
      <c r="J8" s="178" t="s">
        <v>816</v>
      </c>
      <c r="K8" s="178" t="s">
        <v>816</v>
      </c>
      <c r="L8" s="275" t="str">
        <f>IF(H:H=0,"",IF(ISERROR(VLOOKUP(H:H,produtos_escape2!$A$2:$B$2794,2,FALSE)),"Código não cadastrado",(VLOOKUP(H:H,produtos_escape2!$A$2:$B$2794,2,FALSE))))</f>
        <v>FUCSINA BASICA, CI 42500, 25G</v>
      </c>
      <c r="M8" s="593" t="str">
        <f>IF(H:H=0,"",IF(ISERROR(VLOOKUP(H:H,produtos_escape2!$A$2:$D$2794,2,FALSE)),"Código não cadastrado",(VLOOKUP(H:H,produtos_escape2!$A$2:$D$2794,4,FALSE))))</f>
        <v>FR</v>
      </c>
      <c r="N8" s="486">
        <v>1</v>
      </c>
      <c r="O8" s="176" t="s">
        <v>3670</v>
      </c>
      <c r="P8" s="486">
        <v>1</v>
      </c>
      <c r="Q8" s="247">
        <v>20</v>
      </c>
      <c r="R8" s="246">
        <f t="shared" si="1"/>
        <v>20</v>
      </c>
      <c r="S8" s="177">
        <v>43748</v>
      </c>
      <c r="T8" s="182">
        <v>3656</v>
      </c>
      <c r="U8" s="177">
        <v>43826</v>
      </c>
      <c r="V8" s="177">
        <v>43826</v>
      </c>
      <c r="W8" s="177">
        <v>43829</v>
      </c>
      <c r="X8" s="415">
        <v>3267</v>
      </c>
      <c r="Y8" s="177">
        <v>43854</v>
      </c>
      <c r="Z8" s="598" t="s">
        <v>2755</v>
      </c>
      <c r="AA8" s="488"/>
      <c r="AB8" s="594"/>
      <c r="AC8" s="595"/>
      <c r="AD8" s="596" t="str">
        <f>IF(AND(AC8&lt;&gt;"",S8&lt;&gt;""),NETWORKDAYS(AC8,S8,#REF!),"")</f>
        <v/>
      </c>
      <c r="AE8" s="596" t="str">
        <f ca="1">IF(AND(AD8="",AC8=""),"",IF(OR(AD8&lt;&gt;"",O8="*CANCELADO"),"",NETWORKDAYS(AC8,TODAY(),#REF!)))</f>
        <v/>
      </c>
      <c r="AF8" s="597" t="str">
        <f>IFERROR(INDEX(produtos_escape2!M:M,MATCH(Controle!H8,produtos_escape2!A:A,0)),"")</f>
        <v>FUCSINA</v>
      </c>
    </row>
    <row r="9" spans="1:32" ht="14.25" customHeight="1">
      <c r="A9" s="176" t="s">
        <v>4404</v>
      </c>
      <c r="B9" s="176" t="s">
        <v>1687</v>
      </c>
      <c r="C9" s="177">
        <v>43712</v>
      </c>
      <c r="D9" s="176" t="s">
        <v>6887</v>
      </c>
      <c r="E9" s="176" t="s">
        <v>3008</v>
      </c>
      <c r="F9" s="259" t="s">
        <v>7211</v>
      </c>
      <c r="G9" s="176">
        <v>1</v>
      </c>
      <c r="H9" s="178" t="s">
        <v>4115</v>
      </c>
      <c r="I9" s="592">
        <f t="shared" si="0"/>
        <v>1</v>
      </c>
      <c r="J9" s="178"/>
      <c r="K9" s="178"/>
      <c r="L9" s="275" t="str">
        <f>IF(H:H=0,"",IF(ISERROR(VLOOKUP(H:H,produtos_escape2!$A$2:$B$2794,2,FALSE)),"Código não cadastrado",(VLOOKUP(H:H,produtos_escape2!$A$2:$B$2794,2,FALSE))))</f>
        <v>Conserto Oximetro Pat.: 1235382</v>
      </c>
      <c r="M9" s="593" t="str">
        <f>IF(H:H=0,"",IF(ISERROR(VLOOKUP(H:H,produtos_escape2!$A$2:$D$2794,2,FALSE)),"Código não cadastrado",(VLOOKUP(H:H,produtos_escape2!$A$2:$D$2794,4,FALSE))))</f>
        <v>Serviço</v>
      </c>
      <c r="N9" s="486">
        <v>1</v>
      </c>
      <c r="O9" s="176" t="s">
        <v>4139</v>
      </c>
      <c r="P9" s="486">
        <v>1</v>
      </c>
      <c r="Q9" s="247">
        <v>468</v>
      </c>
      <c r="R9" s="246">
        <f t="shared" si="1"/>
        <v>468</v>
      </c>
      <c r="S9" s="177">
        <v>43763</v>
      </c>
      <c r="T9" s="182">
        <v>7947</v>
      </c>
      <c r="U9" s="177">
        <v>43825</v>
      </c>
      <c r="V9" s="177">
        <v>43829</v>
      </c>
      <c r="W9" s="177">
        <v>43829</v>
      </c>
      <c r="X9" s="415">
        <v>44848</v>
      </c>
      <c r="Y9" s="177">
        <v>43854</v>
      </c>
      <c r="Z9" s="598" t="s">
        <v>2755</v>
      </c>
      <c r="AA9" s="488"/>
      <c r="AB9" s="594"/>
      <c r="AC9" s="595"/>
      <c r="AD9" s="596" t="str">
        <f>IF(AND(AC9&lt;&gt;"",S9&lt;&gt;""),NETWORKDAYS(AC9,S9,#REF!),"")</f>
        <v/>
      </c>
      <c r="AE9" s="596" t="str">
        <f ca="1">IF(AND(AD9="",AC9=""),"",IF(OR(AD9&lt;&gt;"",O9="*CANCELADO"),"",NETWORKDAYS(AC9,TODAY(),#REF!)))</f>
        <v/>
      </c>
      <c r="AF9" s="597">
        <f>IFERROR(INDEX(produtos_escape2!M:M,MATCH(Controle!H9,produtos_escape2!A:A,0)),"")</f>
        <v>0</v>
      </c>
    </row>
    <row r="10" spans="1:32" ht="14.25" customHeight="1">
      <c r="A10" s="176" t="s">
        <v>4404</v>
      </c>
      <c r="B10" s="176" t="s">
        <v>1687</v>
      </c>
      <c r="C10" s="177">
        <v>43712</v>
      </c>
      <c r="D10" s="176" t="s">
        <v>6887</v>
      </c>
      <c r="E10" s="176" t="s">
        <v>3008</v>
      </c>
      <c r="F10" s="259" t="s">
        <v>7211</v>
      </c>
      <c r="G10" s="176">
        <v>2</v>
      </c>
      <c r="H10" s="178" t="s">
        <v>4116</v>
      </c>
      <c r="I10" s="592">
        <f t="shared" si="0"/>
        <v>1</v>
      </c>
      <c r="J10" s="178"/>
      <c r="K10" s="178"/>
      <c r="L10" s="275" t="str">
        <f>IF(H:H=0,"",IF(ISERROR(VLOOKUP(H:H,produtos_escape2!$A$2:$B$2794,2,FALSE)),"Código não cadastrado",(VLOOKUP(H:H,produtos_escape2!$A$2:$B$2794,2,FALSE))))</f>
        <v>Conserto Oximetro Pat.: 1235387 (Obs.: Ver patrimonio)</v>
      </c>
      <c r="M10" s="593" t="str">
        <f>IF(H:H=0,"",IF(ISERROR(VLOOKUP(H:H,produtos_escape2!$A$2:$D$2794,2,FALSE)),"Código não cadastrado",(VLOOKUP(H:H,produtos_escape2!$A$2:$D$2794,4,FALSE))))</f>
        <v>Serviço</v>
      </c>
      <c r="N10" s="486">
        <v>1</v>
      </c>
      <c r="O10" s="176" t="s">
        <v>4139</v>
      </c>
      <c r="P10" s="486">
        <v>1</v>
      </c>
      <c r="Q10" s="247">
        <v>468</v>
      </c>
      <c r="R10" s="246">
        <f t="shared" si="1"/>
        <v>468</v>
      </c>
      <c r="S10" s="177">
        <v>43763</v>
      </c>
      <c r="T10" s="182">
        <v>7947</v>
      </c>
      <c r="U10" s="177">
        <v>43825</v>
      </c>
      <c r="V10" s="177">
        <v>43829</v>
      </c>
      <c r="W10" s="177">
        <v>43829</v>
      </c>
      <c r="X10" s="415">
        <v>44848</v>
      </c>
      <c r="Y10" s="177">
        <v>43854</v>
      </c>
      <c r="Z10" s="598" t="s">
        <v>2755</v>
      </c>
      <c r="AA10" s="488"/>
      <c r="AB10" s="594"/>
      <c r="AC10" s="595"/>
      <c r="AD10" s="596" t="str">
        <f>IF(AND(AC10&lt;&gt;"",S10&lt;&gt;""),NETWORKDAYS(AC10,S10,#REF!),"")</f>
        <v/>
      </c>
      <c r="AE10" s="596" t="str">
        <f ca="1">IF(AND(AD10="",AC10=""),"",IF(OR(AD10&lt;&gt;"",O10="*CANCELADO"),"",NETWORKDAYS(AC10,TODAY(),#REF!)))</f>
        <v/>
      </c>
      <c r="AF10" s="597">
        <f>IFERROR(INDEX(produtos_escape2!M:M,MATCH(Controle!H10,produtos_escape2!A:A,0)),"")</f>
        <v>0</v>
      </c>
    </row>
    <row r="11" spans="1:32" ht="14.25" customHeight="1">
      <c r="A11" s="176" t="s">
        <v>4404</v>
      </c>
      <c r="B11" s="176" t="s">
        <v>1687</v>
      </c>
      <c r="C11" s="177">
        <v>43712</v>
      </c>
      <c r="D11" s="176" t="s">
        <v>6887</v>
      </c>
      <c r="E11" s="176" t="s">
        <v>3008</v>
      </c>
      <c r="F11" s="259" t="s">
        <v>7211</v>
      </c>
      <c r="G11" s="176">
        <v>3</v>
      </c>
      <c r="H11" s="178" t="s">
        <v>4117</v>
      </c>
      <c r="I11" s="592">
        <f t="shared" si="0"/>
        <v>1</v>
      </c>
      <c r="J11" s="178"/>
      <c r="K11" s="178"/>
      <c r="L11" s="275" t="str">
        <f>IF(H:H=0,"",IF(ISERROR(VLOOKUP(H:H,produtos_escape2!$A$2:$B$2794,2,FALSE)),"Código não cadastrado",(VLOOKUP(H:H,produtos_escape2!$A$2:$B$2794,2,FALSE))))</f>
        <v>Conserto Oximetro Pat.: 1235384</v>
      </c>
      <c r="M11" s="593" t="str">
        <f>IF(H:H=0,"",IF(ISERROR(VLOOKUP(H:H,produtos_escape2!$A$2:$D$2794,2,FALSE)),"Código não cadastrado",(VLOOKUP(H:H,produtos_escape2!$A$2:$D$2794,4,FALSE))))</f>
        <v>Serviço</v>
      </c>
      <c r="N11" s="486">
        <v>1</v>
      </c>
      <c r="O11" s="176" t="s">
        <v>4139</v>
      </c>
      <c r="P11" s="486">
        <v>1</v>
      </c>
      <c r="Q11" s="247">
        <v>468</v>
      </c>
      <c r="R11" s="246">
        <f t="shared" si="1"/>
        <v>468</v>
      </c>
      <c r="S11" s="177">
        <v>43763</v>
      </c>
      <c r="T11" s="182">
        <v>7947</v>
      </c>
      <c r="U11" s="177">
        <v>43825</v>
      </c>
      <c r="V11" s="177">
        <v>43829</v>
      </c>
      <c r="W11" s="177">
        <v>43829</v>
      </c>
      <c r="X11" s="415">
        <v>44848</v>
      </c>
      <c r="Y11" s="177">
        <v>43854</v>
      </c>
      <c r="Z11" s="598" t="s">
        <v>2755</v>
      </c>
      <c r="AA11" s="488"/>
      <c r="AB11" s="594"/>
      <c r="AC11" s="595"/>
      <c r="AD11" s="596" t="str">
        <f>IF(AND(AC11&lt;&gt;"",S11&lt;&gt;""),NETWORKDAYS(AC11,S11,#REF!),"")</f>
        <v/>
      </c>
      <c r="AE11" s="596" t="str">
        <f ca="1">IF(AND(AD11="",AC11=""),"",IF(OR(AD11&lt;&gt;"",O11="*CANCELADO"),"",NETWORKDAYS(AC11,TODAY(),#REF!)))</f>
        <v/>
      </c>
      <c r="AF11" s="597">
        <f>IFERROR(INDEX(produtos_escape2!M:M,MATCH(Controle!H11,produtos_escape2!A:A,0)),"")</f>
        <v>0</v>
      </c>
    </row>
    <row r="12" spans="1:32" ht="14.25" customHeight="1">
      <c r="A12" s="176" t="s">
        <v>4403</v>
      </c>
      <c r="B12" s="176" t="s">
        <v>1687</v>
      </c>
      <c r="C12" s="177">
        <v>43697</v>
      </c>
      <c r="D12" s="176" t="s">
        <v>6911</v>
      </c>
      <c r="E12" s="176" t="s">
        <v>3008</v>
      </c>
      <c r="F12" s="259" t="s">
        <v>7212</v>
      </c>
      <c r="G12" s="176">
        <v>1</v>
      </c>
      <c r="H12" s="178" t="s">
        <v>6912</v>
      </c>
      <c r="I12" s="592">
        <f t="shared" si="0"/>
        <v>1</v>
      </c>
      <c r="J12" s="178"/>
      <c r="K12" s="178"/>
      <c r="L12" s="275" t="str">
        <f>IF(H:H=0,"",IF(ISERROR(VLOOKUP(H:H,produtos_escape2!$A$2:$B$2794,2,FALSE)),"Código não cadastrado",(VLOOKUP(H:H,produtos_escape2!$A$2:$B$2794,2,FALSE))))</f>
        <v>CONSERTO DE DETECTOR FETAL, Marca MEDPEJ, modelo DF-7000, Nº Patrimônio 1339243, Nº de série 144741.</v>
      </c>
      <c r="M12" s="593" t="str">
        <f>IF(H:H=0,"",IF(ISERROR(VLOOKUP(H:H,produtos_escape2!$A$2:$D$2794,2,FALSE)),"Código não cadastrado",(VLOOKUP(H:H,produtos_escape2!$A$2:$D$2794,4,FALSE))))</f>
        <v>Serviço</v>
      </c>
      <c r="N12" s="486">
        <v>1</v>
      </c>
      <c r="O12" s="176" t="s">
        <v>1868</v>
      </c>
      <c r="P12" s="486"/>
      <c r="Q12" s="247"/>
      <c r="R12" s="246">
        <f t="shared" si="1"/>
        <v>0</v>
      </c>
      <c r="S12" s="177">
        <v>43802</v>
      </c>
      <c r="T12" s="182"/>
      <c r="U12" s="177"/>
      <c r="V12" s="177"/>
      <c r="W12" s="177"/>
      <c r="X12" s="176"/>
      <c r="Y12" s="177"/>
      <c r="Z12" s="598" t="s">
        <v>2755</v>
      </c>
      <c r="AA12" s="488" t="s">
        <v>7273</v>
      </c>
      <c r="AB12" s="594"/>
      <c r="AC12" s="595"/>
      <c r="AD12" s="596" t="str">
        <f>IF(AND(AC12&lt;&gt;"",S12&lt;&gt;""),NETWORKDAYS(AC12,S12,#REF!),"")</f>
        <v/>
      </c>
      <c r="AE12" s="596" t="str">
        <f ca="1">IF(AND(AD12="",AC12=""),"",IF(OR(AD12&lt;&gt;"",O12="*CANCELADO"),"",NETWORKDAYS(AC12,TODAY(),#REF!)))</f>
        <v/>
      </c>
      <c r="AF12" s="597">
        <f>IFERROR(INDEX(produtos_escape2!M:M,MATCH(Controle!H12,produtos_escape2!A:A,0)),"")</f>
        <v>0</v>
      </c>
    </row>
    <row r="13" spans="1:32" ht="14.25" customHeight="1">
      <c r="A13" s="176" t="s">
        <v>4407</v>
      </c>
      <c r="B13" s="176" t="s">
        <v>1687</v>
      </c>
      <c r="C13" s="177">
        <v>43727</v>
      </c>
      <c r="D13" s="176" t="s">
        <v>6917</v>
      </c>
      <c r="E13" s="176" t="s">
        <v>3008</v>
      </c>
      <c r="F13" s="259" t="s">
        <v>7213</v>
      </c>
      <c r="G13" s="176">
        <v>1</v>
      </c>
      <c r="H13" s="178" t="s">
        <v>3404</v>
      </c>
      <c r="I13" s="592">
        <f t="shared" si="0"/>
        <v>1</v>
      </c>
      <c r="J13" s="178"/>
      <c r="K13" s="178"/>
      <c r="L13" s="275" t="str">
        <f>IF(H:H=0,"",IF(ISERROR(VLOOKUP(H:H,produtos_escape2!$A$2:$B$2794,2,FALSE)),"Código não cadastrado",(VLOOKUP(H:H,produtos_escape2!$A$2:$B$2794,2,FALSE))))</f>
        <v>Conserto do Carro de ANESTESIA, Marca MINDRAY, Modelo WATO EX-65, Chapa patrimonial n°930652.</v>
      </c>
      <c r="M13" s="593" t="str">
        <f>IF(H:H=0,"",IF(ISERROR(VLOOKUP(H:H,produtos_escape2!$A$2:$D$2794,2,FALSE)),"Código não cadastrado",(VLOOKUP(H:H,produtos_escape2!$A$2:$D$2794,4,FALSE))))</f>
        <v>Serviço</v>
      </c>
      <c r="N13" s="486">
        <v>1</v>
      </c>
      <c r="O13" s="176" t="s">
        <v>4433</v>
      </c>
      <c r="P13" s="486">
        <v>1</v>
      </c>
      <c r="Q13" s="247">
        <v>4980</v>
      </c>
      <c r="R13" s="246">
        <f t="shared" si="1"/>
        <v>4980</v>
      </c>
      <c r="S13" s="177">
        <v>43802</v>
      </c>
      <c r="T13" s="182">
        <v>408</v>
      </c>
      <c r="U13" s="177">
        <v>43843</v>
      </c>
      <c r="V13" s="177">
        <v>43844</v>
      </c>
      <c r="W13" s="177">
        <v>43844</v>
      </c>
      <c r="X13" s="415">
        <v>44860</v>
      </c>
      <c r="Y13" s="177">
        <v>43854</v>
      </c>
      <c r="Z13" s="598" t="s">
        <v>2755</v>
      </c>
      <c r="AA13" s="488"/>
      <c r="AB13" s="594"/>
      <c r="AC13" s="595"/>
      <c r="AD13" s="596" t="str">
        <f>IF(AND(AC13&lt;&gt;"",S13&lt;&gt;""),NETWORKDAYS(AC13,S13,#REF!),"")</f>
        <v/>
      </c>
      <c r="AE13" s="596" t="str">
        <f ca="1">IF(AND(AD13="",AC13=""),"",IF(OR(AD13&lt;&gt;"",O13="*CANCELADO"),"",NETWORKDAYS(AC13,TODAY(),#REF!)))</f>
        <v/>
      </c>
      <c r="AF13" s="597">
        <f>IFERROR(INDEX(produtos_escape2!M:M,MATCH(Controle!H13,produtos_escape2!A:A,0)),"")</f>
        <v>0</v>
      </c>
    </row>
    <row r="14" spans="1:32" ht="14.25" customHeight="1">
      <c r="A14" s="176" t="s">
        <v>4405</v>
      </c>
      <c r="B14" s="176" t="s">
        <v>1687</v>
      </c>
      <c r="C14" s="177">
        <v>43727</v>
      </c>
      <c r="D14" s="176" t="s">
        <v>6922</v>
      </c>
      <c r="E14" s="176" t="s">
        <v>3008</v>
      </c>
      <c r="F14" s="259" t="s">
        <v>7214</v>
      </c>
      <c r="G14" s="176">
        <v>1</v>
      </c>
      <c r="H14" s="178" t="s">
        <v>6920</v>
      </c>
      <c r="I14" s="592">
        <f t="shared" si="0"/>
        <v>1</v>
      </c>
      <c r="J14" s="178"/>
      <c r="K14" s="178"/>
      <c r="L14" s="275" t="str">
        <f>IF(H:H=0,"",IF(ISERROR(VLOOKUP(H:H,produtos_escape2!$A$2:$B$2794,2,FALSE)),"Código não cadastrado",(VLOOKUP(H:H,produtos_escape2!$A$2:$B$2794,2,FALSE))))</f>
        <v>CONSERTO DE Aspirador Cirúrgico, marca Inalamed, nº patrimônio 874067</v>
      </c>
      <c r="M14" s="593" t="str">
        <f>IF(H:H=0,"",IF(ISERROR(VLOOKUP(H:H,produtos_escape2!$A$2:$D$2794,2,FALSE)),"Código não cadastrado",(VLOOKUP(H:H,produtos_escape2!$A$2:$D$2794,4,FALSE))))</f>
        <v>Serviço</v>
      </c>
      <c r="N14" s="486">
        <v>1</v>
      </c>
      <c r="O14" s="176" t="s">
        <v>3420</v>
      </c>
      <c r="P14" s="486">
        <v>1</v>
      </c>
      <c r="Q14" s="247">
        <v>680</v>
      </c>
      <c r="R14" s="246">
        <f t="shared" si="1"/>
        <v>680</v>
      </c>
      <c r="S14" s="177">
        <v>43763</v>
      </c>
      <c r="T14" s="182">
        <v>220</v>
      </c>
      <c r="U14" s="177">
        <v>43954</v>
      </c>
      <c r="V14" s="177">
        <v>43999</v>
      </c>
      <c r="W14" s="177">
        <v>43999</v>
      </c>
      <c r="X14" s="176">
        <v>32455</v>
      </c>
      <c r="Y14" s="177">
        <v>44011</v>
      </c>
      <c r="Z14" s="598" t="s">
        <v>2755</v>
      </c>
      <c r="AA14" s="488"/>
      <c r="AB14" s="594"/>
      <c r="AC14" s="595"/>
      <c r="AD14" s="596" t="str">
        <f>IF(AND(AC14&lt;&gt;"",S14&lt;&gt;""),NETWORKDAYS(AC14,S14,#REF!),"")</f>
        <v/>
      </c>
      <c r="AE14" s="596" t="str">
        <f ca="1">IF(AND(AD14="",AC14=""),"",IF(OR(AD14&lt;&gt;"",O14="*CANCELADO"),"",NETWORKDAYS(AC14,TODAY(),#REF!)))</f>
        <v/>
      </c>
      <c r="AF14" s="597">
        <f>IFERROR(INDEX(produtos_escape2!M:M,MATCH(Controle!H14,produtos_escape2!A:A,0)),"")</f>
        <v>0</v>
      </c>
    </row>
    <row r="15" spans="1:32" ht="14.25" customHeight="1">
      <c r="A15" s="176" t="s">
        <v>6662</v>
      </c>
      <c r="B15" s="176" t="s">
        <v>3608</v>
      </c>
      <c r="C15" s="177">
        <v>43735</v>
      </c>
      <c r="D15" s="176" t="s">
        <v>6949</v>
      </c>
      <c r="E15" s="176" t="s">
        <v>3009</v>
      </c>
      <c r="F15" s="259" t="s">
        <v>7215</v>
      </c>
      <c r="G15" s="176">
        <v>1</v>
      </c>
      <c r="H15" s="203">
        <v>92400</v>
      </c>
      <c r="I15" s="592">
        <f t="shared" si="0"/>
        <v>5</v>
      </c>
      <c r="J15" s="203" t="s">
        <v>816</v>
      </c>
      <c r="K15" s="203" t="s">
        <v>816</v>
      </c>
      <c r="L15" s="275"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5" s="593" t="str">
        <f>IF(H:H=0,"",IF(ISERROR(VLOOKUP(H:H,produtos_escape2!$A$2:$D$2794,2,FALSE)),"Código não cadastrado",(VLOOKUP(H:H,produtos_escape2!$A$2:$D$2794,4,FALSE))))</f>
        <v>PAR</v>
      </c>
      <c r="N15" s="486">
        <v>3000</v>
      </c>
      <c r="O15" s="176" t="s">
        <v>1868</v>
      </c>
      <c r="P15" s="486"/>
      <c r="Q15" s="247">
        <v>0.878</v>
      </c>
      <c r="R15" s="246">
        <f t="shared" si="1"/>
        <v>0</v>
      </c>
      <c r="S15" s="177">
        <v>43748</v>
      </c>
      <c r="T15" s="182"/>
      <c r="U15" s="177"/>
      <c r="V15" s="177"/>
      <c r="W15" s="177"/>
      <c r="X15" s="176"/>
      <c r="Y15" s="177"/>
      <c r="Z15" s="598" t="s">
        <v>2755</v>
      </c>
      <c r="AA15" s="488" t="s">
        <v>7246</v>
      </c>
      <c r="AB15" s="594"/>
      <c r="AC15" s="595"/>
      <c r="AD15" s="596" t="str">
        <f>IF(AND(AC15&lt;&gt;"",S15&lt;&gt;""),NETWORKDAYS(AC15,S15,#REF!),"")</f>
        <v/>
      </c>
      <c r="AE15" s="596" t="str">
        <f ca="1">IF(AND(AD15="",AC15=""),"",IF(OR(AD15&lt;&gt;"",O15="*CANCELADO"),"",NETWORKDAYS(AC15,TODAY(),#REF!)))</f>
        <v/>
      </c>
      <c r="AF15" s="597" t="str">
        <f>IFERROR(INDEX(produtos_escape2!M:M,MATCH(Controle!H15,produtos_escape2!A:A,0)),"")</f>
        <v>LUVA CIRURGICA CONVENCIONAL Nº 8,5</v>
      </c>
    </row>
    <row r="16" spans="1:32" ht="14.25" customHeight="1">
      <c r="A16" s="176" t="s">
        <v>6662</v>
      </c>
      <c r="B16" s="176" t="s">
        <v>3608</v>
      </c>
      <c r="C16" s="177">
        <v>43735</v>
      </c>
      <c r="D16" s="176" t="s">
        <v>6949</v>
      </c>
      <c r="E16" s="176" t="s">
        <v>3009</v>
      </c>
      <c r="F16" s="259" t="s">
        <v>7215</v>
      </c>
      <c r="G16" s="176">
        <v>2</v>
      </c>
      <c r="H16" s="203">
        <v>92410</v>
      </c>
      <c r="I16" s="592">
        <f t="shared" si="0"/>
        <v>7</v>
      </c>
      <c r="J16" s="203" t="s">
        <v>816</v>
      </c>
      <c r="K16" s="203" t="s">
        <v>816</v>
      </c>
      <c r="L16" s="275"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6" s="593" t="str">
        <f>IF(H:H=0,"",IF(ISERROR(VLOOKUP(H:H,produtos_escape2!$A$2:$D$2794,2,FALSE)),"Código não cadastrado",(VLOOKUP(H:H,produtos_escape2!$A$2:$D$2794,4,FALSE))))</f>
        <v>PAR</v>
      </c>
      <c r="N16" s="486">
        <v>5000</v>
      </c>
      <c r="O16" s="176" t="s">
        <v>1868</v>
      </c>
      <c r="P16" s="486"/>
      <c r="Q16" s="247">
        <v>0.88</v>
      </c>
      <c r="R16" s="246">
        <f t="shared" si="1"/>
        <v>0</v>
      </c>
      <c r="S16" s="177">
        <v>43748</v>
      </c>
      <c r="T16" s="182"/>
      <c r="U16" s="177"/>
      <c r="V16" s="177"/>
      <c r="W16" s="177"/>
      <c r="X16" s="176"/>
      <c r="Y16" s="177"/>
      <c r="Z16" s="598" t="s">
        <v>2755</v>
      </c>
      <c r="AA16" s="488" t="s">
        <v>7247</v>
      </c>
      <c r="AB16" s="594"/>
      <c r="AC16" s="595"/>
      <c r="AD16" s="596" t="str">
        <f>IF(AND(AC16&lt;&gt;"",S16&lt;&gt;""),NETWORKDAYS(AC16,S16,#REF!),"")</f>
        <v/>
      </c>
      <c r="AE16" s="596" t="str">
        <f ca="1">IF(AND(AD16="",AC16=""),"",IF(OR(AD16&lt;&gt;"",O16="*CANCELADO"),"",NETWORKDAYS(AC16,TODAY(),#REF!)))</f>
        <v/>
      </c>
      <c r="AF16" s="597" t="str">
        <f>IFERROR(INDEX(produtos_escape2!M:M,MATCH(Controle!H16,produtos_escape2!A:A,0)),"")</f>
        <v>LUVA CIRURGICA CONVENCIONAL Nº 6,5</v>
      </c>
    </row>
    <row r="17" spans="1:32" ht="14.25" customHeight="1">
      <c r="A17" s="176" t="s">
        <v>4502</v>
      </c>
      <c r="B17" s="176" t="s">
        <v>7207</v>
      </c>
      <c r="C17" s="177">
        <v>43735</v>
      </c>
      <c r="D17" s="176" t="s">
        <v>6947</v>
      </c>
      <c r="E17" s="176" t="s">
        <v>3009</v>
      </c>
      <c r="F17" s="259" t="s">
        <v>7216</v>
      </c>
      <c r="G17" s="176">
        <v>3</v>
      </c>
      <c r="H17" s="178">
        <v>35478</v>
      </c>
      <c r="I17" s="592">
        <f t="shared" si="0"/>
        <v>3</v>
      </c>
      <c r="J17" s="178" t="s">
        <v>816</v>
      </c>
      <c r="K17" s="178" t="s">
        <v>816</v>
      </c>
      <c r="L17" s="275" t="str">
        <f>IF(H:H=0,"",IF(ISERROR(VLOOKUP(H:H,produtos_escape2!$A$2:$B$2794,2,FALSE)),"Código não cadastrado",(VLOOKUP(H:H,produtos_escape2!$A$2:$B$2794,2,FALSE))))</f>
        <v>CAIXA ORGANIZADORA,Material: poliestireno de alta densidade e/ou polipropileno, Tamanho/Capacidade: 40 LITROS. Características Adicionais: reforçada, com tampa, empilhável, Altura: mínimo 27,5 cm, Largura: mínimo 37 cm, Comprimento: mínimo 54,5 cm, Cor: branca ou transparente.</v>
      </c>
      <c r="M17" s="593" t="str">
        <f>IF(H:H=0,"",IF(ISERROR(VLOOKUP(H:H,produtos_escape2!$A$2:$D$2794,2,FALSE)),"Código não cadastrado",(VLOOKUP(H:H,produtos_escape2!$A$2:$D$2794,4,FALSE))))</f>
        <v>UN</v>
      </c>
      <c r="N17" s="486">
        <v>35</v>
      </c>
      <c r="O17" s="176" t="s">
        <v>1868</v>
      </c>
      <c r="P17" s="486"/>
      <c r="Q17" s="247">
        <v>42</v>
      </c>
      <c r="R17" s="246">
        <f t="shared" si="1"/>
        <v>0</v>
      </c>
      <c r="S17" s="177">
        <v>43749</v>
      </c>
      <c r="T17" s="182"/>
      <c r="U17" s="177"/>
      <c r="V17" s="177"/>
      <c r="W17" s="177"/>
      <c r="X17" s="176"/>
      <c r="Y17" s="177"/>
      <c r="Z17" s="598" t="s">
        <v>2755</v>
      </c>
      <c r="AA17" s="488" t="s">
        <v>7315</v>
      </c>
      <c r="AB17" s="594"/>
      <c r="AC17" s="595"/>
      <c r="AD17" s="596" t="str">
        <f>IF(AND(AC17&lt;&gt;"",S17&lt;&gt;""),NETWORKDAYS(AC17,S17,#REF!),"")</f>
        <v/>
      </c>
      <c r="AE17" s="596" t="str">
        <f ca="1">IF(AND(AD17="",AC17=""),"",IF(OR(AD17&lt;&gt;"",O17="*CANCELADO"),"",NETWORKDAYS(AC17,TODAY(),#REF!)))</f>
        <v/>
      </c>
      <c r="AF17" s="597" t="str">
        <f>IFERROR(INDEX(produtos_escape2!M:M,MATCH(Controle!H17,produtos_escape2!A:A,0)),"")</f>
        <v>CAIXA ORGANIZADORA</v>
      </c>
    </row>
    <row r="18" spans="1:32" ht="14.25" customHeight="1">
      <c r="A18" s="176" t="s">
        <v>4502</v>
      </c>
      <c r="B18" s="176" t="s">
        <v>7207</v>
      </c>
      <c r="C18" s="177">
        <v>43735</v>
      </c>
      <c r="D18" s="176" t="s">
        <v>6947</v>
      </c>
      <c r="E18" s="176" t="s">
        <v>3009</v>
      </c>
      <c r="F18" s="259" t="s">
        <v>7216</v>
      </c>
      <c r="G18" s="176">
        <v>4</v>
      </c>
      <c r="H18" s="178">
        <v>35479</v>
      </c>
      <c r="I18" s="592">
        <f t="shared" si="0"/>
        <v>6</v>
      </c>
      <c r="J18" s="178" t="s">
        <v>816</v>
      </c>
      <c r="K18" s="178" t="s">
        <v>816</v>
      </c>
      <c r="L18" s="275"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18" s="593" t="str">
        <f>IF(H:H=0,"",IF(ISERROR(VLOOKUP(H:H,produtos_escape2!$A$2:$D$2794,2,FALSE)),"Código não cadastrado",(VLOOKUP(H:H,produtos_escape2!$A$2:$D$2794,4,FALSE))))</f>
        <v>UN</v>
      </c>
      <c r="N18" s="486">
        <v>25</v>
      </c>
      <c r="O18" s="176" t="s">
        <v>1868</v>
      </c>
      <c r="P18" s="486"/>
      <c r="Q18" s="247">
        <v>53</v>
      </c>
      <c r="R18" s="246">
        <f t="shared" si="1"/>
        <v>0</v>
      </c>
      <c r="S18" s="177">
        <v>43749</v>
      </c>
      <c r="T18" s="182"/>
      <c r="U18" s="177"/>
      <c r="V18" s="177"/>
      <c r="W18" s="177"/>
      <c r="X18" s="176"/>
      <c r="Y18" s="177"/>
      <c r="Z18" s="598" t="s">
        <v>2755</v>
      </c>
      <c r="AA18" s="488" t="s">
        <v>7316</v>
      </c>
      <c r="AB18" s="594"/>
      <c r="AC18" s="595"/>
      <c r="AD18" s="596" t="str">
        <f>IF(AND(AC18&lt;&gt;"",S18&lt;&gt;""),NETWORKDAYS(AC18,S18,#REF!),"")</f>
        <v/>
      </c>
      <c r="AE18" s="596" t="str">
        <f ca="1">IF(AND(AD18="",AC18=""),"",IF(OR(AD18&lt;&gt;"",O18="*CANCELADO"),"",NETWORKDAYS(AC18,TODAY(),#REF!)))</f>
        <v/>
      </c>
      <c r="AF18" s="597" t="str">
        <f>IFERROR(INDEX(produtos_escape2!M:M,MATCH(Controle!H18,produtos_escape2!A:A,0)),"")</f>
        <v>CAIXA ORGANIZADORA 70L</v>
      </c>
    </row>
    <row r="19" spans="1:32" ht="14.25" customHeight="1">
      <c r="A19" s="176" t="s">
        <v>4408</v>
      </c>
      <c r="B19" s="176" t="s">
        <v>1687</v>
      </c>
      <c r="C19" s="177">
        <v>43739</v>
      </c>
      <c r="D19" s="176" t="s">
        <v>6969</v>
      </c>
      <c r="E19" s="176" t="s">
        <v>3008</v>
      </c>
      <c r="F19" s="259" t="s">
        <v>7217</v>
      </c>
      <c r="G19" s="176">
        <v>1</v>
      </c>
      <c r="H19" s="178" t="s">
        <v>6731</v>
      </c>
      <c r="I19" s="592">
        <f t="shared" si="0"/>
        <v>2</v>
      </c>
      <c r="J19" s="178"/>
      <c r="K19" s="178"/>
      <c r="L19" s="275" t="str">
        <f>IF(H:H=0,"",IF(ISERROR(VLOOKUP(H:H,produtos_escape2!$A$2:$B$2794,2,FALSE)),"Código não cadastrado",(VLOOKUP(H:H,produtos_escape2!$A$2:$B$2794,2,FALSE))))</f>
        <v>Conserto de GeneXpert Cepheid , nº patrimônio 1190252.</v>
      </c>
      <c r="M19" s="593" t="str">
        <f>IF(H:H=0,"",IF(ISERROR(VLOOKUP(H:H,produtos_escape2!$A$2:$D$2794,2,FALSE)),"Código não cadastrado",(VLOOKUP(H:H,produtos_escape2!$A$2:$D$2794,4,FALSE))))</f>
        <v>Serviço</v>
      </c>
      <c r="N19" s="486">
        <v>1</v>
      </c>
      <c r="O19" s="176" t="s">
        <v>7098</v>
      </c>
      <c r="P19" s="486">
        <v>1</v>
      </c>
      <c r="Q19" s="247">
        <f>13860-693</f>
        <v>13167</v>
      </c>
      <c r="R19" s="246">
        <f t="shared" si="1"/>
        <v>13167</v>
      </c>
      <c r="S19" s="177">
        <v>43802</v>
      </c>
      <c r="T19" s="182">
        <v>1446</v>
      </c>
      <c r="U19" s="177">
        <v>43852</v>
      </c>
      <c r="V19" s="177">
        <v>43879</v>
      </c>
      <c r="W19" s="177">
        <v>43879</v>
      </c>
      <c r="X19" s="176">
        <v>3270</v>
      </c>
      <c r="Y19" s="177">
        <v>43895</v>
      </c>
      <c r="Z19" s="598" t="s">
        <v>2755</v>
      </c>
      <c r="AA19" s="488"/>
      <c r="AB19" s="594"/>
      <c r="AC19" s="595"/>
      <c r="AD19" s="596" t="str">
        <f>IF(AND(AC19&lt;&gt;"",S19&lt;&gt;""),NETWORKDAYS(AC19,S19,#REF!),"")</f>
        <v/>
      </c>
      <c r="AE19" s="596" t="str">
        <f ca="1">IF(AND(AD19="",AC19=""),"",IF(OR(AD19&lt;&gt;"",O19="*CANCELADO"),"",NETWORKDAYS(AC19,TODAY(),#REF!)))</f>
        <v/>
      </c>
      <c r="AF19" s="597">
        <f>IFERROR(INDEX(produtos_escape2!M:M,MATCH(Controle!H19,produtos_escape2!A:A,0)),"")</f>
        <v>0</v>
      </c>
    </row>
    <row r="20" spans="1:32" ht="14.25" customHeight="1">
      <c r="A20" s="176" t="s">
        <v>4408</v>
      </c>
      <c r="B20" s="176" t="s">
        <v>1687</v>
      </c>
      <c r="C20" s="177">
        <v>43739</v>
      </c>
      <c r="D20" s="176" t="s">
        <v>6969</v>
      </c>
      <c r="E20" s="176" t="s">
        <v>3008</v>
      </c>
      <c r="F20" s="259" t="s">
        <v>7217</v>
      </c>
      <c r="G20" s="176">
        <v>1</v>
      </c>
      <c r="H20" s="178" t="s">
        <v>6731</v>
      </c>
      <c r="I20" s="592">
        <f t="shared" si="0"/>
        <v>2</v>
      </c>
      <c r="J20" s="178"/>
      <c r="K20" s="178"/>
      <c r="L20" s="275" t="str">
        <f>IF(H:H=0,"",IF(ISERROR(VLOOKUP(H:H,produtos_escape2!$A$2:$B$2794,2,FALSE)),"Código não cadastrado",(VLOOKUP(H:H,produtos_escape2!$A$2:$B$2794,2,FALSE))))</f>
        <v>Conserto de GeneXpert Cepheid , nº patrimônio 1190252.</v>
      </c>
      <c r="M20" s="593" t="str">
        <f>IF(H:H=0,"",IF(ISERROR(VLOOKUP(H:H,produtos_escape2!$A$2:$D$2794,2,FALSE)),"Código não cadastrado",(VLOOKUP(H:H,produtos_escape2!$A$2:$D$2794,4,FALSE))))</f>
        <v>Serviço</v>
      </c>
      <c r="N20" s="486">
        <v>1</v>
      </c>
      <c r="O20" s="176" t="s">
        <v>7624</v>
      </c>
      <c r="P20" s="486">
        <v>1</v>
      </c>
      <c r="Q20" s="247">
        <v>693</v>
      </c>
      <c r="R20" s="246">
        <f t="shared" si="1"/>
        <v>693</v>
      </c>
      <c r="S20" s="177">
        <v>43802</v>
      </c>
      <c r="T20" s="182">
        <v>1446</v>
      </c>
      <c r="U20" s="177">
        <v>43852</v>
      </c>
      <c r="V20" s="177">
        <v>43879</v>
      </c>
      <c r="W20" s="177">
        <v>43879</v>
      </c>
      <c r="X20" s="176">
        <v>3270</v>
      </c>
      <c r="Y20" s="177">
        <v>43895</v>
      </c>
      <c r="Z20" s="598" t="s">
        <v>2755</v>
      </c>
      <c r="AA20" s="488"/>
      <c r="AB20" s="594"/>
      <c r="AC20" s="595"/>
      <c r="AD20" s="596" t="str">
        <f>IF(AND(AC20&lt;&gt;"",S20&lt;&gt;""),NETWORKDAYS(AC20,S20,#REF!),"")</f>
        <v/>
      </c>
      <c r="AE20" s="596" t="str">
        <f ca="1">IF(AND(AD20="",AC20=""),"",IF(OR(AD20&lt;&gt;"",O20="*CANCELADO"),"",NETWORKDAYS(AC20,TODAY(),#REF!)))</f>
        <v/>
      </c>
      <c r="AF20" s="597">
        <f>IFERROR(INDEX(produtos_escape2!M:M,MATCH(Controle!H20,produtos_escape2!A:A,0)),"")</f>
        <v>0</v>
      </c>
    </row>
    <row r="21" spans="1:32" ht="14.25" customHeight="1">
      <c r="A21" s="176" t="s">
        <v>4409</v>
      </c>
      <c r="B21" s="176" t="s">
        <v>1687</v>
      </c>
      <c r="C21" s="177">
        <v>43741</v>
      </c>
      <c r="D21" s="176" t="s">
        <v>6991</v>
      </c>
      <c r="E21" s="176" t="s">
        <v>3008</v>
      </c>
      <c r="F21" s="259" t="s">
        <v>7218</v>
      </c>
      <c r="G21" s="176">
        <v>3</v>
      </c>
      <c r="H21" s="178" t="s">
        <v>6992</v>
      </c>
      <c r="I21" s="592">
        <f t="shared" si="0"/>
        <v>1</v>
      </c>
      <c r="J21" s="178"/>
      <c r="K21" s="178"/>
      <c r="L21" s="275" t="str">
        <f>IF(H:H=0,"",IF(ISERROR(VLOOKUP(H:H,produtos_escape2!$A$2:$B$2794,2,FALSE)),"Código não cadastrado",(VLOOKUP(H:H,produtos_escape2!$A$2:$B$2794,2,FALSE))))</f>
        <v>Conserto de Estimulador Elétrico Transcutâneo, Marca KINESIS TENS, Nº Patrimônio 707951</v>
      </c>
      <c r="M21" s="593" t="str">
        <f>IF(H:H=0,"",IF(ISERROR(VLOOKUP(H:H,produtos_escape2!$A$2:$D$2794,2,FALSE)),"Código não cadastrado",(VLOOKUP(H:H,produtos_escape2!$A$2:$D$2794,4,FALSE))))</f>
        <v>Serviço</v>
      </c>
      <c r="N21" s="486">
        <v>1</v>
      </c>
      <c r="O21" s="176" t="s">
        <v>4433</v>
      </c>
      <c r="P21" s="486">
        <v>1</v>
      </c>
      <c r="Q21" s="247">
        <v>250</v>
      </c>
      <c r="R21" s="246">
        <f t="shared" si="1"/>
        <v>250</v>
      </c>
      <c r="S21" s="177">
        <v>43802</v>
      </c>
      <c r="T21" s="182">
        <v>407</v>
      </c>
      <c r="U21" s="177">
        <v>43846</v>
      </c>
      <c r="V21" s="177">
        <v>43857</v>
      </c>
      <c r="W21" s="177">
        <v>43857</v>
      </c>
      <c r="X21" s="415">
        <v>49574</v>
      </c>
      <c r="Y21" s="177">
        <v>43861</v>
      </c>
      <c r="Z21" s="598" t="s">
        <v>2755</v>
      </c>
      <c r="AA21" s="488"/>
      <c r="AB21" s="594"/>
      <c r="AC21" s="595"/>
      <c r="AD21" s="596" t="str">
        <f>IF(AND(AC21&lt;&gt;"",S21&lt;&gt;""),NETWORKDAYS(AC21,S21,#REF!),"")</f>
        <v/>
      </c>
      <c r="AE21" s="596" t="str">
        <f ca="1">IF(AND(AD21="",AC21=""),"",IF(OR(AD21&lt;&gt;"",O21="*CANCELADO"),"",NETWORKDAYS(AC21,TODAY(),#REF!)))</f>
        <v/>
      </c>
      <c r="AF21" s="597">
        <f>IFERROR(INDEX(produtos_escape2!M:M,MATCH(Controle!H21,produtos_escape2!A:A,0)),"")</f>
        <v>0</v>
      </c>
    </row>
    <row r="22" spans="1:32" ht="14.25" customHeight="1">
      <c r="A22" s="176" t="s">
        <v>4409</v>
      </c>
      <c r="B22" s="176" t="s">
        <v>1687</v>
      </c>
      <c r="C22" s="177">
        <v>43741</v>
      </c>
      <c r="D22" s="176" t="s">
        <v>6991</v>
      </c>
      <c r="E22" s="176" t="s">
        <v>3008</v>
      </c>
      <c r="F22" s="259" t="s">
        <v>7218</v>
      </c>
      <c r="G22" s="176">
        <v>1</v>
      </c>
      <c r="H22" s="178" t="s">
        <v>3513</v>
      </c>
      <c r="I22" s="592">
        <f t="shared" si="0"/>
        <v>1</v>
      </c>
      <c r="J22" s="178"/>
      <c r="K22" s="178"/>
      <c r="L22" s="275" t="str">
        <f>IF(H:H=0,"",IF(ISERROR(VLOOKUP(H:H,produtos_escape2!$A$2:$B$2794,2,FALSE)),"Código não cadastrado",(VLOOKUP(H:H,produtos_escape2!$A$2:$B$2794,2,FALSE))))</f>
        <v>Conserto do Aparelho TENS/FES Marca KINESIS NEW, Chapa patrimonial n°776007.</v>
      </c>
      <c r="M22" s="593" t="str">
        <f>IF(H:H=0,"",IF(ISERROR(VLOOKUP(H:H,produtos_escape2!$A$2:$D$2794,2,FALSE)),"Código não cadastrado",(VLOOKUP(H:H,produtos_escape2!$A$2:$D$2794,4,FALSE))))</f>
        <v>Serviço</v>
      </c>
      <c r="N22" s="486">
        <v>1</v>
      </c>
      <c r="O22" s="176" t="s">
        <v>4433</v>
      </c>
      <c r="P22" s="486">
        <v>1</v>
      </c>
      <c r="Q22" s="247">
        <v>250</v>
      </c>
      <c r="R22" s="246">
        <f t="shared" si="1"/>
        <v>250</v>
      </c>
      <c r="S22" s="177">
        <v>43802</v>
      </c>
      <c r="T22" s="182">
        <v>407</v>
      </c>
      <c r="U22" s="177">
        <v>43846</v>
      </c>
      <c r="V22" s="177">
        <v>43857</v>
      </c>
      <c r="W22" s="177">
        <v>43857</v>
      </c>
      <c r="X22" s="415">
        <v>49574</v>
      </c>
      <c r="Y22" s="177">
        <v>43861</v>
      </c>
      <c r="Z22" s="598" t="s">
        <v>2755</v>
      </c>
      <c r="AA22" s="488"/>
      <c r="AB22" s="594"/>
      <c r="AC22" s="595"/>
      <c r="AD22" s="596" t="str">
        <f>IF(AND(AC22&lt;&gt;"",S22&lt;&gt;""),NETWORKDAYS(AC22,S22,#REF!),"")</f>
        <v/>
      </c>
      <c r="AE22" s="596" t="str">
        <f ca="1">IF(AND(AD22="",AC22=""),"",IF(OR(AD22&lt;&gt;"",O22="*CANCELADO"),"",NETWORKDAYS(AC22,TODAY(),#REF!)))</f>
        <v/>
      </c>
      <c r="AF22" s="597">
        <f>IFERROR(INDEX(produtos_escape2!M:M,MATCH(Controle!H22,produtos_escape2!A:A,0)),"")</f>
        <v>0</v>
      </c>
    </row>
    <row r="23" spans="1:32" ht="14.25" customHeight="1">
      <c r="A23" s="176" t="s">
        <v>4409</v>
      </c>
      <c r="B23" s="176" t="s">
        <v>1687</v>
      </c>
      <c r="C23" s="177">
        <v>43741</v>
      </c>
      <c r="D23" s="176" t="s">
        <v>6991</v>
      </c>
      <c r="E23" s="176" t="s">
        <v>3008</v>
      </c>
      <c r="F23" s="259" t="s">
        <v>7218</v>
      </c>
      <c r="G23" s="176">
        <v>2</v>
      </c>
      <c r="H23" s="178" t="s">
        <v>3514</v>
      </c>
      <c r="I23" s="592">
        <f t="shared" si="0"/>
        <v>1</v>
      </c>
      <c r="J23" s="178"/>
      <c r="K23" s="178"/>
      <c r="L23" s="275" t="str">
        <f>IF(H:H=0,"",IF(ISERROR(VLOOKUP(H:H,produtos_escape2!$A$2:$B$2794,2,FALSE)),"Código não cadastrado",(VLOOKUP(H:H,produtos_escape2!$A$2:$B$2794,2,FALSE))))</f>
        <v>Conserto do Aparelho TENS/FES Marca KINESIS NEW, Chapa patrimonial n°776010.</v>
      </c>
      <c r="M23" s="593" t="str">
        <f>IF(H:H=0,"",IF(ISERROR(VLOOKUP(H:H,produtos_escape2!$A$2:$D$2794,2,FALSE)),"Código não cadastrado",(VLOOKUP(H:H,produtos_escape2!$A$2:$D$2794,4,FALSE))))</f>
        <v>Serviço</v>
      </c>
      <c r="N23" s="486">
        <v>1</v>
      </c>
      <c r="O23" s="176" t="s">
        <v>4433</v>
      </c>
      <c r="P23" s="486">
        <v>1</v>
      </c>
      <c r="Q23" s="247">
        <v>250</v>
      </c>
      <c r="R23" s="246">
        <f t="shared" si="1"/>
        <v>250</v>
      </c>
      <c r="S23" s="177">
        <v>43802</v>
      </c>
      <c r="T23" s="182">
        <v>407</v>
      </c>
      <c r="U23" s="177">
        <v>43846</v>
      </c>
      <c r="V23" s="177">
        <v>43857</v>
      </c>
      <c r="W23" s="177">
        <v>43857</v>
      </c>
      <c r="X23" s="415">
        <v>49574</v>
      </c>
      <c r="Y23" s="177">
        <v>43861</v>
      </c>
      <c r="Z23" s="598" t="s">
        <v>2755</v>
      </c>
      <c r="AA23" s="488"/>
      <c r="AB23" s="594"/>
      <c r="AC23" s="595"/>
      <c r="AD23" s="596" t="str">
        <f>IF(AND(AC23&lt;&gt;"",S23&lt;&gt;""),NETWORKDAYS(AC23,S23,#REF!),"")</f>
        <v/>
      </c>
      <c r="AE23" s="596" t="str">
        <f ca="1">IF(AND(AD23="",AC23=""),"",IF(OR(AD23&lt;&gt;"",O23="*CANCELADO"),"",NETWORKDAYS(AC23,TODAY(),#REF!)))</f>
        <v/>
      </c>
      <c r="AF23" s="597">
        <f>IFERROR(INDEX(produtos_escape2!M:M,MATCH(Controle!H23,produtos_escape2!A:A,0)),"")</f>
        <v>0</v>
      </c>
    </row>
    <row r="24" spans="1:32" ht="14.25" customHeight="1">
      <c r="A24" s="176" t="s">
        <v>4414</v>
      </c>
      <c r="B24" s="176" t="s">
        <v>1687</v>
      </c>
      <c r="C24" s="177">
        <v>43748</v>
      </c>
      <c r="D24" s="176" t="s">
        <v>7008</v>
      </c>
      <c r="E24" s="176" t="s">
        <v>3008</v>
      </c>
      <c r="F24" s="259" t="s">
        <v>7219</v>
      </c>
      <c r="G24" s="176">
        <v>1</v>
      </c>
      <c r="H24" s="178" t="s">
        <v>7006</v>
      </c>
      <c r="I24" s="592">
        <f t="shared" si="0"/>
        <v>1</v>
      </c>
      <c r="J24" s="178"/>
      <c r="K24" s="178"/>
      <c r="L24" s="275" t="str">
        <f>IF(H:H=0,"",IF(ISERROR(VLOOKUP(H:H,produtos_escape2!$A$2:$B$2794,2,FALSE)),"Código não cadastrado",(VLOOKUP(H:H,produtos_escape2!$A$2:$B$2794,2,FALSE))))</f>
        <v>Conserto de CAMA Marca HOSPIMETAL, Nº. Patrimônio 878278</v>
      </c>
      <c r="M24" s="593" t="str">
        <f>IF(H:H=0,"",IF(ISERROR(VLOOKUP(H:H,produtos_escape2!$A$2:$D$2794,2,FALSE)),"Código não cadastrado",(VLOOKUP(H:H,produtos_escape2!$A$2:$D$2794,4,FALSE))))</f>
        <v>Serviço</v>
      </c>
      <c r="N24" s="486">
        <v>1</v>
      </c>
      <c r="O24" s="176" t="s">
        <v>1868</v>
      </c>
      <c r="P24" s="486"/>
      <c r="Q24" s="247">
        <v>700</v>
      </c>
      <c r="R24" s="246">
        <f t="shared" si="1"/>
        <v>0</v>
      </c>
      <c r="S24" s="177">
        <v>43802</v>
      </c>
      <c r="T24" s="182"/>
      <c r="U24" s="177"/>
      <c r="V24" s="177"/>
      <c r="W24" s="177"/>
      <c r="X24" s="176"/>
      <c r="Y24" s="177"/>
      <c r="Z24" s="598" t="s">
        <v>2755</v>
      </c>
      <c r="AA24" s="488" t="s">
        <v>7248</v>
      </c>
      <c r="AB24" s="594"/>
      <c r="AC24" s="595"/>
      <c r="AD24" s="596" t="str">
        <f>IF(AND(AC24&lt;&gt;"",S24&lt;&gt;""),NETWORKDAYS(AC24,S24,#REF!),"")</f>
        <v/>
      </c>
      <c r="AE24" s="596" t="str">
        <f ca="1">IF(AND(AD24="",AC24=""),"",IF(OR(AD24&lt;&gt;"",O24="*CANCELADO"),"",NETWORKDAYS(AC24,TODAY(),#REF!)))</f>
        <v/>
      </c>
      <c r="AF24" s="597">
        <f>IFERROR(INDEX(produtos_escape2!M:M,MATCH(Controle!H24,produtos_escape2!A:A,0)),"")</f>
        <v>0</v>
      </c>
    </row>
    <row r="25" spans="1:32" ht="14.25" customHeight="1">
      <c r="A25" s="176" t="s">
        <v>4414</v>
      </c>
      <c r="B25" s="176" t="s">
        <v>1687</v>
      </c>
      <c r="C25" s="177">
        <v>43748</v>
      </c>
      <c r="D25" s="176" t="s">
        <v>7008</v>
      </c>
      <c r="E25" s="176" t="s">
        <v>3008</v>
      </c>
      <c r="F25" s="259" t="s">
        <v>7219</v>
      </c>
      <c r="G25" s="176">
        <v>2</v>
      </c>
      <c r="H25" s="178" t="s">
        <v>3426</v>
      </c>
      <c r="I25" s="592">
        <f t="shared" si="0"/>
        <v>1</v>
      </c>
      <c r="J25" s="178"/>
      <c r="K25" s="178"/>
      <c r="L25" s="275" t="str">
        <f>IF(H:H=0,"",IF(ISERROR(VLOOKUP(H:H,produtos_escape2!$A$2:$B$2794,2,FALSE)),"Código não cadastrado",(VLOOKUP(H:H,produtos_escape2!$A$2:$B$2794,2,FALSE))))</f>
        <v>Conserto da Cama marca HOSPIMETAL, Chapa patrimonial n° 878297</v>
      </c>
      <c r="M25" s="593" t="str">
        <f>IF(H:H=0,"",IF(ISERROR(VLOOKUP(H:H,produtos_escape2!$A$2:$D$2794,2,FALSE)),"Código não cadastrado",(VLOOKUP(H:H,produtos_escape2!$A$2:$D$2794,4,FALSE))))</f>
        <v>Serviço</v>
      </c>
      <c r="N25" s="486">
        <v>1</v>
      </c>
      <c r="O25" s="176" t="s">
        <v>4433</v>
      </c>
      <c r="P25" s="486">
        <v>1</v>
      </c>
      <c r="Q25" s="247">
        <v>700</v>
      </c>
      <c r="R25" s="246">
        <f t="shared" si="1"/>
        <v>700</v>
      </c>
      <c r="S25" s="177">
        <v>43802</v>
      </c>
      <c r="T25" s="182">
        <v>405</v>
      </c>
      <c r="U25" s="177">
        <v>43832</v>
      </c>
      <c r="V25" s="177">
        <v>43844</v>
      </c>
      <c r="W25" s="177">
        <v>43844</v>
      </c>
      <c r="X25" s="415">
        <v>44864</v>
      </c>
      <c r="Y25" s="177">
        <v>43854</v>
      </c>
      <c r="Z25" s="598" t="s">
        <v>2755</v>
      </c>
      <c r="AA25" s="488"/>
      <c r="AB25" s="594"/>
      <c r="AC25" s="595"/>
      <c r="AD25" s="596" t="str">
        <f>IF(AND(AC25&lt;&gt;"",S25&lt;&gt;""),NETWORKDAYS(AC25,S25,#REF!),"")</f>
        <v/>
      </c>
      <c r="AE25" s="596" t="str">
        <f ca="1">IF(AND(AD25="",AC25=""),"",IF(OR(AD25&lt;&gt;"",O25="*CANCELADO"),"",NETWORKDAYS(AC25,TODAY(),#REF!)))</f>
        <v/>
      </c>
      <c r="AF25" s="597">
        <f>IFERROR(INDEX(produtos_escape2!M:M,MATCH(Controle!H25,produtos_escape2!A:A,0)),"")</f>
        <v>0</v>
      </c>
    </row>
    <row r="26" spans="1:32" ht="14.25" customHeight="1">
      <c r="A26" s="176" t="s">
        <v>4414</v>
      </c>
      <c r="B26" s="176" t="s">
        <v>1687</v>
      </c>
      <c r="C26" s="177">
        <v>43748</v>
      </c>
      <c r="D26" s="176" t="s">
        <v>7008</v>
      </c>
      <c r="E26" s="176" t="s">
        <v>3008</v>
      </c>
      <c r="F26" s="259" t="s">
        <v>7219</v>
      </c>
      <c r="G26" s="176">
        <v>3</v>
      </c>
      <c r="H26" s="178" t="s">
        <v>8096</v>
      </c>
      <c r="I26" s="592">
        <f t="shared" si="0"/>
        <v>1</v>
      </c>
      <c r="J26" s="178"/>
      <c r="K26" s="178"/>
      <c r="L26" s="275" t="str">
        <f>IF(H:H=0,"",IF(ISERROR(VLOOKUP(H:H,produtos_escape2!$A$2:$B$2794,2,FALSE)),"Código não cadastrado",(VLOOKUP(H:H,produtos_escape2!$A$2:$B$2794,2,FALSE))))</f>
        <v>CONSERTO DE CAMA ELETRÔNICA - STRYKER PAT.: 019964</v>
      </c>
      <c r="M26" s="593" t="str">
        <f>IF(H:H=0,"",IF(ISERROR(VLOOKUP(H:H,produtos_escape2!$A$2:$D$2794,2,FALSE)),"Código não cadastrado",(VLOOKUP(H:H,produtos_escape2!$A$2:$D$2794,4,FALSE))))</f>
        <v>Serviço</v>
      </c>
      <c r="N26" s="486">
        <v>1</v>
      </c>
      <c r="O26" s="176" t="s">
        <v>4433</v>
      </c>
      <c r="P26" s="486">
        <v>1</v>
      </c>
      <c r="Q26" s="247">
        <v>700</v>
      </c>
      <c r="R26" s="246">
        <f t="shared" si="1"/>
        <v>700</v>
      </c>
      <c r="S26" s="177">
        <v>43802</v>
      </c>
      <c r="T26" s="182">
        <v>405</v>
      </c>
      <c r="U26" s="177">
        <v>43832</v>
      </c>
      <c r="V26" s="177">
        <v>43844</v>
      </c>
      <c r="W26" s="177">
        <v>43844</v>
      </c>
      <c r="X26" s="415">
        <v>44864</v>
      </c>
      <c r="Y26" s="177">
        <v>43854</v>
      </c>
      <c r="Z26" s="598" t="s">
        <v>2755</v>
      </c>
      <c r="AA26" s="488"/>
      <c r="AB26" s="594"/>
      <c r="AC26" s="595"/>
      <c r="AD26" s="596" t="str">
        <f>IF(AND(AC26&lt;&gt;"",S26&lt;&gt;""),NETWORKDAYS(AC26,S26,#REF!),"")</f>
        <v/>
      </c>
      <c r="AE26" s="596" t="str">
        <f ca="1">IF(AND(AD26="",AC26=""),"",IF(OR(AD26&lt;&gt;"",O26="*CANCELADO"),"",NETWORKDAYS(AC26,TODAY(),#REF!)))</f>
        <v/>
      </c>
      <c r="AF26" s="597">
        <f>IFERROR(INDEX(produtos_escape2!M:M,MATCH(Controle!H26,produtos_escape2!A:A,0)),"")</f>
        <v>0</v>
      </c>
    </row>
    <row r="27" spans="1:32" ht="14.25" customHeight="1">
      <c r="A27" s="176" t="s">
        <v>4414</v>
      </c>
      <c r="B27" s="176" t="s">
        <v>1687</v>
      </c>
      <c r="C27" s="177">
        <v>43748</v>
      </c>
      <c r="D27" s="176" t="s">
        <v>7008</v>
      </c>
      <c r="E27" s="176" t="s">
        <v>3008</v>
      </c>
      <c r="F27" s="259" t="s">
        <v>7219</v>
      </c>
      <c r="G27" s="176">
        <v>4</v>
      </c>
      <c r="H27" s="178" t="s">
        <v>8100</v>
      </c>
      <c r="I27" s="592">
        <f t="shared" si="0"/>
        <v>1</v>
      </c>
      <c r="J27" s="178"/>
      <c r="K27" s="178"/>
      <c r="L27" s="275" t="str">
        <f>IF(H:H=0,"",IF(ISERROR(VLOOKUP(H:H,produtos_escape2!$A$2:$B$2794,2,FALSE)),"Código não cadastrado",(VLOOKUP(H:H,produtos_escape2!$A$2:$B$2794,2,FALSE))))</f>
        <v>CONSERTO DE CAMA Marca STRYKER, Nº. Patrimônio 019967</v>
      </c>
      <c r="M27" s="593" t="str">
        <f>IF(H:H=0,"",IF(ISERROR(VLOOKUP(H:H,produtos_escape2!$A$2:$D$2794,2,FALSE)),"Código não cadastrado",(VLOOKUP(H:H,produtos_escape2!$A$2:$D$2794,4,FALSE))))</f>
        <v>Serviço</v>
      </c>
      <c r="N27" s="486">
        <v>1</v>
      </c>
      <c r="O27" s="176" t="s">
        <v>4433</v>
      </c>
      <c r="P27" s="486">
        <v>1</v>
      </c>
      <c r="Q27" s="247">
        <v>700</v>
      </c>
      <c r="R27" s="246">
        <f t="shared" si="1"/>
        <v>700</v>
      </c>
      <c r="S27" s="177">
        <v>43802</v>
      </c>
      <c r="T27" s="182">
        <v>405</v>
      </c>
      <c r="U27" s="177">
        <v>43832</v>
      </c>
      <c r="V27" s="177">
        <v>43844</v>
      </c>
      <c r="W27" s="177">
        <v>43844</v>
      </c>
      <c r="X27" s="415">
        <v>44864</v>
      </c>
      <c r="Y27" s="177">
        <v>43854</v>
      </c>
      <c r="Z27" s="598" t="s">
        <v>2755</v>
      </c>
      <c r="AA27" s="488"/>
      <c r="AB27" s="594"/>
      <c r="AC27" s="595"/>
      <c r="AD27" s="596" t="str">
        <f>IF(AND(AC27&lt;&gt;"",S27&lt;&gt;""),NETWORKDAYS(AC27,S27,#REF!),"")</f>
        <v/>
      </c>
      <c r="AE27" s="596" t="str">
        <f ca="1">IF(AND(AD27="",AC27=""),"",IF(OR(AD27&lt;&gt;"",O27="*CANCELADO"),"",NETWORKDAYS(AC27,TODAY(),#REF!)))</f>
        <v/>
      </c>
      <c r="AF27" s="597">
        <f>IFERROR(INDEX(produtos_escape2!M:M,MATCH(Controle!H27,produtos_escape2!A:A,0)),"")</f>
        <v>0</v>
      </c>
    </row>
    <row r="28" spans="1:32" ht="14.25" customHeight="1">
      <c r="A28" s="176" t="s">
        <v>5741</v>
      </c>
      <c r="B28" s="176" t="s">
        <v>7207</v>
      </c>
      <c r="C28" s="177">
        <v>43755</v>
      </c>
      <c r="D28" s="176" t="s">
        <v>7031</v>
      </c>
      <c r="E28" s="176" t="s">
        <v>3009</v>
      </c>
      <c r="F28" s="259" t="s">
        <v>7220</v>
      </c>
      <c r="G28" s="176">
        <v>1</v>
      </c>
      <c r="H28" s="178">
        <v>11635</v>
      </c>
      <c r="I28" s="592">
        <f t="shared" si="0"/>
        <v>1</v>
      </c>
      <c r="J28" s="178" t="s">
        <v>816</v>
      </c>
      <c r="K28" s="178" t="s">
        <v>816</v>
      </c>
      <c r="L28" s="275" t="str">
        <f>IF(H:H=0,"",IF(ISERROR(VLOOKUP(H:H,produtos_escape2!$A$2:$B$2794,2,FALSE)),"Código não cadastrado",(VLOOKUP(H:H,produtos_escape2!$A$2:$B$2794,2,FALSE))))</f>
        <v>ALICATE, Material: aço forjado, Aplicação: crimpar conectores RJ-11, Tipo: grampeador. 1</v>
      </c>
      <c r="M28" s="593" t="str">
        <f>IF(H:H=0,"",IF(ISERROR(VLOOKUP(H:H,produtos_escape2!$A$2:$D$2794,2,FALSE)),"Código não cadastrado",(VLOOKUP(H:H,produtos_escape2!$A$2:$D$2794,4,FALSE))))</f>
        <v>UN</v>
      </c>
      <c r="N28" s="486">
        <v>1</v>
      </c>
      <c r="O28" s="176" t="s">
        <v>5740</v>
      </c>
      <c r="P28" s="486">
        <v>1</v>
      </c>
      <c r="Q28" s="247">
        <v>33.6</v>
      </c>
      <c r="R28" s="246">
        <f t="shared" si="1"/>
        <v>33.6</v>
      </c>
      <c r="S28" s="177">
        <v>43818</v>
      </c>
      <c r="T28" s="182">
        <v>478895</v>
      </c>
      <c r="U28" s="177">
        <v>43819</v>
      </c>
      <c r="V28" s="177">
        <v>43822</v>
      </c>
      <c r="W28" s="177">
        <v>43822</v>
      </c>
      <c r="X28" s="176">
        <v>29376</v>
      </c>
      <c r="Y28" s="177">
        <v>43832</v>
      </c>
      <c r="Z28" s="598" t="s">
        <v>2755</v>
      </c>
      <c r="AA28" s="488"/>
      <c r="AB28" s="594"/>
      <c r="AC28" s="595"/>
      <c r="AD28" s="596" t="str">
        <f>IF(AND(AC28&lt;&gt;"",S28&lt;&gt;""),NETWORKDAYS(AC28,S28,#REF!),"")</f>
        <v/>
      </c>
      <c r="AE28" s="596" t="str">
        <f ca="1">IF(AND(AD28="",AC28=""),"",IF(OR(AD28&lt;&gt;"",O28="*CANCELADO"),"",NETWORKDAYS(AC28,TODAY(),#REF!)))</f>
        <v/>
      </c>
      <c r="AF28" s="597" t="str">
        <f>IFERROR(INDEX(produtos_escape2!M:M,MATCH(Controle!H28,produtos_escape2!A:A,0)),"")</f>
        <v>ALICATE</v>
      </c>
    </row>
    <row r="29" spans="1:32" ht="14.25" customHeight="1">
      <c r="A29" s="176" t="s">
        <v>5741</v>
      </c>
      <c r="B29" s="176" t="s">
        <v>7207</v>
      </c>
      <c r="C29" s="177">
        <v>43755</v>
      </c>
      <c r="D29" s="176" t="s">
        <v>7031</v>
      </c>
      <c r="E29" s="176" t="s">
        <v>3009</v>
      </c>
      <c r="F29" s="259" t="s">
        <v>7220</v>
      </c>
      <c r="G29" s="176">
        <v>2</v>
      </c>
      <c r="H29" s="178">
        <v>13042</v>
      </c>
      <c r="I29" s="592">
        <f t="shared" si="0"/>
        <v>1</v>
      </c>
      <c r="J29" s="178" t="s">
        <v>816</v>
      </c>
      <c r="K29" s="178" t="s">
        <v>816</v>
      </c>
      <c r="L29" s="275" t="str">
        <f>IF(H:H=0,"",IF(ISERROR(VLOOKUP(H:H,produtos_escape2!$A$2:$B$2794,2,FALSE)),"Código não cadastrado",(VLOOKUP(H:H,produtos_escape2!$A$2:$B$2794,2,FALSE))))</f>
        <v>ALICATE UNIVERSAL,Características Adicionais: compontas temperadas , cabo isolado, Comprimento: 200 mm</v>
      </c>
      <c r="M29" s="593" t="str">
        <f>IF(H:H=0,"",IF(ISERROR(VLOOKUP(H:H,produtos_escape2!$A$2:$D$2794,2,FALSE)),"Código não cadastrado",(VLOOKUP(H:H,produtos_escape2!$A$2:$D$2794,4,FALSE))))</f>
        <v>UN</v>
      </c>
      <c r="N29" s="486">
        <v>1</v>
      </c>
      <c r="O29" s="176" t="s">
        <v>4358</v>
      </c>
      <c r="P29" s="486">
        <v>1</v>
      </c>
      <c r="Q29" s="247">
        <v>13.36</v>
      </c>
      <c r="R29" s="246">
        <f t="shared" si="1"/>
        <v>13.36</v>
      </c>
      <c r="S29" s="177">
        <v>43818</v>
      </c>
      <c r="T29" s="182">
        <v>923</v>
      </c>
      <c r="U29" s="177">
        <v>43818</v>
      </c>
      <c r="V29" s="177">
        <v>43823</v>
      </c>
      <c r="W29" s="177">
        <v>43823</v>
      </c>
      <c r="X29" s="176">
        <v>29379</v>
      </c>
      <c r="Y29" s="177">
        <v>43832</v>
      </c>
      <c r="Z29" s="598" t="s">
        <v>2755</v>
      </c>
      <c r="AA29" s="488"/>
      <c r="AB29" s="594"/>
      <c r="AC29" s="595"/>
      <c r="AD29" s="596" t="str">
        <f>IF(AND(AC29&lt;&gt;"",S29&lt;&gt;""),NETWORKDAYS(AC29,S29,#REF!),"")</f>
        <v/>
      </c>
      <c r="AE29" s="596" t="str">
        <f ca="1">IF(AND(AD29="",AC29=""),"",IF(OR(AD29&lt;&gt;"",O29="*CANCELADO"),"",NETWORKDAYS(AC29,TODAY(),#REF!)))</f>
        <v/>
      </c>
      <c r="AF29" s="597" t="str">
        <f>IFERROR(INDEX(produtos_escape2!M:M,MATCH(Controle!H29,produtos_escape2!A:A,0)),"")</f>
        <v>ALICATE UNIVERSAL</v>
      </c>
    </row>
    <row r="30" spans="1:32" ht="14.25" customHeight="1">
      <c r="A30" s="176" t="s">
        <v>5741</v>
      </c>
      <c r="B30" s="176" t="s">
        <v>7207</v>
      </c>
      <c r="C30" s="177">
        <v>43755</v>
      </c>
      <c r="D30" s="176" t="s">
        <v>7031</v>
      </c>
      <c r="E30" s="176" t="s">
        <v>3009</v>
      </c>
      <c r="F30" s="259" t="s">
        <v>7220</v>
      </c>
      <c r="G30" s="176">
        <v>3</v>
      </c>
      <c r="H30" s="178">
        <v>21114</v>
      </c>
      <c r="I30" s="592">
        <f t="shared" si="0"/>
        <v>1</v>
      </c>
      <c r="J30" s="178" t="s">
        <v>816</v>
      </c>
      <c r="K30" s="178" t="s">
        <v>816</v>
      </c>
      <c r="L30" s="275" t="str">
        <f>IF(H:H=0,"",IF(ISERROR(VLOOKUP(H:H,produtos_escape2!$A$2:$B$2794,2,FALSE)),"Código não cadastrado",(VLOOKUP(H:H,produtos_escape2!$A$2:$B$2794,2,FALSE))))</f>
        <v>ALICATE DE BICO, Características Técnicas Mínimas: meia cana, 6 polegadas, ponteira de aço e cabo emborrachado Código do Item: 3.3.90.30.42.02.0109.000001-01</v>
      </c>
      <c r="M30" s="593" t="str">
        <f>IF(H:H=0,"",IF(ISERROR(VLOOKUP(H:H,produtos_escape2!$A$2:$D$2794,2,FALSE)),"Código não cadastrado",(VLOOKUP(H:H,produtos_escape2!$A$2:$D$2794,4,FALSE))))</f>
        <v>UN</v>
      </c>
      <c r="N30" s="486">
        <v>1</v>
      </c>
      <c r="O30" s="176" t="s">
        <v>4358</v>
      </c>
      <c r="P30" s="486">
        <v>1</v>
      </c>
      <c r="Q30" s="247">
        <v>13.09</v>
      </c>
      <c r="R30" s="246">
        <f t="shared" si="1"/>
        <v>13.09</v>
      </c>
      <c r="S30" s="177">
        <v>43818</v>
      </c>
      <c r="T30" s="182">
        <v>923</v>
      </c>
      <c r="U30" s="177">
        <v>43818</v>
      </c>
      <c r="V30" s="177">
        <v>43823</v>
      </c>
      <c r="W30" s="177">
        <v>43823</v>
      </c>
      <c r="X30" s="176">
        <v>29379</v>
      </c>
      <c r="Y30" s="177">
        <v>43832</v>
      </c>
      <c r="Z30" s="598" t="s">
        <v>2755</v>
      </c>
      <c r="AA30" s="488"/>
      <c r="AB30" s="594"/>
      <c r="AC30" s="595"/>
      <c r="AD30" s="596" t="str">
        <f>IF(AND(AC30&lt;&gt;"",S30&lt;&gt;""),NETWORKDAYS(AC30,S30,#REF!),"")</f>
        <v/>
      </c>
      <c r="AE30" s="596" t="str">
        <f ca="1">IF(AND(AD30="",AC30=""),"",IF(OR(AD30&lt;&gt;"",O30="*CANCELADO"),"",NETWORKDAYS(AC30,TODAY(),#REF!)))</f>
        <v/>
      </c>
      <c r="AF30" s="597" t="str">
        <f>IFERROR(INDEX(produtos_escape2!M:M,MATCH(Controle!H30,produtos_escape2!A:A,0)),"")</f>
        <v>ALICATE DE BICO</v>
      </c>
    </row>
    <row r="31" spans="1:32" ht="14.25" customHeight="1">
      <c r="A31" s="176" t="s">
        <v>5741</v>
      </c>
      <c r="B31" s="176" t="s">
        <v>7207</v>
      </c>
      <c r="C31" s="177">
        <v>43755</v>
      </c>
      <c r="D31" s="176" t="s">
        <v>7031</v>
      </c>
      <c r="E31" s="176" t="s">
        <v>3009</v>
      </c>
      <c r="F31" s="259" t="s">
        <v>7220</v>
      </c>
      <c r="G31" s="176">
        <v>4</v>
      </c>
      <c r="H31" s="178">
        <v>27242</v>
      </c>
      <c r="I31" s="592">
        <f t="shared" si="0"/>
        <v>1</v>
      </c>
      <c r="J31" s="178" t="s">
        <v>816</v>
      </c>
      <c r="K31" s="178" t="s">
        <v>816</v>
      </c>
      <c r="L31" s="275" t="str">
        <f>IF(H:H=0,"",IF(ISERROR(VLOOKUP(H:H,produtos_escape2!$A$2:$B$2794,2,FALSE)),"Código não cadastrado",(VLOOKUP(H:H,produtos_escape2!$A$2:$B$2794,2,FALSE))))</f>
        <v>ALICATE DE CORTE DIAGONAL - Fabricado em aço cromo-vanádio, arestas de corte com ajuste preciso, temperadas por indução, cabo antideslizante com abas protetoras para maior conforto.</v>
      </c>
      <c r="M31" s="593" t="str">
        <f>IF(H:H=0,"",IF(ISERROR(VLOOKUP(H:H,produtos_escape2!$A$2:$D$2794,2,FALSE)),"Código não cadastrado",(VLOOKUP(H:H,produtos_escape2!$A$2:$D$2794,4,FALSE))))</f>
        <v>UN</v>
      </c>
      <c r="N31" s="486">
        <v>1</v>
      </c>
      <c r="O31" s="176" t="s">
        <v>5727</v>
      </c>
      <c r="P31" s="486">
        <v>1</v>
      </c>
      <c r="Q31" s="247">
        <v>12</v>
      </c>
      <c r="R31" s="246">
        <f t="shared" si="1"/>
        <v>12</v>
      </c>
      <c r="S31" s="177">
        <v>43818</v>
      </c>
      <c r="T31" s="182">
        <v>7605</v>
      </c>
      <c r="U31" s="177">
        <v>43822</v>
      </c>
      <c r="V31" s="177">
        <v>43822</v>
      </c>
      <c r="W31" s="177">
        <v>43822</v>
      </c>
      <c r="X31" s="415">
        <v>44882</v>
      </c>
      <c r="Y31" s="177">
        <v>43854</v>
      </c>
      <c r="Z31" s="598" t="s">
        <v>2755</v>
      </c>
      <c r="AA31" s="488"/>
      <c r="AB31" s="594"/>
      <c r="AC31" s="595"/>
      <c r="AD31" s="596" t="str">
        <f>IF(AND(AC31&lt;&gt;"",S31&lt;&gt;""),NETWORKDAYS(AC31,S31,#REF!),"")</f>
        <v/>
      </c>
      <c r="AE31" s="596" t="str">
        <f ca="1">IF(AND(AD31="",AC31=""),"",IF(OR(AD31&lt;&gt;"",O31="*CANCELADO"),"",NETWORKDAYS(AC31,TODAY(),#REF!)))</f>
        <v/>
      </c>
      <c r="AF31" s="597" t="str">
        <f>IFERROR(INDEX(produtos_escape2!M:M,MATCH(Controle!H31,produtos_escape2!A:A,0)),"")</f>
        <v>ALICATE DE CORTE</v>
      </c>
    </row>
    <row r="32" spans="1:32" ht="14.25" customHeight="1">
      <c r="A32" s="176" t="s">
        <v>5742</v>
      </c>
      <c r="B32" s="176" t="s">
        <v>7207</v>
      </c>
      <c r="C32" s="177">
        <v>43755</v>
      </c>
      <c r="D32" s="176" t="s">
        <v>7041</v>
      </c>
      <c r="E32" s="176" t="s">
        <v>3009</v>
      </c>
      <c r="F32" s="259" t="s">
        <v>7221</v>
      </c>
      <c r="G32" s="176">
        <v>1</v>
      </c>
      <c r="H32" s="178">
        <v>31330</v>
      </c>
      <c r="I32" s="592">
        <f t="shared" si="0"/>
        <v>1</v>
      </c>
      <c r="J32" s="178" t="s">
        <v>816</v>
      </c>
      <c r="K32" s="178" t="s">
        <v>816</v>
      </c>
      <c r="L32" s="275" t="str">
        <f>IF(H:H=0,"",IF(ISERROR(VLOOKUP(H:H,produtos_escape2!$A$2:$B$2794,2,FALSE)),"Código não cadastrado",(VLOOKUP(H:H,produtos_escape2!$A$2:$B$2794,2,FALSE))))</f>
        <v>JOGO DE CHAVE ALLEN. Aplicação/Finalidade: utilização na manutenção de equipamentos mecânicos. Material/Composição: aço com tratamento superficial oxidado. Tamanho: componentes com 6, 7, 8 e 9,50 mm (milímetros). Características Adicionais: formatos hexagonais, medida referência 1, 27 a 10. Processo de Esterilização: não se aplica. Forma de Apresentação: ferramenta. Prazo de Validade: indeterminado. Unidade de Estoque: jogo - JG.</v>
      </c>
      <c r="M32" s="593" t="str">
        <f>IF(H:H=0,"",IF(ISERROR(VLOOKUP(H:H,produtos_escape2!$A$2:$D$2794,2,FALSE)),"Código não cadastrado",(VLOOKUP(H:H,produtos_escape2!$A$2:$D$2794,4,FALSE))))</f>
        <v>UN</v>
      </c>
      <c r="N32" s="486">
        <v>1</v>
      </c>
      <c r="O32" s="176" t="s">
        <v>5727</v>
      </c>
      <c r="P32" s="486">
        <v>1</v>
      </c>
      <c r="Q32" s="247">
        <v>37.1</v>
      </c>
      <c r="R32" s="246">
        <f t="shared" si="1"/>
        <v>37.1</v>
      </c>
      <c r="S32" s="177">
        <v>43818</v>
      </c>
      <c r="T32" s="182">
        <v>7606</v>
      </c>
      <c r="U32" s="177">
        <v>43822</v>
      </c>
      <c r="V32" s="177">
        <v>43822</v>
      </c>
      <c r="W32" s="177">
        <v>43822</v>
      </c>
      <c r="X32" s="415">
        <v>44894</v>
      </c>
      <c r="Y32" s="177">
        <v>43854</v>
      </c>
      <c r="Z32" s="598" t="s">
        <v>2755</v>
      </c>
      <c r="AA32" s="488"/>
      <c r="AB32" s="594"/>
      <c r="AC32" s="595"/>
      <c r="AD32" s="596" t="str">
        <f>IF(AND(AC32&lt;&gt;"",S32&lt;&gt;""),NETWORKDAYS(AC32,S32,#REF!),"")</f>
        <v/>
      </c>
      <c r="AE32" s="596" t="str">
        <f ca="1">IF(AND(AD32="",AC32=""),"",IF(OR(AD32&lt;&gt;"",O32="*CANCELADO"),"",NETWORKDAYS(AC32,TODAY(),#REF!)))</f>
        <v/>
      </c>
      <c r="AF32" s="597" t="str">
        <f>IFERROR(INDEX(produtos_escape2!M:M,MATCH(Controle!H32,produtos_escape2!A:A,0)),"")</f>
        <v>JOGO DE CHAVE ALLEN</v>
      </c>
    </row>
    <row r="33" spans="1:32" ht="14.25" customHeight="1">
      <c r="A33" s="176" t="s">
        <v>5742</v>
      </c>
      <c r="B33" s="176" t="s">
        <v>7207</v>
      </c>
      <c r="C33" s="177">
        <v>43755</v>
      </c>
      <c r="D33" s="176" t="s">
        <v>7041</v>
      </c>
      <c r="E33" s="176" t="s">
        <v>3009</v>
      </c>
      <c r="F33" s="259" t="s">
        <v>7221</v>
      </c>
      <c r="G33" s="176">
        <v>2</v>
      </c>
      <c r="H33" s="178">
        <v>13354</v>
      </c>
      <c r="I33" s="592">
        <f t="shared" si="0"/>
        <v>1</v>
      </c>
      <c r="J33" s="178" t="s">
        <v>816</v>
      </c>
      <c r="K33" s="178" t="s">
        <v>816</v>
      </c>
      <c r="L33" s="275" t="str">
        <f>IF(H:H=0,"",IF(ISERROR(VLOOKUP(H:H,produtos_escape2!$A$2:$B$2794,2,FALSE)),"Código não cadastrado",(VLOOKUP(H:H,produtos_escape2!$A$2:$B$2794,2,FALSE))))</f>
        <v>CONJUNTO DE CHAVE ESTRELA ,Material: aço cromovanádio, Composição: 09 peças, Medidas: 6/7mm, 10/11mm, 12/13mm, 14/15mm, 18/19mm, 21/23mm, 24/26mm, 24/27mm e 27/32mm., Unidade De Fornecimento: conjunto com 9 peças.</v>
      </c>
      <c r="M33" s="593" t="str">
        <f>IF(H:H=0,"",IF(ISERROR(VLOOKUP(H:H,produtos_escape2!$A$2:$D$2794,2,FALSE)),"Código não cadastrado",(VLOOKUP(H:H,produtos_escape2!$A$2:$D$2794,4,FALSE))))</f>
        <v>CJ</v>
      </c>
      <c r="N33" s="486">
        <v>1</v>
      </c>
      <c r="O33" s="176" t="s">
        <v>1868</v>
      </c>
      <c r="P33" s="486"/>
      <c r="Q33" s="247">
        <v>36.1</v>
      </c>
      <c r="R33" s="246">
        <f t="shared" si="1"/>
        <v>0</v>
      </c>
      <c r="S33" s="177">
        <v>43818</v>
      </c>
      <c r="T33" s="182"/>
      <c r="U33" s="177"/>
      <c r="V33" s="177"/>
      <c r="W33" s="177"/>
      <c r="X33" s="176"/>
      <c r="Y33" s="177"/>
      <c r="Z33" s="598" t="s">
        <v>2755</v>
      </c>
      <c r="AA33" s="488" t="s">
        <v>7286</v>
      </c>
      <c r="AB33" s="594"/>
      <c r="AC33" s="595"/>
      <c r="AD33" s="596" t="str">
        <f>IF(AND(AC33&lt;&gt;"",S33&lt;&gt;""),NETWORKDAYS(AC33,S33,#REF!),"")</f>
        <v/>
      </c>
      <c r="AE33" s="596" t="str">
        <f ca="1">IF(AND(AD33="",AC33=""),"",IF(OR(AD33&lt;&gt;"",O33="*CANCELADO"),"",NETWORKDAYS(AC33,TODAY(),#REF!)))</f>
        <v/>
      </c>
      <c r="AF33" s="597" t="str">
        <f>IFERROR(INDEX(produtos_escape2!M:M,MATCH(Controle!H33,produtos_escape2!A:A,0)),"")</f>
        <v>CONJUNTO DE CHAVE ESTRELA</v>
      </c>
    </row>
    <row r="34" spans="1:32" ht="14.25" customHeight="1">
      <c r="A34" s="176" t="s">
        <v>5742</v>
      </c>
      <c r="B34" s="176" t="s">
        <v>7207</v>
      </c>
      <c r="C34" s="177">
        <v>43755</v>
      </c>
      <c r="D34" s="176" t="s">
        <v>7041</v>
      </c>
      <c r="E34" s="176" t="s">
        <v>3009</v>
      </c>
      <c r="F34" s="259" t="s">
        <v>7221</v>
      </c>
      <c r="G34" s="176">
        <v>3</v>
      </c>
      <c r="H34" s="178">
        <v>13024</v>
      </c>
      <c r="I34" s="592">
        <f t="shared" si="0"/>
        <v>2</v>
      </c>
      <c r="J34" s="178" t="s">
        <v>816</v>
      </c>
      <c r="K34" s="178" t="s">
        <v>816</v>
      </c>
      <c r="L34" s="275" t="str">
        <f>IF(H:H=0,"",IF(ISERROR(VLOOKUP(H:H,produtos_escape2!$A$2:$B$2794,2,FALSE)),"Código não cadastrado",(VLOOKUP(H:H,produtos_escape2!$A$2:$B$2794,2,FALSE))))</f>
        <v>CONJUNTO CHAVE DE FENDA,Material: aço cromo vanádio, Material Haste: niquelada, Material Cabo: polipropileno, Quantidade Peças: 6, Dimensões: 4,50 x 80 mm; 4,50 x 100 mm; 6 x 150 mm; 8 x 150mm; 8 x 200 mm; 10 x 150 mm, Tipo: cruzada (philips), Unidade De Fornecimento: conjunto com 6 peças</v>
      </c>
      <c r="M34" s="593" t="str">
        <f>IF(H:H=0,"",IF(ISERROR(VLOOKUP(H:H,produtos_escape2!$A$2:$D$2794,2,FALSE)),"Código não cadastrado",(VLOOKUP(H:H,produtos_escape2!$A$2:$D$2794,4,FALSE))))</f>
        <v>UN</v>
      </c>
      <c r="N34" s="486">
        <v>1</v>
      </c>
      <c r="O34" s="176" t="s">
        <v>1868</v>
      </c>
      <c r="P34" s="486"/>
      <c r="Q34" s="247">
        <v>37.51</v>
      </c>
      <c r="R34" s="246">
        <f t="shared" si="1"/>
        <v>0</v>
      </c>
      <c r="S34" s="177">
        <v>43818</v>
      </c>
      <c r="T34" s="182"/>
      <c r="U34" s="177"/>
      <c r="V34" s="177"/>
      <c r="W34" s="177"/>
      <c r="X34" s="176"/>
      <c r="Y34" s="177"/>
      <c r="Z34" s="598" t="s">
        <v>2755</v>
      </c>
      <c r="AA34" s="488" t="s">
        <v>7287</v>
      </c>
      <c r="AB34" s="594"/>
      <c r="AC34" s="595"/>
      <c r="AD34" s="596" t="str">
        <f>IF(AND(AC34&lt;&gt;"",S34&lt;&gt;""),NETWORKDAYS(AC34,S34,#REF!),"")</f>
        <v/>
      </c>
      <c r="AE34" s="596" t="str">
        <f ca="1">IF(AND(AD34="",AC34=""),"",IF(OR(AD34&lt;&gt;"",O34="*CANCELADO"),"",NETWORKDAYS(AC34,TODAY(),#REF!)))</f>
        <v/>
      </c>
      <c r="AF34" s="597" t="str">
        <f>IFERROR(INDEX(produtos_escape2!M:M,MATCH(Controle!H34,produtos_escape2!A:A,0)),"")</f>
        <v>CONJUNTO DE CHAVE DE FENDA</v>
      </c>
    </row>
    <row r="35" spans="1:32" ht="14.25" customHeight="1">
      <c r="A35" s="176" t="s">
        <v>5742</v>
      </c>
      <c r="B35" s="176" t="s">
        <v>7207</v>
      </c>
      <c r="C35" s="177">
        <v>43755</v>
      </c>
      <c r="D35" s="176" t="s">
        <v>7041</v>
      </c>
      <c r="E35" s="176" t="s">
        <v>3009</v>
      </c>
      <c r="F35" s="259" t="s">
        <v>7221</v>
      </c>
      <c r="G35" s="176">
        <v>4</v>
      </c>
      <c r="H35" s="178">
        <v>2215</v>
      </c>
      <c r="I35" s="592">
        <f t="shared" si="0"/>
        <v>1</v>
      </c>
      <c r="J35" s="178" t="s">
        <v>816</v>
      </c>
      <c r="K35" s="178" t="s">
        <v>816</v>
      </c>
      <c r="L35" s="275" t="str">
        <f>IF(H:H=0,"",IF(ISERROR(VLOOKUP(H:H,produtos_escape2!$A$2:$B$2794,2,FALSE)),"Código não cadastrado",(VLOOKUP(H:H,produtos_escape2!$A$2:$B$2794,2,FALSE))))</f>
        <v>JOGO DE CHAVE DE BOCA</v>
      </c>
      <c r="M35" s="593" t="str">
        <f>IF(H:H=0,"",IF(ISERROR(VLOOKUP(H:H,produtos_escape2!$A$2:$D$2794,2,FALSE)),"Código não cadastrado",(VLOOKUP(H:H,produtos_escape2!$A$2:$D$2794,4,FALSE))))</f>
        <v>JG</v>
      </c>
      <c r="N35" s="486">
        <v>1</v>
      </c>
      <c r="O35" s="176" t="s">
        <v>5727</v>
      </c>
      <c r="P35" s="486">
        <v>1</v>
      </c>
      <c r="Q35" s="247">
        <v>53</v>
      </c>
      <c r="R35" s="246">
        <f t="shared" si="1"/>
        <v>53</v>
      </c>
      <c r="S35" s="177">
        <v>43818</v>
      </c>
      <c r="T35" s="182">
        <v>7606</v>
      </c>
      <c r="U35" s="177">
        <v>43822</v>
      </c>
      <c r="V35" s="177">
        <v>43822</v>
      </c>
      <c r="W35" s="177">
        <v>43822</v>
      </c>
      <c r="X35" s="415">
        <v>44894</v>
      </c>
      <c r="Y35" s="177">
        <v>43854</v>
      </c>
      <c r="Z35" s="598" t="s">
        <v>2755</v>
      </c>
      <c r="AA35" s="488"/>
      <c r="AB35" s="594"/>
      <c r="AC35" s="595"/>
      <c r="AD35" s="596" t="str">
        <f>IF(AND(AC35&lt;&gt;"",S35&lt;&gt;""),NETWORKDAYS(AC35,S35,#REF!),"")</f>
        <v/>
      </c>
      <c r="AE35" s="596" t="str">
        <f ca="1">IF(AND(AD35="",AC35=""),"",IF(OR(AD35&lt;&gt;"",O35="*CANCELADO"),"",NETWORKDAYS(AC35,TODAY(),#REF!)))</f>
        <v/>
      </c>
      <c r="AF35" s="597" t="str">
        <f>IFERROR(INDEX(produtos_escape2!M:M,MATCH(Controle!H35,produtos_escape2!A:A,0)),"")</f>
        <v>JOGO DE CHAVE DE BOCA</v>
      </c>
    </row>
    <row r="36" spans="1:32" ht="14.25" customHeight="1">
      <c r="A36" s="176" t="s">
        <v>5749</v>
      </c>
      <c r="B36" s="176" t="s">
        <v>7207</v>
      </c>
      <c r="C36" s="177">
        <v>43755</v>
      </c>
      <c r="D36" s="176" t="s">
        <v>7049</v>
      </c>
      <c r="E36" s="176" t="s">
        <v>3009</v>
      </c>
      <c r="F36" s="259" t="s">
        <v>7222</v>
      </c>
      <c r="G36" s="176">
        <v>1</v>
      </c>
      <c r="H36" s="178">
        <v>15962</v>
      </c>
      <c r="I36" s="592">
        <f t="shared" si="0"/>
        <v>2</v>
      </c>
      <c r="J36" s="178" t="s">
        <v>816</v>
      </c>
      <c r="K36" s="178" t="s">
        <v>816</v>
      </c>
      <c r="L36" s="275" t="str">
        <f>IF(H:H=0,"",IF(ISERROR(VLOOKUP(H:H,produtos_escape2!$A$2:$B$2794,2,FALSE)),"Código não cadastrado",(VLOOKUP(H:H,produtos_escape2!$A$2:$B$2794,2,FALSE))))</f>
        <v>COLCHAO HOSPITALAR REVESTIDO EM NAPA COR CINZA C/ESPUMA DE 10CM E DENSIDADE D28 TAMANHO 80X1,90CM 1</v>
      </c>
      <c r="M36" s="593" t="str">
        <f>IF(H:H=0,"",IF(ISERROR(VLOOKUP(H:H,produtos_escape2!$A$2:$D$2794,2,FALSE)),"Código não cadastrado",(VLOOKUP(H:H,produtos_escape2!$A$2:$D$2794,4,FALSE))))</f>
        <v>UN</v>
      </c>
      <c r="N36" s="486">
        <v>150</v>
      </c>
      <c r="O36" s="176" t="s">
        <v>3530</v>
      </c>
      <c r="P36" s="486">
        <v>30</v>
      </c>
      <c r="Q36" s="247">
        <v>182</v>
      </c>
      <c r="R36" s="246">
        <f t="shared" si="1"/>
        <v>5460</v>
      </c>
      <c r="S36" s="177">
        <v>43818</v>
      </c>
      <c r="T36" s="182">
        <v>813</v>
      </c>
      <c r="U36" s="177">
        <v>43836</v>
      </c>
      <c r="V36" s="177">
        <v>43837</v>
      </c>
      <c r="W36" s="177">
        <v>43837</v>
      </c>
      <c r="X36" s="415">
        <v>44877</v>
      </c>
      <c r="Y36" s="177">
        <v>43854</v>
      </c>
      <c r="Z36" s="598" t="s">
        <v>2755</v>
      </c>
      <c r="AA36" s="488"/>
      <c r="AB36" s="594"/>
      <c r="AC36" s="595"/>
      <c r="AD36" s="596" t="str">
        <f>IF(AND(AC36&lt;&gt;"",S36&lt;&gt;""),NETWORKDAYS(AC36,S36,#REF!),"")</f>
        <v/>
      </c>
      <c r="AE36" s="596" t="str">
        <f ca="1">IF(AND(AD36="",AC36=""),"",IF(OR(AD36&lt;&gt;"",O36="*CANCELADO"),"",NETWORKDAYS(AC36,TODAY(),#REF!)))</f>
        <v/>
      </c>
      <c r="AF36" s="597" t="str">
        <f>IFERROR(INDEX(produtos_escape2!M:M,MATCH(Controle!H36,produtos_escape2!A:A,0)),"")</f>
        <v>COLCHÃO HOSPITALAR</v>
      </c>
    </row>
    <row r="37" spans="1:32" ht="14.25" customHeight="1">
      <c r="A37" s="176" t="s">
        <v>6755</v>
      </c>
      <c r="B37" s="176" t="s">
        <v>3608</v>
      </c>
      <c r="C37" s="177">
        <v>43770</v>
      </c>
      <c r="D37" s="176" t="s">
        <v>7083</v>
      </c>
      <c r="E37" s="176" t="s">
        <v>1866</v>
      </c>
      <c r="F37" s="259" t="s">
        <v>7223</v>
      </c>
      <c r="G37" s="176">
        <v>1</v>
      </c>
      <c r="H37" s="178">
        <v>95244</v>
      </c>
      <c r="I37" s="592">
        <f t="shared" si="0"/>
        <v>2</v>
      </c>
      <c r="J37" s="178" t="s">
        <v>816</v>
      </c>
      <c r="K37" s="178" t="s">
        <v>816</v>
      </c>
      <c r="L37" s="275" t="str">
        <f>IF(H:H=0,"",IF(ISERROR(VLOOKUP(H:H,produtos_escape2!$A$2:$B$2794,2,FALSE)),"Código não cadastrado",(VLOOKUP(H:H,produtos_escape2!$A$2:$B$2794,2,FALSE))))</f>
        <v>CONJUNTO PARA DETERMINAÇÃO DE DOENÇA DE CHAGAS - REACAO HEMAGLUTINAÇAO INDIRETA</v>
      </c>
      <c r="M37" s="593" t="str">
        <f>IF(H:H=0,"",IF(ISERROR(VLOOKUP(H:H,produtos_escape2!$A$2:$D$2794,2,FALSE)),"Código não cadastrado",(VLOOKUP(H:H,produtos_escape2!$A$2:$D$2794,4,FALSE))))</f>
        <v>TE</v>
      </c>
      <c r="N37" s="486">
        <v>400</v>
      </c>
      <c r="O37" s="176" t="s">
        <v>4380</v>
      </c>
      <c r="P37" s="486">
        <v>384</v>
      </c>
      <c r="Q37" s="247">
        <v>0.7</v>
      </c>
      <c r="R37" s="246">
        <f t="shared" si="1"/>
        <v>268.79999999999995</v>
      </c>
      <c r="S37" s="177">
        <v>43774</v>
      </c>
      <c r="T37" s="182">
        <v>216203</v>
      </c>
      <c r="U37" s="177">
        <v>44140</v>
      </c>
      <c r="V37" s="177">
        <v>43853</v>
      </c>
      <c r="W37" s="177">
        <v>43853</v>
      </c>
      <c r="X37" s="415">
        <v>44898</v>
      </c>
      <c r="Y37" s="177">
        <v>43854</v>
      </c>
      <c r="Z37" s="598" t="s">
        <v>2755</v>
      </c>
      <c r="AA37" s="488"/>
      <c r="AB37" s="594"/>
      <c r="AC37" s="595"/>
      <c r="AD37" s="596" t="str">
        <f>IF(AND(AC37&lt;&gt;"",S37&lt;&gt;""),NETWORKDAYS(AC37,S37,#REF!),"")</f>
        <v/>
      </c>
      <c r="AE37" s="596" t="str">
        <f ca="1">IF(AND(AD37="",AC37=""),"",IF(OR(AD37&lt;&gt;"",O37="*CANCELADO"),"",NETWORKDAYS(AC37,TODAY(),#REF!)))</f>
        <v/>
      </c>
      <c r="AF37" s="597" t="str">
        <f>IFERROR(INDEX(produtos_escape2!M:M,MATCH(Controle!H37,produtos_escape2!A:A,0)),"")</f>
        <v>CONJUNTO PARA DETERMINAÇÃO DE DOENÇA DE CHAGAS</v>
      </c>
    </row>
    <row r="38" spans="1:32" ht="14.25" customHeight="1">
      <c r="A38" s="176" t="s">
        <v>6765</v>
      </c>
      <c r="B38" s="176" t="s">
        <v>3608</v>
      </c>
      <c r="C38" s="177">
        <v>43770</v>
      </c>
      <c r="D38" s="176" t="s">
        <v>7084</v>
      </c>
      <c r="E38" s="176" t="s">
        <v>3009</v>
      </c>
      <c r="F38" s="259" t="s">
        <v>7224</v>
      </c>
      <c r="G38" s="176">
        <v>2</v>
      </c>
      <c r="H38" s="178">
        <v>90534</v>
      </c>
      <c r="I38" s="592">
        <f t="shared" si="0"/>
        <v>1</v>
      </c>
      <c r="J38" s="178" t="s">
        <v>816</v>
      </c>
      <c r="K38" s="178" t="s">
        <v>816</v>
      </c>
      <c r="L38" s="275" t="str">
        <f>IF(H:H=0,"",IF(ISERROR(VLOOKUP(H:H,produtos_escape2!$A$2:$B$2794,2,FALSE)),"Código não cadastrado",(VLOOKUP(H:H,produtos_escape2!$A$2:$B$2794,2,FALSE))))</f>
        <v xml:space="preserve">ACIDO TRANEXAMICO COMPRIMIDO 250 MG  </v>
      </c>
      <c r="M38" s="593" t="str">
        <f>IF(H:H=0,"",IF(ISERROR(VLOOKUP(H:H,produtos_escape2!$A$2:$D$2794,2,FALSE)),"Código não cadastrado",(VLOOKUP(H:H,produtos_escape2!$A$2:$D$2794,4,FALSE))))</f>
        <v>CP</v>
      </c>
      <c r="N38" s="486">
        <v>200</v>
      </c>
      <c r="O38" s="176" t="s">
        <v>1868</v>
      </c>
      <c r="P38" s="486"/>
      <c r="Q38" s="247">
        <v>0.61250000000000004</v>
      </c>
      <c r="R38" s="246">
        <f t="shared" si="1"/>
        <v>0</v>
      </c>
      <c r="S38" s="177">
        <v>43787</v>
      </c>
      <c r="T38" s="182"/>
      <c r="U38" s="177"/>
      <c r="V38" s="177"/>
      <c r="W38" s="177"/>
      <c r="X38" s="176"/>
      <c r="Y38" s="177"/>
      <c r="Z38" s="598" t="s">
        <v>2755</v>
      </c>
      <c r="AA38" s="488" t="s">
        <v>7296</v>
      </c>
      <c r="AB38" s="594"/>
      <c r="AC38" s="595"/>
      <c r="AD38" s="596" t="str">
        <f>IF(AND(AC38&lt;&gt;"",S38&lt;&gt;""),NETWORKDAYS(AC38,S38,#REF!),"")</f>
        <v/>
      </c>
      <c r="AE38" s="596" t="str">
        <f ca="1">IF(AND(AD38="",AC38=""),"",IF(OR(AD38&lt;&gt;"",O38="*CANCELADO"),"",NETWORKDAYS(AC38,TODAY(),#REF!)))</f>
        <v/>
      </c>
      <c r="AF38" s="597" t="str">
        <f>IFERROR(INDEX(produtos_escape2!M:M,MATCH(Controle!H38,produtos_escape2!A:A,0)),"")</f>
        <v xml:space="preserve">ACIDO TRANEXAMICO COMPRIMIDO 250 MG  </v>
      </c>
    </row>
    <row r="39" spans="1:32" ht="14.25" customHeight="1">
      <c r="A39" s="176" t="s">
        <v>6765</v>
      </c>
      <c r="B39" s="176" t="s">
        <v>3608</v>
      </c>
      <c r="C39" s="177">
        <v>43770</v>
      </c>
      <c r="D39" s="176" t="s">
        <v>7084</v>
      </c>
      <c r="E39" s="176" t="s">
        <v>3009</v>
      </c>
      <c r="F39" s="259" t="s">
        <v>7224</v>
      </c>
      <c r="G39" s="176">
        <v>3</v>
      </c>
      <c r="H39" s="178">
        <v>90159</v>
      </c>
      <c r="I39" s="592">
        <f t="shared" si="0"/>
        <v>4</v>
      </c>
      <c r="J39" s="178" t="s">
        <v>816</v>
      </c>
      <c r="K39" s="178" t="s">
        <v>816</v>
      </c>
      <c r="L39" s="275" t="str">
        <f>IF(H:H=0,"",IF(ISERROR(VLOOKUP(H:H,produtos_escape2!$A$2:$B$2794,2,FALSE)),"Código não cadastrado",(VLOOKUP(H:H,produtos_escape2!$A$2:$B$2794,2,FALSE))))</f>
        <v>DILTIAZEM (CLORIDRATO) COMPRIMIDO 60 MG</v>
      </c>
      <c r="M39" s="593" t="str">
        <f>IF(H:H=0,"",IF(ISERROR(VLOOKUP(H:H,produtos_escape2!$A$2:$D$2794,2,FALSE)),"Código não cadastrado",(VLOOKUP(H:H,produtos_escape2!$A$2:$D$2794,4,FALSE))))</f>
        <v>CP</v>
      </c>
      <c r="N39" s="486">
        <v>300</v>
      </c>
      <c r="O39" s="176" t="s">
        <v>1868</v>
      </c>
      <c r="P39" s="486"/>
      <c r="Q39" s="247">
        <v>0.1464</v>
      </c>
      <c r="R39" s="246">
        <f t="shared" si="1"/>
        <v>0</v>
      </c>
      <c r="S39" s="177">
        <v>43787</v>
      </c>
      <c r="T39" s="182"/>
      <c r="U39" s="177"/>
      <c r="V39" s="177"/>
      <c r="W39" s="177"/>
      <c r="X39" s="176"/>
      <c r="Y39" s="177"/>
      <c r="Z39" s="598" t="s">
        <v>2755</v>
      </c>
      <c r="AA39" s="599" t="s">
        <v>7297</v>
      </c>
      <c r="AB39" s="594"/>
      <c r="AC39" s="595"/>
      <c r="AD39" s="596" t="str">
        <f>IF(AND(AC39&lt;&gt;"",S39&lt;&gt;""),NETWORKDAYS(AC39,S39,#REF!),"")</f>
        <v/>
      </c>
      <c r="AE39" s="596" t="str">
        <f ca="1">IF(AND(AD39="",AC39=""),"",IF(OR(AD39&lt;&gt;"",O39="*CANCELADO"),"",NETWORKDAYS(AC39,TODAY(),#REF!)))</f>
        <v/>
      </c>
      <c r="AF39" s="597" t="str">
        <f>IFERROR(INDEX(produtos_escape2!M:M,MATCH(Controle!H39,produtos_escape2!A:A,0)),"")</f>
        <v>DILTIAZEM (CLORIDRATO) COMPRIMIDO 60 MG</v>
      </c>
    </row>
    <row r="40" spans="1:32" ht="14.25" customHeight="1">
      <c r="A40" s="176" t="s">
        <v>6754</v>
      </c>
      <c r="B40" s="176" t="s">
        <v>3608</v>
      </c>
      <c r="C40" s="177">
        <v>43770</v>
      </c>
      <c r="D40" s="176" t="s">
        <v>7085</v>
      </c>
      <c r="E40" s="176" t="s">
        <v>3009</v>
      </c>
      <c r="F40" s="259" t="s">
        <v>7225</v>
      </c>
      <c r="G40" s="176">
        <v>3</v>
      </c>
      <c r="H40" s="178">
        <v>92444</v>
      </c>
      <c r="I40" s="592">
        <f t="shared" si="0"/>
        <v>2</v>
      </c>
      <c r="J40" s="178" t="s">
        <v>816</v>
      </c>
      <c r="K40" s="178" t="s">
        <v>816</v>
      </c>
      <c r="L40" s="275" t="str">
        <f>IF(H:H=0,"",IF(ISERROR(VLOOKUP(H:H,produtos_escape2!$A$2:$B$2794,2,FALSE)),"Código não cadastrado",(VLOOKUP(H:H,produtos_escape2!$A$2:$B$2794,2,FALSE))))</f>
        <v>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v>
      </c>
      <c r="M40" s="593" t="str">
        <f>IF(H:H=0,"",IF(ISERROR(VLOOKUP(H:H,produtos_escape2!$A$2:$D$2794,2,FALSE)),"Código não cadastrado",(VLOOKUP(H:H,produtos_escape2!$A$2:$D$2794,4,FALSE))))</f>
        <v>UN</v>
      </c>
      <c r="N40" s="486">
        <v>50</v>
      </c>
      <c r="O40" s="176" t="s">
        <v>4357</v>
      </c>
      <c r="P40" s="486">
        <v>50</v>
      </c>
      <c r="Q40" s="247">
        <v>2.34</v>
      </c>
      <c r="R40" s="246">
        <f t="shared" si="1"/>
        <v>117</v>
      </c>
      <c r="S40" s="177">
        <v>43787</v>
      </c>
      <c r="T40" s="182">
        <v>1100</v>
      </c>
      <c r="U40" s="177">
        <v>43788</v>
      </c>
      <c r="V40" s="177">
        <v>43802</v>
      </c>
      <c r="W40" s="177">
        <v>43825</v>
      </c>
      <c r="X40" s="176">
        <v>29368</v>
      </c>
      <c r="Y40" s="177">
        <v>43832</v>
      </c>
      <c r="Z40" s="598" t="s">
        <v>2755</v>
      </c>
      <c r="AA40" s="488"/>
      <c r="AB40" s="594"/>
      <c r="AC40" s="595"/>
      <c r="AD40" s="596" t="str">
        <f>IF(AND(AC40&lt;&gt;"",S40&lt;&gt;""),NETWORKDAYS(AC40,S40,#REF!),"")</f>
        <v/>
      </c>
      <c r="AE40" s="596" t="str">
        <f ca="1">IF(AND(AD40="",AC40=""),"",IF(OR(AD40&lt;&gt;"",O40="*CANCELADO"),"",NETWORKDAYS(AC40,TODAY(),#REF!)))</f>
        <v/>
      </c>
      <c r="AF40" s="597" t="str">
        <f>IFERROR(INDEX(produtos_escape2!M:M,MATCH(Controle!H40,produtos_escape2!A:A,0)),"")</f>
        <v>SONDA DE FOLEY 2 VIAS LÁTEX  Nº 12</v>
      </c>
    </row>
    <row r="41" spans="1:32" ht="14.25" customHeight="1">
      <c r="A41" s="176" t="s">
        <v>5755</v>
      </c>
      <c r="B41" s="176" t="s">
        <v>7207</v>
      </c>
      <c r="C41" s="177">
        <v>43770</v>
      </c>
      <c r="D41" s="176" t="s">
        <v>7086</v>
      </c>
      <c r="E41" s="176" t="s">
        <v>3009</v>
      </c>
      <c r="F41" s="259" t="s">
        <v>7226</v>
      </c>
      <c r="G41" s="176">
        <v>1</v>
      </c>
      <c r="H41" s="178">
        <v>19343</v>
      </c>
      <c r="I41" s="592">
        <f t="shared" si="0"/>
        <v>4</v>
      </c>
      <c r="J41" s="178" t="s">
        <v>816</v>
      </c>
      <c r="K41" s="178" t="s">
        <v>816</v>
      </c>
      <c r="L41" s="275" t="str">
        <f>IF(H:H=0,"",IF(ISERROR(VLOOKUP(H:H,produtos_escape2!$A$2:$B$2794,2,FALSE)),"Código não cadastrado",(VLOOKUP(H:H,produtos_escape2!$A$2:$B$2794,2,FALSE))))</f>
        <v>DISCO COMPACTO, Capacidade: CD R, 700 Mb, Tempo Duração: 80 min, Características Adicionais: gravável, Unidade de Fornecimento: envelope com 1 unidade</v>
      </c>
      <c r="M41" s="593" t="str">
        <f>IF(H:H=0,"",IF(ISERROR(VLOOKUP(H:H,produtos_escape2!$A$2:$D$2794,2,FALSE)),"Código não cadastrado",(VLOOKUP(H:H,produtos_escape2!$A$2:$D$2794,4,FALSE))))</f>
        <v>UIN</v>
      </c>
      <c r="N41" s="486">
        <v>1000</v>
      </c>
      <c r="O41" s="176" t="s">
        <v>1868</v>
      </c>
      <c r="P41" s="486"/>
      <c r="Q41" s="247">
        <v>0.67</v>
      </c>
      <c r="R41" s="246">
        <f t="shared" si="1"/>
        <v>0</v>
      </c>
      <c r="S41" s="177">
        <v>43818</v>
      </c>
      <c r="T41" s="182"/>
      <c r="U41" s="177"/>
      <c r="V41" s="177"/>
      <c r="W41" s="177"/>
      <c r="X41" s="176"/>
      <c r="Y41" s="177"/>
      <c r="Z41" s="598" t="s">
        <v>2755</v>
      </c>
      <c r="AA41" s="488" t="s">
        <v>7245</v>
      </c>
      <c r="AB41" s="594"/>
      <c r="AC41" s="595"/>
      <c r="AD41" s="596" t="str">
        <f>IF(AND(AC41&lt;&gt;"",S41&lt;&gt;""),NETWORKDAYS(AC41,S41,#REF!),"")</f>
        <v/>
      </c>
      <c r="AE41" s="596" t="str">
        <f ca="1">IF(AND(AD41="",AC41=""),"",IF(OR(AD41&lt;&gt;"",O41="*CANCELADO"),"",NETWORKDAYS(AC41,TODAY(),#REF!)))</f>
        <v/>
      </c>
      <c r="AF41" s="597" t="str">
        <f>IFERROR(INDEX(produtos_escape2!M:M,MATCH(Controle!H41,produtos_escape2!A:A,0)),"")</f>
        <v>DISCO CD-R GRAVÁVEL</v>
      </c>
    </row>
    <row r="42" spans="1:32" ht="14.25" customHeight="1">
      <c r="A42" s="176" t="s">
        <v>6768</v>
      </c>
      <c r="B42" s="176" t="s">
        <v>3608</v>
      </c>
      <c r="C42" s="177">
        <v>43782</v>
      </c>
      <c r="D42" s="176" t="s">
        <v>7110</v>
      </c>
      <c r="E42" s="176" t="s">
        <v>1865</v>
      </c>
      <c r="F42" s="259" t="s">
        <v>7227</v>
      </c>
      <c r="G42" s="176">
        <v>1</v>
      </c>
      <c r="H42" s="178">
        <v>90949</v>
      </c>
      <c r="I42" s="592">
        <f t="shared" si="0"/>
        <v>9</v>
      </c>
      <c r="J42" s="178" t="s">
        <v>816</v>
      </c>
      <c r="K42" s="178" t="s">
        <v>816</v>
      </c>
      <c r="L42" s="275" t="str">
        <f>IF(H:H=0,"",IF(ISERROR(VLOOKUP(H:H,produtos_escape2!$A$2:$B$2794,2,FALSE)),"Código não cadastrado",(VLOOKUP(H:H,produtos_escape2!$A$2:$B$2794,2,FALSE))))</f>
        <v>ONDANSETRONA SOLUÇAO INJETAVEL 2 MG/ML AMPOLA 4 ML</v>
      </c>
      <c r="M42" s="593" t="str">
        <f>IF(H:H=0,"",IF(ISERROR(VLOOKUP(H:H,produtos_escape2!$A$2:$D$2794,2,FALSE)),"Código não cadastrado",(VLOOKUP(H:H,produtos_escape2!$A$2:$D$2794,4,FALSE))))</f>
        <v>AMP</v>
      </c>
      <c r="N42" s="600">
        <v>2000</v>
      </c>
      <c r="O42" s="176" t="s">
        <v>1868</v>
      </c>
      <c r="P42" s="486"/>
      <c r="Q42" s="247">
        <v>1.27</v>
      </c>
      <c r="R42" s="246">
        <f t="shared" si="1"/>
        <v>0</v>
      </c>
      <c r="S42" s="177">
        <v>43791</v>
      </c>
      <c r="T42" s="182"/>
      <c r="U42" s="177"/>
      <c r="V42" s="177"/>
      <c r="W42" s="177"/>
      <c r="X42" s="176"/>
      <c r="Y42" s="177"/>
      <c r="Z42" s="598" t="s">
        <v>2755</v>
      </c>
      <c r="AA42" s="488" t="s">
        <v>7298</v>
      </c>
      <c r="AB42" s="594"/>
      <c r="AC42" s="595"/>
      <c r="AD42" s="596" t="str">
        <f>IF(AND(AC42&lt;&gt;"",S42&lt;&gt;""),NETWORKDAYS(AC42,S42,#REF!),"")</f>
        <v/>
      </c>
      <c r="AE42" s="596" t="str">
        <f ca="1">IF(AND(AD42="",AC42=""),"",IF(OR(AD42&lt;&gt;"",O42="*CANCELADO"),"",NETWORKDAYS(AC42,TODAY(),#REF!)))</f>
        <v/>
      </c>
      <c r="AF42" s="597" t="str">
        <f>IFERROR(INDEX(produtos_escape2!M:M,MATCH(Controle!H42,produtos_escape2!A:A,0)),"")</f>
        <v>ONDANSETRONA SOLUÇAO INJETAVEL 2 MG/ML AMPOLA 4 ML</v>
      </c>
    </row>
    <row r="43" spans="1:32" ht="14.25" customHeight="1">
      <c r="A43" s="176" t="s">
        <v>6768</v>
      </c>
      <c r="B43" s="176" t="s">
        <v>3608</v>
      </c>
      <c r="C43" s="177">
        <v>43782</v>
      </c>
      <c r="D43" s="176" t="s">
        <v>7110</v>
      </c>
      <c r="E43" s="176" t="s">
        <v>1865</v>
      </c>
      <c r="F43" s="259" t="s">
        <v>7227</v>
      </c>
      <c r="G43" s="176">
        <v>2</v>
      </c>
      <c r="H43" s="178">
        <v>90291</v>
      </c>
      <c r="I43" s="592">
        <f t="shared" si="0"/>
        <v>6</v>
      </c>
      <c r="J43" s="178" t="s">
        <v>816</v>
      </c>
      <c r="K43" s="178" t="s">
        <v>816</v>
      </c>
      <c r="L43" s="275" t="str">
        <f>IF(H:H=0,"",IF(ISERROR(VLOOKUP(H:H,produtos_escape2!$A$2:$B$2794,2,FALSE)),"Código não cadastrado",(VLOOKUP(H:H,produtos_escape2!$A$2:$B$2794,2,FALSE))))</f>
        <v>PROPANOLOL (CLORIDRATO) COMPRIMIDO 40 MG</v>
      </c>
      <c r="M43" s="593" t="str">
        <f>IF(H:H=0,"",IF(ISERROR(VLOOKUP(H:H,produtos_escape2!$A$2:$D$2794,2,FALSE)),"Código não cadastrado",(VLOOKUP(H:H,produtos_escape2!$A$2:$D$2794,4,FALSE))))</f>
        <v>CP</v>
      </c>
      <c r="N43" s="600">
        <v>500</v>
      </c>
      <c r="O43" s="176" t="s">
        <v>1868</v>
      </c>
      <c r="P43" s="486"/>
      <c r="Q43" s="247">
        <v>2.7E-2</v>
      </c>
      <c r="R43" s="246">
        <f t="shared" si="1"/>
        <v>0</v>
      </c>
      <c r="S43" s="177">
        <v>43791</v>
      </c>
      <c r="T43" s="182"/>
      <c r="U43" s="177"/>
      <c r="V43" s="177"/>
      <c r="W43" s="177"/>
      <c r="X43" s="176"/>
      <c r="Y43" s="177"/>
      <c r="Z43" s="598" t="s">
        <v>2755</v>
      </c>
      <c r="AA43" s="488" t="s">
        <v>7299</v>
      </c>
      <c r="AB43" s="594"/>
      <c r="AC43" s="595"/>
      <c r="AD43" s="596" t="str">
        <f>IF(AND(AC43&lt;&gt;"",S43&lt;&gt;""),NETWORKDAYS(AC43,S43,#REF!),"")</f>
        <v/>
      </c>
      <c r="AE43" s="596" t="str">
        <f ca="1">IF(AND(AD43="",AC43=""),"",IF(OR(AD43&lt;&gt;"",O43="*CANCELADO"),"",NETWORKDAYS(AC43,TODAY(),#REF!)))</f>
        <v/>
      </c>
      <c r="AF43" s="597" t="str">
        <f>IFERROR(INDEX(produtos_escape2!M:M,MATCH(Controle!H43,produtos_escape2!A:A,0)),"")</f>
        <v>PROPANOLOL (CLORIDRATO) COMPRIMIDO 40 MG</v>
      </c>
    </row>
    <row r="44" spans="1:32" ht="14.25" customHeight="1">
      <c r="A44" s="176" t="s">
        <v>6769</v>
      </c>
      <c r="B44" s="176" t="s">
        <v>3608</v>
      </c>
      <c r="C44" s="177">
        <v>43788</v>
      </c>
      <c r="D44" s="176" t="s">
        <v>7111</v>
      </c>
      <c r="E44" s="176" t="s">
        <v>1866</v>
      </c>
      <c r="F44" s="259" t="s">
        <v>7228</v>
      </c>
      <c r="G44" s="176">
        <v>3</v>
      </c>
      <c r="H44" s="178">
        <v>21408</v>
      </c>
      <c r="I44" s="592">
        <f t="shared" si="0"/>
        <v>2</v>
      </c>
      <c r="J44" s="178" t="s">
        <v>816</v>
      </c>
      <c r="K44" s="178" t="s">
        <v>816</v>
      </c>
      <c r="L44" s="275" t="str">
        <f>IF(H:H=0,"",IF(ISERROR(VLOOKUP(H:H,produtos_escape2!$A$2:$B$2794,2,FALSE)),"Código não cadastrado",(VLOOKUP(H:H,produtos_escape2!$A$2:$B$2794,2,FALSE))))</f>
        <v>METOPROLOL (SUCCINATO) COMPRIMIDO DE LIBERAÇÃO CONTROLADA 50 MG</v>
      </c>
      <c r="M44" s="593" t="str">
        <f>IF(H:H=0,"",IF(ISERROR(VLOOKUP(H:H,produtos_escape2!$A$2:$D$2794,2,FALSE)),"Código não cadastrado",(VLOOKUP(H:H,produtos_escape2!$A$2:$D$2794,4,FALSE))))</f>
        <v>CP</v>
      </c>
      <c r="N44" s="486">
        <v>1500</v>
      </c>
      <c r="O44" s="176" t="s">
        <v>3882</v>
      </c>
      <c r="P44" s="486">
        <v>1500</v>
      </c>
      <c r="Q44" s="247">
        <v>0.99</v>
      </c>
      <c r="R44" s="246">
        <f t="shared" si="1"/>
        <v>1485</v>
      </c>
      <c r="S44" s="177">
        <v>43791</v>
      </c>
      <c r="T44" s="182">
        <v>68036</v>
      </c>
      <c r="U44" s="177">
        <v>43796</v>
      </c>
      <c r="V44" s="177">
        <v>43797</v>
      </c>
      <c r="W44" s="177">
        <v>43798</v>
      </c>
      <c r="X44" s="176">
        <v>29005</v>
      </c>
      <c r="Y44" s="177">
        <v>43832</v>
      </c>
      <c r="Z44" s="598" t="s">
        <v>2755</v>
      </c>
      <c r="AA44" s="488"/>
      <c r="AB44" s="594"/>
      <c r="AC44" s="595"/>
      <c r="AD44" s="596" t="str">
        <f>IF(AND(AC44&lt;&gt;"",S44&lt;&gt;""),NETWORKDAYS(AC44,S44,#REF!),"")</f>
        <v/>
      </c>
      <c r="AE44" s="596" t="str">
        <f ca="1">IF(AND(AD44="",AC44=""),"",IF(OR(AD44&lt;&gt;"",O44="*CANCELADO"),"",NETWORKDAYS(AC44,TODAY(),#REF!)))</f>
        <v/>
      </c>
      <c r="AF44" s="597" t="str">
        <f>IFERROR(INDEX(produtos_escape2!M:M,MATCH(Controle!H44,produtos_escape2!A:A,0)),"")</f>
        <v>METOPROLOL (SUCCINATO) COMPRIMIDO DE LIBERAÇÃO CONTROLADA 50 MG</v>
      </c>
    </row>
    <row r="45" spans="1:32" ht="14.25" customHeight="1">
      <c r="A45" s="176" t="s">
        <v>6769</v>
      </c>
      <c r="B45" s="176" t="s">
        <v>3608</v>
      </c>
      <c r="C45" s="177">
        <v>43788</v>
      </c>
      <c r="D45" s="176" t="s">
        <v>7111</v>
      </c>
      <c r="E45" s="176" t="s">
        <v>1866</v>
      </c>
      <c r="F45" s="259" t="s">
        <v>7228</v>
      </c>
      <c r="G45" s="176">
        <v>2</v>
      </c>
      <c r="H45" s="178">
        <v>90029</v>
      </c>
      <c r="I45" s="592">
        <f t="shared" si="0"/>
        <v>7</v>
      </c>
      <c r="J45" s="178" t="s">
        <v>816</v>
      </c>
      <c r="K45" s="178" t="s">
        <v>816</v>
      </c>
      <c r="L45" s="275" t="str">
        <f>IF(H:H=0,"",IF(ISERROR(VLOOKUP(H:H,produtos_escape2!$A$2:$B$2794,2,FALSE)),"Código não cadastrado",(VLOOKUP(H:H,produtos_escape2!$A$2:$B$2794,2,FALSE))))</f>
        <v>PROXIMETACAINA (CLORIDRATO) SOLUÇAO OFTALMICA 0,5 % FRASCO CONTA-GOTA 5 ML</v>
      </c>
      <c r="M45" s="593" t="str">
        <f>IF(H:H=0,"",IF(ISERROR(VLOOKUP(H:H,produtos_escape2!$A$2:$D$2794,2,FALSE)),"Código não cadastrado",(VLOOKUP(H:H,produtos_escape2!$A$2:$D$2794,4,FALSE))))</f>
        <v>FR</v>
      </c>
      <c r="N45" s="486">
        <v>20</v>
      </c>
      <c r="O45" s="176" t="s">
        <v>3882</v>
      </c>
      <c r="P45" s="486">
        <v>20</v>
      </c>
      <c r="Q45" s="247">
        <v>9.1999999999999993</v>
      </c>
      <c r="R45" s="246">
        <f t="shared" si="1"/>
        <v>184</v>
      </c>
      <c r="S45" s="177">
        <v>43791</v>
      </c>
      <c r="T45" s="182">
        <v>68036</v>
      </c>
      <c r="U45" s="177">
        <v>43796</v>
      </c>
      <c r="V45" s="177">
        <v>43797</v>
      </c>
      <c r="W45" s="177">
        <v>43798</v>
      </c>
      <c r="X45" s="176">
        <v>29005</v>
      </c>
      <c r="Y45" s="177">
        <v>43832</v>
      </c>
      <c r="Z45" s="598" t="s">
        <v>2755</v>
      </c>
      <c r="AA45" s="488"/>
      <c r="AB45" s="594"/>
      <c r="AC45" s="595"/>
      <c r="AD45" s="596" t="str">
        <f>IF(AND(AC45&lt;&gt;"",S45&lt;&gt;""),NETWORKDAYS(AC45,S45,#REF!),"")</f>
        <v/>
      </c>
      <c r="AE45" s="596" t="str">
        <f ca="1">IF(AND(AD45="",AC45=""),"",IF(OR(AD45&lt;&gt;"",O45="*CANCELADO"),"",NETWORKDAYS(AC45,TODAY(),#REF!)))</f>
        <v/>
      </c>
      <c r="AF45" s="597" t="str">
        <f>IFERROR(INDEX(produtos_escape2!M:M,MATCH(Controle!H45,produtos_escape2!A:A,0)),"")</f>
        <v>PROXIMETACAINA (CLORIDRATO) SOLUÇAO OFTALMICA 0</v>
      </c>
    </row>
    <row r="46" spans="1:32" ht="14.25" customHeight="1">
      <c r="A46" s="176" t="s">
        <v>5771</v>
      </c>
      <c r="B46" s="176" t="s">
        <v>7207</v>
      </c>
      <c r="C46" s="177">
        <v>43782</v>
      </c>
      <c r="D46" s="176" t="s">
        <v>7109</v>
      </c>
      <c r="E46" s="176" t="s">
        <v>1866</v>
      </c>
      <c r="F46" s="259" t="s">
        <v>7229</v>
      </c>
      <c r="G46" s="176">
        <v>1</v>
      </c>
      <c r="H46" s="178">
        <v>7647</v>
      </c>
      <c r="I46" s="592">
        <f t="shared" si="0"/>
        <v>1</v>
      </c>
      <c r="J46" s="178" t="s">
        <v>816</v>
      </c>
      <c r="K46" s="178" t="s">
        <v>816</v>
      </c>
      <c r="L46" s="275" t="str">
        <f>IF(H:H=0,"",IF(ISERROR(VLOOKUP(H:H,produtos_escape2!$A$2:$B$2794,2,FALSE)),"Código não cadastrado",(VLOOKUP(H:H,produtos_escape2!$A$2:$B$2794,2,FALSE))))</f>
        <v>NAVALHA PARA MICRÓTOMO DE PERFIL BAIXO. Aplicação: corte de parafina, Material: aço inoxidável, Dimensões: 74MM de comprimento X 14MM de largura, Caracteristicas adicionais: uso laboratorial e descartável, perfil baixo. ***O preço cotado deve ser para caixa com 50 navalhas.***</v>
      </c>
      <c r="M46" s="593" t="str">
        <f>IF(H:H=0,"",IF(ISERROR(VLOOKUP(H:H,produtos_escape2!$A$2:$D$2794,2,FALSE)),"Código não cadastrado",(VLOOKUP(H:H,produtos_escape2!$A$2:$D$2794,4,FALSE))))</f>
        <v>CX</v>
      </c>
      <c r="N46" s="486">
        <v>20</v>
      </c>
      <c r="O46" s="176" t="s">
        <v>7051</v>
      </c>
      <c r="P46" s="486">
        <v>15</v>
      </c>
      <c r="Q46" s="247">
        <v>438</v>
      </c>
      <c r="R46" s="246">
        <f t="shared" si="1"/>
        <v>6570</v>
      </c>
      <c r="S46" s="177">
        <v>43791</v>
      </c>
      <c r="T46" s="182">
        <v>20</v>
      </c>
      <c r="U46" s="177">
        <v>43803</v>
      </c>
      <c r="V46" s="177">
        <v>43803</v>
      </c>
      <c r="W46" s="177">
        <v>43804</v>
      </c>
      <c r="X46" s="415">
        <v>3268</v>
      </c>
      <c r="Y46" s="177">
        <v>43854</v>
      </c>
      <c r="Z46" s="598" t="s">
        <v>2755</v>
      </c>
      <c r="AA46" s="488"/>
      <c r="AB46" s="594"/>
      <c r="AC46" s="595"/>
      <c r="AD46" s="596" t="str">
        <f>IF(AND(AC46&lt;&gt;"",S46&lt;&gt;""),NETWORKDAYS(AC46,S46,#REF!),"")</f>
        <v/>
      </c>
      <c r="AE46" s="596" t="str">
        <f ca="1">IF(AND(AD46="",AC46=""),"",IF(OR(AD46&lt;&gt;"",O46="*CANCELADO"),"",NETWORKDAYS(AC46,TODAY(),#REF!)))</f>
        <v/>
      </c>
      <c r="AF46" s="597" t="str">
        <f>IFERROR(INDEX(produtos_escape2!M:M,MATCH(Controle!H46,produtos_escape2!A:A,0)),"")</f>
        <v>NAVALHA PARA MICRÓTOMO</v>
      </c>
    </row>
    <row r="47" spans="1:32" ht="14.25" customHeight="1">
      <c r="A47" s="176" t="s">
        <v>6773</v>
      </c>
      <c r="B47" s="176" t="s">
        <v>3608</v>
      </c>
      <c r="C47" s="177">
        <v>43797</v>
      </c>
      <c r="D47" s="176" t="s">
        <v>7119</v>
      </c>
      <c r="E47" s="176" t="s">
        <v>3009</v>
      </c>
      <c r="F47" s="259" t="s">
        <v>7230</v>
      </c>
      <c r="G47" s="176">
        <v>2</v>
      </c>
      <c r="H47" s="178">
        <v>91158</v>
      </c>
      <c r="I47" s="592">
        <f t="shared" si="0"/>
        <v>1</v>
      </c>
      <c r="J47" s="178" t="s">
        <v>816</v>
      </c>
      <c r="K47" s="178" t="s">
        <v>816</v>
      </c>
      <c r="L47" s="275" t="str">
        <f>IF(H:H=0,"",IF(ISERROR(VLOOKUP(H:H,produtos_escape2!$A$2:$B$2794,2,FALSE)),"Código não cadastrado",(VLOOKUP(H:H,produtos_escape2!$A$2:$B$2794,2,FALSE))))</f>
        <v xml:space="preserve">FAIXA DE ESMARCH 12CMX200CM </v>
      </c>
      <c r="M47" s="593" t="str">
        <f>IF(H:H=0,"",IF(ISERROR(VLOOKUP(H:H,produtos_escape2!$A$2:$D$2794,2,FALSE)),"Código não cadastrado",(VLOOKUP(H:H,produtos_escape2!$A$2:$D$2794,4,FALSE))))</f>
        <v>UN</v>
      </c>
      <c r="N47" s="486">
        <v>20</v>
      </c>
      <c r="O47" s="176" t="s">
        <v>3407</v>
      </c>
      <c r="P47" s="486">
        <v>20</v>
      </c>
      <c r="Q47" s="247">
        <v>55</v>
      </c>
      <c r="R47" s="246">
        <f t="shared" si="1"/>
        <v>1100</v>
      </c>
      <c r="S47" s="177">
        <v>43810</v>
      </c>
      <c r="T47" s="182">
        <v>817</v>
      </c>
      <c r="U47" s="177">
        <v>43836</v>
      </c>
      <c r="V47" s="177">
        <v>43836</v>
      </c>
      <c r="W47" s="177">
        <v>43843</v>
      </c>
      <c r="X47" s="415">
        <v>44903</v>
      </c>
      <c r="Y47" s="177">
        <v>43854</v>
      </c>
      <c r="Z47" s="598" t="s">
        <v>2755</v>
      </c>
      <c r="AA47" s="488"/>
      <c r="AB47" s="594"/>
      <c r="AC47" s="595"/>
      <c r="AD47" s="596" t="str">
        <f>IF(AND(AC47&lt;&gt;"",S47&lt;&gt;""),NETWORKDAYS(AC47,S47,#REF!),"")</f>
        <v/>
      </c>
      <c r="AE47" s="596" t="str">
        <f ca="1">IF(AND(AD47="",AC47=""),"",IF(OR(AD47&lt;&gt;"",O47="*CANCELADO"),"",NETWORKDAYS(AC47,TODAY(),#REF!)))</f>
        <v/>
      </c>
      <c r="AF47" s="597" t="str">
        <f>IFERROR(INDEX(produtos_escape2!M:M,MATCH(Controle!H47,produtos_escape2!A:A,0)),"")</f>
        <v xml:space="preserve">FAIXA DE ESMARCH 12CMX200CM </v>
      </c>
    </row>
    <row r="48" spans="1:32" ht="14.25" customHeight="1">
      <c r="A48" s="176" t="s">
        <v>6772</v>
      </c>
      <c r="B48" s="176" t="s">
        <v>3608</v>
      </c>
      <c r="C48" s="177">
        <v>43797</v>
      </c>
      <c r="D48" s="176" t="s">
        <v>7120</v>
      </c>
      <c r="E48" s="176" t="s">
        <v>3009</v>
      </c>
      <c r="F48" s="259" t="s">
        <v>7231</v>
      </c>
      <c r="G48" s="176">
        <v>1</v>
      </c>
      <c r="H48" s="178">
        <v>90076</v>
      </c>
      <c r="I48" s="592">
        <f t="shared" si="0"/>
        <v>1</v>
      </c>
      <c r="J48" s="178" t="s">
        <v>816</v>
      </c>
      <c r="K48" s="178" t="s">
        <v>816</v>
      </c>
      <c r="L48" s="275" t="str">
        <f>IF(H:H=0,"",IF(ISERROR(VLOOKUP(H:H,produtos_escape2!$A$2:$B$2794,2,FALSE)),"Código não cadastrado",(VLOOKUP(H:H,produtos_escape2!$A$2:$B$2794,2,FALSE))))</f>
        <v>FENITOINA SOLUCAO INJETAVEL 50 MG/ML AMPOLA 5 ML</v>
      </c>
      <c r="M48" s="593" t="str">
        <f>IF(H:H=0,"",IF(ISERROR(VLOOKUP(H:H,produtos_escape2!$A$2:$D$2794,2,FALSE)),"Código não cadastrado",(VLOOKUP(H:H,produtos_escape2!$A$2:$D$2794,4,FALSE))))</f>
        <v>AMP</v>
      </c>
      <c r="N48" s="486">
        <v>200</v>
      </c>
      <c r="O48" s="176" t="s">
        <v>4401</v>
      </c>
      <c r="P48" s="486">
        <v>200</v>
      </c>
      <c r="Q48" s="247">
        <v>2.1800000000000002</v>
      </c>
      <c r="R48" s="246">
        <f t="shared" si="1"/>
        <v>436.00000000000006</v>
      </c>
      <c r="S48" s="177">
        <v>43810</v>
      </c>
      <c r="T48" s="182">
        <v>2498971</v>
      </c>
      <c r="U48" s="177">
        <v>43815</v>
      </c>
      <c r="V48" s="177">
        <v>43815</v>
      </c>
      <c r="W48" s="177">
        <v>43829</v>
      </c>
      <c r="X48" s="415">
        <v>44906</v>
      </c>
      <c r="Y48" s="177">
        <v>43854</v>
      </c>
      <c r="Z48" s="598" t="s">
        <v>2755</v>
      </c>
      <c r="AA48" s="488"/>
      <c r="AB48" s="594"/>
      <c r="AC48" s="595"/>
      <c r="AD48" s="596" t="str">
        <f>IF(AND(AC48&lt;&gt;"",S48&lt;&gt;""),NETWORKDAYS(AC48,S48,#REF!),"")</f>
        <v/>
      </c>
      <c r="AE48" s="596" t="str">
        <f ca="1">IF(AND(AD48="",AC48=""),"",IF(OR(AD48&lt;&gt;"",O48="*CANCELADO"),"",NETWORKDAYS(AC48,TODAY(),#REF!)))</f>
        <v/>
      </c>
      <c r="AF48" s="597" t="str">
        <f>IFERROR(INDEX(produtos_escape2!M:M,MATCH(Controle!H48,produtos_escape2!A:A,0)),"")</f>
        <v>FENITOINA SOLUCAO INJETAVEL 50 MG/ML AMPOLA 5 ML</v>
      </c>
    </row>
    <row r="49" spans="1:32" ht="14.25" customHeight="1">
      <c r="A49" s="176" t="s">
        <v>6772</v>
      </c>
      <c r="B49" s="176" t="s">
        <v>3608</v>
      </c>
      <c r="C49" s="177">
        <v>43797</v>
      </c>
      <c r="D49" s="176" t="s">
        <v>7120</v>
      </c>
      <c r="E49" s="176" t="s">
        <v>3009</v>
      </c>
      <c r="F49" s="259" t="s">
        <v>7231</v>
      </c>
      <c r="G49" s="176">
        <v>4</v>
      </c>
      <c r="H49" s="178">
        <v>20626</v>
      </c>
      <c r="I49" s="592">
        <f t="shared" si="0"/>
        <v>1</v>
      </c>
      <c r="J49" s="178" t="s">
        <v>816</v>
      </c>
      <c r="K49" s="178" t="s">
        <v>816</v>
      </c>
      <c r="L49" s="275" t="str">
        <f>IF(H:H=0,"",IF(ISERROR(VLOOKUP(H:H,produtos_escape2!$A$2:$B$2794,2,FALSE)),"Código não cadastrado",(VLOOKUP(H:H,produtos_escape2!$A$2:$B$2794,2,FALSE))))</f>
        <v>DEXMEDETOMIDINA (CLORIDRATO) SOLUCAO INJETAVEL 100MCG/ML FRASCO-AMPOLA 2ML</v>
      </c>
      <c r="M49" s="593" t="str">
        <f>IF(H:H=0,"",IF(ISERROR(VLOOKUP(H:H,produtos_escape2!$A$2:$D$2794,2,FALSE)),"Código não cadastrado",(VLOOKUP(H:H,produtos_escape2!$A$2:$D$2794,4,FALSE))))</f>
        <v>FA</v>
      </c>
      <c r="N49" s="486">
        <v>300</v>
      </c>
      <c r="O49" s="176" t="s">
        <v>7335</v>
      </c>
      <c r="P49" s="486">
        <v>300</v>
      </c>
      <c r="Q49" s="247">
        <v>43.5</v>
      </c>
      <c r="R49" s="246">
        <f t="shared" si="1"/>
        <v>13050</v>
      </c>
      <c r="S49" s="177">
        <v>43810</v>
      </c>
      <c r="T49" s="182">
        <v>2168</v>
      </c>
      <c r="U49" s="177">
        <v>43818</v>
      </c>
      <c r="V49" s="177">
        <v>43818</v>
      </c>
      <c r="W49" s="177">
        <v>43829</v>
      </c>
      <c r="X49" s="415">
        <v>44810</v>
      </c>
      <c r="Y49" s="177">
        <v>43854</v>
      </c>
      <c r="Z49" s="598" t="s">
        <v>2755</v>
      </c>
      <c r="AA49" s="488"/>
      <c r="AB49" s="594"/>
      <c r="AC49" s="595"/>
      <c r="AD49" s="596" t="str">
        <f>IF(AND(AC49&lt;&gt;"",S49&lt;&gt;""),NETWORKDAYS(AC49,S49,#REF!),"")</f>
        <v/>
      </c>
      <c r="AE49" s="596" t="str">
        <f ca="1">IF(AND(AD49="",AC49=""),"",IF(OR(AD49&lt;&gt;"",O49="*CANCELADO"),"",NETWORKDAYS(AC49,TODAY(),#REF!)))</f>
        <v/>
      </c>
      <c r="AF49" s="597" t="str">
        <f>IFERROR(INDEX(produtos_escape2!M:M,MATCH(Controle!H49,produtos_escape2!A:A,0)),"")</f>
        <v>DEXMEDETOMIDINA</v>
      </c>
    </row>
    <row r="50" spans="1:32" ht="14.25" customHeight="1">
      <c r="A50" s="176" t="s">
        <v>6774</v>
      </c>
      <c r="B50" s="176" t="s">
        <v>3608</v>
      </c>
      <c r="C50" s="177">
        <v>43804</v>
      </c>
      <c r="D50" s="176" t="s">
        <v>7139</v>
      </c>
      <c r="E50" s="176" t="s">
        <v>3009</v>
      </c>
      <c r="F50" s="259" t="s">
        <v>7232</v>
      </c>
      <c r="G50" s="176">
        <v>6</v>
      </c>
      <c r="H50" s="178">
        <v>90550</v>
      </c>
      <c r="I50" s="592">
        <f t="shared" si="0"/>
        <v>9</v>
      </c>
      <c r="J50" s="178" t="s">
        <v>816</v>
      </c>
      <c r="K50" s="178" t="s">
        <v>816</v>
      </c>
      <c r="L50" s="275" t="str">
        <f>IF(H:H=0,"",IF(ISERROR(VLOOKUP(H:H,produtos_escape2!$A$2:$B$2794,2,FALSE)),"Código não cadastrado",(VLOOKUP(H:H,produtos_escape2!$A$2:$B$2794,2,FALSE))))</f>
        <v xml:space="preserve">BICARBONATO DE SODIO SOLUCAO INJETAVEL 8,4 % (1 MEQ/ML) AMPOLA 10 ML  </v>
      </c>
      <c r="M50" s="593" t="str">
        <f>IF(H:H=0,"",IF(ISERROR(VLOOKUP(H:H,produtos_escape2!$A$2:$D$2794,2,FALSE)),"Código não cadastrado",(VLOOKUP(H:H,produtos_escape2!$A$2:$D$2794,4,FALSE))))</f>
        <v>AMP</v>
      </c>
      <c r="N50" s="486">
        <v>400</v>
      </c>
      <c r="O50" s="176" t="s">
        <v>2989</v>
      </c>
      <c r="P50" s="486">
        <v>400</v>
      </c>
      <c r="Q50" s="247">
        <v>0.61</v>
      </c>
      <c r="R50" s="246">
        <f t="shared" si="1"/>
        <v>244</v>
      </c>
      <c r="S50" s="177">
        <v>43811</v>
      </c>
      <c r="T50" s="182">
        <v>107602</v>
      </c>
      <c r="U50" s="177">
        <v>43837</v>
      </c>
      <c r="V50" s="177">
        <v>43839</v>
      </c>
      <c r="W50" s="177">
        <v>43843</v>
      </c>
      <c r="X50" s="415">
        <v>44840</v>
      </c>
      <c r="Y50" s="177">
        <v>43854</v>
      </c>
      <c r="Z50" s="598" t="s">
        <v>2755</v>
      </c>
      <c r="AA50" s="488"/>
      <c r="AB50" s="594"/>
      <c r="AC50" s="595"/>
      <c r="AD50" s="596" t="str">
        <f>IF(AND(AC50&lt;&gt;"",S50&lt;&gt;""),NETWORKDAYS(AC50,S50,#REF!),"")</f>
        <v/>
      </c>
      <c r="AE50" s="596" t="str">
        <f ca="1">IF(AND(AD50="",AC50=""),"",IF(OR(AD50&lt;&gt;"",O50="*CANCELADO"),"",NETWORKDAYS(AC50,TODAY(),#REF!)))</f>
        <v/>
      </c>
      <c r="AF50" s="597" t="str">
        <f>IFERROR(INDEX(produtos_escape2!M:M,MATCH(Controle!H50,produtos_escape2!A:A,0)),"")</f>
        <v>BICARBONATO DE SODIO</v>
      </c>
    </row>
    <row r="51" spans="1:32" ht="14.25" customHeight="1">
      <c r="A51" s="176" t="s">
        <v>6774</v>
      </c>
      <c r="B51" s="176" t="s">
        <v>3608</v>
      </c>
      <c r="C51" s="177">
        <v>43804</v>
      </c>
      <c r="D51" s="176" t="s">
        <v>7139</v>
      </c>
      <c r="E51" s="176" t="s">
        <v>3009</v>
      </c>
      <c r="F51" s="259" t="s">
        <v>7232</v>
      </c>
      <c r="G51" s="176">
        <v>3</v>
      </c>
      <c r="H51" s="178">
        <v>17684</v>
      </c>
      <c r="I51" s="592">
        <f t="shared" si="0"/>
        <v>6</v>
      </c>
      <c r="J51" s="178" t="s">
        <v>816</v>
      </c>
      <c r="K51" s="178" t="s">
        <v>816</v>
      </c>
      <c r="L51" s="275"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51" s="593" t="str">
        <f>IF(H:H=0,"",IF(ISERROR(VLOOKUP(H:H,produtos_escape2!$A$2:$D$2794,2,FALSE)),"Código não cadastrado",(VLOOKUP(H:H,produtos_escape2!$A$2:$D$2794,4,FALSE))))</f>
        <v>GR</v>
      </c>
      <c r="N51" s="486">
        <v>38000</v>
      </c>
      <c r="O51" s="176" t="s">
        <v>2989</v>
      </c>
      <c r="P51" s="486">
        <v>38000</v>
      </c>
      <c r="Q51" s="247">
        <v>4.4999999999999998E-2</v>
      </c>
      <c r="R51" s="246">
        <f t="shared" si="1"/>
        <v>1710</v>
      </c>
      <c r="S51" s="177">
        <v>43811</v>
      </c>
      <c r="T51" s="182">
        <v>107602</v>
      </c>
      <c r="U51" s="177">
        <v>43837</v>
      </c>
      <c r="V51" s="177">
        <v>43839</v>
      </c>
      <c r="W51" s="177">
        <v>43843</v>
      </c>
      <c r="X51" s="415">
        <v>44840</v>
      </c>
      <c r="Y51" s="177">
        <v>43854</v>
      </c>
      <c r="Z51" s="598" t="s">
        <v>2755</v>
      </c>
      <c r="AA51" s="488"/>
      <c r="AB51" s="594"/>
      <c r="AC51" s="595"/>
      <c r="AD51" s="596" t="str">
        <f>IF(AND(AC51&lt;&gt;"",S51&lt;&gt;""),NETWORKDAYS(AC51,S51,#REF!),"")</f>
        <v/>
      </c>
      <c r="AE51" s="596" t="str">
        <f ca="1">IF(AND(AD51="",AC51=""),"",IF(OR(AD51&lt;&gt;"",O51="*CANCELADO"),"",NETWORKDAYS(AC51,TODAY(),#REF!)))</f>
        <v/>
      </c>
      <c r="AF51" s="597" t="str">
        <f>IFERROR(INDEX(produtos_escape2!M:M,MATCH(Controle!H51,produtos_escape2!A:A,0)),"")</f>
        <v>FÓRMULA INFANTIL PARA LACTENTES</v>
      </c>
    </row>
    <row r="52" spans="1:32" ht="14.25" customHeight="1">
      <c r="A52" s="176" t="s">
        <v>6774</v>
      </c>
      <c r="B52" s="176" t="s">
        <v>3608</v>
      </c>
      <c r="C52" s="177">
        <v>43804</v>
      </c>
      <c r="D52" s="176" t="s">
        <v>7139</v>
      </c>
      <c r="E52" s="176" t="s">
        <v>3009</v>
      </c>
      <c r="F52" s="259" t="s">
        <v>7232</v>
      </c>
      <c r="G52" s="176">
        <v>4</v>
      </c>
      <c r="H52" s="178">
        <v>90170</v>
      </c>
      <c r="I52" s="592">
        <f t="shared" si="0"/>
        <v>2</v>
      </c>
      <c r="J52" s="178" t="s">
        <v>816</v>
      </c>
      <c r="K52" s="178" t="s">
        <v>816</v>
      </c>
      <c r="L52" s="275" t="str">
        <f>IF(H:H=0,"",IF(ISERROR(VLOOKUP(H:H,produtos_escape2!$A$2:$B$2794,2,FALSE)),"Código não cadastrado",(VLOOKUP(H:H,produtos_escape2!$A$2:$B$2794,2,FALSE))))</f>
        <v>N-ACETILCISTEINA SOLUCAO INJETAVEL 100 MG/ML AMPOLA 3 ML.</v>
      </c>
      <c r="M52" s="593" t="str">
        <f>IF(H:H=0,"",IF(ISERROR(VLOOKUP(H:H,produtos_escape2!$A$2:$D$2794,2,FALSE)),"Código não cadastrado",(VLOOKUP(H:H,produtos_escape2!$A$2:$D$2794,4,FALSE))))</f>
        <v>AMP</v>
      </c>
      <c r="N52" s="486">
        <v>1440</v>
      </c>
      <c r="O52" s="176" t="s">
        <v>2989</v>
      </c>
      <c r="P52" s="486">
        <v>1400</v>
      </c>
      <c r="Q52" s="247">
        <v>1.58</v>
      </c>
      <c r="R52" s="246">
        <f t="shared" si="1"/>
        <v>2212</v>
      </c>
      <c r="S52" s="177">
        <v>43811</v>
      </c>
      <c r="T52" s="182">
        <v>107602</v>
      </c>
      <c r="U52" s="177">
        <v>43837</v>
      </c>
      <c r="V52" s="177">
        <v>43839</v>
      </c>
      <c r="W52" s="177">
        <v>43843</v>
      </c>
      <c r="X52" s="415">
        <v>44840</v>
      </c>
      <c r="Y52" s="177">
        <v>43854</v>
      </c>
      <c r="Z52" s="598" t="s">
        <v>2755</v>
      </c>
      <c r="AA52" s="488"/>
      <c r="AB52" s="594"/>
      <c r="AC52" s="595"/>
      <c r="AD52" s="596" t="str">
        <f>IF(AND(AC52&lt;&gt;"",S52&lt;&gt;""),NETWORKDAYS(AC52,S52,#REF!),"")</f>
        <v/>
      </c>
      <c r="AE52" s="596" t="str">
        <f ca="1">IF(AND(AD52="",AC52=""),"",IF(OR(AD52&lt;&gt;"",O52="*CANCELADO"),"",NETWORKDAYS(AC52,TODAY(),#REF!)))</f>
        <v/>
      </c>
      <c r="AF52" s="597" t="str">
        <f>IFERROR(INDEX(produtos_escape2!M:M,MATCH(Controle!H52,produtos_escape2!A:A,0)),"")</f>
        <v>N-ACETILCISTEINA SOLUCAO INJETAVEL 100 MG/ML AMPOLA 3 ML</v>
      </c>
    </row>
    <row r="53" spans="1:32" ht="14.25" customHeight="1">
      <c r="A53" s="176" t="s">
        <v>6774</v>
      </c>
      <c r="B53" s="176" t="s">
        <v>3608</v>
      </c>
      <c r="C53" s="177">
        <v>43804</v>
      </c>
      <c r="D53" s="176" t="s">
        <v>7139</v>
      </c>
      <c r="E53" s="176" t="s">
        <v>3009</v>
      </c>
      <c r="F53" s="259" t="s">
        <v>7232</v>
      </c>
      <c r="G53" s="176">
        <v>2</v>
      </c>
      <c r="H53" s="178">
        <v>90459</v>
      </c>
      <c r="I53" s="592">
        <f t="shared" si="0"/>
        <v>1</v>
      </c>
      <c r="J53" s="178" t="s">
        <v>816</v>
      </c>
      <c r="K53" s="178" t="s">
        <v>816</v>
      </c>
      <c r="L53" s="275" t="str">
        <f>IF(H:H=0,"",IF(ISERROR(VLOOKUP(H:H,produtos_escape2!$A$2:$B$2794,2,FALSE)),"Código não cadastrado",(VLOOKUP(H:H,produtos_escape2!$A$2:$B$2794,2,FALSE))))</f>
        <v>REMIFENTANILA (CLORIDRATO) PO LIOFILIZADO PARA SOLUÇAO INJETAVEL 2 MG FRASCO AMPOLA</v>
      </c>
      <c r="M53" s="593" t="str">
        <f>IF(H:H=0,"",IF(ISERROR(VLOOKUP(H:H,produtos_escape2!$A$2:$D$2794,2,FALSE)),"Código não cadastrado",(VLOOKUP(H:H,produtos_escape2!$A$2:$D$2794,4,FALSE))))</f>
        <v>AMP</v>
      </c>
      <c r="N53" s="486">
        <v>200</v>
      </c>
      <c r="O53" s="176" t="s">
        <v>4401</v>
      </c>
      <c r="P53" s="486">
        <v>200</v>
      </c>
      <c r="Q53" s="247">
        <v>28.15</v>
      </c>
      <c r="R53" s="246">
        <f t="shared" si="1"/>
        <v>5630</v>
      </c>
      <c r="S53" s="177">
        <v>43811</v>
      </c>
      <c r="T53" s="182">
        <v>2498972</v>
      </c>
      <c r="U53" s="177">
        <v>43812</v>
      </c>
      <c r="V53" s="177">
        <v>43815</v>
      </c>
      <c r="W53" s="177">
        <v>43843</v>
      </c>
      <c r="X53" s="415">
        <v>44832</v>
      </c>
      <c r="Y53" s="177">
        <v>43854</v>
      </c>
      <c r="Z53" s="598" t="s">
        <v>2755</v>
      </c>
      <c r="AA53" s="488"/>
      <c r="AB53" s="594"/>
      <c r="AC53" s="595"/>
      <c r="AD53" s="596" t="str">
        <f>IF(AND(AC53&lt;&gt;"",S53&lt;&gt;""),NETWORKDAYS(AC53,S53,#REF!),"")</f>
        <v/>
      </c>
      <c r="AE53" s="596" t="str">
        <f ca="1">IF(AND(AD53="",AC53=""),"",IF(OR(AD53&lt;&gt;"",O53="*CANCELADO"),"",NETWORKDAYS(AC53,TODAY(),#REF!)))</f>
        <v/>
      </c>
      <c r="AF53" s="597" t="str">
        <f>IFERROR(INDEX(produtos_escape2!M:M,MATCH(Controle!H53,produtos_escape2!A:A,0)),"")</f>
        <v>REMIFENTANILA (CLORIDRATO) PO LIOFILIZADO PARA SOLUÇAO INJETAVEL 2 MG FRASCO AMPOLA</v>
      </c>
    </row>
    <row r="54" spans="1:32" ht="14.25" customHeight="1">
      <c r="A54" s="176" t="s">
        <v>6774</v>
      </c>
      <c r="B54" s="176" t="s">
        <v>3608</v>
      </c>
      <c r="C54" s="177">
        <v>43804</v>
      </c>
      <c r="D54" s="176" t="s">
        <v>7139</v>
      </c>
      <c r="E54" s="176" t="s">
        <v>3009</v>
      </c>
      <c r="F54" s="259" t="s">
        <v>7232</v>
      </c>
      <c r="G54" s="176">
        <v>7</v>
      </c>
      <c r="H54" s="178">
        <v>90590</v>
      </c>
      <c r="I54" s="592">
        <f t="shared" si="0"/>
        <v>4</v>
      </c>
      <c r="J54" s="178" t="s">
        <v>816</v>
      </c>
      <c r="K54" s="178" t="s">
        <v>816</v>
      </c>
      <c r="L54" s="275" t="str">
        <f>IF(H:H=0,"",IF(ISERROR(VLOOKUP(H:H,produtos_escape2!$A$2:$B$2794,2,FALSE)),"Código não cadastrado",(VLOOKUP(H:H,produtos_escape2!$A$2:$B$2794,2,FALSE))))</f>
        <v>SACARATO DE HIDROXIDO DE FERRO III SOLUÇAO INJETAVEL ENDOVENOSA 20MG/ML AMPOLA 5ML</v>
      </c>
      <c r="M54" s="593" t="str">
        <f>IF(H:H=0,"",IF(ISERROR(VLOOKUP(H:H,produtos_escape2!$A$2:$D$2794,2,FALSE)),"Código não cadastrado",(VLOOKUP(H:H,produtos_escape2!$A$2:$D$2794,4,FALSE))))</f>
        <v>AMP</v>
      </c>
      <c r="N54" s="486">
        <v>1800</v>
      </c>
      <c r="O54" s="176" t="s">
        <v>2989</v>
      </c>
      <c r="P54" s="486">
        <v>1800</v>
      </c>
      <c r="Q54" s="247">
        <v>6.3</v>
      </c>
      <c r="R54" s="246">
        <f t="shared" si="1"/>
        <v>11340</v>
      </c>
      <c r="S54" s="177">
        <v>43811</v>
      </c>
      <c r="T54" s="182">
        <v>107602</v>
      </c>
      <c r="U54" s="177">
        <v>43837</v>
      </c>
      <c r="V54" s="177">
        <v>43839</v>
      </c>
      <c r="W54" s="177">
        <v>43843</v>
      </c>
      <c r="X54" s="415">
        <v>44840</v>
      </c>
      <c r="Y54" s="177">
        <v>43854</v>
      </c>
      <c r="Z54" s="598" t="s">
        <v>2755</v>
      </c>
      <c r="AA54" s="488"/>
      <c r="AB54" s="594"/>
      <c r="AC54" s="595"/>
      <c r="AD54" s="596" t="str">
        <f>IF(AND(AC54&lt;&gt;"",S54&lt;&gt;""),NETWORKDAYS(AC54,S54,#REF!),"")</f>
        <v/>
      </c>
      <c r="AE54" s="596" t="str">
        <f ca="1">IF(AND(AD54="",AC54=""),"",IF(OR(AD54&lt;&gt;"",O54="*CANCELADO"),"",NETWORKDAYS(AC54,TODAY(),#REF!)))</f>
        <v/>
      </c>
      <c r="AF54" s="597" t="str">
        <f>IFERROR(INDEX(produtos_escape2!M:M,MATCH(Controle!H54,produtos_escape2!A:A,0)),"")</f>
        <v>SACARATO DE HIDROXIDO DE FERRO III SOLUÇAO INJETAVEL ENDOVENOSA 20MG/ML AMPOLA 5ML</v>
      </c>
    </row>
    <row r="55" spans="1:32" ht="14.25" customHeight="1">
      <c r="A55" s="176" t="s">
        <v>6776</v>
      </c>
      <c r="B55" s="176" t="s">
        <v>3608</v>
      </c>
      <c r="C55" s="177">
        <v>43804</v>
      </c>
      <c r="D55" s="176" t="s">
        <v>7140</v>
      </c>
      <c r="E55" s="176" t="s">
        <v>3009</v>
      </c>
      <c r="F55" s="259" t="s">
        <v>7233</v>
      </c>
      <c r="G55" s="176">
        <v>4</v>
      </c>
      <c r="H55" s="178">
        <v>90225</v>
      </c>
      <c r="I55" s="592">
        <f t="shared" si="0"/>
        <v>3</v>
      </c>
      <c r="J55" s="178" t="s">
        <v>816</v>
      </c>
      <c r="K55" s="178" t="s">
        <v>816</v>
      </c>
      <c r="L55" s="275" t="str">
        <f>IF(H:H=0,"",IF(ISERROR(VLOOKUP(H:H,produtos_escape2!$A$2:$B$2794,2,FALSE)),"Código não cadastrado",(VLOOKUP(H:H,produtos_escape2!$A$2:$B$2794,2,FALSE))))</f>
        <v>GLICLAZIDA COMPRIMIDO DE LIBERACAO PROLONGADA 30 MG</v>
      </c>
      <c r="M55" s="593" t="str">
        <f>IF(H:H=0,"",IF(ISERROR(VLOOKUP(H:H,produtos_escape2!$A$2:$D$2794,2,FALSE)),"Código não cadastrado",(VLOOKUP(H:H,produtos_escape2!$A$2:$D$2794,4,FALSE))))</f>
        <v>CP</v>
      </c>
      <c r="N55" s="486">
        <v>1000</v>
      </c>
      <c r="O55" s="176" t="s">
        <v>4359</v>
      </c>
      <c r="P55" s="486">
        <v>960</v>
      </c>
      <c r="Q55" s="247">
        <v>0.28999999999999998</v>
      </c>
      <c r="R55" s="246">
        <f t="shared" si="1"/>
        <v>278.39999999999998</v>
      </c>
      <c r="S55" s="177">
        <v>43811</v>
      </c>
      <c r="T55" s="182">
        <v>454504</v>
      </c>
      <c r="U55" s="177">
        <v>43815</v>
      </c>
      <c r="V55" s="177">
        <v>43815</v>
      </c>
      <c r="W55" s="177">
        <v>43829</v>
      </c>
      <c r="X55" s="415">
        <v>44853</v>
      </c>
      <c r="Y55" s="177">
        <v>43854</v>
      </c>
      <c r="Z55" s="598" t="s">
        <v>2755</v>
      </c>
      <c r="AA55" s="488" t="s">
        <v>7288</v>
      </c>
      <c r="AB55" s="594"/>
      <c r="AC55" s="595"/>
      <c r="AD55" s="596" t="str">
        <f>IF(AND(AC55&lt;&gt;"",S55&lt;&gt;""),NETWORKDAYS(AC55,S55,#REF!),"")</f>
        <v/>
      </c>
      <c r="AE55" s="596" t="str">
        <f ca="1">IF(AND(AD55="",AC55=""),"",IF(OR(AD55&lt;&gt;"",O55="*CANCELADO"),"",NETWORKDAYS(AC55,TODAY(),#REF!)))</f>
        <v/>
      </c>
      <c r="AF55" s="597" t="str">
        <f>IFERROR(INDEX(produtos_escape2!M:M,MATCH(Controle!H55,produtos_escape2!A:A,0)),"")</f>
        <v>GLICLAZIDA COMPRIMIDO DE LIBERACAO PROLONGADA 30 MG</v>
      </c>
    </row>
    <row r="56" spans="1:32" ht="14.25" customHeight="1">
      <c r="A56" s="176" t="s">
        <v>6776</v>
      </c>
      <c r="B56" s="176" t="s">
        <v>3608</v>
      </c>
      <c r="C56" s="177">
        <v>43804</v>
      </c>
      <c r="D56" s="176" t="s">
        <v>7140</v>
      </c>
      <c r="E56" s="176" t="s">
        <v>3009</v>
      </c>
      <c r="F56" s="259" t="s">
        <v>7233</v>
      </c>
      <c r="G56" s="176">
        <v>5</v>
      </c>
      <c r="H56" s="178">
        <v>29664</v>
      </c>
      <c r="I56" s="592">
        <f t="shared" si="0"/>
        <v>4</v>
      </c>
      <c r="J56" s="178" t="s">
        <v>816</v>
      </c>
      <c r="K56" s="178" t="s">
        <v>816</v>
      </c>
      <c r="L56" s="275" t="str">
        <f>IF(H:H=0,"",IF(ISERROR(VLOOKUP(H:H,produtos_escape2!$A$2:$B$2794,2,FALSE)),"Código não cadastrado",(VLOOKUP(H:H,produtos_escape2!$A$2:$B$2794,2,FALSE))))</f>
        <v>GLICLAZIDA COMPRIMIDO DE LIBERACAO PROLONGADA 60 MG</v>
      </c>
      <c r="M56" s="593" t="str">
        <f>IF(H:H=0,"",IF(ISERROR(VLOOKUP(H:H,produtos_escape2!$A$2:$D$2794,2,FALSE)),"Código não cadastrado",(VLOOKUP(H:H,produtos_escape2!$A$2:$D$2794,4,FALSE))))</f>
        <v>CP</v>
      </c>
      <c r="N56" s="486">
        <v>1000</v>
      </c>
      <c r="O56" s="176" t="s">
        <v>4359</v>
      </c>
      <c r="P56" s="486">
        <v>960</v>
      </c>
      <c r="Q56" s="247">
        <v>2.35</v>
      </c>
      <c r="R56" s="246">
        <f t="shared" si="1"/>
        <v>2256</v>
      </c>
      <c r="S56" s="177">
        <v>43811</v>
      </c>
      <c r="T56" s="182">
        <v>454504</v>
      </c>
      <c r="U56" s="177">
        <v>43815</v>
      </c>
      <c r="V56" s="177">
        <v>43815</v>
      </c>
      <c r="W56" s="177">
        <v>43829</v>
      </c>
      <c r="X56" s="415">
        <v>44853</v>
      </c>
      <c r="Y56" s="177">
        <v>43854</v>
      </c>
      <c r="Z56" s="598" t="s">
        <v>2755</v>
      </c>
      <c r="AA56" s="488" t="s">
        <v>7289</v>
      </c>
      <c r="AB56" s="594"/>
      <c r="AC56" s="595"/>
      <c r="AD56" s="596" t="str">
        <f>IF(AND(AC56&lt;&gt;"",S56&lt;&gt;""),NETWORKDAYS(AC56,S56,#REF!),"")</f>
        <v/>
      </c>
      <c r="AE56" s="596" t="str">
        <f ca="1">IF(AND(AD56="",AC56=""),"",IF(OR(AD56&lt;&gt;"",O56="*CANCELADO"),"",NETWORKDAYS(AC56,TODAY(),#REF!)))</f>
        <v/>
      </c>
      <c r="AF56" s="597" t="str">
        <f>IFERROR(INDEX(produtos_escape2!M:M,MATCH(Controle!H56,produtos_escape2!A:A,0)),"")</f>
        <v>GLICAZIDA</v>
      </c>
    </row>
    <row r="57" spans="1:32" ht="14.25" customHeight="1">
      <c r="A57" s="176" t="s">
        <v>6776</v>
      </c>
      <c r="B57" s="176" t="s">
        <v>3608</v>
      </c>
      <c r="C57" s="177">
        <v>43804</v>
      </c>
      <c r="D57" s="176" t="s">
        <v>7140</v>
      </c>
      <c r="E57" s="176" t="s">
        <v>3009</v>
      </c>
      <c r="F57" s="259" t="s">
        <v>7233</v>
      </c>
      <c r="G57" s="176">
        <v>7</v>
      </c>
      <c r="H57" s="178">
        <v>90215</v>
      </c>
      <c r="I57" s="592">
        <f t="shared" si="0"/>
        <v>1</v>
      </c>
      <c r="J57" s="178" t="s">
        <v>816</v>
      </c>
      <c r="K57" s="178" t="s">
        <v>816</v>
      </c>
      <c r="L57" s="275" t="str">
        <f>IF(H:H=0,"",IF(ISERROR(VLOOKUP(H:H,produtos_escape2!$A$2:$B$2794,2,FALSE)),"Código não cadastrado",(VLOOKUP(H:H,produtos_escape2!$A$2:$B$2794,2,FALSE))))</f>
        <v>TENOXICAM PO LIOFILIZADO PARA SOLUCAO INJETAVEL 20 MG FRASCO-AMPOLA.</v>
      </c>
      <c r="M57" s="593" t="str">
        <f>IF(H:H=0,"",IF(ISERROR(VLOOKUP(H:H,produtos_escape2!$A$2:$D$2794,2,FALSE)),"Código não cadastrado",(VLOOKUP(H:H,produtos_escape2!$A$2:$D$2794,4,FALSE))))</f>
        <v>AMP</v>
      </c>
      <c r="N57" s="486">
        <v>8000</v>
      </c>
      <c r="O57" s="176" t="s">
        <v>4401</v>
      </c>
      <c r="P57" s="486">
        <v>2700</v>
      </c>
      <c r="Q57" s="247">
        <v>6.49</v>
      </c>
      <c r="R57" s="246">
        <f t="shared" si="1"/>
        <v>17523</v>
      </c>
      <c r="S57" s="177">
        <v>43811</v>
      </c>
      <c r="T57" s="182">
        <v>2504321</v>
      </c>
      <c r="U57" s="177">
        <v>43819</v>
      </c>
      <c r="V57" s="177">
        <v>43819</v>
      </c>
      <c r="W57" s="177">
        <v>43829</v>
      </c>
      <c r="X57" s="415">
        <v>44830</v>
      </c>
      <c r="Y57" s="177">
        <v>43854</v>
      </c>
      <c r="Z57" s="598" t="s">
        <v>2755</v>
      </c>
      <c r="AA57" s="488"/>
      <c r="AB57" s="594"/>
      <c r="AC57" s="595"/>
      <c r="AD57" s="596" t="str">
        <f>IF(AND(AC57&lt;&gt;"",S57&lt;&gt;""),NETWORKDAYS(AC57,S57,#REF!),"")</f>
        <v/>
      </c>
      <c r="AE57" s="596" t="str">
        <f ca="1">IF(AND(AD57="",AC57=""),"",IF(OR(AD57&lt;&gt;"",O57="*CANCELADO"),"",NETWORKDAYS(AC57,TODAY(),#REF!)))</f>
        <v/>
      </c>
      <c r="AF57" s="597" t="str">
        <f>IFERROR(INDEX(produtos_escape2!M:M,MATCH(Controle!H57,produtos_escape2!A:A,0)),"")</f>
        <v>TENOXICAM PO LIOFILIZADO PARA SOLUCAO INJETAVEL 20 MG FRASCO-AMPOLA</v>
      </c>
    </row>
    <row r="58" spans="1:32" ht="14.25" customHeight="1">
      <c r="A58" s="176" t="s">
        <v>6775</v>
      </c>
      <c r="B58" s="176" t="s">
        <v>3608</v>
      </c>
      <c r="C58" s="177">
        <v>43804</v>
      </c>
      <c r="D58" s="176" t="s">
        <v>7141</v>
      </c>
      <c r="E58" s="176" t="s">
        <v>3009</v>
      </c>
      <c r="F58" s="259" t="s">
        <v>7234</v>
      </c>
      <c r="G58" s="176">
        <v>2</v>
      </c>
      <c r="H58" s="178">
        <v>95131</v>
      </c>
      <c r="I58" s="592">
        <f t="shared" si="0"/>
        <v>5</v>
      </c>
      <c r="J58" s="178" t="s">
        <v>816</v>
      </c>
      <c r="K58" s="178" t="s">
        <v>816</v>
      </c>
      <c r="L58" s="275"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58" s="593" t="str">
        <f>IF(H:H=0,"",IF(ISERROR(VLOOKUP(H:H,produtos_escape2!$A$2:$D$2794,2,FALSE)),"Código não cadastrado",(VLOOKUP(H:H,produtos_escape2!$A$2:$D$2794,4,FALSE))))</f>
        <v>KG</v>
      </c>
      <c r="N58" s="486">
        <v>30</v>
      </c>
      <c r="O58" s="176" t="s">
        <v>3663</v>
      </c>
      <c r="P58" s="486">
        <v>27</v>
      </c>
      <c r="Q58" s="247">
        <v>23.111111111111111</v>
      </c>
      <c r="R58" s="246">
        <f t="shared" si="1"/>
        <v>624</v>
      </c>
      <c r="S58" s="177">
        <v>43811</v>
      </c>
      <c r="T58" s="182">
        <v>1164569</v>
      </c>
      <c r="U58" s="177">
        <v>43812</v>
      </c>
      <c r="V58" s="177">
        <v>43812</v>
      </c>
      <c r="W58" s="177">
        <v>43829</v>
      </c>
      <c r="X58" s="415">
        <v>44836</v>
      </c>
      <c r="Y58" s="177">
        <v>43854</v>
      </c>
      <c r="Z58" s="598" t="s">
        <v>2755</v>
      </c>
      <c r="AA58" s="488"/>
      <c r="AB58" s="594"/>
      <c r="AC58" s="595"/>
      <c r="AD58" s="596" t="str">
        <f>IF(AND(AC58&lt;&gt;"",S58&lt;&gt;""),NETWORKDAYS(AC58,S58,#REF!),"")</f>
        <v/>
      </c>
      <c r="AE58" s="596" t="str">
        <f ca="1">IF(AND(AD58="",AC58=""),"",IF(OR(AD58&lt;&gt;"",O58="*CANCELADO"),"",NETWORKDAYS(AC58,TODAY(),#REF!)))</f>
        <v/>
      </c>
      <c r="AF58" s="597" t="str">
        <f>IFERROR(INDEX(produtos_escape2!M:M,MATCH(Controle!H58,produtos_escape2!A:A,0)),"")</f>
        <v>CAL SODADA</v>
      </c>
    </row>
    <row r="59" spans="1:32" ht="14.25" customHeight="1">
      <c r="A59" s="176" t="s">
        <v>6775</v>
      </c>
      <c r="B59" s="176" t="s">
        <v>3608</v>
      </c>
      <c r="C59" s="177">
        <v>43804</v>
      </c>
      <c r="D59" s="176" t="s">
        <v>7141</v>
      </c>
      <c r="E59" s="176" t="s">
        <v>3009</v>
      </c>
      <c r="F59" s="259" t="s">
        <v>7234</v>
      </c>
      <c r="G59" s="176">
        <v>4</v>
      </c>
      <c r="H59" s="178">
        <v>92445</v>
      </c>
      <c r="I59" s="592">
        <f t="shared" si="0"/>
        <v>8</v>
      </c>
      <c r="J59" s="178" t="s">
        <v>816</v>
      </c>
      <c r="K59" s="178" t="s">
        <v>816</v>
      </c>
      <c r="L59" s="275"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59" s="593" t="str">
        <f>IF(H:H=0,"",IF(ISERROR(VLOOKUP(H:H,produtos_escape2!$A$2:$D$2794,2,FALSE)),"Código não cadastrado",(VLOOKUP(H:H,produtos_escape2!$A$2:$D$2794,4,FALSE))))</f>
        <v>UN</v>
      </c>
      <c r="N59" s="486">
        <v>100</v>
      </c>
      <c r="O59" s="176" t="s">
        <v>3663</v>
      </c>
      <c r="P59" s="486">
        <v>100</v>
      </c>
      <c r="Q59" s="247">
        <v>2.27</v>
      </c>
      <c r="R59" s="246">
        <f t="shared" si="1"/>
        <v>227</v>
      </c>
      <c r="S59" s="177">
        <v>43811</v>
      </c>
      <c r="T59" s="182">
        <v>1164569</v>
      </c>
      <c r="U59" s="177">
        <v>43812</v>
      </c>
      <c r="V59" s="177">
        <v>43812</v>
      </c>
      <c r="W59" s="177">
        <v>43829</v>
      </c>
      <c r="X59" s="415">
        <v>44836</v>
      </c>
      <c r="Y59" s="177">
        <v>43854</v>
      </c>
      <c r="Z59" s="598" t="s">
        <v>2755</v>
      </c>
      <c r="AA59" s="488"/>
      <c r="AB59" s="594"/>
      <c r="AC59" s="595"/>
      <c r="AD59" s="596" t="str">
        <f>IF(AND(AC59&lt;&gt;"",S59&lt;&gt;""),NETWORKDAYS(AC59,S59,#REF!),"")</f>
        <v/>
      </c>
      <c r="AE59" s="596" t="str">
        <f ca="1">IF(AND(AD59="",AC59=""),"",IF(OR(AD59&lt;&gt;"",O59="*CANCELADO"),"",NETWORKDAYS(AC59,TODAY(),#REF!)))</f>
        <v/>
      </c>
      <c r="AF59" s="597" t="str">
        <f>IFERROR(INDEX(produtos_escape2!M:M,MATCH(Controle!H59,produtos_escape2!A:A,0)),"")</f>
        <v>SONDA DE FOLEY 2 VIAS LÁTEX Nº 14</v>
      </c>
    </row>
    <row r="60" spans="1:32" ht="14.25" customHeight="1">
      <c r="A60" s="176" t="s">
        <v>6775</v>
      </c>
      <c r="B60" s="176" t="s">
        <v>3608</v>
      </c>
      <c r="C60" s="177">
        <v>43804</v>
      </c>
      <c r="D60" s="176" t="s">
        <v>7141</v>
      </c>
      <c r="E60" s="176" t="s">
        <v>3009</v>
      </c>
      <c r="F60" s="259" t="s">
        <v>7234</v>
      </c>
      <c r="G60" s="176">
        <v>5</v>
      </c>
      <c r="H60" s="178">
        <v>92439</v>
      </c>
      <c r="I60" s="592">
        <f t="shared" si="0"/>
        <v>4</v>
      </c>
      <c r="J60" s="178" t="s">
        <v>816</v>
      </c>
      <c r="K60" s="178" t="s">
        <v>816</v>
      </c>
      <c r="L60" s="275"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60" s="593" t="str">
        <f>IF(H:H=0,"",IF(ISERROR(VLOOKUP(H:H,produtos_escape2!$A$2:$D$2794,2,FALSE)),"Código não cadastrado",(VLOOKUP(H:H,produtos_escape2!$A$2:$D$2794,4,FALSE))))</f>
        <v>UN</v>
      </c>
      <c r="N60" s="486">
        <v>100</v>
      </c>
      <c r="O60" s="176" t="s">
        <v>3663</v>
      </c>
      <c r="P60" s="486">
        <v>100</v>
      </c>
      <c r="Q60" s="247">
        <v>2.27</v>
      </c>
      <c r="R60" s="246">
        <f t="shared" si="1"/>
        <v>227</v>
      </c>
      <c r="S60" s="177">
        <v>43811</v>
      </c>
      <c r="T60" s="182">
        <v>1164569</v>
      </c>
      <c r="U60" s="177">
        <v>43812</v>
      </c>
      <c r="V60" s="177">
        <v>43812</v>
      </c>
      <c r="W60" s="177">
        <v>43829</v>
      </c>
      <c r="X60" s="415">
        <v>44836</v>
      </c>
      <c r="Y60" s="177">
        <v>43854</v>
      </c>
      <c r="Z60" s="598" t="s">
        <v>2755</v>
      </c>
      <c r="AA60" s="488"/>
      <c r="AB60" s="594"/>
      <c r="AC60" s="595"/>
      <c r="AD60" s="596" t="str">
        <f>IF(AND(AC60&lt;&gt;"",S60&lt;&gt;""),NETWORKDAYS(AC60,S60,#REF!),"")</f>
        <v/>
      </c>
      <c r="AE60" s="596" t="str">
        <f ca="1">IF(AND(AD60="",AC60=""),"",IF(OR(AD60&lt;&gt;"",O60="*CANCELADO"),"",NETWORKDAYS(AC60,TODAY(),#REF!)))</f>
        <v/>
      </c>
      <c r="AF60" s="597" t="str">
        <f>IFERROR(INDEX(produtos_escape2!M:M,MATCH(Controle!H60,produtos_escape2!A:A,0)),"")</f>
        <v>SONDA DE FOLEY 2 VIAS LÁTEX Nº 18</v>
      </c>
    </row>
    <row r="61" spans="1:32" ht="14.25" customHeight="1">
      <c r="A61" s="176" t="s">
        <v>5777</v>
      </c>
      <c r="B61" s="176" t="s">
        <v>7207</v>
      </c>
      <c r="C61" s="177">
        <v>43804</v>
      </c>
      <c r="D61" s="176" t="s">
        <v>7131</v>
      </c>
      <c r="E61" s="176" t="s">
        <v>3009</v>
      </c>
      <c r="F61" s="259" t="s">
        <v>7235</v>
      </c>
      <c r="G61" s="176">
        <v>1</v>
      </c>
      <c r="H61" s="178">
        <v>12832</v>
      </c>
      <c r="I61" s="592">
        <f t="shared" si="0"/>
        <v>2</v>
      </c>
      <c r="J61" s="178" t="s">
        <v>816</v>
      </c>
      <c r="K61" s="178" t="s">
        <v>816</v>
      </c>
      <c r="L61" s="275" t="str">
        <f>IF(H:H=0,"",IF(ISERROR(VLOOKUP(H:H,produtos_escape2!$A$2:$B$2794,2,FALSE)),"Código não cadastrado",(VLOOKUP(H:H,produtos_escape2!$A$2:$B$2794,2,FALSE))))</f>
        <v>JALECO EM MICROFIBRA, Material: 100% algodão, fio 40, gramatura de 180 g/m2, Tamanho: P,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61" s="593" t="str">
        <f>IF(H:H=0,"",IF(ISERROR(VLOOKUP(H:H,produtos_escape2!$A$2:$D$2794,2,FALSE)),"Código não cadastrado",(VLOOKUP(H:H,produtos_escape2!$A$2:$D$2794,4,FALSE))))</f>
        <v>UN</v>
      </c>
      <c r="N61" s="486">
        <v>20</v>
      </c>
      <c r="O61" s="176" t="s">
        <v>4149</v>
      </c>
      <c r="P61" s="486">
        <v>20</v>
      </c>
      <c r="Q61" s="247">
        <v>45</v>
      </c>
      <c r="R61" s="246">
        <f t="shared" si="1"/>
        <v>900</v>
      </c>
      <c r="S61" s="177">
        <v>43818</v>
      </c>
      <c r="T61" s="182">
        <v>1906</v>
      </c>
      <c r="U61" s="177">
        <v>43943</v>
      </c>
      <c r="V61" s="177">
        <v>43944</v>
      </c>
      <c r="W61" s="177">
        <v>43944</v>
      </c>
      <c r="X61" s="176">
        <v>18212</v>
      </c>
      <c r="Y61" s="177">
        <v>43986</v>
      </c>
      <c r="Z61" s="598" t="s">
        <v>2755</v>
      </c>
      <c r="AA61" s="601" t="s">
        <v>7132</v>
      </c>
      <c r="AB61" s="594"/>
      <c r="AC61" s="595"/>
      <c r="AD61" s="596" t="str">
        <f>IF(AND(AC61&lt;&gt;"",S61&lt;&gt;""),NETWORKDAYS(AC61,S61,#REF!),"")</f>
        <v/>
      </c>
      <c r="AE61" s="596" t="str">
        <f ca="1">IF(AND(AD61="",AC61=""),"",IF(OR(AD61&lt;&gt;"",O61="*CANCELADO"),"",NETWORKDAYS(AC61,TODAY(),#REF!)))</f>
        <v/>
      </c>
      <c r="AF61" s="597" t="str">
        <f>IFERROR(INDEX(produtos_escape2!M:M,MATCH(Controle!H61,produtos_escape2!A:A,0)),"")</f>
        <v>JALECO P</v>
      </c>
    </row>
    <row r="62" spans="1:32" ht="14.25" customHeight="1">
      <c r="A62" s="176" t="s">
        <v>5777</v>
      </c>
      <c r="B62" s="176" t="s">
        <v>7207</v>
      </c>
      <c r="C62" s="177">
        <v>43804</v>
      </c>
      <c r="D62" s="176" t="s">
        <v>7131</v>
      </c>
      <c r="E62" s="176" t="s">
        <v>3009</v>
      </c>
      <c r="F62" s="259" t="s">
        <v>7235</v>
      </c>
      <c r="G62" s="176">
        <v>2</v>
      </c>
      <c r="H62" s="178">
        <v>12835</v>
      </c>
      <c r="I62" s="592">
        <f t="shared" si="0"/>
        <v>2</v>
      </c>
      <c r="J62" s="178" t="s">
        <v>816</v>
      </c>
      <c r="K62" s="178" t="s">
        <v>816</v>
      </c>
      <c r="L62" s="275" t="str">
        <f>IF(H:H=0,"",IF(ISERROR(VLOOKUP(H:H,produtos_escape2!$A$2:$B$2794,2,FALSE)),"Código não cadastrado",(VLOOKUP(H:H,produtos_escape2!$A$2:$B$2794,2,FALSE))))</f>
        <v>JALECO EM MICROFIBRA, Material: 100% algodão, fio 40, gramatura de 180 g/m2, Tamanho: M,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62" s="593" t="str">
        <f>IF(H:H=0,"",IF(ISERROR(VLOOKUP(H:H,produtos_escape2!$A$2:$D$2794,2,FALSE)),"Código não cadastrado",(VLOOKUP(H:H,produtos_escape2!$A$2:$D$2794,4,FALSE))))</f>
        <v>UN</v>
      </c>
      <c r="N62" s="486">
        <v>44</v>
      </c>
      <c r="O62" s="176" t="s">
        <v>4149</v>
      </c>
      <c r="P62" s="486">
        <v>38</v>
      </c>
      <c r="Q62" s="247">
        <v>45</v>
      </c>
      <c r="R62" s="246">
        <f t="shared" si="1"/>
        <v>1710</v>
      </c>
      <c r="S62" s="177">
        <v>43818</v>
      </c>
      <c r="T62" s="182">
        <v>1906</v>
      </c>
      <c r="U62" s="177">
        <v>43943</v>
      </c>
      <c r="V62" s="177">
        <v>43944</v>
      </c>
      <c r="W62" s="177">
        <v>43944</v>
      </c>
      <c r="X62" s="176">
        <v>18212</v>
      </c>
      <c r="Y62" s="177">
        <v>43986</v>
      </c>
      <c r="Z62" s="598" t="s">
        <v>2755</v>
      </c>
      <c r="AA62" s="601" t="s">
        <v>7132</v>
      </c>
      <c r="AB62" s="594"/>
      <c r="AC62" s="595"/>
      <c r="AD62" s="596" t="str">
        <f>IF(AND(AC62&lt;&gt;"",S62&lt;&gt;""),NETWORKDAYS(AC62,S62,#REF!),"")</f>
        <v/>
      </c>
      <c r="AE62" s="596" t="str">
        <f ca="1">IF(AND(AD62="",AC62=""),"",IF(OR(AD62&lt;&gt;"",O62="*CANCELADO"),"",NETWORKDAYS(AC62,TODAY(),#REF!)))</f>
        <v/>
      </c>
      <c r="AF62" s="597" t="str">
        <f>IFERROR(INDEX(produtos_escape2!M:M,MATCH(Controle!H62,produtos_escape2!A:A,0)),"")</f>
        <v>JALECO M</v>
      </c>
    </row>
    <row r="63" spans="1:32" ht="14.25" customHeight="1">
      <c r="A63" s="176" t="s">
        <v>5777</v>
      </c>
      <c r="B63" s="176" t="s">
        <v>7207</v>
      </c>
      <c r="C63" s="177">
        <v>43804</v>
      </c>
      <c r="D63" s="176" t="s">
        <v>7131</v>
      </c>
      <c r="E63" s="176" t="s">
        <v>3009</v>
      </c>
      <c r="F63" s="259" t="s">
        <v>7235</v>
      </c>
      <c r="G63" s="176">
        <v>3</v>
      </c>
      <c r="H63" s="178">
        <v>12836</v>
      </c>
      <c r="I63" s="592">
        <f t="shared" si="0"/>
        <v>2</v>
      </c>
      <c r="J63" s="178" t="s">
        <v>816</v>
      </c>
      <c r="K63" s="178" t="s">
        <v>816</v>
      </c>
      <c r="L63" s="275" t="str">
        <f>IF(H:H=0,"",IF(ISERROR(VLOOKUP(H:H,produtos_escape2!$A$2:$B$2794,2,FALSE)),"Código não cadastrado",(VLOOKUP(H:H,produtos_escape2!$A$2:$B$2794,2,FALSE))))</f>
        <v>JALECO EM MICROFIBRA, Material: 100% algodão, fio 40, gramatura de 180 g/m2, Tamanho: G,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63" s="593" t="str">
        <f>IF(H:H=0,"",IF(ISERROR(VLOOKUP(H:H,produtos_escape2!$A$2:$D$2794,2,FALSE)),"Código não cadastrado",(VLOOKUP(H:H,produtos_escape2!$A$2:$D$2794,4,FALSE))))</f>
        <v>UN</v>
      </c>
      <c r="N63" s="486">
        <v>57</v>
      </c>
      <c r="O63" s="176" t="s">
        <v>4149</v>
      </c>
      <c r="P63" s="486">
        <v>49</v>
      </c>
      <c r="Q63" s="247">
        <v>45</v>
      </c>
      <c r="R63" s="246">
        <f t="shared" si="1"/>
        <v>2205</v>
      </c>
      <c r="S63" s="177">
        <v>43818</v>
      </c>
      <c r="T63" s="182">
        <v>1906</v>
      </c>
      <c r="U63" s="177">
        <v>43943</v>
      </c>
      <c r="V63" s="177">
        <v>43944</v>
      </c>
      <c r="W63" s="177">
        <v>43944</v>
      </c>
      <c r="X63" s="176">
        <v>18212</v>
      </c>
      <c r="Y63" s="177">
        <v>43986</v>
      </c>
      <c r="Z63" s="598" t="s">
        <v>2755</v>
      </c>
      <c r="AA63" s="601" t="s">
        <v>7132</v>
      </c>
      <c r="AB63" s="594"/>
      <c r="AC63" s="595"/>
      <c r="AD63" s="596" t="str">
        <f>IF(AND(AC63&lt;&gt;"",S63&lt;&gt;""),NETWORKDAYS(AC63,S63,#REF!),"")</f>
        <v/>
      </c>
      <c r="AE63" s="596" t="str">
        <f ca="1">IF(AND(AD63="",AC63=""),"",IF(OR(AD63&lt;&gt;"",O63="*CANCELADO"),"",NETWORKDAYS(AC63,TODAY(),#REF!)))</f>
        <v/>
      </c>
      <c r="AF63" s="597" t="str">
        <f>IFERROR(INDEX(produtos_escape2!M:M,MATCH(Controle!H63,produtos_escape2!A:A,0)),"")</f>
        <v>JALECO G</v>
      </c>
    </row>
    <row r="64" spans="1:32" ht="14.25" customHeight="1">
      <c r="A64" s="176" t="s">
        <v>6795</v>
      </c>
      <c r="B64" s="176" t="s">
        <v>3608</v>
      </c>
      <c r="C64" s="177">
        <v>43810</v>
      </c>
      <c r="D64" s="176" t="s">
        <v>7151</v>
      </c>
      <c r="E64" s="176" t="s">
        <v>3009</v>
      </c>
      <c r="F64" s="259" t="s">
        <v>7236</v>
      </c>
      <c r="G64" s="176">
        <v>1</v>
      </c>
      <c r="H64" s="178">
        <v>90894</v>
      </c>
      <c r="I64" s="592">
        <f t="shared" si="0"/>
        <v>1</v>
      </c>
      <c r="J64" s="178" t="s">
        <v>816</v>
      </c>
      <c r="K64" s="178" t="s">
        <v>816</v>
      </c>
      <c r="L64" s="275" t="str">
        <f>IF(H:H=0,"",IF(ISERROR(VLOOKUP(H:H,produtos_escape2!$A$2:$B$2794,2,FALSE)),"Código não cadastrado",(VLOOKUP(H:H,produtos_escape2!$A$2:$B$2794,2,FALSE))))</f>
        <v>GENTAMICINA SOLUCAO INJETAVEL 40 MG/ML AMPOLA 2 ML</v>
      </c>
      <c r="M64" s="593" t="str">
        <f>IF(H:H=0,"",IF(ISERROR(VLOOKUP(H:H,produtos_escape2!$A$2:$D$2794,2,FALSE)),"Código não cadastrado",(VLOOKUP(H:H,produtos_escape2!$A$2:$D$2794,4,FALSE))))</f>
        <v>AMP</v>
      </c>
      <c r="N64" s="486">
        <v>800</v>
      </c>
      <c r="O64" s="176" t="s">
        <v>1868</v>
      </c>
      <c r="P64" s="486"/>
      <c r="Q64" s="247">
        <v>0.76154999999999995</v>
      </c>
      <c r="R64" s="246">
        <f t="shared" si="1"/>
        <v>0</v>
      </c>
      <c r="S64" s="177">
        <v>43818</v>
      </c>
      <c r="T64" s="182"/>
      <c r="U64" s="177"/>
      <c r="V64" s="177"/>
      <c r="W64" s="177"/>
      <c r="X64" s="176"/>
      <c r="Y64" s="177"/>
      <c r="Z64" s="598" t="s">
        <v>2755</v>
      </c>
      <c r="AA64" s="488" t="s">
        <v>7256</v>
      </c>
      <c r="AB64" s="594"/>
      <c r="AC64" s="595"/>
      <c r="AD64" s="596" t="str">
        <f>IF(AND(AC64&lt;&gt;"",S64&lt;&gt;""),NETWORKDAYS(AC64,S64,#REF!),"")</f>
        <v/>
      </c>
      <c r="AE64" s="596" t="str">
        <f ca="1">IF(AND(AD64="",AC64=""),"",IF(OR(AD64&lt;&gt;"",O64="*CANCELADO"),"",NETWORKDAYS(AC64,TODAY(),#REF!)))</f>
        <v/>
      </c>
      <c r="AF64" s="597" t="str">
        <f>IFERROR(INDEX(produtos_escape2!M:M,MATCH(Controle!H64,produtos_escape2!A:A,0)),"")</f>
        <v>GENTAMICINA SOLUCAO INJETAVEL 40 MG/ML AMPOLA 2 ML</v>
      </c>
    </row>
    <row r="65" spans="1:32" ht="14.25" customHeight="1">
      <c r="A65" s="176" t="s">
        <v>5778</v>
      </c>
      <c r="B65" s="176" t="s">
        <v>3608</v>
      </c>
      <c r="C65" s="177">
        <v>43810</v>
      </c>
      <c r="D65" s="176" t="s">
        <v>7152</v>
      </c>
      <c r="E65" s="176" t="s">
        <v>3009</v>
      </c>
      <c r="F65" s="259" t="s">
        <v>7237</v>
      </c>
      <c r="G65" s="176">
        <v>1</v>
      </c>
      <c r="H65" s="178">
        <v>36200</v>
      </c>
      <c r="I65" s="592">
        <f t="shared" si="0"/>
        <v>1</v>
      </c>
      <c r="J65" s="178" t="s">
        <v>816</v>
      </c>
      <c r="K65" s="178" t="s">
        <v>816</v>
      </c>
      <c r="L65" s="275" t="str">
        <f>IF(H:H=0,"",IF(ISERROR(VLOOKUP(H:H,produtos_escape2!$A$2:$B$2794,2,FALSE)),"Código não cadastrado",(VLOOKUP(H:H,produtos_escape2!$A$2:$B$2794,2,FALSE))))</f>
        <v>PINÇA ENDOSCÓPICA PARA APLICAÇÃO DE CLIP, autoclavável, empunhadura com trave de proteção que impeça o fechamento do Clip, modelo Click-Line, para aplicação de Clip, com 10 mm de diâmetro e 33 cm de comprimento aproximadamente (tolerância de +/- 5%); Aplicação: cirurgia Vídeoendoscopia, aplicador de Clip para hemostasia endoscópica, radiopaco, autoclavável, que permita fácil carregamento do Clip e sua rotação antes da aplicação, deve oferecer a possibilidade travamento que impeça o fechamento inadvertidamente do Clip; Material: aço inox AISI; Característica: as pontas deverão apresentar perfeito acabamento e os instrumentos adequados ao trabalho a que se destinam. O peso deve ser o menor possível, o aço deverá ter tratamento térmico integral a fim de atingir dureza e flexibilidade adequadas a um perfeito desempenho dos instrumentos com polimento e fundição perfeitos sem bolhas, buracos ou defeitos que possam provocar quebra, manchas ou corrosão; Processo de Esterilização: entregue não estéril, porém, deve permitir esterilização em autoclave; Forma de Apresentação: os instrumentos deverão apresentar dureza adequada a um perfeito desempenho.</v>
      </c>
      <c r="M65" s="593" t="str">
        <f>IF(H:H=0,"",IF(ISERROR(VLOOKUP(H:H,produtos_escape2!$A$2:$D$2794,2,FALSE)),"Código não cadastrado",(VLOOKUP(H:H,produtos_escape2!$A$2:$D$2794,4,FALSE))))</f>
        <v>UN</v>
      </c>
      <c r="N65" s="486">
        <v>1</v>
      </c>
      <c r="O65" s="176" t="s">
        <v>7182</v>
      </c>
      <c r="P65" s="486">
        <v>1</v>
      </c>
      <c r="Q65" s="247">
        <v>11500.17</v>
      </c>
      <c r="R65" s="246">
        <f t="shared" si="1"/>
        <v>11500.17</v>
      </c>
      <c r="S65" s="177">
        <v>43818</v>
      </c>
      <c r="T65" s="182">
        <v>138374</v>
      </c>
      <c r="U65" s="177">
        <v>43822</v>
      </c>
      <c r="V65" s="177">
        <v>43829</v>
      </c>
      <c r="W65" s="177">
        <v>43829</v>
      </c>
      <c r="X65" s="415">
        <v>44987</v>
      </c>
      <c r="Y65" s="177">
        <v>43854</v>
      </c>
      <c r="Z65" s="598" t="s">
        <v>2755</v>
      </c>
      <c r="AA65" s="488"/>
      <c r="AB65" s="594"/>
      <c r="AC65" s="595"/>
      <c r="AD65" s="596" t="str">
        <f>IF(AND(AC65&lt;&gt;"",S65&lt;&gt;""),NETWORKDAYS(AC65,S65,#REF!),"")</f>
        <v/>
      </c>
      <c r="AE65" s="596" t="str">
        <f ca="1">IF(AND(AD65="",AC65=""),"",IF(OR(AD65&lt;&gt;"",O65="*CANCELADO"),"",NETWORKDAYS(AC65,TODAY(),#REF!)))</f>
        <v/>
      </c>
      <c r="AF65" s="597" t="str">
        <f>IFERROR(INDEX(produtos_escape2!M:M,MATCH(Controle!H65,produtos_escape2!A:A,0)),"")</f>
        <v>PINÇ ENDOSCÓPICA</v>
      </c>
    </row>
    <row r="66" spans="1:32" ht="14.25" customHeight="1">
      <c r="A66" s="176" t="s">
        <v>6805</v>
      </c>
      <c r="B66" s="176" t="s">
        <v>3608</v>
      </c>
      <c r="C66" s="177">
        <v>43810</v>
      </c>
      <c r="D66" s="176" t="s">
        <v>7155</v>
      </c>
      <c r="E66" s="176" t="s">
        <v>3009</v>
      </c>
      <c r="F66" s="259" t="s">
        <v>7238</v>
      </c>
      <c r="G66" s="176">
        <v>2</v>
      </c>
      <c r="H66" s="178">
        <v>90354</v>
      </c>
      <c r="I66" s="592">
        <f t="shared" si="0"/>
        <v>9</v>
      </c>
      <c r="J66" s="178" t="s">
        <v>816</v>
      </c>
      <c r="K66" s="178" t="s">
        <v>816</v>
      </c>
      <c r="L66" s="275" t="str">
        <f>IF(H:H=0,"",IF(ISERROR(VLOOKUP(H:H,produtos_escape2!$A$2:$B$2794,2,FALSE)),"Código não cadastrado",(VLOOKUP(H:H,produtos_escape2!$A$2:$B$2794,2,FALSE))))</f>
        <v>LACTULOSE XAROPE 667 MG/ML FRASCO 120 ML
NÂO pode ser a Lactulife da Naturelife.</v>
      </c>
      <c r="M66" s="593" t="str">
        <f>IF(H:H=0,"",IF(ISERROR(VLOOKUP(H:H,produtos_escape2!$A$2:$D$2794,2,FALSE)),"Código não cadastrado",(VLOOKUP(H:H,produtos_escape2!$A$2:$D$2794,4,FALSE))))</f>
        <v>FR</v>
      </c>
      <c r="N66" s="486">
        <v>300</v>
      </c>
      <c r="O66" s="176" t="s">
        <v>4379</v>
      </c>
      <c r="P66" s="486">
        <v>300</v>
      </c>
      <c r="Q66" s="247">
        <v>6.24</v>
      </c>
      <c r="R66" s="246">
        <f t="shared" si="1"/>
        <v>1872</v>
      </c>
      <c r="S66" s="177">
        <v>43818</v>
      </c>
      <c r="T66" s="182">
        <v>9105</v>
      </c>
      <c r="U66" s="177">
        <v>43819</v>
      </c>
      <c r="V66" s="177">
        <v>43819</v>
      </c>
      <c r="W66" s="177">
        <v>43829</v>
      </c>
      <c r="X66" s="415">
        <v>44926</v>
      </c>
      <c r="Y66" s="177">
        <v>43854</v>
      </c>
      <c r="Z66" s="598" t="s">
        <v>2755</v>
      </c>
      <c r="AA66" s="488"/>
      <c r="AB66" s="594"/>
      <c r="AC66" s="595"/>
      <c r="AD66" s="596" t="str">
        <f>IF(AND(AC66&lt;&gt;"",S66&lt;&gt;""),NETWORKDAYS(AC66,S66,#REF!),"")</f>
        <v/>
      </c>
      <c r="AE66" s="596" t="str">
        <f ca="1">IF(AND(AD66="",AC66=""),"",IF(OR(AD66&lt;&gt;"",O66="*CANCELADO"),"",NETWORKDAYS(AC66,TODAY(),#REF!)))</f>
        <v/>
      </c>
      <c r="AF66" s="597" t="str">
        <f>IFERROR(INDEX(produtos_escape2!M:M,MATCH(Controle!H66,produtos_escape2!A:A,0)),"")</f>
        <v>LACTULOSE XAROPE 667 MG/ML FRASCO 120 ML</v>
      </c>
    </row>
    <row r="67" spans="1:32" ht="14.25" customHeight="1">
      <c r="A67" s="176" t="s">
        <v>6806</v>
      </c>
      <c r="B67" s="176" t="s">
        <v>3608</v>
      </c>
      <c r="C67" s="177">
        <v>43810</v>
      </c>
      <c r="D67" s="176" t="s">
        <v>7156</v>
      </c>
      <c r="E67" s="176" t="s">
        <v>3009</v>
      </c>
      <c r="F67" s="259" t="s">
        <v>7239</v>
      </c>
      <c r="G67" s="176">
        <v>1</v>
      </c>
      <c r="H67" s="178">
        <v>21753</v>
      </c>
      <c r="I67" s="592">
        <f t="shared" ref="I67:I130" si="2">COUNTIF($H$3:$H$3041,H67)</f>
        <v>1</v>
      </c>
      <c r="J67" s="178" t="s">
        <v>816</v>
      </c>
      <c r="K67" s="178" t="s">
        <v>816</v>
      </c>
      <c r="L67" s="275" t="str">
        <f>IF(H:H=0,"",IF(ISERROR(VLOOKUP(H:H,produtos_escape2!$A$2:$B$2794,2,FALSE)),"Código não cadastrado",(VLOOKUP(H:H,produtos_escape2!$A$2:$B$2794,2,FALSE))))</f>
        <v>AGULHA PARA COLETA MULTIPLA DE SANGUE A VACUO. Aplicação: para coleta múltipla de sangue a vácuo. Tamanho/Capacidade: 21G, Características adicionais: com dispositivo exclusivo de segurança, que após acionado recobrirá completamente a agulha garantindo total biosegurança. Agulha com bisel trifacetado, siliconizada, estéril. Forma de apresentação: embalagem individual. 
**OBS.: Para cada 100 unidades de agulhas adquiridas, o vencedor do certame deverá fornecer um adaptador plástico, reutilizável, não estéril e exclusivo dispositivo de segurança junto a base do adaptador, que quando acionado descarta automaticamente a agulha.</v>
      </c>
      <c r="M67" s="593" t="str">
        <f>IF(H:H=0,"",IF(ISERROR(VLOOKUP(H:H,produtos_escape2!$A$2:$D$2794,2,FALSE)),"Código não cadastrado",(VLOOKUP(H:H,produtos_escape2!$A$2:$D$2794,4,FALSE))))</f>
        <v>UN</v>
      </c>
      <c r="N67" s="486">
        <v>20000</v>
      </c>
      <c r="O67" s="176" t="s">
        <v>5751</v>
      </c>
      <c r="P67" s="486">
        <v>20000</v>
      </c>
      <c r="Q67" s="247">
        <v>0.28000000000000003</v>
      </c>
      <c r="R67" s="246">
        <f t="shared" ref="R67:R130" si="3">P67*Q67</f>
        <v>5600.0000000000009</v>
      </c>
      <c r="S67" s="177">
        <v>43818</v>
      </c>
      <c r="T67" s="182">
        <v>3712</v>
      </c>
      <c r="U67" s="177">
        <v>43839</v>
      </c>
      <c r="V67" s="177">
        <v>43846</v>
      </c>
      <c r="W67" s="177">
        <v>43851</v>
      </c>
      <c r="X67" s="415">
        <v>44939</v>
      </c>
      <c r="Y67" s="177">
        <v>43854</v>
      </c>
      <c r="Z67" s="598" t="s">
        <v>2755</v>
      </c>
      <c r="AA67" s="488"/>
      <c r="AB67" s="594"/>
      <c r="AC67" s="595"/>
      <c r="AD67" s="596" t="str">
        <f>IF(AND(AC67&lt;&gt;"",S67&lt;&gt;""),NETWORKDAYS(AC67,S67,#REF!),"")</f>
        <v/>
      </c>
      <c r="AE67" s="596" t="str">
        <f ca="1">IF(AND(AD67="",AC67=""),"",IF(OR(AD67&lt;&gt;"",O67="*CANCELADO"),"",NETWORKDAYS(AC67,TODAY(),#REF!)))</f>
        <v/>
      </c>
      <c r="AF67" s="597" t="str">
        <f>IFERROR(INDEX(produtos_escape2!M:M,MATCH(Controle!H67,produtos_escape2!A:A,0)),"")</f>
        <v>AGULHA PARA COLETA MULTIPLA DE SANGUE A VACUO</v>
      </c>
    </row>
    <row r="68" spans="1:32" ht="14.25" customHeight="1">
      <c r="A68" s="176" t="s">
        <v>6781</v>
      </c>
      <c r="B68" s="176" t="s">
        <v>3608</v>
      </c>
      <c r="C68" s="177">
        <v>43810</v>
      </c>
      <c r="D68" s="176" t="s">
        <v>7160</v>
      </c>
      <c r="E68" s="176" t="s">
        <v>3009</v>
      </c>
      <c r="F68" s="259" t="s">
        <v>7240</v>
      </c>
      <c r="G68" s="176">
        <v>1</v>
      </c>
      <c r="H68" s="178">
        <v>32038</v>
      </c>
      <c r="I68" s="592">
        <f t="shared" si="2"/>
        <v>1</v>
      </c>
      <c r="J68" s="178" t="s">
        <v>816</v>
      </c>
      <c r="K68" s="178" t="s">
        <v>816</v>
      </c>
      <c r="L68" s="275" t="str">
        <f>IF(H:H=0,"",IF(ISERROR(VLOOKUP(H:H,produtos_escape2!$A$2:$B$2794,2,FALSE)),"Código não cadastrado",(VLOOKUP(H:H,produtos_escape2!$A$2:$B$2794,2,FALSE))))</f>
        <v xml:space="preserve">PROTETOR OCULAR NEONATAL PARA FOTOTERAPIA, TAMANHO M. Aplicação: Proteção ocular do recém-nascido em uso de fototerapia, bloquear a passagem de luz, uso hospitalar. Material: composto em tecido que não solta resíduos. Características Adicionais: atóxico, hipoalergênico, livre de látex, anatômico, sem costuras, com blackout integrado e faixa de fixação ajustável. Processo de esterilização: não estéril. Apresentação: embalagem individual. </v>
      </c>
      <c r="M68" s="593" t="str">
        <f>IF(H:H=0,"",IF(ISERROR(VLOOKUP(H:H,produtos_escape2!$A$2:$D$2794,2,FALSE)),"Código não cadastrado",(VLOOKUP(H:H,produtos_escape2!$A$2:$D$2794,4,FALSE))))</f>
        <v>UN</v>
      </c>
      <c r="N68" s="486">
        <v>100</v>
      </c>
      <c r="O68" s="176" t="s">
        <v>1868</v>
      </c>
      <c r="P68" s="486"/>
      <c r="Q68" s="247">
        <v>23.9</v>
      </c>
      <c r="R68" s="246">
        <f t="shared" si="3"/>
        <v>0</v>
      </c>
      <c r="S68" s="177">
        <v>43818</v>
      </c>
      <c r="T68" s="182"/>
      <c r="U68" s="177"/>
      <c r="V68" s="177"/>
      <c r="W68" s="177"/>
      <c r="X68" s="176"/>
      <c r="Y68" s="177"/>
      <c r="Z68" s="598" t="s">
        <v>2755</v>
      </c>
      <c r="AA68" s="488" t="s">
        <v>7244</v>
      </c>
      <c r="AB68" s="594"/>
      <c r="AC68" s="595"/>
      <c r="AD68" s="596" t="str">
        <f>IF(AND(AC68&lt;&gt;"",S68&lt;&gt;""),NETWORKDAYS(AC68,S68,#REF!),"")</f>
        <v/>
      </c>
      <c r="AE68" s="596" t="str">
        <f ca="1">IF(AND(AD68="",AC68=""),"",IF(OR(AD68&lt;&gt;"",O68="*CANCELADO"),"",NETWORKDAYS(AC68,TODAY(),#REF!)))</f>
        <v/>
      </c>
      <c r="AF68" s="597" t="str">
        <f>IFERROR(INDEX(produtos_escape2!M:M,MATCH(Controle!H68,produtos_escape2!A:A,0)),"")</f>
        <v>PROTETOR OCULAR</v>
      </c>
    </row>
    <row r="69" spans="1:32" ht="14.25" customHeight="1">
      <c r="A69" s="176" t="s">
        <v>6794</v>
      </c>
      <c r="B69" s="176" t="s">
        <v>3608</v>
      </c>
      <c r="C69" s="177">
        <v>43810</v>
      </c>
      <c r="D69" s="176" t="s">
        <v>7161</v>
      </c>
      <c r="E69" s="176" t="s">
        <v>3009</v>
      </c>
      <c r="F69" s="259" t="s">
        <v>7241</v>
      </c>
      <c r="G69" s="176">
        <v>1</v>
      </c>
      <c r="H69" s="178">
        <v>36520</v>
      </c>
      <c r="I69" s="592">
        <f t="shared" si="2"/>
        <v>3</v>
      </c>
      <c r="J69" s="178" t="s">
        <v>816</v>
      </c>
      <c r="K69" s="178" t="s">
        <v>816</v>
      </c>
      <c r="L69" s="275"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69" s="593" t="str">
        <f>IF(H:H=0,"",IF(ISERROR(VLOOKUP(H:H,produtos_escape2!$A$2:$D$2794,2,FALSE)),"Código não cadastrado",(VLOOKUP(H:H,produtos_escape2!$A$2:$D$2794,4,FALSE))))</f>
        <v>Teste</v>
      </c>
      <c r="N69" s="486">
        <v>1200</v>
      </c>
      <c r="O69" s="176" t="s">
        <v>4247</v>
      </c>
      <c r="P69" s="486">
        <v>500</v>
      </c>
      <c r="Q69" s="247">
        <v>4.3380000000000001</v>
      </c>
      <c r="R69" s="246">
        <f t="shared" si="3"/>
        <v>2169</v>
      </c>
      <c r="S69" s="177">
        <v>43818</v>
      </c>
      <c r="T69" s="182">
        <v>546</v>
      </c>
      <c r="U69" s="177">
        <v>43843</v>
      </c>
      <c r="V69" s="177">
        <v>43843</v>
      </c>
      <c r="W69" s="177">
        <v>43846</v>
      </c>
      <c r="X69" s="176">
        <v>3269</v>
      </c>
      <c r="Y69" s="177">
        <v>43895</v>
      </c>
      <c r="Z69" s="598" t="s">
        <v>2755</v>
      </c>
      <c r="AA69" s="488"/>
      <c r="AB69" s="594"/>
      <c r="AC69" s="595"/>
      <c r="AD69" s="596" t="str">
        <f>IF(AND(AC69&lt;&gt;"",S69&lt;&gt;""),NETWORKDAYS(AC69,S69,#REF!),"")</f>
        <v/>
      </c>
      <c r="AE69" s="596" t="str">
        <f ca="1">IF(AND(AD69="",AC69=""),"",IF(OR(AD69&lt;&gt;"",O69="*CANCELADO"),"",NETWORKDAYS(AC69,TODAY(),#REF!)))</f>
        <v/>
      </c>
      <c r="AF69" s="597" t="str">
        <f>IFERROR(INDEX(produtos_escape2!M:M,MATCH(Controle!H69,produtos_escape2!A:A,0)),"")</f>
        <v>TESTE RAPIDO TROPONINA</v>
      </c>
    </row>
    <row r="70" spans="1:32" ht="14.25" customHeight="1">
      <c r="A70" s="176" t="s">
        <v>6794</v>
      </c>
      <c r="B70" s="176" t="s">
        <v>3608</v>
      </c>
      <c r="C70" s="177">
        <v>43810</v>
      </c>
      <c r="D70" s="176" t="s">
        <v>7161</v>
      </c>
      <c r="E70" s="176" t="s">
        <v>3009</v>
      </c>
      <c r="F70" s="259" t="s">
        <v>7241</v>
      </c>
      <c r="G70" s="176">
        <v>1</v>
      </c>
      <c r="H70" s="178">
        <v>36520</v>
      </c>
      <c r="I70" s="592">
        <f t="shared" si="2"/>
        <v>3</v>
      </c>
      <c r="J70" s="178" t="s">
        <v>816</v>
      </c>
      <c r="K70" s="178" t="s">
        <v>816</v>
      </c>
      <c r="L70" s="275"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70" s="593" t="str">
        <f>IF(H:H=0,"",IF(ISERROR(VLOOKUP(H:H,produtos_escape2!$A$2:$D$2794,2,FALSE)),"Código não cadastrado",(VLOOKUP(H:H,produtos_escape2!$A$2:$D$2794,4,FALSE))))</f>
        <v>Teste</v>
      </c>
      <c r="N70" s="486">
        <v>1200</v>
      </c>
      <c r="O70" s="176" t="s">
        <v>4247</v>
      </c>
      <c r="P70" s="486">
        <v>700</v>
      </c>
      <c r="Q70" s="247">
        <v>4.3380000000000001</v>
      </c>
      <c r="R70" s="246">
        <f t="shared" si="3"/>
        <v>3036.6</v>
      </c>
      <c r="S70" s="177">
        <v>43818</v>
      </c>
      <c r="T70" s="182">
        <v>597</v>
      </c>
      <c r="U70" s="177">
        <v>43857</v>
      </c>
      <c r="V70" s="177">
        <v>43858</v>
      </c>
      <c r="W70" s="177">
        <v>43859</v>
      </c>
      <c r="X70" s="176">
        <v>3278</v>
      </c>
      <c r="Y70" s="177">
        <v>43895</v>
      </c>
      <c r="Z70" s="598" t="s">
        <v>2755</v>
      </c>
      <c r="AA70" s="488"/>
      <c r="AB70" s="594"/>
      <c r="AC70" s="595"/>
      <c r="AD70" s="596" t="str">
        <f>IF(AND(AC70&lt;&gt;"",S70&lt;&gt;""),NETWORKDAYS(AC70,S70,#REF!),"")</f>
        <v/>
      </c>
      <c r="AE70" s="596" t="str">
        <f ca="1">IF(AND(AD70="",AC70=""),"",IF(OR(AD70&lt;&gt;"",O70="*CANCELADO"),"",NETWORKDAYS(AC70,TODAY(),#REF!)))</f>
        <v/>
      </c>
      <c r="AF70" s="597" t="str">
        <f>IFERROR(INDEX(produtos_escape2!M:M,MATCH(Controle!H70,produtos_escape2!A:A,0)),"")</f>
        <v>TESTE RAPIDO TROPONINA</v>
      </c>
    </row>
    <row r="71" spans="1:32" ht="14.25" customHeight="1">
      <c r="A71" s="176" t="s">
        <v>6779</v>
      </c>
      <c r="B71" s="176" t="s">
        <v>3608</v>
      </c>
      <c r="C71" s="177">
        <v>43810</v>
      </c>
      <c r="D71" s="176" t="s">
        <v>7162</v>
      </c>
      <c r="E71" s="176" t="s">
        <v>3009</v>
      </c>
      <c r="F71" s="259" t="s">
        <v>7242</v>
      </c>
      <c r="G71" s="176">
        <v>1</v>
      </c>
      <c r="H71" s="178">
        <v>90104</v>
      </c>
      <c r="I71" s="592">
        <f t="shared" si="2"/>
        <v>1</v>
      </c>
      <c r="J71" s="178" t="s">
        <v>816</v>
      </c>
      <c r="K71" s="178" t="s">
        <v>816</v>
      </c>
      <c r="L71" s="275" t="str">
        <f>IF(H:H=0,"",IF(ISERROR(VLOOKUP(H:H,produtos_escape2!$A$2:$B$2794,2,FALSE)),"Código não cadastrado",(VLOOKUP(H:H,produtos_escape2!$A$2:$B$2794,2,FALSE))))</f>
        <v>CLINDAMICINA (FOSFATO) SOLUCAO INJETAVEL 150 MG/ML AMPOLA 4 ML</v>
      </c>
      <c r="M71" s="593" t="str">
        <f>IF(H:H=0,"",IF(ISERROR(VLOOKUP(H:H,produtos_escape2!$A$2:$D$2794,2,FALSE)),"Código não cadastrado",(VLOOKUP(H:H,produtos_escape2!$A$2:$D$2794,4,FALSE))))</f>
        <v>AMP</v>
      </c>
      <c r="N71" s="486">
        <v>4000</v>
      </c>
      <c r="O71" s="176" t="s">
        <v>2989</v>
      </c>
      <c r="P71" s="486">
        <v>4000</v>
      </c>
      <c r="Q71" s="247">
        <v>2.31</v>
      </c>
      <c r="R71" s="246">
        <f t="shared" si="3"/>
        <v>9240</v>
      </c>
      <c r="S71" s="177">
        <v>43818</v>
      </c>
      <c r="T71" s="182">
        <v>106750</v>
      </c>
      <c r="U71" s="177">
        <v>43819</v>
      </c>
      <c r="V71" s="177">
        <v>43819</v>
      </c>
      <c r="W71" s="177">
        <v>43829</v>
      </c>
      <c r="X71" s="415">
        <v>44944</v>
      </c>
      <c r="Y71" s="177">
        <v>43854</v>
      </c>
      <c r="Z71" s="598" t="s">
        <v>2755</v>
      </c>
      <c r="AA71" s="488"/>
      <c r="AB71" s="594"/>
      <c r="AC71" s="595"/>
      <c r="AD71" s="596" t="str">
        <f>IF(AND(AC71&lt;&gt;"",S71&lt;&gt;""),NETWORKDAYS(AC71,S71,#REF!),"")</f>
        <v/>
      </c>
      <c r="AE71" s="596" t="str">
        <f ca="1">IF(AND(AD71="",AC71=""),"",IF(OR(AD71&lt;&gt;"",O71="*CANCELADO"),"",NETWORKDAYS(AC71,TODAY(),#REF!)))</f>
        <v/>
      </c>
      <c r="AF71" s="597" t="str">
        <f>IFERROR(INDEX(produtos_escape2!M:M,MATCH(Controle!H71,produtos_escape2!A:A,0)),"")</f>
        <v>CLINDAMICINA (FOSFATO) SOLUCAO INJETAVEL 150 MG/ML AMPOLA 4 ML</v>
      </c>
    </row>
    <row r="72" spans="1:32" ht="14.25" customHeight="1">
      <c r="A72" s="176" t="s">
        <v>6778</v>
      </c>
      <c r="B72" s="176" t="s">
        <v>3608</v>
      </c>
      <c r="C72" s="177">
        <v>43810</v>
      </c>
      <c r="D72" s="176" t="s">
        <v>7163</v>
      </c>
      <c r="E72" s="176" t="s">
        <v>3009</v>
      </c>
      <c r="F72" s="259" t="s">
        <v>7243</v>
      </c>
      <c r="G72" s="176">
        <v>1</v>
      </c>
      <c r="H72" s="178">
        <v>36091</v>
      </c>
      <c r="I72" s="592">
        <f t="shared" si="2"/>
        <v>2</v>
      </c>
      <c r="J72" s="178" t="s">
        <v>816</v>
      </c>
      <c r="K72" s="178" t="s">
        <v>816</v>
      </c>
      <c r="L72" s="275" t="str">
        <f>IF(H:H=0,"",IF(ISERROR(VLOOKUP(H:H,produtos_escape2!$A$2:$B$2794,2,FALSE)),"Código não cadastrado",(VLOOKUP(H:H,produtos_escape2!$A$2:$B$2794,2,FALSE))))</f>
        <v>POLIDOCANOL 1% AMPOLA 2 ML</v>
      </c>
      <c r="M72" s="593" t="str">
        <f>IF(H:H=0,"",IF(ISERROR(VLOOKUP(H:H,produtos_escape2!$A$2:$D$2794,2,FALSE)),"Código não cadastrado",(VLOOKUP(H:H,produtos_escape2!$A$2:$D$2794,4,FALSE))))</f>
        <v>AMP</v>
      </c>
      <c r="N72" s="486">
        <v>20</v>
      </c>
      <c r="O72" s="176" t="s">
        <v>5754</v>
      </c>
      <c r="P72" s="486">
        <v>20</v>
      </c>
      <c r="Q72" s="247">
        <v>7.29</v>
      </c>
      <c r="R72" s="246">
        <f t="shared" si="3"/>
        <v>145.80000000000001</v>
      </c>
      <c r="S72" s="177">
        <v>43818</v>
      </c>
      <c r="T72" s="182">
        <v>136844</v>
      </c>
      <c r="U72" s="177">
        <v>43825</v>
      </c>
      <c r="V72" s="177">
        <v>43840</v>
      </c>
      <c r="W72" s="177">
        <v>43844</v>
      </c>
      <c r="X72" s="415">
        <v>44951</v>
      </c>
      <c r="Y72" s="177">
        <v>43854</v>
      </c>
      <c r="Z72" s="598" t="s">
        <v>2755</v>
      </c>
      <c r="AA72" s="488"/>
      <c r="AB72" s="594"/>
      <c r="AC72" s="595"/>
      <c r="AD72" s="596" t="str">
        <f>IF(AND(AC72&lt;&gt;"",S72&lt;&gt;""),NETWORKDAYS(AC72,S72,#REF!),"")</f>
        <v/>
      </c>
      <c r="AE72" s="596" t="str">
        <f ca="1">IF(AND(AD72="",AC72=""),"",IF(OR(AD72&lt;&gt;"",O72="*CANCELADO"),"",NETWORKDAYS(AC72,TODAY(),#REF!)))</f>
        <v/>
      </c>
      <c r="AF72" s="597" t="str">
        <f>IFERROR(INDEX(produtos_escape2!M:M,MATCH(Controle!H72,produtos_escape2!A:A,0)),"")</f>
        <v>POLIDOCANOL 1</v>
      </c>
    </row>
    <row r="73" spans="1:32" ht="14.25" customHeight="1">
      <c r="A73" s="176" t="s">
        <v>6778</v>
      </c>
      <c r="B73" s="176" t="s">
        <v>3608</v>
      </c>
      <c r="C73" s="177">
        <v>43811</v>
      </c>
      <c r="D73" s="176" t="s">
        <v>7163</v>
      </c>
      <c r="E73" s="176" t="s">
        <v>3009</v>
      </c>
      <c r="F73" s="259" t="s">
        <v>7243</v>
      </c>
      <c r="G73" s="176">
        <v>2</v>
      </c>
      <c r="H73" s="178">
        <v>28477</v>
      </c>
      <c r="I73" s="592">
        <f t="shared" si="2"/>
        <v>2</v>
      </c>
      <c r="J73" s="178" t="s">
        <v>816</v>
      </c>
      <c r="K73" s="178" t="s">
        <v>816</v>
      </c>
      <c r="L73" s="275" t="str">
        <f>IF(H:H=0,"",IF(ISERROR(VLOOKUP(H:H,produtos_escape2!$A$2:$B$2794,2,FALSE)),"Código não cadastrado",(VLOOKUP(H:H,produtos_escape2!$A$2:$B$2794,2,FALSE))))</f>
        <v>POLIDOCANOL 3% AMPOLA 2ML</v>
      </c>
      <c r="M73" s="593" t="str">
        <f>IF(H:H=0,"",IF(ISERROR(VLOOKUP(H:H,produtos_escape2!$A$2:$D$2794,2,FALSE)),"Código não cadastrado",(VLOOKUP(H:H,produtos_escape2!$A$2:$D$2794,4,FALSE))))</f>
        <v>MT</v>
      </c>
      <c r="N73" s="486">
        <v>20</v>
      </c>
      <c r="O73" s="176" t="s">
        <v>5754</v>
      </c>
      <c r="P73" s="486">
        <v>20</v>
      </c>
      <c r="Q73" s="247">
        <v>9.56</v>
      </c>
      <c r="R73" s="246">
        <f t="shared" si="3"/>
        <v>191.20000000000002</v>
      </c>
      <c r="S73" s="177">
        <v>43818</v>
      </c>
      <c r="T73" s="182">
        <v>136844</v>
      </c>
      <c r="U73" s="177">
        <v>43825</v>
      </c>
      <c r="V73" s="177">
        <v>43840</v>
      </c>
      <c r="W73" s="177">
        <v>43844</v>
      </c>
      <c r="X73" s="415">
        <v>44951</v>
      </c>
      <c r="Y73" s="177">
        <v>43854</v>
      </c>
      <c r="Z73" s="598" t="s">
        <v>2755</v>
      </c>
      <c r="AA73" s="488"/>
      <c r="AB73" s="594"/>
      <c r="AC73" s="595"/>
      <c r="AD73" s="596" t="str">
        <f>IF(AND(AC73&lt;&gt;"",S73&lt;&gt;""),NETWORKDAYS(AC73,S73,#REF!),"")</f>
        <v/>
      </c>
      <c r="AE73" s="596" t="str">
        <f ca="1">IF(AND(AD73="",AC73=""),"",IF(OR(AD73&lt;&gt;"",O73="*CANCELADO"),"",NETWORKDAYS(AC73,TODAY(),#REF!)))</f>
        <v/>
      </c>
      <c r="AF73" s="597" t="str">
        <f>IFERROR(INDEX(produtos_escape2!M:M,MATCH(Controle!H73,produtos_escape2!A:A,0)),"")</f>
        <v>POLIDOCANOL 3% AMPOLA 2ML</v>
      </c>
    </row>
    <row r="74" spans="1:32" ht="14.25" customHeight="1">
      <c r="A74" s="176" t="s">
        <v>7208</v>
      </c>
      <c r="B74" s="176" t="s">
        <v>7207</v>
      </c>
      <c r="C74" s="177">
        <v>43832</v>
      </c>
      <c r="D74" s="176" t="s">
        <v>7209</v>
      </c>
      <c r="E74" s="176" t="s">
        <v>1866</v>
      </c>
      <c r="F74" s="259" t="s">
        <v>7208</v>
      </c>
      <c r="G74" s="176">
        <v>1</v>
      </c>
      <c r="H74" s="178">
        <v>17163</v>
      </c>
      <c r="I74" s="592">
        <f t="shared" si="2"/>
        <v>2</v>
      </c>
      <c r="J74" s="178" t="s">
        <v>816</v>
      </c>
      <c r="K74" s="178" t="s">
        <v>816</v>
      </c>
      <c r="L74" s="275" t="str">
        <f>IF(H:H=0,"",IF(ISERROR(VLOOKUP(H:H,produtos_escape2!$A$2:$B$2794,2,FALSE)),"Código não cadastrado",(VLOOKUP(H:H,produtos_escape2!$A$2:$B$2794,2,FALSE))))</f>
        <v>DISCO CD-R GRAVÁVEL, Tipo: gravável 52x, Capacidade: 700 mb, 80 min, Unidade De Fornecimento: tubo fechado com 50 unidades</v>
      </c>
      <c r="M74" s="593" t="str">
        <f>IF(H:H=0,"",IF(ISERROR(VLOOKUP(H:H,produtos_escape2!$A$2:$D$2794,2,FALSE)),"Código não cadastrado",(VLOOKUP(H:H,produtos_escape2!$A$2:$D$2794,4,FALSE))))</f>
        <v>TB</v>
      </c>
      <c r="N74" s="486">
        <v>20</v>
      </c>
      <c r="O74" s="176" t="s">
        <v>3407</v>
      </c>
      <c r="P74" s="486">
        <v>20</v>
      </c>
      <c r="Q74" s="247">
        <v>33.99</v>
      </c>
      <c r="R74" s="246">
        <f t="shared" si="3"/>
        <v>679.80000000000007</v>
      </c>
      <c r="S74" s="177">
        <v>43836</v>
      </c>
      <c r="T74" s="182">
        <v>816</v>
      </c>
      <c r="U74" s="177">
        <v>43836</v>
      </c>
      <c r="V74" s="177">
        <v>43836</v>
      </c>
      <c r="W74" s="177">
        <v>43837</v>
      </c>
      <c r="X74" s="415">
        <v>44982</v>
      </c>
      <c r="Y74" s="177">
        <v>43854</v>
      </c>
      <c r="Z74" s="415">
        <v>1</v>
      </c>
      <c r="AA74" s="488"/>
      <c r="AB74" s="594"/>
      <c r="AC74" s="595"/>
      <c r="AD74" s="596" t="str">
        <f>IF(AND(AC74&lt;&gt;"",S74&lt;&gt;""),NETWORKDAYS(AC74,S74,#REF!),"")</f>
        <v/>
      </c>
      <c r="AE74" s="596" t="str">
        <f ca="1">IF(AND(AD74="",AC74=""),"",IF(OR(AD74&lt;&gt;"",O74="*CANCELADO"),"",NETWORKDAYS(AC74,TODAY(),#REF!)))</f>
        <v/>
      </c>
      <c r="AF74" s="597" t="str">
        <f>IFERROR(INDEX(produtos_escape2!M:M,MATCH(Controle!H74,produtos_escape2!A:A,0)),"")</f>
        <v>DISCO CD-R GRAVÁVEL</v>
      </c>
    </row>
    <row r="75" spans="1:32" ht="14.25" customHeight="1">
      <c r="A75" s="176" t="s">
        <v>7208</v>
      </c>
      <c r="B75" s="176" t="s">
        <v>3608</v>
      </c>
      <c r="C75" s="177">
        <v>43837</v>
      </c>
      <c r="D75" s="176" t="s">
        <v>7254</v>
      </c>
      <c r="E75" s="176" t="s">
        <v>1866</v>
      </c>
      <c r="F75" s="259" t="s">
        <v>7255</v>
      </c>
      <c r="G75" s="176">
        <v>1</v>
      </c>
      <c r="H75" s="178">
        <v>24968</v>
      </c>
      <c r="I75" s="592">
        <f t="shared" si="2"/>
        <v>2</v>
      </c>
      <c r="J75" s="178" t="s">
        <v>816</v>
      </c>
      <c r="K75" s="178" t="s">
        <v>816</v>
      </c>
      <c r="L75" s="275" t="str">
        <f>IF(H:H=0,"",IF(ISERROR(VLOOKUP(H:H,produtos_escape2!$A$2:$B$2794,2,FALSE)),"Código não cadastrado",(VLOOKUP(H:H,produtos_escape2!$A$2:$B$2794,2,FALSE))))</f>
        <v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v>
      </c>
      <c r="M75" s="593" t="str">
        <f>IF(H:H=0,"",IF(ISERROR(VLOOKUP(H:H,produtos_escape2!$A$2:$D$2794,2,FALSE)),"Código não cadastrado",(VLOOKUP(H:H,produtos_escape2!$A$2:$D$2794,4,FALSE))))</f>
        <v>UN</v>
      </c>
      <c r="N75" s="486">
        <v>150</v>
      </c>
      <c r="O75" s="176" t="s">
        <v>10360</v>
      </c>
      <c r="P75" s="486">
        <v>150</v>
      </c>
      <c r="Q75" s="247">
        <v>28</v>
      </c>
      <c r="R75" s="246">
        <f t="shared" si="3"/>
        <v>4200</v>
      </c>
      <c r="S75" s="177">
        <v>43839</v>
      </c>
      <c r="T75" s="182">
        <v>22694</v>
      </c>
      <c r="U75" s="177">
        <v>43840</v>
      </c>
      <c r="V75" s="177">
        <v>43843</v>
      </c>
      <c r="W75" s="177">
        <v>43844</v>
      </c>
      <c r="X75" s="415">
        <v>44950</v>
      </c>
      <c r="Y75" s="177">
        <v>43854</v>
      </c>
      <c r="Z75" s="415">
        <v>1</v>
      </c>
      <c r="AA75" s="488"/>
      <c r="AB75" s="594"/>
      <c r="AC75" s="595"/>
      <c r="AD75" s="596" t="str">
        <f>IF(AND(AC75&lt;&gt;"",S75&lt;&gt;""),NETWORKDAYS(AC75,S75,#REF!),"")</f>
        <v/>
      </c>
      <c r="AE75" s="596" t="str">
        <f ca="1">IF(AND(AD75="",AC75=""),"",IF(OR(AD75&lt;&gt;"",O75="*CANCELADO"),"",NETWORKDAYS(AC75,TODAY(),#REF!)))</f>
        <v/>
      </c>
      <c r="AF75" s="597" t="str">
        <f>IFERROR(INDEX(produtos_escape2!M:M,MATCH(Controle!H75,produtos_escape2!A:A,0)),"")</f>
        <v>PACOTE TESTE DESAFIO</v>
      </c>
    </row>
    <row r="76" spans="1:32" ht="14.25" customHeight="1">
      <c r="A76" s="176" t="s">
        <v>7255</v>
      </c>
      <c r="B76" s="176" t="s">
        <v>3608</v>
      </c>
      <c r="C76" s="177">
        <v>43837</v>
      </c>
      <c r="D76" s="176" t="s">
        <v>7257</v>
      </c>
      <c r="E76" s="176" t="s">
        <v>1866</v>
      </c>
      <c r="F76" s="259" t="s">
        <v>7258</v>
      </c>
      <c r="G76" s="176">
        <v>1</v>
      </c>
      <c r="H76" s="178">
        <v>90954</v>
      </c>
      <c r="I76" s="592">
        <f t="shared" si="2"/>
        <v>2</v>
      </c>
      <c r="J76" s="178" t="s">
        <v>816</v>
      </c>
      <c r="K76" s="178" t="s">
        <v>816</v>
      </c>
      <c r="L76" s="275" t="str">
        <f>IF(H:H=0,"",IF(ISERROR(VLOOKUP(H:H,produtos_escape2!$A$2:$B$2794,2,FALSE)),"Código não cadastrado",(VLOOKUP(H:H,produtos_escape2!$A$2:$B$2794,2,FALSE))))</f>
        <v>AGUA PARA INJETAVEIS FRASCO OU BOLSA 500 ML</v>
      </c>
      <c r="M76" s="593" t="str">
        <f>IF(H:H=0,"",IF(ISERROR(VLOOKUP(H:H,produtos_escape2!$A$2:$D$2794,2,FALSE)),"Código não cadastrado",(VLOOKUP(H:H,produtos_escape2!$A$2:$D$2794,4,FALSE))))</f>
        <v>UN</v>
      </c>
      <c r="N76" s="486">
        <v>600</v>
      </c>
      <c r="O76" s="176" t="s">
        <v>7268</v>
      </c>
      <c r="P76" s="486">
        <v>600</v>
      </c>
      <c r="Q76" s="247">
        <v>2.38</v>
      </c>
      <c r="R76" s="246">
        <f t="shared" si="3"/>
        <v>1428</v>
      </c>
      <c r="S76" s="177">
        <v>43839</v>
      </c>
      <c r="T76" s="182">
        <v>11267</v>
      </c>
      <c r="U76" s="177">
        <v>43844</v>
      </c>
      <c r="V76" s="177">
        <v>43845</v>
      </c>
      <c r="W76" s="177">
        <v>43846</v>
      </c>
      <c r="X76" s="415">
        <v>44962</v>
      </c>
      <c r="Y76" s="177">
        <v>43854</v>
      </c>
      <c r="Z76" s="415">
        <v>1</v>
      </c>
      <c r="AA76" s="488"/>
      <c r="AB76" s="594"/>
      <c r="AC76" s="595"/>
      <c r="AD76" s="596"/>
      <c r="AE76" s="596"/>
      <c r="AF76" s="597" t="str">
        <f>IFERROR(INDEX(produtos_escape2!M:M,MATCH(Controle!H76,produtos_escape2!A:A,0)),"")</f>
        <v>AGUA PARA INJETAVEIS FRASCO OU BOLSA 500 ML</v>
      </c>
    </row>
    <row r="77" spans="1:32" ht="14.25" customHeight="1">
      <c r="A77" s="176" t="s">
        <v>7258</v>
      </c>
      <c r="B77" s="176" t="s">
        <v>3608</v>
      </c>
      <c r="C77" s="177">
        <v>43837</v>
      </c>
      <c r="D77" s="176" t="s">
        <v>7259</v>
      </c>
      <c r="E77" s="176" t="s">
        <v>1866</v>
      </c>
      <c r="F77" s="259" t="s">
        <v>7260</v>
      </c>
      <c r="G77" s="176">
        <v>1</v>
      </c>
      <c r="H77" s="178">
        <v>23032</v>
      </c>
      <c r="I77" s="592">
        <f t="shared" si="2"/>
        <v>1</v>
      </c>
      <c r="J77" s="178" t="s">
        <v>816</v>
      </c>
      <c r="K77" s="178" t="s">
        <v>816</v>
      </c>
      <c r="L77" s="275" t="str">
        <f>IF(H:H=0,"",IF(ISERROR(VLOOKUP(H:H,produtos_escape2!$A$2:$B$2794,2,FALSE)),"Código não cadastrado",(VLOOKUP(H:H,produtos_escape2!$A$2:$B$2794,2,FALSE))))</f>
        <v>DAPTOMICINA PO LIOFILO INJETAVEL 500 MG FRASCO AMPOLA</v>
      </c>
      <c r="M77" s="593" t="str">
        <f>IF(H:H=0,"",IF(ISERROR(VLOOKUP(H:H,produtos_escape2!$A$2:$D$2794,2,FALSE)),"Código não cadastrado",(VLOOKUP(H:H,produtos_escape2!$A$2:$D$2794,4,FALSE))))</f>
        <v>FA</v>
      </c>
      <c r="N77" s="486">
        <v>100</v>
      </c>
      <c r="O77" s="176" t="s">
        <v>1868</v>
      </c>
      <c r="P77" s="486"/>
      <c r="Q77" s="247"/>
      <c r="R77" s="246">
        <f t="shared" si="3"/>
        <v>0</v>
      </c>
      <c r="S77" s="177">
        <v>43840</v>
      </c>
      <c r="T77" s="182"/>
      <c r="U77" s="177"/>
      <c r="V77" s="177"/>
      <c r="W77" s="177"/>
      <c r="X77" s="176"/>
      <c r="Y77" s="177"/>
      <c r="Z77" s="415">
        <v>2</v>
      </c>
      <c r="AA77" s="488" t="s">
        <v>7318</v>
      </c>
      <c r="AB77" s="594"/>
      <c r="AC77" s="595"/>
      <c r="AD77" s="596"/>
      <c r="AE77" s="596"/>
      <c r="AF77" s="597" t="str">
        <f>IFERROR(INDEX(produtos_escape2!M:M,MATCH(Controle!H77,produtos_escape2!A:A,0)),"")</f>
        <v>DAPTOMICINA PO LIOFILO INJETAVEL 500 MG FRASCO AMPOLA</v>
      </c>
    </row>
    <row r="78" spans="1:32" ht="14.25" customHeight="1">
      <c r="A78" s="176" t="s">
        <v>7208</v>
      </c>
      <c r="B78" s="176" t="s">
        <v>1687</v>
      </c>
      <c r="C78" s="177">
        <v>43839</v>
      </c>
      <c r="D78" s="176" t="s">
        <v>7269</v>
      </c>
      <c r="E78" s="176" t="s">
        <v>3008</v>
      </c>
      <c r="F78" s="259" t="s">
        <v>7270</v>
      </c>
      <c r="G78" s="176">
        <v>1</v>
      </c>
      <c r="H78" s="178" t="s">
        <v>7271</v>
      </c>
      <c r="I78" s="592">
        <f t="shared" si="2"/>
        <v>1</v>
      </c>
      <c r="J78" s="178"/>
      <c r="K78" s="178"/>
      <c r="L78" s="275" t="str">
        <f>IF(H:H=0,"",IF(ISERROR(VLOOKUP(H:H,produtos_escape2!$A$2:$B$2794,2,FALSE)),"Código não cadastrado",(VLOOKUP(H:H,produtos_escape2!$A$2:$B$2794,2,FALSE))))</f>
        <v>BERÇO AQUECIDO - CONTRAPARTIDA</v>
      </c>
      <c r="M78" s="593" t="str">
        <f>IF(H:H=0,"",IF(ISERROR(VLOOKUP(H:H,produtos_escape2!$A$2:$D$2794,2,FALSE)),"Código não cadastrado",(VLOOKUP(H:H,produtos_escape2!$A$2:$D$2794,4,FALSE))))</f>
        <v>Serviço</v>
      </c>
      <c r="N78" s="486">
        <v>19</v>
      </c>
      <c r="O78" s="176" t="s">
        <v>1868</v>
      </c>
      <c r="P78" s="486"/>
      <c r="Q78" s="247"/>
      <c r="R78" s="246">
        <f t="shared" si="3"/>
        <v>0</v>
      </c>
      <c r="S78" s="177">
        <v>43845</v>
      </c>
      <c r="T78" s="182"/>
      <c r="U78" s="177"/>
      <c r="V78" s="177"/>
      <c r="W78" s="177"/>
      <c r="X78" s="176"/>
      <c r="Y78" s="177"/>
      <c r="Z78" s="415">
        <v>2</v>
      </c>
      <c r="AA78" s="488" t="s">
        <v>7465</v>
      </c>
      <c r="AB78" s="594"/>
      <c r="AC78" s="595"/>
      <c r="AD78" s="596"/>
      <c r="AE78" s="596"/>
      <c r="AF78" s="597">
        <f>IFERROR(INDEX(produtos_escape2!M:M,MATCH(Controle!H78,produtos_escape2!A:A,0)),"")</f>
        <v>0</v>
      </c>
    </row>
    <row r="79" spans="1:32" ht="14.25" customHeight="1">
      <c r="A79" s="176" t="s">
        <v>7208</v>
      </c>
      <c r="B79" s="176" t="s">
        <v>1739</v>
      </c>
      <c r="C79" s="177">
        <v>43843</v>
      </c>
      <c r="D79" s="176" t="s">
        <v>7276</v>
      </c>
      <c r="E79" s="176" t="s">
        <v>3008</v>
      </c>
      <c r="F79" s="259" t="s">
        <v>7277</v>
      </c>
      <c r="G79" s="176">
        <v>1</v>
      </c>
      <c r="H79" s="178" t="s">
        <v>7278</v>
      </c>
      <c r="I79" s="592">
        <f t="shared" si="2"/>
        <v>1</v>
      </c>
      <c r="J79" s="178"/>
      <c r="K79" s="178"/>
      <c r="L79" s="275" t="str">
        <f>IF(H:H=0,"",IF(ISERROR(VLOOKUP(H:H,produtos_escape2!$A$2:$B$2794,2,FALSE)),"Código não cadastrado",(VLOOKUP(H:H,produtos_escape2!$A$2:$B$2794,2,FALSE))))</f>
        <v>TESTE</v>
      </c>
      <c r="M79" s="593" t="str">
        <f>IF(H:H=0,"",IF(ISERROR(VLOOKUP(H:H,produtos_escape2!$A$2:$D$2794,2,FALSE)),"Código não cadastrado",(VLOOKUP(H:H,produtos_escape2!$A$2:$D$2794,4,FALSE))))</f>
        <v>Serviço</v>
      </c>
      <c r="N79" s="486">
        <v>5</v>
      </c>
      <c r="O79" s="176" t="s">
        <v>1868</v>
      </c>
      <c r="P79" s="486"/>
      <c r="Q79" s="247"/>
      <c r="R79" s="246">
        <f t="shared" si="3"/>
        <v>0</v>
      </c>
      <c r="S79" s="177">
        <v>43845</v>
      </c>
      <c r="T79" s="182"/>
      <c r="U79" s="177"/>
      <c r="V79" s="177"/>
      <c r="W79" s="177"/>
      <c r="X79" s="176"/>
      <c r="Y79" s="177"/>
      <c r="Z79" s="415">
        <v>2</v>
      </c>
      <c r="AA79" s="488" t="s">
        <v>7279</v>
      </c>
      <c r="AB79" s="594"/>
      <c r="AC79" s="595"/>
      <c r="AD79" s="596"/>
      <c r="AE79" s="596"/>
      <c r="AF79" s="597">
        <f>IFERROR(INDEX(produtos_escape2!M:M,MATCH(Controle!H79,produtos_escape2!A:A,0)),"")</f>
        <v>0</v>
      </c>
    </row>
    <row r="80" spans="1:32" ht="14.25" customHeight="1">
      <c r="A80" s="176" t="s">
        <v>7270</v>
      </c>
      <c r="B80" s="176" t="s">
        <v>3608</v>
      </c>
      <c r="C80" s="177">
        <v>43845</v>
      </c>
      <c r="D80" s="176" t="s">
        <v>7280</v>
      </c>
      <c r="E80" s="176" t="s">
        <v>1866</v>
      </c>
      <c r="F80" s="259" t="s">
        <v>7281</v>
      </c>
      <c r="G80" s="176">
        <v>1</v>
      </c>
      <c r="H80" s="178">
        <v>91037</v>
      </c>
      <c r="I80" s="592">
        <f t="shared" si="2"/>
        <v>2</v>
      </c>
      <c r="J80" s="178" t="s">
        <v>816</v>
      </c>
      <c r="K80" s="178" t="s">
        <v>816</v>
      </c>
      <c r="L80" s="275" t="str">
        <f>IF(H:H=0,"",IF(ISERROR(VLOOKUP(H:H,produtos_escape2!$A$2:$B$2794,2,FALSE)),"Código não cadastrado",(VLOOKUP(H:H,produtos_escape2!$A$2:$B$2794,2,FALSE))))</f>
        <v>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v>
      </c>
      <c r="M80" s="593" t="str">
        <f>IF(H:H=0,"",IF(ISERROR(VLOOKUP(H:H,produtos_escape2!$A$2:$D$2794,2,FALSE)),"Código não cadastrado",(VLOOKUP(H:H,produtos_escape2!$A$2:$D$2794,4,FALSE))))</f>
        <v>UN</v>
      </c>
      <c r="N80" s="486">
        <v>500</v>
      </c>
      <c r="O80" s="176" t="s">
        <v>7283</v>
      </c>
      <c r="P80" s="486">
        <v>300</v>
      </c>
      <c r="Q80" s="247">
        <v>9.8000000000000007</v>
      </c>
      <c r="R80" s="246">
        <f t="shared" si="3"/>
        <v>2940</v>
      </c>
      <c r="S80" s="177">
        <v>43847</v>
      </c>
      <c r="T80" s="182">
        <v>1413</v>
      </c>
      <c r="U80" s="177">
        <v>43850</v>
      </c>
      <c r="V80" s="177">
        <v>43850</v>
      </c>
      <c r="W80" s="177">
        <v>43851</v>
      </c>
      <c r="X80" s="415">
        <v>44967</v>
      </c>
      <c r="Y80" s="177">
        <v>43854</v>
      </c>
      <c r="Z80" s="415">
        <v>1</v>
      </c>
      <c r="AA80" s="488"/>
      <c r="AB80" s="594"/>
      <c r="AC80" s="595"/>
      <c r="AD80" s="596"/>
      <c r="AE80" s="596"/>
      <c r="AF80" s="597" t="str">
        <f>IFERROR(INDEX(produtos_escape2!M:M,MATCH(Controle!H80,produtos_escape2!A:A,0)),"")</f>
        <v>AGULHA ANESTÉSICA</v>
      </c>
    </row>
    <row r="81" spans="1:32" ht="14.25" customHeight="1">
      <c r="A81" s="176" t="s">
        <v>7270</v>
      </c>
      <c r="B81" s="176" t="s">
        <v>3608</v>
      </c>
      <c r="C81" s="177">
        <v>43845</v>
      </c>
      <c r="D81" s="176" t="s">
        <v>7280</v>
      </c>
      <c r="E81" s="176" t="s">
        <v>1866</v>
      </c>
      <c r="F81" s="259" t="s">
        <v>7281</v>
      </c>
      <c r="G81" s="176">
        <v>2</v>
      </c>
      <c r="H81" s="178">
        <v>92445</v>
      </c>
      <c r="I81" s="592">
        <f t="shared" si="2"/>
        <v>8</v>
      </c>
      <c r="J81" s="178" t="s">
        <v>816</v>
      </c>
      <c r="K81" s="178" t="s">
        <v>816</v>
      </c>
      <c r="L81" s="275"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81" s="593" t="str">
        <f>IF(H:H=0,"",IF(ISERROR(VLOOKUP(H:H,produtos_escape2!$A$2:$D$2794,2,FALSE)),"Código não cadastrado",(VLOOKUP(H:H,produtos_escape2!$A$2:$D$2794,4,FALSE))))</f>
        <v>UN</v>
      </c>
      <c r="N81" s="486">
        <v>100</v>
      </c>
      <c r="O81" s="176" t="s">
        <v>7284</v>
      </c>
      <c r="P81" s="486">
        <v>100</v>
      </c>
      <c r="Q81" s="247">
        <v>2.4700000000000002</v>
      </c>
      <c r="R81" s="246">
        <f t="shared" si="3"/>
        <v>247.00000000000003</v>
      </c>
      <c r="S81" s="177">
        <v>43847</v>
      </c>
      <c r="T81" s="182">
        <v>10480</v>
      </c>
      <c r="U81" s="177">
        <v>43874</v>
      </c>
      <c r="V81" s="177">
        <v>43875</v>
      </c>
      <c r="W81" s="177">
        <v>43879</v>
      </c>
      <c r="X81" s="176">
        <v>73890</v>
      </c>
      <c r="Y81" s="177">
        <v>43899</v>
      </c>
      <c r="Z81" s="415">
        <v>2</v>
      </c>
      <c r="AA81" s="488"/>
      <c r="AB81" s="594"/>
      <c r="AC81" s="595"/>
      <c r="AD81" s="596"/>
      <c r="AE81" s="596"/>
      <c r="AF81" s="597" t="str">
        <f>IFERROR(INDEX(produtos_escape2!M:M,MATCH(Controle!H81,produtos_escape2!A:A,0)),"")</f>
        <v>SONDA DE FOLEY 2 VIAS LÁTEX Nº 14</v>
      </c>
    </row>
    <row r="82" spans="1:32" ht="14.25" customHeight="1">
      <c r="A82" s="176" t="s">
        <v>7270</v>
      </c>
      <c r="B82" s="176" t="s">
        <v>3608</v>
      </c>
      <c r="C82" s="177">
        <v>43845</v>
      </c>
      <c r="D82" s="176" t="s">
        <v>7280</v>
      </c>
      <c r="E82" s="176" t="s">
        <v>1866</v>
      </c>
      <c r="F82" s="259" t="s">
        <v>7281</v>
      </c>
      <c r="G82" s="176">
        <v>3</v>
      </c>
      <c r="H82" s="178">
        <v>25066</v>
      </c>
      <c r="I82" s="592">
        <f t="shared" si="2"/>
        <v>2</v>
      </c>
      <c r="J82" s="178" t="s">
        <v>816</v>
      </c>
      <c r="K82" s="178" t="s">
        <v>816</v>
      </c>
      <c r="L82" s="275" t="str">
        <f>IF(H:H=0,"",IF(ISERROR(VLOOKUP(H:H,produtos_escape2!$A$2:$B$2794,2,FALSE)),"Código não cadastrado",(VLOOKUP(H:H,produtos_escape2!$A$2:$B$2794,2,FALSE))))</f>
        <v>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v>
      </c>
      <c r="M82" s="593" t="str">
        <f>IF(H:H=0,"",IF(ISERROR(VLOOKUP(H:H,produtos_escape2!$A$2:$D$2794,2,FALSE)),"Código não cadastrado",(VLOOKUP(H:H,produtos_escape2!$A$2:$D$2794,4,FALSE))))</f>
        <v>GR</v>
      </c>
      <c r="N82" s="486">
        <v>5000</v>
      </c>
      <c r="O82" s="176" t="s">
        <v>7285</v>
      </c>
      <c r="P82" s="486">
        <v>3000</v>
      </c>
      <c r="Q82" s="247">
        <v>0.26600000000000001</v>
      </c>
      <c r="R82" s="246">
        <f t="shared" si="3"/>
        <v>798</v>
      </c>
      <c r="S82" s="177">
        <v>43847</v>
      </c>
      <c r="T82" s="182">
        <v>54706</v>
      </c>
      <c r="U82" s="177">
        <v>43850</v>
      </c>
      <c r="V82" s="177">
        <v>43853</v>
      </c>
      <c r="W82" s="177">
        <v>43854</v>
      </c>
      <c r="X82" s="176">
        <v>74555</v>
      </c>
      <c r="Y82" s="177">
        <v>43899</v>
      </c>
      <c r="Z82" s="415">
        <v>2</v>
      </c>
      <c r="AA82" s="488"/>
      <c r="AB82" s="594"/>
      <c r="AC82" s="595"/>
      <c r="AD82" s="596"/>
      <c r="AE82" s="596"/>
      <c r="AF82" s="597" t="str">
        <f>IFERROR(INDEX(produtos_escape2!M:M,MATCH(Controle!H82,produtos_escape2!A:A,0)),"")</f>
        <v>CURATIVO DE ALGINATO DE CÁLCIO E/OU CARBOXIMETILCELULOSE</v>
      </c>
    </row>
    <row r="83" spans="1:32" ht="14.25" customHeight="1">
      <c r="A83" s="176" t="s">
        <v>7270</v>
      </c>
      <c r="B83" s="176" t="s">
        <v>3608</v>
      </c>
      <c r="C83" s="177">
        <v>43845</v>
      </c>
      <c r="D83" s="176" t="s">
        <v>7280</v>
      </c>
      <c r="E83" s="176" t="s">
        <v>1866</v>
      </c>
      <c r="F83" s="259" t="s">
        <v>7281</v>
      </c>
      <c r="G83" s="176">
        <v>4</v>
      </c>
      <c r="H83" s="178">
        <v>30972</v>
      </c>
      <c r="I83" s="592">
        <f t="shared" si="2"/>
        <v>7</v>
      </c>
      <c r="J83" s="178" t="s">
        <v>816</v>
      </c>
      <c r="K83" s="178" t="s">
        <v>816</v>
      </c>
      <c r="L83" s="275"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83" s="593" t="str">
        <f>IF(H:H=0,"",IF(ISERROR(VLOOKUP(H:H,produtos_escape2!$A$2:$D$2794,2,FALSE)),"Código não cadastrado",(VLOOKUP(H:H,produtos_escape2!$A$2:$D$2794,4,FALSE))))</f>
        <v>UN</v>
      </c>
      <c r="N83" s="486">
        <v>500</v>
      </c>
      <c r="O83" s="176" t="s">
        <v>2989</v>
      </c>
      <c r="P83" s="486">
        <v>500</v>
      </c>
      <c r="Q83" s="247">
        <v>0.88</v>
      </c>
      <c r="R83" s="246">
        <f t="shared" si="3"/>
        <v>440</v>
      </c>
      <c r="S83" s="177">
        <v>43847</v>
      </c>
      <c r="T83" s="182">
        <v>108451</v>
      </c>
      <c r="U83" s="177">
        <v>43847</v>
      </c>
      <c r="V83" s="177">
        <v>43850</v>
      </c>
      <c r="W83" s="177">
        <v>43851</v>
      </c>
      <c r="X83" s="415">
        <v>44976</v>
      </c>
      <c r="Y83" s="177">
        <v>43854</v>
      </c>
      <c r="Z83" s="415">
        <v>1</v>
      </c>
      <c r="AA83" s="488"/>
      <c r="AB83" s="594"/>
      <c r="AC83" s="595"/>
      <c r="AD83" s="596"/>
      <c r="AE83" s="596"/>
      <c r="AF83" s="597" t="str">
        <f>IFERROR(INDEX(produtos_escape2!M:M,MATCH(Controle!H83,produtos_escape2!A:A,0)),"")</f>
        <v>CATETER NASAL ADULTO</v>
      </c>
    </row>
    <row r="84" spans="1:32" ht="14.25" customHeight="1">
      <c r="A84" s="176" t="s">
        <v>7255</v>
      </c>
      <c r="B84" s="176" t="s">
        <v>1687</v>
      </c>
      <c r="C84" s="177">
        <v>43847</v>
      </c>
      <c r="D84" s="176" t="s">
        <v>7290</v>
      </c>
      <c r="E84" s="176" t="s">
        <v>3008</v>
      </c>
      <c r="F84" s="259" t="s">
        <v>7293</v>
      </c>
      <c r="G84" s="176">
        <v>1</v>
      </c>
      <c r="H84" s="178" t="s">
        <v>7291</v>
      </c>
      <c r="I84" s="592">
        <f t="shared" si="2"/>
        <v>1</v>
      </c>
      <c r="J84" s="178"/>
      <c r="K84" s="178"/>
      <c r="L84" s="275" t="str">
        <f>IF(H:H=0,"",IF(ISERROR(VLOOKUP(H:H,produtos_escape2!$A$2:$B$2794,2,FALSE)),"Código não cadastrado",(VLOOKUP(H:H,produtos_escape2!$A$2:$B$2794,2,FALSE))))</f>
        <v>Conserto do Ecógrafo, Marca ALOKA Nº. Patrimônio 364482</v>
      </c>
      <c r="M84" s="593" t="str">
        <f>IF(H:H=0,"",IF(ISERROR(VLOOKUP(H:H,produtos_escape2!$A$2:$D$2794,2,FALSE)),"Código não cadastrado",(VLOOKUP(H:H,produtos_escape2!$A$2:$D$2794,4,FALSE))))</f>
        <v>Serviço</v>
      </c>
      <c r="N84" s="486">
        <v>1</v>
      </c>
      <c r="O84" s="176" t="s">
        <v>7582</v>
      </c>
      <c r="P84" s="486">
        <v>1</v>
      </c>
      <c r="Q84" s="247">
        <v>1810</v>
      </c>
      <c r="R84" s="246">
        <f t="shared" si="3"/>
        <v>1810</v>
      </c>
      <c r="S84" s="177">
        <v>43880</v>
      </c>
      <c r="T84" s="182">
        <v>768</v>
      </c>
      <c r="U84" s="177">
        <v>43907</v>
      </c>
      <c r="V84" s="177">
        <v>43913</v>
      </c>
      <c r="W84" s="177">
        <v>43913</v>
      </c>
      <c r="X84" s="415">
        <v>90455</v>
      </c>
      <c r="Y84" s="177">
        <v>43935</v>
      </c>
      <c r="Z84" s="415">
        <v>2</v>
      </c>
      <c r="AA84" s="488"/>
      <c r="AB84" s="594"/>
      <c r="AC84" s="595"/>
      <c r="AD84" s="596"/>
      <c r="AE84" s="596"/>
      <c r="AF84" s="597">
        <f>IFERROR(INDEX(produtos_escape2!M:M,MATCH(Controle!H84,produtos_escape2!A:A,0)),"")</f>
        <v>0</v>
      </c>
    </row>
    <row r="85" spans="1:32" ht="14.25" customHeight="1">
      <c r="A85" s="176" t="s">
        <v>7277</v>
      </c>
      <c r="B85" s="176" t="s">
        <v>3608</v>
      </c>
      <c r="C85" s="177">
        <v>43847</v>
      </c>
      <c r="D85" s="176" t="s">
        <v>7294</v>
      </c>
      <c r="E85" s="176" t="s">
        <v>1866</v>
      </c>
      <c r="F85" s="259" t="s">
        <v>7300</v>
      </c>
      <c r="G85" s="176">
        <v>1</v>
      </c>
      <c r="H85" s="178">
        <v>34534</v>
      </c>
      <c r="I85" s="592">
        <f t="shared" si="2"/>
        <v>7</v>
      </c>
      <c r="J85" s="178" t="s">
        <v>816</v>
      </c>
      <c r="K85" s="178" t="s">
        <v>816</v>
      </c>
      <c r="L85" s="275"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85" s="593" t="str">
        <f>IF(H:H=0,"",IF(ISERROR(VLOOKUP(H:H,produtos_escape2!$A$2:$D$2794,2,FALSE)),"Código não cadastrado",(VLOOKUP(H:H,produtos_escape2!$A$2:$D$2794,4,FALSE))))</f>
        <v>UN</v>
      </c>
      <c r="N85" s="486">
        <v>10000</v>
      </c>
      <c r="O85" s="176" t="s">
        <v>5751</v>
      </c>
      <c r="P85" s="486">
        <v>10000</v>
      </c>
      <c r="Q85" s="247">
        <v>0.74</v>
      </c>
      <c r="R85" s="246">
        <f t="shared" si="3"/>
        <v>7400</v>
      </c>
      <c r="S85" s="177">
        <v>43853</v>
      </c>
      <c r="T85" s="182">
        <v>3931</v>
      </c>
      <c r="U85" s="177">
        <v>43854</v>
      </c>
      <c r="V85" s="177">
        <v>43861</v>
      </c>
      <c r="W85" s="177">
        <v>43865</v>
      </c>
      <c r="X85" s="176">
        <v>73928</v>
      </c>
      <c r="Y85" s="177">
        <v>43899</v>
      </c>
      <c r="Z85" s="415">
        <v>2</v>
      </c>
      <c r="AA85" s="488"/>
      <c r="AB85" s="594"/>
      <c r="AC85" s="595"/>
      <c r="AD85" s="596"/>
      <c r="AE85" s="596"/>
      <c r="AF85" s="597" t="str">
        <f>IFERROR(INDEX(produtos_escape2!M:M,MATCH(Controle!H85,produtos_escape2!A:A,0)),"")</f>
        <v>EQUIPO SIMPLES PARA INFUSÃO DE SOLUÇÕES PARENTERAIS</v>
      </c>
    </row>
    <row r="86" spans="1:32" ht="14.25" customHeight="1">
      <c r="A86" s="176" t="s">
        <v>7281</v>
      </c>
      <c r="B86" s="176" t="s">
        <v>3608</v>
      </c>
      <c r="C86" s="177">
        <v>43851</v>
      </c>
      <c r="D86" s="176" t="s">
        <v>7302</v>
      </c>
      <c r="E86" s="176" t="s">
        <v>1866</v>
      </c>
      <c r="F86" s="259" t="s">
        <v>7305</v>
      </c>
      <c r="G86" s="176">
        <v>1</v>
      </c>
      <c r="H86" s="178">
        <v>95244</v>
      </c>
      <c r="I86" s="592">
        <f t="shared" si="2"/>
        <v>2</v>
      </c>
      <c r="J86" s="178" t="s">
        <v>816</v>
      </c>
      <c r="K86" s="178" t="s">
        <v>816</v>
      </c>
      <c r="L86" s="275" t="str">
        <f>IF(H:H=0,"",IF(ISERROR(VLOOKUP(H:H,produtos_escape2!$A$2:$B$2794,2,FALSE)),"Código não cadastrado",(VLOOKUP(H:H,produtos_escape2!$A$2:$B$2794,2,FALSE))))</f>
        <v>CONJUNTO PARA DETERMINAÇÃO DE DOENÇA DE CHAGAS - REACAO HEMAGLUTINAÇAO INDIRETA</v>
      </c>
      <c r="M86" s="593" t="str">
        <f>IF(H:H=0,"",IF(ISERROR(VLOOKUP(H:H,produtos_escape2!$A$2:$D$2794,2,FALSE)),"Código não cadastrado",(VLOOKUP(H:H,produtos_escape2!$A$2:$D$2794,4,FALSE))))</f>
        <v>TE</v>
      </c>
      <c r="N86" s="486">
        <v>400</v>
      </c>
      <c r="O86" s="176" t="s">
        <v>4380</v>
      </c>
      <c r="P86" s="486">
        <v>384</v>
      </c>
      <c r="Q86" s="247">
        <v>0.7</v>
      </c>
      <c r="R86" s="246">
        <f t="shared" si="3"/>
        <v>268.79999999999995</v>
      </c>
      <c r="S86" s="177">
        <v>43853</v>
      </c>
      <c r="T86" s="182">
        <v>223949</v>
      </c>
      <c r="U86" s="177">
        <v>43854</v>
      </c>
      <c r="V86" s="177">
        <v>43859</v>
      </c>
      <c r="W86" s="177">
        <v>43861</v>
      </c>
      <c r="X86" s="176">
        <v>73878</v>
      </c>
      <c r="Y86" s="177">
        <v>43899</v>
      </c>
      <c r="Z86" s="415">
        <v>2</v>
      </c>
      <c r="AA86" s="488"/>
      <c r="AB86" s="594"/>
      <c r="AC86" s="595"/>
      <c r="AD86" s="596"/>
      <c r="AE86" s="596"/>
      <c r="AF86" s="597" t="str">
        <f>IFERROR(INDEX(produtos_escape2!M:M,MATCH(Controle!H86,produtos_escape2!A:A,0)),"")</f>
        <v>CONJUNTO PARA DETERMINAÇÃO DE DOENÇA DE CHAGAS</v>
      </c>
    </row>
    <row r="87" spans="1:32" ht="14.25" customHeight="1">
      <c r="A87" s="176" t="s">
        <v>7293</v>
      </c>
      <c r="B87" s="176" t="s">
        <v>3608</v>
      </c>
      <c r="C87" s="177">
        <v>43851</v>
      </c>
      <c r="D87" s="176" t="s">
        <v>7303</v>
      </c>
      <c r="E87" s="176" t="s">
        <v>1866</v>
      </c>
      <c r="F87" s="259" t="s">
        <v>7307</v>
      </c>
      <c r="G87" s="176">
        <v>1</v>
      </c>
      <c r="H87" s="178">
        <v>10263</v>
      </c>
      <c r="I87" s="592">
        <f t="shared" si="2"/>
        <v>1</v>
      </c>
      <c r="J87" s="178" t="s">
        <v>816</v>
      </c>
      <c r="K87" s="178" t="s">
        <v>816</v>
      </c>
      <c r="L87" s="275" t="str">
        <f>IF(H:H=0,"",IF(ISERROR(VLOOKUP(H:H,produtos_escape2!$A$2:$B$2794,2,FALSE)),"Código não cadastrado",(VLOOKUP(H:H,produtos_escape2!$A$2:$B$2794,2,FALSE))))</f>
        <v>SOLUÇAO DE RINGER (CLORETOS DE Na, K, Ca) + LACTATO (SODICO) SOLUCAO INJETAVEL BOLSA OU FRASCO 500 ML SISTEMA FECHADO DE INFUSAO.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v>
      </c>
      <c r="M87" s="593" t="str">
        <f>IF(H:H=0,"",IF(ISERROR(VLOOKUP(H:H,produtos_escape2!$A$2:$D$2794,2,FALSE)),"Código não cadastrado",(VLOOKUP(H:H,produtos_escape2!$A$2:$D$2794,4,FALSE))))</f>
        <v>UN</v>
      </c>
      <c r="N87" s="486">
        <v>1600</v>
      </c>
      <c r="O87" s="176" t="s">
        <v>4398</v>
      </c>
      <c r="P87" s="486">
        <v>1600</v>
      </c>
      <c r="Q87" s="247">
        <v>2.6989999999999998</v>
      </c>
      <c r="R87" s="246">
        <f t="shared" si="3"/>
        <v>4318.3999999999996</v>
      </c>
      <c r="S87" s="177">
        <v>43853</v>
      </c>
      <c r="T87" s="182">
        <v>1251908</v>
      </c>
      <c r="U87" s="177">
        <v>43854</v>
      </c>
      <c r="V87" s="177">
        <v>43859</v>
      </c>
      <c r="W87" s="177">
        <v>43861</v>
      </c>
      <c r="X87" s="176">
        <v>72877</v>
      </c>
      <c r="Y87" s="177">
        <v>43896</v>
      </c>
      <c r="Z87" s="415">
        <v>2</v>
      </c>
      <c r="AA87" s="602"/>
      <c r="AB87" s="594"/>
      <c r="AC87" s="595"/>
      <c r="AD87" s="596"/>
      <c r="AE87" s="596"/>
      <c r="AF87" s="597" t="str">
        <f>IFERROR(INDEX(produtos_escape2!M:M,MATCH(Controle!H87,produtos_escape2!A:A,0)),"")</f>
        <v>PAPEL GRAU CIRURGICO 25 CM x 100M</v>
      </c>
    </row>
    <row r="88" spans="1:32" ht="14.25" customHeight="1">
      <c r="A88" s="176" t="s">
        <v>7300</v>
      </c>
      <c r="B88" s="176" t="s">
        <v>3608</v>
      </c>
      <c r="C88" s="177">
        <v>43851</v>
      </c>
      <c r="D88" s="176" t="s">
        <v>7304</v>
      </c>
      <c r="E88" s="176" t="s">
        <v>1866</v>
      </c>
      <c r="F88" s="259" t="s">
        <v>7309</v>
      </c>
      <c r="G88" s="176">
        <v>1</v>
      </c>
      <c r="H88" s="178">
        <v>91092</v>
      </c>
      <c r="I88" s="592">
        <f t="shared" si="2"/>
        <v>4</v>
      </c>
      <c r="J88" s="178" t="s">
        <v>816</v>
      </c>
      <c r="K88" s="178" t="s">
        <v>816</v>
      </c>
      <c r="L88" s="275"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88" s="593" t="str">
        <f>IF(H:H=0,"",IF(ISERROR(VLOOKUP(H:H,produtos_escape2!$A$2:$D$2794,2,FALSE)),"Código não cadastrado",(VLOOKUP(H:H,produtos_escape2!$A$2:$D$2794,4,FALSE))))</f>
        <v>UN</v>
      </c>
      <c r="N88" s="486">
        <v>500</v>
      </c>
      <c r="O88" s="176" t="s">
        <v>4109</v>
      </c>
      <c r="P88" s="486">
        <v>500</v>
      </c>
      <c r="Q88" s="247">
        <v>2.6989999999999998</v>
      </c>
      <c r="R88" s="246">
        <f t="shared" si="3"/>
        <v>1349.5</v>
      </c>
      <c r="S88" s="177">
        <v>43853</v>
      </c>
      <c r="T88" s="182">
        <v>73243</v>
      </c>
      <c r="U88" s="177">
        <v>43854</v>
      </c>
      <c r="V88" s="177">
        <v>43857</v>
      </c>
      <c r="W88" s="177">
        <v>43859</v>
      </c>
      <c r="X88" s="176">
        <v>74537</v>
      </c>
      <c r="Y88" s="177">
        <v>43899</v>
      </c>
      <c r="Z88" s="415">
        <v>2</v>
      </c>
      <c r="AA88" s="488"/>
      <c r="AB88" s="594"/>
      <c r="AC88" s="595"/>
      <c r="AD88" s="596"/>
      <c r="AE88" s="596"/>
      <c r="AF88" s="597" t="str">
        <f>IFERROR(INDEX(produtos_escape2!M:M,MATCH(Controle!H88,produtos_escape2!A:A,0)),"")</f>
        <v>COLETOR DE URINA SISTEMA FECHADO</v>
      </c>
    </row>
    <row r="89" spans="1:32" ht="14.25" customHeight="1">
      <c r="A89" s="176" t="s">
        <v>7307</v>
      </c>
      <c r="B89" s="176" t="s">
        <v>3608</v>
      </c>
      <c r="C89" s="177">
        <v>43851</v>
      </c>
      <c r="D89" s="176" t="s">
        <v>7308</v>
      </c>
      <c r="E89" s="176" t="s">
        <v>1867</v>
      </c>
      <c r="F89" s="259" t="s">
        <v>7311</v>
      </c>
      <c r="G89" s="176">
        <v>1</v>
      </c>
      <c r="H89" s="178">
        <v>90196</v>
      </c>
      <c r="I89" s="592">
        <f t="shared" si="2"/>
        <v>1</v>
      </c>
      <c r="J89" s="178" t="s">
        <v>816</v>
      </c>
      <c r="K89" s="178" t="s">
        <v>816</v>
      </c>
      <c r="L89" s="275" t="str">
        <f>IF(H:H=0,"",IF(ISERROR(VLOOKUP(H:H,produtos_escape2!$A$2:$B$2794,2,FALSE)),"Código não cadastrado",(VLOOKUP(H:H,produtos_escape2!$A$2:$B$2794,2,FALSE))))</f>
        <v>MORFINA SOLUÇAO INJETAVEL 0,2 MG/ML AMPOLA 1 ML</v>
      </c>
      <c r="M89" s="593" t="str">
        <f>IF(H:H=0,"",IF(ISERROR(VLOOKUP(H:H,produtos_escape2!$A$2:$D$2794,2,FALSE)),"Código não cadastrado",(VLOOKUP(H:H,produtos_escape2!$A$2:$D$2794,4,FALSE))))</f>
        <v>AMP</v>
      </c>
      <c r="N89" s="486">
        <v>600</v>
      </c>
      <c r="O89" s="176" t="s">
        <v>7337</v>
      </c>
      <c r="P89" s="486">
        <v>600</v>
      </c>
      <c r="Q89" s="247">
        <v>3.95</v>
      </c>
      <c r="R89" s="246">
        <f t="shared" si="3"/>
        <v>2370</v>
      </c>
      <c r="S89" s="177">
        <v>43854</v>
      </c>
      <c r="T89" s="182">
        <v>9967</v>
      </c>
      <c r="U89" s="177">
        <v>43854</v>
      </c>
      <c r="V89" s="177">
        <v>43854</v>
      </c>
      <c r="W89" s="177">
        <v>43859</v>
      </c>
      <c r="X89" s="176">
        <v>74009</v>
      </c>
      <c r="Y89" s="177">
        <v>43899</v>
      </c>
      <c r="Z89" s="415">
        <v>2</v>
      </c>
      <c r="AA89" s="488"/>
      <c r="AB89" s="594"/>
      <c r="AC89" s="595"/>
      <c r="AD89" s="596"/>
      <c r="AE89" s="596"/>
      <c r="AF89" s="597" t="str">
        <f>IFERROR(INDEX(produtos_escape2!M:M,MATCH(Controle!H89,produtos_escape2!A:A,0)),"")</f>
        <v>MORFINA SOLUÇAO INJETAVEL 0</v>
      </c>
    </row>
    <row r="90" spans="1:32" ht="14.25" customHeight="1">
      <c r="A90" s="176" t="s">
        <v>7309</v>
      </c>
      <c r="B90" s="176" t="s">
        <v>3608</v>
      </c>
      <c r="C90" s="177">
        <v>43851</v>
      </c>
      <c r="D90" s="176" t="s">
        <v>7310</v>
      </c>
      <c r="E90" s="176" t="s">
        <v>1867</v>
      </c>
      <c r="F90" s="259" t="s">
        <v>7313</v>
      </c>
      <c r="G90" s="176">
        <v>1</v>
      </c>
      <c r="H90" s="178">
        <v>90207</v>
      </c>
      <c r="I90" s="592">
        <f t="shared" si="2"/>
        <v>7</v>
      </c>
      <c r="J90" s="178" t="s">
        <v>816</v>
      </c>
      <c r="K90" s="178" t="s">
        <v>816</v>
      </c>
      <c r="L90" s="275" t="str">
        <f>IF(H:H=0,"",IF(ISERROR(VLOOKUP(H:H,produtos_escape2!$A$2:$B$2794,2,FALSE)),"Código não cadastrado",(VLOOKUP(H:H,produtos_escape2!$A$2:$B$2794,2,FALSE))))</f>
        <v xml:space="preserve">PROPOFOL EMULSAO INJETAVEL 10 MG/ML AMPOLA 20 ML </v>
      </c>
      <c r="M90" s="593" t="str">
        <f>IF(H:H=0,"",IF(ISERROR(VLOOKUP(H:H,produtos_escape2!$A$2:$D$2794,2,FALSE)),"Código não cadastrado",(VLOOKUP(H:H,produtos_escape2!$A$2:$D$2794,4,FALSE))))</f>
        <v>AMP</v>
      </c>
      <c r="N90" s="486">
        <v>400</v>
      </c>
      <c r="O90" s="176" t="s">
        <v>7363</v>
      </c>
      <c r="P90" s="486">
        <v>400</v>
      </c>
      <c r="Q90" s="247">
        <v>7.05</v>
      </c>
      <c r="R90" s="246">
        <f t="shared" si="3"/>
        <v>2820</v>
      </c>
      <c r="S90" s="177">
        <v>43854</v>
      </c>
      <c r="T90" s="182">
        <v>394477</v>
      </c>
      <c r="U90" s="177">
        <v>43858</v>
      </c>
      <c r="V90" s="177">
        <v>43864</v>
      </c>
      <c r="W90" s="177">
        <v>43865</v>
      </c>
      <c r="X90" s="176">
        <v>73293</v>
      </c>
      <c r="Y90" s="177">
        <v>43896</v>
      </c>
      <c r="Z90" s="415">
        <v>2</v>
      </c>
      <c r="AA90" s="488"/>
      <c r="AB90" s="594"/>
      <c r="AC90" s="595"/>
      <c r="AD90" s="596"/>
      <c r="AE90" s="596"/>
      <c r="AF90" s="597" t="str">
        <f>IFERROR(INDEX(produtos_escape2!M:M,MATCH(Controle!H90,produtos_escape2!A:A,0)),"")</f>
        <v xml:space="preserve">PROPOFOL EMULSAO INJETAVEL 10 MG/ML AMPOLA 20 ML </v>
      </c>
    </row>
    <row r="91" spans="1:32" ht="14.25" customHeight="1">
      <c r="A91" s="176" t="s">
        <v>7313</v>
      </c>
      <c r="B91" s="176" t="s">
        <v>3608</v>
      </c>
      <c r="C91" s="177">
        <v>43851</v>
      </c>
      <c r="D91" s="176" t="s">
        <v>7314</v>
      </c>
      <c r="E91" s="176" t="s">
        <v>1867</v>
      </c>
      <c r="F91" s="259" t="s">
        <v>7317</v>
      </c>
      <c r="G91" s="176">
        <v>1</v>
      </c>
      <c r="H91" s="178">
        <v>203437</v>
      </c>
      <c r="I91" s="592">
        <f t="shared" si="2"/>
        <v>4</v>
      </c>
      <c r="J91" s="178" t="s">
        <v>816</v>
      </c>
      <c r="K91" s="178" t="s">
        <v>816</v>
      </c>
      <c r="L91" s="275" t="str">
        <f>IF(H:H=0,"",IF(ISERROR(VLOOKUP(H:H,produtos_escape2!$A$2:$B$2794,2,FALSE)),"Código não cadastrado",(VLOOKUP(H:H,produtos_escape2!$A$2:$B$2794,2,FALSE))))</f>
        <v>CARVÃO ATIVADO PÓ FRASCO OU ENVELOPE 25 G.</v>
      </c>
      <c r="M91" s="593" t="str">
        <f>IF(H:H=0,"",IF(ISERROR(VLOOKUP(H:H,produtos_escape2!$A$2:$D$2794,2,FALSE)),"Código não cadastrado",(VLOOKUP(H:H,produtos_escape2!$A$2:$D$2794,4,FALSE))))</f>
        <v>UN</v>
      </c>
      <c r="N91" s="486">
        <v>15</v>
      </c>
      <c r="O91" s="176" t="s">
        <v>7364</v>
      </c>
      <c r="P91" s="486">
        <v>15</v>
      </c>
      <c r="Q91" s="247">
        <v>10</v>
      </c>
      <c r="R91" s="246">
        <f t="shared" si="3"/>
        <v>150</v>
      </c>
      <c r="S91" s="177">
        <v>43854</v>
      </c>
      <c r="T91" s="182">
        <v>28145</v>
      </c>
      <c r="U91" s="177">
        <v>43858</v>
      </c>
      <c r="V91" s="177">
        <v>43860</v>
      </c>
      <c r="W91" s="177">
        <v>43861</v>
      </c>
      <c r="X91" s="176">
        <v>73323</v>
      </c>
      <c r="Y91" s="177">
        <v>43896</v>
      </c>
      <c r="Z91" s="415">
        <v>2</v>
      </c>
      <c r="AA91" s="488"/>
      <c r="AB91" s="594"/>
      <c r="AC91" s="595"/>
      <c r="AD91" s="596"/>
      <c r="AE91" s="596"/>
      <c r="AF91" s="597" t="str">
        <f>IFERROR(INDEX(produtos_escape2!M:M,MATCH(Controle!H91,produtos_escape2!A:A,0)),"")</f>
        <v>CARVÃO ATIVADO PÓ FRASCO OU ENVELOPE 25 G</v>
      </c>
    </row>
    <row r="92" spans="1:32" ht="14.25" customHeight="1">
      <c r="A92" s="176" t="s">
        <v>7260</v>
      </c>
      <c r="B92" s="176" t="s">
        <v>3608</v>
      </c>
      <c r="C92" s="177">
        <v>43845</v>
      </c>
      <c r="D92" s="176" t="s">
        <v>7282</v>
      </c>
      <c r="E92" s="176" t="s">
        <v>1866</v>
      </c>
      <c r="F92" s="259" t="s">
        <v>7339</v>
      </c>
      <c r="G92" s="176">
        <v>1</v>
      </c>
      <c r="H92" s="178">
        <v>92401</v>
      </c>
      <c r="I92" s="592">
        <f t="shared" si="2"/>
        <v>9</v>
      </c>
      <c r="J92" s="178" t="s">
        <v>816</v>
      </c>
      <c r="K92" s="178" t="s">
        <v>816</v>
      </c>
      <c r="L92" s="275"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92" s="593" t="str">
        <f>IF(H:H=0,"",IF(ISERROR(VLOOKUP(H:H,produtos_escape2!$A$2:$D$2794,2,FALSE)),"Código não cadastrado",(VLOOKUP(H:H,produtos_escape2!$A$2:$D$2794,4,FALSE))))</f>
        <v>PAR</v>
      </c>
      <c r="N92" s="486">
        <v>10000</v>
      </c>
      <c r="O92" s="176" t="s">
        <v>7337</v>
      </c>
      <c r="P92" s="486">
        <v>4676</v>
      </c>
      <c r="Q92" s="247">
        <v>0.79</v>
      </c>
      <c r="R92" s="246">
        <f t="shared" si="3"/>
        <v>3694.04</v>
      </c>
      <c r="S92" s="177">
        <v>43853</v>
      </c>
      <c r="T92" s="182">
        <v>9968</v>
      </c>
      <c r="U92" s="177">
        <v>43854</v>
      </c>
      <c r="V92" s="177">
        <v>43854</v>
      </c>
      <c r="W92" s="177">
        <v>43859</v>
      </c>
      <c r="X92" s="176">
        <v>73219</v>
      </c>
      <c r="Y92" s="177">
        <v>43896</v>
      </c>
      <c r="Z92" s="415">
        <v>2</v>
      </c>
      <c r="AA92" s="488" t="s">
        <v>7391</v>
      </c>
      <c r="AB92" s="594"/>
      <c r="AC92" s="595"/>
      <c r="AD92" s="596"/>
      <c r="AE92" s="596"/>
      <c r="AF92" s="597" t="str">
        <f>IFERROR(INDEX(produtos_escape2!M:M,MATCH(Controle!H92,produtos_escape2!A:A,0)),"")</f>
        <v>LUVA CIRURGICA CONVENCIONAL Nº 7</v>
      </c>
    </row>
    <row r="93" spans="1:32" ht="14.25" customHeight="1">
      <c r="A93" s="176" t="s">
        <v>7260</v>
      </c>
      <c r="B93" s="176" t="s">
        <v>3608</v>
      </c>
      <c r="C93" s="177">
        <v>43845</v>
      </c>
      <c r="D93" s="176" t="s">
        <v>7282</v>
      </c>
      <c r="E93" s="176" t="s">
        <v>1866</v>
      </c>
      <c r="F93" s="259" t="s">
        <v>7339</v>
      </c>
      <c r="G93" s="176">
        <v>2</v>
      </c>
      <c r="H93" s="178">
        <v>92402</v>
      </c>
      <c r="I93" s="592">
        <f t="shared" si="2"/>
        <v>9</v>
      </c>
      <c r="J93" s="178" t="s">
        <v>816</v>
      </c>
      <c r="K93" s="178" t="s">
        <v>816</v>
      </c>
      <c r="L93" s="275"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93" s="593" t="str">
        <f>IF(H:H=0,"",IF(ISERROR(VLOOKUP(H:H,produtos_escape2!$A$2:$D$2794,2,FALSE)),"Código não cadastrado",(VLOOKUP(H:H,produtos_escape2!$A$2:$D$2794,4,FALSE))))</f>
        <v>PAR</v>
      </c>
      <c r="N93" s="486">
        <v>10000</v>
      </c>
      <c r="O93" s="176" t="s">
        <v>7337</v>
      </c>
      <c r="P93" s="486">
        <v>295</v>
      </c>
      <c r="Q93" s="247">
        <v>0.76</v>
      </c>
      <c r="R93" s="246">
        <f t="shared" si="3"/>
        <v>224.2</v>
      </c>
      <c r="S93" s="177">
        <v>43853</v>
      </c>
      <c r="T93" s="182">
        <v>9968</v>
      </c>
      <c r="U93" s="177">
        <v>43854</v>
      </c>
      <c r="V93" s="177">
        <v>43854</v>
      </c>
      <c r="W93" s="177">
        <v>43859</v>
      </c>
      <c r="X93" s="176">
        <v>73219</v>
      </c>
      <c r="Y93" s="177">
        <v>43896</v>
      </c>
      <c r="Z93" s="415">
        <v>2</v>
      </c>
      <c r="AA93" s="488" t="s">
        <v>7391</v>
      </c>
      <c r="AB93" s="594"/>
      <c r="AC93" s="595"/>
      <c r="AD93" s="596"/>
      <c r="AE93" s="596"/>
      <c r="AF93" s="597" t="str">
        <f>IFERROR(INDEX(produtos_escape2!M:M,MATCH(Controle!H93,produtos_escape2!A:A,0)),"")</f>
        <v>LUVA CIRURGICA CONVENCIONAL Nº 7</v>
      </c>
    </row>
    <row r="94" spans="1:32" ht="14.25" customHeight="1">
      <c r="A94" s="176" t="s">
        <v>7260</v>
      </c>
      <c r="B94" s="176" t="s">
        <v>3608</v>
      </c>
      <c r="C94" s="177">
        <v>43845</v>
      </c>
      <c r="D94" s="176" t="s">
        <v>7282</v>
      </c>
      <c r="E94" s="176" t="s">
        <v>1866</v>
      </c>
      <c r="F94" s="259" t="s">
        <v>7339</v>
      </c>
      <c r="G94" s="176">
        <v>3</v>
      </c>
      <c r="H94" s="178">
        <v>92410</v>
      </c>
      <c r="I94" s="592">
        <f t="shared" si="2"/>
        <v>7</v>
      </c>
      <c r="J94" s="178" t="s">
        <v>816</v>
      </c>
      <c r="K94" s="178" t="s">
        <v>816</v>
      </c>
      <c r="L94" s="275"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94" s="593" t="str">
        <f>IF(H:H=0,"",IF(ISERROR(VLOOKUP(H:H,produtos_escape2!$A$2:$D$2794,2,FALSE)),"Código não cadastrado",(VLOOKUP(H:H,produtos_escape2!$A$2:$D$2794,4,FALSE))))</f>
        <v>PAR</v>
      </c>
      <c r="N94" s="486">
        <v>5000</v>
      </c>
      <c r="O94" s="176" t="s">
        <v>5751</v>
      </c>
      <c r="P94" s="486">
        <v>5000</v>
      </c>
      <c r="Q94" s="247">
        <v>0.89</v>
      </c>
      <c r="R94" s="246">
        <f t="shared" si="3"/>
        <v>4450</v>
      </c>
      <c r="S94" s="177">
        <v>43853</v>
      </c>
      <c r="T94" s="182">
        <v>4014</v>
      </c>
      <c r="U94" s="177">
        <v>43861</v>
      </c>
      <c r="V94" s="177">
        <v>43872</v>
      </c>
      <c r="W94" s="177">
        <v>43879</v>
      </c>
      <c r="X94" s="176">
        <v>73049</v>
      </c>
      <c r="Y94" s="177">
        <v>43896</v>
      </c>
      <c r="Z94" s="415">
        <v>2</v>
      </c>
      <c r="AA94" s="488"/>
      <c r="AB94" s="594"/>
      <c r="AC94" s="595"/>
      <c r="AD94" s="596"/>
      <c r="AE94" s="596"/>
      <c r="AF94" s="597" t="str">
        <f>IFERROR(INDEX(produtos_escape2!M:M,MATCH(Controle!H94,produtos_escape2!A:A,0)),"")</f>
        <v>LUVA CIRURGICA CONVENCIONAL Nº 6,5</v>
      </c>
    </row>
    <row r="95" spans="1:32" ht="14.25" customHeight="1">
      <c r="A95" s="176" t="s">
        <v>7305</v>
      </c>
      <c r="B95" s="176" t="s">
        <v>3608</v>
      </c>
      <c r="C95" s="177">
        <v>43851</v>
      </c>
      <c r="D95" s="176" t="s">
        <v>7306</v>
      </c>
      <c r="E95" s="176" t="s">
        <v>1866</v>
      </c>
      <c r="F95" s="259" t="s">
        <v>7340</v>
      </c>
      <c r="G95" s="176">
        <v>1</v>
      </c>
      <c r="H95" s="178">
        <v>92035</v>
      </c>
      <c r="I95" s="592">
        <f t="shared" si="2"/>
        <v>6</v>
      </c>
      <c r="J95" s="178" t="s">
        <v>816</v>
      </c>
      <c r="K95" s="178" t="s">
        <v>816</v>
      </c>
      <c r="L95" s="275"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95" s="593" t="str">
        <f>IF(H:H=0,"",IF(ISERROR(VLOOKUP(H:H,produtos_escape2!$A$2:$D$2794,2,FALSE)),"Código não cadastrado",(VLOOKUP(H:H,produtos_escape2!$A$2:$D$2794,4,FALSE))))</f>
        <v>UN</v>
      </c>
      <c r="N95" s="486">
        <v>100</v>
      </c>
      <c r="O95" s="176" t="s">
        <v>2989</v>
      </c>
      <c r="P95" s="486">
        <v>100</v>
      </c>
      <c r="Q95" s="247">
        <v>3.5</v>
      </c>
      <c r="R95" s="246">
        <f t="shared" si="3"/>
        <v>350</v>
      </c>
      <c r="S95" s="177">
        <v>43853</v>
      </c>
      <c r="T95" s="182">
        <v>108948</v>
      </c>
      <c r="U95" s="177">
        <v>43854</v>
      </c>
      <c r="V95" s="177">
        <v>43857</v>
      </c>
      <c r="W95" s="177">
        <v>43859</v>
      </c>
      <c r="X95" s="176">
        <v>73855</v>
      </c>
      <c r="Y95" s="177">
        <v>43899</v>
      </c>
      <c r="Z95" s="415">
        <v>2</v>
      </c>
      <c r="AA95" s="488"/>
      <c r="AB95" s="594"/>
      <c r="AC95" s="595"/>
      <c r="AD95" s="596"/>
      <c r="AE95" s="596"/>
      <c r="AF95" s="597" t="str">
        <f>IFERROR(INDEX(produtos_escape2!M:M,MATCH(Controle!H95,produtos_escape2!A:A,0)),"")</f>
        <v>TUBO ENDOTRAQUEAL</v>
      </c>
    </row>
    <row r="96" spans="1:32" ht="14.25" customHeight="1">
      <c r="A96" s="176" t="s">
        <v>7311</v>
      </c>
      <c r="B96" s="176" t="s">
        <v>3608</v>
      </c>
      <c r="C96" s="177">
        <v>43851</v>
      </c>
      <c r="D96" s="176" t="s">
        <v>7312</v>
      </c>
      <c r="E96" s="176" t="s">
        <v>1866</v>
      </c>
      <c r="F96" s="259" t="s">
        <v>7341</v>
      </c>
      <c r="G96" s="176">
        <v>1</v>
      </c>
      <c r="H96" s="178">
        <v>90032</v>
      </c>
      <c r="I96" s="592">
        <f t="shared" si="2"/>
        <v>11</v>
      </c>
      <c r="J96" s="178" t="s">
        <v>816</v>
      </c>
      <c r="K96" s="178" t="s">
        <v>816</v>
      </c>
      <c r="L96" s="275" t="str">
        <f>IF(H:H=0,"",IF(ISERROR(VLOOKUP(H:H,produtos_escape2!$A$2:$B$2794,2,FALSE)),"Código não cadastrado",(VLOOKUP(H:H,produtos_escape2!$A$2:$B$2794,2,FALSE))))</f>
        <v>CISATRACURIO (BESILATO) SOLUCAO INJETAVEL 2 MG/ML AMPOLA 5 ML</v>
      </c>
      <c r="M96" s="593" t="str">
        <f>IF(H:H=0,"",IF(ISERROR(VLOOKUP(H:H,produtos_escape2!$A$2:$D$2794,2,FALSE)),"Código não cadastrado",(VLOOKUP(H:H,produtos_escape2!$A$2:$D$2794,4,FALSE))))</f>
        <v>AMP</v>
      </c>
      <c r="N96" s="486">
        <v>300</v>
      </c>
      <c r="O96" s="176" t="s">
        <v>4398</v>
      </c>
      <c r="P96" s="486">
        <v>300</v>
      </c>
      <c r="Q96" s="247">
        <v>16.98</v>
      </c>
      <c r="R96" s="246">
        <f t="shared" si="3"/>
        <v>5094</v>
      </c>
      <c r="S96" s="177">
        <v>43853</v>
      </c>
      <c r="T96" s="182">
        <v>1251903</v>
      </c>
      <c r="U96" s="177">
        <v>43854</v>
      </c>
      <c r="V96" s="177">
        <v>43859</v>
      </c>
      <c r="W96" s="177">
        <v>43861</v>
      </c>
      <c r="X96" s="176">
        <v>73184</v>
      </c>
      <c r="Y96" s="177">
        <v>43896</v>
      </c>
      <c r="Z96" s="415">
        <v>2</v>
      </c>
      <c r="AA96" s="488"/>
      <c r="AB96" s="594"/>
      <c r="AC96" s="595"/>
      <c r="AD96" s="596"/>
      <c r="AE96" s="596"/>
      <c r="AF96" s="597" t="str">
        <f>IFERROR(INDEX(produtos_escape2!M:M,MATCH(Controle!H96,produtos_escape2!A:A,0)),"")</f>
        <v>CISATRACURIO (BESILATO) SOLUCAO INJETAVEL 2 MG/ML AMPOLA 5 ML</v>
      </c>
    </row>
    <row r="97" spans="1:32" ht="14.25" customHeight="1">
      <c r="A97" s="176" t="s">
        <v>7258</v>
      </c>
      <c r="B97" s="176" t="s">
        <v>7207</v>
      </c>
      <c r="C97" s="177">
        <v>43852</v>
      </c>
      <c r="D97" s="176" t="s">
        <v>7348</v>
      </c>
      <c r="E97" s="176" t="s">
        <v>1866</v>
      </c>
      <c r="F97" s="259" t="s">
        <v>7352</v>
      </c>
      <c r="G97" s="176">
        <v>1</v>
      </c>
      <c r="H97" s="178">
        <v>49185</v>
      </c>
      <c r="I97" s="592">
        <f t="shared" si="2"/>
        <v>2</v>
      </c>
      <c r="J97" s="178" t="s">
        <v>816</v>
      </c>
      <c r="K97" s="178" t="s">
        <v>816</v>
      </c>
      <c r="L97" s="275" t="str">
        <f>IF(H:H=0,"",IF(ISERROR(VLOOKUP(H:H,produtos_escape2!$A$2:$B$2794,2,FALSE)),"Código não cadastrado",(VLOOKUP(H:H,produtos_escape2!$A$2:$B$2794,2,FALSE))))</f>
        <v>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v>
      </c>
      <c r="M97" s="593" t="str">
        <f>IF(H:H=0,"",IF(ISERROR(VLOOKUP(H:H,produtos_escape2!$A$2:$D$2794,2,FALSE)),"Código não cadastrado",(VLOOKUP(H:H,produtos_escape2!$A$2:$D$2794,4,FALSE))))</f>
        <v>RL</v>
      </c>
      <c r="N97" s="486">
        <v>5000</v>
      </c>
      <c r="O97" s="176" t="s">
        <v>3663</v>
      </c>
      <c r="P97" s="486">
        <v>2000</v>
      </c>
      <c r="Q97" s="247">
        <v>2.15</v>
      </c>
      <c r="R97" s="246">
        <f t="shared" si="3"/>
        <v>4300</v>
      </c>
      <c r="S97" s="177">
        <v>43854</v>
      </c>
      <c r="T97" s="182">
        <v>1177070</v>
      </c>
      <c r="U97" s="177">
        <v>43857</v>
      </c>
      <c r="V97" s="177">
        <v>43859</v>
      </c>
      <c r="W97" s="177">
        <v>43860</v>
      </c>
      <c r="X97" s="176">
        <v>72871</v>
      </c>
      <c r="Y97" s="177">
        <v>43896</v>
      </c>
      <c r="Z97" s="415">
        <v>2</v>
      </c>
      <c r="AA97" s="488"/>
      <c r="AB97" s="594"/>
      <c r="AC97" s="595"/>
      <c r="AD97" s="596"/>
      <c r="AE97" s="596"/>
      <c r="AF97" s="597" t="str">
        <f>IFERROR(INDEX(produtos_escape2!M:M,MATCH(Controle!H97,produtos_escape2!A:A,0)),"")</f>
        <v>FITA AUTOADESIVA HOSPITALAR</v>
      </c>
    </row>
    <row r="98" spans="1:32" ht="14.25" customHeight="1">
      <c r="A98" s="176" t="s">
        <v>7258</v>
      </c>
      <c r="B98" s="176" t="s">
        <v>7207</v>
      </c>
      <c r="C98" s="177">
        <v>43852</v>
      </c>
      <c r="D98" s="176" t="s">
        <v>7348</v>
      </c>
      <c r="E98" s="176" t="s">
        <v>1866</v>
      </c>
      <c r="F98" s="259" t="s">
        <v>7352</v>
      </c>
      <c r="G98" s="176">
        <v>2</v>
      </c>
      <c r="H98" s="178">
        <v>201158</v>
      </c>
      <c r="I98" s="592">
        <f t="shared" si="2"/>
        <v>7</v>
      </c>
      <c r="J98" s="178" t="s">
        <v>816</v>
      </c>
      <c r="K98" s="178" t="s">
        <v>816</v>
      </c>
      <c r="L98" s="275"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98" s="593" t="str">
        <f>IF(H:H=0,"",IF(ISERROR(VLOOKUP(H:H,produtos_escape2!$A$2:$D$2794,2,FALSE)),"Código não cadastrado",(VLOOKUP(H:H,produtos_escape2!$A$2:$D$2794,4,FALSE))))</f>
        <v>PR</v>
      </c>
      <c r="N98" s="486">
        <v>20000</v>
      </c>
      <c r="O98" s="176" t="s">
        <v>7371</v>
      </c>
      <c r="P98" s="486">
        <v>20000</v>
      </c>
      <c r="Q98" s="247">
        <v>0.14779999999999999</v>
      </c>
      <c r="R98" s="246">
        <f t="shared" si="3"/>
        <v>2955.9999999999995</v>
      </c>
      <c r="S98" s="177">
        <v>43854</v>
      </c>
      <c r="T98" s="182">
        <v>298470</v>
      </c>
      <c r="U98" s="177">
        <v>43857</v>
      </c>
      <c r="V98" s="177">
        <v>43857</v>
      </c>
      <c r="W98" s="177">
        <v>43857</v>
      </c>
      <c r="X98" s="176">
        <v>73207</v>
      </c>
      <c r="Y98" s="177">
        <v>43896</v>
      </c>
      <c r="Z98" s="415">
        <v>2</v>
      </c>
      <c r="AA98" s="488"/>
      <c r="AB98" s="594"/>
      <c r="AC98" s="595"/>
      <c r="AD98" s="596"/>
      <c r="AE98" s="596"/>
      <c r="AF98" s="597" t="str">
        <f>IFERROR(INDEX(produtos_escape2!M:M,MATCH(Controle!H98,produtos_escape2!A:A,0)),"")</f>
        <v>SAPATILHA DESCARTÁVEL</v>
      </c>
    </row>
    <row r="99" spans="1:32" ht="14.25" customHeight="1">
      <c r="A99" s="176" t="s">
        <v>7258</v>
      </c>
      <c r="B99" s="176" t="s">
        <v>7207</v>
      </c>
      <c r="C99" s="177">
        <v>43852</v>
      </c>
      <c r="D99" s="176" t="s">
        <v>7348</v>
      </c>
      <c r="E99" s="176" t="s">
        <v>1866</v>
      </c>
      <c r="F99" s="259" t="s">
        <v>7352</v>
      </c>
      <c r="G99" s="176">
        <v>3</v>
      </c>
      <c r="H99" s="178">
        <v>63295</v>
      </c>
      <c r="I99" s="592">
        <f t="shared" si="2"/>
        <v>8</v>
      </c>
      <c r="J99" s="178" t="s">
        <v>816</v>
      </c>
      <c r="K99" s="178" t="s">
        <v>816</v>
      </c>
      <c r="L99" s="275"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99" s="593" t="str">
        <f>IF(H:H=0,"",IF(ISERROR(VLOOKUP(H:H,produtos_escape2!$A$2:$D$2794,2,FALSE)),"Código não cadastrado",(VLOOKUP(H:H,produtos_escape2!$A$2:$D$2794,4,FALSE))))</f>
        <v>UN</v>
      </c>
      <c r="N99" s="486">
        <v>20000</v>
      </c>
      <c r="O99" s="176" t="s">
        <v>7371</v>
      </c>
      <c r="P99" s="486">
        <v>20000</v>
      </c>
      <c r="Q99" s="247">
        <v>4.9799999999999997E-2</v>
      </c>
      <c r="R99" s="246">
        <f t="shared" si="3"/>
        <v>995.99999999999989</v>
      </c>
      <c r="S99" s="177">
        <v>43854</v>
      </c>
      <c r="T99" s="182">
        <v>298470</v>
      </c>
      <c r="U99" s="177">
        <v>43857</v>
      </c>
      <c r="V99" s="177">
        <v>43857</v>
      </c>
      <c r="W99" s="177">
        <v>43857</v>
      </c>
      <c r="X99" s="176">
        <v>73207</v>
      </c>
      <c r="Y99" s="177">
        <v>43896</v>
      </c>
      <c r="Z99" s="415">
        <v>2</v>
      </c>
      <c r="AA99" s="488"/>
      <c r="AB99" s="594"/>
      <c r="AC99" s="595"/>
      <c r="AD99" s="596"/>
      <c r="AE99" s="596"/>
      <c r="AF99" s="597" t="str">
        <f>IFERROR(INDEX(produtos_escape2!M:M,MATCH(Controle!H99,produtos_escape2!A:A,0)),"")</f>
        <v>TOUCA HOSPITALAR</v>
      </c>
    </row>
    <row r="100" spans="1:32" ht="14.25" customHeight="1">
      <c r="A100" s="176" t="s">
        <v>7260</v>
      </c>
      <c r="B100" s="176" t="s">
        <v>7207</v>
      </c>
      <c r="C100" s="177">
        <v>43853</v>
      </c>
      <c r="D100" s="176" t="s">
        <v>7351</v>
      </c>
      <c r="E100" s="176" t="s">
        <v>1866</v>
      </c>
      <c r="F100" s="259" t="s">
        <v>7353</v>
      </c>
      <c r="G100" s="176">
        <v>1</v>
      </c>
      <c r="H100" s="178">
        <v>65666</v>
      </c>
      <c r="I100" s="592">
        <f t="shared" si="2"/>
        <v>3</v>
      </c>
      <c r="J100" s="178" t="s">
        <v>816</v>
      </c>
      <c r="K100" s="178" t="s">
        <v>816</v>
      </c>
      <c r="L100" s="275"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100" s="593" t="str">
        <f>IF(H:H=0,"",IF(ISERROR(VLOOKUP(H:H,produtos_escape2!$A$2:$D$2794,2,FALSE)),"Código não cadastrado",(VLOOKUP(H:H,produtos_escape2!$A$2:$D$2794,4,FALSE))))</f>
        <v>MH</v>
      </c>
      <c r="N100" s="486">
        <v>300</v>
      </c>
      <c r="O100" s="176" t="s">
        <v>3671</v>
      </c>
      <c r="P100" s="486">
        <v>300</v>
      </c>
      <c r="Q100" s="247">
        <v>14.8</v>
      </c>
      <c r="R100" s="246">
        <f t="shared" si="3"/>
        <v>4440</v>
      </c>
      <c r="S100" s="177">
        <v>43858</v>
      </c>
      <c r="T100" s="182">
        <v>631</v>
      </c>
      <c r="U100" s="177">
        <v>43865</v>
      </c>
      <c r="V100" s="177">
        <v>43867</v>
      </c>
      <c r="W100" s="177">
        <v>43871</v>
      </c>
      <c r="X100" s="176">
        <v>73019</v>
      </c>
      <c r="Y100" s="177">
        <v>43896</v>
      </c>
      <c r="Z100" s="415">
        <v>2</v>
      </c>
      <c r="AA100" s="488"/>
      <c r="AB100" s="594"/>
      <c r="AC100" s="595"/>
      <c r="AD100" s="596"/>
      <c r="AE100" s="596"/>
      <c r="AF100" s="597" t="str">
        <f>IFERROR(INDEX(produtos_escape2!M:M,MATCH(Controle!H100,produtos_escape2!A:A,0)),"")</f>
        <v>ETIQUETA AUTO-ADESIVA para FARMÁCIA</v>
      </c>
    </row>
    <row r="101" spans="1:32" ht="14.25" customHeight="1">
      <c r="A101" s="176" t="s">
        <v>7270</v>
      </c>
      <c r="B101" s="176" t="s">
        <v>7207</v>
      </c>
      <c r="C101" s="177">
        <v>43853</v>
      </c>
      <c r="D101" s="176" t="s">
        <v>7357</v>
      </c>
      <c r="E101" s="176" t="s">
        <v>1866</v>
      </c>
      <c r="F101" s="259" t="s">
        <v>7358</v>
      </c>
      <c r="G101" s="176">
        <v>1</v>
      </c>
      <c r="H101" s="178">
        <v>31635</v>
      </c>
      <c r="I101" s="592">
        <f t="shared" si="2"/>
        <v>5</v>
      </c>
      <c r="J101" s="178" t="s">
        <v>816</v>
      </c>
      <c r="K101" s="178" t="s">
        <v>816</v>
      </c>
      <c r="L101" s="275" t="str">
        <f>IF(H:H=0,"",IF(ISERROR(VLOOKUP(H:H,produtos_escape2!$A$2:$B$2794,2,FALSE)),"Código não cadastrado",(VLOOKUP(H:H,produtos_escape2!$A$2:$B$2794,2,FALSE))))</f>
        <v>ETIQUETA AUTOADESIVA, Cor: Vermelho, Tamanho: 2cm x 1cm com os dizeres: ATENÇÃO! MEDICAMENTO DE ALTA VIGILÂNCIA.</v>
      </c>
      <c r="M101" s="593" t="str">
        <f>IF(H:H=0,"",IF(ISERROR(VLOOKUP(H:H,produtos_escape2!$A$2:$D$2794,2,FALSE)),"Código não cadastrado",(VLOOKUP(H:H,produtos_escape2!$A$2:$D$2794,4,FALSE))))</f>
        <v>UN</v>
      </c>
      <c r="N101" s="486">
        <v>20000</v>
      </c>
      <c r="O101" s="176" t="s">
        <v>3671</v>
      </c>
      <c r="P101" s="486">
        <v>20000</v>
      </c>
      <c r="Q101" s="247">
        <v>2.4E-2</v>
      </c>
      <c r="R101" s="246">
        <f t="shared" si="3"/>
        <v>480</v>
      </c>
      <c r="S101" s="177">
        <v>43854</v>
      </c>
      <c r="T101" s="182">
        <v>627</v>
      </c>
      <c r="U101" s="177">
        <v>43857</v>
      </c>
      <c r="V101" s="177">
        <v>43857</v>
      </c>
      <c r="W101" s="177">
        <v>43857</v>
      </c>
      <c r="X101" s="176">
        <v>73100</v>
      </c>
      <c r="Y101" s="177">
        <v>43896</v>
      </c>
      <c r="Z101" s="415">
        <v>2</v>
      </c>
      <c r="AA101" s="488"/>
      <c r="AB101" s="594"/>
      <c r="AC101" s="595"/>
      <c r="AD101" s="596"/>
      <c r="AE101" s="596"/>
      <c r="AF101" s="597" t="str">
        <f>IFERROR(INDEX(produtos_escape2!M:M,MATCH(Controle!H101,produtos_escape2!A:A,0)),"")</f>
        <v>ETIQUETA AUTOADESIVA</v>
      </c>
    </row>
    <row r="102" spans="1:32" ht="14.25" customHeight="1">
      <c r="A102" s="176" t="s">
        <v>7340</v>
      </c>
      <c r="B102" s="176" t="s">
        <v>3608</v>
      </c>
      <c r="C102" s="177">
        <v>43853</v>
      </c>
      <c r="D102" s="176" t="s">
        <v>7359</v>
      </c>
      <c r="E102" s="176" t="s">
        <v>1866</v>
      </c>
      <c r="F102" s="259" t="s">
        <v>7362</v>
      </c>
      <c r="G102" s="176">
        <v>1</v>
      </c>
      <c r="H102" s="178">
        <v>90980</v>
      </c>
      <c r="I102" s="592">
        <f t="shared" si="2"/>
        <v>1</v>
      </c>
      <c r="J102" s="178" t="s">
        <v>816</v>
      </c>
      <c r="K102" s="178" t="s">
        <v>816</v>
      </c>
      <c r="L102" s="275" t="str">
        <f>IF(H:H=0,"",IF(ISERROR(VLOOKUP(H:H,produtos_escape2!$A$2:$B$2794,2,FALSE)),"Código não cadastrado",(VLOOKUP(H:H,produtos_escape2!$A$2:$B$2794,2,FALSE))))</f>
        <v>ALTEPLASE PO PARA SOLUÇAO INJETAVEL 50 MG FRASCO AMPOLA</v>
      </c>
      <c r="M102" s="593" t="str">
        <f>IF(H:H=0,"",IF(ISERROR(VLOOKUP(H:H,produtos_escape2!$A$2:$D$2794,2,FALSE)),"Código não cadastrado",(VLOOKUP(H:H,produtos_escape2!$A$2:$D$2794,4,FALSE))))</f>
        <v>AMP</v>
      </c>
      <c r="N102" s="486">
        <v>10</v>
      </c>
      <c r="O102" s="176" t="s">
        <v>7372</v>
      </c>
      <c r="P102" s="486">
        <v>8</v>
      </c>
      <c r="Q102" s="247">
        <v>2022.99</v>
      </c>
      <c r="R102" s="246">
        <f t="shared" si="3"/>
        <v>16183.92</v>
      </c>
      <c r="S102" s="177">
        <v>43854</v>
      </c>
      <c r="T102" s="182">
        <v>438701</v>
      </c>
      <c r="U102" s="177">
        <v>43858</v>
      </c>
      <c r="V102" s="177">
        <v>43858</v>
      </c>
      <c r="W102" s="177">
        <v>43859</v>
      </c>
      <c r="X102" s="176">
        <v>73971</v>
      </c>
      <c r="Y102" s="177">
        <v>43899</v>
      </c>
      <c r="Z102" s="415">
        <v>2</v>
      </c>
      <c r="AA102" s="488"/>
      <c r="AB102" s="594"/>
      <c r="AC102" s="595"/>
      <c r="AD102" s="596"/>
      <c r="AE102" s="596"/>
      <c r="AF102" s="597" t="str">
        <f>IFERROR(INDEX(produtos_escape2!M:M,MATCH(Controle!H102,produtos_escape2!A:A,0)),"")</f>
        <v>ALTEPLASE</v>
      </c>
    </row>
    <row r="103" spans="1:32" ht="14.25" customHeight="1">
      <c r="A103" s="176" t="s">
        <v>7352</v>
      </c>
      <c r="B103" s="176" t="s">
        <v>3608</v>
      </c>
      <c r="C103" s="177">
        <v>43854</v>
      </c>
      <c r="D103" s="176" t="s">
        <v>7378</v>
      </c>
      <c r="E103" s="176" t="s">
        <v>1866</v>
      </c>
      <c r="F103" s="259" t="s">
        <v>7379</v>
      </c>
      <c r="G103" s="176">
        <v>1</v>
      </c>
      <c r="H103" s="178">
        <v>25977</v>
      </c>
      <c r="I103" s="592">
        <f t="shared" si="2"/>
        <v>3</v>
      </c>
      <c r="J103" s="178" t="s">
        <v>816</v>
      </c>
      <c r="K103" s="178" t="s">
        <v>816</v>
      </c>
      <c r="L103" s="275" t="str">
        <f>IF(H:H=0,"",IF(ISERROR(VLOOKUP(H:H,produtos_escape2!$A$2:$B$2794,2,FALSE)),"Código não cadastrado",(VLOOKUP(H:H,produtos_escape2!$A$2:$B$2794,2,FALSE))))</f>
        <v>FILTRO ANTIBACTERIANO, embalado individualmente para uso em espirômetro, compatível com aparelhos de função pulmonar, marca COSMED, modelo Pony FX</v>
      </c>
      <c r="M103" s="593" t="str">
        <f>IF(H:H=0,"",IF(ISERROR(VLOOKUP(H:H,produtos_escape2!$A$2:$D$2794,2,FALSE)),"Código não cadastrado",(VLOOKUP(H:H,produtos_escape2!$A$2:$D$2794,4,FALSE))))</f>
        <v>UN</v>
      </c>
      <c r="N103" s="486">
        <v>500</v>
      </c>
      <c r="O103" s="176" t="s">
        <v>7283</v>
      </c>
      <c r="P103" s="486">
        <v>500</v>
      </c>
      <c r="Q103" s="247">
        <v>9.8000000000000007</v>
      </c>
      <c r="R103" s="246">
        <f t="shared" si="3"/>
        <v>4900</v>
      </c>
      <c r="S103" s="177">
        <v>43858</v>
      </c>
      <c r="T103" s="182">
        <v>1429</v>
      </c>
      <c r="U103" s="177">
        <v>43864</v>
      </c>
      <c r="V103" s="177">
        <v>43864</v>
      </c>
      <c r="W103" s="177">
        <v>43865</v>
      </c>
      <c r="X103" s="176">
        <v>76617</v>
      </c>
      <c r="Y103" s="177">
        <v>43901</v>
      </c>
      <c r="Z103" s="415">
        <v>2</v>
      </c>
      <c r="AA103" s="488"/>
      <c r="AB103" s="594"/>
      <c r="AC103" s="595"/>
      <c r="AD103" s="596"/>
      <c r="AE103" s="596"/>
      <c r="AF103" s="597" t="str">
        <f>IFERROR(INDEX(produtos_escape2!M:M,MATCH(Controle!H103,produtos_escape2!A:A,0)),"")</f>
        <v>FILTRO ANTIBACTERIANO</v>
      </c>
    </row>
    <row r="104" spans="1:32" ht="14.25" customHeight="1">
      <c r="A104" s="176" t="s">
        <v>7270</v>
      </c>
      <c r="B104" s="176" t="s">
        <v>7207</v>
      </c>
      <c r="C104" s="177">
        <v>43853</v>
      </c>
      <c r="D104" s="176" t="s">
        <v>7354</v>
      </c>
      <c r="E104" s="176" t="s">
        <v>3009</v>
      </c>
      <c r="F104" s="259" t="s">
        <v>7381</v>
      </c>
      <c r="G104" s="176">
        <v>1</v>
      </c>
      <c r="H104" s="178">
        <v>31102</v>
      </c>
      <c r="I104" s="592">
        <f t="shared" si="2"/>
        <v>2</v>
      </c>
      <c r="J104" s="178" t="s">
        <v>816</v>
      </c>
      <c r="K104" s="178" t="s">
        <v>816</v>
      </c>
      <c r="L104" s="275" t="str">
        <f>IF(H:H=0,"",IF(ISERROR(VLOOKUP(H:H,produtos_escape2!$A$2:$B$2794,2,FALSE)),"Código não cadastrado",(VLOOKUP(H:H,produtos_escape2!$A$2:$B$2794,2,FALSE))))</f>
        <v>MALETA PRIMEIROS SOCORROS - resgate, Material: plástico resistente, largura 24, altura 22, profundidade 44, Características adicionais; 2 bandejas articuladas,14 compartimentos, outros componentes 2 miniestojos com 2 compartimentos cada</v>
      </c>
      <c r="M104" s="593" t="str">
        <f>IF(H:H=0,"",IF(ISERROR(VLOOKUP(H:H,produtos_escape2!$A$2:$D$2794,2,FALSE)),"Código não cadastrado",(VLOOKUP(H:H,produtos_escape2!$A$2:$D$2794,4,FALSE))))</f>
        <v>UN</v>
      </c>
      <c r="N104" s="486">
        <v>3</v>
      </c>
      <c r="O104" s="176" t="s">
        <v>1868</v>
      </c>
      <c r="P104" s="486"/>
      <c r="Q104" s="247"/>
      <c r="R104" s="246">
        <f t="shared" si="3"/>
        <v>0</v>
      </c>
      <c r="S104" s="177">
        <v>43902</v>
      </c>
      <c r="T104" s="182"/>
      <c r="U104" s="177"/>
      <c r="V104" s="177"/>
      <c r="W104" s="177"/>
      <c r="X104" s="176"/>
      <c r="Y104" s="177"/>
      <c r="Z104" s="415">
        <v>2</v>
      </c>
      <c r="AA104" s="488" t="s">
        <v>7808</v>
      </c>
      <c r="AB104" s="594"/>
      <c r="AC104" s="595"/>
      <c r="AD104" s="596"/>
      <c r="AE104" s="596"/>
      <c r="AF104" s="597" t="str">
        <f>IFERROR(INDEX(produtos_escape2!M:M,MATCH(Controle!H104,produtos_escape2!A:A,0)),"")</f>
        <v>MALETA PRIMEIROS SOCORROS</v>
      </c>
    </row>
    <row r="105" spans="1:32" ht="14.25" customHeight="1">
      <c r="A105" s="176" t="s">
        <v>7281</v>
      </c>
      <c r="B105" s="176" t="s">
        <v>7207</v>
      </c>
      <c r="C105" s="177">
        <v>43854</v>
      </c>
      <c r="D105" s="176" t="s">
        <v>7373</v>
      </c>
      <c r="E105" s="176" t="s">
        <v>3009</v>
      </c>
      <c r="F105" s="259" t="s">
        <v>7382</v>
      </c>
      <c r="G105" s="176">
        <v>1</v>
      </c>
      <c r="H105" s="178">
        <v>20879</v>
      </c>
      <c r="I105" s="592">
        <f t="shared" si="2"/>
        <v>6</v>
      </c>
      <c r="J105" s="178" t="s">
        <v>816</v>
      </c>
      <c r="K105" s="178" t="s">
        <v>816</v>
      </c>
      <c r="L105" s="275"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05" s="593" t="str">
        <f>IF(H:H=0,"",IF(ISERROR(VLOOKUP(H:H,produtos_escape2!$A$2:$D$2794,2,FALSE)),"Código não cadastrado",(VLOOKUP(H:H,produtos_escape2!$A$2:$D$2794,4,FALSE))))</f>
        <v>MH</v>
      </c>
      <c r="N105" s="486">
        <v>200</v>
      </c>
      <c r="O105" s="176" t="s">
        <v>7051</v>
      </c>
      <c r="P105" s="486">
        <v>200</v>
      </c>
      <c r="Q105" s="247">
        <v>5.0999999999999996</v>
      </c>
      <c r="R105" s="246">
        <f t="shared" si="3"/>
        <v>1019.9999999999999</v>
      </c>
      <c r="S105" s="177">
        <v>43864</v>
      </c>
      <c r="T105" s="182">
        <v>32</v>
      </c>
      <c r="U105" s="177">
        <v>43865</v>
      </c>
      <c r="V105" s="177">
        <v>43866</v>
      </c>
      <c r="W105" s="177">
        <v>43868</v>
      </c>
      <c r="X105" s="176">
        <v>3275</v>
      </c>
      <c r="Y105" s="177">
        <v>43895</v>
      </c>
      <c r="Z105" s="415">
        <v>2</v>
      </c>
      <c r="AA105" s="488"/>
      <c r="AB105" s="594"/>
      <c r="AC105" s="595"/>
      <c r="AD105" s="596"/>
      <c r="AE105" s="596"/>
      <c r="AF105" s="597" t="str">
        <f>IFERROR(INDEX(produtos_escape2!M:M,MATCH(Controle!H105,produtos_escape2!A:A,0)),"")</f>
        <v>ETIQUETA AUTO-ADESIVApara LABORATÓRIO</v>
      </c>
    </row>
    <row r="106" spans="1:32" ht="14.25" customHeight="1">
      <c r="A106" s="176" t="s">
        <v>7293</v>
      </c>
      <c r="B106" s="176" t="s">
        <v>7207</v>
      </c>
      <c r="C106" s="177">
        <v>43854</v>
      </c>
      <c r="D106" s="176" t="s">
        <v>7374</v>
      </c>
      <c r="E106" s="176" t="s">
        <v>3009</v>
      </c>
      <c r="F106" s="259" t="s">
        <v>7383</v>
      </c>
      <c r="G106" s="176">
        <v>1</v>
      </c>
      <c r="H106" s="178">
        <v>17090</v>
      </c>
      <c r="I106" s="592">
        <f t="shared" si="2"/>
        <v>2</v>
      </c>
      <c r="J106" s="178" t="s">
        <v>816</v>
      </c>
      <c r="K106" s="178" t="s">
        <v>816</v>
      </c>
      <c r="L106" s="275" t="str">
        <f>IF(H:H=0,"",IF(ISERROR(VLOOKUP(H:H,produtos_escape2!$A$2:$B$2794,2,FALSE)),"Código não cadastrado",(VLOOKUP(H:H,produtos_escape2!$A$2:$B$2794,2,FALSE))))</f>
        <v>RIBON, Aplicação: impressora Zebra TPL 2844, Tamanho: 110mm x 74m.</v>
      </c>
      <c r="M106" s="593" t="str">
        <f>IF(H:H=0,"",IF(ISERROR(VLOOKUP(H:H,produtos_escape2!$A$2:$D$2794,2,FALSE)),"Código não cadastrado",(VLOOKUP(H:H,produtos_escape2!$A$2:$D$2794,4,FALSE))))</f>
        <v>UN</v>
      </c>
      <c r="N106" s="486">
        <v>100</v>
      </c>
      <c r="O106" s="176" t="s">
        <v>4432</v>
      </c>
      <c r="P106" s="486">
        <v>100</v>
      </c>
      <c r="Q106" s="247">
        <v>6.95</v>
      </c>
      <c r="R106" s="246">
        <f t="shared" si="3"/>
        <v>695</v>
      </c>
      <c r="S106" s="177">
        <v>43864</v>
      </c>
      <c r="T106" s="182">
        <v>8544</v>
      </c>
      <c r="U106" s="177">
        <v>43865</v>
      </c>
      <c r="V106" s="177">
        <v>43866</v>
      </c>
      <c r="W106" s="177">
        <v>43866</v>
      </c>
      <c r="X106" s="176">
        <v>74580</v>
      </c>
      <c r="Y106" s="177">
        <v>43899</v>
      </c>
      <c r="Z106" s="415">
        <v>2</v>
      </c>
      <c r="AA106" s="488"/>
      <c r="AB106" s="594"/>
      <c r="AC106" s="595"/>
      <c r="AD106" s="596"/>
      <c r="AE106" s="596"/>
      <c r="AF106" s="597" t="str">
        <f>IFERROR(INDEX(produtos_escape2!M:M,MATCH(Controle!H106,produtos_escape2!A:A,0)),"")</f>
        <v>RIBON</v>
      </c>
    </row>
    <row r="107" spans="1:32" ht="14.25" customHeight="1">
      <c r="A107" s="176" t="s">
        <v>7317</v>
      </c>
      <c r="B107" s="176" t="s">
        <v>3608</v>
      </c>
      <c r="C107" s="177">
        <v>43854</v>
      </c>
      <c r="D107" s="176" t="s">
        <v>7375</v>
      </c>
      <c r="E107" s="176" t="s">
        <v>3009</v>
      </c>
      <c r="F107" s="259" t="s">
        <v>7384</v>
      </c>
      <c r="G107" s="176">
        <v>1</v>
      </c>
      <c r="H107" s="178">
        <v>90610</v>
      </c>
      <c r="I107" s="592">
        <f t="shared" si="2"/>
        <v>11</v>
      </c>
      <c r="J107" s="178" t="s">
        <v>816</v>
      </c>
      <c r="K107" s="178" t="s">
        <v>816</v>
      </c>
      <c r="L107" s="275" t="str">
        <f>IF(H:H=0,"",IF(ISERROR(VLOOKUP(H:H,produtos_escape2!$A$2:$B$2794,2,FALSE)),"Código não cadastrado",(VLOOKUP(H:H,produtos_escape2!$A$2:$B$2794,2,FALSE))))</f>
        <v>HEPARINA SODICA SOLUÇAO INJETAVEL 5000 UI/ML FRASCO AMPOLA 5 ML</v>
      </c>
      <c r="M107" s="593" t="str">
        <f>IF(H:H=0,"",IF(ISERROR(VLOOKUP(H:H,produtos_escape2!$A$2:$D$2794,2,FALSE)),"Código não cadastrado",(VLOOKUP(H:H,produtos_escape2!$A$2:$D$2794,4,FALSE))))</f>
        <v>FA</v>
      </c>
      <c r="N107" s="486">
        <v>300</v>
      </c>
      <c r="O107" s="176" t="s">
        <v>7371</v>
      </c>
      <c r="P107" s="486">
        <v>300</v>
      </c>
      <c r="Q107" s="247">
        <v>16.52</v>
      </c>
      <c r="R107" s="246">
        <f t="shared" si="3"/>
        <v>4956</v>
      </c>
      <c r="S107" s="177">
        <v>43864</v>
      </c>
      <c r="T107" s="182">
        <v>300975</v>
      </c>
      <c r="U107" s="177">
        <v>43864</v>
      </c>
      <c r="V107" s="177">
        <v>43864</v>
      </c>
      <c r="W107" s="177">
        <v>43865</v>
      </c>
      <c r="X107" s="176">
        <v>73171</v>
      </c>
      <c r="Y107" s="177">
        <v>43896</v>
      </c>
      <c r="Z107" s="415">
        <v>2</v>
      </c>
      <c r="AA107" s="488"/>
      <c r="AB107" s="594"/>
      <c r="AC107" s="595"/>
      <c r="AD107" s="596"/>
      <c r="AE107" s="596"/>
      <c r="AF107" s="597" t="str">
        <f>IFERROR(INDEX(produtos_escape2!M:M,MATCH(Controle!H107,produtos_escape2!A:A,0)),"")</f>
        <v>HEPARINA SODICA SOLUÇAO INJETAVEL 5000 UI/ML FRASCO AMPOLA 5 ML</v>
      </c>
    </row>
    <row r="108" spans="1:32" ht="14.25" customHeight="1">
      <c r="A108" s="176" t="s">
        <v>7339</v>
      </c>
      <c r="B108" s="176" t="s">
        <v>3608</v>
      </c>
      <c r="C108" s="177">
        <v>43854</v>
      </c>
      <c r="D108" s="176" t="s">
        <v>7376</v>
      </c>
      <c r="E108" s="176" t="s">
        <v>3009</v>
      </c>
      <c r="F108" s="259" t="s">
        <v>7385</v>
      </c>
      <c r="G108" s="176">
        <v>1</v>
      </c>
      <c r="H108" s="178">
        <v>92451</v>
      </c>
      <c r="I108" s="592">
        <f t="shared" si="2"/>
        <v>1</v>
      </c>
      <c r="J108" s="178" t="s">
        <v>816</v>
      </c>
      <c r="K108" s="178" t="s">
        <v>816</v>
      </c>
      <c r="L108" s="275" t="str">
        <f>IF(H:H=0,"",IF(ISERROR(VLOOKUP(H:H,produtos_escape2!$A$2:$B$2794,2,FALSE)),"Código não cadastrado",(VLOOKUP(H:H,produtos_escape2!$A$2:$B$2794,2,FALSE))))</f>
        <v>SONDA DE FOLEY 3 VIAS LÁTEX Nº 20. Aplicação: drenagem e controle da diurese e irrigação vesical. Material: látex atóxico.  Características Adicionais: estéril, descartável, siliconizada,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da sonda,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092451. BR0277025</v>
      </c>
      <c r="M108" s="593" t="str">
        <f>IF(H:H=0,"",IF(ISERROR(VLOOKUP(H:H,produtos_escape2!$A$2:$D$2794,2,FALSE)),"Código não cadastrado",(VLOOKUP(H:H,produtos_escape2!$A$2:$D$2794,4,FALSE))))</f>
        <v>UN</v>
      </c>
      <c r="N108" s="486">
        <v>20</v>
      </c>
      <c r="O108" s="176" t="s">
        <v>3663</v>
      </c>
      <c r="P108" s="486">
        <v>20</v>
      </c>
      <c r="Q108" s="247">
        <v>3</v>
      </c>
      <c r="R108" s="246">
        <f t="shared" si="3"/>
        <v>60</v>
      </c>
      <c r="S108" s="177">
        <v>43864</v>
      </c>
      <c r="T108" s="182">
        <v>1183503</v>
      </c>
      <c r="U108" s="177">
        <v>43873</v>
      </c>
      <c r="V108" s="177">
        <v>43878</v>
      </c>
      <c r="W108" s="177">
        <v>43879</v>
      </c>
      <c r="X108" s="176">
        <v>73835</v>
      </c>
      <c r="Y108" s="177">
        <v>43899</v>
      </c>
      <c r="Z108" s="415">
        <v>2</v>
      </c>
      <c r="AA108" s="488"/>
      <c r="AB108" s="594"/>
      <c r="AC108" s="595"/>
      <c r="AD108" s="596"/>
      <c r="AE108" s="596"/>
      <c r="AF108" s="597" t="str">
        <f>IFERROR(INDEX(produtos_escape2!M:M,MATCH(Controle!H108,produtos_escape2!A:A,0)),"")</f>
        <v>SONDA DE FOLEY 3 VIAS LÁTEX Nº 20</v>
      </c>
    </row>
    <row r="109" spans="1:32" ht="14.25" customHeight="1">
      <c r="A109" s="176" t="s">
        <v>7339</v>
      </c>
      <c r="B109" s="176" t="s">
        <v>3608</v>
      </c>
      <c r="C109" s="177">
        <v>43854</v>
      </c>
      <c r="D109" s="176" t="s">
        <v>7376</v>
      </c>
      <c r="E109" s="176" t="s">
        <v>3009</v>
      </c>
      <c r="F109" s="259" t="s">
        <v>7385</v>
      </c>
      <c r="G109" s="176">
        <v>2</v>
      </c>
      <c r="H109" s="178">
        <v>92452</v>
      </c>
      <c r="I109" s="592">
        <f t="shared" si="2"/>
        <v>2</v>
      </c>
      <c r="J109" s="178" t="s">
        <v>816</v>
      </c>
      <c r="K109" s="178" t="s">
        <v>816</v>
      </c>
      <c r="L109" s="275" t="str">
        <f>IF(H:H=0,"",IF(ISERROR(VLOOKUP(H:H,produtos_escape2!$A$2:$B$2794,2,FALSE)),"Código não cadastrado",(VLOOKUP(H:H,produtos_escape2!$A$2:$B$2794,2,FALSE))))</f>
        <v>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v>
      </c>
      <c r="M109" s="593" t="str">
        <f>IF(H:H=0,"",IF(ISERROR(VLOOKUP(H:H,produtos_escape2!$A$2:$D$2794,2,FALSE)),"Código não cadastrado",(VLOOKUP(H:H,produtos_escape2!$A$2:$D$2794,4,FALSE))))</f>
        <v>UN</v>
      </c>
      <c r="N109" s="486">
        <v>20</v>
      </c>
      <c r="O109" s="176" t="s">
        <v>3663</v>
      </c>
      <c r="P109" s="486">
        <v>20</v>
      </c>
      <c r="Q109" s="247">
        <v>3</v>
      </c>
      <c r="R109" s="246">
        <f t="shared" si="3"/>
        <v>60</v>
      </c>
      <c r="S109" s="177">
        <v>43864</v>
      </c>
      <c r="T109" s="182">
        <v>1183503</v>
      </c>
      <c r="U109" s="177">
        <v>43873</v>
      </c>
      <c r="V109" s="177">
        <v>43878</v>
      </c>
      <c r="W109" s="177">
        <v>43879</v>
      </c>
      <c r="X109" s="176">
        <v>73835</v>
      </c>
      <c r="Y109" s="177">
        <v>43899</v>
      </c>
      <c r="Z109" s="415">
        <v>2</v>
      </c>
      <c r="AA109" s="488"/>
      <c r="AB109" s="594"/>
      <c r="AC109" s="595"/>
      <c r="AD109" s="596"/>
      <c r="AE109" s="596"/>
      <c r="AF109" s="597" t="str">
        <f>IFERROR(INDEX(produtos_escape2!M:M,MATCH(Controle!H109,produtos_escape2!A:A,0)),"")</f>
        <v>SONDA DE FOLEY 3 VIAS LÁTEX Nº 22</v>
      </c>
    </row>
    <row r="110" spans="1:32" ht="14.25" customHeight="1">
      <c r="A110" s="176" t="s">
        <v>7339</v>
      </c>
      <c r="B110" s="176" t="s">
        <v>3608</v>
      </c>
      <c r="C110" s="177">
        <v>43854</v>
      </c>
      <c r="D110" s="176" t="s">
        <v>7376</v>
      </c>
      <c r="E110" s="176" t="s">
        <v>3009</v>
      </c>
      <c r="F110" s="259" t="s">
        <v>7385</v>
      </c>
      <c r="G110" s="176">
        <v>3</v>
      </c>
      <c r="H110" s="178">
        <v>92439</v>
      </c>
      <c r="I110" s="592">
        <f t="shared" si="2"/>
        <v>4</v>
      </c>
      <c r="J110" s="178" t="s">
        <v>816</v>
      </c>
      <c r="K110" s="178" t="s">
        <v>816</v>
      </c>
      <c r="L110" s="275"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110" s="593" t="str">
        <f>IF(H:H=0,"",IF(ISERROR(VLOOKUP(H:H,produtos_escape2!$A$2:$D$2794,2,FALSE)),"Código não cadastrado",(VLOOKUP(H:H,produtos_escape2!$A$2:$D$2794,4,FALSE))))</f>
        <v>UN</v>
      </c>
      <c r="N110" s="486">
        <v>100</v>
      </c>
      <c r="O110" s="176" t="s">
        <v>3663</v>
      </c>
      <c r="P110" s="486">
        <v>100</v>
      </c>
      <c r="Q110" s="247">
        <v>2.34</v>
      </c>
      <c r="R110" s="246">
        <f t="shared" si="3"/>
        <v>234</v>
      </c>
      <c r="S110" s="177">
        <v>43864</v>
      </c>
      <c r="T110" s="182">
        <v>1183503</v>
      </c>
      <c r="U110" s="177">
        <v>43873</v>
      </c>
      <c r="V110" s="177">
        <v>43878</v>
      </c>
      <c r="W110" s="177">
        <v>43879</v>
      </c>
      <c r="X110" s="176">
        <v>73835</v>
      </c>
      <c r="Y110" s="177">
        <v>43899</v>
      </c>
      <c r="Z110" s="415">
        <v>2</v>
      </c>
      <c r="AA110" s="488"/>
      <c r="AB110" s="594"/>
      <c r="AC110" s="595"/>
      <c r="AD110" s="596"/>
      <c r="AE110" s="596"/>
      <c r="AF110" s="597" t="str">
        <f>IFERROR(INDEX(produtos_escape2!M:M,MATCH(Controle!H110,produtos_escape2!A:A,0)),"")</f>
        <v>SONDA DE FOLEY 2 VIAS LÁTEX Nº 18</v>
      </c>
    </row>
    <row r="111" spans="1:32" ht="14.25" customHeight="1">
      <c r="A111" s="176" t="s">
        <v>7339</v>
      </c>
      <c r="B111" s="176" t="s">
        <v>3608</v>
      </c>
      <c r="C111" s="177">
        <v>43854</v>
      </c>
      <c r="D111" s="176" t="s">
        <v>7376</v>
      </c>
      <c r="E111" s="176" t="s">
        <v>3009</v>
      </c>
      <c r="F111" s="259" t="s">
        <v>7385</v>
      </c>
      <c r="G111" s="176">
        <v>4</v>
      </c>
      <c r="H111" s="178">
        <v>92448</v>
      </c>
      <c r="I111" s="592">
        <f t="shared" si="2"/>
        <v>3</v>
      </c>
      <c r="J111" s="178" t="s">
        <v>816</v>
      </c>
      <c r="K111" s="178" t="s">
        <v>816</v>
      </c>
      <c r="L111" s="275"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111" s="593" t="str">
        <f>IF(H:H=0,"",IF(ISERROR(VLOOKUP(H:H,produtos_escape2!$A$2:$D$2794,2,FALSE)),"Código não cadastrado",(VLOOKUP(H:H,produtos_escape2!$A$2:$D$2794,4,FALSE))))</f>
        <v>UN</v>
      </c>
      <c r="N111" s="486">
        <v>50</v>
      </c>
      <c r="O111" s="176" t="s">
        <v>3663</v>
      </c>
      <c r="P111" s="486">
        <v>50</v>
      </c>
      <c r="Q111" s="247">
        <v>2.34</v>
      </c>
      <c r="R111" s="246">
        <f t="shared" si="3"/>
        <v>117</v>
      </c>
      <c r="S111" s="177">
        <v>43864</v>
      </c>
      <c r="T111" s="182">
        <v>1183503</v>
      </c>
      <c r="U111" s="177">
        <v>43873</v>
      </c>
      <c r="V111" s="177">
        <v>43878</v>
      </c>
      <c r="W111" s="177">
        <v>43879</v>
      </c>
      <c r="X111" s="176">
        <v>73835</v>
      </c>
      <c r="Y111" s="177">
        <v>43899</v>
      </c>
      <c r="Z111" s="415">
        <v>2</v>
      </c>
      <c r="AA111" s="488"/>
      <c r="AB111" s="594"/>
      <c r="AC111" s="595"/>
      <c r="AD111" s="596"/>
      <c r="AE111" s="596"/>
      <c r="AF111" s="597" t="str">
        <f>IFERROR(INDEX(produtos_escape2!M:M,MATCH(Controle!H111,produtos_escape2!A:A,0)),"")</f>
        <v>SONDA DE FOLEY 2 VIAS LÁTEX Nº 20</v>
      </c>
    </row>
    <row r="112" spans="1:32" ht="14.25" customHeight="1">
      <c r="A112" s="176" t="s">
        <v>7339</v>
      </c>
      <c r="B112" s="176" t="s">
        <v>3608</v>
      </c>
      <c r="C112" s="177">
        <v>43854</v>
      </c>
      <c r="D112" s="176" t="s">
        <v>7376</v>
      </c>
      <c r="E112" s="176" t="s">
        <v>3009</v>
      </c>
      <c r="F112" s="259" t="s">
        <v>7385</v>
      </c>
      <c r="G112" s="176">
        <v>5</v>
      </c>
      <c r="H112" s="178">
        <v>90575</v>
      </c>
      <c r="I112" s="592">
        <f t="shared" si="2"/>
        <v>1</v>
      </c>
      <c r="J112" s="178" t="s">
        <v>816</v>
      </c>
      <c r="K112" s="178" t="s">
        <v>816</v>
      </c>
      <c r="L112" s="275" t="str">
        <f>IF(H:H=0,"",IF(ISERROR(VLOOKUP(H:H,produtos_escape2!$A$2:$B$2794,2,FALSE)),"Código não cadastrado",(VLOOKUP(H:H,produtos_escape2!$A$2:$B$2794,2,FALSE))))</f>
        <v>SOLUCAO ACIDA P/ HEMODIALISE GALAO DE 5L P/MAQ. MISTURA PROPORCIONAL COM K=2,0MEQ/L; CA=2,5MEQ/L.</v>
      </c>
      <c r="M112" s="593" t="str">
        <f>IF(H:H=0,"",IF(ISERROR(VLOOKUP(H:H,produtos_escape2!$A$2:$D$2794,2,FALSE)),"Código não cadastrado",(VLOOKUP(H:H,produtos_escape2!$A$2:$D$2794,4,FALSE))))</f>
        <v>GL</v>
      </c>
      <c r="N112" s="486">
        <v>320</v>
      </c>
      <c r="O112" s="176" t="s">
        <v>7461</v>
      </c>
      <c r="P112" s="486">
        <v>320</v>
      </c>
      <c r="Q112" s="247">
        <v>13.41</v>
      </c>
      <c r="R112" s="246">
        <f t="shared" si="3"/>
        <v>4291.2</v>
      </c>
      <c r="S112" s="177">
        <v>43864</v>
      </c>
      <c r="T112" s="182">
        <v>235563</v>
      </c>
      <c r="U112" s="177">
        <v>43866</v>
      </c>
      <c r="V112" s="177">
        <v>43871</v>
      </c>
      <c r="W112" s="177">
        <v>43871</v>
      </c>
      <c r="X112" s="176">
        <v>73951</v>
      </c>
      <c r="Y112" s="177">
        <v>43899</v>
      </c>
      <c r="Z112" s="415">
        <v>2</v>
      </c>
      <c r="AA112" s="488"/>
      <c r="AB112" s="594"/>
      <c r="AC112" s="595"/>
      <c r="AD112" s="596"/>
      <c r="AE112" s="596"/>
      <c r="AF112" s="597" t="str">
        <f>IFERROR(INDEX(produtos_escape2!M:M,MATCH(Controle!H112,produtos_escape2!A:A,0)),"")</f>
        <v>SOLUÇÃO ÁCIDA P/ HEMODIÁLISE GALÃO DE 5 LITROS</v>
      </c>
    </row>
    <row r="113" spans="1:32" ht="14.25" customHeight="1">
      <c r="A113" s="176" t="s">
        <v>7339</v>
      </c>
      <c r="B113" s="176" t="s">
        <v>3608</v>
      </c>
      <c r="C113" s="177">
        <v>43854</v>
      </c>
      <c r="D113" s="176" t="s">
        <v>7376</v>
      </c>
      <c r="E113" s="176" t="s">
        <v>3009</v>
      </c>
      <c r="F113" s="259" t="s">
        <v>7385</v>
      </c>
      <c r="G113" s="176">
        <v>6</v>
      </c>
      <c r="H113" s="178">
        <v>90576</v>
      </c>
      <c r="I113" s="592">
        <f t="shared" si="2"/>
        <v>1</v>
      </c>
      <c r="J113" s="178" t="s">
        <v>816</v>
      </c>
      <c r="K113" s="178" t="s">
        <v>816</v>
      </c>
      <c r="L113" s="275" t="str">
        <f>IF(H:H=0,"",IF(ISERROR(VLOOKUP(H:H,produtos_escape2!$A$2:$B$2794,2,FALSE)),"Código não cadastrado",(VLOOKUP(H:H,produtos_escape2!$A$2:$B$2794,2,FALSE))))</f>
        <v>SOLUCAO BASICA (COM BICARBONATO DE SODIO A 8,4 %) P/HEMODIALISE GALAO DE 5L MAQ. MISTURA PROPORCIONAL</v>
      </c>
      <c r="M113" s="593" t="str">
        <f>IF(H:H=0,"",IF(ISERROR(VLOOKUP(H:H,produtos_escape2!$A$2:$D$2794,2,FALSE)),"Código não cadastrado",(VLOOKUP(H:H,produtos_escape2!$A$2:$D$2794,4,FALSE))))</f>
        <v>GL</v>
      </c>
      <c r="N113" s="486">
        <v>320</v>
      </c>
      <c r="O113" s="176" t="s">
        <v>7461</v>
      </c>
      <c r="P113" s="486">
        <v>320</v>
      </c>
      <c r="Q113" s="247">
        <v>12.05</v>
      </c>
      <c r="R113" s="246">
        <f t="shared" si="3"/>
        <v>3856</v>
      </c>
      <c r="S113" s="177">
        <v>43864</v>
      </c>
      <c r="T113" s="182">
        <v>235563</v>
      </c>
      <c r="U113" s="177">
        <v>43866</v>
      </c>
      <c r="V113" s="177">
        <v>43871</v>
      </c>
      <c r="W113" s="177">
        <v>43871</v>
      </c>
      <c r="X113" s="176">
        <v>73951</v>
      </c>
      <c r="Y113" s="177">
        <v>43899</v>
      </c>
      <c r="Z113" s="415">
        <v>2</v>
      </c>
      <c r="AA113" s="488"/>
      <c r="AB113" s="594"/>
      <c r="AC113" s="595"/>
      <c r="AD113" s="596"/>
      <c r="AE113" s="596"/>
      <c r="AF113" s="597" t="str">
        <f>IFERROR(INDEX(produtos_escape2!M:M,MATCH(Controle!H113,produtos_escape2!A:A,0)),"")</f>
        <v>SOLUCAO BASICA (COM BICARBONATO DE SODIO A 8</v>
      </c>
    </row>
    <row r="114" spans="1:32" ht="14.25" customHeight="1">
      <c r="A114" s="176" t="s">
        <v>7341</v>
      </c>
      <c r="B114" s="176" t="s">
        <v>3608</v>
      </c>
      <c r="C114" s="177">
        <v>43854</v>
      </c>
      <c r="D114" s="176" t="s">
        <v>7377</v>
      </c>
      <c r="E114" s="176" t="s">
        <v>3009</v>
      </c>
      <c r="F114" s="259" t="s">
        <v>7386</v>
      </c>
      <c r="G114" s="176">
        <v>1</v>
      </c>
      <c r="H114" s="178">
        <v>36552</v>
      </c>
      <c r="I114" s="592">
        <f t="shared" si="2"/>
        <v>3</v>
      </c>
      <c r="J114" s="178" t="s">
        <v>816</v>
      </c>
      <c r="K114" s="178" t="s">
        <v>816</v>
      </c>
      <c r="L114" s="275"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114" s="593" t="str">
        <f>IF(H:H=0,"",IF(ISERROR(VLOOKUP(H:H,produtos_escape2!$A$2:$D$2794,2,FALSE)),"Código não cadastrado",(VLOOKUP(H:H,produtos_escape2!$A$2:$D$2794,4,FALSE))))</f>
        <v>UN</v>
      </c>
      <c r="N114" s="486">
        <v>10000</v>
      </c>
      <c r="O114" s="176" t="s">
        <v>7392</v>
      </c>
      <c r="P114" s="486">
        <v>10000</v>
      </c>
      <c r="Q114" s="247">
        <v>3.5999999999999997E-2</v>
      </c>
      <c r="R114" s="246">
        <f t="shared" si="3"/>
        <v>360</v>
      </c>
      <c r="S114" s="177">
        <v>43864</v>
      </c>
      <c r="T114" s="182">
        <v>1265</v>
      </c>
      <c r="U114" s="177">
        <v>43871</v>
      </c>
      <c r="V114" s="177">
        <v>43873</v>
      </c>
      <c r="W114" s="177">
        <v>43879</v>
      </c>
      <c r="X114" s="176">
        <v>74065</v>
      </c>
      <c r="Y114" s="177">
        <v>43899</v>
      </c>
      <c r="Z114" s="415">
        <v>2</v>
      </c>
      <c r="AA114" s="488"/>
      <c r="AB114" s="594"/>
      <c r="AC114" s="595"/>
      <c r="AD114" s="596"/>
      <c r="AE114" s="596"/>
      <c r="AF114" s="597" t="str">
        <f>IFERROR(INDEX(produtos_escape2!M:M,MATCH(Controle!H114,produtos_escape2!A:A,0)),"")</f>
        <v>CURATIVO ANTISSEPTICO</v>
      </c>
    </row>
    <row r="115" spans="1:32" ht="14.25" customHeight="1">
      <c r="A115" s="176" t="s">
        <v>7341</v>
      </c>
      <c r="B115" s="176" t="s">
        <v>3608</v>
      </c>
      <c r="C115" s="177">
        <v>43854</v>
      </c>
      <c r="D115" s="176" t="s">
        <v>7377</v>
      </c>
      <c r="E115" s="176" t="s">
        <v>3009</v>
      </c>
      <c r="F115" s="259" t="s">
        <v>7386</v>
      </c>
      <c r="G115" s="176">
        <v>2</v>
      </c>
      <c r="H115" s="178">
        <v>203362</v>
      </c>
      <c r="I115" s="592">
        <f t="shared" si="2"/>
        <v>1</v>
      </c>
      <c r="J115" s="178" t="s">
        <v>816</v>
      </c>
      <c r="K115" s="178" t="s">
        <v>816</v>
      </c>
      <c r="L115" s="275" t="str">
        <f>IF(H:H=0,"",IF(ISERROR(VLOOKUP(H:H,produtos_escape2!$A$2:$B$2794,2,FALSE)),"Código não cadastrado",(VLOOKUP(H:H,produtos_escape2!$A$2:$B$2794,2,FALSE))))</f>
        <v>ALÇA CALIBRADA DESCARTÁVEL, CAPACIDADE 1 MICROLITRO(1mcL) EM EMBALAGEM INDIVIDUAL</v>
      </c>
      <c r="M115" s="593" t="str">
        <f>IF(H:H=0,"",IF(ISERROR(VLOOKUP(H:H,produtos_escape2!$A$2:$D$2794,2,FALSE)),"Código não cadastrado",(VLOOKUP(H:H,produtos_escape2!$A$2:$D$2794,4,FALSE))))</f>
        <v>UN</v>
      </c>
      <c r="N115" s="486">
        <v>10000</v>
      </c>
      <c r="O115" s="176" t="s">
        <v>7392</v>
      </c>
      <c r="P115" s="486">
        <v>10000</v>
      </c>
      <c r="Q115" s="247">
        <v>0.18</v>
      </c>
      <c r="R115" s="246">
        <f t="shared" si="3"/>
        <v>1800</v>
      </c>
      <c r="S115" s="177">
        <v>43864</v>
      </c>
      <c r="T115" s="182">
        <v>1265</v>
      </c>
      <c r="U115" s="177">
        <v>43871</v>
      </c>
      <c r="V115" s="177">
        <v>43873</v>
      </c>
      <c r="W115" s="177">
        <v>43879</v>
      </c>
      <c r="X115" s="176">
        <v>74065</v>
      </c>
      <c r="Y115" s="177">
        <v>43899</v>
      </c>
      <c r="Z115" s="415">
        <v>2</v>
      </c>
      <c r="AA115" s="488"/>
      <c r="AB115" s="594"/>
      <c r="AC115" s="595"/>
      <c r="AD115" s="596"/>
      <c r="AE115" s="596"/>
      <c r="AF115" s="597" t="str">
        <f>IFERROR(INDEX(produtos_escape2!M:M,MATCH(Controle!H115,produtos_escape2!A:A,0)),"")</f>
        <v>ALÇA CALIBRADA DESCARTÁVEL</v>
      </c>
    </row>
    <row r="116" spans="1:32" ht="14.25" customHeight="1">
      <c r="A116" s="176" t="s">
        <v>7353</v>
      </c>
      <c r="B116" s="176" t="s">
        <v>3608</v>
      </c>
      <c r="C116" s="177">
        <v>43854</v>
      </c>
      <c r="D116" s="176" t="s">
        <v>7380</v>
      </c>
      <c r="E116" s="176" t="s">
        <v>3009</v>
      </c>
      <c r="F116" s="259" t="s">
        <v>7387</v>
      </c>
      <c r="G116" s="176">
        <v>1</v>
      </c>
      <c r="H116" s="178">
        <v>95131</v>
      </c>
      <c r="I116" s="592">
        <f t="shared" si="2"/>
        <v>5</v>
      </c>
      <c r="J116" s="178" t="s">
        <v>816</v>
      </c>
      <c r="K116" s="178" t="s">
        <v>816</v>
      </c>
      <c r="L116" s="275"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116" s="593" t="str">
        <f>IF(H:H=0,"",IF(ISERROR(VLOOKUP(H:H,produtos_escape2!$A$2:$D$2794,2,FALSE)),"Código não cadastrado",(VLOOKUP(H:H,produtos_escape2!$A$2:$D$2794,4,FALSE))))</f>
        <v>KG</v>
      </c>
      <c r="N116" s="486">
        <v>27</v>
      </c>
      <c r="O116" s="176" t="s">
        <v>4109</v>
      </c>
      <c r="P116" s="486">
        <v>27</v>
      </c>
      <c r="Q116" s="247">
        <v>22.63</v>
      </c>
      <c r="R116" s="246">
        <f t="shared" si="3"/>
        <v>611.01</v>
      </c>
      <c r="S116" s="177">
        <v>43864</v>
      </c>
      <c r="T116" s="182">
        <v>74033</v>
      </c>
      <c r="U116" s="177">
        <v>43865</v>
      </c>
      <c r="V116" s="177">
        <v>43866</v>
      </c>
      <c r="W116" s="177">
        <v>43868</v>
      </c>
      <c r="X116" s="176">
        <v>74590</v>
      </c>
      <c r="Y116" s="177">
        <v>43899</v>
      </c>
      <c r="Z116" s="415">
        <v>2</v>
      </c>
      <c r="AA116" s="488"/>
      <c r="AB116" s="594"/>
      <c r="AC116" s="595"/>
      <c r="AD116" s="596"/>
      <c r="AE116" s="596"/>
      <c r="AF116" s="597" t="str">
        <f>IFERROR(INDEX(produtos_escape2!M:M,MATCH(Controle!H116,produtos_escape2!A:A,0)),"")</f>
        <v>CAL SODADA</v>
      </c>
    </row>
    <row r="117" spans="1:32" ht="14.25" customHeight="1">
      <c r="A117" s="176" t="s">
        <v>7353</v>
      </c>
      <c r="B117" s="176" t="s">
        <v>3608</v>
      </c>
      <c r="C117" s="177">
        <v>43854</v>
      </c>
      <c r="D117" s="176" t="s">
        <v>7380</v>
      </c>
      <c r="E117" s="176" t="s">
        <v>3009</v>
      </c>
      <c r="F117" s="259" t="s">
        <v>7387</v>
      </c>
      <c r="G117" s="176">
        <v>2</v>
      </c>
      <c r="H117" s="178">
        <v>95323</v>
      </c>
      <c r="I117" s="592">
        <f t="shared" si="2"/>
        <v>4</v>
      </c>
      <c r="J117" s="178" t="s">
        <v>816</v>
      </c>
      <c r="K117" s="178" t="s">
        <v>816</v>
      </c>
      <c r="L117" s="275"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117" s="593" t="str">
        <f>IF(H:H=0,"",IF(ISERROR(VLOOKUP(H:H,produtos_escape2!$A$2:$D$2794,2,FALSE)),"Código não cadastrado",(VLOOKUP(H:H,produtos_escape2!$A$2:$D$2794,4,FALSE))))</f>
        <v>FR</v>
      </c>
      <c r="N117" s="486">
        <v>100</v>
      </c>
      <c r="O117" s="176" t="s">
        <v>10360</v>
      </c>
      <c r="P117" s="486">
        <v>100</v>
      </c>
      <c r="Q117" s="247">
        <v>7.5</v>
      </c>
      <c r="R117" s="246">
        <f t="shared" si="3"/>
        <v>750</v>
      </c>
      <c r="S117" s="177">
        <v>43864</v>
      </c>
      <c r="T117" s="182">
        <v>23038</v>
      </c>
      <c r="U117" s="177">
        <v>43874</v>
      </c>
      <c r="V117" s="177">
        <v>43875</v>
      </c>
      <c r="W117" s="177">
        <v>43879</v>
      </c>
      <c r="X117" s="176">
        <v>74568</v>
      </c>
      <c r="Y117" s="177">
        <v>43899</v>
      </c>
      <c r="Z117" s="415">
        <v>2</v>
      </c>
      <c r="AA117" s="488"/>
      <c r="AB117" s="594"/>
      <c r="AC117" s="595"/>
      <c r="AD117" s="596"/>
      <c r="AE117" s="596"/>
      <c r="AF117" s="597" t="str">
        <f>IFERROR(INDEX(produtos_escape2!M:M,MATCH(Controle!H117,produtos_escape2!A:A,0)),"")</f>
        <v>FORMOL COMERCIAL 37/40% 1000 ML - FORMALDEÍDO (FORMOL)</v>
      </c>
    </row>
    <row r="118" spans="1:32" ht="14.25" customHeight="1">
      <c r="A118" s="176" t="s">
        <v>7379</v>
      </c>
      <c r="B118" s="176" t="s">
        <v>3608</v>
      </c>
      <c r="C118" s="177">
        <v>43859</v>
      </c>
      <c r="D118" s="176" t="s">
        <v>7398</v>
      </c>
      <c r="E118" s="176" t="s">
        <v>1866</v>
      </c>
      <c r="F118" s="259" t="s">
        <v>7402</v>
      </c>
      <c r="G118" s="176">
        <v>1</v>
      </c>
      <c r="H118" s="178">
        <v>21593</v>
      </c>
      <c r="I118" s="592">
        <f t="shared" si="2"/>
        <v>3</v>
      </c>
      <c r="J118" s="178" t="s">
        <v>816</v>
      </c>
      <c r="K118" s="178" t="s">
        <v>816</v>
      </c>
      <c r="L118" s="275" t="str">
        <f>IF(H:H=0,"",IF(ISERROR(VLOOKUP(H:H,produtos_escape2!$A$2:$B$2794,2,FALSE)),"Código não cadastrado",(VLOOKUP(H:H,produtos_escape2!$A$2:$B$2794,2,FALSE))))</f>
        <v>OXICODONA COMPRIMIDO REVESTIDO DE LIBERAÇÃO CONTROLADA 20MG</v>
      </c>
      <c r="M118" s="593" t="str">
        <f>IF(H:H=0,"",IF(ISERROR(VLOOKUP(H:H,produtos_escape2!$A$2:$D$2794,2,FALSE)),"Código não cadastrado",(VLOOKUP(H:H,produtos_escape2!$A$2:$D$2794,4,FALSE))))</f>
        <v>CP</v>
      </c>
      <c r="N118" s="486">
        <v>200</v>
      </c>
      <c r="O118" s="176" t="s">
        <v>7371</v>
      </c>
      <c r="P118" s="486">
        <v>196</v>
      </c>
      <c r="Q118" s="247">
        <v>12.4839</v>
      </c>
      <c r="R118" s="246">
        <f t="shared" si="3"/>
        <v>2446.8444</v>
      </c>
      <c r="S118" s="177">
        <v>43861</v>
      </c>
      <c r="T118" s="182">
        <v>300829</v>
      </c>
      <c r="U118" s="177">
        <v>43864</v>
      </c>
      <c r="V118" s="177">
        <v>43864</v>
      </c>
      <c r="W118" s="177">
        <v>43865</v>
      </c>
      <c r="X118" s="176">
        <v>74005</v>
      </c>
      <c r="Y118" s="177">
        <v>43899</v>
      </c>
      <c r="Z118" s="415">
        <v>2</v>
      </c>
      <c r="AA118" s="488"/>
      <c r="AB118" s="594"/>
      <c r="AC118" s="595"/>
      <c r="AD118" s="596"/>
      <c r="AE118" s="596"/>
      <c r="AF118" s="597" t="str">
        <f>IFERROR(INDEX(produtos_escape2!M:M,MATCH(Controle!H118,produtos_escape2!A:A,0)),"")</f>
        <v>OXICODONA</v>
      </c>
    </row>
    <row r="119" spans="1:32" ht="14.25" customHeight="1">
      <c r="A119" s="176" t="s">
        <v>7381</v>
      </c>
      <c r="B119" s="176" t="s">
        <v>3608</v>
      </c>
      <c r="C119" s="177">
        <v>43859</v>
      </c>
      <c r="D119" s="176" t="s">
        <v>7401</v>
      </c>
      <c r="E119" s="176" t="s">
        <v>1866</v>
      </c>
      <c r="F119" s="259" t="s">
        <v>7403</v>
      </c>
      <c r="G119" s="176">
        <v>1</v>
      </c>
      <c r="H119" s="178">
        <v>90925</v>
      </c>
      <c r="I119" s="592">
        <f t="shared" si="2"/>
        <v>8</v>
      </c>
      <c r="J119" s="178" t="s">
        <v>816</v>
      </c>
      <c r="K119" s="178" t="s">
        <v>816</v>
      </c>
      <c r="L119" s="275" t="str">
        <f>IF(H:H=0,"",IF(ISERROR(VLOOKUP(H:H,produtos_escape2!$A$2:$B$2794,2,FALSE)),"Código não cadastrado",(VLOOKUP(H:H,produtos_escape2!$A$2:$B$2794,2,FALSE))))</f>
        <v>CEFAZOLINA SODICA PO PARA SOLUCAO INJETAVEL 1 G FRASCO AMPOLA</v>
      </c>
      <c r="M119" s="593" t="str">
        <f>IF(H:H=0,"",IF(ISERROR(VLOOKUP(H:H,produtos_escape2!$A$2:$D$2794,2,FALSE)),"Código não cadastrado",(VLOOKUP(H:H,produtos_escape2!$A$2:$D$2794,4,FALSE))))</f>
        <v>AMP</v>
      </c>
      <c r="N119" s="486">
        <v>3000</v>
      </c>
      <c r="O119" s="176" t="s">
        <v>7371</v>
      </c>
      <c r="P119" s="486">
        <v>350</v>
      </c>
      <c r="Q119" s="247">
        <v>16.599399999999999</v>
      </c>
      <c r="R119" s="246">
        <f t="shared" si="3"/>
        <v>5809.79</v>
      </c>
      <c r="S119" s="177">
        <v>43861</v>
      </c>
      <c r="T119" s="182">
        <v>300788</v>
      </c>
      <c r="U119" s="177">
        <v>43864</v>
      </c>
      <c r="V119" s="177">
        <v>43864</v>
      </c>
      <c r="W119" s="177">
        <v>43865</v>
      </c>
      <c r="X119" s="176">
        <v>74095</v>
      </c>
      <c r="Y119" s="177">
        <v>43899</v>
      </c>
      <c r="Z119" s="415">
        <v>2</v>
      </c>
      <c r="AA119" s="488"/>
      <c r="AB119" s="594"/>
      <c r="AC119" s="595"/>
      <c r="AD119" s="596"/>
      <c r="AE119" s="596"/>
      <c r="AF119" s="597" t="str">
        <f>IFERROR(INDEX(produtos_escape2!M:M,MATCH(Controle!H119,produtos_escape2!A:A,0)),"")</f>
        <v>CEFAZOLINA SODICA PO PARA SOLUCAO INJETAVEL 1 G FRASCO AMPOLA</v>
      </c>
    </row>
    <row r="120" spans="1:32" ht="14.25" customHeight="1">
      <c r="A120" s="176" t="s">
        <v>7358</v>
      </c>
      <c r="B120" s="176" t="s">
        <v>3608</v>
      </c>
      <c r="C120" s="177">
        <v>43859</v>
      </c>
      <c r="D120" s="176" t="s">
        <v>7395</v>
      </c>
      <c r="E120" s="176" t="s">
        <v>1867</v>
      </c>
      <c r="F120" s="259" t="s">
        <v>7404</v>
      </c>
      <c r="G120" s="176">
        <v>1</v>
      </c>
      <c r="H120" s="178">
        <v>25353</v>
      </c>
      <c r="I120" s="592">
        <f t="shared" si="2"/>
        <v>1</v>
      </c>
      <c r="J120" s="178" t="s">
        <v>816</v>
      </c>
      <c r="K120" s="178" t="s">
        <v>816</v>
      </c>
      <c r="L120" s="275" t="str">
        <f>IF(H:H=0,"",IF(ISERROR(VLOOKUP(H:H,produtos_escape2!$A$2:$B$2794,2,FALSE)),"Código não cadastrado",(VLOOKUP(H:H,produtos_escape2!$A$2:$B$2794,2,FALSE))))</f>
        <v>AGULHA ANESTÉSICA PARA ELETROESTIMULAÇÃO 22G X 50MM. Aplicação: realização de bloqueio de nervo periférico com eletroestimulação. Material: cânula em aço inox revestida de teflon. Tamanho/capacidade: 22G X 50MM. Características adicionais: bisel curto (30°), com tubo de injeção de 35 cm de comprimento;  ponta tipo quincke; cabo eletrodo com encaixe perfeito; estéril; descartável. Forma de apresentação: embalagem individual em papel cirurgico de alto grau</v>
      </c>
      <c r="M120" s="593" t="str">
        <f>IF(H:H=0,"",IF(ISERROR(VLOOKUP(H:H,produtos_escape2!$A$2:$D$2794,2,FALSE)),"Código não cadastrado",(VLOOKUP(H:H,produtos_escape2!$A$2:$D$2794,4,FALSE))))</f>
        <v>UN</v>
      </c>
      <c r="N120" s="486">
        <v>100</v>
      </c>
      <c r="O120" s="176" t="s">
        <v>7458</v>
      </c>
      <c r="P120" s="486">
        <v>100</v>
      </c>
      <c r="Q120" s="247">
        <v>55</v>
      </c>
      <c r="R120" s="246">
        <f t="shared" si="3"/>
        <v>5500</v>
      </c>
      <c r="S120" s="177">
        <v>43861</v>
      </c>
      <c r="T120" s="182">
        <v>341673</v>
      </c>
      <c r="U120" s="177">
        <v>43864</v>
      </c>
      <c r="V120" s="177">
        <v>43868</v>
      </c>
      <c r="W120" s="177">
        <v>43871</v>
      </c>
      <c r="X120" s="176">
        <v>73194</v>
      </c>
      <c r="Y120" s="177">
        <v>43896</v>
      </c>
      <c r="Z120" s="415">
        <v>2</v>
      </c>
      <c r="AA120" s="488"/>
      <c r="AB120" s="594"/>
      <c r="AC120" s="595"/>
      <c r="AD120" s="596"/>
      <c r="AE120" s="596"/>
      <c r="AF120" s="597" t="str">
        <f>IFERROR(INDEX(produtos_escape2!M:M,MATCH(Controle!H120,produtos_escape2!A:A,0)),"")</f>
        <v>AGULHA ANESTÉSICA PARA ELETROESTIMULAÇÃO</v>
      </c>
    </row>
    <row r="121" spans="1:32" ht="14.25" customHeight="1">
      <c r="A121" s="176" t="s">
        <v>7362</v>
      </c>
      <c r="B121" s="176" t="s">
        <v>3608</v>
      </c>
      <c r="C121" s="177">
        <v>43859</v>
      </c>
      <c r="D121" s="176" t="s">
        <v>7397</v>
      </c>
      <c r="E121" s="176" t="s">
        <v>1867</v>
      </c>
      <c r="F121" s="259" t="s">
        <v>7405</v>
      </c>
      <c r="G121" s="176">
        <v>1</v>
      </c>
      <c r="H121" s="178">
        <v>95673</v>
      </c>
      <c r="I121" s="592">
        <f t="shared" si="2"/>
        <v>1</v>
      </c>
      <c r="J121" s="178" t="s">
        <v>816</v>
      </c>
      <c r="K121" s="178" t="s">
        <v>816</v>
      </c>
      <c r="L121" s="275" t="str">
        <f>IF(H:H=0,"",IF(ISERROR(VLOOKUP(H:H,produtos_escape2!$A$2:$B$2794,2,FALSE)),"Código não cadastrado",(VLOOKUP(H:H,produtos_escape2!$A$2:$B$2794,2,FALSE))))</f>
        <v>CALDO LACTOSADO BILE VERDE BRILHANTE FRASCO 500GR</v>
      </c>
      <c r="M121" s="593" t="str">
        <f>IF(H:H=0,"",IF(ISERROR(VLOOKUP(H:H,produtos_escape2!$A$2:$D$2794,2,FALSE)),"Código não cadastrado",(VLOOKUP(H:H,produtos_escape2!$A$2:$D$2794,4,FALSE))))</f>
        <v>FR</v>
      </c>
      <c r="N121" s="486">
        <v>3</v>
      </c>
      <c r="O121" s="176" t="s">
        <v>4380</v>
      </c>
      <c r="P121" s="486">
        <v>3</v>
      </c>
      <c r="Q121" s="247">
        <v>320</v>
      </c>
      <c r="R121" s="246">
        <f t="shared" si="3"/>
        <v>960</v>
      </c>
      <c r="S121" s="177">
        <v>43861</v>
      </c>
      <c r="T121" s="182">
        <v>228553</v>
      </c>
      <c r="U121" s="177">
        <v>43900</v>
      </c>
      <c r="V121" s="177">
        <v>43901</v>
      </c>
      <c r="W121" s="177">
        <v>43903</v>
      </c>
      <c r="X121" s="176">
        <v>84265</v>
      </c>
      <c r="Y121" s="177">
        <v>43916</v>
      </c>
      <c r="Z121" s="415">
        <v>2</v>
      </c>
      <c r="AA121" s="488"/>
      <c r="AB121" s="594"/>
      <c r="AC121" s="595"/>
      <c r="AD121" s="596"/>
      <c r="AE121" s="596"/>
      <c r="AF121" s="597" t="str">
        <f>IFERROR(INDEX(produtos_escape2!M:M,MATCH(Controle!H121,produtos_escape2!A:A,0)),"")</f>
        <v>CALDO LACTOSADO BILE VERDE BRILHANTE FRASCO 500GR</v>
      </c>
    </row>
    <row r="122" spans="1:32" ht="14.25" customHeight="1">
      <c r="A122" s="176" t="s">
        <v>7408</v>
      </c>
      <c r="B122" s="176" t="s">
        <v>3608</v>
      </c>
      <c r="C122" s="177">
        <v>43860</v>
      </c>
      <c r="D122" s="176" t="s">
        <v>7409</v>
      </c>
      <c r="E122" s="176" t="s">
        <v>1866</v>
      </c>
      <c r="F122" s="259" t="s">
        <v>7408</v>
      </c>
      <c r="G122" s="176">
        <v>1</v>
      </c>
      <c r="H122" s="178">
        <v>92401</v>
      </c>
      <c r="I122" s="592">
        <f t="shared" si="2"/>
        <v>9</v>
      </c>
      <c r="J122" s="178" t="s">
        <v>816</v>
      </c>
      <c r="K122" s="178" t="s">
        <v>816</v>
      </c>
      <c r="L122" s="275"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22" s="593" t="str">
        <f>IF(H:H=0,"",IF(ISERROR(VLOOKUP(H:H,produtos_escape2!$A$2:$D$2794,2,FALSE)),"Código não cadastrado",(VLOOKUP(H:H,produtos_escape2!$A$2:$D$2794,4,FALSE))))</f>
        <v>PAR</v>
      </c>
      <c r="N122" s="486">
        <v>10000</v>
      </c>
      <c r="O122" s="176" t="s">
        <v>5751</v>
      </c>
      <c r="P122" s="486">
        <v>10000</v>
      </c>
      <c r="Q122" s="247">
        <v>0.89</v>
      </c>
      <c r="R122" s="246">
        <f t="shared" si="3"/>
        <v>8900</v>
      </c>
      <c r="S122" s="177">
        <v>43861</v>
      </c>
      <c r="T122" s="182">
        <v>4027</v>
      </c>
      <c r="U122" s="177">
        <v>43864</v>
      </c>
      <c r="V122" s="177">
        <v>43872</v>
      </c>
      <c r="W122" s="177">
        <v>43879</v>
      </c>
      <c r="X122" s="176">
        <v>73960</v>
      </c>
      <c r="Y122" s="177">
        <v>43899</v>
      </c>
      <c r="Z122" s="415">
        <v>2</v>
      </c>
      <c r="AA122" s="488"/>
      <c r="AB122" s="594"/>
      <c r="AC122" s="595"/>
      <c r="AD122" s="596"/>
      <c r="AE122" s="596"/>
      <c r="AF122" s="597" t="str">
        <f>IFERROR(INDEX(produtos_escape2!M:M,MATCH(Controle!H122,produtos_escape2!A:A,0)),"")</f>
        <v>LUVA CIRURGICA CONVENCIONAL Nº 7</v>
      </c>
    </row>
    <row r="123" spans="1:32" ht="14.25" customHeight="1">
      <c r="A123" s="176" t="s">
        <v>7408</v>
      </c>
      <c r="B123" s="176" t="s">
        <v>3608</v>
      </c>
      <c r="C123" s="177">
        <v>43860</v>
      </c>
      <c r="D123" s="176" t="s">
        <v>7409</v>
      </c>
      <c r="E123" s="176" t="s">
        <v>1866</v>
      </c>
      <c r="F123" s="259" t="s">
        <v>7408</v>
      </c>
      <c r="G123" s="176">
        <v>2</v>
      </c>
      <c r="H123" s="178">
        <v>92402</v>
      </c>
      <c r="I123" s="592">
        <f t="shared" si="2"/>
        <v>9</v>
      </c>
      <c r="J123" s="178" t="s">
        <v>816</v>
      </c>
      <c r="K123" s="178" t="s">
        <v>816</v>
      </c>
      <c r="L123" s="275"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23" s="593" t="str">
        <f>IF(H:H=0,"",IF(ISERROR(VLOOKUP(H:H,produtos_escape2!$A$2:$D$2794,2,FALSE)),"Código não cadastrado",(VLOOKUP(H:H,produtos_escape2!$A$2:$D$2794,4,FALSE))))</f>
        <v>PAR</v>
      </c>
      <c r="N123" s="486">
        <v>10000</v>
      </c>
      <c r="O123" s="176" t="s">
        <v>7457</v>
      </c>
      <c r="P123" s="486">
        <v>10000</v>
      </c>
      <c r="Q123" s="247">
        <v>0.88</v>
      </c>
      <c r="R123" s="246">
        <f t="shared" si="3"/>
        <v>8800</v>
      </c>
      <c r="S123" s="177">
        <v>43861</v>
      </c>
      <c r="T123" s="182">
        <v>167</v>
      </c>
      <c r="U123" s="177">
        <v>43865</v>
      </c>
      <c r="V123" s="177">
        <v>43865</v>
      </c>
      <c r="W123" s="177">
        <v>43866</v>
      </c>
      <c r="X123" s="176">
        <v>73955</v>
      </c>
      <c r="Y123" s="177">
        <v>43899</v>
      </c>
      <c r="Z123" s="415">
        <v>2</v>
      </c>
      <c r="AA123" s="488"/>
      <c r="AB123" s="594"/>
      <c r="AC123" s="595"/>
      <c r="AD123" s="596"/>
      <c r="AE123" s="596"/>
      <c r="AF123" s="597" t="str">
        <f>IFERROR(INDEX(produtos_escape2!M:M,MATCH(Controle!H123,produtos_escape2!A:A,0)),"")</f>
        <v>LUVA CIRURGICA CONVENCIONAL Nº 7</v>
      </c>
    </row>
    <row r="124" spans="1:32" ht="14.25" customHeight="1">
      <c r="A124" s="176" t="s">
        <v>7405</v>
      </c>
      <c r="B124" s="176" t="s">
        <v>3608</v>
      </c>
      <c r="C124" s="177">
        <v>43860</v>
      </c>
      <c r="D124" s="176" t="s">
        <v>7410</v>
      </c>
      <c r="E124" s="176" t="s">
        <v>1866</v>
      </c>
      <c r="F124" s="259" t="s">
        <v>7411</v>
      </c>
      <c r="G124" s="176">
        <v>1</v>
      </c>
      <c r="H124" s="178">
        <v>36520</v>
      </c>
      <c r="I124" s="592">
        <f t="shared" si="2"/>
        <v>3</v>
      </c>
      <c r="J124" s="178" t="s">
        <v>816</v>
      </c>
      <c r="K124" s="178" t="s">
        <v>816</v>
      </c>
      <c r="L124" s="275" t="str">
        <f>IF(H:H=0,"",IF(ISERROR(VLOOKUP(H:H,produtos_escape2!$A$2:$B$2794,2,FALSE)),"Código não cadastrado",(VLOOKUP(H:H,produtos_escape2!$A$2:$B$2794,2,FALSE))))</f>
        <v>Teste rápido para determinação qualitativa da concentração de Troponina I, por método imunocromatográfico, em amostras de sangue total, soro ou plasma humano. Com detecção de, no mínimo, 0.5ng/mL de concentração.Sensibilidade igual ou superior a 95%. Aplicação (finalidade): Auxílio no diagnóstico de Infarto Agudo do Miocárdio. Características adicionais: A embalagem do produto deverá conter o número do lote, data de fabricação, prazo de validade, composição e procedência. Prazo de validade: No mínimo 75% da validade total registrada na embalagem do produto no momento da entrega. Embalagem: Caixa com no mínimo 20 testes.</v>
      </c>
      <c r="M124" s="593" t="str">
        <f>IF(H:H=0,"",IF(ISERROR(VLOOKUP(H:H,produtos_escape2!$A$2:$D$2794,2,FALSE)),"Código não cadastrado",(VLOOKUP(H:H,produtos_escape2!$A$2:$D$2794,4,FALSE))))</f>
        <v>Teste</v>
      </c>
      <c r="N124" s="486">
        <v>1200</v>
      </c>
      <c r="O124" s="176" t="s">
        <v>7051</v>
      </c>
      <c r="P124" s="486">
        <v>1200</v>
      </c>
      <c r="Q124" s="247">
        <v>3.98</v>
      </c>
      <c r="R124" s="246">
        <f t="shared" si="3"/>
        <v>4776</v>
      </c>
      <c r="S124" s="177">
        <v>43861</v>
      </c>
      <c r="T124" s="182">
        <v>35</v>
      </c>
      <c r="U124" s="177">
        <v>43871</v>
      </c>
      <c r="V124" s="177">
        <v>43872</v>
      </c>
      <c r="W124" s="177">
        <v>43879</v>
      </c>
      <c r="X124" s="176">
        <v>3274</v>
      </c>
      <c r="Y124" s="177">
        <v>43895</v>
      </c>
      <c r="Z124" s="415">
        <v>2</v>
      </c>
      <c r="AA124" s="488"/>
      <c r="AB124" s="594"/>
      <c r="AC124" s="595"/>
      <c r="AD124" s="596"/>
      <c r="AE124" s="596"/>
      <c r="AF124" s="597" t="str">
        <f>IFERROR(INDEX(produtos_escape2!M:M,MATCH(Controle!H124,produtos_escape2!A:A,0)),"")</f>
        <v>TESTE RAPIDO TROPONINA</v>
      </c>
    </row>
    <row r="125" spans="1:32" ht="14.25" customHeight="1">
      <c r="A125" s="176" t="s">
        <v>7414</v>
      </c>
      <c r="B125" s="176" t="s">
        <v>3608</v>
      </c>
      <c r="C125" s="177">
        <v>43860</v>
      </c>
      <c r="D125" s="176" t="s">
        <v>7415</v>
      </c>
      <c r="E125" s="176" t="s">
        <v>1866</v>
      </c>
      <c r="F125" s="259" t="s">
        <v>7420</v>
      </c>
      <c r="G125" s="176">
        <v>1</v>
      </c>
      <c r="H125" s="178">
        <v>90297</v>
      </c>
      <c r="I125" s="592">
        <f t="shared" si="2"/>
        <v>3</v>
      </c>
      <c r="J125" s="178" t="s">
        <v>816</v>
      </c>
      <c r="K125" s="178" t="s">
        <v>816</v>
      </c>
      <c r="L125" s="275" t="str">
        <f>IF(H:H=0,"",IF(ISERROR(VLOOKUP(H:H,produtos_escape2!$A$2:$B$2794,2,FALSE)),"Código não cadastrado",(VLOOKUP(H:H,produtos_escape2!$A$2:$B$2794,2,FALSE))))</f>
        <v>BROMOPRIDA CAPSULA OU COMPRIMIDO 10MG</v>
      </c>
      <c r="M125" s="593" t="str">
        <f>IF(H:H=0,"",IF(ISERROR(VLOOKUP(H:H,produtos_escape2!$A$2:$D$2794,2,FALSE)),"Código não cadastrado",(VLOOKUP(H:H,produtos_escape2!$A$2:$D$2794,4,FALSE))))</f>
        <v>UN</v>
      </c>
      <c r="N125" s="486">
        <v>400</v>
      </c>
      <c r="O125" s="176" t="s">
        <v>7472</v>
      </c>
      <c r="P125" s="486">
        <v>400</v>
      </c>
      <c r="Q125" s="247">
        <v>0.18</v>
      </c>
      <c r="R125" s="246">
        <f t="shared" si="3"/>
        <v>72</v>
      </c>
      <c r="S125" s="177">
        <v>43865</v>
      </c>
      <c r="T125" s="182">
        <v>20793</v>
      </c>
      <c r="U125" s="177">
        <v>43865</v>
      </c>
      <c r="V125" s="177">
        <v>43867</v>
      </c>
      <c r="W125" s="177">
        <v>43868</v>
      </c>
      <c r="X125" s="176">
        <v>72384</v>
      </c>
      <c r="Y125" s="177">
        <v>43895</v>
      </c>
      <c r="Z125" s="415">
        <v>2</v>
      </c>
      <c r="AA125" s="488"/>
      <c r="AB125" s="594"/>
      <c r="AC125" s="595"/>
      <c r="AD125" s="596"/>
      <c r="AE125" s="596"/>
      <c r="AF125" s="597" t="str">
        <f>IFERROR(INDEX(produtos_escape2!M:M,MATCH(Controle!H125,produtos_escape2!A:A,0)),"")</f>
        <v>BROMOPRIDA</v>
      </c>
    </row>
    <row r="126" spans="1:32" ht="14.25" customHeight="1">
      <c r="A126" s="176" t="s">
        <v>7414</v>
      </c>
      <c r="B126" s="176" t="s">
        <v>3608</v>
      </c>
      <c r="C126" s="177">
        <v>43860</v>
      </c>
      <c r="D126" s="176" t="s">
        <v>7415</v>
      </c>
      <c r="E126" s="176" t="s">
        <v>1866</v>
      </c>
      <c r="F126" s="259" t="s">
        <v>7420</v>
      </c>
      <c r="G126" s="176">
        <v>2</v>
      </c>
      <c r="H126" s="178">
        <v>90421</v>
      </c>
      <c r="I126" s="592">
        <f t="shared" si="2"/>
        <v>2</v>
      </c>
      <c r="J126" s="178" t="s">
        <v>816</v>
      </c>
      <c r="K126" s="178" t="s">
        <v>816</v>
      </c>
      <c r="L126" s="275" t="str">
        <f>IF(H:H=0,"",IF(ISERROR(VLOOKUP(H:H,produtos_escape2!$A$2:$B$2794,2,FALSE)),"Código não cadastrado",(VLOOKUP(H:H,produtos_escape2!$A$2:$B$2794,2,FALSE))))</f>
        <v>CAPTOPRIL COMPRIMIDO SULCADO 50 MG</v>
      </c>
      <c r="M126" s="593" t="str">
        <f>IF(H:H=0,"",IF(ISERROR(VLOOKUP(H:H,produtos_escape2!$A$2:$D$2794,2,FALSE)),"Código não cadastrado",(VLOOKUP(H:H,produtos_escape2!$A$2:$D$2794,4,FALSE))))</f>
        <v>CP</v>
      </c>
      <c r="N126" s="486">
        <v>500</v>
      </c>
      <c r="O126" s="176" t="s">
        <v>1868</v>
      </c>
      <c r="P126" s="486"/>
      <c r="Q126" s="247"/>
      <c r="R126" s="246">
        <f t="shared" si="3"/>
        <v>0</v>
      </c>
      <c r="S126" s="177">
        <v>43864</v>
      </c>
      <c r="T126" s="182"/>
      <c r="U126" s="177"/>
      <c r="V126" s="177"/>
      <c r="W126" s="177"/>
      <c r="X126" s="176"/>
      <c r="Y126" s="177"/>
      <c r="Z126" s="415">
        <v>2</v>
      </c>
      <c r="AA126" s="488" t="s">
        <v>7473</v>
      </c>
      <c r="AB126" s="594"/>
      <c r="AC126" s="595"/>
      <c r="AD126" s="596"/>
      <c r="AE126" s="596"/>
      <c r="AF126" s="597" t="str">
        <f>IFERROR(INDEX(produtos_escape2!M:M,MATCH(Controle!H126,produtos_escape2!A:A,0)),"")</f>
        <v>CAPTOPRIL COMPRIMIDO SULCADO 50 MG</v>
      </c>
    </row>
    <row r="127" spans="1:32" ht="14.25" customHeight="1">
      <c r="A127" s="176" t="s">
        <v>7414</v>
      </c>
      <c r="B127" s="176" t="s">
        <v>3608</v>
      </c>
      <c r="C127" s="177">
        <v>43860</v>
      </c>
      <c r="D127" s="176" t="s">
        <v>7415</v>
      </c>
      <c r="E127" s="176" t="s">
        <v>1866</v>
      </c>
      <c r="F127" s="259" t="s">
        <v>7420</v>
      </c>
      <c r="G127" s="176">
        <v>3</v>
      </c>
      <c r="H127" s="178">
        <v>90159</v>
      </c>
      <c r="I127" s="592">
        <f t="shared" si="2"/>
        <v>4</v>
      </c>
      <c r="J127" s="178" t="s">
        <v>816</v>
      </c>
      <c r="K127" s="178" t="s">
        <v>816</v>
      </c>
      <c r="L127" s="275" t="str">
        <f>IF(H:H=0,"",IF(ISERROR(VLOOKUP(H:H,produtos_escape2!$A$2:$B$2794,2,FALSE)),"Código não cadastrado",(VLOOKUP(H:H,produtos_escape2!$A$2:$B$2794,2,FALSE))))</f>
        <v>DILTIAZEM (CLORIDRATO) COMPRIMIDO 60 MG</v>
      </c>
      <c r="M127" s="593" t="str">
        <f>IF(H:H=0,"",IF(ISERROR(VLOOKUP(H:H,produtos_escape2!$A$2:$D$2794,2,FALSE)),"Código não cadastrado",(VLOOKUP(H:H,produtos_escape2!$A$2:$D$2794,4,FALSE))))</f>
        <v>CP</v>
      </c>
      <c r="N127" s="486">
        <v>200</v>
      </c>
      <c r="O127" s="176" t="s">
        <v>2989</v>
      </c>
      <c r="P127" s="486">
        <v>200</v>
      </c>
      <c r="Q127" s="413">
        <v>0.15</v>
      </c>
      <c r="R127" s="414">
        <f t="shared" si="3"/>
        <v>30</v>
      </c>
      <c r="S127" s="177">
        <v>43865</v>
      </c>
      <c r="T127" s="182">
        <v>109842</v>
      </c>
      <c r="U127" s="177">
        <v>43865</v>
      </c>
      <c r="V127" s="177">
        <v>43866</v>
      </c>
      <c r="W127" s="177">
        <v>43868</v>
      </c>
      <c r="X127" s="176">
        <v>73861</v>
      </c>
      <c r="Y127" s="177">
        <v>43899</v>
      </c>
      <c r="Z127" s="415">
        <v>2</v>
      </c>
      <c r="AA127" s="488"/>
      <c r="AB127" s="594"/>
      <c r="AC127" s="595"/>
      <c r="AD127" s="596"/>
      <c r="AE127" s="596"/>
      <c r="AF127" s="597" t="str">
        <f>IFERROR(INDEX(produtos_escape2!M:M,MATCH(Controle!H127,produtos_escape2!A:A,0)),"")</f>
        <v>DILTIAZEM (CLORIDRATO) COMPRIMIDO 60 MG</v>
      </c>
    </row>
    <row r="128" spans="1:32" ht="14.25" customHeight="1">
      <c r="A128" s="176" t="s">
        <v>7414</v>
      </c>
      <c r="B128" s="176" t="s">
        <v>3608</v>
      </c>
      <c r="C128" s="177">
        <v>43860</v>
      </c>
      <c r="D128" s="176" t="s">
        <v>7415</v>
      </c>
      <c r="E128" s="176" t="s">
        <v>1866</v>
      </c>
      <c r="F128" s="259" t="s">
        <v>7420</v>
      </c>
      <c r="G128" s="176">
        <v>4</v>
      </c>
      <c r="H128" s="178">
        <v>90161</v>
      </c>
      <c r="I128" s="592">
        <f t="shared" si="2"/>
        <v>1</v>
      </c>
      <c r="J128" s="178" t="s">
        <v>816</v>
      </c>
      <c r="K128" s="178" t="s">
        <v>816</v>
      </c>
      <c r="L128" s="275" t="str">
        <f>IF(H:H=0,"",IF(ISERROR(VLOOKUP(H:H,produtos_escape2!$A$2:$B$2794,2,FALSE)),"Código não cadastrado",(VLOOKUP(H:H,produtos_escape2!$A$2:$B$2794,2,FALSE))))</f>
        <v>FLUCONAZOL CAPSULA  100 MG</v>
      </c>
      <c r="M128" s="593" t="str">
        <f>IF(H:H=0,"",IF(ISERROR(VLOOKUP(H:H,produtos_escape2!$A$2:$D$2794,2,FALSE)),"Código não cadastrado",(VLOOKUP(H:H,produtos_escape2!$A$2:$D$2794,4,FALSE))))</f>
        <v>CS</v>
      </c>
      <c r="N128" s="486">
        <v>200</v>
      </c>
      <c r="O128" s="176" t="s">
        <v>1868</v>
      </c>
      <c r="P128" s="486"/>
      <c r="Q128" s="247"/>
      <c r="R128" s="246">
        <f t="shared" si="3"/>
        <v>0</v>
      </c>
      <c r="S128" s="177">
        <v>43864</v>
      </c>
      <c r="T128" s="182"/>
      <c r="U128" s="177"/>
      <c r="V128" s="177"/>
      <c r="W128" s="177"/>
      <c r="X128" s="176"/>
      <c r="Y128" s="177"/>
      <c r="Z128" s="415">
        <v>2</v>
      </c>
      <c r="AA128" s="488" t="s">
        <v>7475</v>
      </c>
      <c r="AB128" s="594"/>
      <c r="AC128" s="595"/>
      <c r="AD128" s="596"/>
      <c r="AE128" s="596"/>
      <c r="AF128" s="597" t="str">
        <f>IFERROR(INDEX(produtos_escape2!M:M,MATCH(Controle!H128,produtos_escape2!A:A,0)),"")</f>
        <v>FLUCONAZOL CAPSULA  100 MG</v>
      </c>
    </row>
    <row r="129" spans="1:32" ht="14.25" customHeight="1">
      <c r="A129" s="176" t="s">
        <v>7414</v>
      </c>
      <c r="B129" s="176" t="s">
        <v>3608</v>
      </c>
      <c r="C129" s="177">
        <v>43860</v>
      </c>
      <c r="D129" s="176" t="s">
        <v>7415</v>
      </c>
      <c r="E129" s="176" t="s">
        <v>1866</v>
      </c>
      <c r="F129" s="259" t="s">
        <v>7420</v>
      </c>
      <c r="G129" s="176">
        <v>5</v>
      </c>
      <c r="H129" s="178">
        <v>90225</v>
      </c>
      <c r="I129" s="592">
        <f t="shared" si="2"/>
        <v>3</v>
      </c>
      <c r="J129" s="178" t="s">
        <v>816</v>
      </c>
      <c r="K129" s="178" t="s">
        <v>816</v>
      </c>
      <c r="L129" s="275" t="str">
        <f>IF(H:H=0,"",IF(ISERROR(VLOOKUP(H:H,produtos_escape2!$A$2:$B$2794,2,FALSE)),"Código não cadastrado",(VLOOKUP(H:H,produtos_escape2!$A$2:$B$2794,2,FALSE))))</f>
        <v>GLICLAZIDA COMPRIMIDO DE LIBERACAO PROLONGADA 30 MG</v>
      </c>
      <c r="M129" s="593" t="str">
        <f>IF(H:H=0,"",IF(ISERROR(VLOOKUP(H:H,produtos_escape2!$A$2:$D$2794,2,FALSE)),"Código não cadastrado",(VLOOKUP(H:H,produtos_escape2!$A$2:$D$2794,4,FALSE))))</f>
        <v>CP</v>
      </c>
      <c r="N129" s="486">
        <v>500</v>
      </c>
      <c r="O129" s="176" t="s">
        <v>2989</v>
      </c>
      <c r="P129" s="486">
        <f>16*30</f>
        <v>480</v>
      </c>
      <c r="Q129" s="413">
        <v>0.35</v>
      </c>
      <c r="R129" s="414">
        <f t="shared" si="3"/>
        <v>168</v>
      </c>
      <c r="S129" s="177">
        <v>43865</v>
      </c>
      <c r="T129" s="182">
        <v>109842</v>
      </c>
      <c r="U129" s="177">
        <v>43865</v>
      </c>
      <c r="V129" s="177">
        <v>43866</v>
      </c>
      <c r="W129" s="177">
        <v>43868</v>
      </c>
      <c r="X129" s="176">
        <v>73861</v>
      </c>
      <c r="Y129" s="177">
        <v>43899</v>
      </c>
      <c r="Z129" s="415">
        <v>2</v>
      </c>
      <c r="AA129" s="488"/>
      <c r="AB129" s="594"/>
      <c r="AC129" s="595"/>
      <c r="AD129" s="596"/>
      <c r="AE129" s="596"/>
      <c r="AF129" s="597" t="str">
        <f>IFERROR(INDEX(produtos_escape2!M:M,MATCH(Controle!H129,produtos_escape2!A:A,0)),"")</f>
        <v>GLICLAZIDA COMPRIMIDO DE LIBERACAO PROLONGADA 30 MG</v>
      </c>
    </row>
    <row r="130" spans="1:32" ht="14.25" customHeight="1">
      <c r="A130" s="176" t="s">
        <v>7414</v>
      </c>
      <c r="B130" s="176" t="s">
        <v>3608</v>
      </c>
      <c r="C130" s="177">
        <v>43860</v>
      </c>
      <c r="D130" s="176" t="s">
        <v>7415</v>
      </c>
      <c r="E130" s="176" t="s">
        <v>1866</v>
      </c>
      <c r="F130" s="259" t="s">
        <v>7420</v>
      </c>
      <c r="G130" s="176">
        <v>6</v>
      </c>
      <c r="H130" s="178">
        <v>29664</v>
      </c>
      <c r="I130" s="592">
        <f t="shared" si="2"/>
        <v>4</v>
      </c>
      <c r="J130" s="178" t="s">
        <v>816</v>
      </c>
      <c r="K130" s="178" t="s">
        <v>816</v>
      </c>
      <c r="L130" s="275" t="str">
        <f>IF(H:H=0,"",IF(ISERROR(VLOOKUP(H:H,produtos_escape2!$A$2:$B$2794,2,FALSE)),"Código não cadastrado",(VLOOKUP(H:H,produtos_escape2!$A$2:$B$2794,2,FALSE))))</f>
        <v>GLICLAZIDA COMPRIMIDO DE LIBERACAO PROLONGADA 60 MG</v>
      </c>
      <c r="M130" s="593" t="str">
        <f>IF(H:H=0,"",IF(ISERROR(VLOOKUP(H:H,produtos_escape2!$A$2:$D$2794,2,FALSE)),"Código não cadastrado",(VLOOKUP(H:H,produtos_escape2!$A$2:$D$2794,4,FALSE))))</f>
        <v>CP</v>
      </c>
      <c r="N130" s="486">
        <v>500</v>
      </c>
      <c r="O130" s="176" t="s">
        <v>2989</v>
      </c>
      <c r="P130" s="486">
        <v>300</v>
      </c>
      <c r="Q130" s="413">
        <v>0.4</v>
      </c>
      <c r="R130" s="414">
        <f t="shared" si="3"/>
        <v>120</v>
      </c>
      <c r="S130" s="177">
        <v>43865</v>
      </c>
      <c r="T130" s="182">
        <v>109842</v>
      </c>
      <c r="U130" s="177">
        <v>43865</v>
      </c>
      <c r="V130" s="177">
        <v>43866</v>
      </c>
      <c r="W130" s="177">
        <v>43868</v>
      </c>
      <c r="X130" s="176">
        <v>73861</v>
      </c>
      <c r="Y130" s="177">
        <v>43899</v>
      </c>
      <c r="Z130" s="415">
        <v>2</v>
      </c>
      <c r="AA130" s="488"/>
      <c r="AB130" s="594"/>
      <c r="AC130" s="595"/>
      <c r="AD130" s="596"/>
      <c r="AE130" s="596"/>
      <c r="AF130" s="597" t="str">
        <f>IFERROR(INDEX(produtos_escape2!M:M,MATCH(Controle!H130,produtos_escape2!A:A,0)),"")</f>
        <v>GLICAZIDA</v>
      </c>
    </row>
    <row r="131" spans="1:32" ht="14.25" customHeight="1">
      <c r="A131" s="176" t="s">
        <v>7414</v>
      </c>
      <c r="B131" s="176" t="s">
        <v>3608</v>
      </c>
      <c r="C131" s="177">
        <v>43860</v>
      </c>
      <c r="D131" s="176" t="s">
        <v>7415</v>
      </c>
      <c r="E131" s="176" t="s">
        <v>1866</v>
      </c>
      <c r="F131" s="259" t="s">
        <v>7420</v>
      </c>
      <c r="G131" s="176">
        <v>6</v>
      </c>
      <c r="H131" s="178">
        <v>29664</v>
      </c>
      <c r="I131" s="592">
        <f t="shared" ref="I131:I194" si="4">COUNTIF($H$3:$H$3041,H131)</f>
        <v>4</v>
      </c>
      <c r="J131" s="178" t="s">
        <v>816</v>
      </c>
      <c r="K131" s="178" t="s">
        <v>816</v>
      </c>
      <c r="L131" s="275" t="str">
        <f>IF(H:H=0,"",IF(ISERROR(VLOOKUP(H:H,produtos_escape2!$A$2:$B$2794,2,FALSE)),"Código não cadastrado",(VLOOKUP(H:H,produtos_escape2!$A$2:$B$2794,2,FALSE))))</f>
        <v>GLICLAZIDA COMPRIMIDO DE LIBERACAO PROLONGADA 60 MG</v>
      </c>
      <c r="M131" s="593" t="str">
        <f>IF(H:H=0,"",IF(ISERROR(VLOOKUP(H:H,produtos_escape2!$A$2:$D$2794,2,FALSE)),"Código não cadastrado",(VLOOKUP(H:H,produtos_escape2!$A$2:$D$2794,4,FALSE))))</f>
        <v>CP</v>
      </c>
      <c r="N131" s="486">
        <v>500</v>
      </c>
      <c r="O131" s="176" t="s">
        <v>1868</v>
      </c>
      <c r="P131" s="486"/>
      <c r="Q131" s="247">
        <v>0.4</v>
      </c>
      <c r="R131" s="246">
        <f t="shared" ref="R131:R194" si="5">P131*Q131</f>
        <v>0</v>
      </c>
      <c r="S131" s="177">
        <v>43865</v>
      </c>
      <c r="T131" s="182"/>
      <c r="U131" s="177"/>
      <c r="V131" s="177"/>
      <c r="W131" s="177"/>
      <c r="X131" s="176"/>
      <c r="Y131" s="177"/>
      <c r="Z131" s="415">
        <v>2</v>
      </c>
      <c r="AA131" s="488" t="s">
        <v>7862</v>
      </c>
      <c r="AB131" s="594"/>
      <c r="AC131" s="595"/>
      <c r="AD131" s="596"/>
      <c r="AE131" s="596"/>
      <c r="AF131" s="597" t="str">
        <f>IFERROR(INDEX(produtos_escape2!M:M,MATCH(Controle!H131,produtos_escape2!A:A,0)),"")</f>
        <v>GLICAZIDA</v>
      </c>
    </row>
    <row r="132" spans="1:32" ht="14.25" customHeight="1">
      <c r="A132" s="176" t="s">
        <v>7414</v>
      </c>
      <c r="B132" s="176" t="s">
        <v>3608</v>
      </c>
      <c r="C132" s="177">
        <v>43860</v>
      </c>
      <c r="D132" s="176" t="s">
        <v>7415</v>
      </c>
      <c r="E132" s="176" t="s">
        <v>1866</v>
      </c>
      <c r="F132" s="259" t="s">
        <v>7420</v>
      </c>
      <c r="G132" s="176">
        <v>7</v>
      </c>
      <c r="H132" s="178">
        <v>90307</v>
      </c>
      <c r="I132" s="592">
        <f t="shared" si="4"/>
        <v>1</v>
      </c>
      <c r="J132" s="178" t="s">
        <v>816</v>
      </c>
      <c r="K132" s="178" t="s">
        <v>816</v>
      </c>
      <c r="L132" s="275" t="str">
        <f>IF(H:H=0,"",IF(ISERROR(VLOOKUP(H:H,produtos_escape2!$A$2:$B$2794,2,FALSE)),"Código não cadastrado",(VLOOKUP(H:H,produtos_escape2!$A$2:$B$2794,2,FALSE))))</f>
        <v>LEVOTIROXINA SODICA COMPRIMIDO 25 MCG</v>
      </c>
      <c r="M132" s="593" t="str">
        <f>IF(H:H=0,"",IF(ISERROR(VLOOKUP(H:H,produtos_escape2!$A$2:$D$2794,2,FALSE)),"Código não cadastrado",(VLOOKUP(H:H,produtos_escape2!$A$2:$D$2794,4,FALSE))))</f>
        <v>CP</v>
      </c>
      <c r="N132" s="486">
        <v>400</v>
      </c>
      <c r="O132" s="176" t="s">
        <v>7472</v>
      </c>
      <c r="P132" s="486">
        <f>13*30</f>
        <v>390</v>
      </c>
      <c r="Q132" s="247">
        <v>0.13</v>
      </c>
      <c r="R132" s="246">
        <f t="shared" si="5"/>
        <v>50.7</v>
      </c>
      <c r="S132" s="177">
        <v>43865</v>
      </c>
      <c r="T132" s="182">
        <v>20793</v>
      </c>
      <c r="U132" s="177">
        <v>43865</v>
      </c>
      <c r="V132" s="177">
        <v>43867</v>
      </c>
      <c r="W132" s="177">
        <v>43868</v>
      </c>
      <c r="X132" s="176">
        <v>72384</v>
      </c>
      <c r="Y132" s="177">
        <v>43895</v>
      </c>
      <c r="Z132" s="415">
        <v>2</v>
      </c>
      <c r="AA132" s="488"/>
      <c r="AB132" s="594"/>
      <c r="AC132" s="595"/>
      <c r="AD132" s="596"/>
      <c r="AE132" s="596"/>
      <c r="AF132" s="597" t="str">
        <f>IFERROR(INDEX(produtos_escape2!M:M,MATCH(Controle!H132,produtos_escape2!A:A,0)),"")</f>
        <v>LEVOTIROXINA</v>
      </c>
    </row>
    <row r="133" spans="1:32" ht="14.25" customHeight="1">
      <c r="A133" s="176" t="s">
        <v>7414</v>
      </c>
      <c r="B133" s="176" t="s">
        <v>3608</v>
      </c>
      <c r="C133" s="177">
        <v>43860</v>
      </c>
      <c r="D133" s="176" t="s">
        <v>7415</v>
      </c>
      <c r="E133" s="176" t="s">
        <v>1866</v>
      </c>
      <c r="F133" s="259" t="s">
        <v>7420</v>
      </c>
      <c r="G133" s="176">
        <v>8</v>
      </c>
      <c r="H133" s="178">
        <v>21408</v>
      </c>
      <c r="I133" s="592">
        <f t="shared" si="4"/>
        <v>2</v>
      </c>
      <c r="J133" s="178" t="s">
        <v>816</v>
      </c>
      <c r="K133" s="178" t="s">
        <v>816</v>
      </c>
      <c r="L133" s="275" t="str">
        <f>IF(H:H=0,"",IF(ISERROR(VLOOKUP(H:H,produtos_escape2!$A$2:$B$2794,2,FALSE)),"Código não cadastrado",(VLOOKUP(H:H,produtos_escape2!$A$2:$B$2794,2,FALSE))))</f>
        <v>METOPROLOL (SUCCINATO) COMPRIMIDO DE LIBERAÇÃO CONTROLADA 50 MG</v>
      </c>
      <c r="M133" s="593" t="str">
        <f>IF(H:H=0,"",IF(ISERROR(VLOOKUP(H:H,produtos_escape2!$A$2:$D$2794,2,FALSE)),"Código não cadastrado",(VLOOKUP(H:H,produtos_escape2!$A$2:$D$2794,4,FALSE))))</f>
        <v>CP</v>
      </c>
      <c r="N133" s="486">
        <v>1500</v>
      </c>
      <c r="O133" s="176" t="s">
        <v>1868</v>
      </c>
      <c r="P133" s="486"/>
      <c r="Q133" s="247"/>
      <c r="R133" s="246">
        <f t="shared" si="5"/>
        <v>0</v>
      </c>
      <c r="S133" s="177">
        <v>43864</v>
      </c>
      <c r="T133" s="182"/>
      <c r="U133" s="177"/>
      <c r="V133" s="177"/>
      <c r="W133" s="177"/>
      <c r="X133" s="176"/>
      <c r="Y133" s="177"/>
      <c r="Z133" s="415">
        <v>2</v>
      </c>
      <c r="AA133" s="488" t="s">
        <v>7318</v>
      </c>
      <c r="AB133" s="594"/>
      <c r="AC133" s="595"/>
      <c r="AD133" s="596"/>
      <c r="AE133" s="596"/>
      <c r="AF133" s="597" t="str">
        <f>IFERROR(INDEX(produtos_escape2!M:M,MATCH(Controle!H133,produtos_escape2!A:A,0)),"")</f>
        <v>METOPROLOL (SUCCINATO) COMPRIMIDO DE LIBERAÇÃO CONTROLADA 50 MG</v>
      </c>
    </row>
    <row r="134" spans="1:32" ht="14.25" customHeight="1">
      <c r="A134" s="176" t="s">
        <v>7414</v>
      </c>
      <c r="B134" s="176" t="s">
        <v>3608</v>
      </c>
      <c r="C134" s="177">
        <v>43860</v>
      </c>
      <c r="D134" s="176" t="s">
        <v>7415</v>
      </c>
      <c r="E134" s="176" t="s">
        <v>1866</v>
      </c>
      <c r="F134" s="259" t="s">
        <v>7420</v>
      </c>
      <c r="G134" s="176">
        <v>9</v>
      </c>
      <c r="H134" s="178">
        <v>90708</v>
      </c>
      <c r="I134" s="592">
        <f t="shared" si="4"/>
        <v>3</v>
      </c>
      <c r="J134" s="178" t="s">
        <v>816</v>
      </c>
      <c r="K134" s="178" t="s">
        <v>816</v>
      </c>
      <c r="L134" s="275" t="str">
        <f>IF(H:H=0,"",IF(ISERROR(VLOOKUP(H:H,produtos_escape2!$A$2:$B$2794,2,FALSE)),"Código não cadastrado",(VLOOKUP(H:H,produtos_escape2!$A$2:$B$2794,2,FALSE))))</f>
        <v xml:space="preserve">METRONIDAZOL COMPRIMIDO 400 MG </v>
      </c>
      <c r="M134" s="593" t="str">
        <f>IF(H:H=0,"",IF(ISERROR(VLOOKUP(H:H,produtos_escape2!$A$2:$D$2794,2,FALSE)),"Código não cadastrado",(VLOOKUP(H:H,produtos_escape2!$A$2:$D$2794,4,FALSE))))</f>
        <v>CP</v>
      </c>
      <c r="N134" s="486">
        <v>1000</v>
      </c>
      <c r="O134" s="176" t="s">
        <v>1868</v>
      </c>
      <c r="P134" s="486"/>
      <c r="Q134" s="247"/>
      <c r="R134" s="246">
        <f t="shared" si="5"/>
        <v>0</v>
      </c>
      <c r="S134" s="177">
        <v>43864</v>
      </c>
      <c r="T134" s="182"/>
      <c r="U134" s="177"/>
      <c r="V134" s="177"/>
      <c r="W134" s="177"/>
      <c r="X134" s="176"/>
      <c r="Y134" s="177"/>
      <c r="Z134" s="415">
        <v>2</v>
      </c>
      <c r="AA134" s="488" t="s">
        <v>7474</v>
      </c>
      <c r="AB134" s="594"/>
      <c r="AC134" s="595"/>
      <c r="AD134" s="596"/>
      <c r="AE134" s="596"/>
      <c r="AF134" s="597" t="str">
        <f>IFERROR(INDEX(produtos_escape2!M:M,MATCH(Controle!H134,produtos_escape2!A:A,0)),"")</f>
        <v xml:space="preserve">METRONIDAZOL COMPRIMIDO 400 MG </v>
      </c>
    </row>
    <row r="135" spans="1:32" ht="14.25" customHeight="1">
      <c r="A135" s="176" t="s">
        <v>7411</v>
      </c>
      <c r="B135" s="176" t="s">
        <v>3608</v>
      </c>
      <c r="C135" s="177">
        <v>43860</v>
      </c>
      <c r="D135" s="176" t="s">
        <v>7419</v>
      </c>
      <c r="E135" s="176" t="s">
        <v>1866</v>
      </c>
      <c r="F135" s="259" t="s">
        <v>7414</v>
      </c>
      <c r="G135" s="176">
        <v>1</v>
      </c>
      <c r="H135" s="178">
        <v>90550</v>
      </c>
      <c r="I135" s="592">
        <f t="shared" si="4"/>
        <v>9</v>
      </c>
      <c r="J135" s="178" t="s">
        <v>816</v>
      </c>
      <c r="K135" s="178" t="s">
        <v>816</v>
      </c>
      <c r="L135" s="275" t="str">
        <f>IF(H:H=0,"",IF(ISERROR(VLOOKUP(H:H,produtos_escape2!$A$2:$B$2794,2,FALSE)),"Código não cadastrado",(VLOOKUP(H:H,produtos_escape2!$A$2:$B$2794,2,FALSE))))</f>
        <v xml:space="preserve">BICARBONATO DE SODIO SOLUCAO INJETAVEL 8,4 % (1 MEQ/ML) AMPOLA 10 ML  </v>
      </c>
      <c r="M135" s="593" t="str">
        <f>IF(H:H=0,"",IF(ISERROR(VLOOKUP(H:H,produtos_escape2!$A$2:$D$2794,2,FALSE)),"Código não cadastrado",(VLOOKUP(H:H,produtos_escape2!$A$2:$D$2794,4,FALSE))))</f>
        <v>AMP</v>
      </c>
      <c r="N135" s="486">
        <v>600</v>
      </c>
      <c r="O135" s="176" t="s">
        <v>7337</v>
      </c>
      <c r="P135" s="486">
        <v>600</v>
      </c>
      <c r="Q135" s="413">
        <v>0.59</v>
      </c>
      <c r="R135" s="414">
        <f t="shared" si="5"/>
        <v>354</v>
      </c>
      <c r="S135" s="177">
        <v>43865</v>
      </c>
      <c r="T135" s="182">
        <v>10063</v>
      </c>
      <c r="U135" s="177">
        <v>43866</v>
      </c>
      <c r="V135" s="177">
        <v>43866</v>
      </c>
      <c r="W135" s="177">
        <v>43868</v>
      </c>
      <c r="X135" s="176">
        <v>73165</v>
      </c>
      <c r="Y135" s="177">
        <v>43896</v>
      </c>
      <c r="Z135" s="415">
        <v>2</v>
      </c>
      <c r="AA135" s="488"/>
      <c r="AB135" s="594"/>
      <c r="AC135" s="595"/>
      <c r="AD135" s="596"/>
      <c r="AE135" s="596"/>
      <c r="AF135" s="597" t="str">
        <f>IFERROR(INDEX(produtos_escape2!M:M,MATCH(Controle!H135,produtos_escape2!A:A,0)),"")</f>
        <v>BICARBONATO DE SODIO</v>
      </c>
    </row>
    <row r="136" spans="1:32" ht="14.25" customHeight="1">
      <c r="A136" s="176" t="s">
        <v>7411</v>
      </c>
      <c r="B136" s="176" t="s">
        <v>3608</v>
      </c>
      <c r="C136" s="177">
        <v>43860</v>
      </c>
      <c r="D136" s="176" t="s">
        <v>7419</v>
      </c>
      <c r="E136" s="176" t="s">
        <v>1866</v>
      </c>
      <c r="F136" s="259" t="s">
        <v>7414</v>
      </c>
      <c r="G136" s="176">
        <v>2</v>
      </c>
      <c r="H136" s="178">
        <v>90888</v>
      </c>
      <c r="I136" s="592">
        <f t="shared" si="4"/>
        <v>4</v>
      </c>
      <c r="J136" s="178" t="s">
        <v>816</v>
      </c>
      <c r="K136" s="178" t="s">
        <v>816</v>
      </c>
      <c r="L136" s="275" t="str">
        <f>IF(H:H=0,"",IF(ISERROR(VLOOKUP(H:H,produtos_escape2!$A$2:$B$2794,2,FALSE)),"Código não cadastrado",(VLOOKUP(H:H,produtos_escape2!$A$2:$B$2794,2,FALSE))))</f>
        <v>CEFTAZIDIMA PO PARA SOLUCAO INJETAVEL 1 G FRASCO AMPOLA</v>
      </c>
      <c r="M136" s="593" t="str">
        <f>IF(H:H=0,"",IF(ISERROR(VLOOKUP(H:H,produtos_escape2!$A$2:$D$2794,2,FALSE)),"Código não cadastrado",(VLOOKUP(H:H,produtos_escape2!$A$2:$D$2794,4,FALSE))))</f>
        <v>FA</v>
      </c>
      <c r="N136" s="486">
        <v>300</v>
      </c>
      <c r="O136" s="176" t="s">
        <v>7472</v>
      </c>
      <c r="P136" s="486">
        <v>100</v>
      </c>
      <c r="Q136" s="413">
        <v>22.9</v>
      </c>
      <c r="R136" s="414">
        <f t="shared" si="5"/>
        <v>2290</v>
      </c>
      <c r="S136" s="177">
        <v>43865</v>
      </c>
      <c r="T136" s="182">
        <v>20792</v>
      </c>
      <c r="U136" s="177">
        <v>43865</v>
      </c>
      <c r="V136" s="177">
        <v>43866</v>
      </c>
      <c r="W136" s="177">
        <v>43868</v>
      </c>
      <c r="X136" s="176">
        <v>74019</v>
      </c>
      <c r="Y136" s="177">
        <v>43899</v>
      </c>
      <c r="Z136" s="415">
        <v>2</v>
      </c>
      <c r="AA136" s="488"/>
      <c r="AB136" s="594"/>
      <c r="AC136" s="595"/>
      <c r="AD136" s="596"/>
      <c r="AE136" s="596"/>
      <c r="AF136" s="597" t="str">
        <f>IFERROR(INDEX(produtos_escape2!M:M,MATCH(Controle!H136,produtos_escape2!A:A,0)),"")</f>
        <v>CEFTAZIDIMA PO PARA SOLUCAO INJETAVEL 1 G FRASCO AMPOLA</v>
      </c>
    </row>
    <row r="137" spans="1:32" ht="14.25" customHeight="1">
      <c r="A137" s="176" t="s">
        <v>7411</v>
      </c>
      <c r="B137" s="176" t="s">
        <v>3608</v>
      </c>
      <c r="C137" s="177">
        <v>43860</v>
      </c>
      <c r="D137" s="176" t="s">
        <v>7419</v>
      </c>
      <c r="E137" s="176" t="s">
        <v>1866</v>
      </c>
      <c r="F137" s="259" t="s">
        <v>7414</v>
      </c>
      <c r="G137" s="176">
        <v>11</v>
      </c>
      <c r="H137" s="178">
        <v>90255</v>
      </c>
      <c r="I137" s="592">
        <f t="shared" si="4"/>
        <v>8</v>
      </c>
      <c r="J137" s="178" t="s">
        <v>816</v>
      </c>
      <c r="K137" s="178" t="s">
        <v>816</v>
      </c>
      <c r="L137" s="275" t="str">
        <f>IF(H:H=0,"",IF(ISERROR(VLOOKUP(H:H,produtos_escape2!$A$2:$B$2794,2,FALSE)),"Código não cadastrado",(VLOOKUP(H:H,produtos_escape2!$A$2:$B$2794,2,FALSE))))</f>
        <v>BROMOPRIDA SOLUCAO INJETAVEL 5MG/ML AMPOLA 2ML</v>
      </c>
      <c r="M137" s="593" t="str">
        <f>IF(H:H=0,"",IF(ISERROR(VLOOKUP(H:H,produtos_escape2!$A$2:$D$2794,2,FALSE)),"Código não cadastrado",(VLOOKUP(H:H,produtos_escape2!$A$2:$D$2794,4,FALSE))))</f>
        <v>AMP</v>
      </c>
      <c r="N137" s="486">
        <v>800</v>
      </c>
      <c r="O137" s="176" t="s">
        <v>4398</v>
      </c>
      <c r="P137" s="486">
        <v>800</v>
      </c>
      <c r="Q137" s="247">
        <v>1.1859999999999999</v>
      </c>
      <c r="R137" s="246">
        <f t="shared" si="5"/>
        <v>948.8</v>
      </c>
      <c r="S137" s="177">
        <v>43865</v>
      </c>
      <c r="T137" s="182">
        <v>1255517</v>
      </c>
      <c r="U137" s="177">
        <v>43865</v>
      </c>
      <c r="V137" s="177">
        <v>43868</v>
      </c>
      <c r="W137" s="177">
        <v>43871</v>
      </c>
      <c r="X137" s="176">
        <v>74540</v>
      </c>
      <c r="Y137" s="177">
        <v>43899</v>
      </c>
      <c r="Z137" s="415">
        <v>2</v>
      </c>
      <c r="AA137" s="488"/>
      <c r="AB137" s="594"/>
      <c r="AC137" s="595"/>
      <c r="AD137" s="596"/>
      <c r="AE137" s="596"/>
      <c r="AF137" s="597" t="str">
        <f>IFERROR(INDEX(produtos_escape2!M:M,MATCH(Controle!H137,produtos_escape2!A:A,0)),"")</f>
        <v>BROMOPRIDA</v>
      </c>
    </row>
    <row r="138" spans="1:32" ht="14.25" customHeight="1">
      <c r="A138" s="176" t="s">
        <v>7411</v>
      </c>
      <c r="B138" s="176" t="s">
        <v>3608</v>
      </c>
      <c r="C138" s="177">
        <v>43860</v>
      </c>
      <c r="D138" s="176" t="s">
        <v>7419</v>
      </c>
      <c r="E138" s="176" t="s">
        <v>1866</v>
      </c>
      <c r="F138" s="259" t="s">
        <v>7414</v>
      </c>
      <c r="G138" s="176">
        <v>3</v>
      </c>
      <c r="H138" s="178">
        <v>90526</v>
      </c>
      <c r="I138" s="592">
        <f t="shared" si="4"/>
        <v>2</v>
      </c>
      <c r="J138" s="178" t="s">
        <v>816</v>
      </c>
      <c r="K138" s="178" t="s">
        <v>816</v>
      </c>
      <c r="L138" s="275" t="str">
        <f>IF(H:H=0,"",IF(ISERROR(VLOOKUP(H:H,produtos_escape2!$A$2:$B$2794,2,FALSE)),"Código não cadastrado",(VLOOKUP(H:H,produtos_escape2!$A$2:$B$2794,2,FALSE))))</f>
        <v>CIANOCOBALAMINA (VITAMINA B12) SOLUÇAO INJETAVEL 1000 MCG AMPOLA 1 ML A 2 ML</v>
      </c>
      <c r="M138" s="593" t="str">
        <f>IF(H:H=0,"",IF(ISERROR(VLOOKUP(H:H,produtos_escape2!$A$2:$D$2794,2,FALSE)),"Código não cadastrado",(VLOOKUP(H:H,produtos_escape2!$A$2:$D$2794,4,FALSE))))</f>
        <v>AMP</v>
      </c>
      <c r="N138" s="486">
        <v>300</v>
      </c>
      <c r="O138" s="176" t="s">
        <v>2989</v>
      </c>
      <c r="P138" s="486">
        <v>100</v>
      </c>
      <c r="Q138" s="413">
        <v>2.4649999999999999</v>
      </c>
      <c r="R138" s="414">
        <f t="shared" si="5"/>
        <v>246.5</v>
      </c>
      <c r="S138" s="177">
        <v>43865</v>
      </c>
      <c r="T138" s="182">
        <v>110596</v>
      </c>
      <c r="U138" s="177">
        <v>43873</v>
      </c>
      <c r="V138" s="177">
        <v>43874</v>
      </c>
      <c r="W138" s="177">
        <v>43879</v>
      </c>
      <c r="X138" s="176">
        <v>73913</v>
      </c>
      <c r="Y138" s="177">
        <v>43899</v>
      </c>
      <c r="Z138" s="415">
        <v>2</v>
      </c>
      <c r="AA138" s="488"/>
      <c r="AB138" s="594"/>
      <c r="AC138" s="595"/>
      <c r="AD138" s="596"/>
      <c r="AE138" s="596"/>
      <c r="AF138" s="597" t="str">
        <f>IFERROR(INDEX(produtos_escape2!M:M,MATCH(Controle!H138,produtos_escape2!A:A,0)),"")</f>
        <v>CIANOCOBALAMINA (VITAMINA B12) SOLUÇAO INJETAVEL 1000 MCG AMPOLA 1 ML A 2 ML</v>
      </c>
    </row>
    <row r="139" spans="1:32" ht="14.25" customHeight="1">
      <c r="A139" s="176" t="s">
        <v>7411</v>
      </c>
      <c r="B139" s="176" t="s">
        <v>3608</v>
      </c>
      <c r="C139" s="177">
        <v>43860</v>
      </c>
      <c r="D139" s="176" t="s">
        <v>7419</v>
      </c>
      <c r="E139" s="176" t="s">
        <v>1866</v>
      </c>
      <c r="F139" s="259" t="s">
        <v>7414</v>
      </c>
      <c r="G139" s="176">
        <v>3</v>
      </c>
      <c r="H139" s="178">
        <v>90526</v>
      </c>
      <c r="I139" s="592">
        <f t="shared" si="4"/>
        <v>2</v>
      </c>
      <c r="J139" s="178" t="s">
        <v>816</v>
      </c>
      <c r="K139" s="178" t="s">
        <v>816</v>
      </c>
      <c r="L139" s="275" t="str">
        <f>IF(H:H=0,"",IF(ISERROR(VLOOKUP(H:H,produtos_escape2!$A$2:$B$2794,2,FALSE)),"Código não cadastrado",(VLOOKUP(H:H,produtos_escape2!$A$2:$B$2794,2,FALSE))))</f>
        <v>CIANOCOBALAMINA (VITAMINA B12) SOLUÇAO INJETAVEL 1000 MCG AMPOLA 1 ML A 2 ML</v>
      </c>
      <c r="M139" s="593" t="str">
        <f>IF(H:H=0,"",IF(ISERROR(VLOOKUP(H:H,produtos_escape2!$A$2:$D$2794,2,FALSE)),"Código não cadastrado",(VLOOKUP(H:H,produtos_escape2!$A$2:$D$2794,4,FALSE))))</f>
        <v>AMP</v>
      </c>
      <c r="N139" s="486">
        <v>300</v>
      </c>
      <c r="O139" s="176" t="s">
        <v>2989</v>
      </c>
      <c r="P139" s="486">
        <v>200</v>
      </c>
      <c r="Q139" s="413">
        <v>2.4649999999999999</v>
      </c>
      <c r="R139" s="414">
        <f t="shared" si="5"/>
        <v>493</v>
      </c>
      <c r="S139" s="177">
        <v>43865</v>
      </c>
      <c r="T139" s="182">
        <v>111981</v>
      </c>
      <c r="U139" s="177">
        <v>43889</v>
      </c>
      <c r="V139" s="177">
        <v>43892</v>
      </c>
      <c r="W139" s="177">
        <v>43894</v>
      </c>
      <c r="X139" s="176">
        <v>84139</v>
      </c>
      <c r="Y139" s="177">
        <v>43916</v>
      </c>
      <c r="Z139" s="415">
        <v>2</v>
      </c>
      <c r="AA139" s="488"/>
      <c r="AB139" s="594"/>
      <c r="AC139" s="595"/>
      <c r="AD139" s="596"/>
      <c r="AE139" s="596"/>
      <c r="AF139" s="597" t="str">
        <f>IFERROR(INDEX(produtos_escape2!M:M,MATCH(Controle!H139,produtos_escape2!A:A,0)),"")</f>
        <v>CIANOCOBALAMINA (VITAMINA B12) SOLUÇAO INJETAVEL 1000 MCG AMPOLA 1 ML A 2 ML</v>
      </c>
    </row>
    <row r="140" spans="1:32" ht="14.25" customHeight="1">
      <c r="A140" s="176" t="s">
        <v>7411</v>
      </c>
      <c r="B140" s="176" t="s">
        <v>3608</v>
      </c>
      <c r="C140" s="177">
        <v>43860</v>
      </c>
      <c r="D140" s="176" t="s">
        <v>7419</v>
      </c>
      <c r="E140" s="176" t="s">
        <v>1866</v>
      </c>
      <c r="F140" s="259" t="s">
        <v>7414</v>
      </c>
      <c r="G140" s="176">
        <v>4</v>
      </c>
      <c r="H140" s="178">
        <v>18929</v>
      </c>
      <c r="I140" s="592">
        <f t="shared" si="4"/>
        <v>4</v>
      </c>
      <c r="J140" s="178" t="s">
        <v>816</v>
      </c>
      <c r="K140" s="178" t="s">
        <v>816</v>
      </c>
      <c r="L140" s="275" t="str">
        <f>IF(H:H=0,"",IF(ISERROR(VLOOKUP(H:H,produtos_escape2!$A$2:$B$2794,2,FALSE)),"Código não cadastrado",(VLOOKUP(H:H,produtos_escape2!$A$2:$B$2794,2,FALSE))))</f>
        <v>CLONIDINA (CLORIDRATO) SOLUÇAO INJETAVEL 150 MCG AMPOLA DE 1 ML</v>
      </c>
      <c r="M140" s="593" t="str">
        <f>IF(H:H=0,"",IF(ISERROR(VLOOKUP(H:H,produtos_escape2!$A$2:$D$2794,2,FALSE)),"Código não cadastrado",(VLOOKUP(H:H,produtos_escape2!$A$2:$D$2794,4,FALSE))))</f>
        <v>UN</v>
      </c>
      <c r="N140" s="486">
        <v>120</v>
      </c>
      <c r="O140" s="176" t="s">
        <v>7371</v>
      </c>
      <c r="P140" s="486">
        <v>120</v>
      </c>
      <c r="Q140" s="413">
        <v>6.47</v>
      </c>
      <c r="R140" s="414">
        <f t="shared" si="5"/>
        <v>776.4</v>
      </c>
      <c r="S140" s="177">
        <v>43865</v>
      </c>
      <c r="T140" s="182">
        <v>301172</v>
      </c>
      <c r="U140" s="177">
        <v>43865</v>
      </c>
      <c r="V140" s="177">
        <v>43865</v>
      </c>
      <c r="W140" s="177">
        <v>43866</v>
      </c>
      <c r="X140" s="176">
        <v>74563</v>
      </c>
      <c r="Y140" s="177">
        <v>43899</v>
      </c>
      <c r="Z140" s="415">
        <v>2</v>
      </c>
      <c r="AA140" s="603"/>
      <c r="AB140" s="594"/>
      <c r="AC140" s="595"/>
      <c r="AD140" s="596"/>
      <c r="AE140" s="596"/>
      <c r="AF140" s="597" t="str">
        <f>IFERROR(INDEX(produtos_escape2!M:M,MATCH(Controle!H140,produtos_escape2!A:A,0)),"")</f>
        <v>CLONIDINA (CLORIDRATO) SOLUÇAO INJETAVEL 150 MCG AMPOLA DE 1 ML</v>
      </c>
    </row>
    <row r="141" spans="1:32" ht="14.25" customHeight="1">
      <c r="A141" s="176" t="s">
        <v>7411</v>
      </c>
      <c r="B141" s="176" t="s">
        <v>3608</v>
      </c>
      <c r="C141" s="177">
        <v>43860</v>
      </c>
      <c r="D141" s="176" t="s">
        <v>7419</v>
      </c>
      <c r="E141" s="176" t="s">
        <v>1866</v>
      </c>
      <c r="F141" s="259" t="s">
        <v>7414</v>
      </c>
      <c r="G141" s="176">
        <v>6</v>
      </c>
      <c r="H141" s="178">
        <v>19772</v>
      </c>
      <c r="I141" s="592">
        <f t="shared" si="4"/>
        <v>2</v>
      </c>
      <c r="J141" s="178" t="s">
        <v>816</v>
      </c>
      <c r="K141" s="178" t="s">
        <v>816</v>
      </c>
      <c r="L141" s="275" t="str">
        <f>IF(H:H=0,"",IF(ISERROR(VLOOKUP(H:H,produtos_escape2!$A$2:$B$2794,2,FALSE)),"Código não cadastrado",(VLOOKUP(H:H,produtos_escape2!$A$2:$B$2794,2,FALSE))))</f>
        <v>FITOMENADIONA (VITAMINA K) SOLUCAO INJETAVEL 2 MG /0,2 ML  AMPOLA 0,2 ML</v>
      </c>
      <c r="M141" s="593" t="str">
        <f>IF(H:H=0,"",IF(ISERROR(VLOOKUP(H:H,produtos_escape2!$A$2:$D$2794,2,FALSE)),"Código não cadastrado",(VLOOKUP(H:H,produtos_escape2!$A$2:$D$2794,4,FALSE))))</f>
        <v>AMP</v>
      </c>
      <c r="N141" s="486">
        <v>50</v>
      </c>
      <c r="O141" s="176" t="s">
        <v>1868</v>
      </c>
      <c r="P141" s="486"/>
      <c r="Q141" s="413"/>
      <c r="R141" s="414">
        <f t="shared" si="5"/>
        <v>0</v>
      </c>
      <c r="S141" s="177">
        <v>43864</v>
      </c>
      <c r="T141" s="182"/>
      <c r="U141" s="177"/>
      <c r="V141" s="177"/>
      <c r="W141" s="177"/>
      <c r="X141" s="176"/>
      <c r="Y141" s="177"/>
      <c r="Z141" s="415">
        <v>2</v>
      </c>
      <c r="AA141" s="488" t="s">
        <v>7474</v>
      </c>
      <c r="AB141" s="594"/>
      <c r="AC141" s="595"/>
      <c r="AD141" s="596"/>
      <c r="AE141" s="596"/>
      <c r="AF141" s="597" t="str">
        <f>IFERROR(INDEX(produtos_escape2!M:M,MATCH(Controle!H141,produtos_escape2!A:A,0)),"")</f>
        <v>FITOMENADIONA (VITAMINA K) SOLUCAO INJETAVEL 2 MG /0</v>
      </c>
    </row>
    <row r="142" spans="1:32" ht="14.25" customHeight="1">
      <c r="A142" s="176" t="s">
        <v>7411</v>
      </c>
      <c r="B142" s="176" t="s">
        <v>3608</v>
      </c>
      <c r="C142" s="177">
        <v>43860</v>
      </c>
      <c r="D142" s="176" t="s">
        <v>7419</v>
      </c>
      <c r="E142" s="176" t="s">
        <v>1866</v>
      </c>
      <c r="F142" s="259" t="s">
        <v>7414</v>
      </c>
      <c r="G142" s="176">
        <v>5</v>
      </c>
      <c r="H142" s="178">
        <v>90260</v>
      </c>
      <c r="I142" s="592">
        <f t="shared" si="4"/>
        <v>4</v>
      </c>
      <c r="J142" s="178" t="s">
        <v>816</v>
      </c>
      <c r="K142" s="178" t="s">
        <v>816</v>
      </c>
      <c r="L142" s="275" t="str">
        <f>IF(H:H=0,"",IF(ISERROR(VLOOKUP(H:H,produtos_escape2!$A$2:$B$2794,2,FALSE)),"Código não cadastrado",(VLOOKUP(H:H,produtos_escape2!$A$2:$B$2794,2,FALSE))))</f>
        <v>DOBUTAMINA (CLORIDRATO) SOLUCAO INJETAVEL 12,5 MG/ML AMPOLA 20 ML</v>
      </c>
      <c r="M142" s="593" t="str">
        <f>IF(H:H=0,"",IF(ISERROR(VLOOKUP(H:H,produtos_escape2!$A$2:$D$2794,2,FALSE)),"Código não cadastrado",(VLOOKUP(H:H,produtos_escape2!$A$2:$D$2794,4,FALSE))))</f>
        <v>AMP</v>
      </c>
      <c r="N142" s="486">
        <v>300</v>
      </c>
      <c r="O142" s="176" t="s">
        <v>7371</v>
      </c>
      <c r="P142" s="486">
        <v>300</v>
      </c>
      <c r="Q142" s="413">
        <v>5.79</v>
      </c>
      <c r="R142" s="414">
        <f t="shared" si="5"/>
        <v>1737</v>
      </c>
      <c r="S142" s="177">
        <v>43865</v>
      </c>
      <c r="T142" s="182">
        <v>301195</v>
      </c>
      <c r="U142" s="177">
        <v>43865</v>
      </c>
      <c r="V142" s="177">
        <v>43865</v>
      </c>
      <c r="W142" s="177">
        <v>43866</v>
      </c>
      <c r="X142" s="176">
        <v>73916</v>
      </c>
      <c r="Y142" s="177">
        <v>43899</v>
      </c>
      <c r="Z142" s="415">
        <v>2</v>
      </c>
      <c r="AA142" s="488"/>
      <c r="AB142" s="594"/>
      <c r="AC142" s="595"/>
      <c r="AD142" s="596"/>
      <c r="AE142" s="596"/>
      <c r="AF142" s="597" t="str">
        <f>IFERROR(INDEX(produtos_escape2!M:M,MATCH(Controle!H142,produtos_escape2!A:A,0)),"")</f>
        <v>DOBUTAMINA (CLORIDRATO) SOLUCAO INJETAVEL 12</v>
      </c>
    </row>
    <row r="143" spans="1:32" ht="14.25" customHeight="1">
      <c r="A143" s="176" t="s">
        <v>7411</v>
      </c>
      <c r="B143" s="176" t="s">
        <v>3608</v>
      </c>
      <c r="C143" s="177">
        <v>43860</v>
      </c>
      <c r="D143" s="176" t="s">
        <v>7419</v>
      </c>
      <c r="E143" s="176" t="s">
        <v>1866</v>
      </c>
      <c r="F143" s="259" t="s">
        <v>7414</v>
      </c>
      <c r="G143" s="176">
        <v>7</v>
      </c>
      <c r="H143" s="178">
        <v>10277</v>
      </c>
      <c r="I143" s="592">
        <f t="shared" si="4"/>
        <v>2</v>
      </c>
      <c r="J143" s="178" t="s">
        <v>816</v>
      </c>
      <c r="K143" s="178" t="s">
        <v>816</v>
      </c>
      <c r="L143" s="275" t="str">
        <f>IF(H:H=0,"",IF(ISERROR(VLOOKUP(H:H,produtos_escape2!$A$2:$B$2794,2,FALSE)),"Código não cadastrado",(VLOOKUP(H:H,produtos_escape2!$A$2:$B$2794,2,FALSE))))</f>
        <v>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143" s="593" t="str">
        <f>IF(H:H=0,"",IF(ISERROR(VLOOKUP(H:H,produtos_escape2!$A$2:$D$2794,2,FALSE)),"Código não cadastrado",(VLOOKUP(H:H,produtos_escape2!$A$2:$D$2794,4,FALSE))))</f>
        <v>UN</v>
      </c>
      <c r="N143" s="486">
        <v>300</v>
      </c>
      <c r="O143" s="176" t="s">
        <v>7371</v>
      </c>
      <c r="P143" s="486">
        <v>300</v>
      </c>
      <c r="Q143" s="413">
        <v>13.99</v>
      </c>
      <c r="R143" s="414">
        <f t="shared" si="5"/>
        <v>4197</v>
      </c>
      <c r="S143" s="177">
        <v>43865</v>
      </c>
      <c r="T143" s="182">
        <v>301195</v>
      </c>
      <c r="U143" s="177">
        <v>43865</v>
      </c>
      <c r="V143" s="177">
        <v>43865</v>
      </c>
      <c r="W143" s="177">
        <v>43866</v>
      </c>
      <c r="X143" s="176">
        <v>73916</v>
      </c>
      <c r="Y143" s="177">
        <v>43899</v>
      </c>
      <c r="Z143" s="415">
        <v>2</v>
      </c>
      <c r="AA143" s="488"/>
      <c r="AB143" s="594"/>
      <c r="AC143" s="595"/>
      <c r="AD143" s="596"/>
      <c r="AE143" s="596"/>
      <c r="AF143" s="597" t="str">
        <f>IFERROR(INDEX(produtos_escape2!M:M,MATCH(Controle!H143,produtos_escape2!A:A,0)),"")</f>
        <v>LEVOFLOXACINO</v>
      </c>
    </row>
    <row r="144" spans="1:32" ht="14.25" customHeight="1">
      <c r="A144" s="176" t="s">
        <v>7411</v>
      </c>
      <c r="B144" s="176" t="s">
        <v>3608</v>
      </c>
      <c r="C144" s="177">
        <v>43860</v>
      </c>
      <c r="D144" s="176" t="s">
        <v>7419</v>
      </c>
      <c r="E144" s="176" t="s">
        <v>1866</v>
      </c>
      <c r="F144" s="259" t="s">
        <v>7414</v>
      </c>
      <c r="G144" s="176">
        <v>9</v>
      </c>
      <c r="H144" s="178">
        <v>90257</v>
      </c>
      <c r="I144" s="592">
        <f t="shared" si="4"/>
        <v>2</v>
      </c>
      <c r="J144" s="178" t="s">
        <v>816</v>
      </c>
      <c r="K144" s="178" t="s">
        <v>816</v>
      </c>
      <c r="L144" s="275" t="str">
        <f>IF(H:H=0,"",IF(ISERROR(VLOOKUP(H:H,produtos_escape2!$A$2:$B$2794,2,FALSE)),"Código não cadastrado",(VLOOKUP(H:H,produtos_escape2!$A$2:$B$2794,2,FALSE))))</f>
        <v>PANTOPRAZOL PO LIOFILIZADO PARA INJETAVEL 40 MG FRASCO-AMPOLA + DILUENTE AMPOLA 10 ML</v>
      </c>
      <c r="M144" s="593" t="str">
        <f>IF(H:H=0,"",IF(ISERROR(VLOOKUP(H:H,produtos_escape2!$A$2:$D$2794,2,FALSE)),"Código não cadastrado",(VLOOKUP(H:H,produtos_escape2!$A$2:$D$2794,4,FALSE))))</f>
        <v>FA</v>
      </c>
      <c r="N144" s="486">
        <v>2000</v>
      </c>
      <c r="O144" s="176" t="s">
        <v>7337</v>
      </c>
      <c r="P144" s="486">
        <v>1020</v>
      </c>
      <c r="Q144" s="413">
        <v>4.5</v>
      </c>
      <c r="R144" s="414">
        <f t="shared" si="5"/>
        <v>4590</v>
      </c>
      <c r="S144" s="177">
        <v>43865</v>
      </c>
      <c r="T144" s="182">
        <v>10063</v>
      </c>
      <c r="U144" s="177">
        <v>43866</v>
      </c>
      <c r="V144" s="177">
        <v>43866</v>
      </c>
      <c r="W144" s="177">
        <v>43868</v>
      </c>
      <c r="X144" s="176">
        <v>73165</v>
      </c>
      <c r="Y144" s="177">
        <v>43896</v>
      </c>
      <c r="Z144" s="415">
        <v>2</v>
      </c>
      <c r="AA144" s="488"/>
      <c r="AB144" s="594"/>
      <c r="AC144" s="595"/>
      <c r="AD144" s="596"/>
      <c r="AE144" s="596"/>
      <c r="AF144" s="597" t="str">
        <f>IFERROR(INDEX(produtos_escape2!M:M,MATCH(Controle!H144,produtos_escape2!A:A,0)),"")</f>
        <v>PANTOPRAZOL PO LIOFILIZADO PARA INJETAVEL 40 MG FRASCO-AMPOLA + DILUENTE AMPOLA 10 ML</v>
      </c>
    </row>
    <row r="145" spans="1:32" ht="14.25" customHeight="1">
      <c r="A145" s="176" t="s">
        <v>7411</v>
      </c>
      <c r="B145" s="176" t="s">
        <v>3608</v>
      </c>
      <c r="C145" s="177">
        <v>43860</v>
      </c>
      <c r="D145" s="176" t="s">
        <v>7419</v>
      </c>
      <c r="E145" s="176" t="s">
        <v>1866</v>
      </c>
      <c r="F145" s="259" t="s">
        <v>7414</v>
      </c>
      <c r="G145" s="176">
        <v>8</v>
      </c>
      <c r="H145" s="178">
        <v>90203</v>
      </c>
      <c r="I145" s="592">
        <f t="shared" si="4"/>
        <v>5</v>
      </c>
      <c r="J145" s="178" t="s">
        <v>816</v>
      </c>
      <c r="K145" s="178" t="s">
        <v>816</v>
      </c>
      <c r="L145" s="275" t="str">
        <f>IF(H:H=0,"",IF(ISERROR(VLOOKUP(H:H,produtos_escape2!$A$2:$B$2794,2,FALSE)),"Código não cadastrado",(VLOOKUP(H:H,produtos_escape2!$A$2:$B$2794,2,FALSE))))</f>
        <v>OMEPRAZOL PO LIOFILIZADO PARA SOLUCAO INJETAVEL 40 MG FRASCO AMPOLA + SOLUCAO DILUENTE (AMPOLA 10 ML)</v>
      </c>
      <c r="M145" s="593" t="str">
        <f>IF(H:H=0,"",IF(ISERROR(VLOOKUP(H:H,produtos_escape2!$A$2:$D$2794,2,FALSE)),"Código não cadastrado",(VLOOKUP(H:H,produtos_escape2!$A$2:$D$2794,4,FALSE))))</f>
        <v>AMP</v>
      </c>
      <c r="N145" s="486">
        <v>500</v>
      </c>
      <c r="O145" s="176" t="s">
        <v>2989</v>
      </c>
      <c r="P145" s="486">
        <v>500</v>
      </c>
      <c r="Q145" s="413">
        <v>5.52</v>
      </c>
      <c r="R145" s="414">
        <f t="shared" si="5"/>
        <v>2760</v>
      </c>
      <c r="S145" s="177">
        <v>43865</v>
      </c>
      <c r="T145" s="182">
        <v>109809</v>
      </c>
      <c r="U145" s="177">
        <v>43865</v>
      </c>
      <c r="V145" s="177">
        <v>43866</v>
      </c>
      <c r="W145" s="177">
        <v>43868</v>
      </c>
      <c r="X145" s="176">
        <v>73314</v>
      </c>
      <c r="Y145" s="177">
        <v>43896</v>
      </c>
      <c r="Z145" s="415">
        <v>2</v>
      </c>
      <c r="AA145" s="488"/>
      <c r="AB145" s="594"/>
      <c r="AC145" s="595"/>
      <c r="AD145" s="596"/>
      <c r="AE145" s="596"/>
      <c r="AF145" s="597" t="str">
        <f>IFERROR(INDEX(produtos_escape2!M:M,MATCH(Controle!H145,produtos_escape2!A:A,0)),"")</f>
        <v>OMEPRAZOL PO LIOFILIZADO PARA SOLUCAO INJETAVEL 40 MG FRASCO AMPOLA + SOLUCAO DILUENTE (AMPOLA 10 ML)</v>
      </c>
    </row>
    <row r="146" spans="1:32" ht="14.25" customHeight="1">
      <c r="A146" s="176" t="s">
        <v>7411</v>
      </c>
      <c r="B146" s="176" t="s">
        <v>3608</v>
      </c>
      <c r="C146" s="177">
        <v>43860</v>
      </c>
      <c r="D146" s="176" t="s">
        <v>7419</v>
      </c>
      <c r="E146" s="176" t="s">
        <v>1866</v>
      </c>
      <c r="F146" s="259" t="s">
        <v>7414</v>
      </c>
      <c r="G146" s="176">
        <v>10</v>
      </c>
      <c r="H146" s="178">
        <v>90600</v>
      </c>
      <c r="I146" s="592">
        <f t="shared" si="4"/>
        <v>2</v>
      </c>
      <c r="J146" s="178" t="s">
        <v>816</v>
      </c>
      <c r="K146" s="178" t="s">
        <v>816</v>
      </c>
      <c r="L146" s="275" t="str">
        <f>IF(H:H=0,"",IF(ISERROR(VLOOKUP(H:H,produtos_escape2!$A$2:$B$2794,2,FALSE)),"Código não cadastrado",(VLOOKUP(H:H,produtos_escape2!$A$2:$B$2794,2,FALSE))))</f>
        <v>PROTAMINA (CLORIDRATO) SOLUÇAO INJETAVEL 10 MG/ML AMPOLA 5 ML</v>
      </c>
      <c r="M146" s="593" t="str">
        <f>IF(H:H=0,"",IF(ISERROR(VLOOKUP(H:H,produtos_escape2!$A$2:$D$2794,2,FALSE)),"Código não cadastrado",(VLOOKUP(H:H,produtos_escape2!$A$2:$D$2794,4,FALSE))))</f>
        <v>AMP</v>
      </c>
      <c r="N146" s="486">
        <v>25</v>
      </c>
      <c r="O146" s="176" t="s">
        <v>7371</v>
      </c>
      <c r="P146" s="486">
        <v>25</v>
      </c>
      <c r="Q146" s="413">
        <v>2.69</v>
      </c>
      <c r="R146" s="414">
        <f t="shared" si="5"/>
        <v>67.25</v>
      </c>
      <c r="S146" s="177">
        <v>43865</v>
      </c>
      <c r="T146" s="182">
        <v>301195</v>
      </c>
      <c r="U146" s="177">
        <v>43865</v>
      </c>
      <c r="V146" s="177">
        <v>43865</v>
      </c>
      <c r="W146" s="177">
        <v>43866</v>
      </c>
      <c r="X146" s="176">
        <v>73916</v>
      </c>
      <c r="Y146" s="177">
        <v>43899</v>
      </c>
      <c r="Z146" s="415">
        <v>2</v>
      </c>
      <c r="AA146" s="488"/>
      <c r="AB146" s="594"/>
      <c r="AC146" s="595"/>
      <c r="AD146" s="596"/>
      <c r="AE146" s="596"/>
      <c r="AF146" s="597" t="str">
        <f>IFERROR(INDEX(produtos_escape2!M:M,MATCH(Controle!H146,produtos_escape2!A:A,0)),"")</f>
        <v>PROTAMINA (CLORIDRATO) SOLUÇAO INJETAVEL 10 MG/ML AMPOLA 5 ML</v>
      </c>
    </row>
    <row r="147" spans="1:32" ht="14.25" customHeight="1">
      <c r="A147" s="176" t="s">
        <v>7402</v>
      </c>
      <c r="B147" s="176" t="s">
        <v>3608</v>
      </c>
      <c r="C147" s="177">
        <v>43860</v>
      </c>
      <c r="D147" s="176" t="s">
        <v>7412</v>
      </c>
      <c r="E147" s="176" t="s">
        <v>1867</v>
      </c>
      <c r="F147" s="259" t="s">
        <v>7427</v>
      </c>
      <c r="G147" s="176">
        <v>1</v>
      </c>
      <c r="H147" s="178">
        <v>90226</v>
      </c>
      <c r="I147" s="592">
        <f t="shared" si="4"/>
        <v>2</v>
      </c>
      <c r="J147" s="178" t="s">
        <v>816</v>
      </c>
      <c r="K147" s="178" t="s">
        <v>816</v>
      </c>
      <c r="L147" s="275" t="str">
        <f>IF(H:H=0,"",IF(ISERROR(VLOOKUP(H:H,produtos_escape2!$A$2:$B$2794,2,FALSE)),"Código não cadastrado",(VLOOKUP(H:H,produtos_escape2!$A$2:$B$2794,2,FALSE))))</f>
        <v>METFORMINA (CLORIDRATO) COMPRIMIDO 850MG</v>
      </c>
      <c r="M147" s="593" t="str">
        <f>IF(H:H=0,"",IF(ISERROR(VLOOKUP(H:H,produtos_escape2!$A$2:$D$2794,2,FALSE)),"Código não cadastrado",(VLOOKUP(H:H,produtos_escape2!$A$2:$D$2794,4,FALSE))))</f>
        <v>CP</v>
      </c>
      <c r="N147" s="486">
        <v>1000</v>
      </c>
      <c r="O147" s="176" t="s">
        <v>2989</v>
      </c>
      <c r="P147" s="486">
        <v>1000</v>
      </c>
      <c r="Q147" s="247">
        <v>9.2499999999999999E-2</v>
      </c>
      <c r="R147" s="246">
        <f t="shared" si="5"/>
        <v>92.5</v>
      </c>
      <c r="S147" s="177">
        <v>43866</v>
      </c>
      <c r="T147" s="182">
        <v>109890</v>
      </c>
      <c r="U147" s="177">
        <v>43866</v>
      </c>
      <c r="V147" s="177">
        <v>43867</v>
      </c>
      <c r="W147" s="177">
        <v>43871</v>
      </c>
      <c r="X147" s="176">
        <v>72386</v>
      </c>
      <c r="Y147" s="177">
        <v>43895</v>
      </c>
      <c r="Z147" s="415">
        <v>2</v>
      </c>
      <c r="AA147" s="488"/>
      <c r="AB147" s="594"/>
      <c r="AC147" s="595"/>
      <c r="AD147" s="596"/>
      <c r="AE147" s="596"/>
      <c r="AF147" s="597" t="str">
        <f>IFERROR(INDEX(produtos_escape2!M:M,MATCH(Controle!H147,produtos_escape2!A:A,0)),"")</f>
        <v>METFORMINA (CLORIDRATO) COMPRIMIDO 850MG</v>
      </c>
    </row>
    <row r="148" spans="1:32" ht="14.25" customHeight="1">
      <c r="A148" s="176" t="s">
        <v>7387</v>
      </c>
      <c r="B148" s="176" t="s">
        <v>3608</v>
      </c>
      <c r="C148" s="177">
        <v>43860</v>
      </c>
      <c r="D148" s="176" t="s">
        <v>7413</v>
      </c>
      <c r="E148" s="176" t="s">
        <v>1867</v>
      </c>
      <c r="F148" s="259" t="s">
        <v>7428</v>
      </c>
      <c r="G148" s="176">
        <v>1</v>
      </c>
      <c r="H148" s="178">
        <v>90253</v>
      </c>
      <c r="I148" s="592">
        <f t="shared" si="4"/>
        <v>1</v>
      </c>
      <c r="J148" s="178" t="s">
        <v>816</v>
      </c>
      <c r="K148" s="178" t="s">
        <v>816</v>
      </c>
      <c r="L148" s="275" t="str">
        <f>IF(H:H=0,"",IF(ISERROR(VLOOKUP(H:H,produtos_escape2!$A$2:$B$2794,2,FALSE)),"Código não cadastrado",(VLOOKUP(H:H,produtos_escape2!$A$2:$B$2794,2,FALSE))))</f>
        <v>DOMPERIDONA COMPRIMIDO 10 MG</v>
      </c>
      <c r="M148" s="593" t="str">
        <f>IF(H:H=0,"",IF(ISERROR(VLOOKUP(H:H,produtos_escape2!$A$2:$D$2794,2,FALSE)),"Código não cadastrado",(VLOOKUP(H:H,produtos_escape2!$A$2:$D$2794,4,FALSE))))</f>
        <v>CP</v>
      </c>
      <c r="N148" s="486">
        <v>1000</v>
      </c>
      <c r="O148" s="176" t="s">
        <v>2989</v>
      </c>
      <c r="P148" s="486">
        <v>960</v>
      </c>
      <c r="Q148" s="247">
        <v>8.2000000000000003E-2</v>
      </c>
      <c r="R148" s="246">
        <f t="shared" si="5"/>
        <v>78.72</v>
      </c>
      <c r="S148" s="177">
        <v>43866</v>
      </c>
      <c r="T148" s="182">
        <v>109895</v>
      </c>
      <c r="U148" s="177">
        <v>43866</v>
      </c>
      <c r="V148" s="177">
        <v>43867</v>
      </c>
      <c r="W148" s="177">
        <v>43871</v>
      </c>
      <c r="X148" s="176">
        <v>72824</v>
      </c>
      <c r="Y148" s="177">
        <v>43896</v>
      </c>
      <c r="Z148" s="415">
        <v>2</v>
      </c>
      <c r="AA148" s="488"/>
      <c r="AB148" s="594"/>
      <c r="AC148" s="595"/>
      <c r="AD148" s="596"/>
      <c r="AE148" s="596"/>
      <c r="AF148" s="597" t="str">
        <f>IFERROR(INDEX(produtos_escape2!M:M,MATCH(Controle!H148,produtos_escape2!A:A,0)),"")</f>
        <v>DOMPERIDONA COMPRIMIDO 10 MG</v>
      </c>
    </row>
    <row r="149" spans="1:32" ht="14.25" customHeight="1">
      <c r="A149" s="176" t="s">
        <v>7420</v>
      </c>
      <c r="B149" s="176" t="s">
        <v>3608</v>
      </c>
      <c r="C149" s="177">
        <v>43860</v>
      </c>
      <c r="D149" s="176" t="s">
        <v>7421</v>
      </c>
      <c r="E149" s="176" t="s">
        <v>1867</v>
      </c>
      <c r="F149" s="259" t="s">
        <v>7429</v>
      </c>
      <c r="G149" s="176">
        <v>1</v>
      </c>
      <c r="H149" s="178">
        <v>8829</v>
      </c>
      <c r="I149" s="592">
        <f t="shared" si="4"/>
        <v>3</v>
      </c>
      <c r="J149" s="178" t="s">
        <v>816</v>
      </c>
      <c r="K149" s="178" t="s">
        <v>816</v>
      </c>
      <c r="L149" s="275" t="str">
        <f>IF(H:H=0,"",IF(ISERROR(VLOOKUP(H:H,produtos_escape2!$A$2:$B$2794,2,FALSE)),"Código não cadastrado",(VLOOKUP(H:H,produtos_escape2!$A$2:$B$2794,2,FALSE))))</f>
        <v>CLONAZEPAM SOLUÇÃO ORAL 2,5 MG/ML FRASCO 20 ML</v>
      </c>
      <c r="M149" s="593" t="str">
        <f>IF(H:H=0,"",IF(ISERROR(VLOOKUP(H:H,produtos_escape2!$A$2:$D$2794,2,FALSE)),"Código não cadastrado",(VLOOKUP(H:H,produtos_escape2!$A$2:$D$2794,4,FALSE))))</f>
        <v>FR</v>
      </c>
      <c r="N149" s="486">
        <v>30</v>
      </c>
      <c r="O149" s="176" t="s">
        <v>7371</v>
      </c>
      <c r="P149" s="486">
        <v>30</v>
      </c>
      <c r="Q149" s="247">
        <v>2.4500000000000002</v>
      </c>
      <c r="R149" s="246">
        <f t="shared" si="5"/>
        <v>73.5</v>
      </c>
      <c r="S149" s="177">
        <v>43866</v>
      </c>
      <c r="T149" s="182">
        <v>301663</v>
      </c>
      <c r="U149" s="177">
        <v>43866</v>
      </c>
      <c r="V149" s="177">
        <v>43866</v>
      </c>
      <c r="W149" s="177">
        <v>43868</v>
      </c>
      <c r="X149" s="176">
        <v>72838</v>
      </c>
      <c r="Y149" s="177">
        <v>43896</v>
      </c>
      <c r="Z149" s="415">
        <v>2</v>
      </c>
      <c r="AA149" s="488"/>
      <c r="AB149" s="594"/>
      <c r="AC149" s="595"/>
      <c r="AD149" s="596"/>
      <c r="AE149" s="596"/>
      <c r="AF149" s="597" t="str">
        <f>IFERROR(INDEX(produtos_escape2!M:M,MATCH(Controle!H149,produtos_escape2!A:A,0)),"")</f>
        <v>CLONAZEPAM SOLUÇÃO ORAL 2</v>
      </c>
    </row>
    <row r="150" spans="1:32" ht="14.25" customHeight="1">
      <c r="A150" s="176" t="s">
        <v>7420</v>
      </c>
      <c r="B150" s="176" t="s">
        <v>3608</v>
      </c>
      <c r="C150" s="177">
        <v>43860</v>
      </c>
      <c r="D150" s="176" t="s">
        <v>7421</v>
      </c>
      <c r="E150" s="176" t="s">
        <v>1867</v>
      </c>
      <c r="F150" s="259" t="s">
        <v>7429</v>
      </c>
      <c r="G150" s="176">
        <v>2</v>
      </c>
      <c r="H150" s="178">
        <v>90029</v>
      </c>
      <c r="I150" s="592">
        <f t="shared" si="4"/>
        <v>7</v>
      </c>
      <c r="J150" s="178" t="s">
        <v>816</v>
      </c>
      <c r="K150" s="178" t="s">
        <v>816</v>
      </c>
      <c r="L150" s="275" t="str">
        <f>IF(H:H=0,"",IF(ISERROR(VLOOKUP(H:H,produtos_escape2!$A$2:$B$2794,2,FALSE)),"Código não cadastrado",(VLOOKUP(H:H,produtos_escape2!$A$2:$B$2794,2,FALSE))))</f>
        <v>PROXIMETACAINA (CLORIDRATO) SOLUÇAO OFTALMICA 0,5 % FRASCO CONTA-GOTA 5 ML</v>
      </c>
      <c r="M150" s="593" t="str">
        <f>IF(H:H=0,"",IF(ISERROR(VLOOKUP(H:H,produtos_escape2!$A$2:$D$2794,2,FALSE)),"Código não cadastrado",(VLOOKUP(H:H,produtos_escape2!$A$2:$D$2794,4,FALSE))))</f>
        <v>FR</v>
      </c>
      <c r="N150" s="486">
        <v>20</v>
      </c>
      <c r="O150" s="176" t="s">
        <v>1868</v>
      </c>
      <c r="P150" s="486"/>
      <c r="Q150" s="247"/>
      <c r="R150" s="246">
        <f t="shared" si="5"/>
        <v>0</v>
      </c>
      <c r="S150" s="177">
        <v>43866</v>
      </c>
      <c r="T150" s="182"/>
      <c r="U150" s="177"/>
      <c r="V150" s="177"/>
      <c r="W150" s="177"/>
      <c r="X150" s="176"/>
      <c r="Y150" s="177"/>
      <c r="Z150" s="415">
        <v>2</v>
      </c>
      <c r="AA150" s="488" t="s">
        <v>7474</v>
      </c>
      <c r="AB150" s="594"/>
      <c r="AC150" s="595"/>
      <c r="AD150" s="596"/>
      <c r="AE150" s="596"/>
      <c r="AF150" s="597" t="str">
        <f>IFERROR(INDEX(produtos_escape2!M:M,MATCH(Controle!H150,produtos_escape2!A:A,0)),"")</f>
        <v>PROXIMETACAINA (CLORIDRATO) SOLUÇAO OFTALMICA 0</v>
      </c>
    </row>
    <row r="151" spans="1:32" ht="14.25" customHeight="1">
      <c r="A151" s="176" t="s">
        <v>7382</v>
      </c>
      <c r="B151" s="176" t="s">
        <v>3608</v>
      </c>
      <c r="C151" s="177">
        <v>43860</v>
      </c>
      <c r="D151" s="176" t="s">
        <v>7422</v>
      </c>
      <c r="E151" s="176" t="s">
        <v>1867</v>
      </c>
      <c r="F151" s="259" t="s">
        <v>7430</v>
      </c>
      <c r="G151" s="176">
        <v>1</v>
      </c>
      <c r="H151" s="178">
        <v>90315</v>
      </c>
      <c r="I151" s="592">
        <f t="shared" si="4"/>
        <v>5</v>
      </c>
      <c r="J151" s="178" t="s">
        <v>816</v>
      </c>
      <c r="K151" s="178" t="s">
        <v>816</v>
      </c>
      <c r="L151" s="275" t="str">
        <f>IF(H:H=0,"",IF(ISERROR(VLOOKUP(H:H,produtos_escape2!$A$2:$B$2794,2,FALSE)),"Código não cadastrado",(VLOOKUP(H:H,produtos_escape2!$A$2:$B$2794,2,FALSE))))</f>
        <v>CEFEPIMA PO PARA SOLUCAO INJETAVEL 1 G FRASCO-AMPOLA</v>
      </c>
      <c r="M151" s="593" t="str">
        <f>IF(H:H=0,"",IF(ISERROR(VLOOKUP(H:H,produtos_escape2!$A$2:$D$2794,2,FALSE)),"Código não cadastrado",(VLOOKUP(H:H,produtos_escape2!$A$2:$D$2794,4,FALSE))))</f>
        <v>AMP</v>
      </c>
      <c r="N151" s="486">
        <v>1000</v>
      </c>
      <c r="O151" s="176" t="s">
        <v>7549</v>
      </c>
      <c r="P151" s="486">
        <v>100</v>
      </c>
      <c r="Q151" s="247">
        <v>36</v>
      </c>
      <c r="R151" s="246">
        <f t="shared" si="5"/>
        <v>3600</v>
      </c>
      <c r="S151" s="177">
        <v>43866</v>
      </c>
      <c r="T151" s="182">
        <v>101025</v>
      </c>
      <c r="U151" s="177">
        <v>43866</v>
      </c>
      <c r="V151" s="177">
        <v>43868</v>
      </c>
      <c r="W151" s="177">
        <v>43871</v>
      </c>
      <c r="X151" s="176">
        <v>73231</v>
      </c>
      <c r="Y151" s="177">
        <v>43896</v>
      </c>
      <c r="Z151" s="415">
        <v>2</v>
      </c>
      <c r="AA151" s="488"/>
      <c r="AB151" s="594"/>
      <c r="AC151" s="595"/>
      <c r="AD151" s="596"/>
      <c r="AE151" s="596"/>
      <c r="AF151" s="597" t="str">
        <f>IFERROR(INDEX(produtos_escape2!M:M,MATCH(Controle!H151,produtos_escape2!A:A,0)),"")</f>
        <v>CEFEPIMA PO PARA SOLUCAO INJETAVEL 1 G FRASCO-AMPOLA</v>
      </c>
    </row>
    <row r="152" spans="1:32" ht="14.25" customHeight="1">
      <c r="A152" s="176" t="s">
        <v>7384</v>
      </c>
      <c r="B152" s="176" t="s">
        <v>3608</v>
      </c>
      <c r="C152" s="177">
        <v>43860</v>
      </c>
      <c r="D152" s="176" t="s">
        <v>7423</v>
      </c>
      <c r="E152" s="176" t="s">
        <v>1867</v>
      </c>
      <c r="F152" s="259" t="s">
        <v>7431</v>
      </c>
      <c r="G152" s="176">
        <v>1</v>
      </c>
      <c r="H152" s="178">
        <v>90949</v>
      </c>
      <c r="I152" s="592">
        <f t="shared" si="4"/>
        <v>9</v>
      </c>
      <c r="J152" s="178" t="s">
        <v>816</v>
      </c>
      <c r="K152" s="178" t="s">
        <v>816</v>
      </c>
      <c r="L152" s="275" t="str">
        <f>IF(H:H=0,"",IF(ISERROR(VLOOKUP(H:H,produtos_escape2!$A$2:$B$2794,2,FALSE)),"Código não cadastrado",(VLOOKUP(H:H,produtos_escape2!$A$2:$B$2794,2,FALSE))))</f>
        <v>ONDANSETRONA SOLUÇAO INJETAVEL 2 MG/ML AMPOLA 4 ML</v>
      </c>
      <c r="M152" s="593" t="str">
        <f>IF(H:H=0,"",IF(ISERROR(VLOOKUP(H:H,produtos_escape2!$A$2:$D$2794,2,FALSE)),"Código não cadastrado",(VLOOKUP(H:H,produtos_escape2!$A$2:$D$2794,4,FALSE))))</f>
        <v>AMP</v>
      </c>
      <c r="N152" s="486">
        <v>2000</v>
      </c>
      <c r="O152" s="176" t="s">
        <v>7371</v>
      </c>
      <c r="P152" s="486">
        <v>2000</v>
      </c>
      <c r="Q152" s="247">
        <v>1.47</v>
      </c>
      <c r="R152" s="246">
        <f t="shared" si="5"/>
        <v>2940</v>
      </c>
      <c r="S152" s="177">
        <v>43861</v>
      </c>
      <c r="T152" s="182">
        <v>300775</v>
      </c>
      <c r="U152" s="177">
        <v>43864</v>
      </c>
      <c r="V152" s="177">
        <v>43864</v>
      </c>
      <c r="W152" s="177">
        <v>43865</v>
      </c>
      <c r="X152" s="176">
        <v>73286</v>
      </c>
      <c r="Y152" s="177">
        <v>43896</v>
      </c>
      <c r="Z152" s="415">
        <v>2</v>
      </c>
      <c r="AA152" s="488"/>
      <c r="AB152" s="594"/>
      <c r="AC152" s="595"/>
      <c r="AD152" s="596"/>
      <c r="AE152" s="596"/>
      <c r="AF152" s="597" t="str">
        <f>IFERROR(INDEX(produtos_escape2!M:M,MATCH(Controle!H152,produtos_escape2!A:A,0)),"")</f>
        <v>ONDANSETRONA SOLUÇAO INJETAVEL 2 MG/ML AMPOLA 4 ML</v>
      </c>
    </row>
    <row r="153" spans="1:32" ht="14.25" customHeight="1">
      <c r="A153" s="176" t="s">
        <v>7383</v>
      </c>
      <c r="B153" s="176" t="s">
        <v>3608</v>
      </c>
      <c r="C153" s="177">
        <v>43860</v>
      </c>
      <c r="D153" s="176" t="s">
        <v>7424</v>
      </c>
      <c r="E153" s="176" t="s">
        <v>1867</v>
      </c>
      <c r="F153" s="259" t="s">
        <v>7432</v>
      </c>
      <c r="G153" s="176">
        <v>1</v>
      </c>
      <c r="H153" s="178">
        <v>90889</v>
      </c>
      <c r="I153" s="592">
        <f t="shared" si="4"/>
        <v>1</v>
      </c>
      <c r="J153" s="178" t="s">
        <v>816</v>
      </c>
      <c r="K153" s="178" t="s">
        <v>816</v>
      </c>
      <c r="L153" s="275" t="str">
        <f>IF(H:H=0,"",IF(ISERROR(VLOOKUP(H:H,produtos_escape2!$A$2:$B$2794,2,FALSE)),"Código não cadastrado",(VLOOKUP(H:H,produtos_escape2!$A$2:$B$2794,2,FALSE))))</f>
        <v>CEFTRIAXONA (SODICA) PO PARA SOLUCAO INJETAVEL 1G FRASCO AMPOLA</v>
      </c>
      <c r="M153" s="593" t="str">
        <f>IF(H:H=0,"",IF(ISERROR(VLOOKUP(H:H,produtos_escape2!$A$2:$D$2794,2,FALSE)),"Código não cadastrado",(VLOOKUP(H:H,produtos_escape2!$A$2:$D$2794,4,FALSE))))</f>
        <v>FA</v>
      </c>
      <c r="N153" s="486">
        <v>3000</v>
      </c>
      <c r="O153" s="176" t="s">
        <v>7371</v>
      </c>
      <c r="P153" s="486">
        <v>1000</v>
      </c>
      <c r="Q153" s="247">
        <v>7.8940000000000001</v>
      </c>
      <c r="R153" s="246">
        <f t="shared" si="5"/>
        <v>7894</v>
      </c>
      <c r="S153" s="177">
        <v>43861</v>
      </c>
      <c r="T153" s="182">
        <v>300766</v>
      </c>
      <c r="U153" s="177">
        <v>43864</v>
      </c>
      <c r="V153" s="177">
        <v>43864</v>
      </c>
      <c r="W153" s="177">
        <v>43865</v>
      </c>
      <c r="X153" s="176">
        <v>73933</v>
      </c>
      <c r="Y153" s="177">
        <v>43899</v>
      </c>
      <c r="Z153" s="415">
        <v>2</v>
      </c>
      <c r="AA153" s="488"/>
      <c r="AB153" s="594"/>
      <c r="AC153" s="595"/>
      <c r="AD153" s="596"/>
      <c r="AE153" s="596"/>
      <c r="AF153" s="597" t="str">
        <f>IFERROR(INDEX(produtos_escape2!M:M,MATCH(Controle!H153,produtos_escape2!A:A,0)),"")</f>
        <v>CEFTRIAXONA (SODICA) PO PARA SOLUCAO INJETAVEL 1G FRASCO AMPOLA</v>
      </c>
    </row>
    <row r="154" spans="1:32" ht="14.25" customHeight="1">
      <c r="A154" s="176" t="s">
        <v>7403</v>
      </c>
      <c r="B154" s="176" t="s">
        <v>3608</v>
      </c>
      <c r="C154" s="177">
        <v>43860</v>
      </c>
      <c r="D154" s="176" t="s">
        <v>7425</v>
      </c>
      <c r="E154" s="176" t="s">
        <v>1867</v>
      </c>
      <c r="F154" s="259" t="s">
        <v>7433</v>
      </c>
      <c r="G154" s="176">
        <v>1</v>
      </c>
      <c r="H154" s="178">
        <v>90291</v>
      </c>
      <c r="I154" s="592">
        <f t="shared" si="4"/>
        <v>6</v>
      </c>
      <c r="J154" s="178" t="s">
        <v>816</v>
      </c>
      <c r="K154" s="178" t="s">
        <v>816</v>
      </c>
      <c r="L154" s="275" t="str">
        <f>IF(H:H=0,"",IF(ISERROR(VLOOKUP(H:H,produtos_escape2!$A$2:$B$2794,2,FALSE)),"Código não cadastrado",(VLOOKUP(H:H,produtos_escape2!$A$2:$B$2794,2,FALSE))))</f>
        <v>PROPANOLOL (CLORIDRATO) COMPRIMIDO 40 MG</v>
      </c>
      <c r="M154" s="593" t="str">
        <f>IF(H:H=0,"",IF(ISERROR(VLOOKUP(H:H,produtos_escape2!$A$2:$D$2794,2,FALSE)),"Código não cadastrado",(VLOOKUP(H:H,produtos_escape2!$A$2:$D$2794,4,FALSE))))</f>
        <v>CP</v>
      </c>
      <c r="N154" s="486">
        <v>600</v>
      </c>
      <c r="O154" s="176" t="s">
        <v>2989</v>
      </c>
      <c r="P154" s="486">
        <v>600</v>
      </c>
      <c r="Q154" s="413">
        <v>4.4999999999999998E-2</v>
      </c>
      <c r="R154" s="414">
        <f t="shared" si="5"/>
        <v>27</v>
      </c>
      <c r="S154" s="177">
        <v>43866</v>
      </c>
      <c r="T154" s="182">
        <v>109887</v>
      </c>
      <c r="U154" s="177">
        <v>43866</v>
      </c>
      <c r="V154" s="177">
        <v>43867</v>
      </c>
      <c r="W154" s="177">
        <v>43871</v>
      </c>
      <c r="X154" s="176">
        <v>73992</v>
      </c>
      <c r="Y154" s="177">
        <v>43899</v>
      </c>
      <c r="Z154" s="415">
        <v>2</v>
      </c>
      <c r="AA154" s="488"/>
      <c r="AB154" s="594"/>
      <c r="AC154" s="595"/>
      <c r="AD154" s="596"/>
      <c r="AE154" s="596"/>
      <c r="AF154" s="597" t="str">
        <f>IFERROR(INDEX(produtos_escape2!M:M,MATCH(Controle!H154,produtos_escape2!A:A,0)),"")</f>
        <v>PROPANOLOL (CLORIDRATO) COMPRIMIDO 40 MG</v>
      </c>
    </row>
    <row r="155" spans="1:32" ht="14.25" customHeight="1">
      <c r="A155" s="176" t="s">
        <v>7404</v>
      </c>
      <c r="B155" s="176" t="s">
        <v>3608</v>
      </c>
      <c r="C155" s="177">
        <v>43860</v>
      </c>
      <c r="D155" s="176" t="s">
        <v>7426</v>
      </c>
      <c r="E155" s="176" t="s">
        <v>1867</v>
      </c>
      <c r="F155" s="259" t="s">
        <v>7434</v>
      </c>
      <c r="G155" s="176">
        <v>1</v>
      </c>
      <c r="H155" s="178">
        <v>90551</v>
      </c>
      <c r="I155" s="592">
        <f t="shared" si="4"/>
        <v>5</v>
      </c>
      <c r="J155" s="178" t="s">
        <v>816</v>
      </c>
      <c r="K155" s="178" t="s">
        <v>816</v>
      </c>
      <c r="L155" s="275" t="str">
        <f>IF(H:H=0,"",IF(ISERROR(VLOOKUP(H:H,produtos_escape2!$A$2:$B$2794,2,FALSE)),"Código não cadastrado",(VLOOKUP(H:H,produtos_escape2!$A$2:$B$2794,2,FALSE))))</f>
        <v>BICARBONATO DE SODIO SOLUCAO INJETAVEL 8,4 %        (1 MEQ/ML) FRASCO 250 ML</v>
      </c>
      <c r="M155" s="593" t="str">
        <f>IF(H:H=0,"",IF(ISERROR(VLOOKUP(H:H,produtos_escape2!$A$2:$D$2794,2,FALSE)),"Código não cadastrado",(VLOOKUP(H:H,produtos_escape2!$A$2:$D$2794,4,FALSE))))</f>
        <v>FR</v>
      </c>
      <c r="N155" s="486">
        <v>200</v>
      </c>
      <c r="O155" s="176" t="s">
        <v>7459</v>
      </c>
      <c r="P155" s="486">
        <v>175</v>
      </c>
      <c r="Q155" s="247">
        <v>18.52</v>
      </c>
      <c r="R155" s="414">
        <f t="shared" si="5"/>
        <v>3241</v>
      </c>
      <c r="S155" s="177">
        <v>43861</v>
      </c>
      <c r="T155" s="182">
        <v>305296</v>
      </c>
      <c r="U155" s="177">
        <v>43864</v>
      </c>
      <c r="V155" s="177">
        <v>43864</v>
      </c>
      <c r="W155" s="177">
        <v>43865</v>
      </c>
      <c r="X155" s="176">
        <v>73268</v>
      </c>
      <c r="Y155" s="177">
        <v>43896</v>
      </c>
      <c r="Z155" s="415">
        <v>2</v>
      </c>
      <c r="AA155" s="488"/>
      <c r="AB155" s="594"/>
      <c r="AC155" s="595"/>
      <c r="AD155" s="596"/>
      <c r="AE155" s="596"/>
      <c r="AF155" s="597" t="str">
        <f>IFERROR(INDEX(produtos_escape2!M:M,MATCH(Controle!H155,produtos_escape2!A:A,0)),"")</f>
        <v>BICARBONATO DE SODIO SOLUCAO INJETAVEL 8</v>
      </c>
    </row>
    <row r="156" spans="1:32" ht="14.25" customHeight="1">
      <c r="A156" s="176" t="s">
        <v>7428</v>
      </c>
      <c r="B156" s="176" t="s">
        <v>3608</v>
      </c>
      <c r="C156" s="177">
        <v>43860</v>
      </c>
      <c r="D156" s="176" t="s">
        <v>7440</v>
      </c>
      <c r="E156" s="176" t="s">
        <v>1866</v>
      </c>
      <c r="F156" s="259" t="s">
        <v>7442</v>
      </c>
      <c r="G156" s="176">
        <v>1</v>
      </c>
      <c r="H156" s="178">
        <v>92138</v>
      </c>
      <c r="I156" s="592">
        <f t="shared" si="4"/>
        <v>1</v>
      </c>
      <c r="J156" s="178" t="s">
        <v>816</v>
      </c>
      <c r="K156" s="178" t="s">
        <v>816</v>
      </c>
      <c r="L156" s="275" t="str">
        <f>IF(H:H=0,"",IF(ISERROR(VLOOKUP(H:H,produtos_escape2!$A$2:$B$2794,2,FALSE)),"Código não cadastrado",(VLOOKUP(H:H,produtos_escape2!$A$2:$B$2794,2,FALSE))))</f>
        <v>CATETER VENOSO TOTAL/IMPLANTAVEL P/QUIMIOTERAPIA C/RESERVATORIO ADULTO CATETER POLIURETANO/SILICONE AG.WUBER/TUNERIZACAO. Cateter central, aplicação totalmente implatável, longa permanência, estéril, se uso único, cateter em silicone radipaco graduado em centímetros, tipo reservatório em  material biocompatível (titânio ou plástico), calibre de 6,5 - 7,5 componentes adicionais kit introdutor completo.   </v>
      </c>
      <c r="M156" s="593" t="str">
        <f>IF(H:H=0,"",IF(ISERROR(VLOOKUP(H:H,produtos_escape2!$A$2:$D$2794,2,FALSE)),"Código não cadastrado",(VLOOKUP(H:H,produtos_escape2!$A$2:$D$2794,4,FALSE))))</f>
        <v>UN</v>
      </c>
      <c r="N156" s="486">
        <v>3</v>
      </c>
      <c r="O156" s="176" t="s">
        <v>2989</v>
      </c>
      <c r="P156" s="486">
        <v>3</v>
      </c>
      <c r="Q156" s="247">
        <v>645</v>
      </c>
      <c r="R156" s="414">
        <f t="shared" si="5"/>
        <v>1935</v>
      </c>
      <c r="S156" s="177">
        <v>43864</v>
      </c>
      <c r="T156" s="182">
        <v>110848</v>
      </c>
      <c r="U156" s="177">
        <v>43875</v>
      </c>
      <c r="V156" s="177">
        <v>43878</v>
      </c>
      <c r="W156" s="177">
        <v>43879</v>
      </c>
      <c r="X156" s="176">
        <v>74074</v>
      </c>
      <c r="Y156" s="177">
        <v>43899</v>
      </c>
      <c r="Z156" s="415">
        <v>2</v>
      </c>
      <c r="AA156" s="488"/>
      <c r="AB156" s="594"/>
      <c r="AC156" s="595"/>
      <c r="AD156" s="596"/>
      <c r="AE156" s="596"/>
      <c r="AF156" s="597" t="str">
        <f>IFERROR(INDEX(produtos_escape2!M:M,MATCH(Controle!H156,produtos_escape2!A:A,0)),"")</f>
        <v>BORRACHA</v>
      </c>
    </row>
    <row r="157" spans="1:32" ht="14.25" customHeight="1">
      <c r="A157" s="176" t="s">
        <v>7429</v>
      </c>
      <c r="B157" s="176" t="s">
        <v>3608</v>
      </c>
      <c r="C157" s="177">
        <v>43860</v>
      </c>
      <c r="D157" s="176" t="s">
        <v>7441</v>
      </c>
      <c r="E157" s="176" t="s">
        <v>1866</v>
      </c>
      <c r="F157" s="259" t="s">
        <v>7443</v>
      </c>
      <c r="G157" s="176">
        <v>1</v>
      </c>
      <c r="H157" s="178">
        <v>25179</v>
      </c>
      <c r="I157" s="592">
        <f t="shared" si="4"/>
        <v>1</v>
      </c>
      <c r="J157" s="178" t="s">
        <v>816</v>
      </c>
      <c r="K157" s="178" t="s">
        <v>816</v>
      </c>
      <c r="L157" s="275" t="str">
        <f>IF(H:H=0,"",IF(ISERROR(VLOOKUP(H:H,produtos_escape2!$A$2:$B$2794,2,FALSE)),"Código não cadastrado",(VLOOKUP(H:H,produtos_escape2!$A$2:$B$2794,2,FALSE))))</f>
        <v>CONJUNTO PARA DRENAGEM MEDIASTINAL Nº 34. capacidade do frasco reservatório 2.000 ml; contendo: 1 dreno de torax em pvc atóxico, transparente, flexivel, multiperfurado, radiopaco, graduação centimetrada e identificação do calibre;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esterelização, prazo de validade e número de lote.</v>
      </c>
      <c r="M157" s="593" t="str">
        <f>IF(H:H=0,"",IF(ISERROR(VLOOKUP(H:H,produtos_escape2!$A$2:$D$2794,2,FALSE)),"Código não cadastrado",(VLOOKUP(H:H,produtos_escape2!$A$2:$D$2794,4,FALSE))))</f>
        <v>UN</v>
      </c>
      <c r="N157" s="486">
        <v>30</v>
      </c>
      <c r="O157" s="176" t="s">
        <v>7483</v>
      </c>
      <c r="P157" s="486">
        <v>30</v>
      </c>
      <c r="Q157" s="247">
        <v>19.899999999999999</v>
      </c>
      <c r="R157" s="414">
        <f t="shared" si="5"/>
        <v>597</v>
      </c>
      <c r="S157" s="177">
        <v>43866</v>
      </c>
      <c r="T157" s="182">
        <v>82868</v>
      </c>
      <c r="U157" s="177">
        <v>43873</v>
      </c>
      <c r="V157" s="177">
        <v>43875</v>
      </c>
      <c r="W157" s="177">
        <v>43879</v>
      </c>
      <c r="X157" s="176">
        <v>74083</v>
      </c>
      <c r="Y157" s="177">
        <v>43899</v>
      </c>
      <c r="Z157" s="415">
        <v>2</v>
      </c>
      <c r="AA157" s="488"/>
      <c r="AB157" s="594"/>
      <c r="AC157" s="595"/>
      <c r="AD157" s="596"/>
      <c r="AE157" s="596"/>
      <c r="AF157" s="597" t="str">
        <f>IFERROR(INDEX(produtos_escape2!M:M,MATCH(Controle!H157,produtos_escape2!A:A,0)),"")</f>
        <v>CONJUNTO PARA DRENAGEM MEDIASTINAL Nº 34</v>
      </c>
    </row>
    <row r="158" spans="1:32" ht="14.25" customHeight="1">
      <c r="A158" s="176" t="s">
        <v>7429</v>
      </c>
      <c r="B158" s="176" t="s">
        <v>3608</v>
      </c>
      <c r="C158" s="177">
        <v>43860</v>
      </c>
      <c r="D158" s="176" t="s">
        <v>7441</v>
      </c>
      <c r="E158" s="176" t="s">
        <v>1866</v>
      </c>
      <c r="F158" s="259" t="s">
        <v>7443</v>
      </c>
      <c r="G158" s="176">
        <v>2</v>
      </c>
      <c r="H158" s="178">
        <v>25180</v>
      </c>
      <c r="I158" s="592">
        <f t="shared" si="4"/>
        <v>2</v>
      </c>
      <c r="J158" s="178" t="s">
        <v>816</v>
      </c>
      <c r="K158" s="178" t="s">
        <v>816</v>
      </c>
      <c r="L158" s="275" t="str">
        <f>IF(H:H=0,"",IF(ISERROR(VLOOKUP(H:H,produtos_escape2!$A$2:$B$2794,2,FALSE)),"Código não cadastrado",(VLOOKUP(H:H,produtos_escape2!$A$2:$B$2794,2,FALSE))))</f>
        <v>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v>
      </c>
      <c r="M158" s="593" t="str">
        <f>IF(H:H=0,"",IF(ISERROR(VLOOKUP(H:H,produtos_escape2!$A$2:$D$2794,2,FALSE)),"Código não cadastrado",(VLOOKUP(H:H,produtos_escape2!$A$2:$D$2794,4,FALSE))))</f>
        <v>UN</v>
      </c>
      <c r="N158" s="486">
        <v>30</v>
      </c>
      <c r="O158" s="176" t="s">
        <v>7483</v>
      </c>
      <c r="P158" s="486">
        <v>30</v>
      </c>
      <c r="Q158" s="247">
        <v>19.899999999999999</v>
      </c>
      <c r="R158" s="414">
        <f t="shared" si="5"/>
        <v>597</v>
      </c>
      <c r="S158" s="177">
        <v>43866</v>
      </c>
      <c r="T158" s="182">
        <v>82868</v>
      </c>
      <c r="U158" s="177">
        <v>43873</v>
      </c>
      <c r="V158" s="177">
        <v>43875</v>
      </c>
      <c r="W158" s="177">
        <v>43879</v>
      </c>
      <c r="X158" s="176">
        <v>74083</v>
      </c>
      <c r="Y158" s="177">
        <v>43899</v>
      </c>
      <c r="Z158" s="415">
        <v>2</v>
      </c>
      <c r="AA158" s="488"/>
      <c r="AB158" s="594"/>
      <c r="AC158" s="595"/>
      <c r="AD158" s="596"/>
      <c r="AE158" s="596"/>
      <c r="AF158" s="597" t="str">
        <f>IFERROR(INDEX(produtos_escape2!M:M,MATCH(Controle!H158,produtos_escape2!A:A,0)),"")</f>
        <v>CONJUNTO PARA DRENAGEM MEDIASTINAL Nº 36</v>
      </c>
    </row>
    <row r="159" spans="1:32" ht="14.25" customHeight="1">
      <c r="A159" s="176" t="s">
        <v>7429</v>
      </c>
      <c r="B159" s="176" t="s">
        <v>3608</v>
      </c>
      <c r="C159" s="177">
        <v>43860</v>
      </c>
      <c r="D159" s="176" t="s">
        <v>7441</v>
      </c>
      <c r="E159" s="176" t="s">
        <v>1866</v>
      </c>
      <c r="F159" s="259" t="s">
        <v>7443</v>
      </c>
      <c r="G159" s="176">
        <v>3</v>
      </c>
      <c r="H159" s="178">
        <v>92376</v>
      </c>
      <c r="I159" s="592">
        <f t="shared" si="4"/>
        <v>1</v>
      </c>
      <c r="J159" s="178" t="s">
        <v>816</v>
      </c>
      <c r="K159" s="178" t="s">
        <v>816</v>
      </c>
      <c r="L159" s="275" t="str">
        <f>IF(H:H=0,"",IF(ISERROR(VLOOKUP(H:H,produtos_escape2!$A$2:$B$2794,2,FALSE)),"Código não cadastrado",(VLOOKUP(H:H,produtos_escape2!$A$2:$B$2794,2,FALSE))))</f>
        <v>LAMINA P/BISTURI N. 10</v>
      </c>
      <c r="M159" s="593" t="str">
        <f>IF(H:H=0,"",IF(ISERROR(VLOOKUP(H:H,produtos_escape2!$A$2:$D$2794,2,FALSE)),"Código não cadastrado",(VLOOKUP(H:H,produtos_escape2!$A$2:$D$2794,4,FALSE))))</f>
        <v>UN</v>
      </c>
      <c r="N159" s="486">
        <v>2000</v>
      </c>
      <c r="O159" s="176" t="s">
        <v>7283</v>
      </c>
      <c r="P159" s="486">
        <v>2000</v>
      </c>
      <c r="Q159" s="247">
        <v>0.24</v>
      </c>
      <c r="R159" s="414">
        <f t="shared" si="5"/>
        <v>480</v>
      </c>
      <c r="S159" s="177">
        <v>43866</v>
      </c>
      <c r="T159" s="182">
        <v>1437</v>
      </c>
      <c r="U159" s="177">
        <v>43868</v>
      </c>
      <c r="V159" s="177">
        <v>43872</v>
      </c>
      <c r="W159" s="177">
        <v>43879</v>
      </c>
      <c r="X159" s="176">
        <v>73922</v>
      </c>
      <c r="Y159" s="177">
        <v>43899</v>
      </c>
      <c r="Z159" s="415">
        <v>2</v>
      </c>
      <c r="AA159" s="488"/>
      <c r="AB159" s="594"/>
      <c r="AC159" s="595"/>
      <c r="AD159" s="596"/>
      <c r="AE159" s="596"/>
      <c r="AF159" s="597" t="str">
        <f>IFERROR(INDEX(produtos_escape2!M:M,MATCH(Controle!H159,produtos_escape2!A:A,0)),"")</f>
        <v>LAMINA P/BISTURI N</v>
      </c>
    </row>
    <row r="160" spans="1:32" ht="14.25" customHeight="1">
      <c r="A160" s="176" t="s">
        <v>7429</v>
      </c>
      <c r="B160" s="176" t="s">
        <v>3608</v>
      </c>
      <c r="C160" s="177">
        <v>43860</v>
      </c>
      <c r="D160" s="176" t="s">
        <v>7441</v>
      </c>
      <c r="E160" s="176" t="s">
        <v>1866</v>
      </c>
      <c r="F160" s="259" t="s">
        <v>7443</v>
      </c>
      <c r="G160" s="176">
        <v>4</v>
      </c>
      <c r="H160" s="178">
        <v>92332</v>
      </c>
      <c r="I160" s="592">
        <f t="shared" si="4"/>
        <v>2</v>
      </c>
      <c r="J160" s="178" t="s">
        <v>816</v>
      </c>
      <c r="K160" s="178" t="s">
        <v>816</v>
      </c>
      <c r="L160" s="275" t="str">
        <f>IF(H:H=0,"",IF(ISERROR(VLOOKUP(H:H,produtos_escape2!$A$2:$B$2794,2,FALSE)),"Código não cadastrado",(VLOOKUP(H:H,produtos_escape2!$A$2:$B$2794,2,FALSE))))</f>
        <v xml:space="preserve">FIO DE SUTURA DE SEDA TRANCADA 2-0, 45CM, COM 01 AGULHA DE 3,0CM PONTA E CORPO CILINDRICOS 1/2 CIRCULO </v>
      </c>
      <c r="M160" s="593" t="str">
        <f>IF(H:H=0,"",IF(ISERROR(VLOOKUP(H:H,produtos_escape2!$A$2:$D$2794,2,FALSE)),"Código não cadastrado",(VLOOKUP(H:H,produtos_escape2!$A$2:$D$2794,4,FALSE))))</f>
        <v>EN</v>
      </c>
      <c r="N160" s="486">
        <v>240</v>
      </c>
      <c r="O160" s="176" t="s">
        <v>1868</v>
      </c>
      <c r="P160" s="486">
        <v>240</v>
      </c>
      <c r="Q160" s="247"/>
      <c r="R160" s="414">
        <f t="shared" si="5"/>
        <v>0</v>
      </c>
      <c r="S160" s="351">
        <v>43865</v>
      </c>
      <c r="T160" s="182"/>
      <c r="U160" s="177"/>
      <c r="V160" s="177"/>
      <c r="W160" s="177"/>
      <c r="X160" s="176"/>
      <c r="Y160" s="177"/>
      <c r="Z160" s="415">
        <v>2</v>
      </c>
      <c r="AA160" s="488" t="s">
        <v>7484</v>
      </c>
      <c r="AB160" s="594"/>
      <c r="AC160" s="595"/>
      <c r="AD160" s="596"/>
      <c r="AE160" s="596"/>
      <c r="AF160" s="597" t="str">
        <f>IFERROR(INDEX(produtos_escape2!M:M,MATCH(Controle!H160,produtos_escape2!A:A,0)),"")</f>
        <v>FIO DE SUTURA DE SEDA TRANCADA 2-0</v>
      </c>
    </row>
    <row r="161" spans="1:32" ht="14.25" customHeight="1">
      <c r="A161" s="176" t="s">
        <v>7429</v>
      </c>
      <c r="B161" s="176" t="s">
        <v>3608</v>
      </c>
      <c r="C161" s="177">
        <v>43860</v>
      </c>
      <c r="D161" s="176" t="s">
        <v>7441</v>
      </c>
      <c r="E161" s="176" t="s">
        <v>1866</v>
      </c>
      <c r="F161" s="259" t="s">
        <v>7443</v>
      </c>
      <c r="G161" s="176">
        <v>5</v>
      </c>
      <c r="H161" s="178">
        <v>92497</v>
      </c>
      <c r="I161" s="592">
        <f t="shared" si="4"/>
        <v>1</v>
      </c>
      <c r="J161" s="178" t="s">
        <v>816</v>
      </c>
      <c r="K161" s="178" t="s">
        <v>816</v>
      </c>
      <c r="L161" s="275" t="str">
        <f>IF(H:H=0,"",IF(ISERROR(VLOOKUP(H:H,produtos_escape2!$A$2:$B$2794,2,FALSE)),"Código não cadastrado",(VLOOKUP(H:H,produtos_escape2!$A$2:$B$2794,2,FALSE))))</f>
        <v xml:space="preserve">SONDA URETRAL Nº 12. Aplicação: sondagem vesical de alivio. Material: polivinil atóxico incolor. Características Adicionais: estéril, descartável, flexível, siliconada, medindo aproximadamente 40 cm, com conector na parte proximal em PVC que permita perfeita adaptação a equipos, tubo de látex, etc.; com tampa na porção média do conector (presa ou solta), com extremidade distal fechada e arredondada, apresentando orifícios ovais, delimitados e proporcionais ao diâmetro da sonda, isentos de rebarbas ou saliências que possam traumatizar o paciente, apresentando flexibilidade e maciez adequada ao fim que se destina, com espessura uniforme, isenta de manchas ou quaisquer defeitos. Embalada em saco plástico ou papel grau cirúrgico que favoreça abertura em técnica assépticae que garanta a integridade e esterilidade do produto. Apresentação: embalagem individual, acondicionada em caixa. Unidade de Estoque: unidade (UN). Código SES: 092497. </v>
      </c>
      <c r="M161" s="593" t="str">
        <f>IF(H:H=0,"",IF(ISERROR(VLOOKUP(H:H,produtos_escape2!$A$2:$D$2794,2,FALSE)),"Código não cadastrado",(VLOOKUP(H:H,produtos_escape2!$A$2:$D$2794,4,FALSE))))</f>
        <v>UN</v>
      </c>
      <c r="N161" s="486">
        <v>10000</v>
      </c>
      <c r="O161" s="176" t="s">
        <v>7485</v>
      </c>
      <c r="P161" s="486">
        <v>10000</v>
      </c>
      <c r="Q161" s="247">
        <v>0.42</v>
      </c>
      <c r="R161" s="414">
        <f t="shared" si="5"/>
        <v>4200</v>
      </c>
      <c r="S161" s="177">
        <v>43866</v>
      </c>
      <c r="T161" s="182">
        <v>42191</v>
      </c>
      <c r="U161" s="177">
        <v>43868</v>
      </c>
      <c r="V161" s="177">
        <v>43875</v>
      </c>
      <c r="W161" s="177">
        <v>43879</v>
      </c>
      <c r="X161" s="176">
        <v>72858</v>
      </c>
      <c r="Y161" s="177">
        <v>43896</v>
      </c>
      <c r="Z161" s="415">
        <v>2</v>
      </c>
      <c r="AA161" s="488"/>
      <c r="AB161" s="594"/>
      <c r="AC161" s="595"/>
      <c r="AD161" s="596"/>
      <c r="AE161" s="596"/>
      <c r="AF161" s="597" t="str">
        <f>IFERROR(INDEX(produtos_escape2!M:M,MATCH(Controle!H161,produtos_escape2!A:A,0)),"")</f>
        <v>SONDA URETRAL Nº 12</v>
      </c>
    </row>
    <row r="162" spans="1:32" ht="14.25" customHeight="1">
      <c r="A162" s="176" t="s">
        <v>7429</v>
      </c>
      <c r="B162" s="176" t="s">
        <v>3608</v>
      </c>
      <c r="C162" s="177">
        <v>43860</v>
      </c>
      <c r="D162" s="176" t="s">
        <v>7441</v>
      </c>
      <c r="E162" s="176" t="s">
        <v>1866</v>
      </c>
      <c r="F162" s="259" t="s">
        <v>7443</v>
      </c>
      <c r="G162" s="176">
        <v>6</v>
      </c>
      <c r="H162" s="178">
        <v>91037</v>
      </c>
      <c r="I162" s="592">
        <f t="shared" si="4"/>
        <v>2</v>
      </c>
      <c r="J162" s="178" t="s">
        <v>816</v>
      </c>
      <c r="K162" s="178" t="s">
        <v>816</v>
      </c>
      <c r="L162" s="275" t="str">
        <f>IF(H:H=0,"",IF(ISERROR(VLOOKUP(H:H,produtos_escape2!$A$2:$B$2794,2,FALSE)),"Código não cadastrado",(VLOOKUP(H:H,produtos_escape2!$A$2:$B$2794,2,FALSE))))</f>
        <v>AGULHA ANESTÉSICA, APLICAÇÃO P/RAQUIDIANA, MATERIAL AÇO INOXIDÁVEL, DIMENSÃO 27 G X 3 1/2´ (90 CM), TIPO PONTA QUINCKE, COMPONENTE C/ MANDRIL, CONECTOR UNIVERSAL CONECTOR LUER  LOCK, CÔNICO E TRANSPARENTE, TIPO USO DESCARTÁVEL, ESTERILIDADE ESTÉRIL, EMBALAGEM INDIVIDUAL.  ***A marca PROCARE/SOLIDOR apresentou problemas***</v>
      </c>
      <c r="M162" s="593" t="str">
        <f>IF(H:H=0,"",IF(ISERROR(VLOOKUP(H:H,produtos_escape2!$A$2:$D$2794,2,FALSE)),"Código não cadastrado",(VLOOKUP(H:H,produtos_escape2!$A$2:$D$2794,4,FALSE))))</f>
        <v>UN</v>
      </c>
      <c r="N162" s="486">
        <v>600</v>
      </c>
      <c r="O162" s="176" t="s">
        <v>7283</v>
      </c>
      <c r="P162" s="486">
        <v>600</v>
      </c>
      <c r="Q162" s="247">
        <v>9.99</v>
      </c>
      <c r="R162" s="414">
        <f t="shared" si="5"/>
        <v>5994</v>
      </c>
      <c r="S162" s="177">
        <v>43866</v>
      </c>
      <c r="T162" s="182">
        <v>1437</v>
      </c>
      <c r="U162" s="177">
        <v>43872</v>
      </c>
      <c r="V162" s="177">
        <v>43862</v>
      </c>
      <c r="W162" s="177">
        <v>43879</v>
      </c>
      <c r="X162" s="176">
        <v>73922</v>
      </c>
      <c r="Y162" s="177">
        <v>43899</v>
      </c>
      <c r="Z162" s="415">
        <v>2</v>
      </c>
      <c r="AA162" s="488"/>
      <c r="AB162" s="594"/>
      <c r="AC162" s="595"/>
      <c r="AD162" s="596"/>
      <c r="AE162" s="596"/>
      <c r="AF162" s="597" t="str">
        <f>IFERROR(INDEX(produtos_escape2!M:M,MATCH(Controle!H162,produtos_escape2!A:A,0)),"")</f>
        <v>AGULHA ANESTÉSICA</v>
      </c>
    </row>
    <row r="163" spans="1:32" ht="14.25" customHeight="1">
      <c r="A163" s="176" t="s">
        <v>7429</v>
      </c>
      <c r="B163" s="176" t="s">
        <v>3608</v>
      </c>
      <c r="C163" s="177">
        <v>43860</v>
      </c>
      <c r="D163" s="176" t="s">
        <v>7441</v>
      </c>
      <c r="E163" s="176" t="s">
        <v>1866</v>
      </c>
      <c r="F163" s="259" t="s">
        <v>7443</v>
      </c>
      <c r="G163" s="176">
        <v>7</v>
      </c>
      <c r="H163" s="178">
        <v>202354</v>
      </c>
      <c r="I163" s="592">
        <f t="shared" si="4"/>
        <v>1</v>
      </c>
      <c r="J163" s="178" t="s">
        <v>816</v>
      </c>
      <c r="K163" s="178" t="s">
        <v>816</v>
      </c>
      <c r="L163" s="275" t="str">
        <f>IF(H:H=0,"",IF(ISERROR(VLOOKUP(H:H,produtos_escape2!$A$2:$B$2794,2,FALSE)),"Código não cadastrado",(VLOOKUP(H:H,produtos_escape2!$A$2:$B$2794,2,FALSE))))</f>
        <v>SISTEMA FECHADO DE DRENAGEM POR SUCÇÃO. Estéril, descartável, radiopaco, confeccionado em PVC siliconizado ou outro material compatível. Contendo cânula/agulha de 4,8MM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v>
      </c>
      <c r="M163" s="593" t="str">
        <f>IF(H:H=0,"",IF(ISERROR(VLOOKUP(H:H,produtos_escape2!$A$2:$D$2794,2,FALSE)),"Código não cadastrado",(VLOOKUP(H:H,produtos_escape2!$A$2:$D$2794,4,FALSE))))</f>
        <v>KIT</v>
      </c>
      <c r="N163" s="486">
        <v>20</v>
      </c>
      <c r="O163" s="176" t="s">
        <v>7483</v>
      </c>
      <c r="P163" s="486">
        <v>20</v>
      </c>
      <c r="Q163" s="247">
        <v>13.9</v>
      </c>
      <c r="R163" s="414">
        <f t="shared" si="5"/>
        <v>278</v>
      </c>
      <c r="S163" s="177">
        <v>43866</v>
      </c>
      <c r="T163" s="182">
        <v>82868</v>
      </c>
      <c r="U163" s="177">
        <v>43873</v>
      </c>
      <c r="V163" s="177">
        <v>43875</v>
      </c>
      <c r="W163" s="177">
        <v>43879</v>
      </c>
      <c r="X163" s="176">
        <v>74083</v>
      </c>
      <c r="Y163" s="177">
        <v>43899</v>
      </c>
      <c r="Z163" s="415">
        <v>2</v>
      </c>
      <c r="AA163" s="488"/>
      <c r="AB163" s="594"/>
      <c r="AC163" s="595"/>
      <c r="AD163" s="596"/>
      <c r="AE163" s="596"/>
      <c r="AF163" s="597" t="str">
        <f>IFERROR(INDEX(produtos_escape2!M:M,MATCH(Controle!H163,produtos_escape2!A:A,0)),"")</f>
        <v>SISTEMA FECHADO DE DRENAGEM POR SUCÇÃO</v>
      </c>
    </row>
    <row r="164" spans="1:32" ht="14.25" customHeight="1">
      <c r="A164" s="176" t="s">
        <v>7429</v>
      </c>
      <c r="B164" s="176" t="s">
        <v>3608</v>
      </c>
      <c r="C164" s="177">
        <v>43860</v>
      </c>
      <c r="D164" s="176" t="s">
        <v>7441</v>
      </c>
      <c r="E164" s="176" t="s">
        <v>1866</v>
      </c>
      <c r="F164" s="259" t="s">
        <v>7443</v>
      </c>
      <c r="G164" s="176">
        <v>8</v>
      </c>
      <c r="H164" s="178">
        <v>92226</v>
      </c>
      <c r="I164" s="592">
        <f t="shared" si="4"/>
        <v>1</v>
      </c>
      <c r="J164" s="178" t="s">
        <v>816</v>
      </c>
      <c r="K164" s="178" t="s">
        <v>816</v>
      </c>
      <c r="L164" s="275" t="str">
        <f>IF(H:H=0,"",IF(ISERROR(VLOOKUP(H:H,produtos_escape2!$A$2:$B$2794,2,FALSE)),"Código não cadastrado",(VLOOKUP(H:H,produtos_escape2!$A$2:$B$2794,2,FALSE))))</f>
        <v xml:space="preserve">SISTEMA FECHADO DE DRENAGEM POR SUCÇÃO 3,2MM. Estéril, descartável, radiopaco, confeccionado em PVC siliconizado ou outro material compatível. Contendo cânula/agulha de 3,2MM de diâmetro e de reservatório graduado com capacidade de 400mL a 600mL. Apresentando conector em Y para vácuo de sucção, válvula antirefluxo, tampa para esvaziamento, tubo extensor e clamp plástico. Com transparência que permita a visualização da drenagem. Embalagem individual com selagem eficiente que garanta a integridade do produto até o momento de sua utilização, permita a abertura e a transferência com técnica asséptica, trazendo externamente os dados de identificação, procedência, número de lote, data de fabricação, prazo de validade e número de registro no Ministério da Saúde. Prazo de validade de 75% da data de fabricação. </v>
      </c>
      <c r="M164" s="593" t="str">
        <f>IF(H:H=0,"",IF(ISERROR(VLOOKUP(H:H,produtos_escape2!$A$2:$D$2794,2,FALSE)),"Código não cadastrado",(VLOOKUP(H:H,produtos_escape2!$A$2:$D$2794,4,FALSE))))</f>
        <v>KIT</v>
      </c>
      <c r="N164" s="486">
        <v>20</v>
      </c>
      <c r="O164" s="176" t="s">
        <v>7483</v>
      </c>
      <c r="P164" s="486">
        <v>20</v>
      </c>
      <c r="Q164" s="247">
        <v>13.9</v>
      </c>
      <c r="R164" s="414">
        <f t="shared" si="5"/>
        <v>278</v>
      </c>
      <c r="S164" s="177">
        <v>43866</v>
      </c>
      <c r="T164" s="182">
        <v>82868</v>
      </c>
      <c r="U164" s="177">
        <v>43873</v>
      </c>
      <c r="V164" s="177">
        <v>43875</v>
      </c>
      <c r="W164" s="177">
        <v>43879</v>
      </c>
      <c r="X164" s="176">
        <v>74083</v>
      </c>
      <c r="Y164" s="177">
        <v>43899</v>
      </c>
      <c r="Z164" s="415">
        <v>2</v>
      </c>
      <c r="AA164" s="488"/>
      <c r="AB164" s="594"/>
      <c r="AC164" s="595"/>
      <c r="AD164" s="596"/>
      <c r="AE164" s="596"/>
      <c r="AF164" s="597" t="str">
        <f>IFERROR(INDEX(produtos_escape2!M:M,MATCH(Controle!H164,produtos_escape2!A:A,0)),"")</f>
        <v>SISTEMA FECHADO DE DRENAGEM POR SUCÇÃO 3</v>
      </c>
    </row>
    <row r="165" spans="1:32" ht="14.25" customHeight="1">
      <c r="A165" s="176" t="s">
        <v>7430</v>
      </c>
      <c r="B165" s="176" t="s">
        <v>3608</v>
      </c>
      <c r="C165" s="177">
        <v>43861</v>
      </c>
      <c r="D165" s="176" t="s">
        <v>7447</v>
      </c>
      <c r="E165" s="176" t="s">
        <v>1867</v>
      </c>
      <c r="F165" s="259" t="s">
        <v>7453</v>
      </c>
      <c r="G165" s="176">
        <v>1</v>
      </c>
      <c r="H165" s="178">
        <v>90841</v>
      </c>
      <c r="I165" s="592">
        <f t="shared" si="4"/>
        <v>8</v>
      </c>
      <c r="J165" s="178" t="s">
        <v>816</v>
      </c>
      <c r="K165" s="178" t="s">
        <v>816</v>
      </c>
      <c r="L165" s="275" t="str">
        <f>IF(H:H=0,"",IF(ISERROR(VLOOKUP(H:H,produtos_escape2!$A$2:$B$2794,2,FALSE)),"Código não cadastrado",(VLOOKUP(H:H,produtos_escape2!$A$2:$B$2794,2,FALSE))))</f>
        <v>ATROPINA (SULFATO) SOLUÇAO OFTALMICA 1 % FRASCO 5 ML</v>
      </c>
      <c r="M165" s="593" t="str">
        <f>IF(H:H=0,"",IF(ISERROR(VLOOKUP(H:H,produtos_escape2!$A$2:$D$2794,2,FALSE)),"Código não cadastrado",(VLOOKUP(H:H,produtos_escape2!$A$2:$D$2794,4,FALSE))))</f>
        <v>FR</v>
      </c>
      <c r="N165" s="486">
        <v>30</v>
      </c>
      <c r="O165" s="176" t="s">
        <v>1868</v>
      </c>
      <c r="P165" s="486"/>
      <c r="Q165" s="247">
        <v>8.67</v>
      </c>
      <c r="R165" s="414">
        <f t="shared" si="5"/>
        <v>0</v>
      </c>
      <c r="S165" s="177">
        <v>43868</v>
      </c>
      <c r="T165" s="182"/>
      <c r="U165" s="177"/>
      <c r="V165" s="177"/>
      <c r="W165" s="177"/>
      <c r="X165" s="176"/>
      <c r="Y165" s="177"/>
      <c r="Z165" s="415">
        <v>2</v>
      </c>
      <c r="AA165" s="488" t="s">
        <v>8170</v>
      </c>
      <c r="AB165" s="594"/>
      <c r="AC165" s="595"/>
      <c r="AD165" s="596"/>
      <c r="AE165" s="596"/>
      <c r="AF165" s="597" t="str">
        <f>IFERROR(INDEX(produtos_escape2!M:M,MATCH(Controle!H165,produtos_escape2!A:A,0)),"")</f>
        <v>ATROPINA (SULFATO) SOLUÇAO OFTALMICA 1 % FRASCO 5 ML</v>
      </c>
    </row>
    <row r="166" spans="1:32" ht="14.25" customHeight="1">
      <c r="A166" s="176" t="s">
        <v>7430</v>
      </c>
      <c r="B166" s="176" t="s">
        <v>3608</v>
      </c>
      <c r="C166" s="177">
        <v>43861</v>
      </c>
      <c r="D166" s="176" t="s">
        <v>7447</v>
      </c>
      <c r="E166" s="176" t="s">
        <v>1867</v>
      </c>
      <c r="F166" s="259" t="s">
        <v>7453</v>
      </c>
      <c r="G166" s="176">
        <v>2</v>
      </c>
      <c r="H166" s="178">
        <v>90292</v>
      </c>
      <c r="I166" s="592">
        <f t="shared" si="4"/>
        <v>1</v>
      </c>
      <c r="J166" s="178" t="s">
        <v>816</v>
      </c>
      <c r="K166" s="178" t="s">
        <v>816</v>
      </c>
      <c r="L166" s="275" t="str">
        <f>IF(H:H=0,"",IF(ISERROR(VLOOKUP(H:H,produtos_escape2!$A$2:$B$2794,2,FALSE)),"Código não cadastrado",(VLOOKUP(H:H,produtos_escape2!$A$2:$B$2794,2,FALSE))))</f>
        <v>CETOCONAZOL CREME 2 % BISNAGA 30 G</v>
      </c>
      <c r="M166" s="593" t="str">
        <f>IF(H:H=0,"",IF(ISERROR(VLOOKUP(H:H,produtos_escape2!$A$2:$D$2794,2,FALSE)),"Código não cadastrado",(VLOOKUP(H:H,produtos_escape2!$A$2:$D$2794,4,FALSE))))</f>
        <v>BS</v>
      </c>
      <c r="N166" s="486">
        <v>150</v>
      </c>
      <c r="O166" s="176" t="s">
        <v>2989</v>
      </c>
      <c r="P166" s="486">
        <v>150</v>
      </c>
      <c r="Q166" s="247">
        <v>2.04</v>
      </c>
      <c r="R166" s="246">
        <f t="shared" si="5"/>
        <v>306</v>
      </c>
      <c r="S166" s="177">
        <v>43868</v>
      </c>
      <c r="T166" s="182">
        <v>110361</v>
      </c>
      <c r="U166" s="177">
        <v>43872</v>
      </c>
      <c r="V166" s="177">
        <v>43873</v>
      </c>
      <c r="W166" s="177">
        <v>43894</v>
      </c>
      <c r="X166" s="176">
        <v>73868</v>
      </c>
      <c r="Y166" s="177">
        <v>43899</v>
      </c>
      <c r="Z166" s="415">
        <v>2</v>
      </c>
      <c r="AA166" s="488"/>
      <c r="AB166" s="594"/>
      <c r="AC166" s="595"/>
      <c r="AD166" s="596"/>
      <c r="AE166" s="596"/>
      <c r="AF166" s="597" t="str">
        <f>IFERROR(INDEX(produtos_escape2!M:M,MATCH(Controle!H166,produtos_escape2!A:A,0)),"")</f>
        <v>CETOCONAZOL CREME 2 % BISNAGA 30 G</v>
      </c>
    </row>
    <row r="167" spans="1:32" ht="14.25" customHeight="1">
      <c r="A167" s="176" t="s">
        <v>7430</v>
      </c>
      <c r="B167" s="176" t="s">
        <v>3608</v>
      </c>
      <c r="C167" s="177">
        <v>43861</v>
      </c>
      <c r="D167" s="176" t="s">
        <v>7447</v>
      </c>
      <c r="E167" s="176" t="s">
        <v>1867</v>
      </c>
      <c r="F167" s="259" t="s">
        <v>7453</v>
      </c>
      <c r="G167" s="176">
        <v>3</v>
      </c>
      <c r="H167" s="178">
        <v>90343</v>
      </c>
      <c r="I167" s="592">
        <f t="shared" si="4"/>
        <v>3</v>
      </c>
      <c r="J167" s="178" t="s">
        <v>816</v>
      </c>
      <c r="K167" s="178" t="s">
        <v>816</v>
      </c>
      <c r="L167" s="275" t="str">
        <f>IF(H:H=0,"",IF(ISERROR(VLOOKUP(H:H,produtos_escape2!$A$2:$B$2794,2,FALSE)),"Código não cadastrado",(VLOOKUP(H:H,produtos_escape2!$A$2:$B$2794,2,FALSE))))</f>
        <v>CIPROFLOXACINO POMADA OFTALMICA 0,3 % BISNAGA 3,5 G</v>
      </c>
      <c r="M167" s="593" t="str">
        <f>IF(H:H=0,"",IF(ISERROR(VLOOKUP(H:H,produtos_escape2!$A$2:$D$2794,2,FALSE)),"Código não cadastrado",(VLOOKUP(H:H,produtos_escape2!$A$2:$D$2794,4,FALSE))))</f>
        <v>BS</v>
      </c>
      <c r="N167" s="486">
        <v>10</v>
      </c>
      <c r="O167" s="176" t="s">
        <v>4401</v>
      </c>
      <c r="P167" s="486">
        <v>10</v>
      </c>
      <c r="Q167" s="247">
        <v>12.87</v>
      </c>
      <c r="R167" s="246">
        <f t="shared" si="5"/>
        <v>128.69999999999999</v>
      </c>
      <c r="S167" s="177">
        <v>43868</v>
      </c>
      <c r="T167" s="182">
        <v>2533317</v>
      </c>
      <c r="U167" s="177">
        <v>43871</v>
      </c>
      <c r="V167" s="177">
        <v>43871</v>
      </c>
      <c r="W167" s="177">
        <v>43879</v>
      </c>
      <c r="X167" s="176">
        <v>73882</v>
      </c>
      <c r="Y167" s="177">
        <v>43899</v>
      </c>
      <c r="Z167" s="415">
        <v>2</v>
      </c>
      <c r="AA167" s="488"/>
      <c r="AB167" s="594"/>
      <c r="AC167" s="595"/>
      <c r="AD167" s="596"/>
      <c r="AE167" s="596"/>
      <c r="AF167" s="597" t="str">
        <f>IFERROR(INDEX(produtos_escape2!M:M,MATCH(Controle!H167,produtos_escape2!A:A,0)),"")</f>
        <v>CIPROFLOXACINO POMADA OFTALMICA 0</v>
      </c>
    </row>
    <row r="168" spans="1:32" ht="14.25" customHeight="1">
      <c r="A168" s="176" t="s">
        <v>7430</v>
      </c>
      <c r="B168" s="176" t="s">
        <v>3608</v>
      </c>
      <c r="C168" s="177">
        <v>43861</v>
      </c>
      <c r="D168" s="176" t="s">
        <v>7447</v>
      </c>
      <c r="E168" s="176" t="s">
        <v>1867</v>
      </c>
      <c r="F168" s="259" t="s">
        <v>7453</v>
      </c>
      <c r="G168" s="176">
        <v>4</v>
      </c>
      <c r="H168" s="178">
        <v>90344</v>
      </c>
      <c r="I168" s="592">
        <f t="shared" si="4"/>
        <v>2</v>
      </c>
      <c r="J168" s="178" t="s">
        <v>816</v>
      </c>
      <c r="K168" s="178" t="s">
        <v>816</v>
      </c>
      <c r="L168" s="275" t="str">
        <f>IF(H:H=0,"",IF(ISERROR(VLOOKUP(H:H,produtos_escape2!$A$2:$B$2794,2,FALSE)),"Código não cadastrado",(VLOOKUP(H:H,produtos_escape2!$A$2:$B$2794,2,FALSE))))</f>
        <v>CIPROFLOXACINO SOLUÇAO OFTALMICA 0,3 % FRASCO 5 ML</v>
      </c>
      <c r="M168" s="593" t="str">
        <f>IF(H:H=0,"",IF(ISERROR(VLOOKUP(H:H,produtos_escape2!$A$2:$D$2794,2,FALSE)),"Código não cadastrado",(VLOOKUP(H:H,produtos_escape2!$A$2:$D$2794,4,FALSE))))</f>
        <v>FR</v>
      </c>
      <c r="N168" s="486">
        <v>10</v>
      </c>
      <c r="O168" s="176" t="s">
        <v>4401</v>
      </c>
      <c r="P168" s="486">
        <v>10</v>
      </c>
      <c r="Q168" s="247">
        <v>11.96</v>
      </c>
      <c r="R168" s="246">
        <f t="shared" si="5"/>
        <v>119.60000000000001</v>
      </c>
      <c r="S168" s="177">
        <v>43868</v>
      </c>
      <c r="T168" s="182">
        <v>2533317</v>
      </c>
      <c r="U168" s="177">
        <v>43871</v>
      </c>
      <c r="V168" s="177">
        <v>43871</v>
      </c>
      <c r="W168" s="177">
        <v>43879</v>
      </c>
      <c r="X168" s="176">
        <v>73882</v>
      </c>
      <c r="Y168" s="177">
        <v>43899</v>
      </c>
      <c r="Z168" s="415">
        <v>2</v>
      </c>
      <c r="AA168" s="488"/>
      <c r="AB168" s="594"/>
      <c r="AC168" s="595"/>
      <c r="AD168" s="596"/>
      <c r="AE168" s="596"/>
      <c r="AF168" s="597" t="str">
        <f>IFERROR(INDEX(produtos_escape2!M:M,MATCH(Controle!H168,produtos_escape2!A:A,0)),"")</f>
        <v>CIPROFLOXACINO</v>
      </c>
    </row>
    <row r="169" spans="1:32" ht="14.25" customHeight="1">
      <c r="A169" s="176" t="s">
        <v>7430</v>
      </c>
      <c r="B169" s="176" t="s">
        <v>3608</v>
      </c>
      <c r="C169" s="177">
        <v>43861</v>
      </c>
      <c r="D169" s="176" t="s">
        <v>7447</v>
      </c>
      <c r="E169" s="176" t="s">
        <v>1867</v>
      </c>
      <c r="F169" s="259" t="s">
        <v>7453</v>
      </c>
      <c r="G169" s="176">
        <v>5</v>
      </c>
      <c r="H169" s="178">
        <v>90650</v>
      </c>
      <c r="I169" s="592">
        <f t="shared" si="4"/>
        <v>1</v>
      </c>
      <c r="J169" s="178" t="s">
        <v>816</v>
      </c>
      <c r="K169" s="178" t="s">
        <v>816</v>
      </c>
      <c r="L169" s="275" t="str">
        <f>IF(H:H=0,"",IF(ISERROR(VLOOKUP(H:H,produtos_escape2!$A$2:$B$2794,2,FALSE)),"Código não cadastrado",(VLOOKUP(H:H,produtos_escape2!$A$2:$B$2794,2,FALSE))))</f>
        <v>HIDROCORTISONA (ACETATO) CREME 1 % BISNAGA 15 G A 20 G</v>
      </c>
      <c r="M169" s="593" t="str">
        <f>IF(H:H=0,"",IF(ISERROR(VLOOKUP(H:H,produtos_escape2!$A$2:$D$2794,2,FALSE)),"Código não cadastrado",(VLOOKUP(H:H,produtos_escape2!$A$2:$D$2794,4,FALSE))))</f>
        <v>BS</v>
      </c>
      <c r="N169" s="486">
        <v>50</v>
      </c>
      <c r="O169" s="176" t="s">
        <v>2989</v>
      </c>
      <c r="P169" s="486">
        <v>50</v>
      </c>
      <c r="Q169" s="247">
        <v>5.6</v>
      </c>
      <c r="R169" s="246">
        <f t="shared" si="5"/>
        <v>280</v>
      </c>
      <c r="S169" s="177">
        <v>43868</v>
      </c>
      <c r="T169" s="182">
        <v>110201</v>
      </c>
      <c r="U169" s="177">
        <v>43868</v>
      </c>
      <c r="V169" s="177">
        <v>43871</v>
      </c>
      <c r="W169" s="177">
        <v>43871</v>
      </c>
      <c r="X169" s="176">
        <v>74086</v>
      </c>
      <c r="Y169" s="177">
        <v>43899</v>
      </c>
      <c r="Z169" s="415">
        <v>2</v>
      </c>
      <c r="AA169" s="488"/>
      <c r="AB169" s="594"/>
      <c r="AC169" s="595"/>
      <c r="AD169" s="596"/>
      <c r="AE169" s="596"/>
      <c r="AF169" s="597" t="str">
        <f>IFERROR(INDEX(produtos_escape2!M:M,MATCH(Controle!H169,produtos_escape2!A:A,0)),"")</f>
        <v>HIDROCORTISONA (ACETATO) CREME 1 % BISNAGA 15 G A 20 G</v>
      </c>
    </row>
    <row r="170" spans="1:32" ht="14.25" customHeight="1">
      <c r="A170" s="176" t="s">
        <v>7430</v>
      </c>
      <c r="B170" s="176" t="s">
        <v>3608</v>
      </c>
      <c r="C170" s="177">
        <v>43861</v>
      </c>
      <c r="D170" s="176" t="s">
        <v>7447</v>
      </c>
      <c r="E170" s="176" t="s">
        <v>1867</v>
      </c>
      <c r="F170" s="259" t="s">
        <v>7453</v>
      </c>
      <c r="G170" s="176">
        <v>6</v>
      </c>
      <c r="H170" s="178">
        <v>90974</v>
      </c>
      <c r="I170" s="592">
        <f t="shared" si="4"/>
        <v>1</v>
      </c>
      <c r="J170" s="178" t="s">
        <v>816</v>
      </c>
      <c r="K170" s="178" t="s">
        <v>816</v>
      </c>
      <c r="L170" s="275" t="str">
        <f>IF(H:H=0,"",IF(ISERROR(VLOOKUP(H:H,produtos_escape2!$A$2:$B$2794,2,FALSE)),"Código não cadastrado",(VLOOKUP(H:H,produtos_escape2!$A$2:$B$2794,2,FALSE))))</f>
        <v>MUPIROCINA CREME 20 MG/G CREME BISNAGA 15 G</v>
      </c>
      <c r="M170" s="593" t="str">
        <f>IF(H:H=0,"",IF(ISERROR(VLOOKUP(H:H,produtos_escape2!$A$2:$D$2794,2,FALSE)),"Código não cadastrado",(VLOOKUP(H:H,produtos_escape2!$A$2:$D$2794,4,FALSE))))</f>
        <v>BS</v>
      </c>
      <c r="N170" s="486">
        <v>100</v>
      </c>
      <c r="O170" s="176" t="s">
        <v>2989</v>
      </c>
      <c r="P170" s="486">
        <v>100</v>
      </c>
      <c r="Q170" s="247">
        <v>13.85</v>
      </c>
      <c r="R170" s="246">
        <f t="shared" si="5"/>
        <v>1385</v>
      </c>
      <c r="S170" s="177">
        <v>43868</v>
      </c>
      <c r="T170" s="182">
        <v>110201</v>
      </c>
      <c r="U170" s="177">
        <v>43868</v>
      </c>
      <c r="V170" s="177">
        <v>43871</v>
      </c>
      <c r="W170" s="177">
        <v>43871</v>
      </c>
      <c r="X170" s="176">
        <v>74086</v>
      </c>
      <c r="Y170" s="177">
        <v>43899</v>
      </c>
      <c r="Z170" s="415">
        <v>2</v>
      </c>
      <c r="AA170" s="488"/>
      <c r="AB170" s="594"/>
      <c r="AC170" s="595"/>
      <c r="AD170" s="596"/>
      <c r="AE170" s="596"/>
      <c r="AF170" s="597" t="str">
        <f>IFERROR(INDEX(produtos_escape2!M:M,MATCH(Controle!H170,produtos_escape2!A:A,0)),"")</f>
        <v>MUPIROCINA CREME 20 MG/G CREME BISNAGA 15 G</v>
      </c>
    </row>
    <row r="171" spans="1:32" ht="14.25" customHeight="1">
      <c r="A171" s="176" t="s">
        <v>7427</v>
      </c>
      <c r="B171" s="176" t="s">
        <v>3608</v>
      </c>
      <c r="C171" s="177">
        <v>43861</v>
      </c>
      <c r="D171" s="176" t="s">
        <v>7448</v>
      </c>
      <c r="E171" s="176" t="s">
        <v>1867</v>
      </c>
      <c r="F171" s="259" t="s">
        <v>7454</v>
      </c>
      <c r="G171" s="176">
        <v>1</v>
      </c>
      <c r="H171" s="178">
        <v>21685</v>
      </c>
      <c r="I171" s="592">
        <f t="shared" si="4"/>
        <v>1</v>
      </c>
      <c r="J171" s="178" t="s">
        <v>816</v>
      </c>
      <c r="K171" s="178" t="s">
        <v>816</v>
      </c>
      <c r="L171" s="275" t="str">
        <f>IF(H:H=0,"",IF(ISERROR(VLOOKUP(H:H,produtos_escape2!$A$2:$B$2794,2,FALSE)),"Código não cadastrado",(VLOOKUP(H:H,produtos_escape2!$A$2:$B$2794,2,FALSE))))</f>
        <v>ANIDULAFUNGINA PO LIOFILO PARA SOLUÇAO INJETAVEL 100 MG FRASCO AMPOLA</v>
      </c>
      <c r="M171" s="593" t="str">
        <f>IF(H:H=0,"",IF(ISERROR(VLOOKUP(H:H,produtos_escape2!$A$2:$D$2794,2,FALSE)),"Código não cadastrado",(VLOOKUP(H:H,produtos_escape2!$A$2:$D$2794,4,FALSE))))</f>
        <v>FA</v>
      </c>
      <c r="N171" s="486">
        <v>50</v>
      </c>
      <c r="O171" s="176" t="s">
        <v>1868</v>
      </c>
      <c r="P171" s="486"/>
      <c r="Q171" s="247"/>
      <c r="R171" s="246">
        <f t="shared" si="5"/>
        <v>0</v>
      </c>
      <c r="S171" s="177">
        <v>43868</v>
      </c>
      <c r="T171" s="182"/>
      <c r="U171" s="177"/>
      <c r="V171" s="177"/>
      <c r="W171" s="177"/>
      <c r="X171" s="176"/>
      <c r="Y171" s="177"/>
      <c r="Z171" s="415">
        <v>2</v>
      </c>
      <c r="AA171" s="488" t="s">
        <v>7474</v>
      </c>
      <c r="AB171" s="594"/>
      <c r="AC171" s="595"/>
      <c r="AD171" s="596"/>
      <c r="AE171" s="596"/>
      <c r="AF171" s="597" t="str">
        <f>IFERROR(INDEX(produtos_escape2!M:M,MATCH(Controle!H171,produtos_escape2!A:A,0)),"")</f>
        <v>ANDULAFUNGINA</v>
      </c>
    </row>
    <row r="172" spans="1:32" ht="14.25" customHeight="1">
      <c r="A172" s="176" t="s">
        <v>7427</v>
      </c>
      <c r="B172" s="176" t="s">
        <v>3608</v>
      </c>
      <c r="C172" s="177">
        <v>43861</v>
      </c>
      <c r="D172" s="176" t="s">
        <v>7448</v>
      </c>
      <c r="E172" s="176" t="s">
        <v>1867</v>
      </c>
      <c r="F172" s="259" t="s">
        <v>7454</v>
      </c>
      <c r="G172" s="176">
        <v>2</v>
      </c>
      <c r="H172" s="178">
        <v>10265</v>
      </c>
      <c r="I172" s="592">
        <f t="shared" si="4"/>
        <v>1</v>
      </c>
      <c r="J172" s="178" t="s">
        <v>816</v>
      </c>
      <c r="K172" s="178" t="s">
        <v>816</v>
      </c>
      <c r="L172" s="275" t="str">
        <f>IF(H:H=0,"",IF(ISERROR(VLOOKUP(H:H,produtos_escape2!$A$2:$B$2794,2,FALSE)),"Código não cadastrado",(VLOOKUP(H:H,produtos_escape2!$A$2:$B$2794,2,FALSE))))</f>
        <v>MANITOL SOLUCAO INJETAVEL 200 MG/ML BOLSA OU FRASCO 250 ML SISTEMA FECHADO DE INFUSAO</v>
      </c>
      <c r="M172" s="593" t="str">
        <f>IF(H:H=0,"",IF(ISERROR(VLOOKUP(H:H,produtos_escape2!$A$2:$D$2794,2,FALSE)),"Código não cadastrado",(VLOOKUP(H:H,produtos_escape2!$A$2:$D$2794,4,FALSE))))</f>
        <v>UN</v>
      </c>
      <c r="N172" s="486">
        <v>200</v>
      </c>
      <c r="O172" s="176" t="s">
        <v>1868</v>
      </c>
      <c r="P172" s="486"/>
      <c r="Q172" s="247"/>
      <c r="R172" s="246">
        <f t="shared" si="5"/>
        <v>0</v>
      </c>
      <c r="S172" s="177">
        <v>43868</v>
      </c>
      <c r="T172" s="182"/>
      <c r="U172" s="177"/>
      <c r="V172" s="177"/>
      <c r="W172" s="177"/>
      <c r="X172" s="176"/>
      <c r="Y172" s="177"/>
      <c r="Z172" s="415">
        <v>2</v>
      </c>
      <c r="AA172" s="488" t="s">
        <v>7517</v>
      </c>
      <c r="AB172" s="594"/>
      <c r="AC172" s="595"/>
      <c r="AD172" s="596"/>
      <c r="AE172" s="596"/>
      <c r="AF172" s="597" t="str">
        <f>IFERROR(INDEX(produtos_escape2!M:M,MATCH(Controle!H172,produtos_escape2!A:A,0)),"")</f>
        <v>MANITOL SOLUCAO INJETAVEL 200 MG/ML BOLSA OU FRASCO 250 ML SISTEMA FECHADO DE INFUSAO</v>
      </c>
    </row>
    <row r="173" spans="1:32" ht="14.25" customHeight="1">
      <c r="A173" s="176" t="s">
        <v>7427</v>
      </c>
      <c r="B173" s="176" t="s">
        <v>3608</v>
      </c>
      <c r="C173" s="177">
        <v>43861</v>
      </c>
      <c r="D173" s="176" t="s">
        <v>7448</v>
      </c>
      <c r="E173" s="176" t="s">
        <v>1867</v>
      </c>
      <c r="F173" s="259" t="s">
        <v>7454</v>
      </c>
      <c r="G173" s="176">
        <v>3</v>
      </c>
      <c r="H173" s="178">
        <v>90172</v>
      </c>
      <c r="I173" s="592">
        <f t="shared" si="4"/>
        <v>1</v>
      </c>
      <c r="J173" s="178" t="s">
        <v>816</v>
      </c>
      <c r="K173" s="178" t="s">
        <v>816</v>
      </c>
      <c r="L173" s="275" t="str">
        <f>IF(H:H=0,"",IF(ISERROR(VLOOKUP(H:H,produtos_escape2!$A$2:$B$2794,2,FALSE)),"Código não cadastrado",(VLOOKUP(H:H,produtos_escape2!$A$2:$B$2794,2,FALSE))))</f>
        <v>AMBROXOL XAROPE 3 MG/ML FRASCO 100 A 120 ML COM DOSEADOR</v>
      </c>
      <c r="M173" s="593" t="str">
        <f>IF(H:H=0,"",IF(ISERROR(VLOOKUP(H:H,produtos_escape2!$A$2:$D$2794,2,FALSE)),"Código não cadastrado",(VLOOKUP(H:H,produtos_escape2!$A$2:$D$2794,4,FALSE))))</f>
        <v>FR</v>
      </c>
      <c r="N173" s="486">
        <v>50</v>
      </c>
      <c r="O173" s="176" t="s">
        <v>4379</v>
      </c>
      <c r="P173" s="486">
        <v>50</v>
      </c>
      <c r="Q173" s="247">
        <v>1.55</v>
      </c>
      <c r="R173" s="246">
        <f t="shared" si="5"/>
        <v>77.5</v>
      </c>
      <c r="S173" s="177">
        <v>43868</v>
      </c>
      <c r="T173" s="182">
        <v>9929</v>
      </c>
      <c r="U173" s="177">
        <v>43868</v>
      </c>
      <c r="V173" s="177">
        <v>43868</v>
      </c>
      <c r="W173" s="177">
        <v>43871</v>
      </c>
      <c r="X173" s="176">
        <v>73335</v>
      </c>
      <c r="Y173" s="177">
        <v>43896</v>
      </c>
      <c r="Z173" s="415">
        <v>2</v>
      </c>
      <c r="AA173" s="488"/>
      <c r="AB173" s="594"/>
      <c r="AC173" s="595"/>
      <c r="AD173" s="596"/>
      <c r="AE173" s="596"/>
      <c r="AF173" s="597" t="str">
        <f>IFERROR(INDEX(produtos_escape2!M:M,MATCH(Controle!H173,produtos_escape2!A:A,0)),"")</f>
        <v>AMBROXOL XAROPE 3 MG/ML FRASCO 100 A 120 ML COM DOSEADOR</v>
      </c>
    </row>
    <row r="174" spans="1:32" ht="14.25" customHeight="1">
      <c r="A174" s="176" t="s">
        <v>7427</v>
      </c>
      <c r="B174" s="176" t="s">
        <v>3608</v>
      </c>
      <c r="C174" s="177">
        <v>43861</v>
      </c>
      <c r="D174" s="176" t="s">
        <v>7448</v>
      </c>
      <c r="E174" s="176" t="s">
        <v>1867</v>
      </c>
      <c r="F174" s="259" t="s">
        <v>7454</v>
      </c>
      <c r="G174" s="176">
        <v>4</v>
      </c>
      <c r="H174" s="178">
        <v>20127</v>
      </c>
      <c r="I174" s="592">
        <f t="shared" si="4"/>
        <v>1</v>
      </c>
      <c r="J174" s="178" t="s">
        <v>816</v>
      </c>
      <c r="K174" s="178" t="s">
        <v>816</v>
      </c>
      <c r="L174" s="275" t="str">
        <f>IF(H:H=0,"",IF(ISERROR(VLOOKUP(H:H,produtos_escape2!$A$2:$B$2794,2,FALSE)),"Código não cadastrado",(VLOOKUP(H:H,produtos_escape2!$A$2:$B$2794,2,FALSE))))</f>
        <v>AZITROMICINA PO PARA SUSPENSAO ORAL COM 900 MG PARA PREPARO DE SUSPENSAO DE 40 MG/ML FRASCO 22,5 ML</v>
      </c>
      <c r="M174" s="593" t="str">
        <f>IF(H:H=0,"",IF(ISERROR(VLOOKUP(H:H,produtos_escape2!$A$2:$D$2794,2,FALSE)),"Código não cadastrado",(VLOOKUP(H:H,produtos_escape2!$A$2:$D$2794,4,FALSE))))</f>
        <v>FR</v>
      </c>
      <c r="N174" s="486">
        <v>50</v>
      </c>
      <c r="O174" s="176" t="s">
        <v>4109</v>
      </c>
      <c r="P174" s="486">
        <v>50</v>
      </c>
      <c r="Q174" s="247">
        <v>7.8</v>
      </c>
      <c r="R174" s="246">
        <f t="shared" si="5"/>
        <v>390</v>
      </c>
      <c r="S174" s="177">
        <v>43868</v>
      </c>
      <c r="T174" s="182">
        <v>74552</v>
      </c>
      <c r="U174" s="177">
        <v>43871</v>
      </c>
      <c r="V174" s="177">
        <v>43872</v>
      </c>
      <c r="W174" s="177">
        <v>43879</v>
      </c>
      <c r="X174" s="176">
        <v>73843</v>
      </c>
      <c r="Y174" s="177">
        <v>43899</v>
      </c>
      <c r="Z174" s="415">
        <v>2</v>
      </c>
      <c r="AA174" s="488"/>
      <c r="AB174" s="594"/>
      <c r="AC174" s="595"/>
      <c r="AD174" s="596"/>
      <c r="AE174" s="596"/>
      <c r="AF174" s="597" t="str">
        <f>IFERROR(INDEX(produtos_escape2!M:M,MATCH(Controle!H174,produtos_escape2!A:A,0)),"")</f>
        <v>AZITROMICINA PO PARA SUSPENSAO ORAL COM 900 MG PARA PREPARO DE SUSPENSAO DE 40 MG/ML FRASCO 22</v>
      </c>
    </row>
    <row r="175" spans="1:32" ht="14.25" customHeight="1">
      <c r="A175" s="176" t="s">
        <v>7427</v>
      </c>
      <c r="B175" s="176" t="s">
        <v>3608</v>
      </c>
      <c r="C175" s="177">
        <v>43861</v>
      </c>
      <c r="D175" s="176" t="s">
        <v>7448</v>
      </c>
      <c r="E175" s="176" t="s">
        <v>1867</v>
      </c>
      <c r="F175" s="259" t="s">
        <v>7454</v>
      </c>
      <c r="G175" s="176">
        <v>5</v>
      </c>
      <c r="H175" s="178">
        <v>90354</v>
      </c>
      <c r="I175" s="592">
        <f t="shared" si="4"/>
        <v>9</v>
      </c>
      <c r="J175" s="178" t="s">
        <v>816</v>
      </c>
      <c r="K175" s="178" t="s">
        <v>816</v>
      </c>
      <c r="L175" s="275" t="str">
        <f>IF(H:H=0,"",IF(ISERROR(VLOOKUP(H:H,produtos_escape2!$A$2:$B$2794,2,FALSE)),"Código não cadastrado",(VLOOKUP(H:H,produtos_escape2!$A$2:$B$2794,2,FALSE))))</f>
        <v>LACTULOSE XAROPE 667 MG/ML FRASCO 120 ML
NÂO pode ser a Lactulife da Naturelife.</v>
      </c>
      <c r="M175" s="593" t="str">
        <f>IF(H:H=0,"",IF(ISERROR(VLOOKUP(H:H,produtos_escape2!$A$2:$D$2794,2,FALSE)),"Código não cadastrado",(VLOOKUP(H:H,produtos_escape2!$A$2:$D$2794,4,FALSE))))</f>
        <v>FR</v>
      </c>
      <c r="N175" s="486">
        <v>240</v>
      </c>
      <c r="O175" s="176" t="s">
        <v>7472</v>
      </c>
      <c r="P175" s="486">
        <v>240</v>
      </c>
      <c r="Q175" s="247">
        <v>5.79</v>
      </c>
      <c r="R175" s="246">
        <f t="shared" si="5"/>
        <v>1389.6</v>
      </c>
      <c r="S175" s="177">
        <v>43868</v>
      </c>
      <c r="T175" s="182">
        <v>20946</v>
      </c>
      <c r="U175" s="177">
        <v>43872</v>
      </c>
      <c r="V175" s="177">
        <v>43874</v>
      </c>
      <c r="W175" s="177">
        <v>43879</v>
      </c>
      <c r="X175" s="176">
        <v>74102</v>
      </c>
      <c r="Y175" s="177">
        <v>43899</v>
      </c>
      <c r="Z175" s="415">
        <v>2</v>
      </c>
      <c r="AA175" s="488"/>
      <c r="AB175" s="594"/>
      <c r="AC175" s="595"/>
      <c r="AD175" s="596"/>
      <c r="AE175" s="596"/>
      <c r="AF175" s="597" t="str">
        <f>IFERROR(INDEX(produtos_escape2!M:M,MATCH(Controle!H175,produtos_escape2!A:A,0)),"")</f>
        <v>LACTULOSE XAROPE 667 MG/ML FRASCO 120 ML</v>
      </c>
    </row>
    <row r="176" spans="1:32" ht="14.25" customHeight="1">
      <c r="A176" s="176" t="s">
        <v>7427</v>
      </c>
      <c r="B176" s="176" t="s">
        <v>3608</v>
      </c>
      <c r="C176" s="177">
        <v>43861</v>
      </c>
      <c r="D176" s="176" t="s">
        <v>7448</v>
      </c>
      <c r="E176" s="176" t="s">
        <v>1867</v>
      </c>
      <c r="F176" s="259" t="s">
        <v>7454</v>
      </c>
      <c r="G176" s="176">
        <v>6</v>
      </c>
      <c r="H176" s="178">
        <v>90913</v>
      </c>
      <c r="I176" s="592">
        <f t="shared" si="4"/>
        <v>1</v>
      </c>
      <c r="J176" s="178" t="s">
        <v>816</v>
      </c>
      <c r="K176" s="178" t="s">
        <v>816</v>
      </c>
      <c r="L176" s="275" t="str">
        <f>IF(H:H=0,"",IF(ISERROR(VLOOKUP(H:H,produtos_escape2!$A$2:$B$2794,2,FALSE)),"Código não cadastrado",(VLOOKUP(H:H,produtos_escape2!$A$2:$B$2794,2,FALSE))))</f>
        <v>SULFAMETOXAZOL +TRIMETOPRIMA SUSPENSAO ORAL (200 +40 MG)/5ML FRASCO 100 ML COM DOSEADOR</v>
      </c>
      <c r="M176" s="593" t="str">
        <f>IF(H:H=0,"",IF(ISERROR(VLOOKUP(H:H,produtos_escape2!$A$2:$D$2794,2,FALSE)),"Código não cadastrado",(VLOOKUP(H:H,produtos_escape2!$A$2:$D$2794,4,FALSE))))</f>
        <v>FR</v>
      </c>
      <c r="N176" s="486">
        <v>50</v>
      </c>
      <c r="O176" s="176" t="s">
        <v>1868</v>
      </c>
      <c r="P176" s="486"/>
      <c r="Q176" s="247"/>
      <c r="R176" s="246">
        <f t="shared" si="5"/>
        <v>0</v>
      </c>
      <c r="S176" s="177">
        <v>43868</v>
      </c>
      <c r="T176" s="182"/>
      <c r="U176" s="177"/>
      <c r="V176" s="177"/>
      <c r="W176" s="177"/>
      <c r="X176" s="176"/>
      <c r="Y176" s="177"/>
      <c r="Z176" s="415">
        <v>2</v>
      </c>
      <c r="AA176" s="488" t="s">
        <v>7544</v>
      </c>
      <c r="AB176" s="594"/>
      <c r="AC176" s="595"/>
      <c r="AD176" s="596"/>
      <c r="AE176" s="596"/>
      <c r="AF176" s="597" t="str">
        <f>IFERROR(INDEX(produtos_escape2!M:M,MATCH(Controle!H176,produtos_escape2!A:A,0)),"")</f>
        <v>SULFAMETOXAZOL</v>
      </c>
    </row>
    <row r="177" spans="1:32" ht="14.25" customHeight="1">
      <c r="A177" s="176" t="s">
        <v>7385</v>
      </c>
      <c r="B177" s="176" t="s">
        <v>3608</v>
      </c>
      <c r="C177" s="177">
        <v>43861</v>
      </c>
      <c r="D177" s="176" t="s">
        <v>7445</v>
      </c>
      <c r="E177" s="203" t="s">
        <v>1866</v>
      </c>
      <c r="F177" s="259" t="s">
        <v>7455</v>
      </c>
      <c r="G177" s="176">
        <v>1</v>
      </c>
      <c r="H177" s="178">
        <v>90814</v>
      </c>
      <c r="I177" s="592">
        <f t="shared" si="4"/>
        <v>2</v>
      </c>
      <c r="J177" s="178" t="s">
        <v>816</v>
      </c>
      <c r="K177" s="178" t="s">
        <v>816</v>
      </c>
      <c r="L177" s="275" t="str">
        <f>IF(H:H=0,"",IF(ISERROR(VLOOKUP(H:H,produtos_escape2!$A$2:$B$2794,2,FALSE)),"Código não cadastrado",(VLOOKUP(H:H,produtos_escape2!$A$2:$B$2794,2,FALSE))))</f>
        <v xml:space="preserve">OXIDO DE ZINCO + VITAMINA A + VITAMINA D POMADA DERMATOLOGICA (150 MG + 5000 UI + 900 UI)/G BISNAGA 45 G </v>
      </c>
      <c r="M177" s="593" t="str">
        <f>IF(H:H=0,"",IF(ISERROR(VLOOKUP(H:H,produtos_escape2!$A$2:$D$2794,2,FALSE)),"Código não cadastrado",(VLOOKUP(H:H,produtos_escape2!$A$2:$D$2794,4,FALSE))))</f>
        <v>BS</v>
      </c>
      <c r="N177" s="486">
        <v>400</v>
      </c>
      <c r="O177" s="176" t="s">
        <v>1868</v>
      </c>
      <c r="P177" s="486"/>
      <c r="Q177" s="247">
        <v>3.1</v>
      </c>
      <c r="R177" s="246">
        <f t="shared" si="5"/>
        <v>0</v>
      </c>
      <c r="S177" s="351">
        <v>43864</v>
      </c>
      <c r="T177" s="182"/>
      <c r="U177" s="177"/>
      <c r="V177" s="177"/>
      <c r="W177" s="177"/>
      <c r="X177" s="176"/>
      <c r="Y177" s="177"/>
      <c r="Z177" s="415">
        <v>2</v>
      </c>
      <c r="AA177" s="488" t="s">
        <v>7318</v>
      </c>
      <c r="AB177" s="594"/>
      <c r="AC177" s="595"/>
      <c r="AD177" s="596"/>
      <c r="AE177" s="596"/>
      <c r="AF177" s="597" t="str">
        <f>IFERROR(INDEX(produtos_escape2!M:M,MATCH(Controle!H177,produtos_escape2!A:A,0)),"")</f>
        <v>OXIDO DE ZINCO + VITAMINA A + VITAMINA D POMADA DERMATOLOGICA</v>
      </c>
    </row>
    <row r="178" spans="1:32" ht="14.25" customHeight="1">
      <c r="A178" s="176" t="s">
        <v>7386</v>
      </c>
      <c r="B178" s="176" t="s">
        <v>3608</v>
      </c>
      <c r="C178" s="177">
        <v>43861</v>
      </c>
      <c r="D178" s="176" t="s">
        <v>7446</v>
      </c>
      <c r="E178" s="176" t="s">
        <v>1866</v>
      </c>
      <c r="F178" s="259" t="s">
        <v>7456</v>
      </c>
      <c r="G178" s="176">
        <v>1</v>
      </c>
      <c r="H178" s="178">
        <v>90500</v>
      </c>
      <c r="I178" s="592">
        <f t="shared" si="4"/>
        <v>3</v>
      </c>
      <c r="J178" s="178" t="s">
        <v>816</v>
      </c>
      <c r="K178" s="178" t="s">
        <v>816</v>
      </c>
      <c r="L178" s="275" t="str">
        <f>IF(H:H=0,"",IF(ISERROR(VLOOKUP(H:H,produtos_escape2!$A$2:$B$2794,2,FALSE)),"Código não cadastrado",(VLOOKUP(H:H,produtos_escape2!$A$2:$B$2794,2,FALSE))))</f>
        <v xml:space="preserve">BISACODIL DRAGEA 5 MG </v>
      </c>
      <c r="M178" s="593" t="str">
        <f>IF(H:H=0,"",IF(ISERROR(VLOOKUP(H:H,produtos_escape2!$A$2:$D$2794,2,FALSE)),"Código não cadastrado",(VLOOKUP(H:H,produtos_escape2!$A$2:$D$2794,4,FALSE))))</f>
        <v>DG</v>
      </c>
      <c r="N178" s="486">
        <v>600</v>
      </c>
      <c r="O178" s="176" t="s">
        <v>2989</v>
      </c>
      <c r="P178" s="486">
        <v>600</v>
      </c>
      <c r="Q178" s="247">
        <v>0.13700000000000001</v>
      </c>
      <c r="R178" s="246">
        <f t="shared" si="5"/>
        <v>82.2</v>
      </c>
      <c r="S178" s="177">
        <v>43864</v>
      </c>
      <c r="T178" s="182">
        <v>109828</v>
      </c>
      <c r="U178" s="177">
        <v>43865</v>
      </c>
      <c r="V178" s="177">
        <v>43866</v>
      </c>
      <c r="W178" s="177">
        <v>43868</v>
      </c>
      <c r="X178" s="176">
        <v>72812</v>
      </c>
      <c r="Y178" s="177">
        <v>43896</v>
      </c>
      <c r="Z178" s="415">
        <v>2</v>
      </c>
      <c r="AA178" s="488"/>
      <c r="AB178" s="594"/>
      <c r="AC178" s="595"/>
      <c r="AD178" s="596"/>
      <c r="AE178" s="596"/>
      <c r="AF178" s="597" t="str">
        <f>IFERROR(INDEX(produtos_escape2!M:M,MATCH(Controle!H178,produtos_escape2!A:A,0)),"")</f>
        <v xml:space="preserve">BISACODIL DRAGEA 5 MG </v>
      </c>
    </row>
    <row r="179" spans="1:32" ht="14.25" customHeight="1">
      <c r="A179" s="176" t="s">
        <v>7258</v>
      </c>
      <c r="B179" s="176" t="s">
        <v>1687</v>
      </c>
      <c r="C179" s="177">
        <v>43850</v>
      </c>
      <c r="D179" s="176" t="s">
        <v>7301</v>
      </c>
      <c r="E179" s="176" t="s">
        <v>3008</v>
      </c>
      <c r="F179" s="259" t="s">
        <v>7470</v>
      </c>
      <c r="G179" s="176">
        <v>1</v>
      </c>
      <c r="H179" s="178" t="s">
        <v>3121</v>
      </c>
      <c r="I179" s="592">
        <f t="shared" si="4"/>
        <v>1</v>
      </c>
      <c r="J179" s="178"/>
      <c r="K179" s="178"/>
      <c r="L179" s="275" t="str">
        <f>IF(H:H=0,"",IF(ISERROR(VLOOKUP(H:H,produtos_escape2!$A$2:$B$2794,2,FALSE)),"Código não cadastrado",(VLOOKUP(H:H,produtos_escape2!$A$2:$B$2794,2,FALSE))))</f>
        <v>Conserto do Arco Cirúrgico marca PHILIPS, modelo BV Ventura. Patrimônio 1170359</v>
      </c>
      <c r="M179" s="593" t="str">
        <f>IF(H:H=0,"",IF(ISERROR(VLOOKUP(H:H,produtos_escape2!$A$2:$D$2794,2,FALSE)),"Código não cadastrado",(VLOOKUP(H:H,produtos_escape2!$A$2:$D$2794,4,FALSE))))</f>
        <v>Serviço</v>
      </c>
      <c r="N179" s="486">
        <v>1</v>
      </c>
      <c r="O179" s="176" t="s">
        <v>1868</v>
      </c>
      <c r="P179" s="486"/>
      <c r="Q179" s="247">
        <v>10730</v>
      </c>
      <c r="R179" s="246">
        <f t="shared" si="5"/>
        <v>0</v>
      </c>
      <c r="S179" s="177">
        <v>43909</v>
      </c>
      <c r="T179" s="182"/>
      <c r="U179" s="177"/>
      <c r="V179" s="177"/>
      <c r="W179" s="177"/>
      <c r="X179" s="176"/>
      <c r="Y179" s="177"/>
      <c r="Z179" s="415">
        <v>6</v>
      </c>
      <c r="AA179" s="488" t="s">
        <v>10396</v>
      </c>
      <c r="AB179" s="594"/>
      <c r="AC179" s="595"/>
      <c r="AD179" s="596"/>
      <c r="AE179" s="596"/>
      <c r="AF179" s="597">
        <f>IFERROR(INDEX(produtos_escape2!M:M,MATCH(Controle!H179,produtos_escape2!A:A,0)),"")</f>
        <v>0</v>
      </c>
    </row>
    <row r="180" spans="1:32" ht="14.25" customHeight="1">
      <c r="A180" s="176" t="s">
        <v>7260</v>
      </c>
      <c r="B180" s="176" t="s">
        <v>1687</v>
      </c>
      <c r="C180" s="177">
        <v>43864</v>
      </c>
      <c r="D180" s="176" t="s">
        <v>7462</v>
      </c>
      <c r="E180" s="176" t="s">
        <v>3008</v>
      </c>
      <c r="F180" s="259" t="s">
        <v>7471</v>
      </c>
      <c r="G180" s="176">
        <v>1</v>
      </c>
      <c r="H180" s="178" t="s">
        <v>7463</v>
      </c>
      <c r="I180" s="592">
        <f t="shared" si="4"/>
        <v>1</v>
      </c>
      <c r="J180" s="178"/>
      <c r="K180" s="178"/>
      <c r="L180" s="275" t="str">
        <f>IF(H:H=0,"",IF(ISERROR(VLOOKUP(H:H,produtos_escape2!$A$2:$B$2794,2,FALSE)),"Código não cadastrado",(VLOOKUP(H:H,produtos_escape2!$A$2:$B$2794,2,FALSE))))</f>
        <v>Conserto do ELETROCARDIÓGRAFO,  Marca DIXTAL, Modelo EP-3, Nº Patrimônio 693822</v>
      </c>
      <c r="M180" s="593" t="str">
        <f>IF(H:H=0,"",IF(ISERROR(VLOOKUP(H:H,produtos_escape2!$A$2:$D$2794,2,FALSE)),"Código não cadastrado",(VLOOKUP(H:H,produtos_escape2!$A$2:$D$2794,4,FALSE))))</f>
        <v>Serviço</v>
      </c>
      <c r="N180" s="486">
        <v>1</v>
      </c>
      <c r="O180" s="176" t="s">
        <v>7819</v>
      </c>
      <c r="P180" s="486">
        <v>1</v>
      </c>
      <c r="Q180" s="247">
        <v>2452.85</v>
      </c>
      <c r="R180" s="246">
        <f t="shared" si="5"/>
        <v>2452.85</v>
      </c>
      <c r="S180" s="177">
        <v>43909</v>
      </c>
      <c r="T180" s="182">
        <v>8669</v>
      </c>
      <c r="U180" s="177">
        <v>43913</v>
      </c>
      <c r="V180" s="177">
        <v>43963</v>
      </c>
      <c r="W180" s="177">
        <v>43963</v>
      </c>
      <c r="X180" s="176">
        <v>18178</v>
      </c>
      <c r="Y180" s="177">
        <v>43986</v>
      </c>
      <c r="Z180" s="415">
        <v>3</v>
      </c>
      <c r="AA180" s="488"/>
      <c r="AB180" s="594"/>
      <c r="AC180" s="595"/>
      <c r="AD180" s="596"/>
      <c r="AE180" s="596"/>
      <c r="AF180" s="597">
        <f>IFERROR(INDEX(produtos_escape2!M:M,MATCH(Controle!H180,produtos_escape2!A:A,0)),"")</f>
        <v>0</v>
      </c>
    </row>
    <row r="181" spans="1:32" ht="14.25" customHeight="1">
      <c r="A181" s="176" t="s">
        <v>7270</v>
      </c>
      <c r="B181" s="176" t="s">
        <v>1687</v>
      </c>
      <c r="C181" s="177">
        <v>43865</v>
      </c>
      <c r="D181" s="176" t="s">
        <v>7481</v>
      </c>
      <c r="E181" s="176" t="s">
        <v>3008</v>
      </c>
      <c r="F181" s="259" t="s">
        <v>7482</v>
      </c>
      <c r="G181" s="176">
        <v>2</v>
      </c>
      <c r="H181" s="178" t="s">
        <v>8092</v>
      </c>
      <c r="I181" s="592">
        <f t="shared" si="4"/>
        <v>1</v>
      </c>
      <c r="J181" s="178"/>
      <c r="K181" s="178"/>
      <c r="L181" s="275" t="str">
        <f>IF(H:H=0,"",IF(ISERROR(VLOOKUP(H:H,produtos_escape2!$A$2:$B$2794,2,FALSE)),"Código não cadastrado",(VLOOKUP(H:H,produtos_escape2!$A$2:$B$2794,2,FALSE))))</f>
        <v>CONSERTO DE CAMA ELÉTRICA - Marca HOSPIMETAL, Nº. Pat. 878265 - Código PDPAS antigo CEL39</v>
      </c>
      <c r="M181" s="593" t="str">
        <f>IF(H:H=0,"",IF(ISERROR(VLOOKUP(H:H,produtos_escape2!$A$2:$D$2794,2,FALSE)),"Código não cadastrado",(VLOOKUP(H:H,produtos_escape2!$A$2:$D$2794,4,FALSE))))</f>
        <v>Serviço</v>
      </c>
      <c r="N181" s="486">
        <v>1</v>
      </c>
      <c r="O181" s="176" t="s">
        <v>7582</v>
      </c>
      <c r="P181" s="486">
        <v>1</v>
      </c>
      <c r="Q181" s="247">
        <v>956</v>
      </c>
      <c r="R181" s="246">
        <f t="shared" si="5"/>
        <v>956</v>
      </c>
      <c r="S181" s="177">
        <v>43909</v>
      </c>
      <c r="T181" s="182">
        <v>791</v>
      </c>
      <c r="U181" s="177">
        <v>43983</v>
      </c>
      <c r="V181" s="177">
        <v>43986</v>
      </c>
      <c r="W181" s="177">
        <v>43990</v>
      </c>
      <c r="X181" s="176">
        <v>30702</v>
      </c>
      <c r="Y181" s="177">
        <v>44007</v>
      </c>
      <c r="Z181" s="415">
        <v>3</v>
      </c>
      <c r="AA181" s="488"/>
      <c r="AB181" s="594"/>
      <c r="AC181" s="595"/>
      <c r="AD181" s="596"/>
      <c r="AE181" s="596"/>
      <c r="AF181" s="597">
        <f>IFERROR(INDEX(produtos_escape2!M:M,MATCH(Controle!H181,produtos_escape2!A:A,0)),"")</f>
        <v>0</v>
      </c>
    </row>
    <row r="182" spans="1:32" ht="14.25" customHeight="1">
      <c r="A182" s="176" t="s">
        <v>7270</v>
      </c>
      <c r="B182" s="176" t="s">
        <v>1687</v>
      </c>
      <c r="C182" s="177">
        <v>43865</v>
      </c>
      <c r="D182" s="176" t="s">
        <v>7481</v>
      </c>
      <c r="E182" s="176" t="s">
        <v>3008</v>
      </c>
      <c r="F182" s="259" t="s">
        <v>7482</v>
      </c>
      <c r="G182" s="176">
        <v>1</v>
      </c>
      <c r="H182" s="178" t="s">
        <v>8101</v>
      </c>
      <c r="I182" s="592">
        <f t="shared" si="4"/>
        <v>2</v>
      </c>
      <c r="J182" s="178"/>
      <c r="K182" s="178"/>
      <c r="L182" s="275" t="str">
        <f>IF(H:H=0,"",IF(ISERROR(VLOOKUP(H:H,produtos_escape2!$A$2:$B$2794,2,FALSE)),"Código não cadastrado",(VLOOKUP(H:H,produtos_escape2!$A$2:$B$2794,2,FALSE))))</f>
        <v>CONSERTO DE CAMA Marca HOSPIMETAL, Nº. Pat. 878290 - Código PDPAS antigo CEL48</v>
      </c>
      <c r="M182" s="593" t="str">
        <f>IF(H:H=0,"",IF(ISERROR(VLOOKUP(H:H,produtos_escape2!$A$2:$D$2794,2,FALSE)),"Código não cadastrado",(VLOOKUP(H:H,produtos_escape2!$A$2:$D$2794,4,FALSE))))</f>
        <v>Serviço</v>
      </c>
      <c r="N182" s="486">
        <v>1</v>
      </c>
      <c r="O182" s="176" t="s">
        <v>7582</v>
      </c>
      <c r="P182" s="486">
        <v>1</v>
      </c>
      <c r="Q182" s="247">
        <v>956</v>
      </c>
      <c r="R182" s="246">
        <f t="shared" si="5"/>
        <v>956</v>
      </c>
      <c r="S182" s="177">
        <v>43909</v>
      </c>
      <c r="T182" s="182">
        <v>791</v>
      </c>
      <c r="U182" s="177">
        <v>43983</v>
      </c>
      <c r="V182" s="177">
        <v>43986</v>
      </c>
      <c r="W182" s="177">
        <v>43990</v>
      </c>
      <c r="X182" s="176">
        <v>30702</v>
      </c>
      <c r="Y182" s="177">
        <v>44007</v>
      </c>
      <c r="Z182" s="415">
        <v>3</v>
      </c>
      <c r="AA182" s="488"/>
      <c r="AB182" s="594"/>
      <c r="AC182" s="595"/>
      <c r="AD182" s="596"/>
      <c r="AE182" s="596"/>
      <c r="AF182" s="597">
        <f>IFERROR(INDEX(produtos_escape2!M:M,MATCH(Controle!H182,produtos_escape2!A:A,0)),"")</f>
        <v>0</v>
      </c>
    </row>
    <row r="183" spans="1:32" ht="14.25" customHeight="1">
      <c r="A183" s="176" t="s">
        <v>7431</v>
      </c>
      <c r="B183" s="176" t="s">
        <v>3608</v>
      </c>
      <c r="C183" s="177">
        <v>43866</v>
      </c>
      <c r="D183" s="176" t="s">
        <v>7514</v>
      </c>
      <c r="E183" s="176" t="s">
        <v>3009</v>
      </c>
      <c r="F183" s="259" t="s">
        <v>7515</v>
      </c>
      <c r="G183" s="176">
        <v>1</v>
      </c>
      <c r="H183" s="178">
        <v>90259</v>
      </c>
      <c r="I183" s="592">
        <f t="shared" si="4"/>
        <v>5</v>
      </c>
      <c r="J183" s="178" t="s">
        <v>816</v>
      </c>
      <c r="K183" s="178" t="s">
        <v>816</v>
      </c>
      <c r="L183" s="275" t="str">
        <f>IF(H:H=0,"",IF(ISERROR(VLOOKUP(H:H,produtos_escape2!$A$2:$B$2794,2,FALSE)),"Código não cadastrado",(VLOOKUP(H:H,produtos_escape2!$A$2:$B$2794,2,FALSE))))</f>
        <v>AZITROMICINA PO PARA SOLUCAO INJETAVEL 500 MG FRASCO AMPOLA</v>
      </c>
      <c r="M183" s="593" t="str">
        <f>IF(H:H=0,"",IF(ISERROR(VLOOKUP(H:H,produtos_escape2!$A$2:$D$2794,2,FALSE)),"Código não cadastrado",(VLOOKUP(H:H,produtos_escape2!$A$2:$D$2794,4,FALSE))))</f>
        <v>AMP</v>
      </c>
      <c r="N183" s="486">
        <v>300</v>
      </c>
      <c r="O183" s="176" t="s">
        <v>4401</v>
      </c>
      <c r="P183" s="486">
        <v>300</v>
      </c>
      <c r="Q183" s="247">
        <v>26.76</v>
      </c>
      <c r="R183" s="246">
        <f t="shared" si="5"/>
        <v>8028.0000000000009</v>
      </c>
      <c r="S183" s="177">
        <v>43873</v>
      </c>
      <c r="T183" s="182">
        <v>2537673</v>
      </c>
      <c r="U183" s="177">
        <v>43874</v>
      </c>
      <c r="V183" s="177">
        <v>43878</v>
      </c>
      <c r="W183" s="177">
        <v>43879</v>
      </c>
      <c r="X183" s="176">
        <v>73945</v>
      </c>
      <c r="Y183" s="177">
        <v>43899</v>
      </c>
      <c r="Z183" s="415">
        <v>2</v>
      </c>
      <c r="AA183" s="488"/>
      <c r="AB183" s="594"/>
      <c r="AC183" s="595"/>
      <c r="AD183" s="596"/>
      <c r="AE183" s="596"/>
      <c r="AF183" s="597" t="str">
        <f>IFERROR(INDEX(produtos_escape2!M:M,MATCH(Controle!H183,produtos_escape2!A:A,0)),"")</f>
        <v>AZITROMICINA PO PARA SOLUCAO INJETAVEL 500 MG FRASCO AMPOLA</v>
      </c>
    </row>
    <row r="184" spans="1:32" ht="14.25" customHeight="1">
      <c r="A184" s="176" t="s">
        <v>7431</v>
      </c>
      <c r="B184" s="176" t="s">
        <v>3608</v>
      </c>
      <c r="C184" s="177">
        <v>43866</v>
      </c>
      <c r="D184" s="176" t="s">
        <v>7514</v>
      </c>
      <c r="E184" s="176" t="s">
        <v>3009</v>
      </c>
      <c r="F184" s="259" t="s">
        <v>7515</v>
      </c>
      <c r="G184" s="176">
        <v>2</v>
      </c>
      <c r="H184" s="178">
        <v>90191</v>
      </c>
      <c r="I184" s="592">
        <f t="shared" si="4"/>
        <v>2</v>
      </c>
      <c r="J184" s="178" t="s">
        <v>816</v>
      </c>
      <c r="K184" s="178" t="s">
        <v>816</v>
      </c>
      <c r="L184" s="275" t="str">
        <f>IF(H:H=0,"",IF(ISERROR(VLOOKUP(H:H,produtos_escape2!$A$2:$B$2794,2,FALSE)),"Código não cadastrado",(VLOOKUP(H:H,produtos_escape2!$A$2:$B$2794,2,FALSE))))</f>
        <v>DICLOFENACO POTASSICO SOLUCAO INJETAVEL 25 MG/ML AMPOLA 3 ML</v>
      </c>
      <c r="M184" s="593" t="str">
        <f>IF(H:H=0,"",IF(ISERROR(VLOOKUP(H:H,produtos_escape2!$A$2:$D$2794,2,FALSE)),"Código não cadastrado",(VLOOKUP(H:H,produtos_escape2!$A$2:$D$2794,4,FALSE))))</f>
        <v>AMP</v>
      </c>
      <c r="N184" s="486">
        <v>1000</v>
      </c>
      <c r="O184" s="176" t="s">
        <v>1868</v>
      </c>
      <c r="P184" s="486"/>
      <c r="Q184" s="247"/>
      <c r="R184" s="246">
        <f t="shared" si="5"/>
        <v>0</v>
      </c>
      <c r="S184" s="177">
        <v>43873</v>
      </c>
      <c r="T184" s="206"/>
      <c r="U184" s="177"/>
      <c r="V184" s="177"/>
      <c r="W184" s="177"/>
      <c r="X184" s="176"/>
      <c r="Y184" s="177"/>
      <c r="Z184" s="415">
        <v>2</v>
      </c>
      <c r="AA184" s="488" t="s">
        <v>7574</v>
      </c>
      <c r="AB184" s="594"/>
      <c r="AC184" s="595"/>
      <c r="AD184" s="596"/>
      <c r="AE184" s="596"/>
      <c r="AF184" s="597" t="str">
        <f>IFERROR(INDEX(produtos_escape2!M:M,MATCH(Controle!H184,produtos_escape2!A:A,0)),"")</f>
        <v>DICLOFENACO POTASSICO SOLUCAO INJETAVEL 25 MG/ML AMPOLA 3 ML</v>
      </c>
    </row>
    <row r="185" spans="1:32" ht="14.25" customHeight="1">
      <c r="A185" s="176" t="s">
        <v>7431</v>
      </c>
      <c r="B185" s="176" t="s">
        <v>3608</v>
      </c>
      <c r="C185" s="177">
        <v>43866</v>
      </c>
      <c r="D185" s="176" t="s">
        <v>7514</v>
      </c>
      <c r="E185" s="176" t="s">
        <v>3009</v>
      </c>
      <c r="F185" s="259" t="s">
        <v>7515</v>
      </c>
      <c r="G185" s="176">
        <v>3</v>
      </c>
      <c r="H185" s="178">
        <v>90426</v>
      </c>
      <c r="I185" s="592">
        <f t="shared" si="4"/>
        <v>3</v>
      </c>
      <c r="J185" s="178" t="s">
        <v>816</v>
      </c>
      <c r="K185" s="178" t="s">
        <v>816</v>
      </c>
      <c r="L185" s="275" t="str">
        <f>IF(H:H=0,"",IF(ISERROR(VLOOKUP(H:H,produtos_escape2!$A$2:$B$2794,2,FALSE)),"Código não cadastrado",(VLOOKUP(H:H,produtos_escape2!$A$2:$B$2794,2,FALSE))))</f>
        <v>ENOXAPARINA SODICA SOLUCAO INJETAVEL 60 MG SERINGA PREENCHIDA 0,6 ML</v>
      </c>
      <c r="M185" s="593" t="str">
        <f>IF(H:H=0,"",IF(ISERROR(VLOOKUP(H:H,produtos_escape2!$A$2:$D$2794,2,FALSE)),"Código não cadastrado",(VLOOKUP(H:H,produtos_escape2!$A$2:$D$2794,4,FALSE))))</f>
        <v>UN</v>
      </c>
      <c r="N185" s="486">
        <v>700</v>
      </c>
      <c r="O185" s="176" t="s">
        <v>1868</v>
      </c>
      <c r="P185" s="486"/>
      <c r="Q185" s="247">
        <v>19.690000000000001</v>
      </c>
      <c r="R185" s="246">
        <f t="shared" si="5"/>
        <v>0</v>
      </c>
      <c r="S185" s="177">
        <v>43873</v>
      </c>
      <c r="T185" s="182"/>
      <c r="U185" s="177"/>
      <c r="V185" s="177"/>
      <c r="W185" s="177"/>
      <c r="X185" s="176"/>
      <c r="Y185" s="177"/>
      <c r="Z185" s="415">
        <v>2</v>
      </c>
      <c r="AA185" s="488" t="s">
        <v>7318</v>
      </c>
      <c r="AB185" s="594"/>
      <c r="AC185" s="595"/>
      <c r="AD185" s="596"/>
      <c r="AE185" s="596"/>
      <c r="AF185" s="597" t="str">
        <f>IFERROR(INDEX(produtos_escape2!M:M,MATCH(Controle!H185,produtos_escape2!A:A,0)),"")</f>
        <v>ENOXAPARINA SODICA SOLUCAO INJETAVEL 60 MG SERINGA PREENCHIDA 0</v>
      </c>
    </row>
    <row r="186" spans="1:32" ht="14.25" customHeight="1">
      <c r="A186" s="176" t="s">
        <v>7431</v>
      </c>
      <c r="B186" s="176" t="s">
        <v>3608</v>
      </c>
      <c r="C186" s="177">
        <v>43866</v>
      </c>
      <c r="D186" s="176" t="s">
        <v>7514</v>
      </c>
      <c r="E186" s="176" t="s">
        <v>3009</v>
      </c>
      <c r="F186" s="259" t="s">
        <v>7515</v>
      </c>
      <c r="G186" s="176">
        <v>5</v>
      </c>
      <c r="H186" s="178">
        <v>24668</v>
      </c>
      <c r="I186" s="592">
        <f t="shared" si="4"/>
        <v>2</v>
      </c>
      <c r="J186" s="178" t="s">
        <v>816</v>
      </c>
      <c r="K186" s="178" t="s">
        <v>816</v>
      </c>
      <c r="L186" s="275" t="str">
        <f>IF(H:H=0,"",IF(ISERROR(VLOOKUP(H:H,produtos_escape2!$A$2:$B$2794,2,FALSE)),"Código não cadastrado",(VLOOKUP(H:H,produtos_escape2!$A$2:$B$2794,2,FALSE))))</f>
        <v>CONTRASTE RADIOLOGICO NAO IONICO HIPOSMOLAR SOLUÇÃO INJETAVEL TEOR EM IODO DE 300MG/ML A 350 MG/ML FRASCO AMPOLA 50 ML</v>
      </c>
      <c r="M186" s="593" t="str">
        <f>IF(H:H=0,"",IF(ISERROR(VLOOKUP(H:H,produtos_escape2!$A$2:$D$2794,2,FALSE)),"Código não cadastrado",(VLOOKUP(H:H,produtos_escape2!$A$2:$D$2794,4,FALSE))))</f>
        <v>FA</v>
      </c>
      <c r="N186" s="486">
        <v>300</v>
      </c>
      <c r="O186" s="176" t="s">
        <v>7371</v>
      </c>
      <c r="P186" s="486">
        <v>300</v>
      </c>
      <c r="Q186" s="247">
        <v>28.5</v>
      </c>
      <c r="R186" s="246">
        <f t="shared" si="5"/>
        <v>8550</v>
      </c>
      <c r="S186" s="177">
        <v>43873</v>
      </c>
      <c r="T186" s="182">
        <v>304472</v>
      </c>
      <c r="U186" s="177">
        <v>43873</v>
      </c>
      <c r="V186" s="177">
        <v>43874</v>
      </c>
      <c r="W186" s="177">
        <v>43879</v>
      </c>
      <c r="X186" s="176">
        <v>73965</v>
      </c>
      <c r="Y186" s="177">
        <v>43899</v>
      </c>
      <c r="Z186" s="415">
        <v>2</v>
      </c>
      <c r="AA186" s="488" t="s">
        <v>7474</v>
      </c>
      <c r="AB186" s="594"/>
      <c r="AC186" s="595"/>
      <c r="AD186" s="596"/>
      <c r="AE186" s="596"/>
      <c r="AF186" s="597" t="str">
        <f>IFERROR(INDEX(produtos_escape2!M:M,MATCH(Controle!H186,produtos_escape2!A:A,0)),"")</f>
        <v>CONTRASTE RADIOLOGICO NAO IONICO HIPOSMOLAR SOLUÇÃO INJETAVEL TEOR EM IODO DE 300MG/ML A 350 MG/ML FRASCO AMPOLA 50 ML</v>
      </c>
    </row>
    <row r="187" spans="1:32" ht="14.25" customHeight="1">
      <c r="A187" s="176" t="s">
        <v>7431</v>
      </c>
      <c r="B187" s="176" t="s">
        <v>3608</v>
      </c>
      <c r="C187" s="177">
        <v>43866</v>
      </c>
      <c r="D187" s="176" t="s">
        <v>7514</v>
      </c>
      <c r="E187" s="176" t="s">
        <v>3009</v>
      </c>
      <c r="F187" s="259" t="s">
        <v>7515</v>
      </c>
      <c r="G187" s="176">
        <v>4</v>
      </c>
      <c r="H187" s="178">
        <v>10275</v>
      </c>
      <c r="I187" s="592">
        <f t="shared" si="4"/>
        <v>5</v>
      </c>
      <c r="J187" s="178" t="s">
        <v>816</v>
      </c>
      <c r="K187" s="178" t="s">
        <v>816</v>
      </c>
      <c r="L187" s="275"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187" s="593" t="str">
        <f>IF(H:H=0,"",IF(ISERROR(VLOOKUP(H:H,produtos_escape2!$A$2:$D$2794,2,FALSE)),"Código não cadastrado",(VLOOKUP(H:H,produtos_escape2!$A$2:$D$2794,4,FALSE))))</f>
        <v>UN</v>
      </c>
      <c r="N187" s="486">
        <v>100</v>
      </c>
      <c r="O187" s="176" t="s">
        <v>7371</v>
      </c>
      <c r="P187" s="486">
        <v>100</v>
      </c>
      <c r="Q187" s="247">
        <v>12.35</v>
      </c>
      <c r="R187" s="246">
        <f t="shared" si="5"/>
        <v>1235</v>
      </c>
      <c r="S187" s="177">
        <v>43873</v>
      </c>
      <c r="T187" s="182">
        <v>304472</v>
      </c>
      <c r="U187" s="177">
        <v>43873</v>
      </c>
      <c r="V187" s="177">
        <v>43874</v>
      </c>
      <c r="W187" s="177">
        <v>43879</v>
      </c>
      <c r="X187" s="176">
        <v>73965</v>
      </c>
      <c r="Y187" s="177">
        <v>43899</v>
      </c>
      <c r="Z187" s="415">
        <v>2</v>
      </c>
      <c r="AA187" s="488"/>
      <c r="AB187" s="594"/>
      <c r="AC187" s="595"/>
      <c r="AD187" s="596"/>
      <c r="AE187" s="596"/>
      <c r="AF187" s="597" t="str">
        <f>IFERROR(INDEX(produtos_escape2!M:M,MATCH(Controle!H187,produtos_escape2!A:A,0)),"")</f>
        <v>FLUCONAZOL SOLUCAO INJETAVEL 2 MG/ML BOLSA OU FRASCO 100 ML SISTEMA FECHADO DE INFUSAO</v>
      </c>
    </row>
    <row r="188" spans="1:32" ht="14.25" customHeight="1">
      <c r="A188" s="176" t="s">
        <v>7433</v>
      </c>
      <c r="B188" s="176" t="s">
        <v>3608</v>
      </c>
      <c r="C188" s="177">
        <v>43867</v>
      </c>
      <c r="D188" s="176" t="s">
        <v>7518</v>
      </c>
      <c r="E188" s="176" t="s">
        <v>1866</v>
      </c>
      <c r="F188" s="259" t="s">
        <v>7519</v>
      </c>
      <c r="G188" s="176">
        <v>1</v>
      </c>
      <c r="H188" s="178">
        <v>6542</v>
      </c>
      <c r="I188" s="592">
        <f t="shared" si="4"/>
        <v>2</v>
      </c>
      <c r="J188" s="178" t="s">
        <v>816</v>
      </c>
      <c r="K188" s="178" t="s">
        <v>816</v>
      </c>
      <c r="L188" s="275" t="str">
        <f>IF(H:H=0,"",IF(ISERROR(VLOOKUP(H:H,produtos_escape2!$A$2:$B$2794,2,FALSE)),"Código não cadastrado",(VLOOKUP(H:H,produtos_escape2!$A$2:$B$2794,2,FALSE))))</f>
        <v>MÁSCARA DE PROTEÇÃO RESPIRATÓRIA PFF2  (Equivalente a N95, para uso Hospitalar, com registro na ANVISA). Aplicação:  indicada para proteção de vias aéreas  contra a presença de microorganismo aerodispersóides e bacilo da tuberculose; com eficiência  mínima de filtração de 94% de proteção,  de uso hospitalar. Composição: filtro mecânico em tecido não tecido, composto de fibras sintéticas sobrepostas aleatoriamente, fabricada em peça única com 6 (seis) camadas, filtros tratados eletrostaticamente, protegida externamente por feltro em TNT,  modelo de respirar sem manutenção, peça semi-facial em formato concha dobrável ou não. Características adicionais:  com clipe nasal para ajuste, que permita vedação adequada, com tiras ajustáveis, de fácil manuseio e colocação.</v>
      </c>
      <c r="M188" s="593" t="str">
        <f>IF(H:H=0,"",IF(ISERROR(VLOOKUP(H:H,produtos_escape2!$A$2:$D$2794,2,FALSE)),"Código não cadastrado",(VLOOKUP(H:H,produtos_escape2!$A$2:$D$2794,4,FALSE))))</f>
        <v>UN</v>
      </c>
      <c r="N188" s="486">
        <v>2000</v>
      </c>
      <c r="O188" s="176" t="s">
        <v>7540</v>
      </c>
      <c r="P188" s="486">
        <v>2000</v>
      </c>
      <c r="Q188" s="247">
        <v>1.1499999999999999</v>
      </c>
      <c r="R188" s="246">
        <f t="shared" si="5"/>
        <v>2300</v>
      </c>
      <c r="S188" s="177">
        <v>43867</v>
      </c>
      <c r="T188" s="182">
        <v>496</v>
      </c>
      <c r="U188" s="177">
        <v>43868</v>
      </c>
      <c r="V188" s="177">
        <v>43871</v>
      </c>
      <c r="W188" s="177">
        <v>43879</v>
      </c>
      <c r="X188" s="176">
        <v>3277</v>
      </c>
      <c r="Y188" s="177">
        <v>43895</v>
      </c>
      <c r="Z188" s="415">
        <v>2</v>
      </c>
      <c r="AA188" s="488"/>
      <c r="AB188" s="594"/>
      <c r="AC188" s="595"/>
      <c r="AD188" s="596"/>
      <c r="AE188" s="596"/>
      <c r="AF188" s="597" t="str">
        <f>IFERROR(INDEX(produtos_escape2!M:M,MATCH(Controle!H188,produtos_escape2!A:A,0)),"")</f>
        <v>MÁSCARA DE PROTEÇÃO RESPIRATÓRIA PFF2</v>
      </c>
    </row>
    <row r="189" spans="1:32" ht="131.25" customHeight="1">
      <c r="A189" s="176" t="s">
        <v>7432</v>
      </c>
      <c r="B189" s="176" t="s">
        <v>3608</v>
      </c>
      <c r="C189" s="177">
        <v>43867</v>
      </c>
      <c r="D189" s="176" t="s">
        <v>7525</v>
      </c>
      <c r="E189" s="176" t="s">
        <v>1866</v>
      </c>
      <c r="F189" s="259" t="s">
        <v>7526</v>
      </c>
      <c r="G189" s="176">
        <v>1</v>
      </c>
      <c r="H189" s="178">
        <v>36052</v>
      </c>
      <c r="I189" s="592">
        <f t="shared" si="4"/>
        <v>5</v>
      </c>
      <c r="J189" s="178" t="s">
        <v>816</v>
      </c>
      <c r="K189" s="178" t="s">
        <v>816</v>
      </c>
      <c r="L189" s="275"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89" s="593" t="str">
        <f>IF(H:H=0,"",IF(ISERROR(VLOOKUP(H:H,produtos_escape2!$A$2:$D$2794,2,FALSE)),"Código não cadastrado",(VLOOKUP(H:H,produtos_escape2!$A$2:$D$2794,4,FALSE))))</f>
        <v>UN</v>
      </c>
      <c r="N189" s="486">
        <v>2000</v>
      </c>
      <c r="O189" s="176" t="s">
        <v>4379</v>
      </c>
      <c r="P189" s="486">
        <v>2000</v>
      </c>
      <c r="Q189" s="247">
        <v>0.16800000000000001</v>
      </c>
      <c r="R189" s="246">
        <f t="shared" si="5"/>
        <v>336</v>
      </c>
      <c r="S189" s="177">
        <v>43871</v>
      </c>
      <c r="T189" s="182">
        <v>9990</v>
      </c>
      <c r="U189" s="177">
        <v>43872</v>
      </c>
      <c r="V189" s="177">
        <v>43872</v>
      </c>
      <c r="W189" s="177">
        <v>43879</v>
      </c>
      <c r="X189" s="176">
        <v>73345</v>
      </c>
      <c r="Y189" s="177">
        <v>43896</v>
      </c>
      <c r="Z189" s="415">
        <v>2</v>
      </c>
      <c r="AA189" s="488"/>
      <c r="AB189" s="594"/>
      <c r="AC189" s="595"/>
      <c r="AD189" s="596"/>
      <c r="AE189" s="596"/>
      <c r="AF189" s="597" t="str">
        <f>IFERROR(INDEX(produtos_escape2!M:M,MATCH(Controle!H189,produtos_escape2!A:A,0)),"")</f>
        <v>LUVA NITRÍLICA G</v>
      </c>
    </row>
    <row r="190" spans="1:32" ht="14.25" customHeight="1">
      <c r="A190" s="176" t="s">
        <v>7432</v>
      </c>
      <c r="B190" s="176" t="s">
        <v>3608</v>
      </c>
      <c r="C190" s="177">
        <v>43867</v>
      </c>
      <c r="D190" s="176" t="s">
        <v>7525</v>
      </c>
      <c r="E190" s="176" t="s">
        <v>1866</v>
      </c>
      <c r="F190" s="259" t="s">
        <v>7526</v>
      </c>
      <c r="G190" s="176">
        <v>2</v>
      </c>
      <c r="H190" s="178">
        <v>36169</v>
      </c>
      <c r="I190" s="592">
        <f t="shared" si="4"/>
        <v>6</v>
      </c>
      <c r="J190" s="178" t="s">
        <v>816</v>
      </c>
      <c r="K190" s="178" t="s">
        <v>816</v>
      </c>
      <c r="L190" s="275"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90" s="593" t="str">
        <f>IF(H:H=0,"",IF(ISERROR(VLOOKUP(H:H,produtos_escape2!$A$2:$D$2794,2,FALSE)),"Código não cadastrado",(VLOOKUP(H:H,produtos_escape2!$A$2:$D$2794,4,FALSE))))</f>
        <v>UN</v>
      </c>
      <c r="N190" s="486">
        <v>2000</v>
      </c>
      <c r="O190" s="176" t="s">
        <v>4379</v>
      </c>
      <c r="P190" s="486">
        <v>2000</v>
      </c>
      <c r="Q190" s="247">
        <v>0.16800000000000001</v>
      </c>
      <c r="R190" s="246">
        <f t="shared" si="5"/>
        <v>336</v>
      </c>
      <c r="S190" s="177">
        <v>43871</v>
      </c>
      <c r="T190" s="182">
        <v>9990</v>
      </c>
      <c r="U190" s="177">
        <v>43872</v>
      </c>
      <c r="V190" s="177">
        <v>43872</v>
      </c>
      <c r="W190" s="177">
        <v>43879</v>
      </c>
      <c r="X190" s="176">
        <v>73345</v>
      </c>
      <c r="Y190" s="177">
        <v>43896</v>
      </c>
      <c r="Z190" s="415">
        <v>2</v>
      </c>
      <c r="AA190" s="488"/>
      <c r="AB190" s="594"/>
      <c r="AC190" s="595"/>
      <c r="AD190" s="596"/>
      <c r="AE190" s="596"/>
      <c r="AF190" s="597" t="str">
        <f>IFERROR(INDEX(produtos_escape2!M:M,MATCH(Controle!H190,produtos_escape2!A:A,0)),"")</f>
        <v>LUVA NITRÍLICA M</v>
      </c>
    </row>
    <row r="191" spans="1:32" ht="14.25" customHeight="1">
      <c r="A191" s="176" t="s">
        <v>7432</v>
      </c>
      <c r="B191" s="176" t="s">
        <v>3608</v>
      </c>
      <c r="C191" s="177">
        <v>43867</v>
      </c>
      <c r="D191" s="176" t="s">
        <v>7525</v>
      </c>
      <c r="E191" s="176" t="s">
        <v>1866</v>
      </c>
      <c r="F191" s="259" t="s">
        <v>7526</v>
      </c>
      <c r="G191" s="176">
        <v>3</v>
      </c>
      <c r="H191" s="178">
        <v>36048</v>
      </c>
      <c r="I191" s="592">
        <f t="shared" si="4"/>
        <v>5</v>
      </c>
      <c r="J191" s="178" t="s">
        <v>816</v>
      </c>
      <c r="K191" s="178" t="s">
        <v>816</v>
      </c>
      <c r="L191" s="275"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191" s="593" t="str">
        <f>IF(H:H=0,"",IF(ISERROR(VLOOKUP(H:H,produtos_escape2!$A$2:$D$2794,2,FALSE)),"Código não cadastrado",(VLOOKUP(H:H,produtos_escape2!$A$2:$D$2794,4,FALSE))))</f>
        <v>UN</v>
      </c>
      <c r="N191" s="486">
        <v>2000</v>
      </c>
      <c r="O191" s="176" t="s">
        <v>4379</v>
      </c>
      <c r="P191" s="486">
        <v>2000</v>
      </c>
      <c r="Q191" s="247">
        <v>0.16800000000000001</v>
      </c>
      <c r="R191" s="246">
        <f t="shared" si="5"/>
        <v>336</v>
      </c>
      <c r="S191" s="177">
        <v>43871</v>
      </c>
      <c r="T191" s="182">
        <v>9990</v>
      </c>
      <c r="U191" s="177">
        <v>43872</v>
      </c>
      <c r="V191" s="177">
        <v>43872</v>
      </c>
      <c r="W191" s="177">
        <v>43879</v>
      </c>
      <c r="X191" s="176">
        <v>73345</v>
      </c>
      <c r="Y191" s="177">
        <v>43896</v>
      </c>
      <c r="Z191" s="415">
        <v>2</v>
      </c>
      <c r="AA191" s="488"/>
      <c r="AB191" s="594"/>
      <c r="AC191" s="595"/>
      <c r="AD191" s="596"/>
      <c r="AE191" s="596"/>
      <c r="AF191" s="597" t="str">
        <f>IFERROR(INDEX(produtos_escape2!M:M,MATCH(Controle!H191,produtos_escape2!A:A,0)),"")</f>
        <v>LUVA NITRÍLICA P</v>
      </c>
    </row>
    <row r="192" spans="1:32" ht="14.25" customHeight="1">
      <c r="A192" s="176" t="s">
        <v>7300</v>
      </c>
      <c r="B192" s="176" t="s">
        <v>7207</v>
      </c>
      <c r="C192" s="177">
        <v>43867</v>
      </c>
      <c r="D192" s="176" t="s">
        <v>7527</v>
      </c>
      <c r="E192" s="176" t="s">
        <v>1866</v>
      </c>
      <c r="F192" s="259" t="s">
        <v>7528</v>
      </c>
      <c r="G192" s="176">
        <v>1</v>
      </c>
      <c r="H192" s="178">
        <v>13542</v>
      </c>
      <c r="I192" s="592">
        <f t="shared" si="4"/>
        <v>1</v>
      </c>
      <c r="J192" s="178" t="s">
        <v>816</v>
      </c>
      <c r="K192" s="178" t="s">
        <v>816</v>
      </c>
      <c r="L192" s="275" t="str">
        <f>IF(H:H=0,"",IF(ISERROR(VLOOKUP(H:H,produtos_escape2!$A$2:$B$2794,2,FALSE)),"Código não cadastrado",(VLOOKUP(H:H,produtos_escape2!$A$2:$B$2794,2,FALSE))))</f>
        <v xml:space="preserve">RESPIRADOR PFF2 - TIPO N-95: respirador com eficácia comprovada contra bacilo da tuberculose (N95), COM VÁLVULA DE EXALAÇÃO. </v>
      </c>
      <c r="M192" s="593" t="str">
        <f>IF(H:H=0,"",IF(ISERROR(VLOOKUP(H:H,produtos_escape2!$A$2:$D$2794,2,FALSE)),"Código não cadastrado",(VLOOKUP(H:H,produtos_escape2!$A$2:$D$2794,4,FALSE))))</f>
        <v>UN</v>
      </c>
      <c r="N192" s="486">
        <v>1000</v>
      </c>
      <c r="O192" s="176" t="s">
        <v>7540</v>
      </c>
      <c r="P192" s="486">
        <v>1000</v>
      </c>
      <c r="Q192" s="247">
        <v>1.45</v>
      </c>
      <c r="R192" s="246">
        <f t="shared" si="5"/>
        <v>1450</v>
      </c>
      <c r="S192" s="177">
        <v>43871</v>
      </c>
      <c r="T192" s="182">
        <v>500</v>
      </c>
      <c r="U192" s="177">
        <v>43872</v>
      </c>
      <c r="V192" s="177">
        <v>43873</v>
      </c>
      <c r="W192" s="177">
        <v>43873</v>
      </c>
      <c r="X192" s="176">
        <v>3276</v>
      </c>
      <c r="Y192" s="177">
        <v>43895</v>
      </c>
      <c r="Z192" s="415">
        <v>2</v>
      </c>
      <c r="AA192" s="488"/>
      <c r="AB192" s="594"/>
      <c r="AC192" s="595"/>
      <c r="AD192" s="596"/>
      <c r="AE192" s="596"/>
      <c r="AF192" s="597" t="str">
        <f>IFERROR(INDEX(produtos_escape2!M:M,MATCH(Controle!H192,produtos_escape2!A:A,0)),"")</f>
        <v>RESPIRADOR TIPO N-95</v>
      </c>
    </row>
    <row r="193" spans="1:32" ht="14.25" customHeight="1">
      <c r="A193" s="176" t="s">
        <v>7300</v>
      </c>
      <c r="B193" s="176" t="s">
        <v>7207</v>
      </c>
      <c r="C193" s="177">
        <v>43867</v>
      </c>
      <c r="D193" s="176" t="s">
        <v>7527</v>
      </c>
      <c r="E193" s="176" t="s">
        <v>1866</v>
      </c>
      <c r="F193" s="259" t="s">
        <v>7528</v>
      </c>
      <c r="G193" s="176">
        <v>2</v>
      </c>
      <c r="H193" s="178">
        <v>16835</v>
      </c>
      <c r="I193" s="592">
        <f t="shared" si="4"/>
        <v>1</v>
      </c>
      <c r="J193" s="178" t="s">
        <v>816</v>
      </c>
      <c r="K193" s="178" t="s">
        <v>816</v>
      </c>
      <c r="L193" s="275" t="str">
        <f>IF(H:H=0,"",IF(ISERROR(VLOOKUP(H:H,produtos_escape2!$A$2:$B$2794,2,FALSE)),"Código não cadastrado",(VLOOKUP(H:H,produtos_escape2!$A$2:$B$2794,2,FALSE))))</f>
        <v>LUVA NITRÍLICA: Aplicação: para trabalhos que exijam tato e resistência a ácidos, álcoois, graxas, querosene, gasolina e detergentes, em operação de imersão na CME, na Anatomia Patológica, laboratórios, Endoscopia, na SVS ou a critério do NSHMT. Material: dupla camada de borracha nitrílica, formato anatômico, palma antiderrapante, em alto relevo, cor verde, punho longo, Espessura média: 0,60 mm. Formato anatômico. Características adicionais: interior liso e acabamento clorinado. Deverá ter o certificado de aprovação do MTE.TAMANHOS: P,M,G.</v>
      </c>
      <c r="M193" s="593" t="str">
        <f>IF(H:H=0,"",IF(ISERROR(VLOOKUP(H:H,produtos_escape2!$A$2:$D$2794,2,FALSE)),"Código não cadastrado",(VLOOKUP(H:H,produtos_escape2!$A$2:$D$2794,4,FALSE))))</f>
        <v>PAR</v>
      </c>
      <c r="N193" s="486">
        <v>100</v>
      </c>
      <c r="O193" s="176" t="s">
        <v>3530</v>
      </c>
      <c r="P193" s="486">
        <v>100</v>
      </c>
      <c r="Q193" s="247">
        <v>7.8</v>
      </c>
      <c r="R193" s="246">
        <f t="shared" si="5"/>
        <v>780</v>
      </c>
      <c r="S193" s="177">
        <v>43871</v>
      </c>
      <c r="T193" s="182">
        <v>831</v>
      </c>
      <c r="U193" s="177">
        <v>43872</v>
      </c>
      <c r="V193" s="177">
        <v>43873</v>
      </c>
      <c r="W193" s="177">
        <v>43873</v>
      </c>
      <c r="X193" s="176">
        <v>74559</v>
      </c>
      <c r="Y193" s="177">
        <v>43899</v>
      </c>
      <c r="Z193" s="415">
        <v>2</v>
      </c>
      <c r="AA193" s="488"/>
      <c r="AB193" s="594"/>
      <c r="AC193" s="595"/>
      <c r="AD193" s="596"/>
      <c r="AE193" s="596"/>
      <c r="AF193" s="597" t="str">
        <f>IFERROR(INDEX(produtos_escape2!M:M,MATCH(Controle!H193,produtos_escape2!A:A,0)),"")</f>
        <v>LUVA NITRÍLICA</v>
      </c>
    </row>
    <row r="194" spans="1:32" ht="14.25" customHeight="1">
      <c r="A194" s="176" t="s">
        <v>7434</v>
      </c>
      <c r="B194" s="176" t="s">
        <v>3608</v>
      </c>
      <c r="C194" s="177">
        <v>43873</v>
      </c>
      <c r="D194" s="176" t="s">
        <v>7558</v>
      </c>
      <c r="E194" s="176" t="s">
        <v>1866</v>
      </c>
      <c r="F194" s="259" t="s">
        <v>7564</v>
      </c>
      <c r="G194" s="176">
        <v>1</v>
      </c>
      <c r="H194" s="178">
        <v>24968</v>
      </c>
      <c r="I194" s="592">
        <f t="shared" si="4"/>
        <v>2</v>
      </c>
      <c r="J194" s="178" t="s">
        <v>816</v>
      </c>
      <c r="K194" s="178" t="s">
        <v>816</v>
      </c>
      <c r="L194" s="275" t="str">
        <f>IF(H:H=0,"",IF(ISERROR(VLOOKUP(H:H,produtos_escape2!$A$2:$B$2794,2,FALSE)),"Código não cadastrado",(VLOOKUP(H:H,produtos_escape2!$A$2:$B$2794,2,FALSE))))</f>
        <v xml:space="preserve">PACOTE/ DISPOSITIVO TESTE DESAFIO DE PROCESSO COM INDICADOR BIOLÓGICO (3ª GERAÇÃO) E INTEGRADOR QUÍMICO (CLASSE 5). Aplicação: Monitoramento e validação dos ciclos de esterilização à vapor. Indicado para liberação de cargas esterilizadas em autoclave à vapor. Composição: Pacote/ dispositivo teste desafio que contenha ampola plástica com indicador biológico auto-contido em tira de papel impregnada com GeoBacillus Stearothermophillus; meio de cultura em ampola de vidro. Cada ampola plástica possui um rótulo externo com lote, data de fabricação e campos para identificação e um indicador químico externo que diferencia as ampolas processadas das não-processadas. Essa ampola é fechada por tampa na parte superior que permita permeabilidade do vapor, protegida por papel de filtro hidrofóbico. Características Adicionais: Pacote/ dispositivo teste desafio com indicador biológico auto-contido, com tempo de resposta final no máximo em 3 horas, terceira geração, para o controle biológico de ciclos de esterilização a vapor saturado que operem de 121 a 134 graus Celsius (centígrados) e monitorização dos processos de esterilização por vapor quando usados em conjunto com a incubadora/ leitora automática por método de fluorescência. Cada teste biológico, deverá acompanhar 01 (um) teste piloto do mesmo lote como controle positivo. Caso o produto oferecido não seja em pacote, o produto deverá acompanhar 01 (um) integrador químico Classe 5 para cada teste biológico, que mudará de cor conforme orientação do fabricante.  </v>
      </c>
      <c r="M194" s="593" t="str">
        <f>IF(H:H=0,"",IF(ISERROR(VLOOKUP(H:H,produtos_escape2!$A$2:$D$2794,2,FALSE)),"Código não cadastrado",(VLOOKUP(H:H,produtos_escape2!$A$2:$D$2794,4,FALSE))))</f>
        <v>UN</v>
      </c>
      <c r="N194" s="486">
        <v>200</v>
      </c>
      <c r="O194" s="176" t="s">
        <v>10360</v>
      </c>
      <c r="P194" s="486">
        <v>200</v>
      </c>
      <c r="Q194" s="247">
        <v>28</v>
      </c>
      <c r="R194" s="246">
        <f t="shared" si="5"/>
        <v>5600</v>
      </c>
      <c r="S194" s="177">
        <v>43875</v>
      </c>
      <c r="T194" s="206">
        <v>23083</v>
      </c>
      <c r="U194" s="177">
        <v>43878</v>
      </c>
      <c r="V194" s="177">
        <v>43880</v>
      </c>
      <c r="W194" s="177">
        <v>43889</v>
      </c>
      <c r="X194" s="176">
        <v>73371</v>
      </c>
      <c r="Y194" s="177">
        <v>43896</v>
      </c>
      <c r="Z194" s="415">
        <v>2</v>
      </c>
      <c r="AA194" s="488"/>
      <c r="AB194" s="594"/>
      <c r="AC194" s="595"/>
      <c r="AD194" s="596"/>
      <c r="AE194" s="596"/>
      <c r="AF194" s="597" t="str">
        <f>IFERROR(INDEX(produtos_escape2!M:M,MATCH(Controle!H194,produtos_escape2!A:A,0)),"")</f>
        <v>PACOTE TESTE DESAFIO</v>
      </c>
    </row>
    <row r="195" spans="1:32" ht="14.25" customHeight="1">
      <c r="A195" s="176" t="s">
        <v>7434</v>
      </c>
      <c r="B195" s="176" t="s">
        <v>3608</v>
      </c>
      <c r="C195" s="177">
        <v>43873</v>
      </c>
      <c r="D195" s="176" t="s">
        <v>7558</v>
      </c>
      <c r="E195" s="176" t="s">
        <v>1866</v>
      </c>
      <c r="F195" s="259" t="s">
        <v>7564</v>
      </c>
      <c r="G195" s="176">
        <v>2</v>
      </c>
      <c r="H195" s="178">
        <v>29820</v>
      </c>
      <c r="I195" s="592">
        <f t="shared" ref="I195:I258" si="6">COUNTIF($H$3:$H$3041,H195)</f>
        <v>2</v>
      </c>
      <c r="J195" s="178" t="s">
        <v>816</v>
      </c>
      <c r="K195" s="178" t="s">
        <v>816</v>
      </c>
      <c r="L195" s="275" t="str">
        <f>IF(H:H=0,"",IF(ISERROR(VLOOKUP(H:H,produtos_escape2!$A$2:$B$2794,2,FALSE)),"Código não cadastrado",(VLOOKUP(H:H,produtos_escape2!$A$2:$B$2794,2,FALSE))))</f>
        <v>TALA METÁLICA PARA IMOBILIZAÇÃO DE DEDO 12MM X 180MM, Composição alumínio 100% liga 1100 A H 14 com espessura de 1mm; com revestimento de espuma antialérgica com espessura de 9mm; tamanho 12mm x 180mm.</v>
      </c>
      <c r="M195" s="593" t="str">
        <f>IF(H:H=0,"",IF(ISERROR(VLOOKUP(H:H,produtos_escape2!$A$2:$D$2794,2,FALSE)),"Código não cadastrado",(VLOOKUP(H:H,produtos_escape2!$A$2:$D$2794,4,FALSE))))</f>
        <v>UN</v>
      </c>
      <c r="N195" s="486">
        <v>100</v>
      </c>
      <c r="O195" s="176" t="s">
        <v>3530</v>
      </c>
      <c r="P195" s="486">
        <v>96</v>
      </c>
      <c r="Q195" s="247">
        <v>0.65</v>
      </c>
      <c r="R195" s="246">
        <f t="shared" ref="R195:R258" si="7">P195*Q195</f>
        <v>62.400000000000006</v>
      </c>
      <c r="S195" s="177">
        <v>43875</v>
      </c>
      <c r="T195" s="182">
        <v>844</v>
      </c>
      <c r="U195" s="177">
        <v>43879</v>
      </c>
      <c r="V195" s="177">
        <v>43880</v>
      </c>
      <c r="W195" s="177">
        <v>43889</v>
      </c>
      <c r="X195" s="176">
        <v>84258</v>
      </c>
      <c r="Y195" s="177">
        <v>43916</v>
      </c>
      <c r="Z195" s="415">
        <v>2</v>
      </c>
      <c r="AA195" s="488"/>
      <c r="AB195" s="594"/>
      <c r="AC195" s="595"/>
      <c r="AD195" s="596"/>
      <c r="AE195" s="596"/>
      <c r="AF195" s="597" t="str">
        <f>IFERROR(INDEX(produtos_escape2!M:M,MATCH(Controle!H195,produtos_escape2!A:A,0)),"")</f>
        <v>TALA METÁLICA PARA IMOBILIZAÇÃO DE DEDO 12MM X 180MM</v>
      </c>
    </row>
    <row r="196" spans="1:32" ht="14.25" customHeight="1">
      <c r="A196" s="176" t="s">
        <v>7434</v>
      </c>
      <c r="B196" s="176" t="s">
        <v>3608</v>
      </c>
      <c r="C196" s="177">
        <v>43873</v>
      </c>
      <c r="D196" s="176" t="s">
        <v>7558</v>
      </c>
      <c r="E196" s="176" t="s">
        <v>1866</v>
      </c>
      <c r="F196" s="259" t="s">
        <v>7564</v>
      </c>
      <c r="G196" s="176">
        <v>3</v>
      </c>
      <c r="H196" s="178">
        <v>29822</v>
      </c>
      <c r="I196" s="592">
        <f t="shared" si="6"/>
        <v>2</v>
      </c>
      <c r="J196" s="178" t="s">
        <v>816</v>
      </c>
      <c r="K196" s="178" t="s">
        <v>816</v>
      </c>
      <c r="L196" s="275" t="str">
        <f>IF(H:H=0,"",IF(ISERROR(VLOOKUP(H:H,produtos_escape2!$A$2:$B$2794,2,FALSE)),"Código não cadastrado",(VLOOKUP(H:H,produtos_escape2!$A$2:$B$2794,2,FALSE))))</f>
        <v>TALA METÁLICA PARA IMOBILIZAÇÃO DE DEDO 19MM X 180MM, Composição alumínio 100% liga 1100 A H 14 com espessura de 1mm; com revestimento de espuma antialérgica com espessura de 9mm; tamanho 19mm x 180mm.</v>
      </c>
      <c r="M196" s="593" t="str">
        <f>IF(H:H=0,"",IF(ISERROR(VLOOKUP(H:H,produtos_escape2!$A$2:$D$2794,2,FALSE)),"Código não cadastrado",(VLOOKUP(H:H,produtos_escape2!$A$2:$D$2794,4,FALSE))))</f>
        <v>UN</v>
      </c>
      <c r="N196" s="486">
        <v>100</v>
      </c>
      <c r="O196" s="176" t="s">
        <v>3530</v>
      </c>
      <c r="P196" s="486">
        <v>96</v>
      </c>
      <c r="Q196" s="247">
        <v>0.95</v>
      </c>
      <c r="R196" s="246">
        <f t="shared" si="7"/>
        <v>91.199999999999989</v>
      </c>
      <c r="S196" s="177">
        <v>43875</v>
      </c>
      <c r="T196" s="182">
        <v>844</v>
      </c>
      <c r="U196" s="177">
        <v>43879</v>
      </c>
      <c r="V196" s="177">
        <v>43880</v>
      </c>
      <c r="W196" s="177">
        <v>43889</v>
      </c>
      <c r="X196" s="176">
        <v>84258</v>
      </c>
      <c r="Y196" s="177">
        <v>43916</v>
      </c>
      <c r="Z196" s="415">
        <v>2</v>
      </c>
      <c r="AA196" s="488"/>
      <c r="AB196" s="594"/>
      <c r="AC196" s="595"/>
      <c r="AD196" s="596"/>
      <c r="AE196" s="596"/>
      <c r="AF196" s="597" t="str">
        <f>IFERROR(INDEX(produtos_escape2!M:M,MATCH(Controle!H196,produtos_escape2!A:A,0)),"")</f>
        <v>TALA METÁLICA PARA IMOBILIZAÇÃO DE DEDO 19MM X 180MM</v>
      </c>
    </row>
    <row r="197" spans="1:32" ht="14.25" customHeight="1">
      <c r="A197" s="176" t="s">
        <v>7434</v>
      </c>
      <c r="B197" s="176" t="s">
        <v>3608</v>
      </c>
      <c r="C197" s="177">
        <v>43873</v>
      </c>
      <c r="D197" s="176" t="s">
        <v>7558</v>
      </c>
      <c r="E197" s="176" t="s">
        <v>1866</v>
      </c>
      <c r="F197" s="259" t="s">
        <v>7564</v>
      </c>
      <c r="G197" s="176">
        <v>4</v>
      </c>
      <c r="H197" s="178">
        <v>12117</v>
      </c>
      <c r="I197" s="592">
        <f t="shared" si="6"/>
        <v>2</v>
      </c>
      <c r="J197" s="178" t="s">
        <v>816</v>
      </c>
      <c r="K197" s="178" t="s">
        <v>816</v>
      </c>
      <c r="L197" s="275" t="str">
        <f>IF(H:H=0,"",IF(ISERROR(VLOOKUP(H:H,produtos_escape2!$A$2:$B$2794,2,FALSE)),"Código não cadastrado",(VLOOKUP(H:H,produtos_escape2!$A$2:$B$2794,2,FALSE))))</f>
        <v>SALTO ORTOPÉDICO GRANDE, Aplicação: correção ortopédica, Material: borracha, Tamanho/Capacidade: grande, Unidade De Fornecimento: unidade</v>
      </c>
      <c r="M197" s="593" t="str">
        <f>IF(H:H=0,"",IF(ISERROR(VLOOKUP(H:H,produtos_escape2!$A$2:$D$2794,2,FALSE)),"Código não cadastrado",(VLOOKUP(H:H,produtos_escape2!$A$2:$D$2794,4,FALSE))))</f>
        <v>UN</v>
      </c>
      <c r="N197" s="486">
        <v>100</v>
      </c>
      <c r="O197" s="176" t="s">
        <v>3530</v>
      </c>
      <c r="P197" s="486">
        <v>96</v>
      </c>
      <c r="Q197" s="247">
        <v>7</v>
      </c>
      <c r="R197" s="246">
        <f t="shared" si="7"/>
        <v>672</v>
      </c>
      <c r="S197" s="177">
        <v>43875</v>
      </c>
      <c r="T197" s="182">
        <v>844</v>
      </c>
      <c r="U197" s="177">
        <v>43879</v>
      </c>
      <c r="V197" s="177">
        <v>43880</v>
      </c>
      <c r="W197" s="177">
        <v>43889</v>
      </c>
      <c r="X197" s="176">
        <v>84258</v>
      </c>
      <c r="Y197" s="177">
        <v>43916</v>
      </c>
      <c r="Z197" s="415">
        <v>2</v>
      </c>
      <c r="AA197" s="488"/>
      <c r="AB197" s="594"/>
      <c r="AC197" s="595"/>
      <c r="AD197" s="596"/>
      <c r="AE197" s="596"/>
      <c r="AF197" s="597" t="str">
        <f>IFERROR(INDEX(produtos_escape2!M:M,MATCH(Controle!H197,produtos_escape2!A:A,0)),"")</f>
        <v>TINTA ESMALTE SINTÉTICO</v>
      </c>
    </row>
    <row r="198" spans="1:32" ht="14.25" customHeight="1">
      <c r="A198" s="176" t="s">
        <v>7313</v>
      </c>
      <c r="B198" s="176" t="s">
        <v>7207</v>
      </c>
      <c r="C198" s="177">
        <v>43874</v>
      </c>
      <c r="D198" s="176" t="s">
        <v>7565</v>
      </c>
      <c r="E198" s="176" t="s">
        <v>1866</v>
      </c>
      <c r="F198" s="259" t="s">
        <v>7566</v>
      </c>
      <c r="G198" s="176">
        <v>1</v>
      </c>
      <c r="H198" s="178">
        <v>17163</v>
      </c>
      <c r="I198" s="592">
        <f t="shared" si="6"/>
        <v>2</v>
      </c>
      <c r="J198" s="178" t="s">
        <v>816</v>
      </c>
      <c r="K198" s="178" t="s">
        <v>816</v>
      </c>
      <c r="L198" s="275" t="str">
        <f>IF(H:H=0,"",IF(ISERROR(VLOOKUP(H:H,produtos_escape2!$A$2:$B$2794,2,FALSE)),"Código não cadastrado",(VLOOKUP(H:H,produtos_escape2!$A$2:$B$2794,2,FALSE))))</f>
        <v>DISCO CD-R GRAVÁVEL, Tipo: gravável 52x, Capacidade: 700 mb, 80 min, Unidade De Fornecimento: tubo fechado com 50 unidades</v>
      </c>
      <c r="M198" s="593" t="str">
        <f>IF(H:H=0,"",IF(ISERROR(VLOOKUP(H:H,produtos_escape2!$A$2:$D$2794,2,FALSE)),"Código não cadastrado",(VLOOKUP(H:H,produtos_escape2!$A$2:$D$2794,4,FALSE))))</f>
        <v>TB</v>
      </c>
      <c r="N198" s="486">
        <v>20</v>
      </c>
      <c r="O198" s="176" t="s">
        <v>3407</v>
      </c>
      <c r="P198" s="486">
        <v>20</v>
      </c>
      <c r="Q198" s="247">
        <v>33.979999999999997</v>
      </c>
      <c r="R198" s="246">
        <f t="shared" si="7"/>
        <v>679.59999999999991</v>
      </c>
      <c r="S198" s="177">
        <v>43875</v>
      </c>
      <c r="T198" s="206">
        <v>837</v>
      </c>
      <c r="U198" s="177">
        <v>43878</v>
      </c>
      <c r="V198" s="177">
        <v>43878</v>
      </c>
      <c r="W198" s="177">
        <v>43878</v>
      </c>
      <c r="X198" s="176">
        <v>74587</v>
      </c>
      <c r="Y198" s="177">
        <v>43899</v>
      </c>
      <c r="Z198" s="415">
        <v>2</v>
      </c>
      <c r="AA198" s="488"/>
      <c r="AB198" s="594"/>
      <c r="AC198" s="595"/>
      <c r="AD198" s="596"/>
      <c r="AE198" s="596"/>
      <c r="AF198" s="597" t="str">
        <f>IFERROR(INDEX(produtos_escape2!M:M,MATCH(Controle!H198,produtos_escape2!A:A,0)),"")</f>
        <v>DISCO CD-R GRAVÁVEL</v>
      </c>
    </row>
    <row r="199" spans="1:32" ht="14.25" customHeight="1">
      <c r="A199" s="176" t="s">
        <v>7311</v>
      </c>
      <c r="B199" s="176" t="s">
        <v>7207</v>
      </c>
      <c r="C199" s="177">
        <v>43873</v>
      </c>
      <c r="D199" s="176" t="s">
        <v>7559</v>
      </c>
      <c r="E199" s="176" t="s">
        <v>3009</v>
      </c>
      <c r="F199" s="259" t="s">
        <v>7571</v>
      </c>
      <c r="G199" s="176">
        <v>1</v>
      </c>
      <c r="H199" s="178">
        <v>21072</v>
      </c>
      <c r="I199" s="592">
        <f t="shared" si="6"/>
        <v>1</v>
      </c>
      <c r="J199" s="178" t="s">
        <v>816</v>
      </c>
      <c r="K199" s="178" t="s">
        <v>816</v>
      </c>
      <c r="L199" s="275" t="str">
        <f>IF(H:H=0,"",IF(ISERROR(VLOOKUP(H:H,produtos_escape2!$A$2:$B$2794,2,FALSE)),"Código não cadastrado",(VLOOKUP(H:H,produtos_escape2!$A$2:$B$2794,2,FALSE))))</f>
        <v>CABO UTP,Apresentação: 4P x 24 Cat. 5E - azul, Unidade De Fornecimento: caixa com 305 metros|Código do Item: 3.3.90.30.26.02.0025.000001-02</v>
      </c>
      <c r="M199" s="593" t="str">
        <f>IF(H:H=0,"",IF(ISERROR(VLOOKUP(H:H,produtos_escape2!$A$2:$D$2794,2,FALSE)),"Código não cadastrado",(VLOOKUP(H:H,produtos_escape2!$A$2:$D$2794,4,FALSE))))</f>
        <v>CX</v>
      </c>
      <c r="N199" s="486">
        <v>5</v>
      </c>
      <c r="O199" s="176" t="s">
        <v>4149</v>
      </c>
      <c r="P199" s="486">
        <v>5</v>
      </c>
      <c r="Q199" s="247">
        <v>160</v>
      </c>
      <c r="R199" s="246">
        <f t="shared" si="7"/>
        <v>800</v>
      </c>
      <c r="S199" s="177">
        <v>43881</v>
      </c>
      <c r="T199" s="206">
        <v>1517</v>
      </c>
      <c r="U199" s="177">
        <v>43893</v>
      </c>
      <c r="V199" s="177">
        <v>43894</v>
      </c>
      <c r="W199" s="177">
        <v>43894</v>
      </c>
      <c r="X199" s="176">
        <v>84149</v>
      </c>
      <c r="Y199" s="177">
        <v>43916</v>
      </c>
      <c r="Z199" s="415">
        <v>2</v>
      </c>
      <c r="AA199" s="488"/>
      <c r="AB199" s="594"/>
      <c r="AC199" s="595"/>
      <c r="AD199" s="596"/>
      <c r="AE199" s="596"/>
      <c r="AF199" s="597" t="str">
        <f>IFERROR(INDEX(produtos_escape2!M:M,MATCH(Controle!H199,produtos_escape2!A:A,0)),"")</f>
        <v>CABO UTP CAT 5E</v>
      </c>
    </row>
    <row r="200" spans="1:32" ht="14.25" customHeight="1">
      <c r="A200" s="176" t="s">
        <v>7311</v>
      </c>
      <c r="B200" s="176" t="s">
        <v>7207</v>
      </c>
      <c r="C200" s="177">
        <v>43873</v>
      </c>
      <c r="D200" s="176" t="s">
        <v>7559</v>
      </c>
      <c r="E200" s="176" t="s">
        <v>3009</v>
      </c>
      <c r="F200" s="259" t="s">
        <v>7571</v>
      </c>
      <c r="G200" s="176">
        <v>2</v>
      </c>
      <c r="H200" s="178">
        <v>24547</v>
      </c>
      <c r="I200" s="592">
        <f t="shared" si="6"/>
        <v>1</v>
      </c>
      <c r="J200" s="178" t="s">
        <v>816</v>
      </c>
      <c r="K200" s="178" t="s">
        <v>816</v>
      </c>
      <c r="L200" s="275" t="str">
        <f>IF(H:H=0,"",IF(ISERROR(VLOOKUP(H:H,produtos_escape2!$A$2:$B$2794,2,FALSE)),"Código não cadastrado",(VLOOKUP(H:H,produtos_escape2!$A$2:$B$2794,2,FALSE))))</f>
        <v>MOUSE ÓPTICO, Tipo: tecnologia óptica, Características Adicionais: resolução mínima de 400 DPI, mínimo 02 (dois) botões, interface de comunicação: USB</v>
      </c>
      <c r="M200" s="593" t="str">
        <f>IF(H:H=0,"",IF(ISERROR(VLOOKUP(H:H,produtos_escape2!$A$2:$D$2794,2,FALSE)),"Código não cadastrado",(VLOOKUP(H:H,produtos_escape2!$A$2:$D$2794,4,FALSE))))</f>
        <v>UN</v>
      </c>
      <c r="N200" s="486">
        <v>100</v>
      </c>
      <c r="O200" s="176" t="s">
        <v>4432</v>
      </c>
      <c r="P200" s="486">
        <v>100</v>
      </c>
      <c r="Q200" s="247">
        <v>7.8</v>
      </c>
      <c r="R200" s="246">
        <f t="shared" si="7"/>
        <v>780</v>
      </c>
      <c r="S200" s="177">
        <v>43881</v>
      </c>
      <c r="T200" s="182">
        <v>8676</v>
      </c>
      <c r="U200" s="177">
        <v>43893</v>
      </c>
      <c r="V200" s="177">
        <v>43895</v>
      </c>
      <c r="W200" s="177">
        <v>43896</v>
      </c>
      <c r="X200" s="176">
        <v>84210</v>
      </c>
      <c r="Y200" s="177">
        <v>43916</v>
      </c>
      <c r="Z200" s="415">
        <v>2</v>
      </c>
      <c r="AA200" s="488"/>
      <c r="AB200" s="594"/>
      <c r="AC200" s="595"/>
      <c r="AD200" s="596"/>
      <c r="AE200" s="596"/>
      <c r="AF200" s="597" t="str">
        <f>IFERROR(INDEX(produtos_escape2!M:M,MATCH(Controle!H200,produtos_escape2!A:A,0)),"")</f>
        <v>MOUSE ÓPTICO</v>
      </c>
    </row>
    <row r="201" spans="1:32" ht="14.25" customHeight="1">
      <c r="A201" s="176" t="s">
        <v>7311</v>
      </c>
      <c r="B201" s="176" t="s">
        <v>7207</v>
      </c>
      <c r="C201" s="177">
        <v>43873</v>
      </c>
      <c r="D201" s="176" t="s">
        <v>7559</v>
      </c>
      <c r="E201" s="176" t="s">
        <v>3009</v>
      </c>
      <c r="F201" s="259" t="s">
        <v>7571</v>
      </c>
      <c r="G201" s="176">
        <v>3</v>
      </c>
      <c r="H201" s="178">
        <v>200293</v>
      </c>
      <c r="I201" s="592">
        <f t="shared" si="6"/>
        <v>1</v>
      </c>
      <c r="J201" s="178" t="s">
        <v>816</v>
      </c>
      <c r="K201" s="178" t="s">
        <v>816</v>
      </c>
      <c r="L201" s="275" t="str">
        <f>IF(H:H=0,"",IF(ISERROR(VLOOKUP(H:H,produtos_escape2!$A$2:$B$2794,2,FALSE)),"Código não cadastrado",(VLOOKUP(H:H,produtos_escape2!$A$2:$B$2794,2,FALSE))))</f>
        <v>HD 200GB de 7.200 RPM IDE ULTRA-ATA 133. MARCA: SEAGATE</v>
      </c>
      <c r="M201" s="593" t="str">
        <f>IF(H:H=0,"",IF(ISERROR(VLOOKUP(H:H,produtos_escape2!$A$2:$D$2794,2,FALSE)),"Código não cadastrado",(VLOOKUP(H:H,produtos_escape2!$A$2:$D$2794,4,FALSE))))</f>
        <v>UM</v>
      </c>
      <c r="N201" s="486">
        <v>50</v>
      </c>
      <c r="O201" s="176" t="s">
        <v>7283</v>
      </c>
      <c r="P201" s="486">
        <v>50</v>
      </c>
      <c r="Q201" s="247">
        <v>129</v>
      </c>
      <c r="R201" s="246">
        <f t="shared" si="7"/>
        <v>6450</v>
      </c>
      <c r="S201" s="177">
        <v>43881</v>
      </c>
      <c r="T201" s="182">
        <v>1456</v>
      </c>
      <c r="U201" s="177">
        <v>43888</v>
      </c>
      <c r="V201" s="177">
        <v>43895</v>
      </c>
      <c r="W201" s="177">
        <v>43896</v>
      </c>
      <c r="X201" s="176">
        <v>84212</v>
      </c>
      <c r="Y201" s="177">
        <v>43916</v>
      </c>
      <c r="Z201" s="415">
        <v>2</v>
      </c>
      <c r="AA201" s="488"/>
      <c r="AB201" s="594"/>
      <c r="AC201" s="595"/>
      <c r="AD201" s="596"/>
      <c r="AE201" s="596"/>
      <c r="AF201" s="597" t="str">
        <f>IFERROR(INDEX(produtos_escape2!M:M,MATCH(Controle!H201,produtos_escape2!A:A,0)),"")</f>
        <v>HD 200 GB</v>
      </c>
    </row>
    <row r="202" spans="1:32" ht="14.25" customHeight="1">
      <c r="A202" s="176" t="s">
        <v>7442</v>
      </c>
      <c r="B202" s="176" t="s">
        <v>3608</v>
      </c>
      <c r="C202" s="177">
        <v>43874</v>
      </c>
      <c r="D202" s="176" t="s">
        <v>7567</v>
      </c>
      <c r="E202" s="176" t="s">
        <v>3009</v>
      </c>
      <c r="F202" s="259" t="s">
        <v>7572</v>
      </c>
      <c r="G202" s="176">
        <v>1</v>
      </c>
      <c r="H202" s="178">
        <v>92141</v>
      </c>
      <c r="I202" s="592">
        <f t="shared" si="6"/>
        <v>1</v>
      </c>
      <c r="J202" s="178" t="s">
        <v>816</v>
      </c>
      <c r="K202" s="178" t="s">
        <v>816</v>
      </c>
      <c r="L202" s="275" t="str">
        <f>IF(H:H=0,"",IF(ISERROR(VLOOKUP(H:H,produtos_escape2!$A$2:$B$2794,2,FALSE)),"Código não cadastrado",(VLOOKUP(H:H,produtos_escape2!$A$2:$B$2794,2,FALSE))))</f>
        <v>CATETER UMBILICAL MONO LÚMEN 5 A 6FR USO NEONATAL EM POLIURETANO II FLEXÍVEL RADIOPACO COM MARCAÇÃO DE PROFUNDIDADE A CADA 1CM EXTREMIDADE ARRENDONDADA E ATRAUMÁTICA CONECTOR LUER  ESTÉRIL. **A marca GMI da GABISA apresentou problemas.**</v>
      </c>
      <c r="M202" s="593" t="str">
        <f>IF(H:H=0,"",IF(ISERROR(VLOOKUP(H:H,produtos_escape2!$A$2:$D$2794,2,FALSE)),"Código não cadastrado",(VLOOKUP(H:H,produtos_escape2!$A$2:$D$2794,4,FALSE))))</f>
        <v>UN</v>
      </c>
      <c r="N202" s="486">
        <v>30</v>
      </c>
      <c r="O202" s="176" t="s">
        <v>3530</v>
      </c>
      <c r="P202" s="486">
        <v>30</v>
      </c>
      <c r="Q202" s="247">
        <v>8</v>
      </c>
      <c r="R202" s="246">
        <f t="shared" si="7"/>
        <v>240</v>
      </c>
      <c r="S202" s="177">
        <v>43881</v>
      </c>
      <c r="T202" s="182">
        <v>856</v>
      </c>
      <c r="U202" s="177">
        <v>43888</v>
      </c>
      <c r="V202" s="177">
        <v>43889</v>
      </c>
      <c r="W202" s="177">
        <v>43894</v>
      </c>
      <c r="X202" s="176">
        <v>84256</v>
      </c>
      <c r="Y202" s="177">
        <v>43916</v>
      </c>
      <c r="Z202" s="415">
        <v>2</v>
      </c>
      <c r="AA202" s="488"/>
      <c r="AB202" s="594"/>
      <c r="AC202" s="595"/>
      <c r="AD202" s="596"/>
      <c r="AE202" s="596"/>
      <c r="AF202" s="597" t="str">
        <f>IFERROR(INDEX(produtos_escape2!M:M,MATCH(Controle!H202,produtos_escape2!A:A,0)),"")</f>
        <v>CATETER UMBILICAL MONO LÚMEN 5 A 6FR ARRENDONDADA E ATRAUMÁTICA CONECTOR LUER  ESTÉRIL</v>
      </c>
    </row>
    <row r="203" spans="1:32" ht="14.25" customHeight="1">
      <c r="A203" s="176" t="s">
        <v>7442</v>
      </c>
      <c r="B203" s="176" t="s">
        <v>3608</v>
      </c>
      <c r="C203" s="177">
        <v>43874</v>
      </c>
      <c r="D203" s="176" t="s">
        <v>7567</v>
      </c>
      <c r="E203" s="176" t="s">
        <v>3009</v>
      </c>
      <c r="F203" s="259" t="s">
        <v>7572</v>
      </c>
      <c r="G203" s="176">
        <v>2</v>
      </c>
      <c r="H203" s="178">
        <v>35209</v>
      </c>
      <c r="I203" s="592">
        <f t="shared" si="6"/>
        <v>1</v>
      </c>
      <c r="J203" s="178" t="s">
        <v>816</v>
      </c>
      <c r="K203" s="178" t="s">
        <v>816</v>
      </c>
      <c r="L203" s="275" t="str">
        <f>IF(H:H=0,"",IF(ISERROR(VLOOKUP(H:H,produtos_escape2!$A$2:$B$2794,2,FALSE)),"Código não cadastrado",(VLOOKUP(H:H,produtos_escape2!$A$2:$B$2794,2,FALSE))))</f>
        <v>EQUIPO MICROGOTAS GRAVITACIONAL, COM BURETA – 150ML, ESTÉRIL.  Finalidade: administração de soluções parenterais. Composição: PVC atóxico. Tamanho/Capacidade: equipo gravitacional, com tubo de comprimento mínimo de 1,20m e bureta de 150 mL.  Características: bureta com precisão de leitura de 1 mL e numerada a cada 5 ou 10mL, que permita boa visualização da medicação. Alça de sustentação para fixação e transporte. Câmara gotejadora flexível, com filtro e comprimento de 40mm, que assegure que 60 microgotas sejam equivalentes a 1mL. Injetor lateral, apirogênico, autocicatrizante. Ponta perfurante com tampa protetora, que permita conexão segura e facilite a introdução em recipientes de soluções sem risco de desconectar durante o seu uso. Bureta em sua porção superior com injetor para medicação, filtro de entrada de ar e membrana autocicatrizante, que não permita vazamento em suas junções. Tubo de no mínimo 1,20m, transparente, flexível, atóxico, com regulador de fluxo tipo rolete que garanta perfeito controle de gotejamento. Terminal distal, que permita perfeita adaptação aos dispositivos de acesso venoso, com tampa protetora de fácil remoção. Processo de esterilização: óxido de etileno. Prazo de validade: 75% da data de esterilização. Embalagem: embalagem individual em papel grau cirúrgico, ou similar que garanta a abertura em técnica asséptica.</v>
      </c>
      <c r="M203" s="593" t="str">
        <f>IF(H:H=0,"",IF(ISERROR(VLOOKUP(H:H,produtos_escape2!$A$2:$D$2794,2,FALSE)),"Código não cadastrado",(VLOOKUP(H:H,produtos_escape2!$A$2:$D$2794,4,FALSE))))</f>
        <v>UN</v>
      </c>
      <c r="N203" s="486">
        <v>400</v>
      </c>
      <c r="O203" s="176" t="s">
        <v>3530</v>
      </c>
      <c r="P203" s="486">
        <v>400</v>
      </c>
      <c r="Q203" s="247">
        <v>4.8499999999999996</v>
      </c>
      <c r="R203" s="246">
        <f t="shared" si="7"/>
        <v>1939.9999999999998</v>
      </c>
      <c r="S203" s="177">
        <v>43881</v>
      </c>
      <c r="T203" s="182">
        <v>856</v>
      </c>
      <c r="U203" s="177">
        <v>43888</v>
      </c>
      <c r="V203" s="177">
        <v>43889</v>
      </c>
      <c r="W203" s="177">
        <v>43894</v>
      </c>
      <c r="X203" s="176">
        <v>84256</v>
      </c>
      <c r="Y203" s="177">
        <v>43916</v>
      </c>
      <c r="Z203" s="415">
        <v>2</v>
      </c>
      <c r="AA203" s="488"/>
      <c r="AB203" s="594"/>
      <c r="AC203" s="595"/>
      <c r="AD203" s="596"/>
      <c r="AE203" s="596"/>
      <c r="AF203" s="597" t="str">
        <f>IFERROR(INDEX(produtos_escape2!M:M,MATCH(Controle!H203,produtos_escape2!A:A,0)),"")</f>
        <v>EQUIPO MICROGOTAS COM BURETA</v>
      </c>
    </row>
    <row r="204" spans="1:32" ht="14.25" customHeight="1">
      <c r="A204" s="176" t="s">
        <v>7442</v>
      </c>
      <c r="B204" s="176" t="s">
        <v>3608</v>
      </c>
      <c r="C204" s="177">
        <v>43874</v>
      </c>
      <c r="D204" s="176" t="s">
        <v>7567</v>
      </c>
      <c r="E204" s="176" t="s">
        <v>3009</v>
      </c>
      <c r="F204" s="259" t="s">
        <v>7572</v>
      </c>
      <c r="G204" s="176">
        <v>3</v>
      </c>
      <c r="H204" s="178">
        <v>90954</v>
      </c>
      <c r="I204" s="592">
        <f t="shared" si="6"/>
        <v>2</v>
      </c>
      <c r="J204" s="178" t="s">
        <v>816</v>
      </c>
      <c r="K204" s="178" t="s">
        <v>816</v>
      </c>
      <c r="L204" s="275" t="str">
        <f>IF(H:H=0,"",IF(ISERROR(VLOOKUP(H:H,produtos_escape2!$A$2:$B$2794,2,FALSE)),"Código não cadastrado",(VLOOKUP(H:H,produtos_escape2!$A$2:$B$2794,2,FALSE))))</f>
        <v>AGUA PARA INJETAVEIS FRASCO OU BOLSA 500 ML</v>
      </c>
      <c r="M204" s="593" t="str">
        <f>IF(H:H=0,"",IF(ISERROR(VLOOKUP(H:H,produtos_escape2!$A$2:$D$2794,2,FALSE)),"Código não cadastrado",(VLOOKUP(H:H,produtos_escape2!$A$2:$D$2794,4,FALSE))))</f>
        <v>UN</v>
      </c>
      <c r="N204" s="486">
        <v>600</v>
      </c>
      <c r="O204" s="176" t="s">
        <v>4109</v>
      </c>
      <c r="P204" s="486">
        <v>375</v>
      </c>
      <c r="Q204" s="247">
        <v>2.52</v>
      </c>
      <c r="R204" s="246">
        <f t="shared" si="7"/>
        <v>945</v>
      </c>
      <c r="S204" s="177">
        <v>43881</v>
      </c>
      <c r="T204" s="182">
        <v>75755</v>
      </c>
      <c r="U204" s="177">
        <v>43882</v>
      </c>
      <c r="V204" s="177">
        <v>43882</v>
      </c>
      <c r="W204" s="177">
        <v>43889</v>
      </c>
      <c r="X204" s="176">
        <v>84259</v>
      </c>
      <c r="Y204" s="177">
        <v>43916</v>
      </c>
      <c r="Z204" s="415">
        <v>2</v>
      </c>
      <c r="AA204" s="488"/>
      <c r="AB204" s="594"/>
      <c r="AC204" s="595"/>
      <c r="AD204" s="596"/>
      <c r="AE204" s="596"/>
      <c r="AF204" s="597" t="str">
        <f>IFERROR(INDEX(produtos_escape2!M:M,MATCH(Controle!H204,produtos_escape2!A:A,0)),"")</f>
        <v>AGUA PARA INJETAVEIS FRASCO OU BOLSA 500 ML</v>
      </c>
    </row>
    <row r="205" spans="1:32" ht="14.25" customHeight="1">
      <c r="A205" s="176" t="s">
        <v>7443</v>
      </c>
      <c r="B205" s="176" t="s">
        <v>3608</v>
      </c>
      <c r="C205" s="177">
        <v>43874</v>
      </c>
      <c r="D205" s="176" t="s">
        <v>7570</v>
      </c>
      <c r="E205" s="176" t="s">
        <v>3009</v>
      </c>
      <c r="F205" s="259" t="s">
        <v>7573</v>
      </c>
      <c r="G205" s="176">
        <v>1</v>
      </c>
      <c r="H205" s="178">
        <v>52018</v>
      </c>
      <c r="I205" s="592">
        <f t="shared" si="6"/>
        <v>2</v>
      </c>
      <c r="J205" s="178" t="s">
        <v>816</v>
      </c>
      <c r="K205" s="178" t="s">
        <v>816</v>
      </c>
      <c r="L205" s="275" t="str">
        <f>IF(H:H=0,"",IF(ISERROR(VLOOKUP(H:H,produtos_escape2!$A$2:$B$2794,2,FALSE)),"Código não cadastrado",(VLOOKUP(H:H,produtos_escape2!$A$2:$B$2794,2,FALSE))))</f>
        <v>ALFAEPOETINA SOLUÇAO INJETAVEL 4000 UI SERINGA PREENCHIDA OU FRASCO-AMPOLA OU AMPOLA</v>
      </c>
      <c r="M205" s="593" t="str">
        <f>IF(H:H=0,"",IF(ISERROR(VLOOKUP(H:H,produtos_escape2!$A$2:$D$2794,2,FALSE)),"Código não cadastrado",(VLOOKUP(H:H,produtos_escape2!$A$2:$D$2794,4,FALSE))))</f>
        <v>UN</v>
      </c>
      <c r="N205" s="486">
        <v>150</v>
      </c>
      <c r="O205" s="176" t="s">
        <v>7371</v>
      </c>
      <c r="P205" s="486">
        <v>150</v>
      </c>
      <c r="Q205" s="247">
        <v>18.579999999999998</v>
      </c>
      <c r="R205" s="246">
        <f t="shared" si="7"/>
        <v>2786.9999999999995</v>
      </c>
      <c r="S205" s="177">
        <v>43881</v>
      </c>
      <c r="T205" s="182">
        <v>307827</v>
      </c>
      <c r="U205" s="177">
        <v>43882</v>
      </c>
      <c r="V205" s="177">
        <v>43882</v>
      </c>
      <c r="W205" s="177">
        <v>43889</v>
      </c>
      <c r="X205" s="176">
        <v>84255</v>
      </c>
      <c r="Y205" s="177">
        <v>43916</v>
      </c>
      <c r="Z205" s="415">
        <v>2</v>
      </c>
      <c r="AA205" s="602"/>
      <c r="AB205" s="594"/>
      <c r="AC205" s="595"/>
      <c r="AD205" s="596"/>
      <c r="AE205" s="596"/>
      <c r="AF205" s="597" t="str">
        <f>IFERROR(INDEX(produtos_escape2!M:M,MATCH(Controle!H205,produtos_escape2!A:A,0)),"")</f>
        <v>ALFAEPOETINA SOLUÇAO INJETAVEL 4000 UI SERINGA PREENCHIDA OU FRASCO-AMPOLA OU AMPOLA</v>
      </c>
    </row>
    <row r="206" spans="1:32" ht="14.25" customHeight="1">
      <c r="A206" s="176" t="s">
        <v>7443</v>
      </c>
      <c r="B206" s="176" t="s">
        <v>3608</v>
      </c>
      <c r="C206" s="177">
        <v>43874</v>
      </c>
      <c r="D206" s="176" t="s">
        <v>7570</v>
      </c>
      <c r="E206" s="176" t="s">
        <v>3009</v>
      </c>
      <c r="F206" s="259" t="s">
        <v>7573</v>
      </c>
      <c r="G206" s="176">
        <v>2</v>
      </c>
      <c r="H206" s="178">
        <v>34535</v>
      </c>
      <c r="I206" s="592">
        <f t="shared" si="6"/>
        <v>2</v>
      </c>
      <c r="J206" s="178" t="s">
        <v>816</v>
      </c>
      <c r="K206" s="178" t="s">
        <v>816</v>
      </c>
      <c r="L206" s="275" t="str">
        <f>IF(H:H=0,"",IF(ISERROR(VLOOKUP(H:H,produtos_escape2!$A$2:$B$2794,2,FALSE)),"Código não cadastrado",(VLOOKUP(H:H,produtos_escape2!$A$2:$B$2794,2,FALSE))))</f>
        <v>CLOREXIDINA SOLUCAO AQUOSA 10 MG/ML (1%) FRASCO 1000 ML - SOLUCAO TOPICA</v>
      </c>
      <c r="M206" s="593" t="str">
        <f>IF(H:H=0,"",IF(ISERROR(VLOOKUP(H:H,produtos_escape2!$A$2:$D$2794,2,FALSE)),"Código não cadastrado",(VLOOKUP(H:H,produtos_escape2!$A$2:$D$2794,4,FALSE))))</f>
        <v>FR</v>
      </c>
      <c r="N206" s="486">
        <v>96</v>
      </c>
      <c r="O206" s="176" t="s">
        <v>4398</v>
      </c>
      <c r="P206" s="486">
        <v>96</v>
      </c>
      <c r="Q206" s="247">
        <v>6.4589999999999996</v>
      </c>
      <c r="R206" s="246">
        <f t="shared" si="7"/>
        <v>620.06399999999996</v>
      </c>
      <c r="S206" s="177">
        <v>43881</v>
      </c>
      <c r="T206" s="182">
        <v>1263269</v>
      </c>
      <c r="U206" s="177">
        <v>43882</v>
      </c>
      <c r="V206" s="177">
        <v>43889</v>
      </c>
      <c r="W206" s="177">
        <v>43894</v>
      </c>
      <c r="X206" s="176">
        <v>84071</v>
      </c>
      <c r="Y206" s="177">
        <v>43916</v>
      </c>
      <c r="Z206" s="415">
        <v>2</v>
      </c>
      <c r="AA206" s="488"/>
      <c r="AB206" s="594"/>
      <c r="AC206" s="595"/>
      <c r="AD206" s="596"/>
      <c r="AE206" s="596"/>
      <c r="AF206" s="597" t="str">
        <f>IFERROR(INDEX(produtos_escape2!M:M,MATCH(Controle!H206,produtos_escape2!A:A,0)),"")</f>
        <v>CLOREXIDINA SOLUCAO AQUOSA 10 MG/ML (1%) FRASCO 1000 ML - SOLUCAO TOPICA</v>
      </c>
    </row>
    <row r="207" spans="1:32" ht="14.25" customHeight="1">
      <c r="A207" s="176" t="s">
        <v>7443</v>
      </c>
      <c r="B207" s="176" t="s">
        <v>3608</v>
      </c>
      <c r="C207" s="177">
        <v>43874</v>
      </c>
      <c r="D207" s="176" t="s">
        <v>7570</v>
      </c>
      <c r="E207" s="176" t="s">
        <v>3009</v>
      </c>
      <c r="F207" s="259" t="s">
        <v>7573</v>
      </c>
      <c r="G207" s="176">
        <v>3</v>
      </c>
      <c r="H207" s="178">
        <v>90708</v>
      </c>
      <c r="I207" s="592">
        <f t="shared" si="6"/>
        <v>3</v>
      </c>
      <c r="J207" s="178" t="s">
        <v>816</v>
      </c>
      <c r="K207" s="178" t="s">
        <v>816</v>
      </c>
      <c r="L207" s="275" t="str">
        <f>IF(H:H=0,"",IF(ISERROR(VLOOKUP(H:H,produtos_escape2!$A$2:$B$2794,2,FALSE)),"Código não cadastrado",(VLOOKUP(H:H,produtos_escape2!$A$2:$B$2794,2,FALSE))))</f>
        <v xml:space="preserve">METRONIDAZOL COMPRIMIDO 400 MG </v>
      </c>
      <c r="M207" s="593" t="str">
        <f>IF(H:H=0,"",IF(ISERROR(VLOOKUP(H:H,produtos_escape2!$A$2:$D$2794,2,FALSE)),"Código não cadastrado",(VLOOKUP(H:H,produtos_escape2!$A$2:$D$2794,4,FALSE))))</f>
        <v>CP</v>
      </c>
      <c r="N207" s="486">
        <v>900</v>
      </c>
      <c r="O207" s="176" t="s">
        <v>3882</v>
      </c>
      <c r="P207" s="486">
        <v>888</v>
      </c>
      <c r="Q207" s="247">
        <v>0.45999999999999996</v>
      </c>
      <c r="R207" s="246">
        <f t="shared" si="7"/>
        <v>408.47999999999996</v>
      </c>
      <c r="S207" s="177">
        <v>43881</v>
      </c>
      <c r="T207" s="182">
        <v>68627</v>
      </c>
      <c r="U207" s="177">
        <v>43888</v>
      </c>
      <c r="V207" s="177">
        <v>43889</v>
      </c>
      <c r="W207" s="177">
        <v>43894</v>
      </c>
      <c r="X207" s="176">
        <v>84080</v>
      </c>
      <c r="Y207" s="177">
        <v>43916</v>
      </c>
      <c r="Z207" s="415">
        <v>2</v>
      </c>
      <c r="AA207" s="488"/>
      <c r="AB207" s="594"/>
      <c r="AC207" s="595"/>
      <c r="AD207" s="596"/>
      <c r="AE207" s="596"/>
      <c r="AF207" s="597" t="str">
        <f>IFERROR(INDEX(produtos_escape2!M:M,MATCH(Controle!H207,produtos_escape2!A:A,0)),"")</f>
        <v xml:space="preserve">METRONIDAZOL COMPRIMIDO 400 MG </v>
      </c>
    </row>
    <row r="208" spans="1:32" ht="14.25" customHeight="1">
      <c r="A208" s="176" t="s">
        <v>7443</v>
      </c>
      <c r="B208" s="176" t="s">
        <v>3608</v>
      </c>
      <c r="C208" s="177">
        <v>43874</v>
      </c>
      <c r="D208" s="176" t="s">
        <v>7570</v>
      </c>
      <c r="E208" s="176" t="s">
        <v>3009</v>
      </c>
      <c r="F208" s="259" t="s">
        <v>7573</v>
      </c>
      <c r="G208" s="176">
        <v>4</v>
      </c>
      <c r="H208" s="178">
        <v>90505</v>
      </c>
      <c r="I208" s="592">
        <f t="shared" si="6"/>
        <v>2</v>
      </c>
      <c r="J208" s="178" t="s">
        <v>816</v>
      </c>
      <c r="K208" s="178" t="s">
        <v>816</v>
      </c>
      <c r="L208" s="275" t="str">
        <f>IF(H:H=0,"",IF(ISERROR(VLOOKUP(H:H,produtos_escape2!$A$2:$B$2794,2,FALSE)),"Código não cadastrado",(VLOOKUP(H:H,produtos_escape2!$A$2:$B$2794,2,FALSE))))</f>
        <v>OLEO MINERAL 100 % PURO FRASCO 100 ML</v>
      </c>
      <c r="M208" s="593" t="str">
        <f>IF(H:H=0,"",IF(ISERROR(VLOOKUP(H:H,produtos_escape2!$A$2:$D$2794,2,FALSE)),"Código não cadastrado",(VLOOKUP(H:H,produtos_escape2!$A$2:$D$2794,4,FALSE))))</f>
        <v>FR</v>
      </c>
      <c r="N208" s="486">
        <v>200</v>
      </c>
      <c r="O208" s="176" t="s">
        <v>7337</v>
      </c>
      <c r="P208" s="486">
        <v>200</v>
      </c>
      <c r="Q208" s="247">
        <v>1.7</v>
      </c>
      <c r="R208" s="246">
        <f t="shared" si="7"/>
        <v>340</v>
      </c>
      <c r="S208" s="177">
        <v>43881</v>
      </c>
      <c r="T208" s="182">
        <v>10198</v>
      </c>
      <c r="U208" s="177">
        <v>43881</v>
      </c>
      <c r="V208" s="177">
        <v>43882</v>
      </c>
      <c r="W208" s="177">
        <v>43889</v>
      </c>
      <c r="X208" s="176">
        <v>84073</v>
      </c>
      <c r="Y208" s="177">
        <v>43916</v>
      </c>
      <c r="Z208" s="415">
        <v>2</v>
      </c>
      <c r="AA208" s="488"/>
      <c r="AB208" s="594"/>
      <c r="AC208" s="595"/>
      <c r="AD208" s="596"/>
      <c r="AE208" s="596"/>
      <c r="AF208" s="597" t="str">
        <f>IFERROR(INDEX(produtos_escape2!M:M,MATCH(Controle!H208,produtos_escape2!A:A,0)),"")</f>
        <v>OLEO MINERAL 100 % PURO FRASCO 100 ML</v>
      </c>
    </row>
    <row r="209" spans="1:32" ht="14.25" customHeight="1">
      <c r="A209" s="176" t="s">
        <v>7443</v>
      </c>
      <c r="B209" s="176" t="s">
        <v>3608</v>
      </c>
      <c r="C209" s="177">
        <v>43874</v>
      </c>
      <c r="D209" s="176" t="s">
        <v>7570</v>
      </c>
      <c r="E209" s="176" t="s">
        <v>3009</v>
      </c>
      <c r="F209" s="259" t="s">
        <v>7573</v>
      </c>
      <c r="G209" s="176">
        <v>5</v>
      </c>
      <c r="H209" s="178">
        <v>17684</v>
      </c>
      <c r="I209" s="592">
        <f t="shared" si="6"/>
        <v>6</v>
      </c>
      <c r="J209" s="178" t="s">
        <v>816</v>
      </c>
      <c r="K209" s="178" t="s">
        <v>816</v>
      </c>
      <c r="L209" s="275"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209" s="593" t="str">
        <f>IF(H:H=0,"",IF(ISERROR(VLOOKUP(H:H,produtos_escape2!$A$2:$D$2794,2,FALSE)),"Código não cadastrado",(VLOOKUP(H:H,produtos_escape2!$A$2:$D$2794,4,FALSE))))</f>
        <v>GR</v>
      </c>
      <c r="N209" s="486">
        <v>8000</v>
      </c>
      <c r="O209" s="176" t="s">
        <v>7372</v>
      </c>
      <c r="P209" s="486">
        <v>8000</v>
      </c>
      <c r="Q209" s="247">
        <v>2.5000000000000001E-2</v>
      </c>
      <c r="R209" s="246">
        <f t="shared" si="7"/>
        <v>200</v>
      </c>
      <c r="S209" s="177">
        <v>43881</v>
      </c>
      <c r="T209" s="182">
        <v>443328</v>
      </c>
      <c r="U209" s="177">
        <v>43889</v>
      </c>
      <c r="V209" s="177">
        <v>43892</v>
      </c>
      <c r="W209" s="177">
        <v>43894</v>
      </c>
      <c r="X209" s="176">
        <v>84205</v>
      </c>
      <c r="Y209" s="177">
        <v>43916</v>
      </c>
      <c r="Z209" s="415">
        <v>2</v>
      </c>
      <c r="AA209" s="488"/>
      <c r="AB209" s="594"/>
      <c r="AC209" s="595"/>
      <c r="AD209" s="596"/>
      <c r="AE209" s="596"/>
      <c r="AF209" s="597" t="str">
        <f>IFERROR(INDEX(produtos_escape2!M:M,MATCH(Controle!H209,produtos_escape2!A:A,0)),"")</f>
        <v>FÓRMULA INFANTIL PARA LACTENTES</v>
      </c>
    </row>
    <row r="210" spans="1:32" ht="14.25" customHeight="1">
      <c r="A210" s="176" t="s">
        <v>7453</v>
      </c>
      <c r="B210" s="176" t="s">
        <v>3608</v>
      </c>
      <c r="C210" s="177">
        <v>43879</v>
      </c>
      <c r="D210" s="176" t="s">
        <v>7593</v>
      </c>
      <c r="E210" s="176" t="s">
        <v>1866</v>
      </c>
      <c r="F210" s="259" t="s">
        <v>7594</v>
      </c>
      <c r="G210" s="176">
        <v>1</v>
      </c>
      <c r="H210" s="178">
        <v>25066</v>
      </c>
      <c r="I210" s="592">
        <f t="shared" si="6"/>
        <v>2</v>
      </c>
      <c r="J210" s="178" t="s">
        <v>816</v>
      </c>
      <c r="K210" s="178" t="s">
        <v>816</v>
      </c>
      <c r="L210" s="275" t="str">
        <f>IF(H:H=0,"",IF(ISERROR(VLOOKUP(H:H,produtos_escape2!$A$2:$B$2794,2,FALSE)),"Código não cadastrado",(VLOOKUP(H:H,produtos_escape2!$A$2:$B$2794,2,FALSE))))</f>
        <v>CURATIVO DE ALGINATO DE CÁLCIO E/OU CARBOXIMETILCELULOSE (CURATIVO DE HIDROGEL), ESTÉRIL. Aplicação: desbridamento e manutenção da umidade da ferida. Características Adicionais: composição adicional de alginato de cálcio e/ou carboximetilcelulose, excipiente aquoso transparente e viscoso. Apresentação: tubo ou bisnaga de no máximo 25 gramas. Unidade de Estoque: grama (GR).</v>
      </c>
      <c r="M210" s="593" t="str">
        <f>IF(H:H=0,"",IF(ISERROR(VLOOKUP(H:H,produtos_escape2!$A$2:$D$2794,2,FALSE)),"Código não cadastrado",(VLOOKUP(H:H,produtos_escape2!$A$2:$D$2794,4,FALSE))))</f>
        <v>GR</v>
      </c>
      <c r="N210" s="486">
        <v>10000</v>
      </c>
      <c r="O210" s="176" t="s">
        <v>4398</v>
      </c>
      <c r="P210" s="486">
        <v>10000</v>
      </c>
      <c r="Q210" s="247">
        <v>0.25679999999999997</v>
      </c>
      <c r="R210" s="246">
        <f t="shared" si="7"/>
        <v>2567.9999999999995</v>
      </c>
      <c r="S210" s="177">
        <v>43881</v>
      </c>
      <c r="T210" s="182">
        <v>1262506</v>
      </c>
      <c r="U210" s="177">
        <v>43881</v>
      </c>
      <c r="V210" s="177">
        <v>43888</v>
      </c>
      <c r="W210" s="177">
        <v>43894</v>
      </c>
      <c r="X210" s="176">
        <v>84245</v>
      </c>
      <c r="Y210" s="177">
        <v>43916</v>
      </c>
      <c r="Z210" s="415">
        <v>2</v>
      </c>
      <c r="AA210" s="488"/>
      <c r="AB210" s="594"/>
      <c r="AC210" s="595"/>
      <c r="AD210" s="596"/>
      <c r="AE210" s="596"/>
      <c r="AF210" s="597" t="str">
        <f>IFERROR(INDEX(produtos_escape2!M:M,MATCH(Controle!H210,produtos_escape2!A:A,0)),"")</f>
        <v>CURATIVO DE ALGINATO DE CÁLCIO E/OU CARBOXIMETILCELULOSE</v>
      </c>
    </row>
    <row r="211" spans="1:32" ht="14.25" customHeight="1">
      <c r="A211" s="176" t="s">
        <v>7454</v>
      </c>
      <c r="B211" s="176" t="s">
        <v>3608</v>
      </c>
      <c r="C211" s="177">
        <v>43879</v>
      </c>
      <c r="D211" s="176" t="s">
        <v>7592</v>
      </c>
      <c r="E211" s="176" t="s">
        <v>1866</v>
      </c>
      <c r="F211" s="259" t="s">
        <v>7595</v>
      </c>
      <c r="G211" s="176">
        <v>1</v>
      </c>
      <c r="H211" s="178">
        <v>10232</v>
      </c>
      <c r="I211" s="592">
        <f t="shared" si="6"/>
        <v>1</v>
      </c>
      <c r="J211" s="178" t="s">
        <v>816</v>
      </c>
      <c r="K211" s="178" t="s">
        <v>816</v>
      </c>
      <c r="L211" s="275" t="str">
        <f>IF(H:H=0,"",IF(ISERROR(VLOOKUP(H:H,produtos_escape2!$A$2:$B$2794,2,FALSE)),"Código não cadastrado",(VLOOKUP(H:H,produtos_escape2!$A$2:$B$2794,2,FALSE))))</f>
        <v>CLORETO DE SODIO 0,9 % SOLUÇAO INJETAVEL BOLSA OU FRASCO 100 ML SISTEMA FECHADO DE INFUSAO . Características Adicionais: a bolsa ou o frasco deve conter graduação volumétrica; ter colapsabilidade a fim de permitir o escoamento total da solução , sem haver necessidade de entrada de ar; conter dois sítios, sendo um protegido por menbrana autovedável para adição de soluções no interior da bolsa ou do frasco e outro por membrana e lacre de esterilidade para conexão do equipo. O sítio de conexão do equipo deve ser adaptável e moldável a qualquer equipo e não permitir sua desconexão e vazamento, mantendo a bolsa ou o frasco em sistema fechado</v>
      </c>
      <c r="M211" s="593" t="str">
        <f>IF(H:H=0,"",IF(ISERROR(VLOOKUP(H:H,produtos_escape2!$A$2:$D$2794,2,FALSE)),"Código não cadastrado",(VLOOKUP(H:H,produtos_escape2!$A$2:$D$2794,4,FALSE))))</f>
        <v>UN</v>
      </c>
      <c r="N211" s="486">
        <v>10000</v>
      </c>
      <c r="O211" s="176" t="s">
        <v>7371</v>
      </c>
      <c r="P211" s="486">
        <v>3000</v>
      </c>
      <c r="Q211" s="247">
        <v>1.9444999999999999</v>
      </c>
      <c r="R211" s="246">
        <f t="shared" si="7"/>
        <v>5833.5</v>
      </c>
      <c r="S211" s="177">
        <v>43881</v>
      </c>
      <c r="T211" s="182">
        <v>307287</v>
      </c>
      <c r="U211" s="177">
        <v>43881</v>
      </c>
      <c r="V211" s="177">
        <v>43881</v>
      </c>
      <c r="W211" s="177">
        <v>43889</v>
      </c>
      <c r="X211" s="176">
        <v>84227</v>
      </c>
      <c r="Y211" s="177">
        <v>43916</v>
      </c>
      <c r="Z211" s="415">
        <v>2</v>
      </c>
      <c r="AA211" s="488"/>
      <c r="AB211" s="594"/>
      <c r="AC211" s="595"/>
      <c r="AD211" s="596"/>
      <c r="AE211" s="596"/>
      <c r="AF211" s="597" t="str">
        <f>IFERROR(INDEX(produtos_escape2!M:M,MATCH(Controle!H211,produtos_escape2!A:A,0)),"")</f>
        <v>CLORETO DE SODIO 0</v>
      </c>
    </row>
    <row r="212" spans="1:32" ht="14.25" customHeight="1">
      <c r="A212" s="176" t="s">
        <v>7455</v>
      </c>
      <c r="B212" s="176" t="s">
        <v>3608</v>
      </c>
      <c r="C212" s="177">
        <v>43879</v>
      </c>
      <c r="D212" s="176" t="s">
        <v>7591</v>
      </c>
      <c r="E212" s="176" t="s">
        <v>1866</v>
      </c>
      <c r="F212" s="259" t="s">
        <v>7596</v>
      </c>
      <c r="G212" s="176">
        <v>1</v>
      </c>
      <c r="H212" s="178">
        <v>90580</v>
      </c>
      <c r="I212" s="592">
        <f t="shared" si="6"/>
        <v>7</v>
      </c>
      <c r="J212" s="178" t="s">
        <v>816</v>
      </c>
      <c r="K212" s="178" t="s">
        <v>816</v>
      </c>
      <c r="L212" s="275" t="str">
        <f>IF(H:H=0,"",IF(ISERROR(VLOOKUP(H:H,produtos_escape2!$A$2:$B$2794,2,FALSE)),"Código não cadastrado",(VLOOKUP(H:H,produtos_escape2!$A$2:$B$2794,2,FALSE))))</f>
        <v>AGUA PARA INJETAVEIS AMPOLA 10 ML</v>
      </c>
      <c r="M212" s="593" t="str">
        <f>IF(H:H=0,"",IF(ISERROR(VLOOKUP(H:H,produtos_escape2!$A$2:$D$2794,2,FALSE)),"Código não cadastrado",(VLOOKUP(H:H,produtos_escape2!$A$2:$D$2794,4,FALSE))))</f>
        <v>AMP</v>
      </c>
      <c r="N212" s="486">
        <v>15000</v>
      </c>
      <c r="O212" s="176" t="s">
        <v>7371</v>
      </c>
      <c r="P212" s="486">
        <v>400</v>
      </c>
      <c r="Q212" s="247">
        <v>0.15015000000000001</v>
      </c>
      <c r="R212" s="246">
        <f t="shared" si="7"/>
        <v>60.06</v>
      </c>
      <c r="S212" s="177">
        <v>43881</v>
      </c>
      <c r="T212" s="182">
        <v>307325</v>
      </c>
      <c r="U212" s="177">
        <v>43881</v>
      </c>
      <c r="V212" s="177">
        <v>43882</v>
      </c>
      <c r="W212" s="177">
        <v>43889</v>
      </c>
      <c r="X212" s="176">
        <v>84181</v>
      </c>
      <c r="Y212" s="177">
        <v>43916</v>
      </c>
      <c r="Z212" s="415">
        <v>2</v>
      </c>
      <c r="AA212" s="488"/>
      <c r="AB212" s="594"/>
      <c r="AC212" s="595"/>
      <c r="AD212" s="596"/>
      <c r="AE212" s="596"/>
      <c r="AF212" s="597" t="str">
        <f>IFERROR(INDEX(produtos_escape2!M:M,MATCH(Controle!H212,produtos_escape2!A:A,0)),"")</f>
        <v xml:space="preserve"> AGUA PARA INJETAVEIS AMPOLA 10 ML</v>
      </c>
    </row>
    <row r="213" spans="1:32" ht="14.25" customHeight="1">
      <c r="A213" s="176" t="s">
        <v>7456</v>
      </c>
      <c r="B213" s="176" t="s">
        <v>3608</v>
      </c>
      <c r="C213" s="177">
        <v>43879</v>
      </c>
      <c r="D213" s="176" t="s">
        <v>7589</v>
      </c>
      <c r="E213" s="176" t="s">
        <v>1866</v>
      </c>
      <c r="F213" s="259" t="s">
        <v>7597</v>
      </c>
      <c r="G213" s="176">
        <v>1</v>
      </c>
      <c r="H213" s="178">
        <v>95461</v>
      </c>
      <c r="I213" s="592">
        <f t="shared" si="6"/>
        <v>4</v>
      </c>
      <c r="J213" s="178" t="s">
        <v>816</v>
      </c>
      <c r="K213" s="178" t="s">
        <v>816</v>
      </c>
      <c r="L213" s="275"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213" s="593" t="str">
        <f>IF(H:H=0,"",IF(ISERROR(VLOOKUP(H:H,produtos_escape2!$A$2:$D$2794,2,FALSE)),"Código não cadastrado",(VLOOKUP(H:H,produtos_escape2!$A$2:$D$2794,4,FALSE))))</f>
        <v>BR</v>
      </c>
      <c r="N213" s="486">
        <v>60</v>
      </c>
      <c r="O213" s="176" t="s">
        <v>7392</v>
      </c>
      <c r="P213" s="486">
        <v>60</v>
      </c>
      <c r="Q213" s="247">
        <v>27</v>
      </c>
      <c r="R213" s="246">
        <f t="shared" si="7"/>
        <v>1620</v>
      </c>
      <c r="S213" s="177">
        <v>43881</v>
      </c>
      <c r="T213" s="206">
        <v>1283</v>
      </c>
      <c r="U213" s="177">
        <v>43896</v>
      </c>
      <c r="V213" s="177">
        <v>43899</v>
      </c>
      <c r="W213" s="177">
        <v>43900</v>
      </c>
      <c r="X213" s="176">
        <v>84262</v>
      </c>
      <c r="Y213" s="177">
        <v>43916</v>
      </c>
      <c r="Z213" s="415">
        <v>2</v>
      </c>
      <c r="AA213" s="488"/>
      <c r="AB213" s="594"/>
      <c r="AC213" s="595"/>
      <c r="AD213" s="596"/>
      <c r="AE213" s="596"/>
      <c r="AF213" s="597" t="str">
        <f>IFERROR(INDEX(produtos_escape2!M:M,MATCH(Controle!H213,produtos_escape2!A:A,0)),"")</f>
        <v>PARAFINA HISTOLOGICA</v>
      </c>
    </row>
    <row r="214" spans="1:32" ht="14.25" customHeight="1">
      <c r="A214" s="176" t="s">
        <v>7456</v>
      </c>
      <c r="B214" s="176" t="s">
        <v>3608</v>
      </c>
      <c r="C214" s="177">
        <v>43879</v>
      </c>
      <c r="D214" s="176" t="s">
        <v>7589</v>
      </c>
      <c r="E214" s="176" t="s">
        <v>1866</v>
      </c>
      <c r="F214" s="259" t="s">
        <v>7597</v>
      </c>
      <c r="G214" s="176">
        <v>2</v>
      </c>
      <c r="H214" s="178">
        <v>95636</v>
      </c>
      <c r="I214" s="592">
        <f t="shared" si="6"/>
        <v>2</v>
      </c>
      <c r="J214" s="178" t="s">
        <v>816</v>
      </c>
      <c r="K214" s="178" t="s">
        <v>816</v>
      </c>
      <c r="L214" s="275" t="str">
        <f>IF(H:H=0,"",IF(ISERROR(VLOOKUP(H:H,produtos_escape2!$A$2:$B$2794,2,FALSE)),"Código não cadastrado",(VLOOKUP(H:H,produtos_escape2!$A$2:$B$2794,2,FALSE))))</f>
        <v>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v>
      </c>
      <c r="M214" s="593" t="str">
        <f>IF(H:H=0,"",IF(ISERROR(VLOOKUP(H:H,produtos_escape2!$A$2:$D$2794,2,FALSE)),"Código não cadastrado",(VLOOKUP(H:H,produtos_escape2!$A$2:$D$2794,4,FALSE))))</f>
        <v>FR</v>
      </c>
      <c r="N214" s="486">
        <v>24</v>
      </c>
      <c r="O214" s="176" t="s">
        <v>3670</v>
      </c>
      <c r="P214" s="486">
        <v>24</v>
      </c>
      <c r="Q214" s="247">
        <v>27.5</v>
      </c>
      <c r="R214" s="246">
        <f t="shared" si="7"/>
        <v>660</v>
      </c>
      <c r="S214" s="177">
        <v>43881</v>
      </c>
      <c r="T214" s="182">
        <v>3723</v>
      </c>
      <c r="U214" s="177">
        <v>43896</v>
      </c>
      <c r="V214" s="177">
        <v>43902</v>
      </c>
      <c r="W214" s="177">
        <v>43903</v>
      </c>
      <c r="X214" s="176">
        <v>3279</v>
      </c>
      <c r="Y214" s="177">
        <v>43916</v>
      </c>
      <c r="Z214" s="415">
        <v>2</v>
      </c>
      <c r="AA214" s="488"/>
      <c r="AB214" s="594"/>
      <c r="AC214" s="595"/>
      <c r="AD214" s="596"/>
      <c r="AE214" s="596"/>
      <c r="AF214" s="597" t="str">
        <f>IFERROR(INDEX(produtos_escape2!M:M,MATCH(Controle!H214,produtos_escape2!A:A,0)),"")</f>
        <v>XILENO</v>
      </c>
    </row>
    <row r="215" spans="1:32" ht="14.25" customHeight="1">
      <c r="A215" s="176" t="s">
        <v>7470</v>
      </c>
      <c r="B215" s="176" t="s">
        <v>3608</v>
      </c>
      <c r="C215" s="177">
        <v>43879</v>
      </c>
      <c r="D215" s="176" t="s">
        <v>7598</v>
      </c>
      <c r="E215" s="176" t="s">
        <v>1867</v>
      </c>
      <c r="F215" s="259" t="s">
        <v>7625</v>
      </c>
      <c r="G215" s="176">
        <v>1</v>
      </c>
      <c r="H215" s="178">
        <v>19211</v>
      </c>
      <c r="I215" s="592">
        <f t="shared" si="6"/>
        <v>1</v>
      </c>
      <c r="J215" s="178" t="s">
        <v>816</v>
      </c>
      <c r="K215" s="178" t="s">
        <v>816</v>
      </c>
      <c r="L215" s="275" t="str">
        <f>IF(H:H=0,"",IF(ISERROR(VLOOKUP(H:H,produtos_escape2!$A$2:$B$2794,2,FALSE)),"Código não cadastrado",(VLOOKUP(H:H,produtos_escape2!$A$2:$B$2794,2,FALSE))))</f>
        <v>FENTANILA ADESIVO TRANSDERMICO 50 MCG/HORA</v>
      </c>
      <c r="M215" s="593" t="str">
        <f>IF(H:H=0,"",IF(ISERROR(VLOOKUP(H:H,produtos_escape2!$A$2:$D$2794,2,FALSE)),"Código não cadastrado",(VLOOKUP(H:H,produtos_escape2!$A$2:$D$2794,4,FALSE))))</f>
        <v>UN</v>
      </c>
      <c r="N215" s="486">
        <v>30</v>
      </c>
      <c r="O215" s="176" t="s">
        <v>7371</v>
      </c>
      <c r="P215" s="486">
        <v>25</v>
      </c>
      <c r="Q215" s="247">
        <v>106.62</v>
      </c>
      <c r="R215" s="246">
        <f t="shared" si="7"/>
        <v>2665.5</v>
      </c>
      <c r="S215" s="177">
        <v>43882</v>
      </c>
      <c r="T215" s="182">
        <v>307913</v>
      </c>
      <c r="U215" s="177">
        <v>43882</v>
      </c>
      <c r="V215" s="177">
        <v>43882</v>
      </c>
      <c r="W215" s="177">
        <v>43889</v>
      </c>
      <c r="X215" s="176">
        <v>84257</v>
      </c>
      <c r="Y215" s="177">
        <v>43916</v>
      </c>
      <c r="Z215" s="415">
        <v>2</v>
      </c>
      <c r="AA215" s="488"/>
      <c r="AB215" s="594"/>
      <c r="AC215" s="595"/>
      <c r="AD215" s="596"/>
      <c r="AE215" s="596"/>
      <c r="AF215" s="597" t="str">
        <f>IFERROR(INDEX(produtos_escape2!M:M,MATCH(Controle!H215,produtos_escape2!A:A,0)),"")</f>
        <v>FENTANILA ADESIVO</v>
      </c>
    </row>
    <row r="216" spans="1:32" ht="14.25" customHeight="1">
      <c r="A216" s="176" t="s">
        <v>7470</v>
      </c>
      <c r="B216" s="176" t="s">
        <v>3608</v>
      </c>
      <c r="C216" s="177">
        <v>43879</v>
      </c>
      <c r="D216" s="176" t="s">
        <v>7598</v>
      </c>
      <c r="E216" s="176" t="s">
        <v>1867</v>
      </c>
      <c r="F216" s="259" t="s">
        <v>7625</v>
      </c>
      <c r="G216" s="176">
        <v>3</v>
      </c>
      <c r="H216" s="178">
        <v>90610</v>
      </c>
      <c r="I216" s="592">
        <f t="shared" si="6"/>
        <v>11</v>
      </c>
      <c r="J216" s="178" t="s">
        <v>816</v>
      </c>
      <c r="K216" s="178" t="s">
        <v>816</v>
      </c>
      <c r="L216" s="275" t="str">
        <f>IF(H:H=0,"",IF(ISERROR(VLOOKUP(H:H,produtos_escape2!$A$2:$B$2794,2,FALSE)),"Código não cadastrado",(VLOOKUP(H:H,produtos_escape2!$A$2:$B$2794,2,FALSE))))</f>
        <v>HEPARINA SODICA SOLUÇAO INJETAVEL 5000 UI/ML FRASCO AMPOLA 5 ML</v>
      </c>
      <c r="M216" s="593" t="str">
        <f>IF(H:H=0,"",IF(ISERROR(VLOOKUP(H:H,produtos_escape2!$A$2:$D$2794,2,FALSE)),"Código não cadastrado",(VLOOKUP(H:H,produtos_escape2!$A$2:$D$2794,4,FALSE))))</f>
        <v>FA</v>
      </c>
      <c r="N216" s="486">
        <v>300</v>
      </c>
      <c r="O216" s="176" t="s">
        <v>4398</v>
      </c>
      <c r="P216" s="486">
        <v>250</v>
      </c>
      <c r="Q216" s="247">
        <v>19</v>
      </c>
      <c r="R216" s="246">
        <f t="shared" si="7"/>
        <v>4750</v>
      </c>
      <c r="S216" s="177">
        <v>43888</v>
      </c>
      <c r="T216" s="182">
        <v>1264461</v>
      </c>
      <c r="U216" s="177">
        <v>43888</v>
      </c>
      <c r="V216" s="177">
        <v>43892</v>
      </c>
      <c r="W216" s="177">
        <v>43894</v>
      </c>
      <c r="X216" s="176">
        <v>84252</v>
      </c>
      <c r="Y216" s="177">
        <v>43916</v>
      </c>
      <c r="Z216" s="415">
        <v>2</v>
      </c>
      <c r="AA216" s="488"/>
      <c r="AB216" s="594"/>
      <c r="AC216" s="595"/>
      <c r="AD216" s="596"/>
      <c r="AE216" s="596"/>
      <c r="AF216" s="597" t="str">
        <f>IFERROR(INDEX(produtos_escape2!M:M,MATCH(Controle!H216,produtos_escape2!A:A,0)),"")</f>
        <v>HEPARINA SODICA SOLUÇAO INJETAVEL 5000 UI/ML FRASCO AMPOLA 5 ML</v>
      </c>
    </row>
    <row r="217" spans="1:32" ht="14.25" customHeight="1">
      <c r="A217" s="176" t="s">
        <v>7470</v>
      </c>
      <c r="B217" s="176" t="s">
        <v>3608</v>
      </c>
      <c r="C217" s="177">
        <v>43879</v>
      </c>
      <c r="D217" s="176" t="s">
        <v>7598</v>
      </c>
      <c r="E217" s="176" t="s">
        <v>1867</v>
      </c>
      <c r="F217" s="259" t="s">
        <v>7625</v>
      </c>
      <c r="G217" s="176">
        <v>2</v>
      </c>
      <c r="H217" s="178">
        <v>90029</v>
      </c>
      <c r="I217" s="592">
        <f t="shared" si="6"/>
        <v>7</v>
      </c>
      <c r="J217" s="178" t="s">
        <v>816</v>
      </c>
      <c r="K217" s="178" t="s">
        <v>816</v>
      </c>
      <c r="L217" s="275" t="str">
        <f>IF(H:H=0,"",IF(ISERROR(VLOOKUP(H:H,produtos_escape2!$A$2:$B$2794,2,FALSE)),"Código não cadastrado",(VLOOKUP(H:H,produtos_escape2!$A$2:$B$2794,2,FALSE))))</f>
        <v>PROXIMETACAINA (CLORIDRATO) SOLUÇAO OFTALMICA 0,5 % FRASCO CONTA-GOTA 5 ML</v>
      </c>
      <c r="M217" s="593" t="str">
        <f>IF(H:H=0,"",IF(ISERROR(VLOOKUP(H:H,produtos_escape2!$A$2:$D$2794,2,FALSE)),"Código não cadastrado",(VLOOKUP(H:H,produtos_escape2!$A$2:$D$2794,4,FALSE))))</f>
        <v>FR</v>
      </c>
      <c r="N217" s="486">
        <v>30</v>
      </c>
      <c r="O217" s="176" t="s">
        <v>1868</v>
      </c>
      <c r="P217" s="486"/>
      <c r="Q217" s="247"/>
      <c r="R217" s="246">
        <f t="shared" si="7"/>
        <v>0</v>
      </c>
      <c r="S217" s="177">
        <v>43882</v>
      </c>
      <c r="T217" s="182"/>
      <c r="U217" s="177"/>
      <c r="V217" s="177"/>
      <c r="W217" s="177"/>
      <c r="X217" s="176"/>
      <c r="Y217" s="177"/>
      <c r="Z217" s="415">
        <v>2</v>
      </c>
      <c r="AA217" s="488" t="s">
        <v>7474</v>
      </c>
      <c r="AB217" s="594"/>
      <c r="AC217" s="595"/>
      <c r="AD217" s="596"/>
      <c r="AE217" s="596"/>
      <c r="AF217" s="597" t="str">
        <f>IFERROR(INDEX(produtos_escape2!M:M,MATCH(Controle!H217,produtos_escape2!A:A,0)),"")</f>
        <v>PROXIMETACAINA (CLORIDRATO) SOLUÇAO OFTALMICA 0</v>
      </c>
    </row>
    <row r="218" spans="1:32" ht="14.25" customHeight="1">
      <c r="A218" s="176" t="s">
        <v>7470</v>
      </c>
      <c r="B218" s="176" t="s">
        <v>3608</v>
      </c>
      <c r="C218" s="177">
        <v>43879</v>
      </c>
      <c r="D218" s="176" t="s">
        <v>7598</v>
      </c>
      <c r="E218" s="176" t="s">
        <v>1867</v>
      </c>
      <c r="F218" s="259" t="s">
        <v>7625</v>
      </c>
      <c r="G218" s="176">
        <v>4</v>
      </c>
      <c r="H218" s="178">
        <v>90500</v>
      </c>
      <c r="I218" s="592">
        <f t="shared" si="6"/>
        <v>3</v>
      </c>
      <c r="J218" s="178" t="s">
        <v>816</v>
      </c>
      <c r="K218" s="178" t="s">
        <v>816</v>
      </c>
      <c r="L218" s="275" t="str">
        <f>IF(H:H=0,"",IF(ISERROR(VLOOKUP(H:H,produtos_escape2!$A$2:$B$2794,2,FALSE)),"Código não cadastrado",(VLOOKUP(H:H,produtos_escape2!$A$2:$B$2794,2,FALSE))))</f>
        <v xml:space="preserve">BISACODIL DRAGEA 5 MG </v>
      </c>
      <c r="M218" s="593" t="str">
        <f>IF(H:H=0,"",IF(ISERROR(VLOOKUP(H:H,produtos_escape2!$A$2:$D$2794,2,FALSE)),"Código não cadastrado",(VLOOKUP(H:H,produtos_escape2!$A$2:$D$2794,4,FALSE))))</f>
        <v>DG</v>
      </c>
      <c r="N218" s="486">
        <v>600</v>
      </c>
      <c r="O218" s="176" t="s">
        <v>4379</v>
      </c>
      <c r="P218" s="486">
        <v>600</v>
      </c>
      <c r="Q218" s="247">
        <v>0.13</v>
      </c>
      <c r="R218" s="246">
        <f t="shared" si="7"/>
        <v>78</v>
      </c>
      <c r="S218" s="177">
        <v>43882</v>
      </c>
      <c r="T218" s="182">
        <v>10262</v>
      </c>
      <c r="U218" s="177">
        <v>43887</v>
      </c>
      <c r="V218" s="177">
        <v>43887</v>
      </c>
      <c r="W218" s="177">
        <v>43889</v>
      </c>
      <c r="X218" s="176">
        <v>84197</v>
      </c>
      <c r="Y218" s="177">
        <v>43916</v>
      </c>
      <c r="Z218" s="415">
        <v>2</v>
      </c>
      <c r="AA218" s="488"/>
      <c r="AB218" s="594"/>
      <c r="AC218" s="595"/>
      <c r="AD218" s="596"/>
      <c r="AE218" s="596"/>
      <c r="AF218" s="597" t="str">
        <f>IFERROR(INDEX(produtos_escape2!M:M,MATCH(Controle!H218,produtos_escape2!A:A,0)),"")</f>
        <v xml:space="preserve">BISACODIL DRAGEA 5 MG </v>
      </c>
    </row>
    <row r="219" spans="1:32" ht="14.25" customHeight="1">
      <c r="A219" s="176" t="s">
        <v>7281</v>
      </c>
      <c r="B219" s="176" t="s">
        <v>1687</v>
      </c>
      <c r="C219" s="177">
        <v>43881</v>
      </c>
      <c r="D219" s="176" t="s">
        <v>7700</v>
      </c>
      <c r="E219" s="176" t="s">
        <v>3008</v>
      </c>
      <c r="F219" s="259" t="s">
        <v>7704</v>
      </c>
      <c r="G219" s="176">
        <v>1</v>
      </c>
      <c r="H219" s="178" t="s">
        <v>7701</v>
      </c>
      <c r="I219" s="592">
        <f t="shared" si="6"/>
        <v>1</v>
      </c>
      <c r="J219" s="178"/>
      <c r="K219" s="178"/>
      <c r="L219" s="275" t="str">
        <f>IF(H:H=0,"",IF(ISERROR(VLOOKUP(H:H,produtos_escape2!$A$2:$B$2794,2,FALSE)),"Código não cadastrado",(VLOOKUP(H:H,produtos_escape2!$A$2:$B$2794,2,FALSE))))</f>
        <v>Conserto Oxímetro de Pulso, Marca MINDRAY, Modelo VS 800, Nº Patrimônio 881308, Nº de Série 16128436 .</v>
      </c>
      <c r="M219" s="593" t="str">
        <f>IF(H:H=0,"",IF(ISERROR(VLOOKUP(H:H,produtos_escape2!$A$2:$D$2794,2,FALSE)),"Código não cadastrado",(VLOOKUP(H:H,produtos_escape2!$A$2:$D$2794,4,FALSE))))</f>
        <v>Serviço</v>
      </c>
      <c r="N219" s="486">
        <v>1</v>
      </c>
      <c r="O219" s="176" t="s">
        <v>4433</v>
      </c>
      <c r="P219" s="486">
        <v>1</v>
      </c>
      <c r="Q219" s="247">
        <v>300</v>
      </c>
      <c r="R219" s="246">
        <f t="shared" si="7"/>
        <v>300</v>
      </c>
      <c r="S219" s="177">
        <v>43923</v>
      </c>
      <c r="T219" s="182">
        <v>426</v>
      </c>
      <c r="U219" s="177">
        <v>43935</v>
      </c>
      <c r="V219" s="177">
        <v>43937</v>
      </c>
      <c r="W219" s="177">
        <v>43937</v>
      </c>
      <c r="X219" s="176">
        <v>97451</v>
      </c>
      <c r="Y219" s="177">
        <v>43950</v>
      </c>
      <c r="Z219" s="415">
        <v>2</v>
      </c>
      <c r="AA219" s="488"/>
      <c r="AB219" s="594"/>
      <c r="AC219" s="595"/>
      <c r="AD219" s="596"/>
      <c r="AE219" s="596"/>
      <c r="AF219" s="597">
        <f>IFERROR(INDEX(produtos_escape2!M:M,MATCH(Controle!H219,produtos_escape2!A:A,0)),"")</f>
        <v>0</v>
      </c>
    </row>
    <row r="220" spans="1:32" ht="14.25" customHeight="1">
      <c r="A220" s="176" t="s">
        <v>7277</v>
      </c>
      <c r="B220" s="176" t="s">
        <v>1687</v>
      </c>
      <c r="C220" s="177">
        <v>43881</v>
      </c>
      <c r="D220" s="176" t="s">
        <v>7703</v>
      </c>
      <c r="E220" s="176" t="s">
        <v>3008</v>
      </c>
      <c r="F220" s="259" t="s">
        <v>7705</v>
      </c>
      <c r="G220" s="176">
        <v>1</v>
      </c>
      <c r="H220" s="178" t="s">
        <v>4435</v>
      </c>
      <c r="I220" s="592">
        <f t="shared" si="6"/>
        <v>1</v>
      </c>
      <c r="J220" s="178"/>
      <c r="K220" s="178"/>
      <c r="L220" s="275" t="str">
        <f>IF(H:H=0,"",IF(ISERROR(VLOOKUP(H:H,produtos_escape2!$A$2:$B$2794,2,FALSE)),"Código não cadastrado",(VLOOKUP(H:H,produtos_escape2!$A$2:$B$2794,2,FALSE))))</f>
        <v>Conserto de Bisturi elétrico marca WEM, modelo: SS-501S, Nº Série: 01456, Nº Patrimônio: 518676</v>
      </c>
      <c r="M220" s="593" t="str">
        <f>IF(H:H=0,"",IF(ISERROR(VLOOKUP(H:H,produtos_escape2!$A$2:$D$2794,2,FALSE)),"Código não cadastrado",(VLOOKUP(H:H,produtos_escape2!$A$2:$D$2794,4,FALSE))))</f>
        <v>Serviço</v>
      </c>
      <c r="N220" s="486">
        <v>1</v>
      </c>
      <c r="O220" s="176" t="s">
        <v>1868</v>
      </c>
      <c r="P220" s="486"/>
      <c r="Q220" s="247"/>
      <c r="R220" s="246">
        <f t="shared" si="7"/>
        <v>0</v>
      </c>
      <c r="S220" s="177">
        <v>43923</v>
      </c>
      <c r="T220" s="182"/>
      <c r="U220" s="177"/>
      <c r="V220" s="177"/>
      <c r="W220" s="177"/>
      <c r="X220" s="176"/>
      <c r="Y220" s="177"/>
      <c r="Z220" s="415">
        <v>2</v>
      </c>
      <c r="AA220" s="488"/>
      <c r="AB220" s="594"/>
      <c r="AC220" s="595"/>
      <c r="AD220" s="596"/>
      <c r="AE220" s="596"/>
      <c r="AF220" s="597">
        <f>IFERROR(INDEX(produtos_escape2!M:M,MATCH(Controle!H220,produtos_escape2!A:A,0)),"")</f>
        <v>0</v>
      </c>
    </row>
    <row r="221" spans="1:32" ht="14.25" customHeight="1">
      <c r="A221" s="176" t="s">
        <v>7317</v>
      </c>
      <c r="B221" s="176" t="s">
        <v>7207</v>
      </c>
      <c r="C221" s="177">
        <v>43881</v>
      </c>
      <c r="D221" s="176" t="s">
        <v>7699</v>
      </c>
      <c r="E221" s="176" t="s">
        <v>1866</v>
      </c>
      <c r="F221" s="259" t="s">
        <v>7706</v>
      </c>
      <c r="G221" s="176">
        <v>1</v>
      </c>
      <c r="H221" s="178">
        <v>21222</v>
      </c>
      <c r="I221" s="592">
        <f t="shared" si="6"/>
        <v>2</v>
      </c>
      <c r="J221" s="178" t="s">
        <v>816</v>
      </c>
      <c r="K221" s="178" t="s">
        <v>816</v>
      </c>
      <c r="L221" s="275" t="str">
        <f>IF(H:H=0,"",IF(ISERROR(VLOOKUP(H:H,produtos_escape2!$A$2:$B$2794,2,FALSE)),"Código não cadastrado",(VLOOKUP(H:H,produtos_escape2!$A$2:$B$2794,2,FALSE))))</f>
        <v>ESCOVA PARA UNHAS, Material: sintético, Dimensões: 2,5 x 8 cm, Unidade De Estoque: unidade (UN), Unidade De Fornecimento: unidade</v>
      </c>
      <c r="M221" s="593" t="str">
        <f>IF(H:H=0,"",IF(ISERROR(VLOOKUP(H:H,produtos_escape2!$A$2:$D$2794,2,FALSE)),"Código não cadastrado",(VLOOKUP(H:H,produtos_escape2!$A$2:$D$2794,4,FALSE))))</f>
        <v>UN</v>
      </c>
      <c r="N221" s="486">
        <v>1080</v>
      </c>
      <c r="O221" s="176" t="s">
        <v>7202</v>
      </c>
      <c r="P221" s="486">
        <v>250</v>
      </c>
      <c r="Q221" s="247">
        <v>2.99</v>
      </c>
      <c r="R221" s="246">
        <f t="shared" si="7"/>
        <v>747.5</v>
      </c>
      <c r="S221" s="177">
        <v>43893</v>
      </c>
      <c r="T221" s="182">
        <v>100</v>
      </c>
      <c r="U221" s="177">
        <v>43903</v>
      </c>
      <c r="V221" s="177">
        <v>43903</v>
      </c>
      <c r="W221" s="177">
        <v>43903</v>
      </c>
      <c r="X221" s="176">
        <v>84070</v>
      </c>
      <c r="Y221" s="177">
        <v>43916</v>
      </c>
      <c r="Z221" s="415">
        <v>2</v>
      </c>
      <c r="AA221" s="488"/>
      <c r="AB221" s="594"/>
      <c r="AC221" s="595"/>
      <c r="AD221" s="596"/>
      <c r="AE221" s="596"/>
      <c r="AF221" s="597" t="str">
        <f>IFERROR(INDEX(produtos_escape2!M:M,MATCH(Controle!H221,produtos_escape2!A:A,0)),"")</f>
        <v>ESCOVA PARA UNHAS</v>
      </c>
    </row>
    <row r="222" spans="1:32" ht="14.25" customHeight="1">
      <c r="A222" s="176" t="s">
        <v>7515</v>
      </c>
      <c r="B222" s="176" t="s">
        <v>3608</v>
      </c>
      <c r="C222" s="177">
        <v>43882</v>
      </c>
      <c r="D222" s="176" t="s">
        <v>7707</v>
      </c>
      <c r="E222" s="176" t="s">
        <v>1866</v>
      </c>
      <c r="F222" s="259" t="s">
        <v>7708</v>
      </c>
      <c r="G222" s="176">
        <v>1</v>
      </c>
      <c r="H222" s="178">
        <v>90580</v>
      </c>
      <c r="I222" s="592">
        <f t="shared" si="6"/>
        <v>7</v>
      </c>
      <c r="J222" s="178" t="s">
        <v>816</v>
      </c>
      <c r="K222" s="178" t="s">
        <v>816</v>
      </c>
      <c r="L222" s="275" t="str">
        <f>IF(H:H=0,"",IF(ISERROR(VLOOKUP(H:H,produtos_escape2!$A$2:$B$2794,2,FALSE)),"Código não cadastrado",(VLOOKUP(H:H,produtos_escape2!$A$2:$B$2794,2,FALSE))))</f>
        <v>AGUA PARA INJETAVEIS AMPOLA 10 ML</v>
      </c>
      <c r="M222" s="593" t="str">
        <f>IF(H:H=0,"",IF(ISERROR(VLOOKUP(H:H,produtos_escape2!$A$2:$D$2794,2,FALSE)),"Código não cadastrado",(VLOOKUP(H:H,produtos_escape2!$A$2:$D$2794,4,FALSE))))</f>
        <v>AMP</v>
      </c>
      <c r="N222" s="486">
        <v>15000</v>
      </c>
      <c r="O222" s="176" t="s">
        <v>4109</v>
      </c>
      <c r="P222" s="486">
        <v>8600</v>
      </c>
      <c r="Q222" s="247">
        <v>0.25</v>
      </c>
      <c r="R222" s="246">
        <f t="shared" si="7"/>
        <v>2150</v>
      </c>
      <c r="S222" s="177">
        <v>43882</v>
      </c>
      <c r="T222" s="182">
        <v>75877</v>
      </c>
      <c r="U222" s="177">
        <v>43887</v>
      </c>
      <c r="V222" s="177">
        <v>43888</v>
      </c>
      <c r="W222" s="177">
        <v>43894</v>
      </c>
      <c r="X222" s="176">
        <v>84261</v>
      </c>
      <c r="Y222" s="177">
        <v>43916</v>
      </c>
      <c r="Z222" s="415">
        <v>2</v>
      </c>
      <c r="AA222" s="488"/>
      <c r="AB222" s="594"/>
      <c r="AC222" s="595"/>
      <c r="AD222" s="596"/>
      <c r="AE222" s="596"/>
      <c r="AF222" s="597" t="str">
        <f>IFERROR(INDEX(produtos_escape2!M:M,MATCH(Controle!H222,produtos_escape2!A:A,0)),"")</f>
        <v xml:space="preserve"> AGUA PARA INJETAVEIS AMPOLA 10 ML</v>
      </c>
    </row>
    <row r="223" spans="1:32" ht="14.25" customHeight="1">
      <c r="A223" s="176" t="s">
        <v>7471</v>
      </c>
      <c r="B223" s="176" t="s">
        <v>3608</v>
      </c>
      <c r="C223" s="177">
        <v>43882</v>
      </c>
      <c r="D223" s="176" t="s">
        <v>7710</v>
      </c>
      <c r="E223" s="176" t="s">
        <v>1866</v>
      </c>
      <c r="F223" s="259" t="s">
        <v>7717</v>
      </c>
      <c r="G223" s="176">
        <v>1</v>
      </c>
      <c r="H223" s="178">
        <v>95609</v>
      </c>
      <c r="I223" s="592">
        <f t="shared" si="6"/>
        <v>1</v>
      </c>
      <c r="J223" s="178" t="s">
        <v>816</v>
      </c>
      <c r="K223" s="178" t="s">
        <v>816</v>
      </c>
      <c r="L223" s="275" t="str">
        <f>IF(H:H=0,"",IF(ISERROR(VLOOKUP(H:H,produtos_escape2!$A$2:$B$2794,2,FALSE)),"Código não cadastrado",(VLOOKUP(H:H,produtos_escape2!$A$2:$B$2794,2,FALSE))))</f>
        <v>TUBO DE HEMOLISE 12X75MM, VIDRO BOROSSILICATO 1</v>
      </c>
      <c r="M223" s="593" t="str">
        <f>IF(H:H=0,"",IF(ISERROR(VLOOKUP(H:H,produtos_escape2!$A$2:$D$2794,2,FALSE)),"Código não cadastrado",(VLOOKUP(H:H,produtos_escape2!$A$2:$D$2794,4,FALSE))))</f>
        <v>UN</v>
      </c>
      <c r="N223" s="486">
        <v>500</v>
      </c>
      <c r="O223" s="176" t="s">
        <v>3670</v>
      </c>
      <c r="P223" s="486">
        <v>500</v>
      </c>
      <c r="Q223" s="247">
        <v>0.3</v>
      </c>
      <c r="R223" s="246">
        <f t="shared" si="7"/>
        <v>150</v>
      </c>
      <c r="S223" s="177">
        <v>43907</v>
      </c>
      <c r="T223" s="182">
        <v>3737</v>
      </c>
      <c r="U223" s="177">
        <v>43908</v>
      </c>
      <c r="V223" s="177">
        <v>43921</v>
      </c>
      <c r="W223" s="177">
        <v>43924</v>
      </c>
      <c r="X223" s="415">
        <v>3281</v>
      </c>
      <c r="Y223" s="177">
        <v>43934</v>
      </c>
      <c r="Z223" s="415">
        <v>2</v>
      </c>
      <c r="AA223" s="488"/>
      <c r="AB223" s="594"/>
      <c r="AC223" s="595"/>
      <c r="AD223" s="596"/>
      <c r="AE223" s="596"/>
      <c r="AF223" s="597" t="str">
        <f>IFERROR(INDEX(produtos_escape2!M:M,MATCH(Controle!H223,produtos_escape2!A:A,0)),"")</f>
        <v>TUBO HEMOLISE</v>
      </c>
    </row>
    <row r="224" spans="1:32" ht="14.25" customHeight="1">
      <c r="A224" s="176" t="s">
        <v>7482</v>
      </c>
      <c r="B224" s="176" t="s">
        <v>3608</v>
      </c>
      <c r="C224" s="177">
        <v>43882</v>
      </c>
      <c r="D224" s="176" t="s">
        <v>7713</v>
      </c>
      <c r="E224" s="176" t="s">
        <v>1866</v>
      </c>
      <c r="F224" s="259" t="s">
        <v>7718</v>
      </c>
      <c r="G224" s="176">
        <v>1</v>
      </c>
      <c r="H224" s="178">
        <v>25948</v>
      </c>
      <c r="I224" s="592">
        <f t="shared" si="6"/>
        <v>1</v>
      </c>
      <c r="J224" s="178" t="s">
        <v>816</v>
      </c>
      <c r="K224" s="178" t="s">
        <v>816</v>
      </c>
      <c r="L224" s="275" t="str">
        <f>IF(H:H=0,"",IF(ISERROR(VLOOKUP(H:H,produtos_escape2!$A$2:$B$2794,2,FALSE)),"Código não cadastrado",(VLOOKUP(H:H,produtos_escape2!$A$2:$B$2794,2,FALSE))))</f>
        <v>Grampeador linear cortante 55-60 mm, que dispare 4 linhas de grampos para tecidos normais, cortando simultaneamente entre a segunda e a terceira linha de grampo. Instrumento descartável. Possuir trava de segurança para evitar o disparo acidental do grampeador com carga utilizada e mecanismo de retenção. Possuir, no mínimo, 1,5 grampo além da linha de corte e sistema de compressão tecidual. Opção de utilizar recargas para tecidos normais  e tecidos espessos. Estéril.</v>
      </c>
      <c r="M224" s="593" t="str">
        <f>IF(H:H=0,"",IF(ISERROR(VLOOKUP(H:H,produtos_escape2!$A$2:$D$2794,2,FALSE)),"Código não cadastrado",(VLOOKUP(H:H,produtos_escape2!$A$2:$D$2794,4,FALSE))))</f>
        <v>UN</v>
      </c>
      <c r="N224" s="486">
        <v>2</v>
      </c>
      <c r="O224" s="176" t="s">
        <v>1868</v>
      </c>
      <c r="P224" s="486"/>
      <c r="Q224" s="247">
        <v>760</v>
      </c>
      <c r="R224" s="246">
        <f t="shared" si="7"/>
        <v>0</v>
      </c>
      <c r="S224" s="177">
        <v>43915</v>
      </c>
      <c r="T224" s="182"/>
      <c r="U224" s="177"/>
      <c r="V224" s="177"/>
      <c r="W224" s="177"/>
      <c r="X224" s="176"/>
      <c r="Y224" s="177"/>
      <c r="Z224" s="415">
        <v>2</v>
      </c>
      <c r="AA224" s="488" t="s">
        <v>7913</v>
      </c>
      <c r="AB224" s="594"/>
      <c r="AC224" s="595"/>
      <c r="AD224" s="596"/>
      <c r="AE224" s="596"/>
      <c r="AF224" s="597" t="str">
        <f>IFERROR(INDEX(produtos_escape2!M:M,MATCH(Controle!H224,produtos_escape2!A:A,0)),"")</f>
        <v>GRAMPEADOR LINEAR</v>
      </c>
    </row>
    <row r="225" spans="1:32" ht="14.25" customHeight="1">
      <c r="A225" s="176" t="s">
        <v>7519</v>
      </c>
      <c r="B225" s="176" t="s">
        <v>3608</v>
      </c>
      <c r="C225" s="177">
        <v>43882</v>
      </c>
      <c r="D225" s="176" t="s">
        <v>7716</v>
      </c>
      <c r="E225" s="176" t="s">
        <v>1866</v>
      </c>
      <c r="F225" s="259" t="s">
        <v>7719</v>
      </c>
      <c r="G225" s="176">
        <v>2</v>
      </c>
      <c r="H225" s="178">
        <v>90255</v>
      </c>
      <c r="I225" s="592">
        <f t="shared" si="6"/>
        <v>8</v>
      </c>
      <c r="J225" s="178" t="s">
        <v>816</v>
      </c>
      <c r="K225" s="178" t="s">
        <v>816</v>
      </c>
      <c r="L225" s="275" t="str">
        <f>IF(H:H=0,"",IF(ISERROR(VLOOKUP(H:H,produtos_escape2!$A$2:$B$2794,2,FALSE)),"Código não cadastrado",(VLOOKUP(H:H,produtos_escape2!$A$2:$B$2794,2,FALSE))))</f>
        <v>BROMOPRIDA SOLUCAO INJETAVEL 5MG/ML AMPOLA 2ML</v>
      </c>
      <c r="M225" s="593" t="str">
        <f>IF(H:H=0,"",IF(ISERROR(VLOOKUP(H:H,produtos_escape2!$A$2:$D$2794,2,FALSE)),"Código não cadastrado",(VLOOKUP(H:H,produtos_escape2!$A$2:$D$2794,4,FALSE))))</f>
        <v>AMP</v>
      </c>
      <c r="N225" s="486">
        <v>1000</v>
      </c>
      <c r="O225" s="176" t="s">
        <v>4398</v>
      </c>
      <c r="P225" s="486">
        <v>1000</v>
      </c>
      <c r="Q225" s="247">
        <v>1.1040000000000001</v>
      </c>
      <c r="R225" s="246">
        <f t="shared" si="7"/>
        <v>1104</v>
      </c>
      <c r="S225" s="177">
        <v>43903</v>
      </c>
      <c r="T225" s="182">
        <v>1272770</v>
      </c>
      <c r="U225" s="177">
        <v>43907</v>
      </c>
      <c r="V225" s="177">
        <v>43881</v>
      </c>
      <c r="W225" s="177">
        <v>43914</v>
      </c>
      <c r="X225" s="415">
        <v>90450</v>
      </c>
      <c r="Y225" s="177">
        <v>43935</v>
      </c>
      <c r="Z225" s="415">
        <v>2</v>
      </c>
      <c r="AA225" s="488"/>
      <c r="AB225" s="594"/>
      <c r="AC225" s="595"/>
      <c r="AD225" s="596"/>
      <c r="AE225" s="596"/>
      <c r="AF225" s="597" t="str">
        <f>IFERROR(INDEX(produtos_escape2!M:M,MATCH(Controle!H225,produtos_escape2!A:A,0)),"")</f>
        <v>BROMOPRIDA</v>
      </c>
    </row>
    <row r="226" spans="1:32" ht="14.25" customHeight="1">
      <c r="A226" s="176" t="s">
        <v>7519</v>
      </c>
      <c r="B226" s="176" t="s">
        <v>3608</v>
      </c>
      <c r="C226" s="177">
        <v>43882</v>
      </c>
      <c r="D226" s="176" t="s">
        <v>7716</v>
      </c>
      <c r="E226" s="176" t="s">
        <v>1866</v>
      </c>
      <c r="F226" s="259" t="s">
        <v>7719</v>
      </c>
      <c r="G226" s="176">
        <v>1</v>
      </c>
      <c r="H226" s="178">
        <v>90863</v>
      </c>
      <c r="I226" s="592">
        <f t="shared" si="6"/>
        <v>2</v>
      </c>
      <c r="J226" s="178" t="s">
        <v>816</v>
      </c>
      <c r="K226" s="178" t="s">
        <v>816</v>
      </c>
      <c r="L226" s="275" t="str">
        <f>IF(H:H=0,"",IF(ISERROR(VLOOKUP(H:H,produtos_escape2!$A$2:$B$2794,2,FALSE)),"Código não cadastrado",(VLOOKUP(H:H,produtos_escape2!$A$2:$B$2794,2,FALSE))))</f>
        <v>FLUMAZENIL SOLUÇAO INJETAVEL 0,5 MG/ 5ML AMPOLA 5 ML</v>
      </c>
      <c r="M226" s="593" t="str">
        <f>IF(H:H=0,"",IF(ISERROR(VLOOKUP(H:H,produtos_escape2!$A$2:$D$2794,2,FALSE)),"Código não cadastrado",(VLOOKUP(H:H,produtos_escape2!$A$2:$D$2794,4,FALSE))))</f>
        <v>AMP</v>
      </c>
      <c r="N226" s="486">
        <v>50</v>
      </c>
      <c r="O226" s="176" t="s">
        <v>7371</v>
      </c>
      <c r="P226" s="486">
        <v>50</v>
      </c>
      <c r="Q226" s="247">
        <v>8.8119999999999994</v>
      </c>
      <c r="R226" s="246">
        <f t="shared" si="7"/>
        <v>440.59999999999997</v>
      </c>
      <c r="S226" s="177">
        <v>43903</v>
      </c>
      <c r="T226" s="182">
        <v>315768</v>
      </c>
      <c r="U226" s="177">
        <v>43907</v>
      </c>
      <c r="V226" s="177">
        <v>43908</v>
      </c>
      <c r="W226" s="177">
        <v>43910</v>
      </c>
      <c r="X226" s="176">
        <v>84082</v>
      </c>
      <c r="Y226" s="177">
        <v>43916</v>
      </c>
      <c r="Z226" s="415">
        <v>2</v>
      </c>
      <c r="AA226" s="488"/>
      <c r="AB226" s="594"/>
      <c r="AC226" s="595"/>
      <c r="AD226" s="596"/>
      <c r="AE226" s="596"/>
      <c r="AF226" s="597" t="str">
        <f>IFERROR(INDEX(produtos_escape2!M:M,MATCH(Controle!H226,produtos_escape2!A:A,0)),"")</f>
        <v>FLUMAZENIL SOLUÇAO INJETAVEL 0</v>
      </c>
    </row>
    <row r="227" spans="1:32" ht="14.25" customHeight="1">
      <c r="A227" s="176" t="s">
        <v>7519</v>
      </c>
      <c r="B227" s="176" t="s">
        <v>3608</v>
      </c>
      <c r="C227" s="177">
        <v>43882</v>
      </c>
      <c r="D227" s="176" t="s">
        <v>7716</v>
      </c>
      <c r="E227" s="176" t="s">
        <v>1866</v>
      </c>
      <c r="F227" s="259" t="s">
        <v>7719</v>
      </c>
      <c r="G227" s="176">
        <v>3</v>
      </c>
      <c r="H227" s="178">
        <v>90297</v>
      </c>
      <c r="I227" s="592">
        <f t="shared" si="6"/>
        <v>3</v>
      </c>
      <c r="J227" s="178" t="s">
        <v>816</v>
      </c>
      <c r="K227" s="178" t="s">
        <v>816</v>
      </c>
      <c r="L227" s="275" t="str">
        <f>IF(H:H=0,"",IF(ISERROR(VLOOKUP(H:H,produtos_escape2!$A$2:$B$2794,2,FALSE)),"Código não cadastrado",(VLOOKUP(H:H,produtos_escape2!$A$2:$B$2794,2,FALSE))))</f>
        <v>BROMOPRIDA CAPSULA OU COMPRIMIDO 10MG</v>
      </c>
      <c r="M227" s="593" t="str">
        <f>IF(H:H=0,"",IF(ISERROR(VLOOKUP(H:H,produtos_escape2!$A$2:$D$2794,2,FALSE)),"Código não cadastrado",(VLOOKUP(H:H,produtos_escape2!$A$2:$D$2794,4,FALSE))))</f>
        <v>UN</v>
      </c>
      <c r="N227" s="486">
        <v>1000</v>
      </c>
      <c r="O227" s="176" t="s">
        <v>1868</v>
      </c>
      <c r="P227" s="486"/>
      <c r="Q227" s="247">
        <v>0.22</v>
      </c>
      <c r="R227" s="246">
        <f t="shared" si="7"/>
        <v>0</v>
      </c>
      <c r="S227" s="177">
        <v>43903</v>
      </c>
      <c r="T227" s="182"/>
      <c r="U227" s="177"/>
      <c r="V227" s="177"/>
      <c r="W227" s="177"/>
      <c r="X227" s="176"/>
      <c r="Y227" s="177"/>
      <c r="Z227" s="415">
        <v>2</v>
      </c>
      <c r="AA227" s="488" t="s">
        <v>7821</v>
      </c>
      <c r="AB227" s="594"/>
      <c r="AC227" s="595"/>
      <c r="AD227" s="596"/>
      <c r="AE227" s="596"/>
      <c r="AF227" s="597" t="str">
        <f>IFERROR(INDEX(produtos_escape2!M:M,MATCH(Controle!H227,produtos_escape2!A:A,0)),"")</f>
        <v>BROMOPRIDA</v>
      </c>
    </row>
    <row r="228" spans="1:32" ht="14.25" customHeight="1">
      <c r="A228" s="176" t="s">
        <v>7519</v>
      </c>
      <c r="B228" s="176" t="s">
        <v>3608</v>
      </c>
      <c r="C228" s="177">
        <v>43882</v>
      </c>
      <c r="D228" s="176" t="s">
        <v>7716</v>
      </c>
      <c r="E228" s="176" t="s">
        <v>1866</v>
      </c>
      <c r="F228" s="259" t="s">
        <v>7719</v>
      </c>
      <c r="G228" s="176">
        <v>4</v>
      </c>
      <c r="H228" s="178">
        <v>8944</v>
      </c>
      <c r="I228" s="592">
        <f t="shared" si="6"/>
        <v>1</v>
      </c>
      <c r="J228" s="178" t="s">
        <v>816</v>
      </c>
      <c r="K228" s="178" t="s">
        <v>816</v>
      </c>
      <c r="L228" s="275" t="str">
        <f>IF(H:H=0,"",IF(ISERROR(VLOOKUP(H:H,produtos_escape2!$A$2:$B$2794,2,FALSE)),"Código não cadastrado",(VLOOKUP(H:H,produtos_escape2!$A$2:$B$2794,2,FALSE))))</f>
        <v>LOSARTANA POTASSICA COMPRIMIDO REVESTIDO 50 MG</v>
      </c>
      <c r="M228" s="593" t="str">
        <f>IF(H:H=0,"",IF(ISERROR(VLOOKUP(H:H,produtos_escape2!$A$2:$D$2794,2,FALSE)),"Código não cadastrado",(VLOOKUP(H:H,produtos_escape2!$A$2:$D$2794,4,FALSE))))</f>
        <v>CP</v>
      </c>
      <c r="N228" s="486">
        <v>8000</v>
      </c>
      <c r="O228" s="176" t="s">
        <v>4398</v>
      </c>
      <c r="P228" s="486">
        <v>7650</v>
      </c>
      <c r="Q228" s="247">
        <v>8.8999999999999996E-2</v>
      </c>
      <c r="R228" s="246">
        <f t="shared" si="7"/>
        <v>680.85</v>
      </c>
      <c r="S228" s="177">
        <v>43903</v>
      </c>
      <c r="T228" s="182">
        <v>1272770</v>
      </c>
      <c r="U228" s="177">
        <v>43907</v>
      </c>
      <c r="V228" s="177">
        <v>43881</v>
      </c>
      <c r="W228" s="177">
        <v>43914</v>
      </c>
      <c r="X228" s="415">
        <v>90450</v>
      </c>
      <c r="Y228" s="177">
        <v>43935</v>
      </c>
      <c r="Z228" s="415">
        <v>2</v>
      </c>
      <c r="AA228" s="488"/>
      <c r="AB228" s="594"/>
      <c r="AC228" s="595"/>
      <c r="AD228" s="596"/>
      <c r="AE228" s="596"/>
      <c r="AF228" s="597" t="str">
        <f>IFERROR(INDEX(produtos_escape2!M:M,MATCH(Controle!H228,produtos_escape2!A:A,0)),"")</f>
        <v>LOSARTANA POTASSICA COMPRIMIDO REVESTIDO 50 MG</v>
      </c>
    </row>
    <row r="229" spans="1:32" ht="14.25" customHeight="1">
      <c r="A229" s="176" t="s">
        <v>7309</v>
      </c>
      <c r="B229" s="176" t="s">
        <v>7207</v>
      </c>
      <c r="C229" s="177">
        <v>43879</v>
      </c>
      <c r="D229" s="176" t="s">
        <v>7601</v>
      </c>
      <c r="E229" s="176" t="s">
        <v>1866</v>
      </c>
      <c r="F229" s="259" t="s">
        <v>7730</v>
      </c>
      <c r="G229" s="176">
        <v>1</v>
      </c>
      <c r="H229" s="178">
        <v>50505</v>
      </c>
      <c r="I229" s="592">
        <f t="shared" si="6"/>
        <v>1</v>
      </c>
      <c r="J229" s="178" t="s">
        <v>816</v>
      </c>
      <c r="K229" s="178" t="s">
        <v>816</v>
      </c>
      <c r="L229" s="275" t="str">
        <f>IF(H:H=0,"",IF(ISERROR(VLOOKUP(H:H,produtos_escape2!$A$2:$B$2794,2,FALSE)),"Código não cadastrado",(VLOOKUP(H:H,produtos_escape2!$A$2:$B$2794,2,FALSE))))</f>
        <v>CAMISOLA ADULTO EM CRETONE BRANCO TAM 48,  Peça única, costuras laterais, mangas japonesas curtas,  decote frontal transpassado, fechado na altura do ombro e cintura por tiras laterais, comprimento total 133cm, largura total 84cm, largura da manga 30cm. Costura reta e Overlock com linha 100% algodão.Tecido: Cretone Branco Estampado com logotipo da SES em toda extensão, composição: 100% algodão, armadura 1x1, nº de fios:23/cm2 na trama e no urdume, encolhimento 8% urdume e 4%  trama, peso:160g/m2</v>
      </c>
      <c r="M229" s="593" t="str">
        <f>IF(H:H=0,"",IF(ISERROR(VLOOKUP(H:H,produtos_escape2!$A$2:$D$2794,2,FALSE)),"Código não cadastrado",(VLOOKUP(H:H,produtos_escape2!$A$2:$D$2794,4,FALSE))))</f>
        <v>UN</v>
      </c>
      <c r="N229" s="486">
        <v>1000</v>
      </c>
      <c r="O229" s="176" t="s">
        <v>4149</v>
      </c>
      <c r="P229" s="486">
        <v>700</v>
      </c>
      <c r="Q229" s="247">
        <v>23.95</v>
      </c>
      <c r="R229" s="246">
        <f t="shared" si="7"/>
        <v>16765</v>
      </c>
      <c r="S229" s="177">
        <v>43907</v>
      </c>
      <c r="T229" s="182">
        <v>1687</v>
      </c>
      <c r="U229" s="177">
        <v>43920</v>
      </c>
      <c r="V229" s="177">
        <v>43922</v>
      </c>
      <c r="W229" s="177">
        <v>43922</v>
      </c>
      <c r="X229" s="415">
        <v>90756</v>
      </c>
      <c r="Y229" s="177">
        <v>43935</v>
      </c>
      <c r="Z229" s="415">
        <v>2</v>
      </c>
      <c r="AA229" s="488" t="s">
        <v>7602</v>
      </c>
      <c r="AB229" s="594"/>
      <c r="AC229" s="595"/>
      <c r="AD229" s="596"/>
      <c r="AE229" s="596"/>
      <c r="AF229" s="597" t="str">
        <f>IFERROR(INDEX(produtos_escape2!M:M,MATCH(Controle!H229,produtos_escape2!A:A,0)),"")</f>
        <v>CAMISOLA ADULTO EM CRETONE BRANCO TAM 48</v>
      </c>
    </row>
    <row r="230" spans="1:32" ht="14.25" customHeight="1">
      <c r="A230" s="176" t="s">
        <v>7339</v>
      </c>
      <c r="B230" s="176" t="s">
        <v>7207</v>
      </c>
      <c r="C230" s="177">
        <v>43889</v>
      </c>
      <c r="D230" s="176" t="s">
        <v>7723</v>
      </c>
      <c r="E230" s="176" t="s">
        <v>1866</v>
      </c>
      <c r="F230" s="259" t="s">
        <v>7731</v>
      </c>
      <c r="G230" s="176">
        <v>1</v>
      </c>
      <c r="H230" s="178">
        <v>5221</v>
      </c>
      <c r="I230" s="592">
        <f t="shared" si="6"/>
        <v>4</v>
      </c>
      <c r="J230" s="178" t="s">
        <v>816</v>
      </c>
      <c r="K230" s="178" t="s">
        <v>816</v>
      </c>
      <c r="L230" s="275"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230" s="593" t="str">
        <f>IF(H:H=0,"",IF(ISERROR(VLOOKUP(H:H,produtos_escape2!$A$2:$D$2794,2,FALSE)),"Código não cadastrado",(VLOOKUP(H:H,produtos_escape2!$A$2:$D$2794,4,FALSE))))</f>
        <v>KG</v>
      </c>
      <c r="N230" s="486">
        <v>30</v>
      </c>
      <c r="O230" s="176" t="s">
        <v>3530</v>
      </c>
      <c r="P230" s="486">
        <v>30</v>
      </c>
      <c r="Q230" s="247">
        <v>14.9</v>
      </c>
      <c r="R230" s="246">
        <f t="shared" si="7"/>
        <v>447</v>
      </c>
      <c r="S230" s="177">
        <v>43903</v>
      </c>
      <c r="T230" s="182">
        <v>892</v>
      </c>
      <c r="U230" s="177">
        <v>43907</v>
      </c>
      <c r="V230" s="177">
        <v>43908</v>
      </c>
      <c r="W230" s="177">
        <v>43909</v>
      </c>
      <c r="X230" s="176">
        <v>84087</v>
      </c>
      <c r="Y230" s="177">
        <v>43916</v>
      </c>
      <c r="Z230" s="415">
        <v>2</v>
      </c>
      <c r="AA230" s="488"/>
      <c r="AB230" s="594"/>
      <c r="AC230" s="595"/>
      <c r="AD230" s="596"/>
      <c r="AE230" s="596"/>
      <c r="AF230" s="597" t="str">
        <f>IFERROR(INDEX(produtos_escape2!M:M,MATCH(Controle!H230,produtos_escape2!A:A,0)),"")</f>
        <v>SACO PLÁSTICO</v>
      </c>
    </row>
    <row r="231" spans="1:32" ht="14.25" customHeight="1">
      <c r="A231" s="176" t="s">
        <v>7526</v>
      </c>
      <c r="B231" s="176" t="s">
        <v>3608</v>
      </c>
      <c r="C231" s="177">
        <v>43889</v>
      </c>
      <c r="D231" s="176" t="s">
        <v>7724</v>
      </c>
      <c r="E231" s="176" t="s">
        <v>1866</v>
      </c>
      <c r="F231" s="259" t="s">
        <v>7732</v>
      </c>
      <c r="G231" s="176">
        <v>1</v>
      </c>
      <c r="H231" s="178">
        <v>10267</v>
      </c>
      <c r="I231" s="592">
        <f t="shared" si="6"/>
        <v>1</v>
      </c>
      <c r="J231" s="178" t="s">
        <v>816</v>
      </c>
      <c r="K231" s="178" t="s">
        <v>816</v>
      </c>
      <c r="L231" s="275" t="str">
        <f>IF(H:H=0,"",IF(ISERROR(VLOOKUP(H:H,produtos_escape2!$A$2:$B$2794,2,FALSE)),"Código não cadastrado",(VLOOKUP(H:H,produtos_escape2!$A$2:$B$2794,2,FALSE))))</f>
        <v>CLORETO DE SODIO 0,9 % SOLUÇAO INJETAVEL BOLSA OU FRASCO 100 ML SISTEMA FECHADO DE INFUSAO EMBALAGEM PRIMÁRIA ISENTA DE PVC.Características Adicionais: a bolsa ou o frasco deve ter graduação volumétrica. A bolsa ou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v>
      </c>
      <c r="M231" s="593" t="str">
        <f>IF(H:H=0,"",IF(ISERROR(VLOOKUP(H:H,produtos_escape2!$A$2:$D$2794,2,FALSE)),"Código não cadastrado",(VLOOKUP(H:H,produtos_escape2!$A$2:$D$2794,4,FALSE))))</f>
        <v>UN</v>
      </c>
      <c r="N231" s="486">
        <v>10000</v>
      </c>
      <c r="O231" s="176" t="s">
        <v>1868</v>
      </c>
      <c r="P231" s="486"/>
      <c r="Q231" s="247"/>
      <c r="R231" s="246">
        <f t="shared" si="7"/>
        <v>0</v>
      </c>
      <c r="S231" s="177">
        <v>43902</v>
      </c>
      <c r="T231" s="182"/>
      <c r="U231" s="177"/>
      <c r="V231" s="177"/>
      <c r="W231" s="177"/>
      <c r="X231" s="176"/>
      <c r="Y231" s="177"/>
      <c r="Z231" s="415">
        <v>2</v>
      </c>
      <c r="AA231" s="488" t="s">
        <v>7318</v>
      </c>
      <c r="AB231" s="594"/>
      <c r="AC231" s="595"/>
      <c r="AD231" s="596"/>
      <c r="AE231" s="596"/>
      <c r="AF231" s="597" t="str">
        <f>IFERROR(INDEX(produtos_escape2!M:M,MATCH(Controle!H231,produtos_escape2!A:A,0)),"")</f>
        <v>CLORETO DE SODIO 0</v>
      </c>
    </row>
    <row r="232" spans="1:32" ht="14.25" customHeight="1">
      <c r="A232" s="176" t="s">
        <v>7340</v>
      </c>
      <c r="B232" s="176" t="s">
        <v>7207</v>
      </c>
      <c r="C232" s="177">
        <v>43892</v>
      </c>
      <c r="D232" s="176" t="s">
        <v>7726</v>
      </c>
      <c r="E232" s="176" t="s">
        <v>1866</v>
      </c>
      <c r="F232" s="259" t="s">
        <v>7733</v>
      </c>
      <c r="G232" s="176">
        <v>1</v>
      </c>
      <c r="H232" s="178">
        <v>34084</v>
      </c>
      <c r="I232" s="592">
        <f t="shared" si="6"/>
        <v>3</v>
      </c>
      <c r="J232" s="178"/>
      <c r="K232" s="178"/>
      <c r="L232" s="275" t="str">
        <f>IF(H:H=0,"",IF(ISERROR(VLOOKUP(H:H,produtos_escape2!$A$2:$B$2794,2,FALSE)),"Código não cadastrado",(VLOOKUP(H:H,produtos_escape2!$A$2:$B$2794,2,FALSE))))</f>
        <v xml:space="preserve">VERIFICAR CÓDIGO 10823 (MESMA DESCRIÇÃO COM ALTERAÇÃO DE ORDEM DE ELEMENTOS)AVENTAL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v>
      </c>
      <c r="M232" s="593" t="str">
        <f>IF(H:H=0,"",IF(ISERROR(VLOOKUP(H:H,produtos_escape2!$A$2:$D$2794,2,FALSE)),"Código não cadastrado",(VLOOKUP(H:H,produtos_escape2!$A$2:$D$2794,4,FALSE))))</f>
        <v>UN</v>
      </c>
      <c r="N232" s="486">
        <v>10000</v>
      </c>
      <c r="O232" s="176" t="s">
        <v>7336</v>
      </c>
      <c r="P232" s="486">
        <v>4400</v>
      </c>
      <c r="Q232" s="247">
        <v>4</v>
      </c>
      <c r="R232" s="246">
        <f t="shared" si="7"/>
        <v>17600</v>
      </c>
      <c r="S232" s="177">
        <v>43907</v>
      </c>
      <c r="T232" s="182">
        <v>21340</v>
      </c>
      <c r="U232" s="177">
        <v>43908</v>
      </c>
      <c r="V232" s="177">
        <v>43909</v>
      </c>
      <c r="W232" s="177">
        <v>43909</v>
      </c>
      <c r="X232" s="176">
        <v>84214</v>
      </c>
      <c r="Y232" s="177">
        <v>43916</v>
      </c>
      <c r="Z232" s="415">
        <v>2</v>
      </c>
      <c r="AA232" s="488"/>
      <c r="AB232" s="594"/>
      <c r="AC232" s="595"/>
      <c r="AD232" s="596"/>
      <c r="AE232" s="596"/>
      <c r="AF232" s="597" t="str">
        <f>IFERROR(INDEX(produtos_escape2!M:M,MATCH(Controle!H232,produtos_escape2!A:A,0)),"")</f>
        <v>AVENTAL DE PROCEDIMENTO NÃO ESTÉRIL</v>
      </c>
    </row>
    <row r="233" spans="1:32" ht="14.25" customHeight="1">
      <c r="A233" s="176" t="s">
        <v>7341</v>
      </c>
      <c r="B233" s="176" t="s">
        <v>7207</v>
      </c>
      <c r="C233" s="177">
        <v>43893</v>
      </c>
      <c r="D233" s="176" t="s">
        <v>7734</v>
      </c>
      <c r="E233" s="176" t="s">
        <v>1866</v>
      </c>
      <c r="F233" s="259" t="s">
        <v>7735</v>
      </c>
      <c r="G233" s="176">
        <v>1</v>
      </c>
      <c r="H233" s="178">
        <v>27358</v>
      </c>
      <c r="I233" s="592">
        <f t="shared" si="6"/>
        <v>2</v>
      </c>
      <c r="J233" s="178" t="s">
        <v>816</v>
      </c>
      <c r="K233" s="178" t="s">
        <v>816</v>
      </c>
      <c r="L233" s="275" t="str">
        <f>IF(H:H=0,"",IF(ISERROR(VLOOKUP(H:H,produtos_escape2!$A$2:$B$2794,2,FALSE)),"Código não cadastrado",(VLOOKUP(H:H,produtos_escape2!$A$2:$B$2794,2,FALSE))))</f>
        <v>ETIQUETA AUTOADESIVA, Cor: Cinza, Tamanho: 4cm x 5cm com os dizeres:
 “HRG, VISITANTE, Nome, Setor, Data” Conforme anexo.</v>
      </c>
      <c r="M233" s="593" t="str">
        <f>IF(H:H=0,"",IF(ISERROR(VLOOKUP(H:H,produtos_escape2!$A$2:$D$2794,2,FALSE)),"Código não cadastrado",(VLOOKUP(H:H,produtos_escape2!$A$2:$D$2794,4,FALSE))))</f>
        <v>UN</v>
      </c>
      <c r="N233" s="486">
        <v>20000</v>
      </c>
      <c r="O233" s="176" t="s">
        <v>3671</v>
      </c>
      <c r="P233" s="486">
        <v>20000</v>
      </c>
      <c r="Q233" s="247">
        <v>2.4500000000000001E-2</v>
      </c>
      <c r="R233" s="246">
        <f t="shared" si="7"/>
        <v>490</v>
      </c>
      <c r="S233" s="177">
        <v>43894</v>
      </c>
      <c r="T233" s="182">
        <v>657</v>
      </c>
      <c r="U233" s="177">
        <v>43900</v>
      </c>
      <c r="V233" s="177">
        <v>43900</v>
      </c>
      <c r="W233" s="177">
        <v>43900</v>
      </c>
      <c r="X233" s="176">
        <v>84117</v>
      </c>
      <c r="Y233" s="177">
        <v>43916</v>
      </c>
      <c r="Z233" s="415">
        <v>2</v>
      </c>
      <c r="AA233" s="488"/>
      <c r="AB233" s="594"/>
      <c r="AC233" s="595"/>
      <c r="AD233" s="596"/>
      <c r="AE233" s="596"/>
      <c r="AF233" s="597" t="str">
        <f>IFERROR(INDEX(produtos_escape2!M:M,MATCH(Controle!H233,produtos_escape2!A:A,0)),"")</f>
        <v>ETIQUETA AUTOADESIVA</v>
      </c>
    </row>
    <row r="234" spans="1:32" ht="14.25" customHeight="1">
      <c r="A234" s="176" t="s">
        <v>7566</v>
      </c>
      <c r="B234" s="176" t="s">
        <v>3608</v>
      </c>
      <c r="C234" s="177">
        <v>43894</v>
      </c>
      <c r="D234" s="176" t="s">
        <v>7743</v>
      </c>
      <c r="E234" s="176" t="s">
        <v>1866</v>
      </c>
      <c r="F234" s="259" t="s">
        <v>7762</v>
      </c>
      <c r="G234" s="176">
        <v>1</v>
      </c>
      <c r="H234" s="178">
        <v>31643</v>
      </c>
      <c r="I234" s="592">
        <f t="shared" si="6"/>
        <v>1</v>
      </c>
      <c r="J234" s="178" t="s">
        <v>816</v>
      </c>
      <c r="K234" s="178" t="s">
        <v>816</v>
      </c>
      <c r="L234" s="275" t="str">
        <f>IF(H:H=0,"",IF(ISERROR(VLOOKUP(H:H,produtos_escape2!$A$2:$B$2794,2,FALSE)),"Código não cadastrado",(VLOOKUP(H:H,produtos_escape2!$A$2:$B$2794,2,FALSE))))</f>
        <v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4,76 de diâmetro. Característicasadicionais:    A HASTE DE ENCAIXE DEVE SER COMPATÍVEL COM CANETAS DE BITURIS ELÉTRICOS DA MARCA WEM.    </v>
      </c>
      <c r="M234" s="593" t="str">
        <f>IF(H:H=0,"",IF(ISERROR(VLOOKUP(H:H,produtos_escape2!$A$2:$D$2794,2,FALSE)),"Código não cadastrado",(VLOOKUP(H:H,produtos_escape2!$A$2:$D$2794,4,FALSE))))</f>
        <v>UN</v>
      </c>
      <c r="N234" s="486">
        <v>5</v>
      </c>
      <c r="O234" s="176" t="s">
        <v>7820</v>
      </c>
      <c r="P234" s="486">
        <v>5</v>
      </c>
      <c r="Q234" s="247">
        <v>48.6</v>
      </c>
      <c r="R234" s="246">
        <f t="shared" si="7"/>
        <v>243</v>
      </c>
      <c r="S234" s="177">
        <v>43907</v>
      </c>
      <c r="T234" s="182">
        <v>94</v>
      </c>
      <c r="U234" s="177">
        <v>43928</v>
      </c>
      <c r="V234" s="177">
        <v>43935</v>
      </c>
      <c r="W234" s="177">
        <v>43937</v>
      </c>
      <c r="X234" s="176">
        <v>98804</v>
      </c>
      <c r="Y234" s="177">
        <v>43951</v>
      </c>
      <c r="Z234" s="415">
        <v>2</v>
      </c>
      <c r="AA234" s="488"/>
      <c r="AB234" s="594"/>
      <c r="AC234" s="595"/>
      <c r="AD234" s="596"/>
      <c r="AE234" s="596"/>
      <c r="AF234" s="597" t="str">
        <f>IFERROR(INDEX(produtos_escape2!M:M,MATCH(Controle!H234,produtos_escape2!A:A,0)),"")</f>
        <v>ELETRODO DE BISTURI ELETRICO</v>
      </c>
    </row>
    <row r="235" spans="1:32" ht="14.25" customHeight="1">
      <c r="A235" s="176" t="s">
        <v>7566</v>
      </c>
      <c r="B235" s="176" t="s">
        <v>3608</v>
      </c>
      <c r="C235" s="177">
        <v>43894</v>
      </c>
      <c r="D235" s="176" t="s">
        <v>7743</v>
      </c>
      <c r="E235" s="176" t="s">
        <v>1866</v>
      </c>
      <c r="F235" s="259" t="s">
        <v>7762</v>
      </c>
      <c r="G235" s="176">
        <v>2</v>
      </c>
      <c r="H235" s="178">
        <v>31644</v>
      </c>
      <c r="I235" s="592">
        <f t="shared" si="6"/>
        <v>1</v>
      </c>
      <c r="J235" s="178" t="s">
        <v>816</v>
      </c>
      <c r="K235" s="178" t="s">
        <v>816</v>
      </c>
      <c r="L235" s="275" t="str">
        <f>IF(H:H=0,"",IF(ISERROR(VLOOKUP(H:H,produtos_escape2!$A$2:$B$2794,2,FALSE)),"Código não cadastrado",(VLOOKUP(H:H,produtos_escape2!$A$2:$B$2794,2,FALSE))))</f>
        <v xml:space="preserve">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Eletrodo médico de 75 mm tipo bola de 3,96 de diâmetro. Características adicionais:    A HASTE DE ENCAIXE DEVE SER COMPATÍVEL COM CANETAS DE BITURIS ELÉTRICOS DA MARCA WEM   </v>
      </c>
      <c r="M235" s="593" t="str">
        <f>IF(H:H=0,"",IF(ISERROR(VLOOKUP(H:H,produtos_escape2!$A$2:$D$2794,2,FALSE)),"Código não cadastrado",(VLOOKUP(H:H,produtos_escape2!$A$2:$D$2794,4,FALSE))))</f>
        <v>UN</v>
      </c>
      <c r="N235" s="486">
        <v>5</v>
      </c>
      <c r="O235" s="176" t="s">
        <v>7820</v>
      </c>
      <c r="P235" s="486">
        <v>5</v>
      </c>
      <c r="Q235" s="247">
        <v>48.6</v>
      </c>
      <c r="R235" s="246">
        <f t="shared" si="7"/>
        <v>243</v>
      </c>
      <c r="S235" s="177">
        <v>43907</v>
      </c>
      <c r="T235" s="182">
        <v>94</v>
      </c>
      <c r="U235" s="177">
        <v>43928</v>
      </c>
      <c r="V235" s="177">
        <v>43935</v>
      </c>
      <c r="W235" s="177">
        <v>43937</v>
      </c>
      <c r="X235" s="176">
        <v>98804</v>
      </c>
      <c r="Y235" s="177">
        <v>43951</v>
      </c>
      <c r="Z235" s="415">
        <v>2</v>
      </c>
      <c r="AA235" s="488"/>
      <c r="AB235" s="594"/>
      <c r="AC235" s="595"/>
      <c r="AD235" s="596"/>
      <c r="AE235" s="596"/>
      <c r="AF235" s="597" t="str">
        <f>IFERROR(INDEX(produtos_escape2!M:M,MATCH(Controle!H235,produtos_escape2!A:A,0)),"")</f>
        <v>ELETRODO DE BISTURI ELETRICO</v>
      </c>
    </row>
    <row r="236" spans="1:32" ht="14.25" customHeight="1">
      <c r="A236" s="176" t="s">
        <v>7566</v>
      </c>
      <c r="B236" s="176" t="s">
        <v>3608</v>
      </c>
      <c r="C236" s="177">
        <v>43894</v>
      </c>
      <c r="D236" s="176" t="s">
        <v>7743</v>
      </c>
      <c r="E236" s="176" t="s">
        <v>1866</v>
      </c>
      <c r="F236" s="259" t="s">
        <v>7762</v>
      </c>
      <c r="G236" s="176">
        <v>3</v>
      </c>
      <c r="H236" s="178">
        <v>31645</v>
      </c>
      <c r="I236" s="592">
        <f t="shared" si="6"/>
        <v>1</v>
      </c>
      <c r="J236" s="178" t="s">
        <v>816</v>
      </c>
      <c r="K236" s="178" t="s">
        <v>816</v>
      </c>
      <c r="L236" s="275"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Tamanho/Capacidade:Alça de LEEP retangular LRT 1015. Características adicionais:    A HASTE DE ENCAIXE DEVE SER COMPATÍVEL COM CANETAS DE BITURIS ELÉTRICOS DA MARCA WEM.</v>
      </c>
      <c r="M236" s="593" t="str">
        <f>IF(H:H=0,"",IF(ISERROR(VLOOKUP(H:H,produtos_escape2!$A$2:$D$2794,2,FALSE)),"Código não cadastrado",(VLOOKUP(H:H,produtos_escape2!$A$2:$D$2794,4,FALSE))))</f>
        <v>UN</v>
      </c>
      <c r="N236" s="486">
        <v>10</v>
      </c>
      <c r="O236" s="176" t="s">
        <v>7820</v>
      </c>
      <c r="P236" s="486">
        <v>10</v>
      </c>
      <c r="Q236" s="247">
        <v>63.18</v>
      </c>
      <c r="R236" s="246">
        <f t="shared" si="7"/>
        <v>631.79999999999995</v>
      </c>
      <c r="S236" s="177">
        <v>43907</v>
      </c>
      <c r="T236" s="182">
        <v>94</v>
      </c>
      <c r="U236" s="177">
        <v>43928</v>
      </c>
      <c r="V236" s="177">
        <v>43935</v>
      </c>
      <c r="W236" s="177">
        <v>43937</v>
      </c>
      <c r="X236" s="176">
        <v>98804</v>
      </c>
      <c r="Y236" s="177">
        <v>43951</v>
      </c>
      <c r="Z236" s="415">
        <v>2</v>
      </c>
      <c r="AA236" s="488"/>
      <c r="AB236" s="594"/>
      <c r="AC236" s="595"/>
      <c r="AD236" s="596"/>
      <c r="AE236" s="596"/>
      <c r="AF236" s="597" t="str">
        <f>IFERROR(INDEX(produtos_escape2!M:M,MATCH(Controle!H236,produtos_escape2!A:A,0)),"")</f>
        <v>ELETRODO DE BISTURI ELETRICO</v>
      </c>
    </row>
    <row r="237" spans="1:32" ht="14.25" customHeight="1">
      <c r="A237" s="176" t="s">
        <v>7566</v>
      </c>
      <c r="B237" s="176" t="s">
        <v>3608</v>
      </c>
      <c r="C237" s="177">
        <v>43894</v>
      </c>
      <c r="D237" s="176" t="s">
        <v>7743</v>
      </c>
      <c r="E237" s="176" t="s">
        <v>1866</v>
      </c>
      <c r="F237" s="259" t="s">
        <v>7762</v>
      </c>
      <c r="G237" s="176">
        <v>4</v>
      </c>
      <c r="H237" s="178">
        <v>31646</v>
      </c>
      <c r="I237" s="592">
        <f t="shared" si="6"/>
        <v>1</v>
      </c>
      <c r="J237" s="178" t="s">
        <v>816</v>
      </c>
      <c r="K237" s="178" t="s">
        <v>816</v>
      </c>
      <c r="L237" s="275"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retangular LRT 1008.  Características adicionais:A HASTE DE ENCAIXE DEVE SER COMPATÍVEL COM CANETAS DE BITURIS ELÉTRICOS DA MARCA WEM.</v>
      </c>
      <c r="M237" s="593" t="str">
        <f>IF(H:H=0,"",IF(ISERROR(VLOOKUP(H:H,produtos_escape2!$A$2:$D$2794,2,FALSE)),"Código não cadastrado",(VLOOKUP(H:H,produtos_escape2!$A$2:$D$2794,4,FALSE))))</f>
        <v>UN</v>
      </c>
      <c r="N237" s="486">
        <v>10</v>
      </c>
      <c r="O237" s="176" t="s">
        <v>7820</v>
      </c>
      <c r="P237" s="486">
        <v>10</v>
      </c>
      <c r="Q237" s="247">
        <v>63.18</v>
      </c>
      <c r="R237" s="246">
        <f t="shared" si="7"/>
        <v>631.79999999999995</v>
      </c>
      <c r="S237" s="177">
        <v>43907</v>
      </c>
      <c r="T237" s="182">
        <v>94</v>
      </c>
      <c r="U237" s="177">
        <v>43928</v>
      </c>
      <c r="V237" s="177">
        <v>43935</v>
      </c>
      <c r="W237" s="177">
        <v>43937</v>
      </c>
      <c r="X237" s="176">
        <v>98804</v>
      </c>
      <c r="Y237" s="177">
        <v>43951</v>
      </c>
      <c r="Z237" s="415">
        <v>2</v>
      </c>
      <c r="AA237" s="488"/>
      <c r="AB237" s="594"/>
      <c r="AC237" s="595"/>
      <c r="AD237" s="596"/>
      <c r="AE237" s="596"/>
      <c r="AF237" s="597" t="str">
        <f>IFERROR(INDEX(produtos_escape2!M:M,MATCH(Controle!H237,produtos_escape2!A:A,0)),"")</f>
        <v>ELETRODO DE BISTURI ELETRICO</v>
      </c>
    </row>
    <row r="238" spans="1:32" ht="14.25" customHeight="1">
      <c r="A238" s="176" t="s">
        <v>7566</v>
      </c>
      <c r="B238" s="176" t="s">
        <v>3608</v>
      </c>
      <c r="C238" s="177">
        <v>43894</v>
      </c>
      <c r="D238" s="176" t="s">
        <v>7743</v>
      </c>
      <c r="E238" s="176" t="s">
        <v>1866</v>
      </c>
      <c r="F238" s="259" t="s">
        <v>7762</v>
      </c>
      <c r="G238" s="176">
        <v>5</v>
      </c>
      <c r="H238" s="178">
        <v>31647</v>
      </c>
      <c r="I238" s="592">
        <f t="shared" si="6"/>
        <v>1</v>
      </c>
      <c r="J238" s="178" t="s">
        <v>816</v>
      </c>
      <c r="K238" s="178" t="s">
        <v>816</v>
      </c>
      <c r="L238" s="275"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808. Características adicionais: A HASTE DE ENCAIXE DEVE SER COMPATÍVEL COM CANETAS DE BITURIS ELÉTRICOS DA MARCA WEM.</v>
      </c>
      <c r="M238" s="593" t="str">
        <f>IF(H:H=0,"",IF(ISERROR(VLOOKUP(H:H,produtos_escape2!$A$2:$D$2794,2,FALSE)),"Código não cadastrado",(VLOOKUP(H:H,produtos_escape2!$A$2:$D$2794,4,FALSE))))</f>
        <v>UN</v>
      </c>
      <c r="N238" s="486">
        <v>10</v>
      </c>
      <c r="O238" s="176" t="s">
        <v>7820</v>
      </c>
      <c r="P238" s="486">
        <v>10</v>
      </c>
      <c r="Q238" s="247">
        <v>63.18</v>
      </c>
      <c r="R238" s="246">
        <f t="shared" si="7"/>
        <v>631.79999999999995</v>
      </c>
      <c r="S238" s="177">
        <v>43907</v>
      </c>
      <c r="T238" s="182">
        <v>94</v>
      </c>
      <c r="U238" s="177">
        <v>43928</v>
      </c>
      <c r="V238" s="177">
        <v>43935</v>
      </c>
      <c r="W238" s="177">
        <v>43937</v>
      </c>
      <c r="X238" s="176">
        <v>98804</v>
      </c>
      <c r="Y238" s="177">
        <v>43951</v>
      </c>
      <c r="Z238" s="415">
        <v>2</v>
      </c>
      <c r="AA238" s="488"/>
      <c r="AB238" s="594"/>
      <c r="AC238" s="595"/>
      <c r="AD238" s="596"/>
      <c r="AE238" s="596"/>
      <c r="AF238" s="597" t="str">
        <f>IFERROR(INDEX(produtos_escape2!M:M,MATCH(Controle!H238,produtos_escape2!A:A,0)),"")</f>
        <v>ELETRODO DE BISTURI ELETRICO</v>
      </c>
    </row>
    <row r="239" spans="1:32" ht="14.25" customHeight="1">
      <c r="A239" s="176" t="s">
        <v>7566</v>
      </c>
      <c r="B239" s="176" t="s">
        <v>3608</v>
      </c>
      <c r="C239" s="177">
        <v>43894</v>
      </c>
      <c r="D239" s="176" t="s">
        <v>7743</v>
      </c>
      <c r="E239" s="176" t="s">
        <v>1866</v>
      </c>
      <c r="F239" s="259" t="s">
        <v>7762</v>
      </c>
      <c r="G239" s="176">
        <v>6</v>
      </c>
      <c r="H239" s="178">
        <v>31648</v>
      </c>
      <c r="I239" s="592">
        <f t="shared" si="6"/>
        <v>1</v>
      </c>
      <c r="J239" s="178" t="s">
        <v>816</v>
      </c>
      <c r="K239" s="178" t="s">
        <v>816</v>
      </c>
      <c r="L239" s="275"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alça redonda LR 405. Característicasadicionais:    A HASTE DE ENCAIXE DEVE SER COMPATÍVEL COM CANETAS DE BITURISELÉTRICOS DA MARCA WEM.</v>
      </c>
      <c r="M239" s="593" t="str">
        <f>IF(H:H=0,"",IF(ISERROR(VLOOKUP(H:H,produtos_escape2!$A$2:$D$2794,2,FALSE)),"Código não cadastrado",(VLOOKUP(H:H,produtos_escape2!$A$2:$D$2794,4,FALSE))))</f>
        <v>UN</v>
      </c>
      <c r="N239" s="486">
        <v>10</v>
      </c>
      <c r="O239" s="176" t="s">
        <v>7820</v>
      </c>
      <c r="P239" s="486">
        <v>10</v>
      </c>
      <c r="Q239" s="247">
        <v>63.18</v>
      </c>
      <c r="R239" s="246">
        <f t="shared" si="7"/>
        <v>631.79999999999995</v>
      </c>
      <c r="S239" s="177">
        <v>43907</v>
      </c>
      <c r="T239" s="182">
        <v>94</v>
      </c>
      <c r="U239" s="177">
        <v>43928</v>
      </c>
      <c r="V239" s="177">
        <v>43935</v>
      </c>
      <c r="W239" s="177">
        <v>43937</v>
      </c>
      <c r="X239" s="176">
        <v>98804</v>
      </c>
      <c r="Y239" s="177">
        <v>43951</v>
      </c>
      <c r="Z239" s="415">
        <v>2</v>
      </c>
      <c r="AA239" s="488"/>
      <c r="AB239" s="594"/>
      <c r="AC239" s="595"/>
      <c r="AD239" s="596"/>
      <c r="AE239" s="596"/>
      <c r="AF239" s="597" t="str">
        <f>IFERROR(INDEX(produtos_escape2!M:M,MATCH(Controle!H239,produtos_escape2!A:A,0)),"")</f>
        <v>ELETRODO DE BISTURI ELETRICO</v>
      </c>
    </row>
    <row r="240" spans="1:32" ht="14.25" customHeight="1">
      <c r="A240" s="176" t="s">
        <v>7566</v>
      </c>
      <c r="B240" s="176" t="s">
        <v>3608</v>
      </c>
      <c r="C240" s="177">
        <v>43894</v>
      </c>
      <c r="D240" s="176" t="s">
        <v>7743</v>
      </c>
      <c r="E240" s="176" t="s">
        <v>1866</v>
      </c>
      <c r="F240" s="259" t="s">
        <v>7762</v>
      </c>
      <c r="G240" s="176">
        <v>7</v>
      </c>
      <c r="H240" s="178">
        <v>31649</v>
      </c>
      <c r="I240" s="592">
        <f t="shared" si="6"/>
        <v>1</v>
      </c>
      <c r="J240" s="178" t="s">
        <v>816</v>
      </c>
      <c r="K240" s="178" t="s">
        <v>816</v>
      </c>
      <c r="L240" s="275"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 TUNGSTÊNIO. Tamanho/Capacidade: Alça de LEEP meia alça LMA 1010. Características adicionais:  A HASTE DE ENCAIXE DEVE SER COMPATÍVEL COM CANETAS DE BITURISELÉTRICOS DA MARCA WEM.</v>
      </c>
      <c r="M240" s="593" t="str">
        <f>IF(H:H=0,"",IF(ISERROR(VLOOKUP(H:H,produtos_escape2!$A$2:$D$2794,2,FALSE)),"Código não cadastrado",(VLOOKUP(H:H,produtos_escape2!$A$2:$D$2794,4,FALSE))))</f>
        <v>UN</v>
      </c>
      <c r="N240" s="486">
        <v>10</v>
      </c>
      <c r="O240" s="176" t="s">
        <v>7820</v>
      </c>
      <c r="P240" s="486">
        <v>10</v>
      </c>
      <c r="Q240" s="247">
        <v>63.18</v>
      </c>
      <c r="R240" s="246">
        <f t="shared" si="7"/>
        <v>631.79999999999995</v>
      </c>
      <c r="S240" s="177">
        <v>43907</v>
      </c>
      <c r="T240" s="182">
        <v>94</v>
      </c>
      <c r="U240" s="177">
        <v>43928</v>
      </c>
      <c r="V240" s="177">
        <v>43935</v>
      </c>
      <c r="W240" s="177">
        <v>43937</v>
      </c>
      <c r="X240" s="176">
        <v>98804</v>
      </c>
      <c r="Y240" s="177">
        <v>43951</v>
      </c>
      <c r="Z240" s="415">
        <v>2</v>
      </c>
      <c r="AA240" s="488"/>
      <c r="AB240" s="594"/>
      <c r="AC240" s="595"/>
      <c r="AD240" s="596"/>
      <c r="AE240" s="596"/>
      <c r="AF240" s="597" t="str">
        <f>IFERROR(INDEX(produtos_escape2!M:M,MATCH(Controle!H240,produtos_escape2!A:A,0)),"")</f>
        <v>ELETRODO DE BISTURI ELETRICO</v>
      </c>
    </row>
    <row r="241" spans="1:32" ht="14.25" customHeight="1">
      <c r="A241" s="176" t="s">
        <v>7566</v>
      </c>
      <c r="B241" s="176" t="s">
        <v>3608</v>
      </c>
      <c r="C241" s="177">
        <v>43894</v>
      </c>
      <c r="D241" s="176" t="s">
        <v>7743</v>
      </c>
      <c r="E241" s="176" t="s">
        <v>1866</v>
      </c>
      <c r="F241" s="259" t="s">
        <v>7762</v>
      </c>
      <c r="G241" s="176">
        <v>8</v>
      </c>
      <c r="H241" s="178">
        <v>31650</v>
      </c>
      <c r="I241" s="592">
        <f t="shared" si="6"/>
        <v>1</v>
      </c>
      <c r="J241" s="178" t="s">
        <v>816</v>
      </c>
      <c r="K241" s="178" t="s">
        <v>816</v>
      </c>
      <c r="L241" s="275"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1510. Características adicionais: A HASTE DE ENCAIXE DEVE SER COMPATÍVEL COM CANETAS DE BITURIS ELÉTRICOS DA MARCA WEM.</v>
      </c>
      <c r="M241" s="593" t="str">
        <f>IF(H:H=0,"",IF(ISERROR(VLOOKUP(H:H,produtos_escape2!$A$2:$D$2794,2,FALSE)),"Código não cadastrado",(VLOOKUP(H:H,produtos_escape2!$A$2:$D$2794,4,FALSE))))</f>
        <v>UN</v>
      </c>
      <c r="N241" s="486">
        <v>20</v>
      </c>
      <c r="O241" s="176" t="s">
        <v>7820</v>
      </c>
      <c r="P241" s="486">
        <v>20</v>
      </c>
      <c r="Q241" s="247">
        <v>63.18</v>
      </c>
      <c r="R241" s="246">
        <f t="shared" si="7"/>
        <v>1263.5999999999999</v>
      </c>
      <c r="S241" s="177">
        <v>43907</v>
      </c>
      <c r="T241" s="182">
        <v>94</v>
      </c>
      <c r="U241" s="177">
        <v>43928</v>
      </c>
      <c r="V241" s="177">
        <v>43935</v>
      </c>
      <c r="W241" s="177">
        <v>43937</v>
      </c>
      <c r="X241" s="176">
        <v>98804</v>
      </c>
      <c r="Y241" s="177">
        <v>43951</v>
      </c>
      <c r="Z241" s="415">
        <v>2</v>
      </c>
      <c r="AA241" s="604"/>
      <c r="AB241" s="594"/>
      <c r="AC241" s="595"/>
      <c r="AD241" s="596"/>
      <c r="AE241" s="596"/>
      <c r="AF241" s="597" t="str">
        <f>IFERROR(INDEX(produtos_escape2!M:M,MATCH(Controle!H241,produtos_escape2!A:A,0)),"")</f>
        <v>ELETRODO DE BISTURI ELETRICO</v>
      </c>
    </row>
    <row r="242" spans="1:32" ht="14.25" customHeight="1">
      <c r="A242" s="176" t="s">
        <v>7566</v>
      </c>
      <c r="B242" s="176" t="s">
        <v>3608</v>
      </c>
      <c r="C242" s="177">
        <v>43894</v>
      </c>
      <c r="D242" s="176" t="s">
        <v>7743</v>
      </c>
      <c r="E242" s="176" t="s">
        <v>1866</v>
      </c>
      <c r="F242" s="259" t="s">
        <v>7762</v>
      </c>
      <c r="G242" s="176">
        <v>9</v>
      </c>
      <c r="H242" s="178">
        <v>31651</v>
      </c>
      <c r="I242" s="592">
        <f t="shared" si="6"/>
        <v>1</v>
      </c>
      <c r="J242" s="178" t="s">
        <v>816</v>
      </c>
      <c r="K242" s="178" t="s">
        <v>816</v>
      </c>
      <c r="L242" s="275"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2015. Características adicionais:A HASTE DE ENCAIXE DEVE SER COMPATÍVEL COM CANETAS DE BITURIS ELÉTRICOS DA MARCA WEM.</v>
      </c>
      <c r="M242" s="593" t="str">
        <f>IF(H:H=0,"",IF(ISERROR(VLOOKUP(H:H,produtos_escape2!$A$2:$D$2794,2,FALSE)),"Código não cadastrado",(VLOOKUP(H:H,produtos_escape2!$A$2:$D$2794,4,FALSE))))</f>
        <v>UN</v>
      </c>
      <c r="N242" s="486">
        <v>10</v>
      </c>
      <c r="O242" s="176" t="s">
        <v>7820</v>
      </c>
      <c r="P242" s="486">
        <v>10</v>
      </c>
      <c r="Q242" s="247">
        <v>63.18</v>
      </c>
      <c r="R242" s="246">
        <f t="shared" si="7"/>
        <v>631.79999999999995</v>
      </c>
      <c r="S242" s="177">
        <v>43907</v>
      </c>
      <c r="T242" s="182">
        <v>94</v>
      </c>
      <c r="U242" s="177">
        <v>43928</v>
      </c>
      <c r="V242" s="177">
        <v>43935</v>
      </c>
      <c r="W242" s="177">
        <v>43937</v>
      </c>
      <c r="X242" s="176">
        <v>98804</v>
      </c>
      <c r="Y242" s="177">
        <v>43951</v>
      </c>
      <c r="Z242" s="415">
        <v>2</v>
      </c>
      <c r="AA242" s="488"/>
      <c r="AB242" s="594"/>
      <c r="AC242" s="595"/>
      <c r="AD242" s="596"/>
      <c r="AE242" s="596"/>
      <c r="AF242" s="597" t="str">
        <f>IFERROR(INDEX(produtos_escape2!M:M,MATCH(Controle!H242,produtos_escape2!A:A,0)),"")</f>
        <v>ELETRODO DE BISTURI ELETRICO</v>
      </c>
    </row>
    <row r="243" spans="1:32" ht="14.25" customHeight="1">
      <c r="A243" s="176" t="s">
        <v>7566</v>
      </c>
      <c r="B243" s="176" t="s">
        <v>3608</v>
      </c>
      <c r="C243" s="177">
        <v>43894</v>
      </c>
      <c r="D243" s="176" t="s">
        <v>7743</v>
      </c>
      <c r="E243" s="176" t="s">
        <v>1866</v>
      </c>
      <c r="F243" s="259" t="s">
        <v>7762</v>
      </c>
      <c r="G243" s="176">
        <v>10</v>
      </c>
      <c r="H243" s="178">
        <v>31652</v>
      </c>
      <c r="I243" s="592">
        <f t="shared" si="6"/>
        <v>1</v>
      </c>
      <c r="J243" s="178" t="s">
        <v>816</v>
      </c>
      <c r="K243" s="178" t="s">
        <v>816</v>
      </c>
      <c r="L243" s="275" t="str">
        <f>IF(H:H=0,"",IF(ISERROR(VLOOKUP(H:H,produtos_escape2!$A$2:$B$2794,2,FALSE)),"Código não cadastrado",(VLOOKUP(H:H,produtos_escape2!$A$2:$B$2794,2,FALSE))))</f>
        <v>ELETRODO DE BISTURI ELÉTRICO DESTINADO ÀS BIÓPSIAS DE COLO DO ÚTERO. Aplicação (finalidade): PRODUTO DESTINADO ÀS BIÓPSIAS E TRATAMENTO DAS LESÕES PRECURSORAS DE CÂNCER DE COLO UTERINO. SERÃO UTILIZADAS NOS AMBULATÓRIOS DE COLPOSCOPIAS E TAMBÉM EM CENTRO CIRÚRGICO PARA CIRURGIAS DE CONIZAÇÕES. Composição:TUNGSTÊNIO. Tamanho/Capacidade: Alça de LEEP meia alça LMA 2020. Características adicionais:    A HASTE DE ENCAIXE DEVE SER COMPATÍVEL COM CANETAS DE BITURISELÉTRICOS DA MARCA WEM.</v>
      </c>
      <c r="M243" s="593" t="str">
        <f>IF(H:H=0,"",IF(ISERROR(VLOOKUP(H:H,produtos_escape2!$A$2:$D$2794,2,FALSE)),"Código não cadastrado",(VLOOKUP(H:H,produtos_escape2!$A$2:$D$2794,4,FALSE))))</f>
        <v>UN</v>
      </c>
      <c r="N243" s="486">
        <v>10</v>
      </c>
      <c r="O243" s="176" t="s">
        <v>7820</v>
      </c>
      <c r="P243" s="486">
        <v>10</v>
      </c>
      <c r="Q243" s="247">
        <v>63.18</v>
      </c>
      <c r="R243" s="246">
        <f t="shared" si="7"/>
        <v>631.79999999999995</v>
      </c>
      <c r="S243" s="177">
        <v>43907</v>
      </c>
      <c r="T243" s="182">
        <v>94</v>
      </c>
      <c r="U243" s="177">
        <v>43928</v>
      </c>
      <c r="V243" s="177">
        <v>43935</v>
      </c>
      <c r="W243" s="177">
        <v>43937</v>
      </c>
      <c r="X243" s="176">
        <v>98804</v>
      </c>
      <c r="Y243" s="177">
        <v>43951</v>
      </c>
      <c r="Z243" s="415">
        <v>2</v>
      </c>
      <c r="AA243" s="488"/>
      <c r="AB243" s="594"/>
      <c r="AC243" s="595"/>
      <c r="AD243" s="596"/>
      <c r="AE243" s="596"/>
      <c r="AF243" s="597" t="str">
        <f>IFERROR(INDEX(produtos_escape2!M:M,MATCH(Controle!H243,produtos_escape2!A:A,0)),"")</f>
        <v>ELETRODO DE BISTURI ELETRICO</v>
      </c>
    </row>
    <row r="244" spans="1:32" ht="14.25" customHeight="1">
      <c r="A244" s="176" t="s">
        <v>7564</v>
      </c>
      <c r="B244" s="176" t="s">
        <v>3608</v>
      </c>
      <c r="C244" s="177">
        <v>43894</v>
      </c>
      <c r="D244" s="176" t="s">
        <v>7742</v>
      </c>
      <c r="E244" s="176" t="s">
        <v>3009</v>
      </c>
      <c r="F244" s="259" t="s">
        <v>7763</v>
      </c>
      <c r="G244" s="176">
        <v>4</v>
      </c>
      <c r="H244" s="178">
        <v>18929</v>
      </c>
      <c r="I244" s="592">
        <f t="shared" si="6"/>
        <v>4</v>
      </c>
      <c r="J244" s="178" t="s">
        <v>816</v>
      </c>
      <c r="K244" s="178" t="s">
        <v>816</v>
      </c>
      <c r="L244" s="275" t="str">
        <f>IF(H:H=0,"",IF(ISERROR(VLOOKUP(H:H,produtos_escape2!$A$2:$B$2794,2,FALSE)),"Código não cadastrado",(VLOOKUP(H:H,produtos_escape2!$A$2:$B$2794,2,FALSE))))</f>
        <v>CLONIDINA (CLORIDRATO) SOLUÇAO INJETAVEL 150 MCG AMPOLA DE 1 ML</v>
      </c>
      <c r="M244" s="593" t="str">
        <f>IF(H:H=0,"",IF(ISERROR(VLOOKUP(H:H,produtos_escape2!$A$2:$D$2794,2,FALSE)),"Código não cadastrado",(VLOOKUP(H:H,produtos_escape2!$A$2:$D$2794,4,FALSE))))</f>
        <v>UN</v>
      </c>
      <c r="N244" s="486">
        <v>120</v>
      </c>
      <c r="O244" s="176" t="s">
        <v>7371</v>
      </c>
      <c r="P244" s="486">
        <v>120</v>
      </c>
      <c r="Q244" s="247">
        <v>6.7766999999999999</v>
      </c>
      <c r="R244" s="246">
        <f t="shared" si="7"/>
        <v>813.20399999999995</v>
      </c>
      <c r="S244" s="177">
        <v>43907</v>
      </c>
      <c r="T244" s="182">
        <v>326964</v>
      </c>
      <c r="U244" s="177">
        <v>43943</v>
      </c>
      <c r="V244" s="177">
        <v>43944</v>
      </c>
      <c r="W244" s="177">
        <v>43949</v>
      </c>
      <c r="X244" s="176">
        <v>18106</v>
      </c>
      <c r="Y244" s="177">
        <v>43986</v>
      </c>
      <c r="Z244" s="415">
        <v>3</v>
      </c>
      <c r="AA244" s="488"/>
      <c r="AB244" s="594"/>
      <c r="AC244" s="595"/>
      <c r="AD244" s="596"/>
      <c r="AE244" s="596"/>
      <c r="AF244" s="597" t="str">
        <f>IFERROR(INDEX(produtos_escape2!M:M,MATCH(Controle!H244,produtos_escape2!A:A,0)),"")</f>
        <v>CLONIDINA (CLORIDRATO) SOLUÇAO INJETAVEL 150 MCG AMPOLA DE 1 ML</v>
      </c>
    </row>
    <row r="245" spans="1:32" ht="14.25" customHeight="1">
      <c r="A245" s="176" t="s">
        <v>7564</v>
      </c>
      <c r="B245" s="176" t="s">
        <v>3608</v>
      </c>
      <c r="C245" s="177">
        <v>43894</v>
      </c>
      <c r="D245" s="176" t="s">
        <v>7742</v>
      </c>
      <c r="E245" s="176" t="s">
        <v>3009</v>
      </c>
      <c r="F245" s="259" t="s">
        <v>7763</v>
      </c>
      <c r="G245" s="176">
        <v>2</v>
      </c>
      <c r="H245" s="178">
        <v>90533</v>
      </c>
      <c r="I245" s="592">
        <f t="shared" si="6"/>
        <v>1</v>
      </c>
      <c r="J245" s="178" t="s">
        <v>816</v>
      </c>
      <c r="K245" s="178" t="s">
        <v>816</v>
      </c>
      <c r="L245" s="275" t="str">
        <f>IF(H:H=0,"",IF(ISERROR(VLOOKUP(H:H,produtos_escape2!$A$2:$B$2794,2,FALSE)),"Código não cadastrado",(VLOOKUP(H:H,produtos_escape2!$A$2:$B$2794,2,FALSE))))</f>
        <v>ACIDO TRANEXAMICO SOLUCAO INJETAVEL 50 MG/ML AMPOLA 5 ML</v>
      </c>
      <c r="M245" s="593" t="str">
        <f>IF(H:H=0,"",IF(ISERROR(VLOOKUP(H:H,produtos_escape2!$A$2:$D$2794,2,FALSE)),"Código não cadastrado",(VLOOKUP(H:H,produtos_escape2!$A$2:$D$2794,4,FALSE))))</f>
        <v>AMP</v>
      </c>
      <c r="N245" s="486">
        <v>300</v>
      </c>
      <c r="O245" s="176" t="s">
        <v>7824</v>
      </c>
      <c r="P245" s="486">
        <v>300</v>
      </c>
      <c r="Q245" s="247">
        <v>3.3</v>
      </c>
      <c r="R245" s="246">
        <f t="shared" si="7"/>
        <v>990</v>
      </c>
      <c r="S245" s="177">
        <v>43907</v>
      </c>
      <c r="T245" s="182">
        <v>7694</v>
      </c>
      <c r="U245" s="177">
        <v>43907</v>
      </c>
      <c r="V245" s="177">
        <v>43914</v>
      </c>
      <c r="W245" s="177">
        <v>43920</v>
      </c>
      <c r="X245" s="415">
        <v>90429</v>
      </c>
      <c r="Y245" s="177">
        <v>43935</v>
      </c>
      <c r="Z245" s="415">
        <v>2</v>
      </c>
      <c r="AA245" s="488"/>
      <c r="AB245" s="594"/>
      <c r="AC245" s="595"/>
      <c r="AD245" s="596"/>
      <c r="AE245" s="596"/>
      <c r="AF245" s="597" t="str">
        <f>IFERROR(INDEX(produtos_escape2!M:M,MATCH(Controle!H245,produtos_escape2!A:A,0)),"")</f>
        <v>ACIDO TRANEXAMICO SOLUCAO INJETAVEL 50 MG/ML AMPOLA 5 ML</v>
      </c>
    </row>
    <row r="246" spans="1:32" ht="14.25" customHeight="1">
      <c r="A246" s="176" t="s">
        <v>7564</v>
      </c>
      <c r="B246" s="176" t="s">
        <v>3608</v>
      </c>
      <c r="C246" s="177">
        <v>43894</v>
      </c>
      <c r="D246" s="176" t="s">
        <v>7742</v>
      </c>
      <c r="E246" s="176" t="s">
        <v>3009</v>
      </c>
      <c r="F246" s="259" t="s">
        <v>7763</v>
      </c>
      <c r="G246" s="176">
        <v>3</v>
      </c>
      <c r="H246" s="178">
        <v>90888</v>
      </c>
      <c r="I246" s="592">
        <f t="shared" si="6"/>
        <v>4</v>
      </c>
      <c r="J246" s="178" t="s">
        <v>816</v>
      </c>
      <c r="K246" s="178" t="s">
        <v>816</v>
      </c>
      <c r="L246" s="275" t="str">
        <f>IF(H:H=0,"",IF(ISERROR(VLOOKUP(H:H,produtos_escape2!$A$2:$B$2794,2,FALSE)),"Código não cadastrado",(VLOOKUP(H:H,produtos_escape2!$A$2:$B$2794,2,FALSE))))</f>
        <v>CEFTAZIDIMA PO PARA SOLUCAO INJETAVEL 1 G FRASCO AMPOLA</v>
      </c>
      <c r="M246" s="593" t="str">
        <f>IF(H:H=0,"",IF(ISERROR(VLOOKUP(H:H,produtos_escape2!$A$2:$D$2794,2,FALSE)),"Código não cadastrado",(VLOOKUP(H:H,produtos_escape2!$A$2:$D$2794,4,FALSE))))</f>
        <v>FA</v>
      </c>
      <c r="N246" s="486">
        <v>600</v>
      </c>
      <c r="O246" s="176" t="s">
        <v>1868</v>
      </c>
      <c r="P246" s="486"/>
      <c r="Q246" s="247"/>
      <c r="R246" s="246">
        <f t="shared" si="7"/>
        <v>0</v>
      </c>
      <c r="S246" s="177">
        <v>43907</v>
      </c>
      <c r="T246" s="182"/>
      <c r="U246" s="177"/>
      <c r="V246" s="177"/>
      <c r="W246" s="177"/>
      <c r="X246" s="176"/>
      <c r="Y246" s="177"/>
      <c r="Z246" s="415">
        <v>2</v>
      </c>
      <c r="AA246" s="488" t="s">
        <v>7827</v>
      </c>
      <c r="AB246" s="594"/>
      <c r="AC246" s="595"/>
      <c r="AD246" s="596"/>
      <c r="AE246" s="596"/>
      <c r="AF246" s="597" t="str">
        <f>IFERROR(INDEX(produtos_escape2!M:M,MATCH(Controle!H246,produtos_escape2!A:A,0)),"")</f>
        <v>CEFTAZIDIMA PO PARA SOLUCAO INJETAVEL 1 G FRASCO AMPOLA</v>
      </c>
    </row>
    <row r="247" spans="1:32" ht="14.25" customHeight="1">
      <c r="A247" s="176" t="s">
        <v>7564</v>
      </c>
      <c r="B247" s="176" t="s">
        <v>3608</v>
      </c>
      <c r="C247" s="177">
        <v>43894</v>
      </c>
      <c r="D247" s="176" t="s">
        <v>7742</v>
      </c>
      <c r="E247" s="176" t="s">
        <v>3009</v>
      </c>
      <c r="F247" s="259" t="s">
        <v>7763</v>
      </c>
      <c r="G247" s="176">
        <v>5</v>
      </c>
      <c r="H247" s="178">
        <v>90191</v>
      </c>
      <c r="I247" s="592">
        <f t="shared" si="6"/>
        <v>2</v>
      </c>
      <c r="J247" s="178" t="s">
        <v>816</v>
      </c>
      <c r="K247" s="178" t="s">
        <v>816</v>
      </c>
      <c r="L247" s="275" t="str">
        <f>IF(H:H=0,"",IF(ISERROR(VLOOKUP(H:H,produtos_escape2!$A$2:$B$2794,2,FALSE)),"Código não cadastrado",(VLOOKUP(H:H,produtos_escape2!$A$2:$B$2794,2,FALSE))))</f>
        <v>DICLOFENACO POTASSICO SOLUCAO INJETAVEL 25 MG/ML AMPOLA 3 ML</v>
      </c>
      <c r="M247" s="593" t="str">
        <f>IF(H:H=0,"",IF(ISERROR(VLOOKUP(H:H,produtos_escape2!$A$2:$D$2794,2,FALSE)),"Código não cadastrado",(VLOOKUP(H:H,produtos_escape2!$A$2:$D$2794,4,FALSE))))</f>
        <v>AMP</v>
      </c>
      <c r="N247" s="486">
        <v>1000</v>
      </c>
      <c r="O247" s="176" t="s">
        <v>7371</v>
      </c>
      <c r="P247" s="486">
        <v>600</v>
      </c>
      <c r="Q247" s="247">
        <v>0.68600000000000005</v>
      </c>
      <c r="R247" s="246">
        <f t="shared" si="7"/>
        <v>411.6</v>
      </c>
      <c r="S247" s="177">
        <v>43907</v>
      </c>
      <c r="T247" s="182">
        <v>326974</v>
      </c>
      <c r="U247" s="177">
        <v>43943</v>
      </c>
      <c r="V247" s="177">
        <v>43944</v>
      </c>
      <c r="W247" s="177">
        <v>43949</v>
      </c>
      <c r="X247" s="176">
        <v>18024</v>
      </c>
      <c r="Y247" s="177">
        <v>43986</v>
      </c>
      <c r="Z247" s="415">
        <v>3</v>
      </c>
      <c r="AA247" s="488"/>
      <c r="AB247" s="594"/>
      <c r="AC247" s="595"/>
      <c r="AD247" s="596"/>
      <c r="AE247" s="596"/>
      <c r="AF247" s="597" t="str">
        <f>IFERROR(INDEX(produtos_escape2!M:M,MATCH(Controle!H247,produtos_escape2!A:A,0)),"")</f>
        <v>DICLOFENACO POTASSICO SOLUCAO INJETAVEL 25 MG/ML AMPOLA 3 ML</v>
      </c>
    </row>
    <row r="248" spans="1:32" ht="14.25" customHeight="1">
      <c r="A248" s="176" t="s">
        <v>7564</v>
      </c>
      <c r="B248" s="176" t="s">
        <v>3608</v>
      </c>
      <c r="C248" s="177">
        <v>43894</v>
      </c>
      <c r="D248" s="176" t="s">
        <v>7742</v>
      </c>
      <c r="E248" s="176" t="s">
        <v>3009</v>
      </c>
      <c r="F248" s="259" t="s">
        <v>7763</v>
      </c>
      <c r="G248" s="176">
        <v>10</v>
      </c>
      <c r="H248" s="178">
        <v>90354</v>
      </c>
      <c r="I248" s="592">
        <f t="shared" si="6"/>
        <v>9</v>
      </c>
      <c r="J248" s="178" t="s">
        <v>816</v>
      </c>
      <c r="K248" s="178" t="s">
        <v>816</v>
      </c>
      <c r="L248" s="275" t="str">
        <f>IF(H:H=0,"",IF(ISERROR(VLOOKUP(H:H,produtos_escape2!$A$2:$B$2794,2,FALSE)),"Código não cadastrado",(VLOOKUP(H:H,produtos_escape2!$A$2:$B$2794,2,FALSE))))</f>
        <v>LACTULOSE XAROPE 667 MG/ML FRASCO 120 ML
NÂO pode ser a Lactulife da Naturelife.</v>
      </c>
      <c r="M248" s="593" t="str">
        <f>IF(H:H=0,"",IF(ISERROR(VLOOKUP(H:H,produtos_escape2!$A$2:$D$2794,2,FALSE)),"Código não cadastrado",(VLOOKUP(H:H,produtos_escape2!$A$2:$D$2794,4,FALSE))))</f>
        <v>FR</v>
      </c>
      <c r="N248" s="486">
        <v>240</v>
      </c>
      <c r="O248" s="176" t="s">
        <v>2989</v>
      </c>
      <c r="P248" s="486">
        <v>240</v>
      </c>
      <c r="Q248" s="247">
        <v>5.85</v>
      </c>
      <c r="R248" s="246">
        <f t="shared" si="7"/>
        <v>1404</v>
      </c>
      <c r="S248" s="177">
        <v>43907</v>
      </c>
      <c r="T248" s="182">
        <v>113944</v>
      </c>
      <c r="U248" s="177">
        <v>43908</v>
      </c>
      <c r="V248" s="177">
        <v>43909</v>
      </c>
      <c r="W248" s="177">
        <v>43910</v>
      </c>
      <c r="X248" s="176">
        <v>84233</v>
      </c>
      <c r="Y248" s="177">
        <v>43916</v>
      </c>
      <c r="Z248" s="415">
        <v>2</v>
      </c>
      <c r="AA248" s="488"/>
      <c r="AB248" s="594"/>
      <c r="AC248" s="595"/>
      <c r="AD248" s="596"/>
      <c r="AE248" s="596"/>
      <c r="AF248" s="597" t="str">
        <f>IFERROR(INDEX(produtos_escape2!M:M,MATCH(Controle!H248,produtos_escape2!A:A,0)),"")</f>
        <v>LACTULOSE XAROPE 667 MG/ML FRASCO 120 ML</v>
      </c>
    </row>
    <row r="249" spans="1:32" ht="14.25" customHeight="1">
      <c r="A249" s="176" t="s">
        <v>7564</v>
      </c>
      <c r="B249" s="176" t="s">
        <v>3608</v>
      </c>
      <c r="C249" s="177">
        <v>43894</v>
      </c>
      <c r="D249" s="176" t="s">
        <v>7742</v>
      </c>
      <c r="E249" s="176" t="s">
        <v>3009</v>
      </c>
      <c r="F249" s="259" t="s">
        <v>7763</v>
      </c>
      <c r="G249" s="176">
        <v>1</v>
      </c>
      <c r="H249" s="178">
        <v>90170</v>
      </c>
      <c r="I249" s="592">
        <f t="shared" si="6"/>
        <v>2</v>
      </c>
      <c r="J249" s="178" t="s">
        <v>816</v>
      </c>
      <c r="K249" s="178" t="s">
        <v>816</v>
      </c>
      <c r="L249" s="275" t="str">
        <f>IF(H:H=0,"",IF(ISERROR(VLOOKUP(H:H,produtos_escape2!$A$2:$B$2794,2,FALSE)),"Código não cadastrado",(VLOOKUP(H:H,produtos_escape2!$A$2:$B$2794,2,FALSE))))</f>
        <v>N-ACETILCISTEINA SOLUCAO INJETAVEL 100 MG/ML AMPOLA 3 ML.</v>
      </c>
      <c r="M249" s="593" t="str">
        <f>IF(H:H=0,"",IF(ISERROR(VLOOKUP(H:H,produtos_escape2!$A$2:$D$2794,2,FALSE)),"Código não cadastrado",(VLOOKUP(H:H,produtos_escape2!$A$2:$D$2794,4,FALSE))))</f>
        <v>AMP</v>
      </c>
      <c r="N249" s="486">
        <v>900</v>
      </c>
      <c r="O249" s="176" t="s">
        <v>2989</v>
      </c>
      <c r="P249" s="486">
        <v>900</v>
      </c>
      <c r="Q249" s="247">
        <v>1.4</v>
      </c>
      <c r="R249" s="246">
        <f t="shared" si="7"/>
        <v>1260</v>
      </c>
      <c r="S249" s="177">
        <v>43907</v>
      </c>
      <c r="T249" s="182">
        <v>113944</v>
      </c>
      <c r="U249" s="177">
        <v>43908</v>
      </c>
      <c r="V249" s="177">
        <v>43909</v>
      </c>
      <c r="W249" s="177">
        <v>43910</v>
      </c>
      <c r="X249" s="176">
        <v>84233</v>
      </c>
      <c r="Y249" s="177">
        <v>43916</v>
      </c>
      <c r="Z249" s="415">
        <v>2</v>
      </c>
      <c r="AA249" s="488"/>
      <c r="AB249" s="594"/>
      <c r="AC249" s="595"/>
      <c r="AD249" s="596"/>
      <c r="AE249" s="596"/>
      <c r="AF249" s="597" t="str">
        <f>IFERROR(INDEX(produtos_escape2!M:M,MATCH(Controle!H249,produtos_escape2!A:A,0)),"")</f>
        <v>N-ACETILCISTEINA SOLUCAO INJETAVEL 100 MG/ML AMPOLA 3 ML</v>
      </c>
    </row>
    <row r="250" spans="1:32" ht="14.25" customHeight="1">
      <c r="A250" s="176" t="s">
        <v>7564</v>
      </c>
      <c r="B250" s="176" t="s">
        <v>3608</v>
      </c>
      <c r="C250" s="177">
        <v>43894</v>
      </c>
      <c r="D250" s="176" t="s">
        <v>7742</v>
      </c>
      <c r="E250" s="176" t="s">
        <v>3009</v>
      </c>
      <c r="F250" s="259" t="s">
        <v>7763</v>
      </c>
      <c r="G250" s="176">
        <v>6</v>
      </c>
      <c r="H250" s="178">
        <v>90949</v>
      </c>
      <c r="I250" s="592">
        <f t="shared" si="6"/>
        <v>9</v>
      </c>
      <c r="J250" s="178" t="s">
        <v>816</v>
      </c>
      <c r="K250" s="178" t="s">
        <v>816</v>
      </c>
      <c r="L250" s="275" t="str">
        <f>IF(H:H=0,"",IF(ISERROR(VLOOKUP(H:H,produtos_escape2!$A$2:$B$2794,2,FALSE)),"Código não cadastrado",(VLOOKUP(H:H,produtos_escape2!$A$2:$B$2794,2,FALSE))))</f>
        <v>ONDANSETRONA SOLUÇAO INJETAVEL 2 MG/ML AMPOLA 4 ML</v>
      </c>
      <c r="M250" s="593" t="str">
        <f>IF(H:H=0,"",IF(ISERROR(VLOOKUP(H:H,produtos_escape2!$A$2:$D$2794,2,FALSE)),"Código não cadastrado",(VLOOKUP(H:H,produtos_escape2!$A$2:$D$2794,4,FALSE))))</f>
        <v>AMP</v>
      </c>
      <c r="N250" s="486">
        <v>3000</v>
      </c>
      <c r="O250" s="176" t="s">
        <v>1868</v>
      </c>
      <c r="P250" s="486"/>
      <c r="Q250" s="247">
        <v>1.32</v>
      </c>
      <c r="R250" s="246">
        <f t="shared" si="7"/>
        <v>0</v>
      </c>
      <c r="S250" s="177">
        <v>43907</v>
      </c>
      <c r="T250" s="182"/>
      <c r="U250" s="177"/>
      <c r="V250" s="177"/>
      <c r="W250" s="177"/>
      <c r="X250" s="176"/>
      <c r="Y250" s="177"/>
      <c r="Z250" s="415">
        <v>3</v>
      </c>
      <c r="AA250" s="488" t="s">
        <v>8391</v>
      </c>
      <c r="AB250" s="594"/>
      <c r="AC250" s="595"/>
      <c r="AD250" s="596"/>
      <c r="AE250" s="596"/>
      <c r="AF250" s="597" t="str">
        <f>IFERROR(INDEX(produtos_escape2!M:M,MATCH(Controle!H250,produtos_escape2!A:A,0)),"")</f>
        <v>ONDANSETRONA SOLUÇAO INJETAVEL 2 MG/ML AMPOLA 4 ML</v>
      </c>
    </row>
    <row r="251" spans="1:32" ht="14.25" customHeight="1">
      <c r="A251" s="176" t="s">
        <v>7564</v>
      </c>
      <c r="B251" s="176" t="s">
        <v>3608</v>
      </c>
      <c r="C251" s="177">
        <v>43894</v>
      </c>
      <c r="D251" s="176" t="s">
        <v>7742</v>
      </c>
      <c r="E251" s="176" t="s">
        <v>3009</v>
      </c>
      <c r="F251" s="259" t="s">
        <v>7763</v>
      </c>
      <c r="G251" s="176">
        <v>7</v>
      </c>
      <c r="H251" s="178">
        <v>29664</v>
      </c>
      <c r="I251" s="592">
        <f t="shared" si="6"/>
        <v>4</v>
      </c>
      <c r="J251" s="178" t="s">
        <v>816</v>
      </c>
      <c r="K251" s="178" t="s">
        <v>816</v>
      </c>
      <c r="L251" s="275" t="str">
        <f>IF(H:H=0,"",IF(ISERROR(VLOOKUP(H:H,produtos_escape2!$A$2:$B$2794,2,FALSE)),"Código não cadastrado",(VLOOKUP(H:H,produtos_escape2!$A$2:$B$2794,2,FALSE))))</f>
        <v>GLICLAZIDA COMPRIMIDO DE LIBERACAO PROLONGADA 60 MG</v>
      </c>
      <c r="M251" s="593" t="str">
        <f>IF(H:H=0,"",IF(ISERROR(VLOOKUP(H:H,produtos_escape2!$A$2:$D$2794,2,FALSE)),"Código não cadastrado",(VLOOKUP(H:H,produtos_escape2!$A$2:$D$2794,4,FALSE))))</f>
        <v>CP</v>
      </c>
      <c r="N251" s="486">
        <v>600</v>
      </c>
      <c r="O251" s="176" t="s">
        <v>1868</v>
      </c>
      <c r="P251" s="486"/>
      <c r="Q251" s="247">
        <v>0.54</v>
      </c>
      <c r="R251" s="246">
        <f t="shared" si="7"/>
        <v>0</v>
      </c>
      <c r="S251" s="177">
        <v>43907</v>
      </c>
      <c r="T251" s="182"/>
      <c r="U251" s="177"/>
      <c r="V251" s="177"/>
      <c r="W251" s="177"/>
      <c r="X251" s="176"/>
      <c r="Y251" s="177"/>
      <c r="Z251" s="415">
        <v>2</v>
      </c>
      <c r="AA251" s="488" t="s">
        <v>8216</v>
      </c>
      <c r="AB251" s="594"/>
      <c r="AC251" s="595"/>
      <c r="AD251" s="596"/>
      <c r="AE251" s="596"/>
      <c r="AF251" s="597" t="str">
        <f>IFERROR(INDEX(produtos_escape2!M:M,MATCH(Controle!H251,produtos_escape2!A:A,0)),"")</f>
        <v>GLICAZIDA</v>
      </c>
    </row>
    <row r="252" spans="1:32" ht="14.25" customHeight="1">
      <c r="A252" s="176" t="s">
        <v>7564</v>
      </c>
      <c r="B252" s="176" t="s">
        <v>3608</v>
      </c>
      <c r="C252" s="177">
        <v>43894</v>
      </c>
      <c r="D252" s="176" t="s">
        <v>7742</v>
      </c>
      <c r="E252" s="176" t="s">
        <v>3009</v>
      </c>
      <c r="F252" s="259" t="s">
        <v>7763</v>
      </c>
      <c r="G252" s="176">
        <v>8</v>
      </c>
      <c r="H252" s="178">
        <v>90226</v>
      </c>
      <c r="I252" s="592">
        <f t="shared" si="6"/>
        <v>2</v>
      </c>
      <c r="J252" s="178" t="s">
        <v>816</v>
      </c>
      <c r="K252" s="178" t="s">
        <v>816</v>
      </c>
      <c r="L252" s="275" t="str">
        <f>IF(H:H=0,"",IF(ISERROR(VLOOKUP(H:H,produtos_escape2!$A$2:$B$2794,2,FALSE)),"Código não cadastrado",(VLOOKUP(H:H,produtos_escape2!$A$2:$B$2794,2,FALSE))))</f>
        <v>METFORMINA (CLORIDRATO) COMPRIMIDO 850MG</v>
      </c>
      <c r="M252" s="593" t="str">
        <f>IF(H:H=0,"",IF(ISERROR(VLOOKUP(H:H,produtos_escape2!$A$2:$D$2794,2,FALSE)),"Código não cadastrado",(VLOOKUP(H:H,produtos_escape2!$A$2:$D$2794,4,FALSE))))</f>
        <v>CP</v>
      </c>
      <c r="N252" s="486">
        <v>1000</v>
      </c>
      <c r="O252" s="176" t="s">
        <v>1868</v>
      </c>
      <c r="P252" s="486"/>
      <c r="Q252" s="247">
        <v>7.7700000000000005E-2</v>
      </c>
      <c r="R252" s="246">
        <f t="shared" si="7"/>
        <v>0</v>
      </c>
      <c r="S252" s="177">
        <v>43907</v>
      </c>
      <c r="T252" s="182"/>
      <c r="U252" s="177"/>
      <c r="V252" s="177"/>
      <c r="W252" s="177"/>
      <c r="X252" s="176"/>
      <c r="Y252" s="177"/>
      <c r="Z252" s="415">
        <v>2</v>
      </c>
      <c r="AA252" s="488" t="s">
        <v>8217</v>
      </c>
      <c r="AB252" s="594"/>
      <c r="AC252" s="595"/>
      <c r="AD252" s="596"/>
      <c r="AE252" s="596"/>
      <c r="AF252" s="597" t="str">
        <f>IFERROR(INDEX(produtos_escape2!M:M,MATCH(Controle!H252,produtos_escape2!A:A,0)),"")</f>
        <v>METFORMINA (CLORIDRATO) COMPRIMIDO 850MG</v>
      </c>
    </row>
    <row r="253" spans="1:32" ht="14.25" customHeight="1">
      <c r="A253" s="176" t="s">
        <v>7564</v>
      </c>
      <c r="B253" s="176" t="s">
        <v>3608</v>
      </c>
      <c r="C253" s="177">
        <v>43894</v>
      </c>
      <c r="D253" s="176" t="s">
        <v>7742</v>
      </c>
      <c r="E253" s="176" t="s">
        <v>3009</v>
      </c>
      <c r="F253" s="259" t="s">
        <v>7763</v>
      </c>
      <c r="G253" s="176">
        <v>9</v>
      </c>
      <c r="H253" s="178">
        <v>90291</v>
      </c>
      <c r="I253" s="592">
        <f t="shared" si="6"/>
        <v>6</v>
      </c>
      <c r="J253" s="178" t="s">
        <v>816</v>
      </c>
      <c r="K253" s="178" t="s">
        <v>816</v>
      </c>
      <c r="L253" s="275" t="str">
        <f>IF(H:H=0,"",IF(ISERROR(VLOOKUP(H:H,produtos_escape2!$A$2:$B$2794,2,FALSE)),"Código não cadastrado",(VLOOKUP(H:H,produtos_escape2!$A$2:$B$2794,2,FALSE))))</f>
        <v>PROPANOLOL (CLORIDRATO) COMPRIMIDO 40 MG</v>
      </c>
      <c r="M253" s="593" t="str">
        <f>IF(H:H=0,"",IF(ISERROR(VLOOKUP(H:H,produtos_escape2!$A$2:$D$2794,2,FALSE)),"Código não cadastrado",(VLOOKUP(H:H,produtos_escape2!$A$2:$D$2794,4,FALSE))))</f>
        <v>CP</v>
      </c>
      <c r="N253" s="486">
        <v>600</v>
      </c>
      <c r="O253" s="176" t="s">
        <v>1868</v>
      </c>
      <c r="P253" s="486"/>
      <c r="Q253" s="247">
        <v>2.1700000000000001E-2</v>
      </c>
      <c r="R253" s="246">
        <f t="shared" si="7"/>
        <v>0</v>
      </c>
      <c r="S253" s="177">
        <v>43907</v>
      </c>
      <c r="T253" s="182"/>
      <c r="U253" s="177"/>
      <c r="V253" s="177"/>
      <c r="W253" s="177"/>
      <c r="X253" s="176"/>
      <c r="Y253" s="177"/>
      <c r="Z253" s="415">
        <v>2</v>
      </c>
      <c r="AA253" s="488" t="s">
        <v>8217</v>
      </c>
      <c r="AB253" s="594"/>
      <c r="AC253" s="595"/>
      <c r="AD253" s="596"/>
      <c r="AE253" s="596"/>
      <c r="AF253" s="597" t="str">
        <f>IFERROR(INDEX(produtos_escape2!M:M,MATCH(Controle!H253,produtos_escape2!A:A,0)),"")</f>
        <v>PROPANOLOL (CLORIDRATO) COMPRIMIDO 40 MG</v>
      </c>
    </row>
    <row r="254" spans="1:32" ht="14.25" customHeight="1">
      <c r="A254" s="176" t="s">
        <v>7564</v>
      </c>
      <c r="B254" s="176" t="s">
        <v>3608</v>
      </c>
      <c r="C254" s="177">
        <v>43894</v>
      </c>
      <c r="D254" s="176" t="s">
        <v>7742</v>
      </c>
      <c r="E254" s="176" t="s">
        <v>3009</v>
      </c>
      <c r="F254" s="259" t="s">
        <v>7763</v>
      </c>
      <c r="G254" s="176">
        <v>6</v>
      </c>
      <c r="H254" s="178">
        <v>90949</v>
      </c>
      <c r="I254" s="592">
        <f t="shared" si="6"/>
        <v>9</v>
      </c>
      <c r="J254" s="178" t="s">
        <v>816</v>
      </c>
      <c r="K254" s="178" t="s">
        <v>816</v>
      </c>
      <c r="L254" s="275" t="str">
        <f>IF(H:H=0,"",IF(ISERROR(VLOOKUP(H:H,produtos_escape2!$A$2:$B$2794,2,FALSE)),"Código não cadastrado",(VLOOKUP(H:H,produtos_escape2!$A$2:$B$2794,2,FALSE))))</f>
        <v>ONDANSETRONA SOLUÇAO INJETAVEL 2 MG/ML AMPOLA 4 ML</v>
      </c>
      <c r="M254" s="593" t="str">
        <f>IF(H:H=0,"",IF(ISERROR(VLOOKUP(H:H,produtos_escape2!$A$2:$D$2794,2,FALSE)),"Código não cadastrado",(VLOOKUP(H:H,produtos_escape2!$A$2:$D$2794,4,FALSE))))</f>
        <v>AMP</v>
      </c>
      <c r="N254" s="486">
        <v>3000</v>
      </c>
      <c r="O254" s="176" t="s">
        <v>2989</v>
      </c>
      <c r="P254" s="486">
        <v>2000</v>
      </c>
      <c r="Q254" s="247">
        <v>1.32</v>
      </c>
      <c r="R254" s="246">
        <f t="shared" si="7"/>
        <v>2640</v>
      </c>
      <c r="S254" s="177">
        <v>43907</v>
      </c>
      <c r="T254" s="182">
        <v>113944</v>
      </c>
      <c r="U254" s="177">
        <v>43908</v>
      </c>
      <c r="V254" s="177">
        <v>43909</v>
      </c>
      <c r="W254" s="177">
        <v>43910</v>
      </c>
      <c r="X254" s="176">
        <v>84233</v>
      </c>
      <c r="Y254" s="177">
        <v>43916</v>
      </c>
      <c r="Z254" s="415">
        <v>2</v>
      </c>
      <c r="AA254" s="488"/>
      <c r="AB254" s="594"/>
      <c r="AC254" s="595"/>
      <c r="AD254" s="596"/>
      <c r="AE254" s="596"/>
      <c r="AF254" s="597" t="str">
        <f>IFERROR(INDEX(produtos_escape2!M:M,MATCH(Controle!H254,produtos_escape2!A:A,0)),"")</f>
        <v>ONDANSETRONA SOLUÇAO INJETAVEL 2 MG/ML AMPOLA 4 ML</v>
      </c>
    </row>
    <row r="255" spans="1:32" ht="14.25" customHeight="1">
      <c r="A255" s="176" t="s">
        <v>7564</v>
      </c>
      <c r="B255" s="176" t="s">
        <v>3608</v>
      </c>
      <c r="C255" s="177">
        <v>43894</v>
      </c>
      <c r="D255" s="176" t="s">
        <v>7742</v>
      </c>
      <c r="E255" s="176" t="s">
        <v>3009</v>
      </c>
      <c r="F255" s="259" t="s">
        <v>7763</v>
      </c>
      <c r="G255" s="176">
        <v>11</v>
      </c>
      <c r="H255" s="178">
        <v>203437</v>
      </c>
      <c r="I255" s="592">
        <f t="shared" si="6"/>
        <v>4</v>
      </c>
      <c r="J255" s="178" t="s">
        <v>816</v>
      </c>
      <c r="K255" s="178" t="s">
        <v>816</v>
      </c>
      <c r="L255" s="275" t="str">
        <f>IF(H:H=0,"",IF(ISERROR(VLOOKUP(H:H,produtos_escape2!$A$2:$B$2794,2,FALSE)),"Código não cadastrado",(VLOOKUP(H:H,produtos_escape2!$A$2:$B$2794,2,FALSE))))</f>
        <v>CARVÃO ATIVADO PÓ FRASCO OU ENVELOPE 25 G.</v>
      </c>
      <c r="M255" s="593" t="str">
        <f>IF(H:H=0,"",IF(ISERROR(VLOOKUP(H:H,produtos_escape2!$A$2:$D$2794,2,FALSE)),"Código não cadastrado",(VLOOKUP(H:H,produtos_escape2!$A$2:$D$2794,4,FALSE))))</f>
        <v>UN</v>
      </c>
      <c r="N255" s="486">
        <v>15</v>
      </c>
      <c r="O255" s="176" t="s">
        <v>1868</v>
      </c>
      <c r="P255" s="486"/>
      <c r="Q255" s="247"/>
      <c r="R255" s="246">
        <f t="shared" si="7"/>
        <v>0</v>
      </c>
      <c r="S255" s="177">
        <v>43907</v>
      </c>
      <c r="T255" s="182"/>
      <c r="U255" s="177"/>
      <c r="V255" s="177"/>
      <c r="W255" s="177"/>
      <c r="X255" s="176"/>
      <c r="Y255" s="177"/>
      <c r="Z255" s="415">
        <v>2</v>
      </c>
      <c r="AA255" s="488" t="s">
        <v>7474</v>
      </c>
      <c r="AB255" s="594"/>
      <c r="AC255" s="595"/>
      <c r="AD255" s="596"/>
      <c r="AE255" s="596"/>
      <c r="AF255" s="597" t="str">
        <f>IFERROR(INDEX(produtos_escape2!M:M,MATCH(Controle!H255,produtos_escape2!A:A,0)),"")</f>
        <v>CARVÃO ATIVADO PÓ FRASCO OU ENVELOPE 25 G</v>
      </c>
    </row>
    <row r="256" spans="1:32" ht="14.25" customHeight="1">
      <c r="A256" s="176" t="s">
        <v>7528</v>
      </c>
      <c r="B256" s="176" t="s">
        <v>3608</v>
      </c>
      <c r="C256" s="177">
        <v>43894</v>
      </c>
      <c r="D256" s="176" t="s">
        <v>7740</v>
      </c>
      <c r="E256" s="176" t="s">
        <v>3009</v>
      </c>
      <c r="F256" s="259" t="s">
        <v>7764</v>
      </c>
      <c r="G256" s="176">
        <v>1</v>
      </c>
      <c r="H256" s="178">
        <v>34534</v>
      </c>
      <c r="I256" s="592">
        <f t="shared" si="6"/>
        <v>7</v>
      </c>
      <c r="J256" s="178" t="s">
        <v>816</v>
      </c>
      <c r="K256" s="178" t="s">
        <v>816</v>
      </c>
      <c r="L256" s="275"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256" s="593" t="str">
        <f>IF(H:H=0,"",IF(ISERROR(VLOOKUP(H:H,produtos_escape2!$A$2:$D$2794,2,FALSE)),"Código não cadastrado",(VLOOKUP(H:H,produtos_escape2!$A$2:$D$2794,4,FALSE))))</f>
        <v>UN</v>
      </c>
      <c r="N256" s="486">
        <v>10000</v>
      </c>
      <c r="O256" s="176" t="s">
        <v>7826</v>
      </c>
      <c r="P256" s="486">
        <v>10000</v>
      </c>
      <c r="Q256" s="247">
        <v>0.91</v>
      </c>
      <c r="R256" s="246">
        <f t="shared" si="7"/>
        <v>9100</v>
      </c>
      <c r="S256" s="177">
        <v>43907</v>
      </c>
      <c r="T256" s="182">
        <v>2566</v>
      </c>
      <c r="U256" s="177">
        <v>43907</v>
      </c>
      <c r="V256" s="177">
        <v>43913</v>
      </c>
      <c r="W256" s="177">
        <v>43914</v>
      </c>
      <c r="X256" s="415">
        <v>90651</v>
      </c>
      <c r="Y256" s="177">
        <v>43935</v>
      </c>
      <c r="Z256" s="415">
        <v>2</v>
      </c>
      <c r="AA256" s="488"/>
      <c r="AB256" s="594"/>
      <c r="AC256" s="595"/>
      <c r="AD256" s="596"/>
      <c r="AE256" s="596"/>
      <c r="AF256" s="597" t="str">
        <f>IFERROR(INDEX(produtos_escape2!M:M,MATCH(Controle!H256,produtos_escape2!A:A,0)),"")</f>
        <v>EQUIPO SIMPLES PARA INFUSÃO DE SOLUÇÕES PARENTERAIS</v>
      </c>
    </row>
    <row r="257" spans="1:32" ht="14.25" customHeight="1">
      <c r="A257" s="176" t="s">
        <v>7528</v>
      </c>
      <c r="B257" s="176" t="s">
        <v>3608</v>
      </c>
      <c r="C257" s="177">
        <v>43894</v>
      </c>
      <c r="D257" s="176" t="s">
        <v>7740</v>
      </c>
      <c r="E257" s="176" t="s">
        <v>3009</v>
      </c>
      <c r="F257" s="259" t="s">
        <v>7764</v>
      </c>
      <c r="G257" s="176">
        <v>2</v>
      </c>
      <c r="H257" s="178">
        <v>30972</v>
      </c>
      <c r="I257" s="592">
        <f t="shared" si="6"/>
        <v>7</v>
      </c>
      <c r="J257" s="178" t="s">
        <v>816</v>
      </c>
      <c r="K257" s="178" t="s">
        <v>816</v>
      </c>
      <c r="L257" s="275"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257" s="593" t="str">
        <f>IF(H:H=0,"",IF(ISERROR(VLOOKUP(H:H,produtos_escape2!$A$2:$D$2794,2,FALSE)),"Código não cadastrado",(VLOOKUP(H:H,produtos_escape2!$A$2:$D$2794,4,FALSE))))</f>
        <v>UN</v>
      </c>
      <c r="N257" s="486">
        <v>500</v>
      </c>
      <c r="O257" s="176" t="s">
        <v>1868</v>
      </c>
      <c r="P257" s="486"/>
      <c r="Q257" s="247">
        <v>0.88419999999999999</v>
      </c>
      <c r="R257" s="246">
        <f t="shared" si="7"/>
        <v>0</v>
      </c>
      <c r="S257" s="177">
        <v>43907</v>
      </c>
      <c r="T257" s="182"/>
      <c r="U257" s="177"/>
      <c r="V257" s="177"/>
      <c r="W257" s="177"/>
      <c r="X257" s="176"/>
      <c r="Y257" s="177"/>
      <c r="Z257" s="415">
        <v>2</v>
      </c>
      <c r="AA257" s="488" t="s">
        <v>8040</v>
      </c>
      <c r="AB257" s="594"/>
      <c r="AC257" s="595"/>
      <c r="AD257" s="596"/>
      <c r="AE257" s="596"/>
      <c r="AF257" s="597" t="str">
        <f>IFERROR(INDEX(produtos_escape2!M:M,MATCH(Controle!H257,produtos_escape2!A:A,0)),"")</f>
        <v>CATETER NASAL ADULTO</v>
      </c>
    </row>
    <row r="258" spans="1:32" ht="14.25" customHeight="1">
      <c r="A258" s="176" t="s">
        <v>7528</v>
      </c>
      <c r="B258" s="176" t="s">
        <v>3608</v>
      </c>
      <c r="C258" s="177">
        <v>43894</v>
      </c>
      <c r="D258" s="176" t="s">
        <v>7740</v>
      </c>
      <c r="E258" s="176" t="s">
        <v>3009</v>
      </c>
      <c r="F258" s="259" t="s">
        <v>7764</v>
      </c>
      <c r="G258" s="176">
        <v>3</v>
      </c>
      <c r="H258" s="178">
        <v>31407</v>
      </c>
      <c r="I258" s="592">
        <f t="shared" si="6"/>
        <v>2</v>
      </c>
      <c r="J258" s="178" t="s">
        <v>816</v>
      </c>
      <c r="K258" s="178" t="s">
        <v>816</v>
      </c>
      <c r="L258" s="275" t="str">
        <f>IF(H:H=0,"",IF(ISERROR(VLOOKUP(H:H,produtos_escape2!$A$2:$B$2794,2,FALSE)),"Código não cadastrado",(VLOOKUP(H:H,produtos_escape2!$A$2:$B$2794,2,FALSE))))</f>
        <v>GLUTARALDEÍDO SOLUÇÃO A 2% PRÉ-ATIVADA  ACOMPANHADA DE FITA REAGENTE. Aplicação: Desinfecção de alto nível de endoscópios, colonoscópios e broncoscópios. Solução com tempo máximo de exposição dos artigos ao produto de até 30 minutos e o tempo de eficiência da solução em uso deverá ser no mínimo de 14 dias. O produto deverá estar em consonância com as resoluções Anvisa RDC nº 35/2010 e RDC nº 06/2013. Deverá ser acompanhada de no mínimo 15 (QUINZE) fitas teste para cada 5 Litros da solução.</v>
      </c>
      <c r="M258" s="593" t="str">
        <f>IF(H:H=0,"",IF(ISERROR(VLOOKUP(H:H,produtos_escape2!$A$2:$D$2794,2,FALSE)),"Código não cadastrado",(VLOOKUP(H:H,produtos_escape2!$A$2:$D$2794,4,FALSE))))</f>
        <v>LI</v>
      </c>
      <c r="N258" s="486">
        <v>60</v>
      </c>
      <c r="O258" s="176" t="s">
        <v>1868</v>
      </c>
      <c r="P258" s="486"/>
      <c r="Q258" s="247"/>
      <c r="R258" s="246">
        <f t="shared" si="7"/>
        <v>0</v>
      </c>
      <c r="S258" s="177">
        <v>43907</v>
      </c>
      <c r="T258" s="182"/>
      <c r="U258" s="177"/>
      <c r="V258" s="177"/>
      <c r="W258" s="177"/>
      <c r="X258" s="176"/>
      <c r="Y258" s="177"/>
      <c r="Z258" s="415">
        <v>2</v>
      </c>
      <c r="AA258" s="488" t="s">
        <v>7474</v>
      </c>
      <c r="AB258" s="594"/>
      <c r="AC258" s="595"/>
      <c r="AD258" s="596"/>
      <c r="AE258" s="596"/>
      <c r="AF258" s="597" t="str">
        <f>IFERROR(INDEX(produtos_escape2!M:M,MATCH(Controle!H258,produtos_escape2!A:A,0)),"")</f>
        <v>GLUTARALDEÍDO SOLUÇÃO A 2% PRÉ-ATIVADA + FITA REAGENTE (MINIMO 50 FITAS/GALÃO)</v>
      </c>
    </row>
    <row r="259" spans="1:32" ht="14.25" customHeight="1">
      <c r="A259" s="176" t="s">
        <v>7528</v>
      </c>
      <c r="B259" s="176" t="s">
        <v>3608</v>
      </c>
      <c r="C259" s="177">
        <v>43894</v>
      </c>
      <c r="D259" s="176" t="s">
        <v>7740</v>
      </c>
      <c r="E259" s="176" t="s">
        <v>3009</v>
      </c>
      <c r="F259" s="259" t="s">
        <v>7764</v>
      </c>
      <c r="G259" s="176">
        <v>4</v>
      </c>
      <c r="H259" s="178">
        <v>92037</v>
      </c>
      <c r="I259" s="592">
        <f t="shared" ref="I259:I322" si="8">COUNTIF($H$3:$H$3041,H259)</f>
        <v>1</v>
      </c>
      <c r="J259" s="178" t="s">
        <v>816</v>
      </c>
      <c r="K259" s="178" t="s">
        <v>816</v>
      </c>
      <c r="L259" s="275" t="str">
        <f>IF(H:H=0,"",IF(ISERROR(VLOOKUP(H:H,produtos_escape2!$A$2:$B$2794,2,FALSE)),"Código não cadastrado",(VLOOKUP(H:H,produtos_escape2!$A$2:$B$2794,2,FALSE))))</f>
        <v>TUBO ENDOTRAQUEAL COM CUFF P.V.C. 9,0MM</v>
      </c>
      <c r="M259" s="593" t="str">
        <f>IF(H:H=0,"",IF(ISERROR(VLOOKUP(H:H,produtos_escape2!$A$2:$D$2794,2,FALSE)),"Código não cadastrado",(VLOOKUP(H:H,produtos_escape2!$A$2:$D$2794,4,FALSE))))</f>
        <v>UN</v>
      </c>
      <c r="N259" s="486">
        <v>50</v>
      </c>
      <c r="O259" s="176" t="s">
        <v>2989</v>
      </c>
      <c r="P259" s="486">
        <v>50</v>
      </c>
      <c r="Q259" s="247">
        <v>3.5</v>
      </c>
      <c r="R259" s="246">
        <f t="shared" ref="R259:R322" si="9">P259*Q259</f>
        <v>175</v>
      </c>
      <c r="S259" s="177">
        <v>43907</v>
      </c>
      <c r="T259" s="182">
        <v>113920</v>
      </c>
      <c r="U259" s="177">
        <v>43908</v>
      </c>
      <c r="V259" s="177">
        <v>43909</v>
      </c>
      <c r="W259" s="177">
        <v>43910</v>
      </c>
      <c r="X259" s="176">
        <v>84199</v>
      </c>
      <c r="Y259" s="177">
        <v>43916</v>
      </c>
      <c r="Z259" s="415">
        <v>2</v>
      </c>
      <c r="AA259" s="488"/>
      <c r="AB259" s="594"/>
      <c r="AC259" s="595"/>
      <c r="AD259" s="596"/>
      <c r="AE259" s="596"/>
      <c r="AF259" s="597" t="str">
        <f>IFERROR(INDEX(produtos_escape2!M:M,MATCH(Controle!H259,produtos_escape2!A:A,0)),"")</f>
        <v>TUBO ENDOTRAQUEAL</v>
      </c>
    </row>
    <row r="260" spans="1:32" ht="14.25" customHeight="1">
      <c r="A260" s="176" t="s">
        <v>7528</v>
      </c>
      <c r="B260" s="176" t="s">
        <v>3608</v>
      </c>
      <c r="C260" s="177">
        <v>43894</v>
      </c>
      <c r="D260" s="176" t="s">
        <v>7740</v>
      </c>
      <c r="E260" s="176" t="s">
        <v>3009</v>
      </c>
      <c r="F260" s="259" t="s">
        <v>7764</v>
      </c>
      <c r="G260" s="176">
        <v>5</v>
      </c>
      <c r="H260" s="178">
        <v>95046</v>
      </c>
      <c r="I260" s="592">
        <f t="shared" si="8"/>
        <v>7</v>
      </c>
      <c r="J260" s="178" t="s">
        <v>816</v>
      </c>
      <c r="K260" s="178" t="s">
        <v>816</v>
      </c>
      <c r="L260" s="275"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260" s="593" t="str">
        <f>IF(H:H=0,"",IF(ISERROR(VLOOKUP(H:H,produtos_escape2!$A$2:$D$2794,2,FALSE)),"Código não cadastrado",(VLOOKUP(H:H,produtos_escape2!$A$2:$D$2794,4,FALSE))))</f>
        <v>FR</v>
      </c>
      <c r="N260" s="486">
        <v>120</v>
      </c>
      <c r="O260" s="176" t="s">
        <v>7826</v>
      </c>
      <c r="P260" s="486">
        <v>120</v>
      </c>
      <c r="Q260" s="247">
        <v>4.6524999999999999</v>
      </c>
      <c r="R260" s="246">
        <f t="shared" si="9"/>
        <v>558.29999999999995</v>
      </c>
      <c r="S260" s="177">
        <v>43907</v>
      </c>
      <c r="T260" s="182">
        <v>2566</v>
      </c>
      <c r="U260" s="177">
        <v>43907</v>
      </c>
      <c r="V260" s="177">
        <v>43913</v>
      </c>
      <c r="W260" s="177">
        <v>43914</v>
      </c>
      <c r="X260" s="415">
        <v>90651</v>
      </c>
      <c r="Y260" s="177">
        <v>43935</v>
      </c>
      <c r="Z260" s="415">
        <v>2</v>
      </c>
      <c r="AA260" s="488"/>
      <c r="AB260" s="594"/>
      <c r="AC260" s="595"/>
      <c r="AD260" s="596"/>
      <c r="AE260" s="596"/>
      <c r="AF260" s="597" t="str">
        <f>IFERROR(INDEX(produtos_escape2!M:M,MATCH(Controle!H260,produtos_escape2!A:A,0)),"")</f>
        <v>ALCOOL ETILICO ABSOLUTO 99</v>
      </c>
    </row>
    <row r="261" spans="1:32" ht="14.25" customHeight="1">
      <c r="A261" s="176" t="s">
        <v>7528</v>
      </c>
      <c r="B261" s="176" t="s">
        <v>3608</v>
      </c>
      <c r="C261" s="177">
        <v>43894</v>
      </c>
      <c r="D261" s="176" t="s">
        <v>7740</v>
      </c>
      <c r="E261" s="176" t="s">
        <v>3009</v>
      </c>
      <c r="F261" s="259" t="s">
        <v>7764</v>
      </c>
      <c r="G261" s="176">
        <v>6</v>
      </c>
      <c r="H261" s="178">
        <v>92439</v>
      </c>
      <c r="I261" s="592">
        <f t="shared" si="8"/>
        <v>4</v>
      </c>
      <c r="J261" s="178" t="s">
        <v>816</v>
      </c>
      <c r="K261" s="178" t="s">
        <v>816</v>
      </c>
      <c r="L261" s="275"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261" s="593" t="str">
        <f>IF(H:H=0,"",IF(ISERROR(VLOOKUP(H:H,produtos_escape2!$A$2:$D$2794,2,FALSE)),"Código não cadastrado",(VLOOKUP(H:H,produtos_escape2!$A$2:$D$2794,4,FALSE))))</f>
        <v>UN</v>
      </c>
      <c r="N261" s="486">
        <v>200</v>
      </c>
      <c r="O261" s="176" t="s">
        <v>1868</v>
      </c>
      <c r="P261" s="486"/>
      <c r="Q261" s="247">
        <v>2.5188000000000001</v>
      </c>
      <c r="R261" s="246">
        <f t="shared" si="9"/>
        <v>0</v>
      </c>
      <c r="S261" s="177">
        <v>43907</v>
      </c>
      <c r="T261" s="182"/>
      <c r="U261" s="177"/>
      <c r="V261" s="177"/>
      <c r="W261" s="177"/>
      <c r="X261" s="176"/>
      <c r="Y261" s="177"/>
      <c r="Z261" s="415">
        <v>2</v>
      </c>
      <c r="AA261" s="488"/>
      <c r="AB261" s="594"/>
      <c r="AC261" s="595"/>
      <c r="AD261" s="596"/>
      <c r="AE261" s="596"/>
      <c r="AF261" s="597" t="str">
        <f>IFERROR(INDEX(produtos_escape2!M:M,MATCH(Controle!H261,produtos_escape2!A:A,0)),"")</f>
        <v>SONDA DE FOLEY 2 VIAS LÁTEX Nº 18</v>
      </c>
    </row>
    <row r="262" spans="1:32" ht="14.25" customHeight="1">
      <c r="A262" s="176" t="s">
        <v>7528</v>
      </c>
      <c r="B262" s="176" t="s">
        <v>3608</v>
      </c>
      <c r="C262" s="177">
        <v>43894</v>
      </c>
      <c r="D262" s="176" t="s">
        <v>7740</v>
      </c>
      <c r="E262" s="176" t="s">
        <v>3009</v>
      </c>
      <c r="F262" s="259" t="s">
        <v>7764</v>
      </c>
      <c r="G262" s="176">
        <v>7</v>
      </c>
      <c r="H262" s="178">
        <v>92445</v>
      </c>
      <c r="I262" s="592">
        <f t="shared" si="8"/>
        <v>8</v>
      </c>
      <c r="J262" s="178" t="s">
        <v>816</v>
      </c>
      <c r="K262" s="178" t="s">
        <v>816</v>
      </c>
      <c r="L262" s="275"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262" s="593" t="str">
        <f>IF(H:H=0,"",IF(ISERROR(VLOOKUP(H:H,produtos_escape2!$A$2:$D$2794,2,FALSE)),"Código não cadastrado",(VLOOKUP(H:H,produtos_escape2!$A$2:$D$2794,4,FALSE))))</f>
        <v>UN</v>
      </c>
      <c r="N262" s="486">
        <v>200</v>
      </c>
      <c r="O262" s="176" t="s">
        <v>1868</v>
      </c>
      <c r="P262" s="486"/>
      <c r="Q262" s="247">
        <v>2.4948999999999999</v>
      </c>
      <c r="R262" s="246">
        <f t="shared" si="9"/>
        <v>0</v>
      </c>
      <c r="S262" s="177">
        <v>43907</v>
      </c>
      <c r="T262" s="182"/>
      <c r="U262" s="177"/>
      <c r="V262" s="177"/>
      <c r="W262" s="177"/>
      <c r="X262" s="176"/>
      <c r="Y262" s="177"/>
      <c r="Z262" s="415">
        <v>2</v>
      </c>
      <c r="AA262" s="488"/>
      <c r="AB262" s="594"/>
      <c r="AC262" s="595"/>
      <c r="AD262" s="596"/>
      <c r="AE262" s="596"/>
      <c r="AF262" s="597" t="str">
        <f>IFERROR(INDEX(produtos_escape2!M:M,MATCH(Controle!H262,produtos_escape2!A:A,0)),"")</f>
        <v>SONDA DE FOLEY 2 VIAS LÁTEX Nº 14</v>
      </c>
    </row>
    <row r="263" spans="1:32" ht="14.25" customHeight="1">
      <c r="A263" s="176" t="s">
        <v>7528</v>
      </c>
      <c r="B263" s="176" t="s">
        <v>3608</v>
      </c>
      <c r="C263" s="177">
        <v>43894</v>
      </c>
      <c r="D263" s="176" t="s">
        <v>7740</v>
      </c>
      <c r="E263" s="176" t="s">
        <v>3009</v>
      </c>
      <c r="F263" s="259" t="s">
        <v>7764</v>
      </c>
      <c r="G263" s="176">
        <v>8</v>
      </c>
      <c r="H263" s="178">
        <v>92444</v>
      </c>
      <c r="I263" s="592">
        <f t="shared" si="8"/>
        <v>2</v>
      </c>
      <c r="J263" s="178" t="s">
        <v>816</v>
      </c>
      <c r="K263" s="178" t="s">
        <v>816</v>
      </c>
      <c r="L263" s="275" t="str">
        <f>IF(H:H=0,"",IF(ISERROR(VLOOKUP(H:H,produtos_escape2!$A$2:$B$2794,2,FALSE)),"Código não cadastrado",(VLOOKUP(H:H,produtos_escape2!$A$2:$B$2794,2,FALSE))))</f>
        <v>SONDA DE FOLEY 2 VIAS LÁTEX  Nº 12. Aplicação: drenagem e controle da diurese. Material: Látex atóxico. Características Adicionais: estéril, descartável, siliconizada; medindo aproximadamente 28 cm, apresentando flexibilidade e maleabilidade adequadas ao fim a que se destina, que não cause irritação ao paciente, espessura uniforme, isenta de manchas ou quaisquer defeitos. Balão com capacidade de 1,5 a 5 ml e válvula fixa que permita perfeita adaptação a seringas, com boa distensibilidade. Ponta distal arredondada e fechada, apresentando 02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integridade e esterilidade do produto.</v>
      </c>
      <c r="M263" s="593" t="str">
        <f>IF(H:H=0,"",IF(ISERROR(VLOOKUP(H:H,produtos_escape2!$A$2:$D$2794,2,FALSE)),"Código não cadastrado",(VLOOKUP(H:H,produtos_escape2!$A$2:$D$2794,4,FALSE))))</f>
        <v>UN</v>
      </c>
      <c r="N263" s="486">
        <v>50</v>
      </c>
      <c r="O263" s="176" t="s">
        <v>7826</v>
      </c>
      <c r="P263" s="486">
        <v>50</v>
      </c>
      <c r="Q263" s="247">
        <v>2.69</v>
      </c>
      <c r="R263" s="246">
        <f t="shared" si="9"/>
        <v>134.5</v>
      </c>
      <c r="S263" s="177">
        <v>43907</v>
      </c>
      <c r="T263" s="182">
        <v>2566</v>
      </c>
      <c r="U263" s="177">
        <v>43907</v>
      </c>
      <c r="V263" s="177">
        <v>43913</v>
      </c>
      <c r="W263" s="177">
        <v>43914</v>
      </c>
      <c r="X263" s="415">
        <v>90651</v>
      </c>
      <c r="Y263" s="177">
        <v>43935</v>
      </c>
      <c r="Z263" s="415">
        <v>2</v>
      </c>
      <c r="AA263" s="488"/>
      <c r="AB263" s="594"/>
      <c r="AC263" s="595"/>
      <c r="AD263" s="596"/>
      <c r="AE263" s="596"/>
      <c r="AF263" s="597" t="str">
        <f>IFERROR(INDEX(produtos_escape2!M:M,MATCH(Controle!H263,produtos_escape2!A:A,0)),"")</f>
        <v>SONDA DE FOLEY 2 VIAS LÁTEX  Nº 12</v>
      </c>
    </row>
    <row r="264" spans="1:32" ht="14.25" customHeight="1">
      <c r="A264" s="176" t="s">
        <v>7528</v>
      </c>
      <c r="B264" s="176" t="s">
        <v>3608</v>
      </c>
      <c r="C264" s="177">
        <v>43894</v>
      </c>
      <c r="D264" s="176" t="s">
        <v>7740</v>
      </c>
      <c r="E264" s="176" t="s">
        <v>3009</v>
      </c>
      <c r="F264" s="259" t="s">
        <v>7764</v>
      </c>
      <c r="G264" s="176">
        <v>9</v>
      </c>
      <c r="H264" s="178">
        <v>92448</v>
      </c>
      <c r="I264" s="592">
        <f t="shared" si="8"/>
        <v>3</v>
      </c>
      <c r="J264" s="178" t="s">
        <v>816</v>
      </c>
      <c r="K264" s="178" t="s">
        <v>816</v>
      </c>
      <c r="L264" s="275"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264" s="593" t="str">
        <f>IF(H:H=0,"",IF(ISERROR(VLOOKUP(H:H,produtos_escape2!$A$2:$D$2794,2,FALSE)),"Código não cadastrado",(VLOOKUP(H:H,produtos_escape2!$A$2:$D$2794,4,FALSE))))</f>
        <v>UN</v>
      </c>
      <c r="N264" s="486">
        <v>100</v>
      </c>
      <c r="O264" s="176" t="s">
        <v>7826</v>
      </c>
      <c r="P264" s="486">
        <v>100</v>
      </c>
      <c r="Q264" s="247">
        <v>2.69</v>
      </c>
      <c r="R264" s="246">
        <f t="shared" si="9"/>
        <v>269</v>
      </c>
      <c r="S264" s="177">
        <v>43907</v>
      </c>
      <c r="T264" s="182">
        <v>2566</v>
      </c>
      <c r="U264" s="177">
        <v>43907</v>
      </c>
      <c r="V264" s="177">
        <v>43913</v>
      </c>
      <c r="W264" s="177">
        <v>43914</v>
      </c>
      <c r="X264" s="415">
        <v>90651</v>
      </c>
      <c r="Y264" s="177">
        <v>43935</v>
      </c>
      <c r="Z264" s="415">
        <v>2</v>
      </c>
      <c r="AA264" s="488"/>
      <c r="AB264" s="594"/>
      <c r="AC264" s="595"/>
      <c r="AD264" s="596"/>
      <c r="AE264" s="596"/>
      <c r="AF264" s="597" t="str">
        <f>IFERROR(INDEX(produtos_escape2!M:M,MATCH(Controle!H264,produtos_escape2!A:A,0)),"")</f>
        <v>SONDA DE FOLEY 2 VIAS LÁTEX Nº 20</v>
      </c>
    </row>
    <row r="265" spans="1:32" ht="14.25" customHeight="1">
      <c r="A265" s="176" t="s">
        <v>7307</v>
      </c>
      <c r="B265" s="176" t="s">
        <v>1687</v>
      </c>
      <c r="C265" s="177">
        <v>43894</v>
      </c>
      <c r="D265" s="176" t="s">
        <v>7755</v>
      </c>
      <c r="E265" s="176" t="s">
        <v>3008</v>
      </c>
      <c r="F265" s="259" t="s">
        <v>7765</v>
      </c>
      <c r="G265" s="176">
        <v>3</v>
      </c>
      <c r="H265" s="178" t="s">
        <v>7758</v>
      </c>
      <c r="I265" s="592">
        <f t="shared" si="8"/>
        <v>1</v>
      </c>
      <c r="J265" s="178"/>
      <c r="K265" s="178"/>
      <c r="L265" s="275" t="str">
        <f>IF(H:H=0,"",IF(ISERROR(VLOOKUP(H:H,produtos_escape2!$A$2:$B$2794,2,FALSE)),"Código não cadastrado",(VLOOKUP(H:H,produtos_escape2!$A$2:$B$2794,2,FALSE))))</f>
        <v>CONSERTO de Foco cirúrgico de teto, Marca Maquet, modelo Blue 80/80, nº patrimônio 931747</v>
      </c>
      <c r="M265" s="593" t="str">
        <f>IF(H:H=0,"",IF(ISERROR(VLOOKUP(H:H,produtos_escape2!$A$2:$D$2794,2,FALSE)),"Código não cadastrado",(VLOOKUP(H:H,produtos_escape2!$A$2:$D$2794,4,FALSE))))</f>
        <v>Serviço</v>
      </c>
      <c r="N265" s="486">
        <v>1</v>
      </c>
      <c r="O265" s="176" t="s">
        <v>4433</v>
      </c>
      <c r="P265" s="486">
        <v>1</v>
      </c>
      <c r="Q265" s="247">
        <v>2450</v>
      </c>
      <c r="R265" s="246">
        <f t="shared" si="9"/>
        <v>2450</v>
      </c>
      <c r="S265" s="177">
        <v>43909</v>
      </c>
      <c r="T265" s="182">
        <v>479</v>
      </c>
      <c r="U265" s="177">
        <v>44047</v>
      </c>
      <c r="V265" s="177">
        <v>44048</v>
      </c>
      <c r="W265" s="177">
        <v>44048</v>
      </c>
      <c r="X265" s="176">
        <v>63759</v>
      </c>
      <c r="Y265" s="177">
        <v>44061</v>
      </c>
      <c r="Z265" s="415">
        <v>4</v>
      </c>
      <c r="AA265" s="488"/>
      <c r="AB265" s="594"/>
      <c r="AC265" s="595"/>
      <c r="AD265" s="596"/>
      <c r="AE265" s="596"/>
      <c r="AF265" s="597">
        <f>IFERROR(INDEX(produtos_escape2!M:M,MATCH(Controle!H265,produtos_escape2!A:A,0)),"")</f>
        <v>0</v>
      </c>
    </row>
    <row r="266" spans="1:32" ht="14.25" customHeight="1">
      <c r="A266" s="176" t="s">
        <v>7307</v>
      </c>
      <c r="B266" s="176" t="s">
        <v>1687</v>
      </c>
      <c r="C266" s="177">
        <v>43894</v>
      </c>
      <c r="D266" s="176" t="s">
        <v>7755</v>
      </c>
      <c r="E266" s="176" t="s">
        <v>3008</v>
      </c>
      <c r="F266" s="259" t="s">
        <v>7765</v>
      </c>
      <c r="G266" s="176">
        <v>2</v>
      </c>
      <c r="H266" s="178" t="s">
        <v>7757</v>
      </c>
      <c r="I266" s="592">
        <f t="shared" si="8"/>
        <v>1</v>
      </c>
      <c r="J266" s="178"/>
      <c r="K266" s="178"/>
      <c r="L266" s="275" t="str">
        <f>IF(H:H=0,"",IF(ISERROR(VLOOKUP(H:H,produtos_escape2!$A$2:$B$2794,2,FALSE)),"Código não cadastrado",(VLOOKUP(H:H,produtos_escape2!$A$2:$B$2794,2,FALSE))))</f>
        <v>CONSERTO de Foco cirúrgico de teto, Marca Maquet, modelo Blue 80/80, nº patrimônio 960.926</v>
      </c>
      <c r="M266" s="593" t="str">
        <f>IF(H:H=0,"",IF(ISERROR(VLOOKUP(H:H,produtos_escape2!$A$2:$D$2794,2,FALSE)),"Código não cadastrado",(VLOOKUP(H:H,produtos_escape2!$A$2:$D$2794,4,FALSE))))</f>
        <v>Serviço</v>
      </c>
      <c r="N266" s="486">
        <v>1</v>
      </c>
      <c r="O266" s="176" t="s">
        <v>4433</v>
      </c>
      <c r="P266" s="486">
        <v>1</v>
      </c>
      <c r="Q266" s="247">
        <v>2450</v>
      </c>
      <c r="R266" s="246">
        <f t="shared" si="9"/>
        <v>2450</v>
      </c>
      <c r="S266" s="177">
        <v>43909</v>
      </c>
      <c r="T266" s="182">
        <v>479</v>
      </c>
      <c r="U266" s="177">
        <v>44047</v>
      </c>
      <c r="V266" s="177">
        <v>44048</v>
      </c>
      <c r="W266" s="177">
        <v>44048</v>
      </c>
      <c r="X266" s="176">
        <v>63759</v>
      </c>
      <c r="Y266" s="177">
        <v>44061</v>
      </c>
      <c r="Z266" s="415">
        <v>4</v>
      </c>
      <c r="AA266" s="488"/>
      <c r="AB266" s="594"/>
      <c r="AC266" s="595"/>
      <c r="AD266" s="596"/>
      <c r="AE266" s="596"/>
      <c r="AF266" s="597">
        <f>IFERROR(INDEX(produtos_escape2!M:M,MATCH(Controle!H266,produtos_escape2!A:A,0)),"")</f>
        <v>0</v>
      </c>
    </row>
    <row r="267" spans="1:32" ht="14.25" customHeight="1">
      <c r="A267" s="176" t="s">
        <v>7307</v>
      </c>
      <c r="B267" s="176" t="s">
        <v>1687</v>
      </c>
      <c r="C267" s="177">
        <v>43894</v>
      </c>
      <c r="D267" s="176" t="s">
        <v>7755</v>
      </c>
      <c r="E267" s="176" t="s">
        <v>3008</v>
      </c>
      <c r="F267" s="259" t="s">
        <v>7765</v>
      </c>
      <c r="G267" s="176">
        <v>1</v>
      </c>
      <c r="H267" s="178" t="s">
        <v>7756</v>
      </c>
      <c r="I267" s="592">
        <f t="shared" si="8"/>
        <v>1</v>
      </c>
      <c r="J267" s="178"/>
      <c r="K267" s="178"/>
      <c r="L267" s="275" t="str">
        <f>IF(H:H=0,"",IF(ISERROR(VLOOKUP(H:H,produtos_escape2!$A$2:$B$2794,2,FALSE)),"Código não cadastrado",(VLOOKUP(H:H,produtos_escape2!$A$2:$B$2794,2,FALSE))))</f>
        <v>CONSERTO de Foco cirúrgico de teto, Marca Maquet, modelo Blue 80/80, nº patrimônio 960.937</v>
      </c>
      <c r="M267" s="593" t="str">
        <f>IF(H:H=0,"",IF(ISERROR(VLOOKUP(H:H,produtos_escape2!$A$2:$D$2794,2,FALSE)),"Código não cadastrado",(VLOOKUP(H:H,produtos_escape2!$A$2:$D$2794,4,FALSE))))</f>
        <v>Serviço</v>
      </c>
      <c r="N267" s="486">
        <v>1</v>
      </c>
      <c r="O267" s="176" t="s">
        <v>4433</v>
      </c>
      <c r="P267" s="486">
        <v>1</v>
      </c>
      <c r="Q267" s="247">
        <v>2450</v>
      </c>
      <c r="R267" s="246">
        <f t="shared" si="9"/>
        <v>2450</v>
      </c>
      <c r="S267" s="177">
        <v>43909</v>
      </c>
      <c r="T267" s="182">
        <v>479</v>
      </c>
      <c r="U267" s="177">
        <v>44047</v>
      </c>
      <c r="V267" s="177">
        <v>44048</v>
      </c>
      <c r="W267" s="177">
        <v>44048</v>
      </c>
      <c r="X267" s="176">
        <v>63759</v>
      </c>
      <c r="Y267" s="177">
        <v>44061</v>
      </c>
      <c r="Z267" s="415">
        <v>4</v>
      </c>
      <c r="AA267" s="488"/>
      <c r="AB267" s="594"/>
      <c r="AC267" s="595"/>
      <c r="AD267" s="596"/>
      <c r="AE267" s="596"/>
      <c r="AF267" s="597">
        <f>IFERROR(INDEX(produtos_escape2!M:M,MATCH(Controle!H267,produtos_escape2!A:A,0)),"")</f>
        <v>0</v>
      </c>
    </row>
    <row r="268" spans="1:32" ht="14.25" customHeight="1">
      <c r="A268" s="176" t="s">
        <v>7305</v>
      </c>
      <c r="B268" s="176" t="s">
        <v>1687</v>
      </c>
      <c r="C268" s="177">
        <v>43900</v>
      </c>
      <c r="D268" s="176" t="s">
        <v>7774</v>
      </c>
      <c r="E268" s="176" t="s">
        <v>3008</v>
      </c>
      <c r="F268" s="259" t="s">
        <v>7779</v>
      </c>
      <c r="G268" s="176">
        <v>1</v>
      </c>
      <c r="H268" s="203" t="s">
        <v>7775</v>
      </c>
      <c r="I268" s="592">
        <f t="shared" si="8"/>
        <v>1</v>
      </c>
      <c r="J268" s="178"/>
      <c r="K268" s="178"/>
      <c r="L268" s="275" t="str">
        <f>IF(H:H=0,"",IF(ISERROR(VLOOKUP(H:H,produtos_escape2!$A$2:$B$2794,2,FALSE)),"Código não cadastrado",(VLOOKUP(H:H,produtos_escape2!$A$2:$B$2794,2,FALSE))))</f>
        <v>Conserto de Refrigerador Marca ELECTROLUX, Modelo DC43BR, Nº Patrimônio 958666.</v>
      </c>
      <c r="M268" s="593" t="str">
        <f>IF(H:H=0,"",IF(ISERROR(VLOOKUP(H:H,produtos_escape2!$A$2:$D$2794,2,FALSE)),"Código não cadastrado",(VLOOKUP(H:H,produtos_escape2!$A$2:$D$2794,4,FALSE))))</f>
        <v>Serviço</v>
      </c>
      <c r="N268" s="486">
        <v>1</v>
      </c>
      <c r="O268" s="176" t="s">
        <v>1868</v>
      </c>
      <c r="P268" s="486"/>
      <c r="Q268" s="247"/>
      <c r="R268" s="246">
        <f t="shared" si="9"/>
        <v>0</v>
      </c>
      <c r="S268" s="177">
        <v>43923</v>
      </c>
      <c r="T268" s="182"/>
      <c r="U268" s="177"/>
      <c r="V268" s="177"/>
      <c r="W268" s="177"/>
      <c r="X268" s="176"/>
      <c r="Y268" s="177"/>
      <c r="Z268" s="598">
        <v>2</v>
      </c>
      <c r="AA268" s="488"/>
      <c r="AB268" s="594"/>
      <c r="AC268" s="595"/>
      <c r="AD268" s="596"/>
      <c r="AE268" s="596"/>
      <c r="AF268" s="597">
        <f>IFERROR(INDEX(produtos_escape2!M:M,MATCH(Controle!H268,produtos_escape2!A:A,0)),"")</f>
        <v>0</v>
      </c>
    </row>
    <row r="269" spans="1:32" ht="14.25" customHeight="1">
      <c r="A269" s="176" t="s">
        <v>7305</v>
      </c>
      <c r="B269" s="176" t="s">
        <v>1687</v>
      </c>
      <c r="C269" s="177">
        <v>43900</v>
      </c>
      <c r="D269" s="176" t="s">
        <v>7774</v>
      </c>
      <c r="E269" s="176" t="s">
        <v>3008</v>
      </c>
      <c r="F269" s="259" t="s">
        <v>7779</v>
      </c>
      <c r="G269" s="176">
        <v>2</v>
      </c>
      <c r="H269" s="178" t="s">
        <v>3229</v>
      </c>
      <c r="I269" s="592">
        <f t="shared" si="8"/>
        <v>1</v>
      </c>
      <c r="J269" s="178"/>
      <c r="K269" s="178"/>
      <c r="L269" s="275" t="str">
        <f>IF(H:H=0,"",IF(ISERROR(VLOOKUP(H:H,produtos_escape2!$A$2:$B$2794,2,FALSE)),"Código não cadastrado",(VLOOKUP(H:H,produtos_escape2!$A$2:$B$2794,2,FALSE))))</f>
        <v>Consertar REFRIGERADOR da marca Consul, Modelo Frost Free, nº de série JM9469081, Patrimônio nº 782850 GDF.</v>
      </c>
      <c r="M269" s="593" t="str">
        <f>IF(H:H=0,"",IF(ISERROR(VLOOKUP(H:H,produtos_escape2!$A$2:$D$2794,2,FALSE)),"Código não cadastrado",(VLOOKUP(H:H,produtos_escape2!$A$2:$D$2794,4,FALSE))))</f>
        <v>Serviço</v>
      </c>
      <c r="N269" s="486">
        <v>1</v>
      </c>
      <c r="O269" s="176" t="s">
        <v>1868</v>
      </c>
      <c r="P269" s="486"/>
      <c r="Q269" s="247"/>
      <c r="R269" s="246">
        <f t="shared" si="9"/>
        <v>0</v>
      </c>
      <c r="S269" s="177">
        <v>43924</v>
      </c>
      <c r="T269" s="182"/>
      <c r="U269" s="177"/>
      <c r="V269" s="177"/>
      <c r="W269" s="177"/>
      <c r="X269" s="176"/>
      <c r="Y269" s="177"/>
      <c r="Z269" s="598">
        <v>2</v>
      </c>
      <c r="AA269" s="488"/>
      <c r="AB269" s="594"/>
      <c r="AC269" s="595"/>
      <c r="AD269" s="596"/>
      <c r="AE269" s="596"/>
      <c r="AF269" s="597">
        <f>IFERROR(INDEX(produtos_escape2!M:M,MATCH(Controle!H269,produtos_escape2!A:A,0)),"")</f>
        <v>0</v>
      </c>
    </row>
    <row r="270" spans="1:32" ht="14.25" customHeight="1">
      <c r="A270" s="176" t="s">
        <v>7571</v>
      </c>
      <c r="B270" s="176" t="s">
        <v>3608</v>
      </c>
      <c r="C270" s="177">
        <v>43900</v>
      </c>
      <c r="D270" s="176" t="s">
        <v>7773</v>
      </c>
      <c r="E270" s="176" t="s">
        <v>1866</v>
      </c>
      <c r="F270" s="259" t="s">
        <v>7780</v>
      </c>
      <c r="G270" s="176">
        <v>1</v>
      </c>
      <c r="H270" s="203">
        <v>33995</v>
      </c>
      <c r="I270" s="592">
        <f t="shared" si="8"/>
        <v>1</v>
      </c>
      <c r="J270" s="178" t="s">
        <v>816</v>
      </c>
      <c r="K270" s="178" t="s">
        <v>816</v>
      </c>
      <c r="L270" s="275" t="str">
        <f>IF(H:H=0,"",IF(ISERROR(VLOOKUP(H:H,produtos_escape2!$A$2:$B$2794,2,FALSE)),"Código não cadastrado",(VLOOKUP(H:H,produtos_escape2!$A$2:$B$2794,2,FALSE))))</f>
        <v>REAGENTE PARA DIAGNÓSTICO CLÍNICO, TIPO CONJUNTO COMPLETO, TIPO DE ANÁLISE QUALITATIVO ANTI DENGUE VÍRUS IGG E IGM, MÉTODO IMUNOCROMATOGRAFIA, APRESENTAÇÃO TESTE</v>
      </c>
      <c r="M270" s="593" t="str">
        <f>IF(H:H=0,"",IF(ISERROR(VLOOKUP(H:H,produtos_escape2!$A$2:$D$2794,2,FALSE)),"Código não cadastrado",(VLOOKUP(H:H,produtos_escape2!$A$2:$D$2794,4,FALSE))))</f>
        <v>TE</v>
      </c>
      <c r="N270" s="486">
        <v>6000</v>
      </c>
      <c r="O270" s="176" t="s">
        <v>4380</v>
      </c>
      <c r="P270" s="486">
        <v>3650</v>
      </c>
      <c r="Q270" s="247">
        <v>4.8</v>
      </c>
      <c r="R270" s="246">
        <f t="shared" si="9"/>
        <v>17520</v>
      </c>
      <c r="S270" s="177">
        <v>43903</v>
      </c>
      <c r="T270" s="182">
        <v>229814</v>
      </c>
      <c r="U270" s="177">
        <v>43910</v>
      </c>
      <c r="V270" s="177">
        <v>43910</v>
      </c>
      <c r="W270" s="177">
        <v>43914</v>
      </c>
      <c r="X270" s="415">
        <v>90758</v>
      </c>
      <c r="Y270" s="177">
        <v>43935</v>
      </c>
      <c r="Z270" s="598">
        <v>2</v>
      </c>
      <c r="AA270" s="488"/>
      <c r="AB270" s="594"/>
      <c r="AC270" s="595"/>
      <c r="AD270" s="596"/>
      <c r="AE270" s="596"/>
      <c r="AF270" s="597" t="str">
        <f>IFERROR(INDEX(produtos_escape2!M:M,MATCH(Controle!H270,produtos_escape2!A:A,0)),"")</f>
        <v>REAGENTE PARA DIAGNÓSTICO CLÍNICO</v>
      </c>
    </row>
    <row r="271" spans="1:32" ht="14.25" customHeight="1">
      <c r="A271" s="176" t="s">
        <v>7573</v>
      </c>
      <c r="B271" s="176" t="s">
        <v>3608</v>
      </c>
      <c r="C271" s="177">
        <v>43901</v>
      </c>
      <c r="D271" s="176" t="s">
        <v>7788</v>
      </c>
      <c r="E271" s="176" t="s">
        <v>1867</v>
      </c>
      <c r="F271" s="259" t="s">
        <v>7791</v>
      </c>
      <c r="G271" s="176">
        <v>1</v>
      </c>
      <c r="H271" s="178">
        <v>90590</v>
      </c>
      <c r="I271" s="592">
        <f t="shared" si="8"/>
        <v>4</v>
      </c>
      <c r="J271" s="178" t="s">
        <v>816</v>
      </c>
      <c r="K271" s="178" t="s">
        <v>816</v>
      </c>
      <c r="L271" s="275" t="str">
        <f>IF(H:H=0,"",IF(ISERROR(VLOOKUP(H:H,produtos_escape2!$A$2:$B$2794,2,FALSE)),"Código não cadastrado",(VLOOKUP(H:H,produtos_escape2!$A$2:$B$2794,2,FALSE))))</f>
        <v>SACARATO DE HIDROXIDO DE FERRO III SOLUÇAO INJETAVEL ENDOVENOSA 20MG/ML AMPOLA 5ML</v>
      </c>
      <c r="M271" s="593" t="str">
        <f>IF(H:H=0,"",IF(ISERROR(VLOOKUP(H:H,produtos_escape2!$A$2:$D$2794,2,FALSE)),"Código não cadastrado",(VLOOKUP(H:H,produtos_escape2!$A$2:$D$2794,4,FALSE))))</f>
        <v>AMP</v>
      </c>
      <c r="N271" s="605">
        <v>900</v>
      </c>
      <c r="O271" s="176" t="s">
        <v>2989</v>
      </c>
      <c r="P271" s="486">
        <v>900</v>
      </c>
      <c r="Q271" s="247">
        <v>6.3</v>
      </c>
      <c r="R271" s="246">
        <f t="shared" si="9"/>
        <v>5670</v>
      </c>
      <c r="S271" s="177">
        <v>43909</v>
      </c>
      <c r="T271" s="182">
        <v>114255</v>
      </c>
      <c r="U271" s="177">
        <v>43910</v>
      </c>
      <c r="V271" s="177">
        <v>43913</v>
      </c>
      <c r="W271" s="177">
        <v>43914</v>
      </c>
      <c r="X271" s="415">
        <v>90640</v>
      </c>
      <c r="Y271" s="177">
        <v>43935</v>
      </c>
      <c r="Z271" s="598">
        <v>2</v>
      </c>
      <c r="AA271" s="488"/>
      <c r="AB271" s="594"/>
      <c r="AC271" s="595"/>
      <c r="AD271" s="596"/>
      <c r="AE271" s="596"/>
      <c r="AF271" s="597" t="str">
        <f>IFERROR(INDEX(produtos_escape2!M:M,MATCH(Controle!H271,produtos_escape2!A:A,0)),"")</f>
        <v>SACARATO DE HIDROXIDO DE FERRO III SOLUÇAO INJETAVEL ENDOVENOSA 20MG/ML AMPOLA 5ML</v>
      </c>
    </row>
    <row r="272" spans="1:32" ht="14.25" customHeight="1">
      <c r="A272" s="176" t="s">
        <v>7573</v>
      </c>
      <c r="B272" s="176" t="s">
        <v>3608</v>
      </c>
      <c r="C272" s="177">
        <v>43901</v>
      </c>
      <c r="D272" s="176" t="s">
        <v>7788</v>
      </c>
      <c r="E272" s="176" t="s">
        <v>1867</v>
      </c>
      <c r="F272" s="259" t="s">
        <v>7791</v>
      </c>
      <c r="G272" s="176">
        <v>2</v>
      </c>
      <c r="H272" s="178">
        <v>90254</v>
      </c>
      <c r="I272" s="592">
        <f t="shared" si="8"/>
        <v>1</v>
      </c>
      <c r="J272" s="178" t="s">
        <v>816</v>
      </c>
      <c r="K272" s="178" t="s">
        <v>816</v>
      </c>
      <c r="L272" s="275" t="str">
        <f>IF(H:H=0,"",IF(ISERROR(VLOOKUP(H:H,produtos_escape2!$A$2:$B$2794,2,FALSE)),"Código não cadastrado",(VLOOKUP(H:H,produtos_escape2!$A$2:$B$2794,2,FALSE))))</f>
        <v>DOMPERIDONA SUSPENSAO ORAL 1 MG/ML FRASCO 100 ML</v>
      </c>
      <c r="M272" s="593" t="str">
        <f>IF(H:H=0,"",IF(ISERROR(VLOOKUP(H:H,produtos_escape2!$A$2:$D$2794,2,FALSE)),"Código não cadastrado",(VLOOKUP(H:H,produtos_escape2!$A$2:$D$2794,4,FALSE))))</f>
        <v>FR</v>
      </c>
      <c r="N272" s="605">
        <v>60</v>
      </c>
      <c r="O272" s="176" t="s">
        <v>1868</v>
      </c>
      <c r="P272" s="486"/>
      <c r="Q272" s="247"/>
      <c r="R272" s="246">
        <f t="shared" si="9"/>
        <v>0</v>
      </c>
      <c r="S272" s="177">
        <v>43909</v>
      </c>
      <c r="T272" s="182"/>
      <c r="U272" s="177"/>
      <c r="V272" s="177"/>
      <c r="W272" s="177"/>
      <c r="X272" s="176"/>
      <c r="Y272" s="177"/>
      <c r="Z272" s="598">
        <v>2</v>
      </c>
      <c r="AA272" s="488" t="s">
        <v>7858</v>
      </c>
      <c r="AB272" s="594"/>
      <c r="AC272" s="595"/>
      <c r="AD272" s="596"/>
      <c r="AE272" s="596"/>
      <c r="AF272" s="597" t="str">
        <f>IFERROR(INDEX(produtos_escape2!M:M,MATCH(Controle!H272,produtos_escape2!A:A,0)),"")</f>
        <v>DOMPERIDONA SUSPENSAO ORAL 1 MG/ML FRASCO 100 ML</v>
      </c>
    </row>
    <row r="273" spans="1:32" ht="14.25" customHeight="1">
      <c r="A273" s="176" t="s">
        <v>7573</v>
      </c>
      <c r="B273" s="176" t="s">
        <v>3608</v>
      </c>
      <c r="C273" s="177">
        <v>43901</v>
      </c>
      <c r="D273" s="176" t="s">
        <v>7788</v>
      </c>
      <c r="E273" s="176" t="s">
        <v>1867</v>
      </c>
      <c r="F273" s="259" t="s">
        <v>7791</v>
      </c>
      <c r="G273" s="176">
        <v>3</v>
      </c>
      <c r="H273" s="178">
        <v>90863</v>
      </c>
      <c r="I273" s="592">
        <f t="shared" si="8"/>
        <v>2</v>
      </c>
      <c r="J273" s="178" t="s">
        <v>816</v>
      </c>
      <c r="K273" s="178" t="s">
        <v>816</v>
      </c>
      <c r="L273" s="275" t="str">
        <f>IF(H:H=0,"",IF(ISERROR(VLOOKUP(H:H,produtos_escape2!$A$2:$B$2794,2,FALSE)),"Código não cadastrado",(VLOOKUP(H:H,produtos_escape2!$A$2:$B$2794,2,FALSE))))</f>
        <v>FLUMAZENIL SOLUÇAO INJETAVEL 0,5 MG/ 5ML AMPOLA 5 ML</v>
      </c>
      <c r="M273" s="593" t="str">
        <f>IF(H:H=0,"",IF(ISERROR(VLOOKUP(H:H,produtos_escape2!$A$2:$D$2794,2,FALSE)),"Código não cadastrado",(VLOOKUP(H:H,produtos_escape2!$A$2:$D$2794,4,FALSE))))</f>
        <v>AMP</v>
      </c>
      <c r="N273" s="605">
        <v>50</v>
      </c>
      <c r="O273" s="176" t="s">
        <v>1868</v>
      </c>
      <c r="P273" s="486"/>
      <c r="Q273" s="247"/>
      <c r="R273" s="246">
        <f t="shared" si="9"/>
        <v>0</v>
      </c>
      <c r="S273" s="177">
        <v>43909</v>
      </c>
      <c r="T273" s="182"/>
      <c r="U273" s="177"/>
      <c r="V273" s="177"/>
      <c r="W273" s="177"/>
      <c r="X273" s="176"/>
      <c r="Y273" s="177"/>
      <c r="Z273" s="598">
        <v>2</v>
      </c>
      <c r="AA273" s="488" t="s">
        <v>7861</v>
      </c>
      <c r="AB273" s="594"/>
      <c r="AC273" s="595"/>
      <c r="AD273" s="596"/>
      <c r="AE273" s="596"/>
      <c r="AF273" s="597" t="str">
        <f>IFERROR(INDEX(produtos_escape2!M:M,MATCH(Controle!H273,produtos_escape2!A:A,0)),"")</f>
        <v>FLUMAZENIL SOLUÇAO INJETAVEL 0</v>
      </c>
    </row>
    <row r="274" spans="1:32" ht="14.25" customHeight="1">
      <c r="A274" s="176" t="s">
        <v>7573</v>
      </c>
      <c r="B274" s="176" t="s">
        <v>3608</v>
      </c>
      <c r="C274" s="177">
        <v>43901</v>
      </c>
      <c r="D274" s="176" t="s">
        <v>7788</v>
      </c>
      <c r="E274" s="176" t="s">
        <v>1867</v>
      </c>
      <c r="F274" s="259" t="s">
        <v>7791</v>
      </c>
      <c r="G274" s="176">
        <v>4</v>
      </c>
      <c r="H274" s="178">
        <v>90032</v>
      </c>
      <c r="I274" s="592">
        <f t="shared" si="8"/>
        <v>11</v>
      </c>
      <c r="J274" s="178" t="s">
        <v>816</v>
      </c>
      <c r="K274" s="178" t="s">
        <v>816</v>
      </c>
      <c r="L274" s="275" t="str">
        <f>IF(H:H=0,"",IF(ISERROR(VLOOKUP(H:H,produtos_escape2!$A$2:$B$2794,2,FALSE)),"Código não cadastrado",(VLOOKUP(H:H,produtos_escape2!$A$2:$B$2794,2,FALSE))))</f>
        <v>CISATRACURIO (BESILATO) SOLUCAO INJETAVEL 2 MG/ML AMPOLA 5 ML</v>
      </c>
      <c r="M274" s="593" t="str">
        <f>IF(H:H=0,"",IF(ISERROR(VLOOKUP(H:H,produtos_escape2!$A$2:$D$2794,2,FALSE)),"Código não cadastrado",(VLOOKUP(H:H,produtos_escape2!$A$2:$D$2794,4,FALSE))))</f>
        <v>AMP</v>
      </c>
      <c r="N274" s="605">
        <v>300</v>
      </c>
      <c r="O274" s="176" t="s">
        <v>1868</v>
      </c>
      <c r="P274" s="486"/>
      <c r="Q274" s="247"/>
      <c r="R274" s="246">
        <f t="shared" si="9"/>
        <v>0</v>
      </c>
      <c r="S274" s="177">
        <v>43909</v>
      </c>
      <c r="T274" s="182"/>
      <c r="U274" s="177"/>
      <c r="V274" s="177"/>
      <c r="W274" s="177"/>
      <c r="X274" s="176"/>
      <c r="Y274" s="177"/>
      <c r="Z274" s="598">
        <v>2</v>
      </c>
      <c r="AA274" s="488" t="s">
        <v>7858</v>
      </c>
      <c r="AB274" s="594"/>
      <c r="AC274" s="595"/>
      <c r="AD274" s="596"/>
      <c r="AE274" s="596"/>
      <c r="AF274" s="597" t="str">
        <f>IFERROR(INDEX(produtos_escape2!M:M,MATCH(Controle!H274,produtos_escape2!A:A,0)),"")</f>
        <v>CISATRACURIO (BESILATO) SOLUCAO INJETAVEL 2 MG/ML AMPOLA 5 ML</v>
      </c>
    </row>
    <row r="275" spans="1:32" ht="14.25" customHeight="1">
      <c r="A275" s="176" t="s">
        <v>7573</v>
      </c>
      <c r="B275" s="176" t="s">
        <v>3608</v>
      </c>
      <c r="C275" s="177">
        <v>43901</v>
      </c>
      <c r="D275" s="176" t="s">
        <v>7788</v>
      </c>
      <c r="E275" s="176" t="s">
        <v>1867</v>
      </c>
      <c r="F275" s="259" t="s">
        <v>7791</v>
      </c>
      <c r="G275" s="176">
        <v>5</v>
      </c>
      <c r="H275" s="178">
        <v>90841</v>
      </c>
      <c r="I275" s="592">
        <f t="shared" si="8"/>
        <v>8</v>
      </c>
      <c r="J275" s="178" t="s">
        <v>816</v>
      </c>
      <c r="K275" s="178" t="s">
        <v>816</v>
      </c>
      <c r="L275" s="275" t="str">
        <f>IF(H:H=0,"",IF(ISERROR(VLOOKUP(H:H,produtos_escape2!$A$2:$B$2794,2,FALSE)),"Código não cadastrado",(VLOOKUP(H:H,produtos_escape2!$A$2:$B$2794,2,FALSE))))</f>
        <v>ATROPINA (SULFATO) SOLUÇAO OFTALMICA 1 % FRASCO 5 ML</v>
      </c>
      <c r="M275" s="593" t="str">
        <f>IF(H:H=0,"",IF(ISERROR(VLOOKUP(H:H,produtos_escape2!$A$2:$D$2794,2,FALSE)),"Código não cadastrado",(VLOOKUP(H:H,produtos_escape2!$A$2:$D$2794,4,FALSE))))</f>
        <v>FR</v>
      </c>
      <c r="N275" s="605">
        <v>20</v>
      </c>
      <c r="O275" s="176" t="s">
        <v>1868</v>
      </c>
      <c r="P275" s="486"/>
      <c r="Q275" s="247"/>
      <c r="R275" s="246">
        <f t="shared" si="9"/>
        <v>0</v>
      </c>
      <c r="S275" s="177">
        <v>43909</v>
      </c>
      <c r="T275" s="182"/>
      <c r="U275" s="177"/>
      <c r="V275" s="177"/>
      <c r="W275" s="177"/>
      <c r="X275" s="176"/>
      <c r="Y275" s="177"/>
      <c r="Z275" s="598">
        <v>2</v>
      </c>
      <c r="AA275" s="488" t="s">
        <v>7857</v>
      </c>
      <c r="AB275" s="594"/>
      <c r="AC275" s="595"/>
      <c r="AD275" s="596"/>
      <c r="AE275" s="596"/>
      <c r="AF275" s="597" t="str">
        <f>IFERROR(INDEX(produtos_escape2!M:M,MATCH(Controle!H275,produtos_escape2!A:A,0)),"")</f>
        <v>ATROPINA (SULFATO) SOLUÇAO OFTALMICA 1 % FRASCO 5 ML</v>
      </c>
    </row>
    <row r="276" spans="1:32" ht="14.25" customHeight="1">
      <c r="A276" s="176" t="s">
        <v>7573</v>
      </c>
      <c r="B276" s="176" t="s">
        <v>3608</v>
      </c>
      <c r="C276" s="177">
        <v>43901</v>
      </c>
      <c r="D276" s="176" t="s">
        <v>7788</v>
      </c>
      <c r="E276" s="176" t="s">
        <v>1867</v>
      </c>
      <c r="F276" s="259" t="s">
        <v>7791</v>
      </c>
      <c r="G276" s="176">
        <v>6</v>
      </c>
      <c r="H276" s="178">
        <v>90843</v>
      </c>
      <c r="I276" s="592">
        <f t="shared" si="8"/>
        <v>4</v>
      </c>
      <c r="J276" s="178" t="s">
        <v>816</v>
      </c>
      <c r="K276" s="178" t="s">
        <v>816</v>
      </c>
      <c r="L276" s="275" t="str">
        <f>IF(H:H=0,"",IF(ISERROR(VLOOKUP(H:H,produtos_escape2!$A$2:$B$2794,2,FALSE)),"Código não cadastrado",(VLOOKUP(H:H,produtos_escape2!$A$2:$B$2794,2,FALSE))))</f>
        <v>FENILEFRINA (CLORIDRATO) SOLUCAO OFTALMICA 10 % FRASCO CONTA-GOTAS 5 ML</v>
      </c>
      <c r="M276" s="593" t="str">
        <f>IF(H:H=0,"",IF(ISERROR(VLOOKUP(H:H,produtos_escape2!$A$2:$D$2794,2,FALSE)),"Código não cadastrado",(VLOOKUP(H:H,produtos_escape2!$A$2:$D$2794,4,FALSE))))</f>
        <v>FR</v>
      </c>
      <c r="N276" s="605">
        <v>10</v>
      </c>
      <c r="O276" s="176" t="s">
        <v>1868</v>
      </c>
      <c r="P276" s="486"/>
      <c r="Q276" s="247"/>
      <c r="R276" s="246">
        <f t="shared" si="9"/>
        <v>0</v>
      </c>
      <c r="S276" s="177">
        <v>43909</v>
      </c>
      <c r="T276" s="182"/>
      <c r="U276" s="177"/>
      <c r="V276" s="177"/>
      <c r="W276" s="177"/>
      <c r="X276" s="176"/>
      <c r="Y276" s="177"/>
      <c r="Z276" s="598">
        <v>2</v>
      </c>
      <c r="AA276" s="488" t="s">
        <v>7857</v>
      </c>
      <c r="AB276" s="594"/>
      <c r="AC276" s="595"/>
      <c r="AD276" s="596"/>
      <c r="AE276" s="596"/>
      <c r="AF276" s="597" t="str">
        <f>IFERROR(INDEX(produtos_escape2!M:M,MATCH(Controle!H276,produtos_escape2!A:A,0)),"")</f>
        <v>FENILEFRINA (CLORIDRATO) SOLUCAO OFTALMICA 10 % FRASCO CONTA-GOTAS 5 ML</v>
      </c>
    </row>
    <row r="277" spans="1:32" ht="14.25" customHeight="1">
      <c r="A277" s="176" t="s">
        <v>7572</v>
      </c>
      <c r="B277" s="176" t="s">
        <v>3608</v>
      </c>
      <c r="C277" s="177">
        <v>43900</v>
      </c>
      <c r="D277" s="176" t="s">
        <v>7778</v>
      </c>
      <c r="E277" s="176" t="s">
        <v>1867</v>
      </c>
      <c r="F277" s="259" t="s">
        <v>7792</v>
      </c>
      <c r="G277" s="176">
        <v>1</v>
      </c>
      <c r="H277" s="178">
        <v>22607</v>
      </c>
      <c r="I277" s="592">
        <f t="shared" si="8"/>
        <v>2</v>
      </c>
      <c r="J277" s="178" t="s">
        <v>816</v>
      </c>
      <c r="K277" s="178" t="s">
        <v>816</v>
      </c>
      <c r="L277" s="275" t="str">
        <f>IF(H:H=0,"",IF(ISERROR(VLOOKUP(H:H,produtos_escape2!$A$2:$B$2794,2,FALSE)),"Código não cadastrado",(VLOOKUP(H:H,produtos_escape2!$A$2:$B$2794,2,FALSE))))</f>
        <v>KIT DE LIGADURA ELASTICA DE VARIZES DE ESÔFAGO. descartável e estéril, contendo pelo menos 01 tambor com no mínimo, 6 (seis) anéis, sendo o penúltimo de coloração mais clara. Podem ser confeccionados em neoprene látex-free ou em polietileno, borracha de látex, vectron, poliuretano ou policarbonado. Deve ser acondicionado em embalagem individual e deve ser compatível com canal do endoscópio de 2,8 mm.</v>
      </c>
      <c r="M277" s="593" t="str">
        <f>IF(H:H=0,"",IF(ISERROR(VLOOKUP(H:H,produtos_escape2!$A$2:$D$2794,2,FALSE)),"Código não cadastrado",(VLOOKUP(H:H,produtos_escape2!$A$2:$D$2794,4,FALSE))))</f>
        <v>KIT</v>
      </c>
      <c r="N277" s="486">
        <v>3</v>
      </c>
      <c r="O277" s="176" t="s">
        <v>7859</v>
      </c>
      <c r="P277" s="486">
        <v>3</v>
      </c>
      <c r="Q277" s="247">
        <v>920</v>
      </c>
      <c r="R277" s="246">
        <f t="shared" si="9"/>
        <v>2760</v>
      </c>
      <c r="S277" s="177">
        <v>43909</v>
      </c>
      <c r="T277" s="182">
        <v>15233</v>
      </c>
      <c r="U277" s="177">
        <v>43910</v>
      </c>
      <c r="V277" s="177">
        <v>43910</v>
      </c>
      <c r="W277" s="177">
        <v>43914</v>
      </c>
      <c r="X277" s="415">
        <v>3282</v>
      </c>
      <c r="Y277" s="177">
        <v>43934</v>
      </c>
      <c r="Z277" s="415">
        <v>2</v>
      </c>
      <c r="AA277" s="488"/>
      <c r="AB277" s="594"/>
      <c r="AC277" s="595"/>
      <c r="AD277" s="596"/>
      <c r="AE277" s="596"/>
      <c r="AF277" s="597" t="str">
        <f>IFERROR(INDEX(produtos_escape2!M:M,MATCH(Controle!H277,produtos_escape2!A:A,0)),"")</f>
        <v>KIT DE LIGADURA ELASTICA DE VARIZES ESOFAGIANAS</v>
      </c>
    </row>
    <row r="278" spans="1:32" ht="14.25" customHeight="1">
      <c r="A278" s="176" t="s">
        <v>7594</v>
      </c>
      <c r="B278" s="176" t="s">
        <v>3608</v>
      </c>
      <c r="C278" s="177">
        <v>43901</v>
      </c>
      <c r="D278" s="176" t="s">
        <v>7789</v>
      </c>
      <c r="E278" s="176" t="s">
        <v>1867</v>
      </c>
      <c r="F278" s="259" t="s">
        <v>7793</v>
      </c>
      <c r="G278" s="176">
        <v>1</v>
      </c>
      <c r="H278" s="178">
        <v>17684</v>
      </c>
      <c r="I278" s="592">
        <f t="shared" si="8"/>
        <v>6</v>
      </c>
      <c r="J278" s="178" t="s">
        <v>816</v>
      </c>
      <c r="K278" s="178" t="s">
        <v>816</v>
      </c>
      <c r="L278" s="275"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278" s="593" t="str">
        <f>IF(H:H=0,"",IF(ISERROR(VLOOKUP(H:H,produtos_escape2!$A$2:$D$2794,2,FALSE)),"Código não cadastrado",(VLOOKUP(H:H,produtos_escape2!$A$2:$D$2794,4,FALSE))))</f>
        <v>GR</v>
      </c>
      <c r="N278" s="486">
        <v>38000</v>
      </c>
      <c r="O278" s="176" t="s">
        <v>7372</v>
      </c>
      <c r="P278" s="486">
        <v>38000</v>
      </c>
      <c r="Q278" s="247">
        <v>2.58E-2</v>
      </c>
      <c r="R278" s="246">
        <f t="shared" si="9"/>
        <v>980.4</v>
      </c>
      <c r="S278" s="177">
        <v>43909</v>
      </c>
      <c r="T278" s="182">
        <v>446349</v>
      </c>
      <c r="U278" s="177">
        <v>43913</v>
      </c>
      <c r="V278" s="177">
        <v>43914</v>
      </c>
      <c r="W278" s="177">
        <v>43920</v>
      </c>
      <c r="X278" s="415">
        <v>90428</v>
      </c>
      <c r="Y278" s="177">
        <v>43935</v>
      </c>
      <c r="Z278" s="415">
        <v>2</v>
      </c>
      <c r="AA278" s="488"/>
      <c r="AB278" s="594"/>
      <c r="AC278" s="595"/>
      <c r="AD278" s="596"/>
      <c r="AE278" s="596"/>
      <c r="AF278" s="597" t="str">
        <f>IFERROR(INDEX(produtos_escape2!M:M,MATCH(Controle!H278,produtos_escape2!A:A,0)),"")</f>
        <v>FÓRMULA INFANTIL PARA LACTENTES</v>
      </c>
    </row>
    <row r="279" spans="1:32" ht="14.25" customHeight="1">
      <c r="A279" s="176" t="s">
        <v>7595</v>
      </c>
      <c r="B279" s="176" t="s">
        <v>3608</v>
      </c>
      <c r="C279" s="177">
        <v>43901</v>
      </c>
      <c r="D279" s="176" t="s">
        <v>7790</v>
      </c>
      <c r="E279" s="176" t="s">
        <v>1867</v>
      </c>
      <c r="F279" s="259" t="s">
        <v>7794</v>
      </c>
      <c r="G279" s="176">
        <v>1</v>
      </c>
      <c r="H279" s="178">
        <v>92402</v>
      </c>
      <c r="I279" s="592">
        <f t="shared" si="8"/>
        <v>9</v>
      </c>
      <c r="J279" s="178" t="s">
        <v>816</v>
      </c>
      <c r="K279" s="178" t="s">
        <v>816</v>
      </c>
      <c r="L279" s="275"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79" s="593" t="str">
        <f>IF(H:H=0,"",IF(ISERROR(VLOOKUP(H:H,produtos_escape2!$A$2:$D$2794,2,FALSE)),"Código não cadastrado",(VLOOKUP(H:H,produtos_escape2!$A$2:$D$2794,4,FALSE))))</f>
        <v>PAR</v>
      </c>
      <c r="N279" s="486">
        <v>5000</v>
      </c>
      <c r="O279" s="176" t="s">
        <v>7457</v>
      </c>
      <c r="P279" s="486">
        <v>400</v>
      </c>
      <c r="Q279" s="247">
        <v>0.88</v>
      </c>
      <c r="R279" s="246">
        <f t="shared" si="9"/>
        <v>352</v>
      </c>
      <c r="S279" s="177">
        <v>43909</v>
      </c>
      <c r="T279" s="182">
        <v>192</v>
      </c>
      <c r="U279" s="177">
        <v>43910</v>
      </c>
      <c r="V279" s="177">
        <v>43910</v>
      </c>
      <c r="W279" s="177">
        <v>43914</v>
      </c>
      <c r="X279" s="415">
        <v>90463</v>
      </c>
      <c r="Y279" s="177">
        <v>43935</v>
      </c>
      <c r="Z279" s="415">
        <v>2</v>
      </c>
      <c r="AA279" s="488"/>
      <c r="AB279" s="594"/>
      <c r="AC279" s="595"/>
      <c r="AD279" s="596"/>
      <c r="AE279" s="596"/>
      <c r="AF279" s="597" t="str">
        <f>IFERROR(INDEX(produtos_escape2!M:M,MATCH(Controle!H279,produtos_escape2!A:A,0)),"")</f>
        <v>LUVA CIRURGICA CONVENCIONAL Nº 7</v>
      </c>
    </row>
    <row r="280" spans="1:32" ht="14.25" customHeight="1">
      <c r="A280" s="176" t="s">
        <v>7595</v>
      </c>
      <c r="B280" s="176" t="s">
        <v>3608</v>
      </c>
      <c r="C280" s="177">
        <v>43901</v>
      </c>
      <c r="D280" s="176" t="s">
        <v>7790</v>
      </c>
      <c r="E280" s="176" t="s">
        <v>1867</v>
      </c>
      <c r="F280" s="259" t="s">
        <v>7794</v>
      </c>
      <c r="G280" s="176">
        <v>2</v>
      </c>
      <c r="H280" s="178">
        <v>92403</v>
      </c>
      <c r="I280" s="592">
        <f t="shared" si="8"/>
        <v>10</v>
      </c>
      <c r="J280" s="178" t="s">
        <v>816</v>
      </c>
      <c r="K280" s="178" t="s">
        <v>816</v>
      </c>
      <c r="L280" s="275"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280" s="593" t="str">
        <f>IF(H:H=0,"",IF(ISERROR(VLOOKUP(H:H,produtos_escape2!$A$2:$D$2794,2,FALSE)),"Código não cadastrado",(VLOOKUP(H:H,produtos_escape2!$A$2:$D$2794,4,FALSE))))</f>
        <v>PAR</v>
      </c>
      <c r="N280" s="486">
        <v>5000</v>
      </c>
      <c r="O280" s="176" t="s">
        <v>7457</v>
      </c>
      <c r="P280" s="486">
        <v>2000</v>
      </c>
      <c r="Q280" s="247">
        <v>0.88</v>
      </c>
      <c r="R280" s="246">
        <f t="shared" si="9"/>
        <v>1760</v>
      </c>
      <c r="S280" s="177">
        <v>43909</v>
      </c>
      <c r="T280" s="182">
        <v>192</v>
      </c>
      <c r="U280" s="177">
        <v>43910</v>
      </c>
      <c r="V280" s="177">
        <v>43910</v>
      </c>
      <c r="W280" s="177">
        <v>43914</v>
      </c>
      <c r="X280" s="415">
        <v>90463</v>
      </c>
      <c r="Y280" s="177">
        <v>43935</v>
      </c>
      <c r="Z280" s="415">
        <v>2</v>
      </c>
      <c r="AA280" s="488"/>
      <c r="AB280" s="594"/>
      <c r="AC280" s="595"/>
      <c r="AD280" s="596"/>
      <c r="AE280" s="596"/>
      <c r="AF280" s="597" t="str">
        <f>IFERROR(INDEX(produtos_escape2!M:M,MATCH(Controle!H280,produtos_escape2!A:A,0)),"")</f>
        <v>LUVA CIRURGICA CONVENCIONAL Nº 8</v>
      </c>
    </row>
    <row r="281" spans="1:32" ht="14.25" customHeight="1">
      <c r="A281" s="176" t="s">
        <v>7341</v>
      </c>
      <c r="B281" s="176" t="s">
        <v>7207</v>
      </c>
      <c r="C281" s="177">
        <v>43894</v>
      </c>
      <c r="D281" s="176" t="s">
        <v>7739</v>
      </c>
      <c r="E281" s="176" t="s">
        <v>1866</v>
      </c>
      <c r="F281" s="259" t="s">
        <v>7795</v>
      </c>
      <c r="G281" s="176">
        <v>1</v>
      </c>
      <c r="H281" s="178">
        <v>31102</v>
      </c>
      <c r="I281" s="592">
        <f t="shared" si="8"/>
        <v>2</v>
      </c>
      <c r="J281" s="178" t="s">
        <v>816</v>
      </c>
      <c r="K281" s="178" t="s">
        <v>816</v>
      </c>
      <c r="L281" s="275" t="str">
        <f>IF(H:H=0,"",IF(ISERROR(VLOOKUP(H:H,produtos_escape2!$A$2:$B$2794,2,FALSE)),"Código não cadastrado",(VLOOKUP(H:H,produtos_escape2!$A$2:$B$2794,2,FALSE))))</f>
        <v>MALETA PRIMEIROS SOCORROS - resgate, Material: plástico resistente, largura 24, altura 22, profundidade 44, Características adicionais; 2 bandejas articuladas,14 compartimentos, outros componentes 2 miniestojos com 2 compartimentos cada</v>
      </c>
      <c r="M281" s="593" t="str">
        <f>IF(H:H=0,"",IF(ISERROR(VLOOKUP(H:H,produtos_escape2!$A$2:$D$2794,2,FALSE)),"Código não cadastrado",(VLOOKUP(H:H,produtos_escape2!$A$2:$D$2794,4,FALSE))))</f>
        <v>UN</v>
      </c>
      <c r="N281" s="486">
        <v>3</v>
      </c>
      <c r="O281" s="176" t="s">
        <v>4149</v>
      </c>
      <c r="P281" s="486">
        <v>3</v>
      </c>
      <c r="Q281" s="247">
        <v>269.7</v>
      </c>
      <c r="R281" s="246">
        <f t="shared" si="9"/>
        <v>809.09999999999991</v>
      </c>
      <c r="S281" s="177">
        <v>43907</v>
      </c>
      <c r="T281" s="182">
        <v>1814</v>
      </c>
      <c r="U281" s="177">
        <v>43934</v>
      </c>
      <c r="V281" s="177">
        <v>43935</v>
      </c>
      <c r="W281" s="177">
        <v>43936</v>
      </c>
      <c r="X281" s="176">
        <v>97441</v>
      </c>
      <c r="Y281" s="177">
        <v>43950</v>
      </c>
      <c r="Z281" s="415">
        <v>2</v>
      </c>
      <c r="AA281" s="488"/>
      <c r="AB281" s="594"/>
      <c r="AC281" s="595"/>
      <c r="AD281" s="596"/>
      <c r="AE281" s="596"/>
      <c r="AF281" s="597" t="str">
        <f>IFERROR(INDEX(produtos_escape2!M:M,MATCH(Controle!H281,produtos_escape2!A:A,0)),"")</f>
        <v>MALETA PRIMEIROS SOCORROS</v>
      </c>
    </row>
    <row r="282" spans="1:32" ht="14.25" customHeight="1">
      <c r="A282" s="176" t="s">
        <v>7341</v>
      </c>
      <c r="B282" s="176" t="s">
        <v>7207</v>
      </c>
      <c r="C282" s="177">
        <v>43894</v>
      </c>
      <c r="D282" s="176" t="s">
        <v>7739</v>
      </c>
      <c r="E282" s="176" t="s">
        <v>1866</v>
      </c>
      <c r="F282" s="259" t="s">
        <v>7795</v>
      </c>
      <c r="G282" s="176">
        <v>2</v>
      </c>
      <c r="H282" s="178">
        <v>27707</v>
      </c>
      <c r="I282" s="592">
        <f t="shared" si="8"/>
        <v>2</v>
      </c>
      <c r="J282" s="178" t="s">
        <v>816</v>
      </c>
      <c r="K282" s="178" t="s">
        <v>816</v>
      </c>
      <c r="L282" s="275" t="str">
        <f>IF(H:H=0,"",IF(ISERROR(VLOOKUP(H:H,produtos_escape2!$A$2:$B$2794,2,FALSE)),"Código não cadastrado",(VLOOKUP(H:H,produtos_escape2!$A$2:$B$2794,2,FALSE))))</f>
        <v>CAIXA PLÁSTICA organizadora contêiner de 30 Litros; Finalidade: guarda de material para atender às normas da DIVISA; Material: Plástico transparente; Tamanho: 30 litros com variação de até 10%; Características: Caixa plástica com tampa; Forma de apresentação:</v>
      </c>
      <c r="M282" s="593" t="str">
        <f>IF(H:H=0,"",IF(ISERROR(VLOOKUP(H:H,produtos_escape2!$A$2:$D$2794,2,FALSE)),"Código não cadastrado",(VLOOKUP(H:H,produtos_escape2!$A$2:$D$2794,4,FALSE))))</f>
        <v>UN</v>
      </c>
      <c r="N282" s="486">
        <v>5</v>
      </c>
      <c r="O282" s="176" t="s">
        <v>7828</v>
      </c>
      <c r="P282" s="486">
        <v>5</v>
      </c>
      <c r="Q282" s="247">
        <v>40</v>
      </c>
      <c r="R282" s="246">
        <f t="shared" si="9"/>
        <v>200</v>
      </c>
      <c r="S282" s="177">
        <v>43907</v>
      </c>
      <c r="T282" s="182">
        <v>1721792</v>
      </c>
      <c r="U282" s="177">
        <v>43945</v>
      </c>
      <c r="V282" s="177">
        <v>43945</v>
      </c>
      <c r="W282" s="177">
        <v>43945</v>
      </c>
      <c r="X282" s="176">
        <v>17926</v>
      </c>
      <c r="Y282" s="177">
        <v>43986</v>
      </c>
      <c r="Z282" s="415">
        <v>3</v>
      </c>
      <c r="AA282" s="488"/>
      <c r="AB282" s="594"/>
      <c r="AC282" s="595"/>
      <c r="AD282" s="596"/>
      <c r="AE282" s="596"/>
      <c r="AF282" s="597" t="str">
        <f>IFERROR(INDEX(produtos_escape2!M:M,MATCH(Controle!H282,produtos_escape2!A:A,0)),"")</f>
        <v>CAIXA PLÁSTICA organizadora contêiner de 30 Litros</v>
      </c>
    </row>
    <row r="283" spans="1:32" ht="14.25" customHeight="1">
      <c r="A283" s="176" t="s">
        <v>7341</v>
      </c>
      <c r="B283" s="176" t="s">
        <v>7207</v>
      </c>
      <c r="C283" s="177">
        <v>43894</v>
      </c>
      <c r="D283" s="176" t="s">
        <v>7739</v>
      </c>
      <c r="E283" s="176" t="s">
        <v>1866</v>
      </c>
      <c r="F283" s="259" t="s">
        <v>7795</v>
      </c>
      <c r="G283" s="176">
        <v>3</v>
      </c>
      <c r="H283" s="178">
        <v>35478</v>
      </c>
      <c r="I283" s="592">
        <f t="shared" si="8"/>
        <v>3</v>
      </c>
      <c r="J283" s="178" t="s">
        <v>816</v>
      </c>
      <c r="K283" s="178" t="s">
        <v>816</v>
      </c>
      <c r="L283" s="275" t="str">
        <f>IF(H:H=0,"",IF(ISERROR(VLOOKUP(H:H,produtos_escape2!$A$2:$B$2794,2,FALSE)),"Código não cadastrado",(VLOOKUP(H:H,produtos_escape2!$A$2:$B$2794,2,FALSE))))</f>
        <v>CAIXA ORGANIZADORA,Material: poliestireno de alta densidade e/ou polipropileno, Tamanho/Capacidade: 40 LITROS. Características Adicionais: reforçada, com tampa, empilhável, Altura: mínimo 27,5 cm, Largura: mínimo 37 cm, Comprimento: mínimo 54,5 cm, Cor: branca ou transparente.</v>
      </c>
      <c r="M283" s="593" t="str">
        <f>IF(H:H=0,"",IF(ISERROR(VLOOKUP(H:H,produtos_escape2!$A$2:$D$2794,2,FALSE)),"Código não cadastrado",(VLOOKUP(H:H,produtos_escape2!$A$2:$D$2794,4,FALSE))))</f>
        <v>UN</v>
      </c>
      <c r="N283" s="486">
        <v>35</v>
      </c>
      <c r="O283" s="176" t="s">
        <v>7337</v>
      </c>
      <c r="P283" s="486">
        <v>22</v>
      </c>
      <c r="Q283" s="247">
        <v>57</v>
      </c>
      <c r="R283" s="246">
        <f t="shared" si="9"/>
        <v>1254</v>
      </c>
      <c r="S283" s="177">
        <v>43907</v>
      </c>
      <c r="T283" s="182">
        <v>10426</v>
      </c>
      <c r="U283" s="177">
        <v>43908</v>
      </c>
      <c r="V283" s="177">
        <v>43910</v>
      </c>
      <c r="W283" s="177">
        <v>43910</v>
      </c>
      <c r="X283" s="176">
        <v>84264</v>
      </c>
      <c r="Y283" s="177">
        <v>43916</v>
      </c>
      <c r="Z283" s="415">
        <v>2</v>
      </c>
      <c r="AA283" s="488"/>
      <c r="AB283" s="594"/>
      <c r="AC283" s="595"/>
      <c r="AD283" s="596"/>
      <c r="AE283" s="596"/>
      <c r="AF283" s="597" t="str">
        <f>IFERROR(INDEX(produtos_escape2!M:M,MATCH(Controle!H283,produtos_escape2!A:A,0)),"")</f>
        <v>CAIXA ORGANIZADORA</v>
      </c>
    </row>
    <row r="284" spans="1:32" ht="14.25" customHeight="1">
      <c r="A284" s="176" t="s">
        <v>7341</v>
      </c>
      <c r="B284" s="176" t="s">
        <v>7207</v>
      </c>
      <c r="C284" s="177">
        <v>43894</v>
      </c>
      <c r="D284" s="176" t="s">
        <v>7739</v>
      </c>
      <c r="E284" s="176" t="s">
        <v>1866</v>
      </c>
      <c r="F284" s="259" t="s">
        <v>7795</v>
      </c>
      <c r="G284" s="176">
        <v>4</v>
      </c>
      <c r="H284" s="178">
        <v>35479</v>
      </c>
      <c r="I284" s="592">
        <f t="shared" si="8"/>
        <v>6</v>
      </c>
      <c r="J284" s="178" t="s">
        <v>816</v>
      </c>
      <c r="K284" s="178" t="s">
        <v>816</v>
      </c>
      <c r="L284" s="275"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284" s="593" t="str">
        <f>IF(H:H=0,"",IF(ISERROR(VLOOKUP(H:H,produtos_escape2!$A$2:$D$2794,2,FALSE)),"Código não cadastrado",(VLOOKUP(H:H,produtos_escape2!$A$2:$D$2794,4,FALSE))))</f>
        <v>UN</v>
      </c>
      <c r="N284" s="486">
        <v>30</v>
      </c>
      <c r="O284" s="176" t="s">
        <v>7051</v>
      </c>
      <c r="P284" s="486">
        <v>30</v>
      </c>
      <c r="Q284" s="247">
        <v>89.9</v>
      </c>
      <c r="R284" s="246">
        <f t="shared" si="9"/>
        <v>2697</v>
      </c>
      <c r="S284" s="177">
        <v>43907</v>
      </c>
      <c r="T284" s="182">
        <v>49</v>
      </c>
      <c r="U284" s="177">
        <v>43935</v>
      </c>
      <c r="V284" s="177">
        <v>43948</v>
      </c>
      <c r="W284" s="177">
        <v>43949</v>
      </c>
      <c r="X284" s="176">
        <v>3284</v>
      </c>
      <c r="Y284" s="177">
        <v>43983</v>
      </c>
      <c r="Z284" s="415">
        <v>3</v>
      </c>
      <c r="AA284" s="488"/>
      <c r="AB284" s="594"/>
      <c r="AC284" s="595"/>
      <c r="AD284" s="596"/>
      <c r="AE284" s="596"/>
      <c r="AF284" s="597" t="str">
        <f>IFERROR(INDEX(produtos_escape2!M:M,MATCH(Controle!H284,produtos_escape2!A:A,0)),"")</f>
        <v>CAIXA ORGANIZADORA 70L</v>
      </c>
    </row>
    <row r="285" spans="1:32" ht="14.25" customHeight="1">
      <c r="A285" s="176" t="s">
        <v>7358</v>
      </c>
      <c r="B285" s="176" t="s">
        <v>7207</v>
      </c>
      <c r="C285" s="177">
        <v>43899</v>
      </c>
      <c r="D285" s="176" t="s">
        <v>7769</v>
      </c>
      <c r="E285" s="176" t="s">
        <v>1866</v>
      </c>
      <c r="F285" s="259" t="s">
        <v>7796</v>
      </c>
      <c r="G285" s="176">
        <v>1</v>
      </c>
      <c r="H285" s="178">
        <v>27604</v>
      </c>
      <c r="I285" s="592">
        <f t="shared" si="8"/>
        <v>3</v>
      </c>
      <c r="J285" s="178" t="s">
        <v>816</v>
      </c>
      <c r="K285" s="178" t="s">
        <v>816</v>
      </c>
      <c r="L285" s="275" t="str">
        <f>IF(H:H=0,"",IF(ISERROR(VLOOKUP(H:H,produtos_escape2!$A$2:$B$2794,2,FALSE)),"Código não cadastrado",(VLOOKUP(H:H,produtos_escape2!$A$2:$B$2794,2,FALSE))))</f>
        <v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v>
      </c>
      <c r="M285" s="593" t="str">
        <f>IF(H:H=0,"",IF(ISERROR(VLOOKUP(H:H,produtos_escape2!$A$2:$D$2794,2,FALSE)),"Código não cadastrado",(VLOOKUP(H:H,produtos_escape2!$A$2:$D$2794,4,FALSE))))</f>
        <v>UN</v>
      </c>
      <c r="N285" s="486">
        <v>20</v>
      </c>
      <c r="O285" s="176" t="s">
        <v>1868</v>
      </c>
      <c r="P285" s="486"/>
      <c r="Q285" s="413"/>
      <c r="R285" s="246">
        <f t="shared" si="9"/>
        <v>0</v>
      </c>
      <c r="S285" s="351">
        <v>43915</v>
      </c>
      <c r="T285" s="182"/>
      <c r="U285" s="177"/>
      <c r="V285" s="177"/>
      <c r="W285" s="177"/>
      <c r="X285" s="176"/>
      <c r="Y285" s="177"/>
      <c r="Z285" s="598">
        <v>2</v>
      </c>
      <c r="AA285" s="488" t="s">
        <v>7912</v>
      </c>
      <c r="AB285" s="594"/>
      <c r="AC285" s="595"/>
      <c r="AD285" s="596"/>
      <c r="AE285" s="596"/>
      <c r="AF285" s="597" t="str">
        <f>IFERROR(INDEX(produtos_escape2!M:M,MATCH(Controle!H285,produtos_escape2!A:A,0)),"")</f>
        <v>CORTINA HOSPITALAR</v>
      </c>
    </row>
    <row r="286" spans="1:32" ht="14.25" customHeight="1">
      <c r="A286" s="176" t="s">
        <v>7353</v>
      </c>
      <c r="B286" s="176" t="s">
        <v>7207</v>
      </c>
      <c r="C286" s="177">
        <v>43899</v>
      </c>
      <c r="D286" s="176" t="s">
        <v>7770</v>
      </c>
      <c r="E286" s="176" t="s">
        <v>1866</v>
      </c>
      <c r="F286" s="259" t="s">
        <v>7797</v>
      </c>
      <c r="G286" s="176">
        <v>4</v>
      </c>
      <c r="H286" s="178">
        <v>32837</v>
      </c>
      <c r="I286" s="592">
        <f t="shared" si="8"/>
        <v>1</v>
      </c>
      <c r="J286" s="178" t="s">
        <v>816</v>
      </c>
      <c r="K286" s="178" t="s">
        <v>816</v>
      </c>
      <c r="L286" s="275" t="str">
        <f>IF(H:H=0,"",IF(ISERROR(VLOOKUP(H:H,produtos_escape2!$A$2:$B$2794,2,FALSE)),"Código não cadastrado",(VLOOKUP(H:H,produtos_escape2!$A$2:$B$2794,2,FALSE))))</f>
        <v xml:space="preserve">BRAÇADEIRA CONFECCIONADA EM NYLON PARA USO EXCLUSIVO EM APARELHO DE PRESSÃO. Braçadeira confeccionada em tecido nylon, flexível e antialérgico, contendo o nº da portaria do INMETRO, medindo 52 X 14 cm. Circunferência do braço a ser utilizado 18 a 36 cm. Fecho em velcro. Processo de esterilização: não estéril. Embalagem individual. </v>
      </c>
      <c r="M286" s="593" t="str">
        <f>IF(H:H=0,"",IF(ISERROR(VLOOKUP(H:H,produtos_escape2!$A$2:$D$2794,2,FALSE)),"Código não cadastrado",(VLOOKUP(H:H,produtos_escape2!$A$2:$D$2794,4,FALSE))))</f>
        <v>UN</v>
      </c>
      <c r="N286" s="486">
        <v>20</v>
      </c>
      <c r="O286" s="176" t="s">
        <v>4433</v>
      </c>
      <c r="P286" s="486">
        <v>20</v>
      </c>
      <c r="Q286" s="413">
        <v>23.5</v>
      </c>
      <c r="R286" s="246">
        <f t="shared" si="9"/>
        <v>470</v>
      </c>
      <c r="S286" s="351">
        <v>43909</v>
      </c>
      <c r="T286" s="182">
        <v>424</v>
      </c>
      <c r="U286" s="177">
        <v>43920</v>
      </c>
      <c r="V286" s="177">
        <v>43920</v>
      </c>
      <c r="W286" s="177">
        <v>43920</v>
      </c>
      <c r="X286" s="415">
        <v>90479</v>
      </c>
      <c r="Y286" s="177">
        <v>43935</v>
      </c>
      <c r="Z286" s="598">
        <v>2</v>
      </c>
      <c r="AA286" s="488"/>
      <c r="AB286" s="594"/>
      <c r="AC286" s="595"/>
      <c r="AD286" s="596"/>
      <c r="AE286" s="596"/>
      <c r="AF286" s="597" t="str">
        <f>IFERROR(INDEX(produtos_escape2!M:M,MATCH(Controle!H286,produtos_escape2!A:A,0)),"")</f>
        <v>BRAÇADEIRA NYLON</v>
      </c>
    </row>
    <row r="287" spans="1:32" ht="14.25" customHeight="1">
      <c r="A287" s="176" t="s">
        <v>7353</v>
      </c>
      <c r="B287" s="176" t="s">
        <v>7207</v>
      </c>
      <c r="C287" s="177">
        <v>43899</v>
      </c>
      <c r="D287" s="176" t="s">
        <v>7770</v>
      </c>
      <c r="E287" s="176" t="s">
        <v>1866</v>
      </c>
      <c r="F287" s="259" t="s">
        <v>7797</v>
      </c>
      <c r="G287" s="176">
        <v>11</v>
      </c>
      <c r="H287" s="178">
        <v>2393</v>
      </c>
      <c r="I287" s="592">
        <f t="shared" si="8"/>
        <v>2</v>
      </c>
      <c r="J287" s="178" t="s">
        <v>816</v>
      </c>
      <c r="K287" s="178" t="s">
        <v>816</v>
      </c>
      <c r="L287" s="275" t="str">
        <f>IF(H:H=0,"",IF(ISERROR(VLOOKUP(H:H,produtos_escape2!$A$2:$B$2794,2,FALSE)),"Código não cadastrado",(VLOOKUP(H:H,produtos_escape2!$A$2:$B$2794,2,FALSE))))</f>
        <v>COLA abrasiva Epoxi c/ 2 Bisnagas, 01 c/ resina epóxi p/ mistura c/ 01 endurecedor a base de polimercaptona c/ secagem rápida.</v>
      </c>
      <c r="M287" s="593" t="str">
        <f>IF(H:H=0,"",IF(ISERROR(VLOOKUP(H:H,produtos_escape2!$A$2:$D$2794,2,FALSE)),"Código não cadastrado",(VLOOKUP(H:H,produtos_escape2!$A$2:$D$2794,4,FALSE))))</f>
        <v>CX</v>
      </c>
      <c r="N287" s="486">
        <v>1</v>
      </c>
      <c r="O287" s="176" t="s">
        <v>5740</v>
      </c>
      <c r="P287" s="486">
        <v>1</v>
      </c>
      <c r="Q287" s="247">
        <v>23.84</v>
      </c>
      <c r="R287" s="246">
        <f t="shared" si="9"/>
        <v>23.84</v>
      </c>
      <c r="S287" s="177">
        <v>43909</v>
      </c>
      <c r="T287" s="182">
        <v>490548</v>
      </c>
      <c r="U287" s="177">
        <v>43909</v>
      </c>
      <c r="V287" s="177">
        <v>43910</v>
      </c>
      <c r="W287" s="177">
        <v>43910</v>
      </c>
      <c r="X287" s="415">
        <v>90140</v>
      </c>
      <c r="Y287" s="177">
        <v>43934</v>
      </c>
      <c r="Z287" s="598">
        <v>2</v>
      </c>
      <c r="AA287" s="488"/>
      <c r="AB287" s="594"/>
      <c r="AC287" s="595"/>
      <c r="AD287" s="596"/>
      <c r="AE287" s="596"/>
      <c r="AF287" s="597" t="str">
        <f>IFERROR(INDEX(produtos_escape2!M:M,MATCH(Controle!H287,produtos_escape2!A:A,0)),"")</f>
        <v>COLA abrasiva Epoxi c/ 2 Bisnagas</v>
      </c>
    </row>
    <row r="288" spans="1:32" ht="14.25" customHeight="1">
      <c r="A288" s="176" t="s">
        <v>7353</v>
      </c>
      <c r="B288" s="176" t="s">
        <v>7207</v>
      </c>
      <c r="C288" s="177">
        <v>43899</v>
      </c>
      <c r="D288" s="176" t="s">
        <v>7770</v>
      </c>
      <c r="E288" s="176" t="s">
        <v>1866</v>
      </c>
      <c r="F288" s="259" t="s">
        <v>7797</v>
      </c>
      <c r="G288" s="176">
        <v>9</v>
      </c>
      <c r="H288" s="178">
        <v>31411</v>
      </c>
      <c r="I288" s="592">
        <f t="shared" si="8"/>
        <v>1</v>
      </c>
      <c r="J288" s="178" t="s">
        <v>816</v>
      </c>
      <c r="K288" s="178" t="s">
        <v>816</v>
      </c>
      <c r="L288" s="275" t="str">
        <f>IF(H:H=0,"",IF(ISERROR(VLOOKUP(H:H,produtos_escape2!$A$2:$B$2794,2,FALSE)),"Código não cadastrado",(VLOOKUP(H:H,produtos_escape2!$A$2:$B$2794,2,FALSE))))</f>
        <v>GRAXA azul para rolamentos KG</v>
      </c>
      <c r="M288" s="593" t="str">
        <f>IF(H:H=0,"",IF(ISERROR(VLOOKUP(H:H,produtos_escape2!$A$2:$D$2794,2,FALSE)),"Código não cadastrado",(VLOOKUP(H:H,produtos_escape2!$A$2:$D$2794,4,FALSE))))</f>
        <v>KG</v>
      </c>
      <c r="N288" s="486">
        <v>1</v>
      </c>
      <c r="O288" s="176" t="s">
        <v>5740</v>
      </c>
      <c r="P288" s="486">
        <v>1</v>
      </c>
      <c r="Q288" s="413">
        <v>46</v>
      </c>
      <c r="R288" s="246">
        <f t="shared" si="9"/>
        <v>46</v>
      </c>
      <c r="S288" s="351">
        <v>43909</v>
      </c>
      <c r="T288" s="182">
        <v>490548</v>
      </c>
      <c r="U288" s="177">
        <v>43909</v>
      </c>
      <c r="V288" s="177">
        <v>43910</v>
      </c>
      <c r="W288" s="177">
        <v>43910</v>
      </c>
      <c r="X288" s="415">
        <v>90140</v>
      </c>
      <c r="Y288" s="177">
        <v>43934</v>
      </c>
      <c r="Z288" s="598">
        <v>2</v>
      </c>
      <c r="AA288" s="488"/>
      <c r="AB288" s="594"/>
      <c r="AC288" s="595"/>
      <c r="AD288" s="596"/>
      <c r="AE288" s="596"/>
      <c r="AF288" s="597" t="str">
        <f>IFERROR(INDEX(produtos_escape2!M:M,MATCH(Controle!H288,produtos_escape2!A:A,0)),"")</f>
        <v>GRAXA AZUL</v>
      </c>
    </row>
    <row r="289" spans="1:32" ht="14.25" customHeight="1">
      <c r="A289" s="176" t="s">
        <v>7353</v>
      </c>
      <c r="B289" s="176" t="s">
        <v>7207</v>
      </c>
      <c r="C289" s="177">
        <v>43899</v>
      </c>
      <c r="D289" s="176" t="s">
        <v>7770</v>
      </c>
      <c r="E289" s="176" t="s">
        <v>1866</v>
      </c>
      <c r="F289" s="259" t="s">
        <v>7797</v>
      </c>
      <c r="G289" s="176">
        <v>10</v>
      </c>
      <c r="H289" s="178">
        <v>12098</v>
      </c>
      <c r="I289" s="592">
        <f t="shared" si="8"/>
        <v>1</v>
      </c>
      <c r="J289" s="178" t="s">
        <v>816</v>
      </c>
      <c r="K289" s="178" t="s">
        <v>816</v>
      </c>
      <c r="L289" s="275" t="str">
        <f>IF(H:H=0,"",IF(ISERROR(VLOOKUP(H:H,produtos_escape2!$A$2:$B$2794,2,FALSE)),"Código não cadastrado",(VLOOKUP(H:H,produtos_escape2!$A$2:$B$2794,2,FALSE))))</f>
        <v>ÓLEO LUBRIFICANTE ANTI-CORROSIVO, desengripante, tipo: WD-40, aerosol.</v>
      </c>
      <c r="M289" s="593" t="str">
        <f>IF(H:H=0,"",IF(ISERROR(VLOOKUP(H:H,produtos_escape2!$A$2:$D$2794,2,FALSE)),"Código não cadastrado",(VLOOKUP(H:H,produtos_escape2!$A$2:$D$2794,4,FALSE))))</f>
        <v>UN</v>
      </c>
      <c r="N289" s="486">
        <v>3</v>
      </c>
      <c r="O289" s="176" t="s">
        <v>5740</v>
      </c>
      <c r="P289" s="486">
        <v>3</v>
      </c>
      <c r="Q289" s="247">
        <v>34.06</v>
      </c>
      <c r="R289" s="246">
        <f t="shared" si="9"/>
        <v>102.18</v>
      </c>
      <c r="S289" s="177">
        <v>43909</v>
      </c>
      <c r="T289" s="182">
        <v>490548</v>
      </c>
      <c r="U289" s="177">
        <v>43909</v>
      </c>
      <c r="V289" s="177">
        <v>43910</v>
      </c>
      <c r="W289" s="177">
        <v>43910</v>
      </c>
      <c r="X289" s="415">
        <v>90140</v>
      </c>
      <c r="Y289" s="177">
        <v>43934</v>
      </c>
      <c r="Z289" s="598">
        <v>2</v>
      </c>
      <c r="AA289" s="488"/>
      <c r="AB289" s="594"/>
      <c r="AC289" s="595"/>
      <c r="AD289" s="596"/>
      <c r="AE289" s="596"/>
      <c r="AF289" s="597" t="str">
        <f>IFERROR(INDEX(produtos_escape2!M:M,MATCH(Controle!H289,produtos_escape2!A:A,0)),"")</f>
        <v>ÓLEO LUBRIFICANTE ANTI-CORROSIVO</v>
      </c>
    </row>
    <row r="290" spans="1:32" ht="14.25" customHeight="1">
      <c r="A290" s="176" t="s">
        <v>7353</v>
      </c>
      <c r="B290" s="176" t="s">
        <v>7207</v>
      </c>
      <c r="C290" s="177">
        <v>43899</v>
      </c>
      <c r="D290" s="176" t="s">
        <v>7770</v>
      </c>
      <c r="E290" s="176" t="s">
        <v>1866</v>
      </c>
      <c r="F290" s="259" t="s">
        <v>7797</v>
      </c>
      <c r="G290" s="176">
        <v>5</v>
      </c>
      <c r="H290" s="178">
        <v>50960</v>
      </c>
      <c r="I290" s="592">
        <f t="shared" si="8"/>
        <v>1</v>
      </c>
      <c r="J290" s="178" t="s">
        <v>816</v>
      </c>
      <c r="K290" s="178" t="s">
        <v>816</v>
      </c>
      <c r="L290" s="275" t="str">
        <f>IF(H:H=0,"",IF(ISERROR(VLOOKUP(H:H,produtos_escape2!$A$2:$B$2794,2,FALSE)),"Código não cadastrado",(VLOOKUP(H:H,produtos_escape2!$A$2:$B$2794,2,FALSE))))</f>
        <v>Manguito em PVC com duas saídas, sem emenda, de alta durabilidade, medindo 12 X 22 cm. Tamanho: G. Processo de esterilização: não estéril. Embalagem: individual</v>
      </c>
      <c r="M290" s="593" t="str">
        <f>IF(H:H=0,"",IF(ISERROR(VLOOKUP(H:H,produtos_escape2!$A$2:$D$2794,2,FALSE)),"Código não cadastrado",(VLOOKUP(H:H,produtos_escape2!$A$2:$D$2794,4,FALSE))))</f>
        <v>UN</v>
      </c>
      <c r="N290" s="486">
        <v>20</v>
      </c>
      <c r="O290" s="176" t="s">
        <v>7860</v>
      </c>
      <c r="P290" s="486">
        <v>20</v>
      </c>
      <c r="Q290" s="413">
        <v>4.99</v>
      </c>
      <c r="R290" s="246">
        <f t="shared" si="9"/>
        <v>99.800000000000011</v>
      </c>
      <c r="S290" s="351">
        <v>43909</v>
      </c>
      <c r="T290" s="182">
        <v>3692</v>
      </c>
      <c r="U290" s="177">
        <v>43909</v>
      </c>
      <c r="V290" s="177">
        <v>43910</v>
      </c>
      <c r="W290" s="177">
        <v>43910</v>
      </c>
      <c r="X290" s="415">
        <v>90137</v>
      </c>
      <c r="Y290" s="177">
        <v>43934</v>
      </c>
      <c r="Z290" s="598">
        <v>2</v>
      </c>
      <c r="AA290" s="488"/>
      <c r="AB290" s="594"/>
      <c r="AC290" s="595"/>
      <c r="AD290" s="596"/>
      <c r="AE290" s="596"/>
      <c r="AF290" s="597" t="str">
        <f>IFERROR(INDEX(produtos_escape2!M:M,MATCH(Controle!H290,produtos_escape2!A:A,0)),"")</f>
        <v>MANGUITO para aparelho de pressão adulto</v>
      </c>
    </row>
    <row r="291" spans="1:32" ht="14.25" customHeight="1">
      <c r="A291" s="176" t="s">
        <v>7353</v>
      </c>
      <c r="B291" s="176" t="s">
        <v>7207</v>
      </c>
      <c r="C291" s="177">
        <v>43899</v>
      </c>
      <c r="D291" s="176" t="s">
        <v>7770</v>
      </c>
      <c r="E291" s="176" t="s">
        <v>1866</v>
      </c>
      <c r="F291" s="259" t="s">
        <v>7797</v>
      </c>
      <c r="G291" s="176">
        <v>3</v>
      </c>
      <c r="H291" s="178">
        <v>27716</v>
      </c>
      <c r="I291" s="592">
        <f t="shared" si="8"/>
        <v>1</v>
      </c>
      <c r="J291" s="178" t="s">
        <v>816</v>
      </c>
      <c r="K291" s="178" t="s">
        <v>816</v>
      </c>
      <c r="L291" s="275" t="str">
        <f>IF(H:H=0,"",IF(ISERROR(VLOOKUP(H:H,produtos_escape2!$A$2:$B$2794,2,FALSE)),"Código não cadastrado",(VLOOKUP(H:H,produtos_escape2!$A$2:$B$2794,2,FALSE))))</f>
        <v>PÊRA para reposição em aparelho de pressão - Esfignomanômetro</v>
      </c>
      <c r="M291" s="593" t="str">
        <f>IF(H:H=0,"",IF(ISERROR(VLOOKUP(H:H,produtos_escape2!$A$2:$D$2794,2,FALSE)),"Código não cadastrado",(VLOOKUP(H:H,produtos_escape2!$A$2:$D$2794,4,FALSE))))</f>
        <v>UN</v>
      </c>
      <c r="N291" s="486">
        <v>20</v>
      </c>
      <c r="O291" s="176" t="s">
        <v>4433</v>
      </c>
      <c r="P291" s="486">
        <v>20</v>
      </c>
      <c r="Q291" s="413">
        <v>10.9</v>
      </c>
      <c r="R291" s="246">
        <f t="shared" si="9"/>
        <v>218</v>
      </c>
      <c r="S291" s="351">
        <v>43909</v>
      </c>
      <c r="T291" s="182">
        <v>424</v>
      </c>
      <c r="U291" s="177">
        <v>43920</v>
      </c>
      <c r="V291" s="177">
        <v>43920</v>
      </c>
      <c r="W291" s="177">
        <v>43920</v>
      </c>
      <c r="X291" s="415">
        <v>90479</v>
      </c>
      <c r="Y291" s="177">
        <v>43935</v>
      </c>
      <c r="Z291" s="598">
        <v>2</v>
      </c>
      <c r="AA291" s="488"/>
      <c r="AB291" s="594"/>
      <c r="AC291" s="595"/>
      <c r="AD291" s="596"/>
      <c r="AE291" s="596"/>
      <c r="AF291" s="597" t="str">
        <f>IFERROR(INDEX(produtos_escape2!M:M,MATCH(Controle!H291,produtos_escape2!A:A,0)),"")</f>
        <v>PÊRA para reposição em aparelho de pressão - Esfignomanômetro</v>
      </c>
    </row>
    <row r="292" spans="1:32" ht="14.25" customHeight="1">
      <c r="A292" s="176" t="s">
        <v>7353</v>
      </c>
      <c r="B292" s="176" t="s">
        <v>7207</v>
      </c>
      <c r="C292" s="177">
        <v>43899</v>
      </c>
      <c r="D292" s="176" t="s">
        <v>7770</v>
      </c>
      <c r="E292" s="176" t="s">
        <v>1866</v>
      </c>
      <c r="F292" s="259" t="s">
        <v>7797</v>
      </c>
      <c r="G292" s="176">
        <v>6</v>
      </c>
      <c r="H292" s="178">
        <v>12135</v>
      </c>
      <c r="I292" s="592">
        <f t="shared" si="8"/>
        <v>1</v>
      </c>
      <c r="J292" s="178" t="s">
        <v>816</v>
      </c>
      <c r="K292" s="178" t="s">
        <v>816</v>
      </c>
      <c r="L292" s="275" t="str">
        <f>IF(H:H=0,"",IF(ISERROR(VLOOKUP(H:H,produtos_escape2!$A$2:$B$2794,2,FALSE)),"Código não cadastrado",(VLOOKUP(H:H,produtos_escape2!$A$2:$B$2794,2,FALSE))))</f>
        <v>ROLAMENTO N.608-ZZ PADRAO SKF  1</v>
      </c>
      <c r="M292" s="593" t="str">
        <f>IF(H:H=0,"",IF(ISERROR(VLOOKUP(H:H,produtos_escape2!$A$2:$D$2794,2,FALSE)),"Código não cadastrado",(VLOOKUP(H:H,produtos_escape2!$A$2:$D$2794,4,FALSE))))</f>
        <v>UN</v>
      </c>
      <c r="N292" s="486">
        <v>20</v>
      </c>
      <c r="O292" s="176" t="s">
        <v>4433</v>
      </c>
      <c r="P292" s="486">
        <v>20</v>
      </c>
      <c r="Q292" s="413">
        <v>3</v>
      </c>
      <c r="R292" s="246">
        <f t="shared" si="9"/>
        <v>60</v>
      </c>
      <c r="S292" s="351">
        <v>43909</v>
      </c>
      <c r="T292" s="182">
        <v>424</v>
      </c>
      <c r="U292" s="177">
        <v>43920</v>
      </c>
      <c r="V292" s="177">
        <v>43920</v>
      </c>
      <c r="W292" s="177">
        <v>43920</v>
      </c>
      <c r="X292" s="415">
        <v>90479</v>
      </c>
      <c r="Y292" s="177">
        <v>43935</v>
      </c>
      <c r="Z292" s="598">
        <v>2</v>
      </c>
      <c r="AA292" s="488"/>
      <c r="AB292" s="594"/>
      <c r="AC292" s="595"/>
      <c r="AD292" s="596"/>
      <c r="AE292" s="596"/>
      <c r="AF292" s="597" t="str">
        <f>IFERROR(INDEX(produtos_escape2!M:M,MATCH(Controle!H292,produtos_escape2!A:A,0)),"")</f>
        <v>ROLAMENTO M608</v>
      </c>
    </row>
    <row r="293" spans="1:32" ht="14.25" customHeight="1">
      <c r="A293" s="176" t="s">
        <v>7353</v>
      </c>
      <c r="B293" s="176" t="s">
        <v>7207</v>
      </c>
      <c r="C293" s="177">
        <v>43899</v>
      </c>
      <c r="D293" s="176" t="s">
        <v>7770</v>
      </c>
      <c r="E293" s="176" t="s">
        <v>1866</v>
      </c>
      <c r="F293" s="259" t="s">
        <v>7797</v>
      </c>
      <c r="G293" s="176">
        <v>8</v>
      </c>
      <c r="H293" s="178">
        <v>51102</v>
      </c>
      <c r="I293" s="592">
        <f t="shared" si="8"/>
        <v>1</v>
      </c>
      <c r="J293" s="178" t="s">
        <v>816</v>
      </c>
      <c r="K293" s="178" t="s">
        <v>816</v>
      </c>
      <c r="L293" s="275" t="str">
        <f>IF(H:H=0,"",IF(ISERROR(VLOOKUP(H:H,produtos_escape2!$A$2:$B$2794,2,FALSE)),"Código não cadastrado",(VLOOKUP(H:H,produtos_escape2!$A$2:$B$2794,2,FALSE))))</f>
        <v>RETENTOR 1</v>
      </c>
      <c r="M293" s="593" t="str">
        <f>IF(H:H=0,"",IF(ISERROR(VLOOKUP(H:H,produtos_escape2!$A$2:$D$2794,2,FALSE)),"Código não cadastrado",(VLOOKUP(H:H,produtos_escape2!$A$2:$D$2794,4,FALSE))))</f>
        <v>UN</v>
      </c>
      <c r="N293" s="486">
        <v>5</v>
      </c>
      <c r="O293" s="176" t="s">
        <v>7860</v>
      </c>
      <c r="P293" s="486">
        <v>5</v>
      </c>
      <c r="Q293" s="413">
        <v>140</v>
      </c>
      <c r="R293" s="246">
        <f t="shared" si="9"/>
        <v>700</v>
      </c>
      <c r="S293" s="351">
        <v>43909</v>
      </c>
      <c r="T293" s="182">
        <v>3692</v>
      </c>
      <c r="U293" s="177">
        <v>43909</v>
      </c>
      <c r="V293" s="177">
        <v>43910</v>
      </c>
      <c r="W293" s="177">
        <v>43910</v>
      </c>
      <c r="X293" s="415">
        <v>90137</v>
      </c>
      <c r="Y293" s="177">
        <v>43934</v>
      </c>
      <c r="Z293" s="598">
        <v>2</v>
      </c>
      <c r="AA293" s="488"/>
      <c r="AB293" s="594"/>
      <c r="AC293" s="595"/>
      <c r="AD293" s="596"/>
      <c r="AE293" s="596"/>
      <c r="AF293" s="597" t="str">
        <f>IFERROR(INDEX(produtos_escape2!M:M,MATCH(Controle!H293,produtos_escape2!A:A,0)),"")</f>
        <v>RETENTOR</v>
      </c>
    </row>
    <row r="294" spans="1:32" ht="14.25" customHeight="1">
      <c r="A294" s="176" t="s">
        <v>7353</v>
      </c>
      <c r="B294" s="176" t="s">
        <v>7207</v>
      </c>
      <c r="C294" s="177">
        <v>43899</v>
      </c>
      <c r="D294" s="176" t="s">
        <v>7770</v>
      </c>
      <c r="E294" s="176" t="s">
        <v>1866</v>
      </c>
      <c r="F294" s="259" t="s">
        <v>7797</v>
      </c>
      <c r="G294" s="176">
        <v>2</v>
      </c>
      <c r="H294" s="178">
        <v>35771</v>
      </c>
      <c r="I294" s="592">
        <f t="shared" si="8"/>
        <v>2</v>
      </c>
      <c r="J294" s="178" t="s">
        <v>816</v>
      </c>
      <c r="K294" s="178" t="s">
        <v>816</v>
      </c>
      <c r="L294" s="275" t="str">
        <f>IF(H:H=0,"",IF(ISERROR(VLOOKUP(H:H,produtos_escape2!$A$2:$B$2794,2,FALSE)),"Código não cadastrado",(VLOOKUP(H:H,produtos_escape2!$A$2:$B$2794,2,FALSE))))</f>
        <v>Sensor para Oximetria de Pulso (SPO²), tipo Y, para Oxímetro MINDRAY VS800 (neonatal).</v>
      </c>
      <c r="M294" s="593" t="str">
        <f>IF(H:H=0,"",IF(ISERROR(VLOOKUP(H:H,produtos_escape2!$A$2:$D$2794,2,FALSE)),"Código não cadastrado",(VLOOKUP(H:H,produtos_escape2!$A$2:$D$2794,4,FALSE))))</f>
        <v>UN</v>
      </c>
      <c r="N294" s="486">
        <v>10</v>
      </c>
      <c r="O294" s="176" t="s">
        <v>4433</v>
      </c>
      <c r="P294" s="486">
        <v>10</v>
      </c>
      <c r="Q294" s="413">
        <v>290</v>
      </c>
      <c r="R294" s="246">
        <f t="shared" si="9"/>
        <v>2900</v>
      </c>
      <c r="S294" s="351">
        <v>43909</v>
      </c>
      <c r="T294" s="182">
        <v>424</v>
      </c>
      <c r="U294" s="177">
        <v>43920</v>
      </c>
      <c r="V294" s="177">
        <v>43920</v>
      </c>
      <c r="W294" s="177">
        <v>43920</v>
      </c>
      <c r="X294" s="415">
        <v>90479</v>
      </c>
      <c r="Y294" s="177">
        <v>43935</v>
      </c>
      <c r="Z294" s="598">
        <v>2</v>
      </c>
      <c r="AA294" s="488"/>
      <c r="AB294" s="594"/>
      <c r="AC294" s="595"/>
      <c r="AD294" s="596"/>
      <c r="AE294" s="596"/>
      <c r="AF294" s="597" t="str">
        <f>IFERROR(INDEX(produtos_escape2!M:M,MATCH(Controle!H294,produtos_escape2!A:A,0)),"")</f>
        <v>Sensor para Oximetria de Pulso (SPO²)</v>
      </c>
    </row>
    <row r="295" spans="1:32" ht="14.25" customHeight="1">
      <c r="A295" s="176" t="s">
        <v>7353</v>
      </c>
      <c r="B295" s="176" t="s">
        <v>7207</v>
      </c>
      <c r="C295" s="177">
        <v>43899</v>
      </c>
      <c r="D295" s="176" t="s">
        <v>7770</v>
      </c>
      <c r="E295" s="176" t="s">
        <v>1866</v>
      </c>
      <c r="F295" s="259" t="s">
        <v>7797</v>
      </c>
      <c r="G295" s="176">
        <v>1</v>
      </c>
      <c r="H295" s="178">
        <v>21073</v>
      </c>
      <c r="I295" s="592">
        <f t="shared" si="8"/>
        <v>2</v>
      </c>
      <c r="J295" s="178" t="s">
        <v>816</v>
      </c>
      <c r="K295" s="178" t="s">
        <v>816</v>
      </c>
      <c r="L295" s="275" t="str">
        <f>IF(H:H=0,"",IF(ISERROR(VLOOKUP(H:H,produtos_escape2!$A$2:$B$2794,2,FALSE)),"Código não cadastrado",(VLOOKUP(H:H,produtos_escape2!$A$2:$B$2794,2,FALSE))))</f>
        <v>SUGADOR DE SOLDA ALUMÍNIO, Características Técnicas Mínimas: manual, para remoção de solda de circuitos eletrônicos, corpo confeccionado em plástico resistente, com comprimento de 20 cm Código do Item: 3.3.90.30.26.02.0078.000001-01</v>
      </c>
      <c r="M295" s="593" t="str">
        <f>IF(H:H=0,"",IF(ISERROR(VLOOKUP(H:H,produtos_escape2!$A$2:$D$2794,2,FALSE)),"Código não cadastrado",(VLOOKUP(H:H,produtos_escape2!$A$2:$D$2794,4,FALSE))))</f>
        <v>UN</v>
      </c>
      <c r="N295" s="486">
        <v>2</v>
      </c>
      <c r="O295" s="176" t="s">
        <v>4433</v>
      </c>
      <c r="P295" s="486">
        <v>2</v>
      </c>
      <c r="Q295" s="413">
        <v>38</v>
      </c>
      <c r="R295" s="246">
        <f t="shared" si="9"/>
        <v>76</v>
      </c>
      <c r="S295" s="351">
        <v>43909</v>
      </c>
      <c r="T295" s="182">
        <v>424</v>
      </c>
      <c r="U295" s="177">
        <v>43920</v>
      </c>
      <c r="V295" s="177">
        <v>43920</v>
      </c>
      <c r="W295" s="177">
        <v>43920</v>
      </c>
      <c r="X295" s="415">
        <v>90479</v>
      </c>
      <c r="Y295" s="177">
        <v>43935</v>
      </c>
      <c r="Z295" s="598">
        <v>2</v>
      </c>
      <c r="AA295" s="488"/>
      <c r="AB295" s="594"/>
      <c r="AC295" s="595"/>
      <c r="AD295" s="596"/>
      <c r="AE295" s="596"/>
      <c r="AF295" s="597" t="str">
        <f>IFERROR(INDEX(produtos_escape2!M:M,MATCH(Controle!H295,produtos_escape2!A:A,0)),"")</f>
        <v>SUGADOR DE SOLDA</v>
      </c>
    </row>
    <row r="296" spans="1:32" ht="14.25" customHeight="1">
      <c r="A296" s="176" t="s">
        <v>7353</v>
      </c>
      <c r="B296" s="176" t="s">
        <v>7207</v>
      </c>
      <c r="C296" s="177">
        <v>43899</v>
      </c>
      <c r="D296" s="176" t="s">
        <v>7770</v>
      </c>
      <c r="E296" s="176" t="s">
        <v>1866</v>
      </c>
      <c r="F296" s="259" t="s">
        <v>7797</v>
      </c>
      <c r="G296" s="176">
        <v>7</v>
      </c>
      <c r="H296" s="178">
        <v>22580</v>
      </c>
      <c r="I296" s="592">
        <f t="shared" si="8"/>
        <v>1</v>
      </c>
      <c r="J296" s="178" t="s">
        <v>816</v>
      </c>
      <c r="K296" s="178" t="s">
        <v>816</v>
      </c>
      <c r="L296" s="275" t="str">
        <f>IF(H:H=0,"",IF(ISERROR(VLOOKUP(H:H,produtos_escape2!$A$2:$B$2794,2,FALSE)),"Código não cadastrado",(VLOOKUP(H:H,produtos_escape2!$A$2:$B$2794,2,FALSE))))</f>
        <v xml:space="preserve">VÁVULA PARA REPARO DE ESFIGMOMANÔMETRO. Válvula em metal, altamente resistente, com regulagem de saída de ar sensível. Processo de esterilização: não estéril. Embalagem individual. </v>
      </c>
      <c r="M296" s="593" t="str">
        <f>IF(H:H=0,"",IF(ISERROR(VLOOKUP(H:H,produtos_escape2!$A$2:$D$2794,2,FALSE)),"Código não cadastrado",(VLOOKUP(H:H,produtos_escape2!$A$2:$D$2794,4,FALSE))))</f>
        <v>PE</v>
      </c>
      <c r="N296" s="486">
        <v>20</v>
      </c>
      <c r="O296" s="176" t="s">
        <v>4433</v>
      </c>
      <c r="P296" s="486">
        <v>20</v>
      </c>
      <c r="Q296" s="413">
        <v>12.2</v>
      </c>
      <c r="R296" s="246">
        <f t="shared" si="9"/>
        <v>244</v>
      </c>
      <c r="S296" s="351">
        <v>43909</v>
      </c>
      <c r="T296" s="182">
        <v>424</v>
      </c>
      <c r="U296" s="177">
        <v>43920</v>
      </c>
      <c r="V296" s="177">
        <v>43920</v>
      </c>
      <c r="W296" s="177">
        <v>43920</v>
      </c>
      <c r="X296" s="415">
        <v>90479</v>
      </c>
      <c r="Y296" s="177">
        <v>43935</v>
      </c>
      <c r="Z296" s="598">
        <v>2</v>
      </c>
      <c r="AA296" s="488"/>
      <c r="AB296" s="594"/>
      <c r="AC296" s="595"/>
      <c r="AD296" s="596"/>
      <c r="AE296" s="596"/>
      <c r="AF296" s="597" t="str">
        <f>IFERROR(INDEX(produtos_escape2!M:M,MATCH(Controle!H296,produtos_escape2!A:A,0)),"")</f>
        <v>VALVULA ESFIGMOMANOMETRO</v>
      </c>
    </row>
    <row r="297" spans="1:32" ht="14.25" customHeight="1">
      <c r="A297" s="176" t="s">
        <v>7293</v>
      </c>
      <c r="B297" s="176" t="s">
        <v>1687</v>
      </c>
      <c r="C297" s="177">
        <v>43900</v>
      </c>
      <c r="D297" s="176" t="s">
        <v>7777</v>
      </c>
      <c r="E297" s="176" t="s">
        <v>1866</v>
      </c>
      <c r="F297" s="259" t="s">
        <v>7798</v>
      </c>
      <c r="G297" s="176">
        <v>1</v>
      </c>
      <c r="H297" s="178">
        <v>35450</v>
      </c>
      <c r="I297" s="592">
        <f t="shared" si="8"/>
        <v>1</v>
      </c>
      <c r="J297" s="178" t="s">
        <v>816</v>
      </c>
      <c r="K297" s="178" t="s">
        <v>816</v>
      </c>
      <c r="L297" s="275" t="str">
        <f>IF(H:H=0,"",IF(ISERROR(VLOOKUP(H:H,produtos_escape2!$A$2:$B$2794,2,FALSE)),"Código não cadastrado",(VLOOKUP(H:H,produtos_escape2!$A$2:$B$2794,2,FALSE))))</f>
        <v xml:space="preserve">BATERIA RECARREGÁVEL PARA DESFIBRILADOR/CARDIOVERSOR MODELO M-SERIES - ZOLL Indicada para reposição em Cardioversor/ Desfibrilador ZOLL;
Construída chumbo-ácido seladas para linha  AED Pro da ZOLL.
Dados técnicos:
Modelos PD1400, 1600, 2000, 4410, M Series;
10 Volts;
Amperes 2.5Ah ou superior;
Selada </v>
      </c>
      <c r="M297" s="593" t="str">
        <f>IF(H:H=0,"",IF(ISERROR(VLOOKUP(H:H,produtos_escape2!$A$2:$D$2794,2,FALSE)),"Código não cadastrado",(VLOOKUP(H:H,produtos_escape2!$A$2:$D$2794,4,FALSE))))</f>
        <v>UN</v>
      </c>
      <c r="N297" s="486">
        <v>3</v>
      </c>
      <c r="O297" s="176" t="s">
        <v>7823</v>
      </c>
      <c r="P297" s="486">
        <v>3</v>
      </c>
      <c r="Q297" s="247">
        <v>3560</v>
      </c>
      <c r="R297" s="246">
        <f t="shared" si="9"/>
        <v>10680</v>
      </c>
      <c r="S297" s="177">
        <v>43907</v>
      </c>
      <c r="T297" s="182">
        <v>2064</v>
      </c>
      <c r="U297" s="177">
        <v>43913</v>
      </c>
      <c r="V297" s="177">
        <v>43922</v>
      </c>
      <c r="W297" s="177">
        <v>43923</v>
      </c>
      <c r="X297" s="415">
        <v>90747</v>
      </c>
      <c r="Y297" s="177">
        <v>43935</v>
      </c>
      <c r="Z297" s="598">
        <v>2</v>
      </c>
      <c r="AA297" s="488"/>
      <c r="AB297" s="594"/>
      <c r="AC297" s="595"/>
      <c r="AD297" s="596"/>
      <c r="AE297" s="596"/>
      <c r="AF297" s="597" t="str">
        <f>IFERROR(INDEX(produtos_escape2!M:M,MATCH(Controle!H297,produtos_escape2!A:A,0)),"")</f>
        <v>BATERIA RECARREGÁVEL PARA DESFIBRILADOR/CARDIOVERSOR MODELO M-SERIES - ZOLL Indicada para reposição em Cardioversor/ Desfibrilador ZOLL</v>
      </c>
    </row>
    <row r="298" spans="1:32" ht="14.25" customHeight="1">
      <c r="A298" s="176" t="s">
        <v>7596</v>
      </c>
      <c r="B298" s="176" t="s">
        <v>3608</v>
      </c>
      <c r="C298" s="177">
        <v>43902</v>
      </c>
      <c r="D298" s="176" t="s">
        <v>7799</v>
      </c>
      <c r="E298" s="176" t="s">
        <v>1866</v>
      </c>
      <c r="F298" s="259" t="s">
        <v>7800</v>
      </c>
      <c r="G298" s="176">
        <v>1</v>
      </c>
      <c r="H298" s="178">
        <v>23027</v>
      </c>
      <c r="I298" s="592">
        <f t="shared" si="8"/>
        <v>5</v>
      </c>
      <c r="J298" s="178" t="s">
        <v>816</v>
      </c>
      <c r="K298" s="178" t="s">
        <v>816</v>
      </c>
      <c r="L298" s="275"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298" s="593" t="str">
        <f>IF(H:H=0,"",IF(ISERROR(VLOOKUP(H:H,produtos_escape2!$A$2:$D$2794,2,FALSE)),"Código não cadastrado",(VLOOKUP(H:H,produtos_escape2!$A$2:$D$2794,4,FALSE))))</f>
        <v>UN</v>
      </c>
      <c r="N298" s="486">
        <v>24</v>
      </c>
      <c r="O298" s="176" t="s">
        <v>7822</v>
      </c>
      <c r="P298" s="486">
        <v>23</v>
      </c>
      <c r="Q298" s="247">
        <v>90</v>
      </c>
      <c r="R298" s="246">
        <f t="shared" si="9"/>
        <v>2070</v>
      </c>
      <c r="S298" s="177">
        <v>43907</v>
      </c>
      <c r="T298" s="454">
        <v>28749</v>
      </c>
      <c r="U298" s="456">
        <v>43935</v>
      </c>
      <c r="V298" s="456">
        <v>43938</v>
      </c>
      <c r="W298" s="456">
        <v>43941</v>
      </c>
      <c r="X298" s="176">
        <v>18169</v>
      </c>
      <c r="Y298" s="177">
        <v>43986</v>
      </c>
      <c r="Z298" s="415">
        <v>3</v>
      </c>
      <c r="AA298" s="488" t="s">
        <v>8270</v>
      </c>
      <c r="AB298" s="594"/>
      <c r="AC298" s="595"/>
      <c r="AD298" s="596"/>
      <c r="AE298" s="596"/>
      <c r="AF298" s="597" t="str">
        <f>IFERROR(INDEX(produtos_escape2!M:M,MATCH(Controle!H298,produtos_escape2!A:A,0)),"")</f>
        <v>TUBO DE REPOSIÇÃO PARA GASTROSTOMIA</v>
      </c>
    </row>
    <row r="299" spans="1:32" ht="14.25" customHeight="1">
      <c r="A299" s="176" t="s">
        <v>7596</v>
      </c>
      <c r="B299" s="176" t="s">
        <v>3608</v>
      </c>
      <c r="C299" s="177">
        <v>43902</v>
      </c>
      <c r="D299" s="176" t="s">
        <v>7799</v>
      </c>
      <c r="E299" s="176" t="s">
        <v>1866</v>
      </c>
      <c r="F299" s="259" t="s">
        <v>7800</v>
      </c>
      <c r="G299" s="176">
        <v>1</v>
      </c>
      <c r="H299" s="178">
        <v>23027</v>
      </c>
      <c r="I299" s="592">
        <f t="shared" si="8"/>
        <v>5</v>
      </c>
      <c r="J299" s="178" t="s">
        <v>816</v>
      </c>
      <c r="K299" s="178" t="s">
        <v>816</v>
      </c>
      <c r="L299" s="275"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299" s="593" t="str">
        <f>IF(H:H=0,"",IF(ISERROR(VLOOKUP(H:H,produtos_escape2!$A$2:$D$2794,2,FALSE)),"Código não cadastrado",(VLOOKUP(H:H,produtos_escape2!$A$2:$D$2794,4,FALSE))))</f>
        <v>UN</v>
      </c>
      <c r="N299" s="486">
        <v>24</v>
      </c>
      <c r="O299" s="176" t="s">
        <v>7822</v>
      </c>
      <c r="P299" s="486">
        <v>1</v>
      </c>
      <c r="Q299" s="247">
        <v>90</v>
      </c>
      <c r="R299" s="246">
        <f t="shared" si="9"/>
        <v>90</v>
      </c>
      <c r="S299" s="177">
        <v>43907</v>
      </c>
      <c r="T299" s="182">
        <v>28773</v>
      </c>
      <c r="U299" s="177">
        <v>43938</v>
      </c>
      <c r="V299" s="177">
        <v>43941</v>
      </c>
      <c r="W299" s="177">
        <v>43949</v>
      </c>
      <c r="X299" s="176">
        <v>17877</v>
      </c>
      <c r="Y299" s="177">
        <v>43986</v>
      </c>
      <c r="Z299" s="415">
        <v>3</v>
      </c>
      <c r="AA299" s="488"/>
      <c r="AB299" s="594"/>
      <c r="AC299" s="595"/>
      <c r="AD299" s="596"/>
      <c r="AE299" s="596"/>
      <c r="AF299" s="597" t="str">
        <f>IFERROR(INDEX(produtos_escape2!M:M,MATCH(Controle!H299,produtos_escape2!A:A,0)),"")</f>
        <v>TUBO DE REPOSIÇÃO PARA GASTROSTOMIA</v>
      </c>
    </row>
    <row r="300" spans="1:32" ht="14.25" customHeight="1">
      <c r="A300" s="176" t="s">
        <v>7597</v>
      </c>
      <c r="B300" s="176" t="s">
        <v>3608</v>
      </c>
      <c r="C300" s="177">
        <v>43907</v>
      </c>
      <c r="D300" s="176" t="s">
        <v>7829</v>
      </c>
      <c r="E300" s="176" t="s">
        <v>1866</v>
      </c>
      <c r="F300" s="259" t="s">
        <v>7855</v>
      </c>
      <c r="G300" s="176">
        <v>1</v>
      </c>
      <c r="H300" s="178">
        <v>93119</v>
      </c>
      <c r="I300" s="592">
        <f t="shared" si="8"/>
        <v>2</v>
      </c>
      <c r="J300" s="178" t="s">
        <v>816</v>
      </c>
      <c r="K300" s="178" t="s">
        <v>816</v>
      </c>
      <c r="L300" s="275" t="str">
        <f>IF(H:H=0,"",IF(ISERROR(VLOOKUP(H:H,produtos_escape2!$A$2:$B$2794,2,FALSE)),"Código não cadastrado",(VLOOKUP(H:H,produtos_escape2!$A$2:$B$2794,2,FALSE))))</f>
        <v xml:space="preserve">LENCOL DE BORRACHA DE LATEX P/ ISOLAMENTO ABSOLUTO ESPESSURA MÉDIA COR ESCURA. Unidade de fornecimento: caixa com 26 unidade. Unidade de estoque: Caixa </v>
      </c>
      <c r="M300" s="593" t="str">
        <f>IF(H:H=0,"",IF(ISERROR(VLOOKUP(H:H,produtos_escape2!$A$2:$D$2794,2,FALSE)),"Código não cadastrado",(VLOOKUP(H:H,produtos_escape2!$A$2:$D$2794,4,FALSE))))</f>
        <v>CX</v>
      </c>
      <c r="N300" s="486">
        <v>10</v>
      </c>
      <c r="O300" s="176" t="s">
        <v>3530</v>
      </c>
      <c r="P300" s="486">
        <v>10</v>
      </c>
      <c r="Q300" s="247">
        <v>26</v>
      </c>
      <c r="R300" s="246">
        <f t="shared" si="9"/>
        <v>260</v>
      </c>
      <c r="S300" s="177">
        <v>43910</v>
      </c>
      <c r="T300" s="182">
        <v>915</v>
      </c>
      <c r="U300" s="177">
        <v>43921</v>
      </c>
      <c r="V300" s="177">
        <v>43922</v>
      </c>
      <c r="W300" s="177">
        <v>43924</v>
      </c>
      <c r="X300" s="415">
        <v>90432</v>
      </c>
      <c r="Y300" s="177">
        <v>43935</v>
      </c>
      <c r="Z300" s="415">
        <v>2</v>
      </c>
      <c r="AA300" s="488"/>
      <c r="AB300" s="594"/>
      <c r="AC300" s="595"/>
      <c r="AD300" s="596"/>
      <c r="AE300" s="596"/>
      <c r="AF300" s="597" t="str">
        <f>IFERROR(INDEX(produtos_escape2!M:M,MATCH(Controle!H300,produtos_escape2!A:A,0)),"")</f>
        <v>LENCOL DE BORRACHA</v>
      </c>
    </row>
    <row r="301" spans="1:32" ht="14.25" customHeight="1">
      <c r="A301" s="176" t="s">
        <v>7597</v>
      </c>
      <c r="B301" s="176" t="s">
        <v>3608</v>
      </c>
      <c r="C301" s="177">
        <v>43907</v>
      </c>
      <c r="D301" s="176" t="s">
        <v>7829</v>
      </c>
      <c r="E301" s="176" t="s">
        <v>1866</v>
      </c>
      <c r="F301" s="259" t="s">
        <v>7855</v>
      </c>
      <c r="G301" s="176">
        <v>2</v>
      </c>
      <c r="H301" s="178">
        <v>6040</v>
      </c>
      <c r="I301" s="592">
        <f t="shared" si="8"/>
        <v>1</v>
      </c>
      <c r="J301" s="178" t="s">
        <v>816</v>
      </c>
      <c r="K301" s="178" t="s">
        <v>816</v>
      </c>
      <c r="L301" s="275" t="str">
        <f>IF(H:H=0,"",IF(ISERROR(VLOOKUP(H:H,produtos_escape2!$A$2:$B$2794,2,FALSE)),"Código não cadastrado",(VLOOKUP(H:H,produtos_escape2!$A$2:$B$2794,2,FALSE))))</f>
        <v>BROCA BAIXA ROTAÇÃO, TIPO CONTRA ÂNGULO, MATERIAL AÇO INOXIDÁVEL, FORMATO GATES- GLIDDEN,  REF. 2, COMPRIMENTO 32 MM. Aplicação: endodontia. Unidade de fornecimento: Unidade. Unidade de estoque: Unidade.</v>
      </c>
      <c r="M301" s="593" t="str">
        <f>IF(H:H=0,"",IF(ISERROR(VLOOKUP(H:H,produtos_escape2!$A$2:$D$2794,2,FALSE)),"Código não cadastrado",(VLOOKUP(H:H,produtos_escape2!$A$2:$D$2794,4,FALSE))))</f>
        <v>UA</v>
      </c>
      <c r="N301" s="486">
        <v>5</v>
      </c>
      <c r="O301" s="176" t="s">
        <v>4149</v>
      </c>
      <c r="P301" s="486">
        <v>5</v>
      </c>
      <c r="Q301" s="247">
        <v>15.04</v>
      </c>
      <c r="R301" s="246">
        <f t="shared" si="9"/>
        <v>75.199999999999989</v>
      </c>
      <c r="S301" s="351">
        <v>43910</v>
      </c>
      <c r="T301" s="206">
        <v>1834</v>
      </c>
      <c r="U301" s="351">
        <v>43935</v>
      </c>
      <c r="V301" s="351">
        <v>43935</v>
      </c>
      <c r="W301" s="177">
        <v>43936</v>
      </c>
      <c r="X301" s="176">
        <v>97444</v>
      </c>
      <c r="Y301" s="177">
        <v>43950</v>
      </c>
      <c r="Z301" s="415">
        <v>2</v>
      </c>
      <c r="AA301" s="488"/>
      <c r="AB301" s="594"/>
      <c r="AC301" s="595"/>
      <c r="AD301" s="596"/>
      <c r="AE301" s="596"/>
      <c r="AF301" s="597" t="str">
        <f>IFERROR(INDEX(produtos_escape2!M:M,MATCH(Controle!H301,produtos_escape2!A:A,0)),"")</f>
        <v>BROCA BAIXA ROTAÇÃO</v>
      </c>
    </row>
    <row r="302" spans="1:32" ht="14.25" customHeight="1">
      <c r="A302" s="176" t="s">
        <v>7597</v>
      </c>
      <c r="B302" s="176" t="s">
        <v>3608</v>
      </c>
      <c r="C302" s="177">
        <v>43907</v>
      </c>
      <c r="D302" s="176" t="s">
        <v>7829</v>
      </c>
      <c r="E302" s="176" t="s">
        <v>1866</v>
      </c>
      <c r="F302" s="259" t="s">
        <v>7855</v>
      </c>
      <c r="G302" s="176">
        <v>3</v>
      </c>
      <c r="H302" s="178">
        <v>35744</v>
      </c>
      <c r="I302" s="592">
        <f t="shared" si="8"/>
        <v>1</v>
      </c>
      <c r="J302" s="178" t="s">
        <v>816</v>
      </c>
      <c r="K302" s="178" t="s">
        <v>816</v>
      </c>
      <c r="L302" s="275" t="str">
        <f>IF(H:H=0,"",IF(ISERROR(VLOOKUP(H:H,produtos_escape2!$A$2:$B$2794,2,FALSE)),"Código não cadastrado",(VLOOKUP(H:H,produtos_escape2!$A$2:$B$2794,2,FALSE))))</f>
        <v>SUGADOR, MATERIAL AÇO INOXIDÁVEL, TIPO CIRÚRGICO, CARACTERÍSTICAS ADICIONAIS CURVO, ESTERILIDADE AUTOCLAVÁVEL. Unidade de fornecimento: Unidade. Unidade de estoque: unidade.</v>
      </c>
      <c r="M302" s="593" t="str">
        <f>IF(H:H=0,"",IF(ISERROR(VLOOKUP(H:H,produtos_escape2!$A$2:$D$2794,2,FALSE)),"Código não cadastrado",(VLOOKUP(H:H,produtos_escape2!$A$2:$D$2794,4,FALSE))))</f>
        <v>UN</v>
      </c>
      <c r="N302" s="486">
        <v>15</v>
      </c>
      <c r="O302" s="176" t="s">
        <v>3530</v>
      </c>
      <c r="P302" s="486">
        <v>15</v>
      </c>
      <c r="Q302" s="247">
        <v>23.7</v>
      </c>
      <c r="R302" s="246">
        <f t="shared" si="9"/>
        <v>355.5</v>
      </c>
      <c r="S302" s="351">
        <v>43910</v>
      </c>
      <c r="T302" s="206">
        <v>915</v>
      </c>
      <c r="U302" s="351">
        <v>43921</v>
      </c>
      <c r="V302" s="351">
        <v>43922</v>
      </c>
      <c r="W302" s="177">
        <v>43924</v>
      </c>
      <c r="X302" s="415">
        <v>90432</v>
      </c>
      <c r="Y302" s="177">
        <v>43935</v>
      </c>
      <c r="Z302" s="415">
        <v>2</v>
      </c>
      <c r="AA302" s="488"/>
      <c r="AB302" s="594"/>
      <c r="AC302" s="595"/>
      <c r="AD302" s="596"/>
      <c r="AE302" s="596"/>
      <c r="AF302" s="597" t="str">
        <f>IFERROR(INDEX(produtos_escape2!M:M,MATCH(Controle!H302,produtos_escape2!A:A,0)),"")</f>
        <v>SUGADOR</v>
      </c>
    </row>
    <row r="303" spans="1:32" ht="14.25" customHeight="1">
      <c r="A303" s="176" t="s">
        <v>7597</v>
      </c>
      <c r="B303" s="176" t="s">
        <v>3608</v>
      </c>
      <c r="C303" s="177">
        <v>43907</v>
      </c>
      <c r="D303" s="176" t="s">
        <v>7829</v>
      </c>
      <c r="E303" s="176" t="s">
        <v>1866</v>
      </c>
      <c r="F303" s="259" t="s">
        <v>7855</v>
      </c>
      <c r="G303" s="176">
        <v>4</v>
      </c>
      <c r="H303" s="178">
        <v>93150</v>
      </c>
      <c r="I303" s="592">
        <f t="shared" si="8"/>
        <v>1</v>
      </c>
      <c r="J303" s="178" t="s">
        <v>816</v>
      </c>
      <c r="K303" s="178" t="s">
        <v>816</v>
      </c>
      <c r="L303" s="275" t="str">
        <f>IF(H:H=0,"",IF(ISERROR(VLOOKUP(H:H,produtos_escape2!$A$2:$B$2794,2,FALSE)),"Código não cadastrado",(VLOOKUP(H:H,produtos_escape2!$A$2:$B$2794,2,FALSE))))</f>
        <v>ACESSÓRIOS - USO ODONTOLÓGICO, PLACA PARA ESPATULAÇÃO, MATERIAL VIDRO POLIDO, FORMATO RETANGULAR COM CANTOS ARREDONDADOS, ESPESSURA MÍNIMA DE 10 MM. Características adicionais: dimensões aproximadas 15cm X 7cm X 1cm. Unidade de fornecimento: unidade. Unidade de estoque: Unidade</v>
      </c>
      <c r="M303" s="593" t="str">
        <f>IF(H:H=0,"",IF(ISERROR(VLOOKUP(H:H,produtos_escape2!$A$2:$D$2794,2,FALSE)),"Código não cadastrado",(VLOOKUP(H:H,produtos_escape2!$A$2:$D$2794,4,FALSE))))</f>
        <v>UM</v>
      </c>
      <c r="N303" s="486">
        <v>10</v>
      </c>
      <c r="O303" s="176" t="s">
        <v>4149</v>
      </c>
      <c r="P303" s="486">
        <v>10</v>
      </c>
      <c r="Q303" s="247">
        <v>8.08</v>
      </c>
      <c r="R303" s="246">
        <f t="shared" si="9"/>
        <v>80.8</v>
      </c>
      <c r="S303" s="351">
        <v>43910</v>
      </c>
      <c r="T303" s="206">
        <v>1834</v>
      </c>
      <c r="U303" s="351">
        <v>43935</v>
      </c>
      <c r="V303" s="351">
        <v>43935</v>
      </c>
      <c r="W303" s="177">
        <v>43936</v>
      </c>
      <c r="X303" s="176">
        <v>97444</v>
      </c>
      <c r="Y303" s="177">
        <v>43950</v>
      </c>
      <c r="Z303" s="415">
        <v>2</v>
      </c>
      <c r="AA303" s="488"/>
      <c r="AB303" s="594"/>
      <c r="AC303" s="595"/>
      <c r="AD303" s="596"/>
      <c r="AE303" s="596"/>
      <c r="AF303" s="597" t="str">
        <f>IFERROR(INDEX(produtos_escape2!M:M,MATCH(Controle!H303,produtos_escape2!A:A,0)),"")</f>
        <v>PLACA VIDRO</v>
      </c>
    </row>
    <row r="304" spans="1:32" ht="14.25" customHeight="1">
      <c r="A304" s="176" t="s">
        <v>7597</v>
      </c>
      <c r="B304" s="176" t="s">
        <v>3608</v>
      </c>
      <c r="C304" s="177">
        <v>43907</v>
      </c>
      <c r="D304" s="176" t="s">
        <v>7829</v>
      </c>
      <c r="E304" s="176" t="s">
        <v>1866</v>
      </c>
      <c r="F304" s="259" t="s">
        <v>7855</v>
      </c>
      <c r="G304" s="176">
        <v>5</v>
      </c>
      <c r="H304" s="178">
        <v>20888</v>
      </c>
      <c r="I304" s="592">
        <f t="shared" si="8"/>
        <v>2</v>
      </c>
      <c r="J304" s="178" t="s">
        <v>816</v>
      </c>
      <c r="K304" s="178" t="s">
        <v>816</v>
      </c>
      <c r="L304" s="275" t="str">
        <f>IF(H:H=0,"",IF(ISERROR(VLOOKUP(H:H,produtos_escape2!$A$2:$B$2794,2,FALSE)),"Código não cadastrado",(VLOOKUP(H:H,produtos_escape2!$A$2:$B$2794,2,FALSE))))</f>
        <v>CONJUNTO  PARA ASPIRAÇÃO ENDODÔNTICA COM 03 CÂNULAS, MATERIAL AÇO INOXIDÁVEL. Aplicação: endodontia. Características adicionais: 3 cânulas com calibres diferentes. Unidade de fornecimento: kit com 3 cânulas. Unidade de estoque: Kit</v>
      </c>
      <c r="M304" s="593" t="str">
        <f>IF(H:H=0,"",IF(ISERROR(VLOOKUP(H:H,produtos_escape2!$A$2:$D$2794,2,FALSE)),"Código não cadastrado",(VLOOKUP(H:H,produtos_escape2!$A$2:$D$2794,4,FALSE))))</f>
        <v>UN</v>
      </c>
      <c r="N304" s="486">
        <v>8</v>
      </c>
      <c r="O304" s="176" t="s">
        <v>4149</v>
      </c>
      <c r="P304" s="486">
        <v>3</v>
      </c>
      <c r="Q304" s="247">
        <v>56.22</v>
      </c>
      <c r="R304" s="246">
        <f t="shared" si="9"/>
        <v>168.66</v>
      </c>
      <c r="S304" s="351">
        <v>43910</v>
      </c>
      <c r="T304" s="206">
        <v>1834</v>
      </c>
      <c r="U304" s="351">
        <v>43935</v>
      </c>
      <c r="V304" s="351">
        <v>43935</v>
      </c>
      <c r="W304" s="177">
        <v>43936</v>
      </c>
      <c r="X304" s="176">
        <v>97444</v>
      </c>
      <c r="Y304" s="177">
        <v>43950</v>
      </c>
      <c r="Z304" s="415">
        <v>2</v>
      </c>
      <c r="AA304" s="488"/>
      <c r="AB304" s="594"/>
      <c r="AC304" s="595"/>
      <c r="AD304" s="596"/>
      <c r="AE304" s="596"/>
      <c r="AF304" s="597" t="str">
        <f>IFERROR(INDEX(produtos_escape2!M:M,MATCH(Controle!H304,produtos_escape2!A:A,0)),"")</f>
        <v>CONJUNTO PARA ASPIRAÇÃO</v>
      </c>
    </row>
    <row r="305" spans="1:32" ht="14.25" customHeight="1">
      <c r="A305" s="176" t="s">
        <v>7597</v>
      </c>
      <c r="B305" s="176" t="s">
        <v>3608</v>
      </c>
      <c r="C305" s="177">
        <v>43907</v>
      </c>
      <c r="D305" s="176" t="s">
        <v>7829</v>
      </c>
      <c r="E305" s="176" t="s">
        <v>1866</v>
      </c>
      <c r="F305" s="259" t="s">
        <v>7855</v>
      </c>
      <c r="G305" s="176">
        <v>5</v>
      </c>
      <c r="H305" s="178">
        <v>20888</v>
      </c>
      <c r="I305" s="592">
        <f t="shared" si="8"/>
        <v>2</v>
      </c>
      <c r="J305" s="178" t="s">
        <v>816</v>
      </c>
      <c r="K305" s="178" t="s">
        <v>816</v>
      </c>
      <c r="L305" s="275" t="str">
        <f>IF(H:H=0,"",IF(ISERROR(VLOOKUP(H:H,produtos_escape2!$A$2:$B$2794,2,FALSE)),"Código não cadastrado",(VLOOKUP(H:H,produtos_escape2!$A$2:$B$2794,2,FALSE))))</f>
        <v>CONJUNTO  PARA ASPIRAÇÃO ENDODÔNTICA COM 03 CÂNULAS, MATERIAL AÇO INOXIDÁVEL. Aplicação: endodontia. Características adicionais: 3 cânulas com calibres diferentes. Unidade de fornecimento: kit com 3 cânulas. Unidade de estoque: Kit</v>
      </c>
      <c r="M305" s="593" t="str">
        <f>IF(H:H=0,"",IF(ISERROR(VLOOKUP(H:H,produtos_escape2!$A$2:$D$2794,2,FALSE)),"Código não cadastrado",(VLOOKUP(H:H,produtos_escape2!$A$2:$D$2794,4,FALSE))))</f>
        <v>UN</v>
      </c>
      <c r="N305" s="486">
        <v>8</v>
      </c>
      <c r="O305" s="176" t="s">
        <v>1868</v>
      </c>
      <c r="P305" s="486"/>
      <c r="Q305" s="247">
        <v>56.22</v>
      </c>
      <c r="R305" s="246">
        <f t="shared" si="9"/>
        <v>0</v>
      </c>
      <c r="S305" s="351">
        <v>43910</v>
      </c>
      <c r="T305" s="206"/>
      <c r="U305" s="351"/>
      <c r="V305" s="351"/>
      <c r="W305" s="177"/>
      <c r="X305" s="176"/>
      <c r="Y305" s="177"/>
      <c r="Z305" s="415">
        <v>3</v>
      </c>
      <c r="AA305" s="488" t="s">
        <v>8392</v>
      </c>
      <c r="AB305" s="594"/>
      <c r="AC305" s="595"/>
      <c r="AD305" s="596"/>
      <c r="AE305" s="596"/>
      <c r="AF305" s="597" t="str">
        <f>IFERROR(INDEX(produtos_escape2!M:M,MATCH(Controle!H305,produtos_escape2!A:A,0)),"")</f>
        <v>CONJUNTO PARA ASPIRAÇÃO</v>
      </c>
    </row>
    <row r="306" spans="1:32" ht="14.25" customHeight="1">
      <c r="A306" s="176" t="s">
        <v>7597</v>
      </c>
      <c r="B306" s="176" t="s">
        <v>3608</v>
      </c>
      <c r="C306" s="177">
        <v>43907</v>
      </c>
      <c r="D306" s="176" t="s">
        <v>7829</v>
      </c>
      <c r="E306" s="176" t="s">
        <v>1866</v>
      </c>
      <c r="F306" s="259" t="s">
        <v>7855</v>
      </c>
      <c r="G306" s="176">
        <v>6</v>
      </c>
      <c r="H306" s="178">
        <v>18754</v>
      </c>
      <c r="I306" s="592">
        <f t="shared" si="8"/>
        <v>1</v>
      </c>
      <c r="J306" s="178" t="s">
        <v>816</v>
      </c>
      <c r="K306" s="178" t="s">
        <v>816</v>
      </c>
      <c r="L306" s="275" t="str">
        <f>IF(H:H=0,"",IF(ISERROR(VLOOKUP(H:H,produtos_escape2!$A$2:$B$2794,2,FALSE)),"Código não cadastrado",(VLOOKUP(H:H,produtos_escape2!$A$2:$B$2794,2,FALSE))))</f>
        <v>RÉGUA - USO ODONTOLÓGICO, MODELO ENDODÔNTICA, MATERIAL ALUMÍNIO, TIPO MILIMETRADA, CARACTERÍSTICA ADICIONAL CALIBRADORA DE CONES, TIPO USO AUTOCLAVÁVEL. Unidade de fornecimento: unidade. Unidade de estoque: Unidade</v>
      </c>
      <c r="M306" s="593" t="str">
        <f>IF(H:H=0,"",IF(ISERROR(VLOOKUP(H:H,produtos_escape2!$A$2:$D$2794,2,FALSE)),"Código não cadastrado",(VLOOKUP(H:H,produtos_escape2!$A$2:$D$2794,4,FALSE))))</f>
        <v>UM</v>
      </c>
      <c r="N306" s="486">
        <v>6</v>
      </c>
      <c r="O306" s="176" t="s">
        <v>3530</v>
      </c>
      <c r="P306" s="486">
        <v>6</v>
      </c>
      <c r="Q306" s="247">
        <v>13.5</v>
      </c>
      <c r="R306" s="246">
        <f t="shared" si="9"/>
        <v>81</v>
      </c>
      <c r="S306" s="351">
        <v>43910</v>
      </c>
      <c r="T306" s="206">
        <v>915</v>
      </c>
      <c r="U306" s="351">
        <v>43921</v>
      </c>
      <c r="V306" s="351">
        <v>43922</v>
      </c>
      <c r="W306" s="177">
        <v>43924</v>
      </c>
      <c r="X306" s="415">
        <v>90432</v>
      </c>
      <c r="Y306" s="177">
        <v>43935</v>
      </c>
      <c r="Z306" s="415">
        <v>2</v>
      </c>
      <c r="AA306" s="488"/>
      <c r="AB306" s="594"/>
      <c r="AC306" s="595"/>
      <c r="AD306" s="596"/>
      <c r="AE306" s="596"/>
      <c r="AF306" s="597" t="str">
        <f>IFERROR(INDEX(produtos_escape2!M:M,MATCH(Controle!H306,produtos_escape2!A:A,0)),"")</f>
        <v>REGUA ENDODONTICA</v>
      </c>
    </row>
    <row r="307" spans="1:32" ht="14.25" customHeight="1">
      <c r="A307" s="176" t="s">
        <v>7597</v>
      </c>
      <c r="B307" s="176" t="s">
        <v>3608</v>
      </c>
      <c r="C307" s="177">
        <v>43907</v>
      </c>
      <c r="D307" s="176" t="s">
        <v>7829</v>
      </c>
      <c r="E307" s="176" t="s">
        <v>1866</v>
      </c>
      <c r="F307" s="259" t="s">
        <v>7855</v>
      </c>
      <c r="G307" s="176">
        <v>7</v>
      </c>
      <c r="H307" s="178">
        <v>20847</v>
      </c>
      <c r="I307" s="592">
        <f t="shared" si="8"/>
        <v>1</v>
      </c>
      <c r="J307" s="178" t="s">
        <v>816</v>
      </c>
      <c r="K307" s="178" t="s">
        <v>816</v>
      </c>
      <c r="L307" s="275" t="str">
        <f>IF(H:H=0,"",IF(ISERROR(VLOOKUP(H:H,produtos_escape2!$A$2:$B$2794,2,FALSE)),"Código não cadastrado",(VLOOKUP(H:H,produtos_escape2!$A$2:$B$2794,2,FALSE))))</f>
        <v>AFASTADOR ODONTOLÓGICO, MATERIAL AÇO INOXIDÁVEL, TIPO MINNESOTA. Aplicação: Cirurgia Odontológica. Unidade de fornecimento: Unidade. Unidade de estoque: Unidade.</v>
      </c>
      <c r="M307" s="593" t="str">
        <f>IF(H:H=0,"",IF(ISERROR(VLOOKUP(H:H,produtos_escape2!$A$2:$D$2794,2,FALSE)),"Código não cadastrado",(VLOOKUP(H:H,produtos_escape2!$A$2:$D$2794,4,FALSE))))</f>
        <v>UN</v>
      </c>
      <c r="N307" s="486">
        <v>8</v>
      </c>
      <c r="O307" s="176" t="s">
        <v>3530</v>
      </c>
      <c r="P307" s="486">
        <v>8</v>
      </c>
      <c r="Q307" s="247">
        <v>10.5</v>
      </c>
      <c r="R307" s="246">
        <f t="shared" si="9"/>
        <v>84</v>
      </c>
      <c r="S307" s="351">
        <v>43910</v>
      </c>
      <c r="T307" s="206">
        <v>915</v>
      </c>
      <c r="U307" s="351">
        <v>43921</v>
      </c>
      <c r="V307" s="351">
        <v>43922</v>
      </c>
      <c r="W307" s="177">
        <v>43924</v>
      </c>
      <c r="X307" s="415">
        <v>90432</v>
      </c>
      <c r="Y307" s="177">
        <v>43935</v>
      </c>
      <c r="Z307" s="415">
        <v>2</v>
      </c>
      <c r="AA307" s="488"/>
      <c r="AB307" s="594"/>
      <c r="AC307" s="595"/>
      <c r="AD307" s="596"/>
      <c r="AE307" s="596"/>
      <c r="AF307" s="597" t="str">
        <f>IFERROR(INDEX(produtos_escape2!M:M,MATCH(Controle!H307,produtos_escape2!A:A,0)),"")</f>
        <v>AFASTADOR MINNESOTA</v>
      </c>
    </row>
    <row r="308" spans="1:32" ht="14.25" customHeight="1">
      <c r="A308" s="176" t="s">
        <v>7597</v>
      </c>
      <c r="B308" s="176" t="s">
        <v>3608</v>
      </c>
      <c r="C308" s="177">
        <v>43907</v>
      </c>
      <c r="D308" s="176" t="s">
        <v>7829</v>
      </c>
      <c r="E308" s="176" t="s">
        <v>1866</v>
      </c>
      <c r="F308" s="259" t="s">
        <v>7855</v>
      </c>
      <c r="G308" s="176">
        <v>8</v>
      </c>
      <c r="H308" s="178">
        <v>93185</v>
      </c>
      <c r="I308" s="592">
        <f t="shared" si="8"/>
        <v>1</v>
      </c>
      <c r="J308" s="178" t="s">
        <v>816</v>
      </c>
      <c r="K308" s="178" t="s">
        <v>816</v>
      </c>
      <c r="L308" s="275" t="str">
        <f>IF(H:H=0,"",IF(ISERROR(VLOOKUP(H:H,produtos_escape2!$A$2:$B$2794,2,FALSE)),"Código não cadastrado",(VLOOKUP(H:H,produtos_escape2!$A$2:$B$2794,2,FALSE))))</f>
        <v>VERNIZ DENTÁRIO, COMPOSIÇÃO C/ FLUORETO DE SÓDIO. Características adicionais: concentração 5% com solvente. Unidade de fornecimento: vidro com 10ml. Unidade de estoque: Vidro</v>
      </c>
      <c r="M308" s="593" t="str">
        <f>IF(H:H=0,"",IF(ISERROR(VLOOKUP(H:H,produtos_escape2!$A$2:$D$2794,2,FALSE)),"Código não cadastrado",(VLOOKUP(H:H,produtos_escape2!$A$2:$D$2794,4,FALSE))))</f>
        <v>VD</v>
      </c>
      <c r="N308" s="486">
        <v>3</v>
      </c>
      <c r="O308" s="176" t="s">
        <v>4149</v>
      </c>
      <c r="P308" s="486">
        <v>3</v>
      </c>
      <c r="Q308" s="247">
        <v>61.92</v>
      </c>
      <c r="R308" s="246">
        <f t="shared" si="9"/>
        <v>185.76</v>
      </c>
      <c r="S308" s="351">
        <v>43910</v>
      </c>
      <c r="T308" s="206">
        <v>1834</v>
      </c>
      <c r="U308" s="351">
        <v>43935</v>
      </c>
      <c r="V308" s="351">
        <v>43935</v>
      </c>
      <c r="W308" s="177">
        <v>43936</v>
      </c>
      <c r="X308" s="176">
        <v>97444</v>
      </c>
      <c r="Y308" s="177">
        <v>43950</v>
      </c>
      <c r="Z308" s="415">
        <v>2</v>
      </c>
      <c r="AA308" s="488"/>
      <c r="AB308" s="594"/>
      <c r="AC308" s="595"/>
      <c r="AD308" s="596"/>
      <c r="AE308" s="596"/>
      <c r="AF308" s="597" t="str">
        <f>IFERROR(INDEX(produtos_escape2!M:M,MATCH(Controle!H308,produtos_escape2!A:A,0)),"")</f>
        <v>VERNIZ DENTÁRIO</v>
      </c>
    </row>
    <row r="309" spans="1:32" ht="14.25" customHeight="1">
      <c r="A309" s="176" t="s">
        <v>7597</v>
      </c>
      <c r="B309" s="176" t="s">
        <v>3608</v>
      </c>
      <c r="C309" s="177">
        <v>43907</v>
      </c>
      <c r="D309" s="176" t="s">
        <v>7829</v>
      </c>
      <c r="E309" s="176" t="s">
        <v>1866</v>
      </c>
      <c r="F309" s="259" t="s">
        <v>7855</v>
      </c>
      <c r="G309" s="176">
        <v>9</v>
      </c>
      <c r="H309" s="178">
        <v>8203</v>
      </c>
      <c r="I309" s="592">
        <f t="shared" si="8"/>
        <v>1</v>
      </c>
      <c r="J309" s="178" t="s">
        <v>816</v>
      </c>
      <c r="K309" s="178" t="s">
        <v>816</v>
      </c>
      <c r="L309" s="275" t="str">
        <f>IF(H:H=0,"",IF(ISERROR(VLOOKUP(H:H,produtos_escape2!$A$2:$B$2794,2,FALSE)),"Código não cadastrado",(VLOOKUP(H:H,produtos_escape2!$A$2:$B$2794,2,FALSE))))</f>
        <v>PASTA PROFILÁTICA DE USO ODONTOLÓGICO,Aplicação: periodontia, Forma De Apresentação: bisnaga 90 g, Prazo de validade: 75 % do prazo total de validade do produto, Unidade De Estoque: bisnaga ( BS ), Unidade De Fornecimento: bisnaga 90 g.</v>
      </c>
      <c r="M309" s="593" t="str">
        <f>IF(H:H=0,"",IF(ISERROR(VLOOKUP(H:H,produtos_escape2!$A$2:$D$2794,2,FALSE)),"Código não cadastrado",(VLOOKUP(H:H,produtos_escape2!$A$2:$D$2794,4,FALSE))))</f>
        <v>BS</v>
      </c>
      <c r="N309" s="486">
        <v>3</v>
      </c>
      <c r="O309" s="176" t="s">
        <v>3530</v>
      </c>
      <c r="P309" s="486">
        <v>3</v>
      </c>
      <c r="Q309" s="247">
        <v>9.56</v>
      </c>
      <c r="R309" s="246">
        <f t="shared" si="9"/>
        <v>28.68</v>
      </c>
      <c r="S309" s="177">
        <v>43910</v>
      </c>
      <c r="T309" s="182">
        <v>915</v>
      </c>
      <c r="U309" s="177">
        <v>43921</v>
      </c>
      <c r="V309" s="177">
        <v>43922</v>
      </c>
      <c r="W309" s="177">
        <v>43924</v>
      </c>
      <c r="X309" s="415">
        <v>90432</v>
      </c>
      <c r="Y309" s="177">
        <v>43935</v>
      </c>
      <c r="Z309" s="415">
        <v>2</v>
      </c>
      <c r="AA309" s="488"/>
      <c r="AB309" s="594"/>
      <c r="AC309" s="595"/>
      <c r="AD309" s="596"/>
      <c r="AE309" s="596"/>
      <c r="AF309" s="597" t="str">
        <f>IFERROR(INDEX(produtos_escape2!M:M,MATCH(Controle!H309,produtos_escape2!A:A,0)),"")</f>
        <v>PASTA PROFILÁTICA DE USO ODONTOLÓGICO</v>
      </c>
    </row>
    <row r="310" spans="1:32" ht="14.25" customHeight="1">
      <c r="A310" s="176" t="s">
        <v>7597</v>
      </c>
      <c r="B310" s="176" t="s">
        <v>3608</v>
      </c>
      <c r="C310" s="177">
        <v>43907</v>
      </c>
      <c r="D310" s="176" t="s">
        <v>7829</v>
      </c>
      <c r="E310" s="176" t="s">
        <v>1866</v>
      </c>
      <c r="F310" s="259" t="s">
        <v>7855</v>
      </c>
      <c r="G310" s="176">
        <v>10</v>
      </c>
      <c r="H310" s="178">
        <v>36309</v>
      </c>
      <c r="I310" s="592">
        <f t="shared" si="8"/>
        <v>1</v>
      </c>
      <c r="J310" s="178" t="s">
        <v>816</v>
      </c>
      <c r="K310" s="178" t="s">
        <v>816</v>
      </c>
      <c r="L310" s="275" t="str">
        <f>IF(H:H=0,"",IF(ISERROR(VLOOKUP(H:H,produtos_escape2!$A$2:$B$2794,2,FALSE)),"Código não cadastrado",(VLOOKUP(H:H,produtos_escape2!$A$2:$B$2794,2,FALSE))))</f>
        <v xml:space="preserve">BENZOCAÍNA, CONCENTRAÇÃO 20%, USO GEL TÓPICO.  Unidade de Fornecimento: Pote com 12g de sabores variados. Unidade de Estoque: Pote (PT). </v>
      </c>
      <c r="M310" s="593" t="str">
        <f>IF(H:H=0,"",IF(ISERROR(VLOOKUP(H:H,produtos_escape2!$A$2:$D$2794,2,FALSE)),"Código não cadastrado",(VLOOKUP(H:H,produtos_escape2!$A$2:$D$2794,4,FALSE))))</f>
        <v>PT</v>
      </c>
      <c r="N310" s="486">
        <v>5</v>
      </c>
      <c r="O310" s="176" t="s">
        <v>3530</v>
      </c>
      <c r="P310" s="486">
        <v>5</v>
      </c>
      <c r="Q310" s="247">
        <v>8</v>
      </c>
      <c r="R310" s="246">
        <f t="shared" si="9"/>
        <v>40</v>
      </c>
      <c r="S310" s="177">
        <v>43910</v>
      </c>
      <c r="T310" s="182">
        <v>915</v>
      </c>
      <c r="U310" s="177">
        <v>43921</v>
      </c>
      <c r="V310" s="177">
        <v>43922</v>
      </c>
      <c r="W310" s="177">
        <v>43924</v>
      </c>
      <c r="X310" s="415">
        <v>90432</v>
      </c>
      <c r="Y310" s="177">
        <v>43935</v>
      </c>
      <c r="Z310" s="415">
        <v>2</v>
      </c>
      <c r="AA310" s="488"/>
      <c r="AB310" s="594"/>
      <c r="AC310" s="595"/>
      <c r="AD310" s="596"/>
      <c r="AE310" s="596"/>
      <c r="AF310" s="597" t="str">
        <f>IFERROR(INDEX(produtos_escape2!M:M,MATCH(Controle!H310,produtos_escape2!A:A,0)),"")</f>
        <v>BENZOCAINA</v>
      </c>
    </row>
    <row r="311" spans="1:32" ht="14.25" customHeight="1">
      <c r="A311" s="176" t="s">
        <v>7597</v>
      </c>
      <c r="B311" s="176" t="s">
        <v>3608</v>
      </c>
      <c r="C311" s="177">
        <v>43907</v>
      </c>
      <c r="D311" s="176" t="s">
        <v>7829</v>
      </c>
      <c r="E311" s="176" t="s">
        <v>1866</v>
      </c>
      <c r="F311" s="259" t="s">
        <v>7855</v>
      </c>
      <c r="G311" s="176">
        <v>11</v>
      </c>
      <c r="H311" s="178">
        <v>6071</v>
      </c>
      <c r="I311" s="592">
        <f t="shared" si="8"/>
        <v>1</v>
      </c>
      <c r="J311" s="178" t="s">
        <v>816</v>
      </c>
      <c r="K311" s="178" t="s">
        <v>816</v>
      </c>
      <c r="L311" s="275" t="str">
        <f>IF(H:H=0,"",IF(ISERROR(VLOOKUP(H:H,produtos_escape2!$A$2:$B$2794,2,FALSE)),"Código não cadastrado",(VLOOKUP(H:H,produtos_escape2!$A$2:$B$2794,2,FALSE))))</f>
        <v>GUTA PERCHA EM BASTAO</v>
      </c>
      <c r="M311" s="593" t="str">
        <f>IF(H:H=0,"",IF(ISERROR(VLOOKUP(H:H,produtos_escape2!$A$2:$D$2794,2,FALSE)),"Código não cadastrado",(VLOOKUP(H:H,produtos_escape2!$A$2:$D$2794,4,FALSE))))</f>
        <v>CX</v>
      </c>
      <c r="N311" s="486">
        <v>5</v>
      </c>
      <c r="O311" s="176" t="s">
        <v>3530</v>
      </c>
      <c r="P311" s="486">
        <v>5</v>
      </c>
      <c r="Q311" s="247">
        <v>33.58</v>
      </c>
      <c r="R311" s="246">
        <f t="shared" si="9"/>
        <v>167.89999999999998</v>
      </c>
      <c r="S311" s="177">
        <v>43910</v>
      </c>
      <c r="T311" s="182">
        <v>915</v>
      </c>
      <c r="U311" s="177">
        <v>43921</v>
      </c>
      <c r="V311" s="177">
        <v>43922</v>
      </c>
      <c r="W311" s="177">
        <v>43924</v>
      </c>
      <c r="X311" s="415">
        <v>90432</v>
      </c>
      <c r="Y311" s="177">
        <v>43935</v>
      </c>
      <c r="Z311" s="415">
        <v>2</v>
      </c>
      <c r="AA311" s="488"/>
      <c r="AB311" s="594"/>
      <c r="AC311" s="595"/>
      <c r="AD311" s="596"/>
      <c r="AE311" s="596"/>
      <c r="AF311" s="597" t="str">
        <f>IFERROR(INDEX(produtos_escape2!M:M,MATCH(Controle!H311,produtos_escape2!A:A,0)),"")</f>
        <v>GUTA PERCHA EM BASTAO</v>
      </c>
    </row>
    <row r="312" spans="1:32" ht="14.25" customHeight="1">
      <c r="A312" s="176" t="s">
        <v>7362</v>
      </c>
      <c r="B312" s="176" t="s">
        <v>7207</v>
      </c>
      <c r="C312" s="177">
        <v>43902</v>
      </c>
      <c r="D312" s="176" t="s">
        <v>7802</v>
      </c>
      <c r="E312" s="176" t="s">
        <v>1865</v>
      </c>
      <c r="F312" s="259" t="s">
        <v>7856</v>
      </c>
      <c r="G312" s="176">
        <v>2</v>
      </c>
      <c r="H312" s="178">
        <v>31547</v>
      </c>
      <c r="I312" s="592">
        <f t="shared" si="8"/>
        <v>1</v>
      </c>
      <c r="J312" s="178" t="s">
        <v>816</v>
      </c>
      <c r="K312" s="178" t="s">
        <v>816</v>
      </c>
      <c r="L312" s="275" t="str">
        <f>IF(H:H=0,"",IF(ISERROR(VLOOKUP(H:H,produtos_escape2!$A$2:$B$2794,2,FALSE)),"Código não cadastrado",(VLOOKUP(H:H,produtos_escape2!$A$2:$B$2794,2,FALSE))))</f>
        <v>CARTUCHO DE FILTRO PARA MÁSCARA PANORÂMICA FACIAL; Aplicação/finalidade: reposição de filtros; Material/composição: Contra vapores orgânicos e inorgânicos; Tamanho/capacidade: único; Características: Filtros com certificado de aprovação (CA) do MTE; Forma de apresentação: Refil de filtro; Prazo de validade: 24 meses; Unidade de estoque: Und.</v>
      </c>
      <c r="M312" s="593" t="str">
        <f>IF(H:H=0,"",IF(ISERROR(VLOOKUP(H:H,produtos_escape2!$A$2:$D$2794,2,FALSE)),"Código não cadastrado",(VLOOKUP(H:H,produtos_escape2!$A$2:$D$2794,4,FALSE))))</f>
        <v>UN</v>
      </c>
      <c r="N312" s="486">
        <v>6</v>
      </c>
      <c r="O312" s="176" t="s">
        <v>5740</v>
      </c>
      <c r="P312" s="486">
        <v>6</v>
      </c>
      <c r="Q312" s="247">
        <v>31.5</v>
      </c>
      <c r="R312" s="246">
        <f t="shared" si="9"/>
        <v>189</v>
      </c>
      <c r="S312" s="177">
        <v>43915</v>
      </c>
      <c r="T312" s="182">
        <v>59828</v>
      </c>
      <c r="U312" s="177">
        <v>43916</v>
      </c>
      <c r="V312" s="177">
        <v>43921</v>
      </c>
      <c r="W312" s="177">
        <v>43921</v>
      </c>
      <c r="X312" s="176">
        <v>30787</v>
      </c>
      <c r="Y312" s="177">
        <v>44007</v>
      </c>
      <c r="Z312" s="415">
        <v>3</v>
      </c>
      <c r="AA312" s="488"/>
      <c r="AB312" s="594"/>
      <c r="AC312" s="595"/>
      <c r="AD312" s="596"/>
      <c r="AE312" s="596"/>
      <c r="AF312" s="597" t="str">
        <f>IFERROR(INDEX(produtos_escape2!M:M,MATCH(Controle!H312,produtos_escape2!A:A,0)),"")</f>
        <v>CARTUCHO DE FILTRO</v>
      </c>
    </row>
    <row r="313" spans="1:32" ht="14.25" customHeight="1">
      <c r="A313" s="176" t="s">
        <v>7362</v>
      </c>
      <c r="B313" s="176" t="s">
        <v>7207</v>
      </c>
      <c r="C313" s="177">
        <v>43902</v>
      </c>
      <c r="D313" s="176" t="s">
        <v>7802</v>
      </c>
      <c r="E313" s="176" t="s">
        <v>1865</v>
      </c>
      <c r="F313" s="259" t="s">
        <v>7856</v>
      </c>
      <c r="G313" s="176">
        <v>1</v>
      </c>
      <c r="H313" s="178">
        <v>4640</v>
      </c>
      <c r="I313" s="592">
        <f t="shared" si="8"/>
        <v>1</v>
      </c>
      <c r="J313" s="178" t="s">
        <v>816</v>
      </c>
      <c r="K313" s="178" t="s">
        <v>816</v>
      </c>
      <c r="L313" s="275" t="str">
        <f>IF(H:H=0,"",IF(ISERROR(VLOOKUP(H:H,produtos_escape2!$A$2:$B$2794,2,FALSE)),"Código não cadastrado",(VLOOKUP(H:H,produtos_escape2!$A$2:$B$2794,2,FALSE))))</f>
        <v>MASCARA PANORÂMICA FACIAL, Características adicionais: completa fundida em borracha de neoprene ou silicone composta de viseira confeccionada com um material resistente chamado plexiglass. . A máscara deve ter um ângulo de vazão de 160 graus conectores duplos dispostos lateralmente, para colocação de filtros respiratórios através de encaixe ou rosca, válvulas inalação e exalação, cinco ponto para fixar a máscara na face , de modo que um se situe no alto da cabeça.</v>
      </c>
      <c r="M313" s="593" t="str">
        <f>IF(H:H=0,"",IF(ISERROR(VLOOKUP(H:H,produtos_escape2!$A$2:$D$2794,2,FALSE)),"Código não cadastrado",(VLOOKUP(H:H,produtos_escape2!$A$2:$D$2794,4,FALSE))))</f>
        <v>UN</v>
      </c>
      <c r="N313" s="486">
        <v>3</v>
      </c>
      <c r="O313" s="176" t="s">
        <v>5740</v>
      </c>
      <c r="P313" s="486">
        <v>3</v>
      </c>
      <c r="Q313" s="247">
        <v>1015.48</v>
      </c>
      <c r="R313" s="246">
        <f t="shared" si="9"/>
        <v>3046.44</v>
      </c>
      <c r="S313" s="177">
        <v>43915</v>
      </c>
      <c r="T313" s="182">
        <v>59828</v>
      </c>
      <c r="U313" s="177">
        <v>43916</v>
      </c>
      <c r="V313" s="177">
        <v>43921</v>
      </c>
      <c r="W313" s="177">
        <v>43921</v>
      </c>
      <c r="X313" s="176">
        <v>30787</v>
      </c>
      <c r="Y313" s="177">
        <v>44007</v>
      </c>
      <c r="Z313" s="415">
        <v>3</v>
      </c>
      <c r="AA313" s="488"/>
      <c r="AB313" s="594"/>
      <c r="AC313" s="595"/>
      <c r="AD313" s="596"/>
      <c r="AE313" s="596"/>
      <c r="AF313" s="597" t="str">
        <f>IFERROR(INDEX(produtos_escape2!M:M,MATCH(Controle!H313,produtos_escape2!A:A,0)),"")</f>
        <v>MASCARA PANORAMICA</v>
      </c>
    </row>
    <row r="314" spans="1:32" ht="14.25" customHeight="1">
      <c r="A314" s="176" t="s">
        <v>7311</v>
      </c>
      <c r="B314" s="176" t="s">
        <v>1687</v>
      </c>
      <c r="C314" s="177">
        <v>43907</v>
      </c>
      <c r="D314" s="176" t="s">
        <v>7849</v>
      </c>
      <c r="E314" s="176" t="s">
        <v>3008</v>
      </c>
      <c r="F314" s="259" t="s">
        <v>7865</v>
      </c>
      <c r="G314" s="176">
        <v>1</v>
      </c>
      <c r="H314" s="178" t="s">
        <v>7850</v>
      </c>
      <c r="I314" s="592">
        <f t="shared" si="8"/>
        <v>3</v>
      </c>
      <c r="J314" s="178"/>
      <c r="K314" s="178"/>
      <c r="L314" s="275" t="str">
        <f>IF(H:H=0,"",IF(ISERROR(VLOOKUP(H:H,produtos_escape2!$A$2:$B$2794,2,FALSE)),"Código não cadastrado",(VLOOKUP(H:H,produtos_escape2!$A$2:$B$2794,2,FALSE))))</f>
        <v xml:space="preserve">CONSERTO DE Conjunto de Perfuradores, Marca STRYKER, Nº. Patrimônio 1405495 (4 itens)
</v>
      </c>
      <c r="M314" s="593" t="str">
        <f>IF(H:H=0,"",IF(ISERROR(VLOOKUP(H:H,produtos_escape2!$A$2:$D$2794,2,FALSE)),"Código não cadastrado",(VLOOKUP(H:H,produtos_escape2!$A$2:$D$2794,4,FALSE))))</f>
        <v>Serviço</v>
      </c>
      <c r="N314" s="486">
        <v>1</v>
      </c>
      <c r="O314" s="176" t="s">
        <v>1868</v>
      </c>
      <c r="P314" s="486"/>
      <c r="Q314" s="247"/>
      <c r="R314" s="246">
        <f t="shared" si="9"/>
        <v>0</v>
      </c>
      <c r="S314" s="177">
        <v>43935</v>
      </c>
      <c r="T314" s="182"/>
      <c r="U314" s="177"/>
      <c r="V314" s="177"/>
      <c r="W314" s="177"/>
      <c r="X314" s="176"/>
      <c r="Y314" s="177"/>
      <c r="Z314" s="415">
        <v>2</v>
      </c>
      <c r="AA314" s="488" t="s">
        <v>8117</v>
      </c>
      <c r="AB314" s="594"/>
      <c r="AC314" s="595"/>
      <c r="AD314" s="596"/>
      <c r="AE314" s="596"/>
      <c r="AF314" s="597">
        <f>IFERROR(INDEX(produtos_escape2!M:M,MATCH(Controle!H314,produtos_escape2!A:A,0)),"")</f>
        <v>0</v>
      </c>
    </row>
    <row r="315" spans="1:32" ht="14.25" customHeight="1">
      <c r="A315" s="176" t="s">
        <v>7309</v>
      </c>
      <c r="B315" s="176" t="s">
        <v>1687</v>
      </c>
      <c r="C315" s="177">
        <v>43907</v>
      </c>
      <c r="D315" s="176" t="s">
        <v>7852</v>
      </c>
      <c r="E315" s="176" t="s">
        <v>3008</v>
      </c>
      <c r="F315" s="259" t="s">
        <v>7866</v>
      </c>
      <c r="G315" s="176">
        <v>1</v>
      </c>
      <c r="H315" s="178" t="s">
        <v>7853</v>
      </c>
      <c r="I315" s="592">
        <f t="shared" si="8"/>
        <v>2</v>
      </c>
      <c r="J315" s="178"/>
      <c r="K315" s="178"/>
      <c r="L315" s="275" t="str">
        <f>IF(H:H=0,"",IF(ISERROR(VLOOKUP(H:H,produtos_escape2!$A$2:$B$2794,2,FALSE)),"Código não cadastrado",(VLOOKUP(H:H,produtos_escape2!$A$2:$B$2794,2,FALSE))))</f>
        <v>CONSERTO DE Reprocessadora Automática, Marca ENDOCLEAR, Modelo AL1012IDL, Nº Patrimônio 1197891</v>
      </c>
      <c r="M315" s="593" t="str">
        <f>IF(H:H=0,"",IF(ISERROR(VLOOKUP(H:H,produtos_escape2!$A$2:$D$2794,2,FALSE)),"Código não cadastrado",(VLOOKUP(H:H,produtos_escape2!$A$2:$D$2794,4,FALSE))))</f>
        <v>Serviço</v>
      </c>
      <c r="N315" s="486">
        <v>1</v>
      </c>
      <c r="O315" s="176" t="s">
        <v>7860</v>
      </c>
      <c r="P315" s="486">
        <v>1</v>
      </c>
      <c r="Q315" s="247">
        <v>816</v>
      </c>
      <c r="R315" s="246">
        <f t="shared" si="9"/>
        <v>816</v>
      </c>
      <c r="S315" s="177">
        <v>43935</v>
      </c>
      <c r="T315" s="182">
        <v>3994</v>
      </c>
      <c r="U315" s="177">
        <v>43965</v>
      </c>
      <c r="V315" s="177">
        <v>43977</v>
      </c>
      <c r="W315" s="177">
        <v>43978</v>
      </c>
      <c r="X315" s="176">
        <v>30530</v>
      </c>
      <c r="Y315" s="177">
        <v>44007</v>
      </c>
      <c r="Z315" s="415">
        <v>3</v>
      </c>
      <c r="AA315" s="488"/>
      <c r="AB315" s="594"/>
      <c r="AC315" s="595"/>
      <c r="AD315" s="596"/>
      <c r="AE315" s="596"/>
      <c r="AF315" s="597">
        <f>IFERROR(INDEX(produtos_escape2!M:M,MATCH(Controle!H315,produtos_escape2!A:A,0)),"")</f>
        <v>0</v>
      </c>
    </row>
    <row r="316" spans="1:32" ht="14.25" customHeight="1">
      <c r="A316" s="176" t="s">
        <v>7379</v>
      </c>
      <c r="B316" s="176" t="s">
        <v>7207</v>
      </c>
      <c r="C316" s="177">
        <v>43908</v>
      </c>
      <c r="D316" s="176" t="s">
        <v>7863</v>
      </c>
      <c r="E316" s="176" t="s">
        <v>1866</v>
      </c>
      <c r="F316" s="259" t="s">
        <v>7867</v>
      </c>
      <c r="G316" s="176">
        <v>1</v>
      </c>
      <c r="H316" s="178">
        <v>33357</v>
      </c>
      <c r="I316" s="592">
        <f t="shared" si="8"/>
        <v>1</v>
      </c>
      <c r="J316" s="178" t="s">
        <v>816</v>
      </c>
      <c r="K316" s="178" t="s">
        <v>816</v>
      </c>
      <c r="L316" s="275" t="str">
        <f>IF(H:H=0,"",IF(ISERROR(VLOOKUP(H:H,produtos_escape2!$A$2:$B$2794,2,FALSE)),"Código não cadastrado",(VLOOKUP(H:H,produtos_escape2!$A$2:$B$2794,2,FALSE))))</f>
        <v>DISPLAY DE PAREDE para exposição de uma folha tamanho A4 na posição horizontal. Transparência total; Aplicação/finalidade: Para a correta identificação do paciente, reduzindo a ocorrência de incidentes. Para cumprimento da meta 1 (identificação correta do paciente) prevista no Plano Nacional de Segurança do Paciente do MS; Material/composição: Acrílico de 2mm de espessura; Tamanho/capacidade: 21 x 30cm; Características: Identificador em Acrílico, para Leito, para colocação de informações sobre o paciente, com fita dupla-face para fixação; Processo de esterilização: Álcool 70%; Forma de apresentação: Embalagem individual; Unidade de estoque: Unidade.</v>
      </c>
      <c r="M316" s="593" t="str">
        <f>IF(H:H=0,"",IF(ISERROR(VLOOKUP(H:H,produtos_escape2!$A$2:$D$2794,2,FALSE)),"Código não cadastrado",(VLOOKUP(H:H,produtos_escape2!$A$2:$D$2794,4,FALSE))))</f>
        <v>UN</v>
      </c>
      <c r="N316" s="486">
        <v>500</v>
      </c>
      <c r="O316" s="176" t="s">
        <v>7828</v>
      </c>
      <c r="P316" s="486">
        <v>250</v>
      </c>
      <c r="Q316" s="247">
        <v>13.99</v>
      </c>
      <c r="R316" s="246">
        <f t="shared" si="9"/>
        <v>3497.5</v>
      </c>
      <c r="S316" s="177">
        <v>43910</v>
      </c>
      <c r="T316" s="182">
        <v>1736724</v>
      </c>
      <c r="U316" s="177">
        <v>43962</v>
      </c>
      <c r="V316" s="177">
        <v>43962</v>
      </c>
      <c r="W316" s="177">
        <v>43962</v>
      </c>
      <c r="X316" s="176">
        <v>18183</v>
      </c>
      <c r="Y316" s="177">
        <v>43986</v>
      </c>
      <c r="Z316" s="415">
        <v>3</v>
      </c>
      <c r="AA316" s="488"/>
      <c r="AB316" s="594"/>
      <c r="AC316" s="595"/>
      <c r="AD316" s="596"/>
      <c r="AE316" s="596"/>
      <c r="AF316" s="597" t="str">
        <f>IFERROR(INDEX(produtos_escape2!M:M,MATCH(Controle!H316,produtos_escape2!A:A,0)),"")</f>
        <v>DISPLAY DE PAREDE para exposição de uma folha tamanho A4 na posição horizontal</v>
      </c>
    </row>
    <row r="317" spans="1:32" ht="14.25" customHeight="1">
      <c r="A317" s="176" t="s">
        <v>7625</v>
      </c>
      <c r="B317" s="176" t="s">
        <v>3608</v>
      </c>
      <c r="C317" s="177">
        <v>43908</v>
      </c>
      <c r="D317" s="176" t="s">
        <v>7864</v>
      </c>
      <c r="E317" s="176" t="s">
        <v>1866</v>
      </c>
      <c r="F317" s="259" t="s">
        <v>7868</v>
      </c>
      <c r="G317" s="176">
        <v>1</v>
      </c>
      <c r="H317" s="178">
        <v>90555</v>
      </c>
      <c r="I317" s="592">
        <f t="shared" si="8"/>
        <v>4</v>
      </c>
      <c r="J317" s="178" t="s">
        <v>816</v>
      </c>
      <c r="K317" s="178" t="s">
        <v>816</v>
      </c>
      <c r="L317" s="275" t="str">
        <f>IF(H:H=0,"",IF(ISERROR(VLOOKUP(H:H,produtos_escape2!$A$2:$B$2794,2,FALSE)),"Código não cadastrado",(VLOOKUP(H:H,produtos_escape2!$A$2:$B$2794,2,FALSE))))</f>
        <v>CLORETO DE SODIO SOLUÇAO INJETAVEL 20 % (3,4 MEQ/ML) AMPOLA 10 ML</v>
      </c>
      <c r="M317" s="593" t="str">
        <f>IF(H:H=0,"",IF(ISERROR(VLOOKUP(H:H,produtos_escape2!$A$2:$D$2794,2,FALSE)),"Código não cadastrado",(VLOOKUP(H:H,produtos_escape2!$A$2:$D$2794,4,FALSE))))</f>
        <v>AMP</v>
      </c>
      <c r="N317" s="486">
        <v>800</v>
      </c>
      <c r="O317" s="176" t="s">
        <v>4109</v>
      </c>
      <c r="P317" s="486">
        <v>800</v>
      </c>
      <c r="Q317" s="247">
        <v>0.3</v>
      </c>
      <c r="R317" s="246">
        <f t="shared" si="9"/>
        <v>240</v>
      </c>
      <c r="S317" s="177">
        <v>43910</v>
      </c>
      <c r="T317" s="182">
        <v>78608</v>
      </c>
      <c r="U317" s="177">
        <v>43913</v>
      </c>
      <c r="V317" s="177">
        <v>43914</v>
      </c>
      <c r="W317" s="177">
        <v>43920</v>
      </c>
      <c r="X317" s="415">
        <v>90209</v>
      </c>
      <c r="Y317" s="177">
        <v>43934</v>
      </c>
      <c r="Z317" s="415">
        <v>2</v>
      </c>
      <c r="AA317" s="488"/>
      <c r="AB317" s="594"/>
      <c r="AC317" s="595"/>
      <c r="AD317" s="596"/>
      <c r="AE317" s="596"/>
      <c r="AF317" s="597" t="str">
        <f>IFERROR(INDEX(produtos_escape2!M:M,MATCH(Controle!H317,produtos_escape2!A:A,0)),"")</f>
        <v>CLORETO DE SODIO SOLUÇAO INJETAVEL 20 % (3</v>
      </c>
    </row>
    <row r="318" spans="1:32" ht="14.25" customHeight="1">
      <c r="A318" s="176" t="s">
        <v>7625</v>
      </c>
      <c r="B318" s="176" t="s">
        <v>3608</v>
      </c>
      <c r="C318" s="177">
        <v>43908</v>
      </c>
      <c r="D318" s="176" t="s">
        <v>7864</v>
      </c>
      <c r="E318" s="176" t="s">
        <v>1866</v>
      </c>
      <c r="F318" s="259" t="s">
        <v>7868</v>
      </c>
      <c r="G318" s="176">
        <v>2</v>
      </c>
      <c r="H318" s="178">
        <v>10275</v>
      </c>
      <c r="I318" s="592">
        <f t="shared" si="8"/>
        <v>5</v>
      </c>
      <c r="J318" s="178" t="s">
        <v>816</v>
      </c>
      <c r="K318" s="178" t="s">
        <v>816</v>
      </c>
      <c r="L318" s="275"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318" s="593" t="str">
        <f>IF(H:H=0,"",IF(ISERROR(VLOOKUP(H:H,produtos_escape2!$A$2:$D$2794,2,FALSE)),"Código não cadastrado",(VLOOKUP(H:H,produtos_escape2!$A$2:$D$2794,4,FALSE))))</f>
        <v>UN</v>
      </c>
      <c r="N318" s="486">
        <v>50</v>
      </c>
      <c r="O318" s="176" t="s">
        <v>7371</v>
      </c>
      <c r="P318" s="486">
        <v>40</v>
      </c>
      <c r="Q318" s="247">
        <v>12.63</v>
      </c>
      <c r="R318" s="246">
        <f t="shared" si="9"/>
        <v>505.20000000000005</v>
      </c>
      <c r="S318" s="177">
        <v>43910</v>
      </c>
      <c r="T318" s="182">
        <v>317725</v>
      </c>
      <c r="U318" s="177">
        <v>43910</v>
      </c>
      <c r="V318" s="177">
        <v>43913</v>
      </c>
      <c r="W318" s="177">
        <v>43914</v>
      </c>
      <c r="X318" s="415">
        <v>90201</v>
      </c>
      <c r="Y318" s="177">
        <v>43934</v>
      </c>
      <c r="Z318" s="415">
        <v>2</v>
      </c>
      <c r="AA318" s="488"/>
      <c r="AB318" s="594"/>
      <c r="AC318" s="595"/>
      <c r="AD318" s="596"/>
      <c r="AE318" s="596"/>
      <c r="AF318" s="597" t="str">
        <f>IFERROR(INDEX(produtos_escape2!M:M,MATCH(Controle!H318,produtos_escape2!A:A,0)),"")</f>
        <v>FLUCONAZOL SOLUCAO INJETAVEL 2 MG/ML BOLSA OU FRASCO 100 ML SISTEMA FECHADO DE INFUSAO</v>
      </c>
    </row>
    <row r="319" spans="1:32" ht="14.25" customHeight="1">
      <c r="A319" s="176" t="s">
        <v>7625</v>
      </c>
      <c r="B319" s="176" t="s">
        <v>3608</v>
      </c>
      <c r="C319" s="177">
        <v>43908</v>
      </c>
      <c r="D319" s="176" t="s">
        <v>7864</v>
      </c>
      <c r="E319" s="176" t="s">
        <v>1866</v>
      </c>
      <c r="F319" s="259" t="s">
        <v>7868</v>
      </c>
      <c r="G319" s="176">
        <v>3</v>
      </c>
      <c r="H319" s="178">
        <v>52018</v>
      </c>
      <c r="I319" s="592">
        <f t="shared" si="8"/>
        <v>2</v>
      </c>
      <c r="J319" s="178" t="s">
        <v>816</v>
      </c>
      <c r="K319" s="178" t="s">
        <v>816</v>
      </c>
      <c r="L319" s="275" t="str">
        <f>IF(H:H=0,"",IF(ISERROR(VLOOKUP(H:H,produtos_escape2!$A$2:$B$2794,2,FALSE)),"Código não cadastrado",(VLOOKUP(H:H,produtos_escape2!$A$2:$B$2794,2,FALSE))))</f>
        <v>ALFAEPOETINA SOLUÇAO INJETAVEL 4000 UI SERINGA PREENCHIDA OU FRASCO-AMPOLA OU AMPOLA</v>
      </c>
      <c r="M319" s="593" t="str">
        <f>IF(H:H=0,"",IF(ISERROR(VLOOKUP(H:H,produtos_escape2!$A$2:$D$2794,2,FALSE)),"Código não cadastrado",(VLOOKUP(H:H,produtos_escape2!$A$2:$D$2794,4,FALSE))))</f>
        <v>UN</v>
      </c>
      <c r="N319" s="486">
        <v>150</v>
      </c>
      <c r="O319" s="176" t="s">
        <v>7337</v>
      </c>
      <c r="P319" s="486">
        <v>150</v>
      </c>
      <c r="Q319" s="247">
        <v>19</v>
      </c>
      <c r="R319" s="246">
        <f t="shared" si="9"/>
        <v>2850</v>
      </c>
      <c r="S319" s="177">
        <v>43910</v>
      </c>
      <c r="T319" s="182">
        <v>10463</v>
      </c>
      <c r="U319" s="177">
        <v>43913</v>
      </c>
      <c r="V319" s="177">
        <v>43914</v>
      </c>
      <c r="W319" s="177">
        <v>43920</v>
      </c>
      <c r="X319" s="415">
        <v>90473</v>
      </c>
      <c r="Y319" s="177">
        <v>43935</v>
      </c>
      <c r="Z319" s="415">
        <v>2</v>
      </c>
      <c r="AA319" s="488"/>
      <c r="AB319" s="594"/>
      <c r="AC319" s="595"/>
      <c r="AD319" s="596"/>
      <c r="AE319" s="596"/>
      <c r="AF319" s="597" t="str">
        <f>IFERROR(INDEX(produtos_escape2!M:M,MATCH(Controle!H319,produtos_escape2!A:A,0)),"")</f>
        <v>ALFAEPOETINA SOLUÇAO INJETAVEL 4000 UI SERINGA PREENCHIDA OU FRASCO-AMPOLA OU AMPOLA</v>
      </c>
    </row>
    <row r="320" spans="1:32" ht="14.25" customHeight="1">
      <c r="A320" s="176" t="s">
        <v>7625</v>
      </c>
      <c r="B320" s="176" t="s">
        <v>3608</v>
      </c>
      <c r="C320" s="177">
        <v>43908</v>
      </c>
      <c r="D320" s="176" t="s">
        <v>7864</v>
      </c>
      <c r="E320" s="176" t="s">
        <v>1866</v>
      </c>
      <c r="F320" s="259" t="s">
        <v>7868</v>
      </c>
      <c r="G320" s="176">
        <v>4</v>
      </c>
      <c r="H320" s="178">
        <v>90171</v>
      </c>
      <c r="I320" s="592">
        <f t="shared" si="8"/>
        <v>1</v>
      </c>
      <c r="J320" s="178" t="s">
        <v>816</v>
      </c>
      <c r="K320" s="178" t="s">
        <v>816</v>
      </c>
      <c r="L320" s="275" t="str">
        <f>IF(H:H=0,"",IF(ISERROR(VLOOKUP(H:H,produtos_escape2!$A$2:$B$2794,2,FALSE)),"Código não cadastrado",(VLOOKUP(H:H,produtos_escape2!$A$2:$B$2794,2,FALSE))))</f>
        <v>AMBROXOL XAROPE 6 MG/ML FRASCO 100 A 120 ML COM DOSEADOR</v>
      </c>
      <c r="M320" s="593" t="str">
        <f>IF(H:H=0,"",IF(ISERROR(VLOOKUP(H:H,produtos_escape2!$A$2:$D$2794,2,FALSE)),"Código não cadastrado",(VLOOKUP(H:H,produtos_escape2!$A$2:$D$2794,4,FALSE))))</f>
        <v>FR</v>
      </c>
      <c r="N320" s="486">
        <v>200</v>
      </c>
      <c r="O320" s="176" t="s">
        <v>4109</v>
      </c>
      <c r="P320" s="486">
        <v>200</v>
      </c>
      <c r="Q320" s="247">
        <v>1.84</v>
      </c>
      <c r="R320" s="246">
        <f t="shared" si="9"/>
        <v>368</v>
      </c>
      <c r="S320" s="177">
        <v>43910</v>
      </c>
      <c r="T320" s="182">
        <v>78608</v>
      </c>
      <c r="U320" s="177">
        <v>43913</v>
      </c>
      <c r="V320" s="177">
        <v>43914</v>
      </c>
      <c r="W320" s="177">
        <v>43920</v>
      </c>
      <c r="X320" s="415">
        <v>90209</v>
      </c>
      <c r="Y320" s="177">
        <v>43934</v>
      </c>
      <c r="Z320" s="415">
        <v>2</v>
      </c>
      <c r="AA320" s="488"/>
      <c r="AB320" s="594"/>
      <c r="AC320" s="595"/>
      <c r="AD320" s="596"/>
      <c r="AE320" s="596"/>
      <c r="AF320" s="597" t="str">
        <f>IFERROR(INDEX(produtos_escape2!M:M,MATCH(Controle!H320,produtos_escape2!A:A,0)),"")</f>
        <v>AMBROXOL XAROPE 6 MG/ML FRASCO 100 A 120 ML COM DOSEADOR</v>
      </c>
    </row>
    <row r="321" spans="1:32" ht="14.25" customHeight="1">
      <c r="A321" s="176" t="s">
        <v>7381</v>
      </c>
      <c r="B321" s="176" t="s">
        <v>7207</v>
      </c>
      <c r="C321" s="177">
        <v>43909</v>
      </c>
      <c r="D321" s="176" t="s">
        <v>7869</v>
      </c>
      <c r="E321" s="176" t="s">
        <v>1866</v>
      </c>
      <c r="F321" s="259" t="s">
        <v>7870</v>
      </c>
      <c r="G321" s="176">
        <v>1</v>
      </c>
      <c r="H321" s="178">
        <v>63295</v>
      </c>
      <c r="I321" s="592">
        <f t="shared" si="8"/>
        <v>8</v>
      </c>
      <c r="J321" s="178" t="s">
        <v>816</v>
      </c>
      <c r="K321" s="178" t="s">
        <v>816</v>
      </c>
      <c r="L321" s="275"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321" s="593" t="str">
        <f>IF(H:H=0,"",IF(ISERROR(VLOOKUP(H:H,produtos_escape2!$A$2:$D$2794,2,FALSE)),"Código não cadastrado",(VLOOKUP(H:H,produtos_escape2!$A$2:$D$2794,4,FALSE))))</f>
        <v>UN</v>
      </c>
      <c r="N321" s="486">
        <v>40000</v>
      </c>
      <c r="O321" s="176" t="s">
        <v>3530</v>
      </c>
      <c r="P321" s="486">
        <v>13000</v>
      </c>
      <c r="Q321" s="247">
        <v>6.5000000000000002E-2</v>
      </c>
      <c r="R321" s="246">
        <f t="shared" si="9"/>
        <v>845</v>
      </c>
      <c r="S321" s="177">
        <v>43910</v>
      </c>
      <c r="T321" s="182">
        <v>902</v>
      </c>
      <c r="U321" s="177">
        <v>43913</v>
      </c>
      <c r="V321" s="177">
        <v>43915</v>
      </c>
      <c r="W321" s="177">
        <v>43916</v>
      </c>
      <c r="X321" s="415">
        <v>90422</v>
      </c>
      <c r="Y321" s="177">
        <v>43935</v>
      </c>
      <c r="Z321" s="415">
        <v>2</v>
      </c>
      <c r="AA321" s="488"/>
      <c r="AB321" s="594"/>
      <c r="AC321" s="595"/>
      <c r="AD321" s="596"/>
      <c r="AE321" s="596"/>
      <c r="AF321" s="597" t="str">
        <f>IFERROR(INDEX(produtos_escape2!M:M,MATCH(Controle!H321,produtos_escape2!A:A,0)),"")</f>
        <v>TOUCA HOSPITALAR</v>
      </c>
    </row>
    <row r="322" spans="1:32" ht="14.25" customHeight="1">
      <c r="A322" s="176" t="s">
        <v>7381</v>
      </c>
      <c r="B322" s="176" t="s">
        <v>7207</v>
      </c>
      <c r="C322" s="177">
        <v>43909</v>
      </c>
      <c r="D322" s="176" t="s">
        <v>7869</v>
      </c>
      <c r="E322" s="176" t="s">
        <v>1866</v>
      </c>
      <c r="F322" s="259" t="s">
        <v>7870</v>
      </c>
      <c r="G322" s="176">
        <v>1</v>
      </c>
      <c r="H322" s="178">
        <v>63295</v>
      </c>
      <c r="I322" s="592">
        <f t="shared" si="8"/>
        <v>8</v>
      </c>
      <c r="J322" s="178" t="s">
        <v>816</v>
      </c>
      <c r="K322" s="178" t="s">
        <v>816</v>
      </c>
      <c r="L322" s="275"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322" s="593" t="str">
        <f>IF(H:H=0,"",IF(ISERROR(VLOOKUP(H:H,produtos_escape2!$A$2:$D$2794,2,FALSE)),"Código não cadastrado",(VLOOKUP(H:H,produtos_escape2!$A$2:$D$2794,4,FALSE))))</f>
        <v>UN</v>
      </c>
      <c r="N322" s="486">
        <v>40000</v>
      </c>
      <c r="O322" s="176" t="s">
        <v>1868</v>
      </c>
      <c r="P322" s="486">
        <v>0</v>
      </c>
      <c r="Q322" s="247">
        <v>6.5000000000000002E-2</v>
      </c>
      <c r="R322" s="246">
        <f t="shared" si="9"/>
        <v>0</v>
      </c>
      <c r="S322" s="177">
        <v>43910</v>
      </c>
      <c r="T322" s="182"/>
      <c r="U322" s="177"/>
      <c r="V322" s="177"/>
      <c r="W322" s="177"/>
      <c r="X322" s="176"/>
      <c r="Y322" s="177"/>
      <c r="Z322" s="415">
        <v>2</v>
      </c>
      <c r="AA322" s="488" t="s">
        <v>8223</v>
      </c>
      <c r="AB322" s="594"/>
      <c r="AC322" s="595"/>
      <c r="AD322" s="596"/>
      <c r="AE322" s="596"/>
      <c r="AF322" s="597" t="str">
        <f>IFERROR(INDEX(produtos_escape2!M:M,MATCH(Controle!H322,produtos_escape2!A:A,0)),"")</f>
        <v>TOUCA HOSPITALAR</v>
      </c>
    </row>
    <row r="323" spans="1:32" ht="14.25" customHeight="1">
      <c r="A323" s="176" t="s">
        <v>7381</v>
      </c>
      <c r="B323" s="176" t="s">
        <v>7207</v>
      </c>
      <c r="C323" s="177">
        <v>43909</v>
      </c>
      <c r="D323" s="176" t="s">
        <v>7869</v>
      </c>
      <c r="E323" s="176" t="s">
        <v>1866</v>
      </c>
      <c r="F323" s="259" t="s">
        <v>7870</v>
      </c>
      <c r="G323" s="176">
        <v>2</v>
      </c>
      <c r="H323" s="178">
        <v>58285</v>
      </c>
      <c r="I323" s="592">
        <f t="shared" ref="I323:I386" si="10">COUNTIF($H$3:$H$3041,H323)</f>
        <v>2</v>
      </c>
      <c r="J323" s="178" t="s">
        <v>816</v>
      </c>
      <c r="K323" s="178" t="s">
        <v>816</v>
      </c>
      <c r="L323" s="275" t="str">
        <f>IF(H:H=0,"",IF(ISERROR(VLOOKUP(H:H,produtos_escape2!$A$2:$B$2794,2,FALSE)),"Código não cadastrado",(VLOOKUP(H:H,produtos_escape2!$A$2:$B$2794,2,FALSE))))</f>
        <v>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v>
      </c>
      <c r="M323" s="593" t="str">
        <f>IF(H:H=0,"",IF(ISERROR(VLOOKUP(H:H,produtos_escape2!$A$2:$D$2794,2,FALSE)),"Código não cadastrado",(VLOOKUP(H:H,produtos_escape2!$A$2:$D$2794,4,FALSE))))</f>
        <v>UN</v>
      </c>
      <c r="N323" s="486">
        <v>40000</v>
      </c>
      <c r="O323" s="176" t="s">
        <v>4109</v>
      </c>
      <c r="P323" s="486">
        <v>40000</v>
      </c>
      <c r="Q323" s="247">
        <v>0.24199999999999999</v>
      </c>
      <c r="R323" s="246">
        <f t="shared" ref="R323:R386" si="11">P323*Q323</f>
        <v>9680</v>
      </c>
      <c r="S323" s="177">
        <v>43910</v>
      </c>
      <c r="T323" s="182">
        <v>78607</v>
      </c>
      <c r="U323" s="177">
        <v>43913</v>
      </c>
      <c r="V323" s="177">
        <v>43914</v>
      </c>
      <c r="W323" s="177">
        <v>43916</v>
      </c>
      <c r="X323" s="415">
        <v>90648</v>
      </c>
      <c r="Y323" s="177">
        <v>43935</v>
      </c>
      <c r="Z323" s="415">
        <v>2</v>
      </c>
      <c r="AA323" s="488"/>
      <c r="AB323" s="594"/>
      <c r="AC323" s="595"/>
      <c r="AD323" s="596"/>
      <c r="AE323" s="596"/>
      <c r="AF323" s="597" t="str">
        <f>IFERROR(INDEX(produtos_escape2!M:M,MATCH(Controle!H323,produtos_escape2!A:A,0)),"")</f>
        <v>ELETRODO</v>
      </c>
    </row>
    <row r="324" spans="1:32" ht="14.25" customHeight="1">
      <c r="A324" s="176" t="s">
        <v>7705</v>
      </c>
      <c r="B324" s="176" t="s">
        <v>3608</v>
      </c>
      <c r="C324" s="177">
        <v>43910</v>
      </c>
      <c r="D324" s="176" t="s">
        <v>7872</v>
      </c>
      <c r="E324" s="176" t="s">
        <v>3009</v>
      </c>
      <c r="F324" s="259" t="s">
        <v>7875</v>
      </c>
      <c r="G324" s="176">
        <v>1</v>
      </c>
      <c r="H324" s="178">
        <v>6542</v>
      </c>
      <c r="I324" s="592">
        <f t="shared" si="10"/>
        <v>2</v>
      </c>
      <c r="J324" s="178" t="s">
        <v>816</v>
      </c>
      <c r="K324" s="178" t="s">
        <v>816</v>
      </c>
      <c r="L324" s="275" t="str">
        <f>IF(H:H=0,"",IF(ISERROR(VLOOKUP(H:H,produtos_escape2!$A$2:$B$2794,2,FALSE)),"Código não cadastrado",(VLOOKUP(H:H,produtos_escape2!$A$2:$B$2794,2,FALSE))))</f>
        <v>MÁSCARA DE PROTEÇÃO RESPIRATÓRIA PFF2  (Equivalente a N95, para uso Hospitalar, com registro na ANVISA). Aplicação:  indicada para proteção de vias aéreas  contra a presença de microorganismo aerodispersóides e bacilo da tuberculose; com eficiência  mínima de filtração de 94% de proteção,  de uso hospitalar. Composição: filtro mecânico em tecido não tecido, composto de fibras sintéticas sobrepostas aleatoriamente, fabricada em peça única com 6 (seis) camadas, filtros tratados eletrostaticamente, protegida externamente por feltro em TNT,  modelo de respirar sem manutenção, peça semi-facial em formato concha dobrável ou não. Características adicionais:  com clipe nasal para ajuste, que permita vedação adequada, com tiras ajustáveis, de fácil manuseio e colocação.</v>
      </c>
      <c r="M324" s="593" t="str">
        <f>IF(H:H=0,"",IF(ISERROR(VLOOKUP(H:H,produtos_escape2!$A$2:$D$2794,2,FALSE)),"Código não cadastrado",(VLOOKUP(H:H,produtos_escape2!$A$2:$D$2794,4,FALSE))))</f>
        <v>UN</v>
      </c>
      <c r="N324" s="486">
        <v>6000</v>
      </c>
      <c r="O324" s="176" t="s">
        <v>1868</v>
      </c>
      <c r="P324" s="486"/>
      <c r="Q324" s="247">
        <v>3.28</v>
      </c>
      <c r="R324" s="246">
        <f t="shared" si="11"/>
        <v>0</v>
      </c>
      <c r="S324" s="177">
        <v>43916</v>
      </c>
      <c r="T324" s="182"/>
      <c r="U324" s="177"/>
      <c r="V324" s="177"/>
      <c r="W324" s="177"/>
      <c r="X324" s="176"/>
      <c r="Y324" s="177"/>
      <c r="Z324" s="415">
        <v>2</v>
      </c>
      <c r="AA324" s="488" t="s">
        <v>8214</v>
      </c>
      <c r="AB324" s="594"/>
      <c r="AC324" s="595"/>
      <c r="AD324" s="596"/>
      <c r="AE324" s="596"/>
      <c r="AF324" s="597" t="str">
        <f>IFERROR(INDEX(produtos_escape2!M:M,MATCH(Controle!H324,produtos_escape2!A:A,0)),"")</f>
        <v>MÁSCARA DE PROTEÇÃO RESPIRATÓRIA PFF2</v>
      </c>
    </row>
    <row r="325" spans="1:32" ht="14.25" customHeight="1">
      <c r="A325" s="176" t="s">
        <v>7704</v>
      </c>
      <c r="B325" s="176" t="s">
        <v>3608</v>
      </c>
      <c r="C325" s="177">
        <v>43910</v>
      </c>
      <c r="D325" s="176" t="s">
        <v>7874</v>
      </c>
      <c r="E325" s="176" t="s">
        <v>3009</v>
      </c>
      <c r="F325" s="259" t="s">
        <v>7876</v>
      </c>
      <c r="G325" s="176">
        <v>1</v>
      </c>
      <c r="H325" s="178">
        <v>32429</v>
      </c>
      <c r="I325" s="592">
        <f t="shared" si="10"/>
        <v>1</v>
      </c>
      <c r="J325" s="178" t="s">
        <v>816</v>
      </c>
      <c r="K325" s="178" t="s">
        <v>816</v>
      </c>
      <c r="L325" s="275" t="str">
        <f>IF(H:H=0,"",IF(ISERROR(VLOOKUP(H:H,produtos_escape2!$A$2:$B$2794,2,FALSE)),"Código não cadastrado",(VLOOKUP(H:H,produtos_escape2!$A$2:$B$2794,2,FALSE))))</f>
        <v>ALCOOL GEL 70% FRASCO COM TAMPA ACOPLADA 85 a 100G. Aplicação: higienização das mãos. Características adicionais: com emolientes em sua formulação para evitar o ressecamento da pele. Não possuir composto de fósforo ou fosfato. Não deixar resíduos na pele ou fragrância persistentes após o uso. Possuir tampa de fácil abertura, acoplada ao frasco, com fechamento que não permita vazamento do produto durante todo o consumo.</v>
      </c>
      <c r="M325" s="593" t="str">
        <f>IF(H:H=0,"",IF(ISERROR(VLOOKUP(H:H,produtos_escape2!$A$2:$D$2794,2,FALSE)),"Código não cadastrado",(VLOOKUP(H:H,produtos_escape2!$A$2:$D$2794,4,FALSE))))</f>
        <v>FR</v>
      </c>
      <c r="N325" s="486">
        <v>1000</v>
      </c>
      <c r="O325" s="176" t="s">
        <v>7051</v>
      </c>
      <c r="P325" s="486">
        <v>1000</v>
      </c>
      <c r="Q325" s="247">
        <v>5.7</v>
      </c>
      <c r="R325" s="246">
        <f t="shared" si="11"/>
        <v>5700</v>
      </c>
      <c r="S325" s="177">
        <v>43916</v>
      </c>
      <c r="T325" s="182">
        <v>51</v>
      </c>
      <c r="U325" s="177">
        <v>43937</v>
      </c>
      <c r="V325" s="177">
        <v>43937</v>
      </c>
      <c r="W325" s="177">
        <v>43941</v>
      </c>
      <c r="X325" s="176">
        <v>3283</v>
      </c>
      <c r="Y325" s="177">
        <v>43950</v>
      </c>
      <c r="Z325" s="415">
        <v>2</v>
      </c>
      <c r="AA325" s="488"/>
      <c r="AB325" s="594"/>
      <c r="AC325" s="595"/>
      <c r="AD325" s="596"/>
      <c r="AE325" s="596"/>
      <c r="AF325" s="597" t="str">
        <f>IFERROR(INDEX(produtos_escape2!M:M,MATCH(Controle!H325,produtos_escape2!A:A,0)),"")</f>
        <v>ALCOOL GEL 70% FRASCO COM TAMPA ACOPLADA 85 a 100G</v>
      </c>
    </row>
    <row r="326" spans="1:32" ht="14.25" customHeight="1">
      <c r="A326" s="176" t="s">
        <v>7706</v>
      </c>
      <c r="B326" s="176" t="s">
        <v>3608</v>
      </c>
      <c r="C326" s="177">
        <v>43910</v>
      </c>
      <c r="D326" s="176" t="s">
        <v>7877</v>
      </c>
      <c r="E326" s="176" t="s">
        <v>3009</v>
      </c>
      <c r="F326" s="259" t="s">
        <v>7879</v>
      </c>
      <c r="G326" s="176">
        <v>1</v>
      </c>
      <c r="H326" s="178">
        <v>90260</v>
      </c>
      <c r="I326" s="592">
        <f t="shared" si="10"/>
        <v>4</v>
      </c>
      <c r="J326" s="178" t="s">
        <v>816</v>
      </c>
      <c r="K326" s="178" t="s">
        <v>816</v>
      </c>
      <c r="L326" s="275" t="str">
        <f>IF(H:H=0,"",IF(ISERROR(VLOOKUP(H:H,produtos_escape2!$A$2:$B$2794,2,FALSE)),"Código não cadastrado",(VLOOKUP(H:H,produtos_escape2!$A$2:$B$2794,2,FALSE))))</f>
        <v>DOBUTAMINA (CLORIDRATO) SOLUCAO INJETAVEL 12,5 MG/ML AMPOLA 20 ML</v>
      </c>
      <c r="M326" s="593" t="str">
        <f>IF(H:H=0,"",IF(ISERROR(VLOOKUP(H:H,produtos_escape2!$A$2:$D$2794,2,FALSE)),"Código não cadastrado",(VLOOKUP(H:H,produtos_escape2!$A$2:$D$2794,4,FALSE))))</f>
        <v>AMP</v>
      </c>
      <c r="N326" s="486">
        <v>300</v>
      </c>
      <c r="O326" s="176" t="s">
        <v>7896</v>
      </c>
      <c r="P326" s="486">
        <v>300</v>
      </c>
      <c r="Q326" s="247">
        <v>4.6399999999999997</v>
      </c>
      <c r="R326" s="246">
        <f t="shared" si="11"/>
        <v>1392</v>
      </c>
      <c r="S326" s="177">
        <v>43915</v>
      </c>
      <c r="T326" s="182">
        <v>39403</v>
      </c>
      <c r="U326" s="177">
        <v>43915</v>
      </c>
      <c r="V326" s="177">
        <v>43916</v>
      </c>
      <c r="W326" s="177">
        <v>43920</v>
      </c>
      <c r="X326" s="415">
        <v>90435</v>
      </c>
      <c r="Y326" s="177">
        <v>43935</v>
      </c>
      <c r="Z326" s="415">
        <v>2</v>
      </c>
      <c r="AA326" s="488"/>
      <c r="AB326" s="594"/>
      <c r="AC326" s="595"/>
      <c r="AD326" s="596"/>
      <c r="AE326" s="596"/>
      <c r="AF326" s="597" t="str">
        <f>IFERROR(INDEX(produtos_escape2!M:M,MATCH(Controle!H326,produtos_escape2!A:A,0)),"")</f>
        <v>DOBUTAMINA (CLORIDRATO) SOLUCAO INJETAVEL 12</v>
      </c>
    </row>
    <row r="327" spans="1:32" ht="14.25" customHeight="1">
      <c r="A327" s="176" t="s">
        <v>7706</v>
      </c>
      <c r="B327" s="176" t="s">
        <v>3608</v>
      </c>
      <c r="C327" s="177">
        <v>43910</v>
      </c>
      <c r="D327" s="176" t="s">
        <v>7877</v>
      </c>
      <c r="E327" s="176" t="s">
        <v>3009</v>
      </c>
      <c r="F327" s="259" t="s">
        <v>7879</v>
      </c>
      <c r="G327" s="176">
        <v>2</v>
      </c>
      <c r="H327" s="178">
        <v>90610</v>
      </c>
      <c r="I327" s="592">
        <f t="shared" si="10"/>
        <v>11</v>
      </c>
      <c r="J327" s="178" t="s">
        <v>816</v>
      </c>
      <c r="K327" s="178" t="s">
        <v>816</v>
      </c>
      <c r="L327" s="275" t="str">
        <f>IF(H:H=0,"",IF(ISERROR(VLOOKUP(H:H,produtos_escape2!$A$2:$B$2794,2,FALSE)),"Código não cadastrado",(VLOOKUP(H:H,produtos_escape2!$A$2:$B$2794,2,FALSE))))</f>
        <v>HEPARINA SODICA SOLUÇAO INJETAVEL 5000 UI/ML FRASCO AMPOLA 5 ML</v>
      </c>
      <c r="M327" s="593" t="str">
        <f>IF(H:H=0,"",IF(ISERROR(VLOOKUP(H:H,produtos_escape2!$A$2:$D$2794,2,FALSE)),"Código não cadastrado",(VLOOKUP(H:H,produtos_escape2!$A$2:$D$2794,4,FALSE))))</f>
        <v>FA</v>
      </c>
      <c r="N327" s="486">
        <v>400</v>
      </c>
      <c r="O327" s="176" t="s">
        <v>4401</v>
      </c>
      <c r="P327" s="486">
        <v>350</v>
      </c>
      <c r="Q327" s="247">
        <v>21.43</v>
      </c>
      <c r="R327" s="246">
        <f t="shared" si="11"/>
        <v>7500.5</v>
      </c>
      <c r="S327" s="177">
        <v>43915</v>
      </c>
      <c r="T327" s="182">
        <v>2575817</v>
      </c>
      <c r="U327" s="177">
        <v>43916</v>
      </c>
      <c r="V327" s="177">
        <v>43920</v>
      </c>
      <c r="W327" s="177">
        <v>43924</v>
      </c>
      <c r="X327" s="415">
        <v>90643</v>
      </c>
      <c r="Y327" s="177">
        <v>43935</v>
      </c>
      <c r="Z327" s="415">
        <v>2</v>
      </c>
      <c r="AA327" s="488"/>
      <c r="AB327" s="594"/>
      <c r="AC327" s="595"/>
      <c r="AD327" s="596"/>
      <c r="AE327" s="596"/>
      <c r="AF327" s="597" t="str">
        <f>IFERROR(INDEX(produtos_escape2!M:M,MATCH(Controle!H327,produtos_escape2!A:A,0)),"")</f>
        <v>HEPARINA SODICA SOLUÇAO INJETAVEL 5000 UI/ML FRASCO AMPOLA 5 ML</v>
      </c>
    </row>
    <row r="328" spans="1:32" ht="14.25" customHeight="1">
      <c r="A328" s="176" t="s">
        <v>7706</v>
      </c>
      <c r="B328" s="176" t="s">
        <v>3608</v>
      </c>
      <c r="C328" s="177">
        <v>43910</v>
      </c>
      <c r="D328" s="176" t="s">
        <v>7877</v>
      </c>
      <c r="E328" s="176" t="s">
        <v>3009</v>
      </c>
      <c r="F328" s="259" t="s">
        <v>7879</v>
      </c>
      <c r="G328" s="176">
        <v>3</v>
      </c>
      <c r="H328" s="178">
        <v>11087</v>
      </c>
      <c r="I328" s="592">
        <f t="shared" si="10"/>
        <v>3</v>
      </c>
      <c r="J328" s="178" t="s">
        <v>816</v>
      </c>
      <c r="K328" s="178" t="s">
        <v>816</v>
      </c>
      <c r="L328" s="275" t="str">
        <f>IF(H:H=0,"",IF(ISERROR(VLOOKUP(H:H,produtos_escape2!$A$2:$B$2794,2,FALSE)),"Código não cadastrado",(VLOOKUP(H:H,produtos_escape2!$A$2:$B$2794,2,FALSE))))</f>
        <v>IBUPROFENO COMPRIMIDO 600 MG</v>
      </c>
      <c r="M328" s="593" t="str">
        <f>IF(H:H=0,"",IF(ISERROR(VLOOKUP(H:H,produtos_escape2!$A$2:$D$2794,2,FALSE)),"Código não cadastrado",(VLOOKUP(H:H,produtos_escape2!$A$2:$D$2794,4,FALSE))))</f>
        <v>UN</v>
      </c>
      <c r="N328" s="486">
        <v>6000</v>
      </c>
      <c r="O328" s="176" t="s">
        <v>7896</v>
      </c>
      <c r="P328" s="486">
        <v>6000</v>
      </c>
      <c r="Q328" s="247">
        <v>0.26749999999999996</v>
      </c>
      <c r="R328" s="246">
        <f t="shared" si="11"/>
        <v>1604.9999999999998</v>
      </c>
      <c r="S328" s="177">
        <v>43916</v>
      </c>
      <c r="T328" s="182">
        <v>39488</v>
      </c>
      <c r="U328" s="177">
        <v>43917</v>
      </c>
      <c r="V328" s="177">
        <v>43920</v>
      </c>
      <c r="W328" s="177">
        <v>43924</v>
      </c>
      <c r="X328" s="415">
        <v>90448</v>
      </c>
      <c r="Y328" s="177">
        <v>43935</v>
      </c>
      <c r="Z328" s="415">
        <v>2</v>
      </c>
      <c r="AA328" s="488"/>
      <c r="AB328" s="594"/>
      <c r="AC328" s="595"/>
      <c r="AD328" s="596"/>
      <c r="AE328" s="596"/>
      <c r="AF328" s="597" t="str">
        <f>IFERROR(INDEX(produtos_escape2!M:M,MATCH(Controle!H328,produtos_escape2!A:A,0)),"")</f>
        <v>IBUPROFENO COMPRIMIDO 600 MG</v>
      </c>
    </row>
    <row r="329" spans="1:32" ht="13.5" customHeight="1">
      <c r="A329" s="176" t="s">
        <v>7382</v>
      </c>
      <c r="B329" s="176" t="s">
        <v>7207</v>
      </c>
      <c r="C329" s="177">
        <v>43910</v>
      </c>
      <c r="D329" s="176" t="s">
        <v>7878</v>
      </c>
      <c r="E329" s="176" t="s">
        <v>3009</v>
      </c>
      <c r="F329" s="259" t="s">
        <v>7880</v>
      </c>
      <c r="G329" s="176">
        <v>1</v>
      </c>
      <c r="H329" s="178">
        <v>31635</v>
      </c>
      <c r="I329" s="592">
        <f t="shared" si="10"/>
        <v>5</v>
      </c>
      <c r="J329" s="178" t="s">
        <v>816</v>
      </c>
      <c r="K329" s="178" t="s">
        <v>816</v>
      </c>
      <c r="L329" s="275" t="str">
        <f>IF(H:H=0,"",IF(ISERROR(VLOOKUP(H:H,produtos_escape2!$A$2:$B$2794,2,FALSE)),"Código não cadastrado",(VLOOKUP(H:H,produtos_escape2!$A$2:$B$2794,2,FALSE))))</f>
        <v>ETIQUETA AUTOADESIVA, Cor: Vermelho, Tamanho: 2cm x 1cm com os dizeres: ATENÇÃO! MEDICAMENTO DE ALTA VIGILÂNCIA.</v>
      </c>
      <c r="M329" s="593" t="str">
        <f>IF(H:H=0,"",IF(ISERROR(VLOOKUP(H:H,produtos_escape2!$A$2:$D$2794,2,FALSE)),"Código não cadastrado",(VLOOKUP(H:H,produtos_escape2!$A$2:$D$2794,4,FALSE))))</f>
        <v>UN</v>
      </c>
      <c r="N329" s="486">
        <v>15000</v>
      </c>
      <c r="O329" s="176" t="s">
        <v>4432</v>
      </c>
      <c r="P329" s="486">
        <v>15000</v>
      </c>
      <c r="Q329" s="247">
        <v>0.02</v>
      </c>
      <c r="R329" s="246">
        <f t="shared" si="11"/>
        <v>300</v>
      </c>
      <c r="S329" s="177">
        <v>43915</v>
      </c>
      <c r="T329" s="182">
        <v>8804</v>
      </c>
      <c r="U329" s="177">
        <v>43927</v>
      </c>
      <c r="V329" s="177">
        <v>43929</v>
      </c>
      <c r="W329" s="177">
        <v>43929</v>
      </c>
      <c r="X329" s="176">
        <v>97453</v>
      </c>
      <c r="Y329" s="177">
        <v>43950</v>
      </c>
      <c r="Z329" s="415">
        <v>2</v>
      </c>
      <c r="AA329" s="488"/>
      <c r="AB329" s="594"/>
      <c r="AC329" s="595"/>
      <c r="AD329" s="596"/>
      <c r="AE329" s="596"/>
      <c r="AF329" s="597" t="str">
        <f>IFERROR(INDEX(produtos_escape2!M:M,MATCH(Controle!H329,produtos_escape2!A:A,0)),"")</f>
        <v>ETIQUETA AUTOADESIVA</v>
      </c>
    </row>
    <row r="330" spans="1:32" ht="14.25" customHeight="1">
      <c r="A330" s="176" t="s">
        <v>7383</v>
      </c>
      <c r="B330" s="176" t="s">
        <v>7207</v>
      </c>
      <c r="C330" s="177">
        <v>43913</v>
      </c>
      <c r="D330" s="176" t="s">
        <v>7882</v>
      </c>
      <c r="E330" s="176" t="s">
        <v>1867</v>
      </c>
      <c r="F330" s="259" t="s">
        <v>7883</v>
      </c>
      <c r="G330" s="176">
        <v>3</v>
      </c>
      <c r="H330" s="178">
        <v>13490</v>
      </c>
      <c r="I330" s="592">
        <f t="shared" si="10"/>
        <v>1</v>
      </c>
      <c r="J330" s="178" t="s">
        <v>816</v>
      </c>
      <c r="K330" s="178" t="s">
        <v>816</v>
      </c>
      <c r="L330" s="275" t="str">
        <f>IF(H:H=0,"",IF(ISERROR(VLOOKUP(H:H,produtos_escape2!$A$2:$B$2794,2,FALSE)),"Código não cadastrado",(VLOOKUP(H:H,produtos_escape2!$A$2:$B$2794,2,FALSE))))</f>
        <v>AVENTAL DE PROTEÇÃO em PVC ou Trevira, impermeável, lavável, leve, forrado, com ilhoses, cadarço nas costas e alça no pescoço e de cor branca. Tamanhos: 1,20 x 0,70cm.</v>
      </c>
      <c r="M330" s="593" t="str">
        <f>IF(H:H=0,"",IF(ISERROR(VLOOKUP(H:H,produtos_escape2!$A$2:$D$2794,2,FALSE)),"Código não cadastrado",(VLOOKUP(H:H,produtos_escape2!$A$2:$D$2794,4,FALSE))))</f>
        <v>UN</v>
      </c>
      <c r="N330" s="486">
        <v>100</v>
      </c>
      <c r="O330" s="176" t="s">
        <v>5740</v>
      </c>
      <c r="P330" s="486">
        <v>100</v>
      </c>
      <c r="Q330" s="247">
        <v>6.83</v>
      </c>
      <c r="R330" s="246">
        <f t="shared" si="11"/>
        <v>683</v>
      </c>
      <c r="S330" s="177">
        <v>43916</v>
      </c>
      <c r="T330" s="182">
        <v>59838</v>
      </c>
      <c r="U330" s="177">
        <v>43916</v>
      </c>
      <c r="V330" s="177">
        <v>43920</v>
      </c>
      <c r="W330" s="177">
        <v>43921</v>
      </c>
      <c r="X330" s="415">
        <v>90256</v>
      </c>
      <c r="Y330" s="177">
        <v>43934</v>
      </c>
      <c r="Z330" s="415">
        <v>2</v>
      </c>
      <c r="AA330" s="488"/>
      <c r="AB330" s="594"/>
      <c r="AC330" s="595"/>
      <c r="AD330" s="596"/>
      <c r="AE330" s="596"/>
      <c r="AF330" s="597" t="str">
        <f>IFERROR(INDEX(produtos_escape2!M:M,MATCH(Controle!H330,produtos_escape2!A:A,0)),"")</f>
        <v>AVENTAL DE PROTEÇÃO</v>
      </c>
    </row>
    <row r="331" spans="1:32" ht="14.25" customHeight="1">
      <c r="A331" s="176" t="s">
        <v>7383</v>
      </c>
      <c r="B331" s="176" t="s">
        <v>7207</v>
      </c>
      <c r="C331" s="177">
        <v>43913</v>
      </c>
      <c r="D331" s="176" t="s">
        <v>7882</v>
      </c>
      <c r="E331" s="176" t="s">
        <v>1867</v>
      </c>
      <c r="F331" s="259" t="s">
        <v>7883</v>
      </c>
      <c r="G331" s="176">
        <v>2</v>
      </c>
      <c r="H331" s="178">
        <v>13540</v>
      </c>
      <c r="I331" s="592">
        <f t="shared" si="10"/>
        <v>1</v>
      </c>
      <c r="J331" s="178" t="s">
        <v>816</v>
      </c>
      <c r="K331" s="178" t="s">
        <v>816</v>
      </c>
      <c r="L331" s="275" t="str">
        <f>IF(H:H=0,"",IF(ISERROR(VLOOKUP(H:H,produtos_escape2!$A$2:$B$2794,2,FALSE)),"Código não cadastrado",(VLOOKUP(H:H,produtos_escape2!$A$2:$B$2794,2,FALSE))))</f>
        <v>PROTETOR FACIAL constituído de coroa e carneira de plástico, com regulagem de tamanho através de ajuste simples de catraca e visor de material de policarbonato flexível incolor, anti-embaçante, com cerca de 160 mm de altura e 170 mm de largura.</v>
      </c>
      <c r="M331" s="593" t="str">
        <f>IF(H:H=0,"",IF(ISERROR(VLOOKUP(H:H,produtos_escape2!$A$2:$D$2794,2,FALSE)),"Código não cadastrado",(VLOOKUP(H:H,produtos_escape2!$A$2:$D$2794,4,FALSE))))</f>
        <v>UN</v>
      </c>
      <c r="N331" s="486">
        <v>100</v>
      </c>
      <c r="O331" s="176" t="s">
        <v>1868</v>
      </c>
      <c r="P331" s="486"/>
      <c r="Q331" s="247"/>
      <c r="R331" s="246">
        <f t="shared" si="11"/>
        <v>0</v>
      </c>
      <c r="S331" s="177">
        <v>43916</v>
      </c>
      <c r="T331" s="182"/>
      <c r="U331" s="177"/>
      <c r="V331" s="177"/>
      <c r="W331" s="177"/>
      <c r="X331" s="182"/>
      <c r="Y331" s="177"/>
      <c r="Z331" s="415">
        <v>2</v>
      </c>
      <c r="AA331" s="488"/>
      <c r="AB331" s="594"/>
      <c r="AC331" s="595"/>
      <c r="AD331" s="596"/>
      <c r="AE331" s="596"/>
      <c r="AF331" s="597" t="str">
        <f>IFERROR(INDEX(produtos_escape2!M:M,MATCH(Controle!H331,produtos_escape2!A:A,0)),"")</f>
        <v>PROTETOR FACIAL</v>
      </c>
    </row>
    <row r="332" spans="1:32" ht="14.25" customHeight="1">
      <c r="A332" s="176" t="s">
        <v>7383</v>
      </c>
      <c r="B332" s="176" t="s">
        <v>7207</v>
      </c>
      <c r="C332" s="177">
        <v>43913</v>
      </c>
      <c r="D332" s="176" t="s">
        <v>7882</v>
      </c>
      <c r="E332" s="176" t="s">
        <v>1867</v>
      </c>
      <c r="F332" s="259" t="s">
        <v>7883</v>
      </c>
      <c r="G332" s="176">
        <v>1</v>
      </c>
      <c r="H332" s="178">
        <v>11888</v>
      </c>
      <c r="I332" s="592">
        <f t="shared" si="10"/>
        <v>2</v>
      </c>
      <c r="J332" s="178" t="s">
        <v>816</v>
      </c>
      <c r="K332" s="178" t="s">
        <v>816</v>
      </c>
      <c r="L332" s="275" t="str">
        <f>IF(H:H=0,"",IF(ISERROR(VLOOKUP(H:H,produtos_escape2!$A$2:$B$2794,2,FALSE)),"Código não cadastrado",(VLOOKUP(H:H,produtos_escape2!$A$2:$B$2794,2,FALSE))))</f>
        <v>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v>
      </c>
      <c r="M332" s="593" t="str">
        <f>IF(H:H=0,"",IF(ISERROR(VLOOKUP(H:H,produtos_escape2!$A$2:$D$2794,2,FALSE)),"Código não cadastrado",(VLOOKUP(H:H,produtos_escape2!$A$2:$D$2794,4,FALSE))))</f>
        <v>UN</v>
      </c>
      <c r="N332" s="486">
        <v>1000</v>
      </c>
      <c r="O332" s="176" t="s">
        <v>5740</v>
      </c>
      <c r="P332" s="486">
        <v>1000</v>
      </c>
      <c r="Q332" s="247">
        <v>4.3899999999999997</v>
      </c>
      <c r="R332" s="246">
        <f t="shared" si="11"/>
        <v>4390</v>
      </c>
      <c r="S332" s="177">
        <v>43916</v>
      </c>
      <c r="T332" s="182">
        <v>59893</v>
      </c>
      <c r="U332" s="177">
        <v>43921</v>
      </c>
      <c r="V332" s="177">
        <v>43922</v>
      </c>
      <c r="W332" s="177">
        <v>43922</v>
      </c>
      <c r="X332" s="415">
        <v>90632</v>
      </c>
      <c r="Y332" s="177">
        <v>43935</v>
      </c>
      <c r="Z332" s="415">
        <v>2</v>
      </c>
      <c r="AA332" s="488"/>
      <c r="AB332" s="594"/>
      <c r="AC332" s="595"/>
      <c r="AD332" s="596"/>
      <c r="AE332" s="596"/>
      <c r="AF332" s="597" t="str">
        <f>IFERROR(INDEX(produtos_escape2!M:M,MATCH(Controle!H332,produtos_escape2!A:A,0)),"")</f>
        <v>ÓCULOS DE SEGURANÇA</v>
      </c>
    </row>
    <row r="333" spans="1:32" ht="14.25" customHeight="1">
      <c r="A333" s="176" t="s">
        <v>7384</v>
      </c>
      <c r="B333" s="176" t="s">
        <v>7207</v>
      </c>
      <c r="C333" s="177">
        <v>43914</v>
      </c>
      <c r="D333" s="176" t="s">
        <v>7884</v>
      </c>
      <c r="E333" s="176" t="s">
        <v>1866</v>
      </c>
      <c r="F333" s="259" t="s">
        <v>7889</v>
      </c>
      <c r="G333" s="176">
        <v>1</v>
      </c>
      <c r="H333" s="178">
        <v>562</v>
      </c>
      <c r="I333" s="592">
        <f t="shared" si="10"/>
        <v>3</v>
      </c>
      <c r="J333" s="178" t="s">
        <v>816</v>
      </c>
      <c r="K333" s="178" t="s">
        <v>816</v>
      </c>
      <c r="L333" s="275" t="str">
        <f>IF(H:H=0,"",IF(ISERROR(VLOOKUP(H:H,produtos_escape2!$A$2:$B$2794,2,FALSE)),"Código não cadastrado",(VLOOKUP(H:H,produtos_escape2!$A$2:$B$2794,2,FALSE))))</f>
        <v>DETERGENTE,Composição: ph neutro,glicerinado, Aspecto Físico: líquido, Aplicação: para pia, Características  Adicionais: Altamente Concentrado Biodegradável,ausência de    eletrolitos espessantes,Unidade De Fornecimento: frasco com 500 ml</v>
      </c>
      <c r="M333" s="593" t="str">
        <f>IF(H:H=0,"",IF(ISERROR(VLOOKUP(H:H,produtos_escape2!$A$2:$D$2794,2,FALSE)),"Código não cadastrado",(VLOOKUP(H:H,produtos_escape2!$A$2:$D$2794,4,FALSE))))</f>
        <v>FR</v>
      </c>
      <c r="N333" s="486">
        <v>800</v>
      </c>
      <c r="O333" s="176" t="s">
        <v>7914</v>
      </c>
      <c r="P333" s="486">
        <v>600</v>
      </c>
      <c r="Q333" s="247">
        <v>1.31</v>
      </c>
      <c r="R333" s="246">
        <f t="shared" si="11"/>
        <v>786</v>
      </c>
      <c r="S333" s="177">
        <v>43916</v>
      </c>
      <c r="T333" s="182">
        <v>577</v>
      </c>
      <c r="U333" s="177">
        <v>43920</v>
      </c>
      <c r="V333" s="177">
        <v>43923</v>
      </c>
      <c r="W333" s="177">
        <v>43924</v>
      </c>
      <c r="X333" s="415">
        <v>3280</v>
      </c>
      <c r="Y333" s="177">
        <v>43934</v>
      </c>
      <c r="Z333" s="415">
        <v>2</v>
      </c>
      <c r="AA333" s="488"/>
      <c r="AB333" s="594"/>
      <c r="AC333" s="595"/>
      <c r="AD333" s="596"/>
      <c r="AE333" s="596"/>
      <c r="AF333" s="597" t="str">
        <f>IFERROR(INDEX(produtos_escape2!M:M,MATCH(Controle!H333,produtos_escape2!A:A,0)),"")</f>
        <v>DETERGENTE</v>
      </c>
    </row>
    <row r="334" spans="1:32" ht="14.25" customHeight="1">
      <c r="A334" s="176" t="s">
        <v>7384</v>
      </c>
      <c r="B334" s="176" t="s">
        <v>7207</v>
      </c>
      <c r="C334" s="177">
        <v>43914</v>
      </c>
      <c r="D334" s="176" t="s">
        <v>7884</v>
      </c>
      <c r="E334" s="176" t="s">
        <v>1866</v>
      </c>
      <c r="F334" s="259" t="s">
        <v>7889</v>
      </c>
      <c r="G334" s="176">
        <v>6</v>
      </c>
      <c r="H334" s="178">
        <v>568</v>
      </c>
      <c r="I334" s="592">
        <f t="shared" si="10"/>
        <v>1</v>
      </c>
      <c r="J334" s="178" t="s">
        <v>816</v>
      </c>
      <c r="K334" s="178" t="s">
        <v>816</v>
      </c>
      <c r="L334" s="275" t="str">
        <f>IF(H:H=0,"",IF(ISERROR(VLOOKUP(H:H,produtos_escape2!$A$2:$B$2794,2,FALSE)),"Código não cadastrado",(VLOOKUP(H:H,produtos_escape2!$A$2:$B$2794,2,FALSE))))</f>
        <v>LÃ DE AÇO-ESPONJA,Material: lã de aço, Peso: 60 g, Unidade De Fornecimento: pacote com 8 unidades.</v>
      </c>
      <c r="M334" s="593" t="str">
        <f>IF(H:H=0,"",IF(ISERROR(VLOOKUP(H:H,produtos_escape2!$A$2:$D$2794,2,FALSE)),"Código não cadastrado",(VLOOKUP(H:H,produtos_escape2!$A$2:$D$2794,4,FALSE))))</f>
        <v>UN</v>
      </c>
      <c r="N334" s="486">
        <v>700</v>
      </c>
      <c r="O334" s="176" t="s">
        <v>7915</v>
      </c>
      <c r="P334" s="486">
        <v>700</v>
      </c>
      <c r="Q334" s="247">
        <v>0.99</v>
      </c>
      <c r="R334" s="246">
        <f t="shared" si="11"/>
        <v>693</v>
      </c>
      <c r="S334" s="177">
        <v>43916</v>
      </c>
      <c r="T334" s="182">
        <v>387</v>
      </c>
      <c r="U334" s="177">
        <v>43920</v>
      </c>
      <c r="V334" s="177">
        <v>43921</v>
      </c>
      <c r="W334" s="177">
        <v>43924</v>
      </c>
      <c r="X334" s="415">
        <v>90635</v>
      </c>
      <c r="Y334" s="177">
        <v>43935</v>
      </c>
      <c r="Z334" s="415">
        <v>2</v>
      </c>
      <c r="AA334" s="488"/>
      <c r="AB334" s="594"/>
      <c r="AC334" s="595"/>
      <c r="AD334" s="596"/>
      <c r="AE334" s="596"/>
      <c r="AF334" s="597" t="str">
        <f>IFERROR(INDEX(produtos_escape2!M:M,MATCH(Controle!H334,produtos_escape2!A:A,0)),"")</f>
        <v>LÃ DE AÇO-ESPONJA</v>
      </c>
    </row>
    <row r="335" spans="1:32" ht="14.25" customHeight="1">
      <c r="A335" s="176" t="s">
        <v>7384</v>
      </c>
      <c r="B335" s="176" t="s">
        <v>7207</v>
      </c>
      <c r="C335" s="177">
        <v>43914</v>
      </c>
      <c r="D335" s="176" t="s">
        <v>7884</v>
      </c>
      <c r="E335" s="176" t="s">
        <v>1866</v>
      </c>
      <c r="F335" s="259" t="s">
        <v>7889</v>
      </c>
      <c r="G335" s="176">
        <v>3</v>
      </c>
      <c r="H335" s="178">
        <v>3527</v>
      </c>
      <c r="I335" s="592">
        <f t="shared" si="10"/>
        <v>1</v>
      </c>
      <c r="J335" s="178" t="s">
        <v>816</v>
      </c>
      <c r="K335" s="178" t="s">
        <v>816</v>
      </c>
      <c r="L335" s="275" t="str">
        <f>IF(H:H=0,"",IF(ISERROR(VLOOKUP(H:H,produtos_escape2!$A$2:$B$2794,2,FALSE)),"Código não cadastrado",(VLOOKUP(H:H,produtos_escape2!$A$2:$B$2794,2,FALSE))))</f>
        <v>ABSORVENTE HIGIÊNICO HOSPITALAR, Material: algodão macio, com filme plástico forrado de não tecido, Tamanho : mínimo 30 x 10 cm, Características Adicionais: contendo pétalas macias Características Adicionais: contendo pétalas macias e ventiladas.</v>
      </c>
      <c r="M335" s="593" t="str">
        <f>IF(H:H=0,"",IF(ISERROR(VLOOKUP(H:H,produtos_escape2!$A$2:$D$2794,2,FALSE)),"Código não cadastrado",(VLOOKUP(H:H,produtos_escape2!$A$2:$D$2794,4,FALSE))))</f>
        <v>UN</v>
      </c>
      <c r="N335" s="486">
        <v>10000</v>
      </c>
      <c r="O335" s="176" t="s">
        <v>3407</v>
      </c>
      <c r="P335" s="486">
        <v>5000</v>
      </c>
      <c r="Q335" s="247">
        <v>0.36</v>
      </c>
      <c r="R335" s="246">
        <f t="shared" si="11"/>
        <v>1800</v>
      </c>
      <c r="S335" s="177">
        <v>43916</v>
      </c>
      <c r="T335" s="182">
        <v>864</v>
      </c>
      <c r="U335" s="177">
        <v>43949</v>
      </c>
      <c r="V335" s="177">
        <v>43950</v>
      </c>
      <c r="W335" s="177">
        <v>43950</v>
      </c>
      <c r="X335" s="176">
        <v>18154</v>
      </c>
      <c r="Y335" s="177">
        <v>43986</v>
      </c>
      <c r="Z335" s="415">
        <v>3</v>
      </c>
      <c r="AA335" s="488"/>
      <c r="AB335" s="594"/>
      <c r="AC335" s="595"/>
      <c r="AD335" s="596"/>
      <c r="AE335" s="596"/>
      <c r="AF335" s="597" t="str">
        <f>IFERROR(INDEX(produtos_escape2!M:M,MATCH(Controle!H335,produtos_escape2!A:A,0)),"")</f>
        <v>ABSORVENTE HIGIÊNICO HOSPITALAR</v>
      </c>
    </row>
    <row r="336" spans="1:32" ht="14.25" customHeight="1">
      <c r="A336" s="176" t="s">
        <v>7384</v>
      </c>
      <c r="B336" s="176" t="s">
        <v>7207</v>
      </c>
      <c r="C336" s="177">
        <v>43914</v>
      </c>
      <c r="D336" s="176" t="s">
        <v>7884</v>
      </c>
      <c r="E336" s="176" t="s">
        <v>1866</v>
      </c>
      <c r="F336" s="259" t="s">
        <v>7889</v>
      </c>
      <c r="G336" s="176">
        <v>4</v>
      </c>
      <c r="H336" s="178">
        <v>49242</v>
      </c>
      <c r="I336" s="592">
        <f t="shared" si="10"/>
        <v>2</v>
      </c>
      <c r="J336" s="178" t="s">
        <v>816</v>
      </c>
      <c r="K336" s="178" t="s">
        <v>816</v>
      </c>
      <c r="L336" s="275" t="str">
        <f>IF(H:H=0,"",IF(ISERROR(VLOOKUP(H:H,produtos_escape2!$A$2:$B$2794,2,FALSE)),"Código não cadastrado",(VLOOKUP(H:H,produtos_escape2!$A$2:$B$2794,2,FALSE))))</f>
        <v>SABONETE, Aspecto Físico: sólido, Material: neutro, Tipo Uso: infantil, Unidade De Fornecimento: barra de 80 gramas.</v>
      </c>
      <c r="M336" s="593" t="str">
        <f>IF(H:H=0,"",IF(ISERROR(VLOOKUP(H:H,produtos_escape2!$A$2:$D$2794,2,FALSE)),"Código não cadastrado",(VLOOKUP(H:H,produtos_escape2!$A$2:$D$2794,4,FALSE))))</f>
        <v>UN</v>
      </c>
      <c r="N336" s="486">
        <v>800</v>
      </c>
      <c r="O336" s="176" t="s">
        <v>4149</v>
      </c>
      <c r="P336" s="486">
        <v>500</v>
      </c>
      <c r="Q336" s="247">
        <v>2.16</v>
      </c>
      <c r="R336" s="246">
        <f t="shared" si="11"/>
        <v>1080</v>
      </c>
      <c r="S336" s="351">
        <v>43916</v>
      </c>
      <c r="T336" s="206">
        <v>1833</v>
      </c>
      <c r="U336" s="351">
        <v>43935</v>
      </c>
      <c r="V336" s="351">
        <v>43935</v>
      </c>
      <c r="W336" s="351">
        <v>43936</v>
      </c>
      <c r="X336" s="176">
        <v>97471</v>
      </c>
      <c r="Y336" s="177">
        <v>43950</v>
      </c>
      <c r="Z336" s="415">
        <v>2</v>
      </c>
      <c r="AA336" s="488"/>
      <c r="AB336" s="594"/>
      <c r="AC336" s="595"/>
      <c r="AD336" s="596"/>
      <c r="AE336" s="596"/>
      <c r="AF336" s="597" t="str">
        <f>IFERROR(INDEX(produtos_escape2!M:M,MATCH(Controle!H336,produtos_escape2!A:A,0)),"")</f>
        <v>SABONETE</v>
      </c>
    </row>
    <row r="337" spans="1:32" ht="14.25" customHeight="1">
      <c r="A337" s="176" t="s">
        <v>7384</v>
      </c>
      <c r="B337" s="176" t="s">
        <v>7207</v>
      </c>
      <c r="C337" s="177">
        <v>43914</v>
      </c>
      <c r="D337" s="176" t="s">
        <v>7884</v>
      </c>
      <c r="E337" s="176" t="s">
        <v>1866</v>
      </c>
      <c r="F337" s="259" t="s">
        <v>7889</v>
      </c>
      <c r="G337" s="176">
        <v>5</v>
      </c>
      <c r="H337" s="178">
        <v>10343</v>
      </c>
      <c r="I337" s="592">
        <f t="shared" si="10"/>
        <v>3</v>
      </c>
      <c r="J337" s="178" t="s">
        <v>816</v>
      </c>
      <c r="K337" s="178" t="s">
        <v>816</v>
      </c>
      <c r="L337" s="275" t="str">
        <f>IF(H:H=0,"",IF(ISERROR(VLOOKUP(H:H,produtos_escape2!$A$2:$B$2794,2,FALSE)),"Código não cadastrado",(VLOOKUP(H:H,produtos_escape2!$A$2:$B$2794,2,FALSE))))</f>
        <v>PILHA, Tipo Carga: alcalina, Tamanho: pequeno AA2, Aplicação: uso geral, Unidade De Fornecimento: pacote com 2 unidades</v>
      </c>
      <c r="M337" s="593" t="str">
        <f>IF(H:H=0,"",IF(ISERROR(VLOOKUP(H:H,produtos_escape2!$A$2:$D$2794,2,FALSE)),"Código não cadastrado",(VLOOKUP(H:H,produtos_escape2!$A$2:$D$2794,4,FALSE))))</f>
        <v>PC</v>
      </c>
      <c r="N337" s="486">
        <v>500</v>
      </c>
      <c r="O337" s="176" t="s">
        <v>3407</v>
      </c>
      <c r="P337" s="486">
        <v>500</v>
      </c>
      <c r="Q337" s="247">
        <v>2.85</v>
      </c>
      <c r="R337" s="246">
        <f t="shared" si="11"/>
        <v>1425</v>
      </c>
      <c r="S337" s="177">
        <v>43916</v>
      </c>
      <c r="T337" s="182">
        <v>854</v>
      </c>
      <c r="U337" s="177">
        <v>43938</v>
      </c>
      <c r="V337" s="177">
        <v>43938</v>
      </c>
      <c r="W337" s="177">
        <v>43941</v>
      </c>
      <c r="X337" s="176">
        <v>97472</v>
      </c>
      <c r="Y337" s="177">
        <v>43950</v>
      </c>
      <c r="Z337" s="415">
        <v>2</v>
      </c>
      <c r="AA337" s="488"/>
      <c r="AB337" s="594"/>
      <c r="AC337" s="595"/>
      <c r="AD337" s="596"/>
      <c r="AE337" s="596"/>
      <c r="AF337" s="597" t="str">
        <f>IFERROR(INDEX(produtos_escape2!M:M,MATCH(Controle!H337,produtos_escape2!A:A,0)),"")</f>
        <v>PILHA</v>
      </c>
    </row>
    <row r="338" spans="1:32" ht="14.25" customHeight="1">
      <c r="A338" s="176" t="s">
        <v>7384</v>
      </c>
      <c r="B338" s="176" t="s">
        <v>7207</v>
      </c>
      <c r="C338" s="177">
        <v>43914</v>
      </c>
      <c r="D338" s="176" t="s">
        <v>7884</v>
      </c>
      <c r="E338" s="176" t="s">
        <v>1866</v>
      </c>
      <c r="F338" s="259" t="s">
        <v>7889</v>
      </c>
      <c r="G338" s="176">
        <v>2</v>
      </c>
      <c r="H338" s="178">
        <v>5221</v>
      </c>
      <c r="I338" s="592">
        <f t="shared" si="10"/>
        <v>4</v>
      </c>
      <c r="J338" s="178" t="s">
        <v>816</v>
      </c>
      <c r="K338" s="178" t="s">
        <v>816</v>
      </c>
      <c r="L338" s="275"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338" s="593" t="str">
        <f>IF(H:H=0,"",IF(ISERROR(VLOOKUP(H:H,produtos_escape2!$A$2:$D$2794,2,FALSE)),"Código não cadastrado",(VLOOKUP(H:H,produtos_escape2!$A$2:$D$2794,4,FALSE))))</f>
        <v>KG</v>
      </c>
      <c r="N338" s="486">
        <v>400</v>
      </c>
      <c r="O338" s="176" t="s">
        <v>7915</v>
      </c>
      <c r="P338" s="486">
        <v>300</v>
      </c>
      <c r="Q338" s="247">
        <v>13.8</v>
      </c>
      <c r="R338" s="246">
        <f t="shared" si="11"/>
        <v>4140</v>
      </c>
      <c r="S338" s="177">
        <v>43916</v>
      </c>
      <c r="T338" s="182">
        <v>387</v>
      </c>
      <c r="U338" s="177">
        <v>43920</v>
      </c>
      <c r="V338" s="177">
        <v>43921</v>
      </c>
      <c r="W338" s="177">
        <v>43924</v>
      </c>
      <c r="X338" s="415">
        <v>90635</v>
      </c>
      <c r="Y338" s="177">
        <v>43935</v>
      </c>
      <c r="Z338" s="415">
        <v>2</v>
      </c>
      <c r="AA338" s="488"/>
      <c r="AB338" s="594"/>
      <c r="AC338" s="595"/>
      <c r="AD338" s="596"/>
      <c r="AE338" s="596"/>
      <c r="AF338" s="597" t="str">
        <f>IFERROR(INDEX(produtos_escape2!M:M,MATCH(Controle!H338,produtos_escape2!A:A,0)),"")</f>
        <v>SACO PLÁSTICO</v>
      </c>
    </row>
    <row r="339" spans="1:32" ht="14.25" customHeight="1">
      <c r="A339" s="176" t="s">
        <v>7708</v>
      </c>
      <c r="B339" s="176" t="s">
        <v>3608</v>
      </c>
      <c r="C339" s="177">
        <v>43914</v>
      </c>
      <c r="D339" s="176" t="s">
        <v>7885</v>
      </c>
      <c r="E339" s="176" t="s">
        <v>3009</v>
      </c>
      <c r="F339" s="259" t="s">
        <v>7890</v>
      </c>
      <c r="G339" s="176">
        <v>1</v>
      </c>
      <c r="H339" s="178">
        <v>90550</v>
      </c>
      <c r="I339" s="592">
        <f t="shared" si="10"/>
        <v>9</v>
      </c>
      <c r="J339" s="178" t="s">
        <v>816</v>
      </c>
      <c r="K339" s="178" t="s">
        <v>816</v>
      </c>
      <c r="L339" s="275" t="str">
        <f>IF(H:H=0,"",IF(ISERROR(VLOOKUP(H:H,produtos_escape2!$A$2:$B$2794,2,FALSE)),"Código não cadastrado",(VLOOKUP(H:H,produtos_escape2!$A$2:$B$2794,2,FALSE))))</f>
        <v xml:space="preserve">BICARBONATO DE SODIO SOLUCAO INJETAVEL 8,4 % (1 MEQ/ML) AMPOLA 10 ML  </v>
      </c>
      <c r="M339" s="593" t="str">
        <f>IF(H:H=0,"",IF(ISERROR(VLOOKUP(H:H,produtos_escape2!$A$2:$D$2794,2,FALSE)),"Código não cadastrado",(VLOOKUP(H:H,produtos_escape2!$A$2:$D$2794,4,FALSE))))</f>
        <v>AMP</v>
      </c>
      <c r="N339" s="486">
        <v>600</v>
      </c>
      <c r="O339" s="176" t="s">
        <v>7337</v>
      </c>
      <c r="P339" s="486">
        <v>600</v>
      </c>
      <c r="Q339" s="247">
        <v>0.62</v>
      </c>
      <c r="R339" s="246">
        <f t="shared" si="11"/>
        <v>372</v>
      </c>
      <c r="S339" s="177">
        <v>43916</v>
      </c>
      <c r="T339" s="182">
        <v>10517</v>
      </c>
      <c r="U339" s="177">
        <v>43917</v>
      </c>
      <c r="V339" s="177">
        <v>43920</v>
      </c>
      <c r="W339" s="177">
        <v>43924</v>
      </c>
      <c r="X339" s="415">
        <v>90196</v>
      </c>
      <c r="Y339" s="177">
        <v>43934</v>
      </c>
      <c r="Z339" s="415">
        <v>2</v>
      </c>
      <c r="AA339" s="488"/>
      <c r="AB339" s="594"/>
      <c r="AC339" s="595"/>
      <c r="AD339" s="596"/>
      <c r="AE339" s="596"/>
      <c r="AF339" s="597" t="str">
        <f>IFERROR(INDEX(produtos_escape2!M:M,MATCH(Controle!H339,produtos_escape2!A:A,0)),"")</f>
        <v>BICARBONATO DE SODIO</v>
      </c>
    </row>
    <row r="340" spans="1:32" ht="14.25" customHeight="1">
      <c r="A340" s="176" t="s">
        <v>7719</v>
      </c>
      <c r="B340" s="176" t="s">
        <v>3608</v>
      </c>
      <c r="C340" s="177">
        <v>43914</v>
      </c>
      <c r="D340" s="176" t="s">
        <v>7886</v>
      </c>
      <c r="E340" s="176" t="s">
        <v>1867</v>
      </c>
      <c r="F340" s="259" t="s">
        <v>7891</v>
      </c>
      <c r="G340" s="176">
        <v>1</v>
      </c>
      <c r="H340" s="178">
        <v>90845</v>
      </c>
      <c r="I340" s="592">
        <f t="shared" si="10"/>
        <v>4</v>
      </c>
      <c r="J340" s="178" t="s">
        <v>816</v>
      </c>
      <c r="K340" s="178" t="s">
        <v>816</v>
      </c>
      <c r="L340" s="275" t="str">
        <f>IF(H:H=0,"",IF(ISERROR(VLOOKUP(H:H,produtos_escape2!$A$2:$B$2794,2,FALSE)),"Código não cadastrado",(VLOOKUP(H:H,produtos_escape2!$A$2:$B$2794,2,FALSE))))</f>
        <v>TROPICAMIDA SOLUCAO OFTALMICA 10 MG/ML FRASCO 5 ML</v>
      </c>
      <c r="M340" s="593" t="str">
        <f>IF(H:H=0,"",IF(ISERROR(VLOOKUP(H:H,produtos_escape2!$A$2:$D$2794,2,FALSE)),"Código não cadastrado",(VLOOKUP(H:H,produtos_escape2!$A$2:$D$2794,4,FALSE))))</f>
        <v>FR</v>
      </c>
      <c r="N340" s="486">
        <v>20</v>
      </c>
      <c r="O340" s="176" t="s">
        <v>4401</v>
      </c>
      <c r="P340" s="486">
        <v>20</v>
      </c>
      <c r="Q340" s="247">
        <v>12.27</v>
      </c>
      <c r="R340" s="246">
        <f t="shared" si="11"/>
        <v>245.39999999999998</v>
      </c>
      <c r="S340" s="177">
        <v>43917</v>
      </c>
      <c r="T340" s="182">
        <v>2577384</v>
      </c>
      <c r="U340" s="177">
        <v>43917</v>
      </c>
      <c r="V340" s="177">
        <v>43921</v>
      </c>
      <c r="W340" s="177">
        <v>43924</v>
      </c>
      <c r="X340" s="415">
        <v>90152</v>
      </c>
      <c r="Y340" s="177">
        <v>43934</v>
      </c>
      <c r="Z340" s="415">
        <v>2</v>
      </c>
      <c r="AA340" s="488"/>
      <c r="AB340" s="594"/>
      <c r="AC340" s="595"/>
      <c r="AD340" s="596"/>
      <c r="AE340" s="596"/>
      <c r="AF340" s="597" t="str">
        <f>IFERROR(INDEX(produtos_escape2!M:M,MATCH(Controle!H340,produtos_escape2!A:A,0)),"")</f>
        <v>TROPICAMIDA SOLUCAO OFTALMICA 10 MG/ML FRASCO 5 ML</v>
      </c>
    </row>
    <row r="341" spans="1:32" ht="14.25" customHeight="1">
      <c r="A341" s="176" t="s">
        <v>7718</v>
      </c>
      <c r="B341" s="176" t="s">
        <v>3608</v>
      </c>
      <c r="C341" s="177">
        <v>43914</v>
      </c>
      <c r="D341" s="176" t="s">
        <v>7887</v>
      </c>
      <c r="E341" s="176" t="s">
        <v>1865</v>
      </c>
      <c r="F341" s="259" t="s">
        <v>7892</v>
      </c>
      <c r="G341" s="176">
        <v>1</v>
      </c>
      <c r="H341" s="178">
        <v>203437</v>
      </c>
      <c r="I341" s="592">
        <f t="shared" si="10"/>
        <v>4</v>
      </c>
      <c r="J341" s="178" t="s">
        <v>816</v>
      </c>
      <c r="K341" s="178" t="s">
        <v>816</v>
      </c>
      <c r="L341" s="275" t="str">
        <f>IF(H:H=0,"",IF(ISERROR(VLOOKUP(H:H,produtos_escape2!$A$2:$B$2794,2,FALSE)),"Código não cadastrado",(VLOOKUP(H:H,produtos_escape2!$A$2:$B$2794,2,FALSE))))</f>
        <v>CARVÃO ATIVADO PÓ FRASCO OU ENVELOPE 25 G.</v>
      </c>
      <c r="M341" s="593" t="str">
        <f>IF(H:H=0,"",IF(ISERROR(VLOOKUP(H:H,produtos_escape2!$A$2:$D$2794,2,FALSE)),"Código não cadastrado",(VLOOKUP(H:H,produtos_escape2!$A$2:$D$2794,4,FALSE))))</f>
        <v>UN</v>
      </c>
      <c r="N341" s="486">
        <v>15</v>
      </c>
      <c r="O341" s="176" t="s">
        <v>7364</v>
      </c>
      <c r="P341" s="486">
        <v>15</v>
      </c>
      <c r="Q341" s="247">
        <v>10</v>
      </c>
      <c r="R341" s="246">
        <f t="shared" si="11"/>
        <v>150</v>
      </c>
      <c r="S341" s="177">
        <v>43920</v>
      </c>
      <c r="T341" s="182">
        <v>28388</v>
      </c>
      <c r="U341" s="177">
        <v>43922</v>
      </c>
      <c r="V341" s="177">
        <v>43966</v>
      </c>
      <c r="W341" s="177">
        <v>43971</v>
      </c>
      <c r="X341" s="176">
        <v>17908</v>
      </c>
      <c r="Y341" s="177">
        <v>43986</v>
      </c>
      <c r="Z341" s="415">
        <v>3</v>
      </c>
      <c r="AA341" s="488"/>
      <c r="AB341" s="594"/>
      <c r="AC341" s="595"/>
      <c r="AD341" s="596"/>
      <c r="AE341" s="596"/>
      <c r="AF341" s="597" t="str">
        <f>IFERROR(INDEX(produtos_escape2!M:M,MATCH(Controle!H341,produtos_escape2!A:A,0)),"")</f>
        <v>CARVÃO ATIVADO PÓ FRASCO OU ENVELOPE 25 G</v>
      </c>
    </row>
    <row r="342" spans="1:32" ht="14.25" customHeight="1">
      <c r="A342" s="176" t="s">
        <v>7717</v>
      </c>
      <c r="B342" s="176" t="s">
        <v>3608</v>
      </c>
      <c r="C342" s="177">
        <v>43914</v>
      </c>
      <c r="D342" s="176" t="s">
        <v>7888</v>
      </c>
      <c r="E342" s="176" t="s">
        <v>1866</v>
      </c>
      <c r="F342" s="259" t="s">
        <v>7893</v>
      </c>
      <c r="G342" s="176">
        <v>1</v>
      </c>
      <c r="H342" s="178">
        <v>10277</v>
      </c>
      <c r="I342" s="592">
        <f t="shared" si="10"/>
        <v>2</v>
      </c>
      <c r="J342" s="178" t="s">
        <v>816</v>
      </c>
      <c r="K342" s="178" t="s">
        <v>816</v>
      </c>
      <c r="L342" s="275" t="str">
        <f>IF(H:H=0,"",IF(ISERROR(VLOOKUP(H:H,produtos_escape2!$A$2:$B$2794,2,FALSE)),"Código não cadastrado",(VLOOKUP(H:H,produtos_escape2!$A$2:$B$2794,2,FALSE))))</f>
        <v>LEVOFLOXACINO SOLUÇAO INJETAVEL 500 MG/100 ML BOLSA OU FRASCO 100 ML SISTEMA FECHADO DE INFUSAO. Características Adicionais: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342" s="593" t="str">
        <f>IF(H:H=0,"",IF(ISERROR(VLOOKUP(H:H,produtos_escape2!$A$2:$D$2794,2,FALSE)),"Código não cadastrado",(VLOOKUP(H:H,produtos_escape2!$A$2:$D$2794,4,FALSE))))</f>
        <v>UN</v>
      </c>
      <c r="N342" s="486">
        <v>300</v>
      </c>
      <c r="O342" s="176" t="s">
        <v>7371</v>
      </c>
      <c r="P342" s="486">
        <v>300</v>
      </c>
      <c r="Q342" s="247">
        <v>14.58</v>
      </c>
      <c r="R342" s="246">
        <f t="shared" si="11"/>
        <v>4374</v>
      </c>
      <c r="S342" s="177">
        <v>43916</v>
      </c>
      <c r="T342" s="182">
        <v>319467</v>
      </c>
      <c r="U342" s="177">
        <v>43916</v>
      </c>
      <c r="V342" s="177">
        <v>43916</v>
      </c>
      <c r="W342" s="177">
        <v>43920</v>
      </c>
      <c r="X342" s="415">
        <v>90631</v>
      </c>
      <c r="Y342" s="177">
        <v>43935</v>
      </c>
      <c r="Z342" s="415">
        <v>2</v>
      </c>
      <c r="AA342" s="488"/>
      <c r="AB342" s="594"/>
      <c r="AC342" s="595"/>
      <c r="AD342" s="596"/>
      <c r="AE342" s="596"/>
      <c r="AF342" s="597" t="str">
        <f>IFERROR(INDEX(produtos_escape2!M:M,MATCH(Controle!H342,produtos_escape2!A:A,0)),"")</f>
        <v>LEVOFLOXACINO</v>
      </c>
    </row>
    <row r="343" spans="1:32" ht="14.25" customHeight="1">
      <c r="A343" s="176" t="s">
        <v>7300</v>
      </c>
      <c r="B343" s="176" t="s">
        <v>1687</v>
      </c>
      <c r="C343" s="177">
        <v>43915</v>
      </c>
      <c r="D343" s="176" t="s">
        <v>7898</v>
      </c>
      <c r="E343" s="176" t="s">
        <v>3008</v>
      </c>
      <c r="F343" s="259" t="s">
        <v>7897</v>
      </c>
      <c r="G343" s="176">
        <v>1</v>
      </c>
      <c r="H343" s="178" t="s">
        <v>7899</v>
      </c>
      <c r="I343" s="592">
        <f t="shared" si="10"/>
        <v>1</v>
      </c>
      <c r="J343" s="178"/>
      <c r="K343" s="178"/>
      <c r="L343" s="275" t="str">
        <f>IF(H:H=0,"",IF(ISERROR(VLOOKUP(H:H,produtos_escape2!$A$2:$B$2794,2,FALSE)),"Código não cadastrado",(VLOOKUP(H:H,produtos_escape2!$A$2:$B$2794,2,FALSE))))</f>
        <v>Cama Hospitalar, Marca ENTERPRISE 5000, Nº Patrimônio 1018020.</v>
      </c>
      <c r="M343" s="593" t="str">
        <f>IF(H:H=0,"",IF(ISERROR(VLOOKUP(H:H,produtos_escape2!$A$2:$D$2794,2,FALSE)),"Código não cadastrado",(VLOOKUP(H:H,produtos_escape2!$A$2:$D$2794,4,FALSE))))</f>
        <v>Serviço</v>
      </c>
      <c r="N343" s="486">
        <v>1</v>
      </c>
      <c r="O343" s="176" t="s">
        <v>8118</v>
      </c>
      <c r="P343" s="486">
        <v>1</v>
      </c>
      <c r="Q343" s="247">
        <v>4994.4399999999996</v>
      </c>
      <c r="R343" s="246">
        <f t="shared" si="11"/>
        <v>4994.4399999999996</v>
      </c>
      <c r="S343" s="177">
        <v>43935</v>
      </c>
      <c r="T343" s="182">
        <v>319</v>
      </c>
      <c r="U343" s="177">
        <v>43944</v>
      </c>
      <c r="V343" s="177">
        <v>43950</v>
      </c>
      <c r="W343" s="177">
        <v>43950</v>
      </c>
      <c r="X343" s="176">
        <v>3285</v>
      </c>
      <c r="Y343" s="177">
        <v>43983</v>
      </c>
      <c r="Z343" s="415">
        <v>3</v>
      </c>
      <c r="AA343" s="488"/>
      <c r="AB343" s="594"/>
      <c r="AC343" s="595"/>
      <c r="AD343" s="596"/>
      <c r="AE343" s="596"/>
      <c r="AF343" s="597">
        <f>IFERROR(INDEX(produtos_escape2!M:M,MATCH(Controle!H343,produtos_escape2!A:A,0)),"")</f>
        <v>0</v>
      </c>
    </row>
    <row r="344" spans="1:32" ht="14.25" customHeight="1">
      <c r="A344" s="176" t="s">
        <v>7732</v>
      </c>
      <c r="B344" s="176" t="s">
        <v>3608</v>
      </c>
      <c r="C344" s="177">
        <v>43915</v>
      </c>
      <c r="D344" s="176" t="s">
        <v>7904</v>
      </c>
      <c r="E344" s="176" t="s">
        <v>1867</v>
      </c>
      <c r="F344" s="259" t="s">
        <v>7903</v>
      </c>
      <c r="G344" s="176">
        <v>1</v>
      </c>
      <c r="H344" s="178">
        <v>25945</v>
      </c>
      <c r="I344" s="592">
        <f t="shared" si="10"/>
        <v>2</v>
      </c>
      <c r="J344" s="178" t="s">
        <v>816</v>
      </c>
      <c r="K344" s="178" t="s">
        <v>816</v>
      </c>
      <c r="L344" s="275" t="str">
        <f>IF(H:H=0,"",IF(ISERROR(VLOOKUP(H:H,produtos_escape2!$A$2:$B$2794,2,FALSE)),"Código não cadastrado",(VLOOKUP(H:H,produtos_escape2!$A$2:$B$2794,2,FALSE))))</f>
        <v>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v>
      </c>
      <c r="M344" s="593" t="str">
        <f>IF(H:H=0,"",IF(ISERROR(VLOOKUP(H:H,produtos_escape2!$A$2:$D$2794,2,FALSE)),"Código não cadastrado",(VLOOKUP(H:H,produtos_escape2!$A$2:$D$2794,4,FALSE))))</f>
        <v>UN</v>
      </c>
      <c r="N344" s="486">
        <v>4</v>
      </c>
      <c r="O344" s="176" t="s">
        <v>7984</v>
      </c>
      <c r="P344" s="486">
        <v>4</v>
      </c>
      <c r="Q344" s="247">
        <v>580</v>
      </c>
      <c r="R344" s="246">
        <f t="shared" si="11"/>
        <v>2320</v>
      </c>
      <c r="S344" s="177">
        <v>43923</v>
      </c>
      <c r="T344" s="182">
        <v>151437</v>
      </c>
      <c r="U344" s="177">
        <v>43924</v>
      </c>
      <c r="V344" s="177">
        <v>43924</v>
      </c>
      <c r="W344" s="177">
        <v>43928</v>
      </c>
      <c r="X344" s="176">
        <v>97476</v>
      </c>
      <c r="Y344" s="177">
        <v>43950</v>
      </c>
      <c r="Z344" s="415">
        <v>2</v>
      </c>
      <c r="AA344" s="488"/>
      <c r="AB344" s="594"/>
      <c r="AC344" s="595"/>
      <c r="AD344" s="596"/>
      <c r="AE344" s="596"/>
      <c r="AF344" s="597" t="str">
        <f>IFERROR(INDEX(produtos_escape2!M:M,MATCH(Controle!H344,produtos_escape2!A:A,0)),"")</f>
        <v>GRAMPEADOR LINEAR</v>
      </c>
    </row>
    <row r="345" spans="1:32" ht="14.25" customHeight="1">
      <c r="A345" s="176" t="s">
        <v>7730</v>
      </c>
      <c r="B345" s="176" t="s">
        <v>3608</v>
      </c>
      <c r="C345" s="177">
        <v>43915</v>
      </c>
      <c r="D345" s="176" t="s">
        <v>7906</v>
      </c>
      <c r="E345" s="176" t="s">
        <v>1866</v>
      </c>
      <c r="F345" s="259" t="s">
        <v>7905</v>
      </c>
      <c r="G345" s="176">
        <v>1</v>
      </c>
      <c r="H345" s="178">
        <v>12286</v>
      </c>
      <c r="I345" s="592">
        <f t="shared" si="10"/>
        <v>5</v>
      </c>
      <c r="J345" s="178" t="s">
        <v>816</v>
      </c>
      <c r="K345" s="178" t="s">
        <v>816</v>
      </c>
      <c r="L345" s="275"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345" s="593" t="str">
        <f>IF(H:H=0,"",IF(ISERROR(VLOOKUP(H:H,produtos_escape2!$A$2:$D$2794,2,FALSE)),"Código não cadastrado",(VLOOKUP(H:H,produtos_escape2!$A$2:$D$2794,4,FALSE))))</f>
        <v>UN</v>
      </c>
      <c r="N345" s="486">
        <v>100</v>
      </c>
      <c r="O345" s="176" t="s">
        <v>1868</v>
      </c>
      <c r="P345" s="486"/>
      <c r="Q345" s="247">
        <v>54</v>
      </c>
      <c r="R345" s="246">
        <f t="shared" si="11"/>
        <v>0</v>
      </c>
      <c r="S345" s="177">
        <v>43923</v>
      </c>
      <c r="T345" s="182"/>
      <c r="U345" s="177"/>
      <c r="V345" s="177"/>
      <c r="W345" s="177"/>
      <c r="X345" s="182"/>
      <c r="Y345" s="177"/>
      <c r="Z345" s="415">
        <v>2</v>
      </c>
      <c r="AA345" s="488" t="s">
        <v>7987</v>
      </c>
      <c r="AB345" s="594"/>
      <c r="AC345" s="595"/>
      <c r="AD345" s="596"/>
      <c r="AE345" s="596"/>
      <c r="AF345" s="597" t="str">
        <f>IFERROR(INDEX(produtos_escape2!M:M,MATCH(Controle!H345,produtos_escape2!A:A,0)),"")</f>
        <v>SISTEMA FECHADO DE ASPIRAÇÃO TRAQUEAL VIA TUBO OROTRAQUEAL ADULTO 14 FR</v>
      </c>
    </row>
    <row r="346" spans="1:32" ht="14.25" customHeight="1">
      <c r="A346" s="176" t="s">
        <v>7731</v>
      </c>
      <c r="B346" s="176" t="s">
        <v>3608</v>
      </c>
      <c r="C346" s="177">
        <v>43915</v>
      </c>
      <c r="D346" s="176" t="s">
        <v>7907</v>
      </c>
      <c r="E346" s="176" t="s">
        <v>3009</v>
      </c>
      <c r="F346" s="259" t="s">
        <v>7908</v>
      </c>
      <c r="G346" s="176">
        <v>1</v>
      </c>
      <c r="H346" s="178">
        <v>12289</v>
      </c>
      <c r="I346" s="592">
        <f t="shared" si="10"/>
        <v>6</v>
      </c>
      <c r="J346" s="178" t="s">
        <v>816</v>
      </c>
      <c r="K346" s="178" t="s">
        <v>816</v>
      </c>
      <c r="L346" s="275" t="str">
        <f>IF(H:H=0,"",IF(ISERROR(VLOOKUP(H:H,produtos_escape2!$A$2:$B$2794,2,FALSE)),"Código não cadastrado",(VLOOKUP(H:H,produtos_escape2!$A$2:$B$2794,2,FALSE))))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346" s="593" t="str">
        <f>IF(H:H=0,"",IF(ISERROR(VLOOKUP(H:H,produtos_escape2!$A$2:$D$2794,2,FALSE)),"Código não cadastrado",(VLOOKUP(H:H,produtos_escape2!$A$2:$D$2794,4,FALSE))))</f>
        <v>UN</v>
      </c>
      <c r="N346" s="486">
        <v>100</v>
      </c>
      <c r="O346" s="176" t="s">
        <v>1868</v>
      </c>
      <c r="P346" s="486"/>
      <c r="Q346" s="247"/>
      <c r="R346" s="246">
        <f t="shared" si="11"/>
        <v>0</v>
      </c>
      <c r="S346" s="177">
        <v>43965</v>
      </c>
      <c r="T346" s="182"/>
      <c r="U346" s="177"/>
      <c r="V346" s="177"/>
      <c r="W346" s="177"/>
      <c r="X346" s="182"/>
      <c r="Y346" s="177"/>
      <c r="Z346" s="415">
        <v>2</v>
      </c>
      <c r="AA346" s="488" t="s">
        <v>7474</v>
      </c>
      <c r="AB346" s="594"/>
      <c r="AC346" s="595"/>
      <c r="AD346" s="596"/>
      <c r="AE346" s="596"/>
      <c r="AF346" s="597" t="str">
        <f>IFERROR(INDEX(produtos_escape2!M:M,MATCH(Controle!H346,produtos_escape2!A:A,0)),"")</f>
        <v>SISTEMA FECHADO DE ASPIRAÇÃO TRAQUEAL VIA CÂNULA DE TRAQUEOSTOMIA ADULTO 16 FR</v>
      </c>
    </row>
    <row r="347" spans="1:32" ht="14.25" customHeight="1">
      <c r="A347" s="176" t="s">
        <v>7733</v>
      </c>
      <c r="B347" s="176" t="s">
        <v>3608</v>
      </c>
      <c r="C347" s="177">
        <v>43915</v>
      </c>
      <c r="D347" s="176" t="s">
        <v>7909</v>
      </c>
      <c r="E347" s="176" t="s">
        <v>1867</v>
      </c>
      <c r="F347" s="259" t="s">
        <v>7910</v>
      </c>
      <c r="G347" s="176">
        <v>1</v>
      </c>
      <c r="H347" s="178">
        <v>25056</v>
      </c>
      <c r="I347" s="592">
        <f t="shared" si="10"/>
        <v>1</v>
      </c>
      <c r="J347" s="178" t="s">
        <v>816</v>
      </c>
      <c r="K347" s="178" t="s">
        <v>816</v>
      </c>
      <c r="L347" s="275" t="str">
        <f>IF(H:H=0,"",IF(ISERROR(VLOOKUP(H:H,produtos_escape2!$A$2:$B$2794,2,FALSE)),"Código não cadastrado",(VLOOKUP(H:H,produtos_escape2!$A$2:$B$2794,2,FALSE))))</f>
        <v>MÁSCARA DE VENTURI ADULTO ESTÉRIL. Aplicação: Oxigenoterapia.  Material: Másacara: Vinil transparente. Tubo: PVC flexível. Conectores: Misturados. Características Adicionais: A máscara confeccionada em material macio e flexível, com rigidez adequada, resistente, transparente, que permita limpeza por métodos usuais de desifecção e esterilização, com elástico resistente para adequar ao diâmetrodacabeça. Com conexões adequadas que se adaptam à máscara e ao sistema de nebulização, anatômica, e com acabamento perfeitopar evitar lesões, sem rebarbas com extensão transparente para umidificador de oxigênio, com conexão padrão universal. Acompanhada de seis diluidores codificados em seis cores diferentes concentração de oxigênio 24%, 28%,31%,35%, 40%, e 50%. Apresentação: embalagem individual. Unidade de Estoque: unidade (UN). Código SES: 25056. BR368204</v>
      </c>
      <c r="M347" s="593" t="str">
        <f>IF(H:H=0,"",IF(ISERROR(VLOOKUP(H:H,produtos_escape2!$A$2:$D$2794,2,FALSE)),"Código não cadastrado",(VLOOKUP(H:H,produtos_escape2!$A$2:$D$2794,4,FALSE))))</f>
        <v>UN</v>
      </c>
      <c r="N347" s="486">
        <v>150</v>
      </c>
      <c r="O347" s="176" t="s">
        <v>3663</v>
      </c>
      <c r="P347" s="486">
        <v>150</v>
      </c>
      <c r="Q347" s="247">
        <v>9.7334999999999994</v>
      </c>
      <c r="R347" s="246">
        <f t="shared" si="11"/>
        <v>1460.0249999999999</v>
      </c>
      <c r="S347" s="177">
        <v>43923</v>
      </c>
      <c r="T347" s="182">
        <v>1203571</v>
      </c>
      <c r="U347" s="177">
        <v>43923</v>
      </c>
      <c r="V347" s="177">
        <v>43929</v>
      </c>
      <c r="W347" s="177">
        <v>43929</v>
      </c>
      <c r="X347" s="415">
        <v>90447</v>
      </c>
      <c r="Y347" s="177">
        <v>43935</v>
      </c>
      <c r="Z347" s="415">
        <v>2</v>
      </c>
      <c r="AA347" s="488"/>
      <c r="AB347" s="594"/>
      <c r="AC347" s="595"/>
      <c r="AD347" s="596"/>
      <c r="AE347" s="596"/>
      <c r="AF347" s="597" t="str">
        <f>IFERROR(INDEX(produtos_escape2!M:M,MATCH(Controle!H347,produtos_escape2!A:A,0)),"")</f>
        <v>MÁSCARA DE VENTURI ADULTO ESTÉRIL</v>
      </c>
    </row>
    <row r="348" spans="1:32" ht="14.25" customHeight="1">
      <c r="A348" s="176" t="s">
        <v>7793</v>
      </c>
      <c r="B348" s="176" t="s">
        <v>3608</v>
      </c>
      <c r="C348" s="177">
        <v>43920</v>
      </c>
      <c r="D348" s="176" t="s">
        <v>7928</v>
      </c>
      <c r="E348" s="176" t="s">
        <v>1865</v>
      </c>
      <c r="F348" s="259" t="s">
        <v>7941</v>
      </c>
      <c r="G348" s="176">
        <v>1</v>
      </c>
      <c r="H348" s="178">
        <v>90343</v>
      </c>
      <c r="I348" s="592">
        <f t="shared" si="10"/>
        <v>3</v>
      </c>
      <c r="J348" s="178" t="s">
        <v>816</v>
      </c>
      <c r="K348" s="178" t="s">
        <v>816</v>
      </c>
      <c r="L348" s="275" t="str">
        <f>IF(H:H=0,"",IF(ISERROR(VLOOKUP(H:H,produtos_escape2!$A$2:$B$2794,2,FALSE)),"Código não cadastrado",(VLOOKUP(H:H,produtos_escape2!$A$2:$B$2794,2,FALSE))))</f>
        <v>CIPROFLOXACINO POMADA OFTALMICA 0,3 % BISNAGA 3,5 G</v>
      </c>
      <c r="M348" s="593" t="str">
        <f>IF(H:H=0,"",IF(ISERROR(VLOOKUP(H:H,produtos_escape2!$A$2:$D$2794,2,FALSE)),"Código não cadastrado",(VLOOKUP(H:H,produtos_escape2!$A$2:$D$2794,4,FALSE))))</f>
        <v>BS</v>
      </c>
      <c r="N348" s="486">
        <v>10</v>
      </c>
      <c r="O348" s="176" t="s">
        <v>4401</v>
      </c>
      <c r="P348" s="486">
        <v>10</v>
      </c>
      <c r="Q348" s="247">
        <v>14.5</v>
      </c>
      <c r="R348" s="246">
        <f t="shared" si="11"/>
        <v>145</v>
      </c>
      <c r="S348" s="177">
        <v>43922</v>
      </c>
      <c r="T348" s="182">
        <v>2584048</v>
      </c>
      <c r="U348" s="177">
        <v>43924</v>
      </c>
      <c r="V348" s="177">
        <v>43928</v>
      </c>
      <c r="W348" s="177">
        <v>43936</v>
      </c>
      <c r="X348" s="176">
        <v>97491</v>
      </c>
      <c r="Y348" s="177">
        <v>43950</v>
      </c>
      <c r="Z348" s="415">
        <v>2</v>
      </c>
      <c r="AA348" s="488"/>
      <c r="AB348" s="594"/>
      <c r="AC348" s="595"/>
      <c r="AD348" s="596"/>
      <c r="AE348" s="596"/>
      <c r="AF348" s="597" t="str">
        <f>IFERROR(INDEX(produtos_escape2!M:M,MATCH(Controle!H348,produtos_escape2!A:A,0)),"")</f>
        <v>CIPROFLOXACINO POMADA OFTALMICA 0</v>
      </c>
    </row>
    <row r="349" spans="1:32" ht="14.25" customHeight="1">
      <c r="A349" s="176" t="s">
        <v>7385</v>
      </c>
      <c r="B349" s="176" t="s">
        <v>7207</v>
      </c>
      <c r="C349" s="177">
        <v>43920</v>
      </c>
      <c r="D349" s="176" t="s">
        <v>7937</v>
      </c>
      <c r="E349" s="176" t="s">
        <v>1866</v>
      </c>
      <c r="F349" s="259" t="s">
        <v>7942</v>
      </c>
      <c r="G349" s="176">
        <v>1</v>
      </c>
      <c r="H349" s="178">
        <v>35753</v>
      </c>
      <c r="I349" s="592">
        <f t="shared" si="10"/>
        <v>3</v>
      </c>
      <c r="J349" s="178" t="s">
        <v>816</v>
      </c>
      <c r="K349" s="178" t="s">
        <v>816</v>
      </c>
      <c r="L349" s="275" t="str">
        <f>IF(H:H=0,"",IF(ISERROR(VLOOKUP(H:H,produtos_escape2!$A$2:$B$2794,2,FALSE)),"Código não cadastrado",(VLOOKUP(H:H,produtos_escape2!$A$2:$B$2794,2,FALSE))))</f>
        <v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v>
      </c>
      <c r="M349" s="593" t="str">
        <f>IF(H:H=0,"",IF(ISERROR(VLOOKUP(H:H,produtos_escape2!$A$2:$D$2794,2,FALSE)),"Código não cadastrado",(VLOOKUP(H:H,produtos_escape2!$A$2:$D$2794,4,FALSE))))</f>
        <v>UN</v>
      </c>
      <c r="N349" s="486">
        <v>13</v>
      </c>
      <c r="O349" s="176" t="s">
        <v>4433</v>
      </c>
      <c r="P349" s="486">
        <v>13</v>
      </c>
      <c r="Q349" s="247">
        <v>389.9</v>
      </c>
      <c r="R349" s="246">
        <f t="shared" si="11"/>
        <v>5068.7</v>
      </c>
      <c r="S349" s="177">
        <v>43924</v>
      </c>
      <c r="T349" s="182">
        <v>425</v>
      </c>
      <c r="U349" s="177">
        <v>43927</v>
      </c>
      <c r="V349" s="177">
        <v>43927</v>
      </c>
      <c r="W349" s="177">
        <v>43927</v>
      </c>
      <c r="X349" s="176">
        <v>97703</v>
      </c>
      <c r="Y349" s="177">
        <v>43950</v>
      </c>
      <c r="Z349" s="415">
        <v>2</v>
      </c>
      <c r="AA349" s="488"/>
      <c r="AB349" s="594"/>
      <c r="AC349" s="595"/>
      <c r="AD349" s="596"/>
      <c r="AE349" s="596"/>
      <c r="AF349" s="597" t="str">
        <f>IFERROR(INDEX(produtos_escape2!M:M,MATCH(Controle!H349,produtos_escape2!A:A,0)),"")</f>
        <v>TERMOMETRO AURICULAR</v>
      </c>
    </row>
    <row r="350" spans="1:32" ht="14.25" customHeight="1">
      <c r="A350" s="176" t="s">
        <v>7794</v>
      </c>
      <c r="B350" s="176" t="s">
        <v>3608</v>
      </c>
      <c r="C350" s="177">
        <v>43920</v>
      </c>
      <c r="D350" s="176" t="s">
        <v>7930</v>
      </c>
      <c r="E350" s="176" t="s">
        <v>3009</v>
      </c>
      <c r="F350" s="259" t="s">
        <v>7943</v>
      </c>
      <c r="G350" s="176">
        <v>1</v>
      </c>
      <c r="H350" s="178">
        <v>90843</v>
      </c>
      <c r="I350" s="592">
        <f t="shared" si="10"/>
        <v>4</v>
      </c>
      <c r="J350" s="178" t="s">
        <v>816</v>
      </c>
      <c r="K350" s="178" t="s">
        <v>816</v>
      </c>
      <c r="L350" s="275" t="str">
        <f>IF(H:H=0,"",IF(ISERROR(VLOOKUP(H:H,produtos_escape2!$A$2:$B$2794,2,FALSE)),"Código não cadastrado",(VLOOKUP(H:H,produtos_escape2!$A$2:$B$2794,2,FALSE))))</f>
        <v>FENILEFRINA (CLORIDRATO) SOLUCAO OFTALMICA 10 % FRASCO CONTA-GOTAS 5 ML</v>
      </c>
      <c r="M350" s="593" t="str">
        <f>IF(H:H=0,"",IF(ISERROR(VLOOKUP(H:H,produtos_escape2!$A$2:$D$2794,2,FALSE)),"Código não cadastrado",(VLOOKUP(H:H,produtos_escape2!$A$2:$D$2794,4,FALSE))))</f>
        <v>FR</v>
      </c>
      <c r="N350" s="486">
        <v>20</v>
      </c>
      <c r="O350" s="176" t="s">
        <v>5754</v>
      </c>
      <c r="P350" s="486">
        <v>20</v>
      </c>
      <c r="Q350" s="247">
        <v>35.33</v>
      </c>
      <c r="R350" s="246">
        <f t="shared" si="11"/>
        <v>706.59999999999991</v>
      </c>
      <c r="S350" s="177">
        <v>43924</v>
      </c>
      <c r="T350" s="182">
        <v>144060</v>
      </c>
      <c r="U350" s="177">
        <v>43948</v>
      </c>
      <c r="V350" s="177">
        <v>43951</v>
      </c>
      <c r="W350" s="177">
        <v>43951</v>
      </c>
      <c r="X350" s="176">
        <v>18080</v>
      </c>
      <c r="Y350" s="177">
        <v>43986</v>
      </c>
      <c r="Z350" s="415">
        <v>3</v>
      </c>
      <c r="AA350" s="488"/>
      <c r="AB350" s="594"/>
      <c r="AC350" s="595"/>
      <c r="AD350" s="596"/>
      <c r="AE350" s="596"/>
      <c r="AF350" s="597" t="str">
        <f>IFERROR(INDEX(produtos_escape2!M:M,MATCH(Controle!H350,produtos_escape2!A:A,0)),"")</f>
        <v>FENILEFRINA (CLORIDRATO) SOLUCAO OFTALMICA 10 % FRASCO CONTA-GOTAS 5 ML</v>
      </c>
    </row>
    <row r="351" spans="1:32" ht="14.25" customHeight="1">
      <c r="A351" s="176" t="s">
        <v>7792</v>
      </c>
      <c r="B351" s="176" t="s">
        <v>3608</v>
      </c>
      <c r="C351" s="177">
        <v>43920</v>
      </c>
      <c r="D351" s="176" t="s">
        <v>7931</v>
      </c>
      <c r="E351" s="176" t="s">
        <v>1867</v>
      </c>
      <c r="F351" s="259" t="s">
        <v>7944</v>
      </c>
      <c r="G351" s="176">
        <v>1</v>
      </c>
      <c r="H351" s="178">
        <v>90841</v>
      </c>
      <c r="I351" s="592">
        <f t="shared" si="10"/>
        <v>8</v>
      </c>
      <c r="J351" s="178" t="s">
        <v>816</v>
      </c>
      <c r="K351" s="178" t="s">
        <v>816</v>
      </c>
      <c r="L351" s="275" t="str">
        <f>IF(H:H=0,"",IF(ISERROR(VLOOKUP(H:H,produtos_escape2!$A$2:$B$2794,2,FALSE)),"Código não cadastrado",(VLOOKUP(H:H,produtos_escape2!$A$2:$B$2794,2,FALSE))))</f>
        <v>ATROPINA (SULFATO) SOLUÇAO OFTALMICA 1 % FRASCO 5 ML</v>
      </c>
      <c r="M351" s="593" t="str">
        <f>IF(H:H=0,"",IF(ISERROR(VLOOKUP(H:H,produtos_escape2!$A$2:$D$2794,2,FALSE)),"Código não cadastrado",(VLOOKUP(H:H,produtos_escape2!$A$2:$D$2794,4,FALSE))))</f>
        <v>FR</v>
      </c>
      <c r="N351" s="486">
        <v>20</v>
      </c>
      <c r="O351" s="176" t="s">
        <v>1868</v>
      </c>
      <c r="P351" s="486"/>
      <c r="Q351" s="247"/>
      <c r="R351" s="246">
        <f t="shared" si="11"/>
        <v>0</v>
      </c>
      <c r="S351" s="177">
        <v>43924</v>
      </c>
      <c r="T351" s="182"/>
      <c r="U351" s="177"/>
      <c r="V351" s="177"/>
      <c r="W351" s="177"/>
      <c r="X351" s="182"/>
      <c r="Y351" s="177"/>
      <c r="Z351" s="415">
        <v>2</v>
      </c>
      <c r="AA351" s="488" t="s">
        <v>7988</v>
      </c>
      <c r="AB351" s="594"/>
      <c r="AC351" s="595"/>
      <c r="AD351" s="596"/>
      <c r="AE351" s="596"/>
      <c r="AF351" s="597" t="str">
        <f>IFERROR(INDEX(produtos_escape2!M:M,MATCH(Controle!H351,produtos_escape2!A:A,0)),"")</f>
        <v>ATROPINA (SULFATO) SOLUÇAO OFTALMICA 1 % FRASCO 5 ML</v>
      </c>
    </row>
    <row r="352" spans="1:32" ht="14.25" customHeight="1">
      <c r="A352" s="176" t="s">
        <v>7791</v>
      </c>
      <c r="B352" s="176" t="s">
        <v>3608</v>
      </c>
      <c r="C352" s="177">
        <v>43920</v>
      </c>
      <c r="D352" s="176" t="s">
        <v>7932</v>
      </c>
      <c r="E352" s="176" t="s">
        <v>1866</v>
      </c>
      <c r="F352" s="259" t="s">
        <v>7945</v>
      </c>
      <c r="G352" s="176">
        <v>1</v>
      </c>
      <c r="H352" s="178">
        <v>20833</v>
      </c>
      <c r="I352" s="592">
        <f t="shared" si="10"/>
        <v>3</v>
      </c>
      <c r="J352" s="178" t="s">
        <v>816</v>
      </c>
      <c r="K352" s="178" t="s">
        <v>816</v>
      </c>
      <c r="L352" s="275" t="str">
        <f>IF(H:H=0,"",IF(ISERROR(VLOOKUP(H:H,produtos_escape2!$A$2:$B$2794,2,FALSE)),"Código não cadastrado",(VLOOKUP(H:H,produtos_escape2!$A$2:$B$2794,2,FALSE))))</f>
        <v>ACICLOVIR POMADA OFTALMICA 0,03 G/G BISNAGA 4,5 G</v>
      </c>
      <c r="M352" s="593" t="str">
        <f>IF(H:H=0,"",IF(ISERROR(VLOOKUP(H:H,produtos_escape2!$A$2:$D$2794,2,FALSE)),"Código não cadastrado",(VLOOKUP(H:H,produtos_escape2!$A$2:$D$2794,4,FALSE))))</f>
        <v>BS</v>
      </c>
      <c r="N352" s="486">
        <v>10</v>
      </c>
      <c r="O352" s="176" t="s">
        <v>7978</v>
      </c>
      <c r="P352" s="486">
        <v>10</v>
      </c>
      <c r="Q352" s="247">
        <v>18</v>
      </c>
      <c r="R352" s="246">
        <f t="shared" si="11"/>
        <v>180</v>
      </c>
      <c r="S352" s="177">
        <v>43923</v>
      </c>
      <c r="T352" s="182">
        <v>211374</v>
      </c>
      <c r="U352" s="177">
        <v>43924</v>
      </c>
      <c r="V352" s="177">
        <v>43928</v>
      </c>
      <c r="W352" s="177">
        <v>43928</v>
      </c>
      <c r="X352" s="176">
        <v>97705</v>
      </c>
      <c r="Y352" s="177">
        <v>43950</v>
      </c>
      <c r="Z352" s="415">
        <v>2</v>
      </c>
      <c r="AA352" s="488"/>
      <c r="AB352" s="594"/>
      <c r="AC352" s="595"/>
      <c r="AD352" s="596"/>
      <c r="AE352" s="596"/>
      <c r="AF352" s="597" t="str">
        <f>IFERROR(INDEX(produtos_escape2!M:M,MATCH(Controle!H352,produtos_escape2!A:A,0)),"")</f>
        <v>ACICLOVIR POMADA OFTALMICA 0</v>
      </c>
    </row>
    <row r="353" spans="1:32" ht="14.25" customHeight="1">
      <c r="A353" s="176" t="s">
        <v>7763</v>
      </c>
      <c r="B353" s="176" t="s">
        <v>3608</v>
      </c>
      <c r="C353" s="177">
        <v>43920</v>
      </c>
      <c r="D353" s="176" t="s">
        <v>7933</v>
      </c>
      <c r="E353" s="176" t="s">
        <v>3009</v>
      </c>
      <c r="F353" s="259" t="s">
        <v>7946</v>
      </c>
      <c r="G353" s="176">
        <v>1</v>
      </c>
      <c r="H353" s="178">
        <v>90220</v>
      </c>
      <c r="I353" s="592">
        <f t="shared" si="10"/>
        <v>7</v>
      </c>
      <c r="J353" s="178" t="s">
        <v>816</v>
      </c>
      <c r="K353" s="178" t="s">
        <v>816</v>
      </c>
      <c r="L353" s="275" t="str">
        <f>IF(H:H=0,"",IF(ISERROR(VLOOKUP(H:H,produtos_escape2!$A$2:$B$2794,2,FALSE)),"Código não cadastrado",(VLOOKUP(H:H,produtos_escape2!$A$2:$B$2794,2,FALSE))))</f>
        <v>ATRACURIO (BESILATO) SOLUCAO INJETAVEL 10 MG/ML AMPOLA 2,5 ML</v>
      </c>
      <c r="M353" s="593" t="str">
        <f>IF(H:H=0,"",IF(ISERROR(VLOOKUP(H:H,produtos_escape2!$A$2:$D$2794,2,FALSE)),"Código não cadastrado",(VLOOKUP(H:H,produtos_escape2!$A$2:$D$2794,4,FALSE))))</f>
        <v>AMP</v>
      </c>
      <c r="N353" s="486">
        <v>50</v>
      </c>
      <c r="O353" s="176" t="s">
        <v>4401</v>
      </c>
      <c r="P353" s="486">
        <v>50</v>
      </c>
      <c r="Q353" s="247">
        <v>12.97</v>
      </c>
      <c r="R353" s="246">
        <f t="shared" si="11"/>
        <v>648.5</v>
      </c>
      <c r="S353" s="177">
        <v>43924</v>
      </c>
      <c r="T353" s="182">
        <v>2585836</v>
      </c>
      <c r="U353" s="177">
        <v>43927</v>
      </c>
      <c r="V353" s="177">
        <v>43930</v>
      </c>
      <c r="W353" s="177">
        <v>43936</v>
      </c>
      <c r="X353" s="176">
        <v>97712</v>
      </c>
      <c r="Y353" s="177">
        <v>43950</v>
      </c>
      <c r="Z353" s="415">
        <v>2</v>
      </c>
      <c r="AA353" s="488"/>
      <c r="AB353" s="594"/>
      <c r="AC353" s="595"/>
      <c r="AD353" s="596"/>
      <c r="AE353" s="596"/>
      <c r="AF353" s="597" t="str">
        <f>IFERROR(INDEX(produtos_escape2!M:M,MATCH(Controle!H353,produtos_escape2!A:A,0)),"")</f>
        <v>ATRACURIO (BESILATO) SOLUCAO INJETAVEL 10 MG/ML AMPOLA 2</v>
      </c>
    </row>
    <row r="354" spans="1:32" ht="14.25" customHeight="1">
      <c r="A354" s="176" t="s">
        <v>7762</v>
      </c>
      <c r="B354" s="176" t="s">
        <v>3608</v>
      </c>
      <c r="C354" s="177">
        <v>43920</v>
      </c>
      <c r="D354" s="176" t="s">
        <v>7934</v>
      </c>
      <c r="E354" s="176" t="s">
        <v>1867</v>
      </c>
      <c r="F354" s="259" t="s">
        <v>7947</v>
      </c>
      <c r="G354" s="176">
        <v>1</v>
      </c>
      <c r="H354" s="178">
        <v>90888</v>
      </c>
      <c r="I354" s="592">
        <f t="shared" si="10"/>
        <v>4</v>
      </c>
      <c r="J354" s="178" t="s">
        <v>816</v>
      </c>
      <c r="K354" s="178" t="s">
        <v>816</v>
      </c>
      <c r="L354" s="275" t="str">
        <f>IF(H:H=0,"",IF(ISERROR(VLOOKUP(H:H,produtos_escape2!$A$2:$B$2794,2,FALSE)),"Código não cadastrado",(VLOOKUP(H:H,produtos_escape2!$A$2:$B$2794,2,FALSE))))</f>
        <v>CEFTAZIDIMA PO PARA SOLUCAO INJETAVEL 1 G FRASCO AMPOLA</v>
      </c>
      <c r="M354" s="593" t="str">
        <f>IF(H:H=0,"",IF(ISERROR(VLOOKUP(H:H,produtos_escape2!$A$2:$D$2794,2,FALSE)),"Código não cadastrado",(VLOOKUP(H:H,produtos_escape2!$A$2:$D$2794,4,FALSE))))</f>
        <v>FA</v>
      </c>
      <c r="N354" s="486">
        <v>300</v>
      </c>
      <c r="O354" s="176" t="s">
        <v>1868</v>
      </c>
      <c r="P354" s="486"/>
      <c r="Q354" s="247"/>
      <c r="R354" s="246">
        <f t="shared" si="11"/>
        <v>0</v>
      </c>
      <c r="S354" s="177">
        <v>43924</v>
      </c>
      <c r="T354" s="182"/>
      <c r="U354" s="177"/>
      <c r="V354" s="177"/>
      <c r="W354" s="177"/>
      <c r="X354" s="176"/>
      <c r="Y354" s="177"/>
      <c r="Z354" s="415">
        <v>2</v>
      </c>
      <c r="AA354" s="488" t="s">
        <v>7988</v>
      </c>
      <c r="AB354" s="594"/>
      <c r="AC354" s="595"/>
      <c r="AD354" s="596"/>
      <c r="AE354" s="596"/>
      <c r="AF354" s="597" t="str">
        <f>IFERROR(INDEX(produtos_escape2!M:M,MATCH(Controle!H354,produtos_escape2!A:A,0)),"")</f>
        <v>CEFTAZIDIMA PO PARA SOLUCAO INJETAVEL 1 G FRASCO AMPOLA</v>
      </c>
    </row>
    <row r="355" spans="1:32" ht="14.25" customHeight="1">
      <c r="A355" s="176" t="s">
        <v>7735</v>
      </c>
      <c r="B355" s="176" t="s">
        <v>3608</v>
      </c>
      <c r="C355" s="177">
        <v>43920</v>
      </c>
      <c r="D355" s="176" t="s">
        <v>7935</v>
      </c>
      <c r="E355" s="176" t="s">
        <v>1865</v>
      </c>
      <c r="F355" s="259" t="s">
        <v>7948</v>
      </c>
      <c r="G355" s="176">
        <v>1</v>
      </c>
      <c r="H355" s="178">
        <v>90925</v>
      </c>
      <c r="I355" s="592">
        <f t="shared" si="10"/>
        <v>8</v>
      </c>
      <c r="J355" s="178" t="s">
        <v>816</v>
      </c>
      <c r="K355" s="178" t="s">
        <v>816</v>
      </c>
      <c r="L355" s="275" t="str">
        <f>IF(H:H=0,"",IF(ISERROR(VLOOKUP(H:H,produtos_escape2!$A$2:$B$2794,2,FALSE)),"Código não cadastrado",(VLOOKUP(H:H,produtos_escape2!$A$2:$B$2794,2,FALSE))))</f>
        <v>CEFAZOLINA SODICA PO PARA SOLUCAO INJETAVEL 1 G FRASCO AMPOLA</v>
      </c>
      <c r="M355" s="593" t="str">
        <f>IF(H:H=0,"",IF(ISERROR(VLOOKUP(H:H,produtos_escape2!$A$2:$D$2794,2,FALSE)),"Código não cadastrado",(VLOOKUP(H:H,produtos_escape2!$A$2:$D$2794,4,FALSE))))</f>
        <v>AMP</v>
      </c>
      <c r="N355" s="486">
        <v>1000</v>
      </c>
      <c r="O355" s="176" t="s">
        <v>4109</v>
      </c>
      <c r="P355" s="486">
        <v>300</v>
      </c>
      <c r="Q355" s="247">
        <v>17.645</v>
      </c>
      <c r="R355" s="246">
        <f t="shared" si="11"/>
        <v>5293.5</v>
      </c>
      <c r="S355" s="177">
        <v>43923</v>
      </c>
      <c r="T355" s="182">
        <v>79537</v>
      </c>
      <c r="U355" s="177">
        <v>43923</v>
      </c>
      <c r="V355" s="177">
        <v>43924</v>
      </c>
      <c r="W355" s="177">
        <v>43928</v>
      </c>
      <c r="X355" s="415">
        <v>90638</v>
      </c>
      <c r="Y355" s="177">
        <v>43935</v>
      </c>
      <c r="Z355" s="415">
        <v>2</v>
      </c>
      <c r="AA355" s="488"/>
      <c r="AB355" s="594"/>
      <c r="AC355" s="595"/>
      <c r="AD355" s="596"/>
      <c r="AE355" s="596"/>
      <c r="AF355" s="597" t="str">
        <f>IFERROR(INDEX(produtos_escape2!M:M,MATCH(Controle!H355,produtos_escape2!A:A,0)),"")</f>
        <v>CEFAZOLINA SODICA PO PARA SOLUCAO INJETAVEL 1 G FRASCO AMPOLA</v>
      </c>
    </row>
    <row r="356" spans="1:32" ht="14.25" customHeight="1">
      <c r="A356" s="176" t="s">
        <v>7780</v>
      </c>
      <c r="B356" s="176" t="s">
        <v>3608</v>
      </c>
      <c r="C356" s="177">
        <v>43920</v>
      </c>
      <c r="D356" s="176" t="s">
        <v>7936</v>
      </c>
      <c r="E356" s="176" t="s">
        <v>1866</v>
      </c>
      <c r="F356" s="259" t="s">
        <v>7949</v>
      </c>
      <c r="G356" s="176">
        <v>1</v>
      </c>
      <c r="H356" s="178">
        <v>90551</v>
      </c>
      <c r="I356" s="592">
        <f t="shared" si="10"/>
        <v>5</v>
      </c>
      <c r="J356" s="178" t="s">
        <v>816</v>
      </c>
      <c r="K356" s="178" t="s">
        <v>816</v>
      </c>
      <c r="L356" s="275" t="str">
        <f>IF(H:H=0,"",IF(ISERROR(VLOOKUP(H:H,produtos_escape2!$A$2:$B$2794,2,FALSE)),"Código não cadastrado",(VLOOKUP(H:H,produtos_escape2!$A$2:$B$2794,2,FALSE))))</f>
        <v>BICARBONATO DE SODIO SOLUCAO INJETAVEL 8,4 %        (1 MEQ/ML) FRASCO 250 ML</v>
      </c>
      <c r="M356" s="593" t="str">
        <f>IF(H:H=0,"",IF(ISERROR(VLOOKUP(H:H,produtos_escape2!$A$2:$D$2794,2,FALSE)),"Código não cadastrado",(VLOOKUP(H:H,produtos_escape2!$A$2:$D$2794,4,FALSE))))</f>
        <v>FR</v>
      </c>
      <c r="N356" s="486">
        <v>200</v>
      </c>
      <c r="O356" s="176" t="s">
        <v>4398</v>
      </c>
      <c r="P356" s="486">
        <v>175</v>
      </c>
      <c r="Q356" s="247">
        <v>23.34</v>
      </c>
      <c r="R356" s="246">
        <f t="shared" si="11"/>
        <v>4084.5</v>
      </c>
      <c r="S356" s="177">
        <v>43923</v>
      </c>
      <c r="T356" s="182">
        <v>534112</v>
      </c>
      <c r="U356" s="177">
        <v>43924</v>
      </c>
      <c r="V356" s="177">
        <v>43927</v>
      </c>
      <c r="W356" s="177">
        <v>43928</v>
      </c>
      <c r="X356" s="415">
        <v>90492</v>
      </c>
      <c r="Y356" s="177">
        <v>43935</v>
      </c>
      <c r="Z356" s="415">
        <v>2</v>
      </c>
      <c r="AA356" s="488"/>
      <c r="AB356" s="594"/>
      <c r="AC356" s="595"/>
      <c r="AD356" s="596"/>
      <c r="AE356" s="596"/>
      <c r="AF356" s="597" t="str">
        <f>IFERROR(INDEX(produtos_escape2!M:M,MATCH(Controle!H356,produtos_escape2!A:A,0)),"")</f>
        <v>BICARBONATO DE SODIO SOLUCAO INJETAVEL 8</v>
      </c>
    </row>
    <row r="357" spans="1:32" ht="14.25" customHeight="1">
      <c r="A357" s="176" t="s">
        <v>7765</v>
      </c>
      <c r="B357" s="176" t="s">
        <v>3608</v>
      </c>
      <c r="C357" s="177">
        <v>43920</v>
      </c>
      <c r="D357" s="176" t="s">
        <v>7929</v>
      </c>
      <c r="E357" s="176" t="s">
        <v>3009</v>
      </c>
      <c r="F357" s="259" t="s">
        <v>7950</v>
      </c>
      <c r="G357" s="176">
        <v>1</v>
      </c>
      <c r="H357" s="178">
        <v>90225</v>
      </c>
      <c r="I357" s="592">
        <f t="shared" si="10"/>
        <v>3</v>
      </c>
      <c r="J357" s="178" t="s">
        <v>816</v>
      </c>
      <c r="K357" s="178" t="s">
        <v>816</v>
      </c>
      <c r="L357" s="275" t="str">
        <f>IF(H:H=0,"",IF(ISERROR(VLOOKUP(H:H,produtos_escape2!$A$2:$B$2794,2,FALSE)),"Código não cadastrado",(VLOOKUP(H:H,produtos_escape2!$A$2:$B$2794,2,FALSE))))</f>
        <v>GLICLAZIDA COMPRIMIDO DE LIBERACAO PROLONGADA 30 MG</v>
      </c>
      <c r="M357" s="593" t="str">
        <f>IF(H:H=0,"",IF(ISERROR(VLOOKUP(H:H,produtos_escape2!$A$2:$D$2794,2,FALSE)),"Código não cadastrado",(VLOOKUP(H:H,produtos_escape2!$A$2:$D$2794,4,FALSE))))</f>
        <v>CP</v>
      </c>
      <c r="N357" s="486">
        <v>500</v>
      </c>
      <c r="O357" s="176" t="s">
        <v>2989</v>
      </c>
      <c r="P357" s="486">
        <v>480</v>
      </c>
      <c r="Q357" s="247">
        <v>0.33329999999999999</v>
      </c>
      <c r="R357" s="246">
        <f t="shared" si="11"/>
        <v>159.98399999999998</v>
      </c>
      <c r="S357" s="177">
        <v>43924</v>
      </c>
      <c r="T357" s="182">
        <v>115651</v>
      </c>
      <c r="U357" s="177">
        <v>43924</v>
      </c>
      <c r="V357" s="177">
        <v>43927</v>
      </c>
      <c r="W357" s="177">
        <v>43928</v>
      </c>
      <c r="X357" s="176">
        <v>97720</v>
      </c>
      <c r="Y357" s="177">
        <v>43950</v>
      </c>
      <c r="Z357" s="415">
        <v>2</v>
      </c>
      <c r="AA357" s="488"/>
      <c r="AB357" s="594"/>
      <c r="AC357" s="595"/>
      <c r="AD357" s="596"/>
      <c r="AE357" s="596"/>
      <c r="AF357" s="597" t="str">
        <f>IFERROR(INDEX(produtos_escape2!M:M,MATCH(Controle!H357,produtos_escape2!A:A,0)),"")</f>
        <v>GLICLAZIDA COMPRIMIDO DE LIBERACAO PROLONGADA 30 MG</v>
      </c>
    </row>
    <row r="358" spans="1:32" ht="14.25" customHeight="1">
      <c r="A358" s="176" t="s">
        <v>7764</v>
      </c>
      <c r="B358" s="176" t="s">
        <v>3608</v>
      </c>
      <c r="C358" s="177">
        <v>43920</v>
      </c>
      <c r="D358" s="176" t="s">
        <v>7940</v>
      </c>
      <c r="E358" s="176" t="s">
        <v>1867</v>
      </c>
      <c r="F358" s="259" t="s">
        <v>7951</v>
      </c>
      <c r="G358" s="176">
        <v>1</v>
      </c>
      <c r="H358" s="178">
        <v>90297</v>
      </c>
      <c r="I358" s="592">
        <f t="shared" si="10"/>
        <v>3</v>
      </c>
      <c r="J358" s="178" t="s">
        <v>816</v>
      </c>
      <c r="K358" s="178" t="s">
        <v>816</v>
      </c>
      <c r="L358" s="275" t="str">
        <f>IF(H:H=0,"",IF(ISERROR(VLOOKUP(H:H,produtos_escape2!$A$2:$B$2794,2,FALSE)),"Código não cadastrado",(VLOOKUP(H:H,produtos_escape2!$A$2:$B$2794,2,FALSE))))</f>
        <v>BROMOPRIDA CAPSULA OU COMPRIMIDO 10MG</v>
      </c>
      <c r="M358" s="593" t="str">
        <f>IF(H:H=0,"",IF(ISERROR(VLOOKUP(H:H,produtos_escape2!$A$2:$D$2794,2,FALSE)),"Código não cadastrado",(VLOOKUP(H:H,produtos_escape2!$A$2:$D$2794,4,FALSE))))</f>
        <v>UN</v>
      </c>
      <c r="N358" s="486">
        <v>1000</v>
      </c>
      <c r="O358" s="176" t="s">
        <v>7472</v>
      </c>
      <c r="P358" s="486">
        <v>1000</v>
      </c>
      <c r="Q358" s="247">
        <v>0.3</v>
      </c>
      <c r="R358" s="246">
        <f t="shared" si="11"/>
        <v>300</v>
      </c>
      <c r="S358" s="177">
        <v>43923</v>
      </c>
      <c r="T358" s="182">
        <v>22136</v>
      </c>
      <c r="U358" s="177">
        <v>43924</v>
      </c>
      <c r="V358" s="177">
        <v>43927</v>
      </c>
      <c r="W358" s="177">
        <v>43928</v>
      </c>
      <c r="X358" s="176">
        <v>97727</v>
      </c>
      <c r="Y358" s="177">
        <v>43950</v>
      </c>
      <c r="Z358" s="415">
        <v>2</v>
      </c>
      <c r="AA358" s="488"/>
      <c r="AB358" s="594"/>
      <c r="AC358" s="595"/>
      <c r="AD358" s="596"/>
      <c r="AE358" s="596"/>
      <c r="AF358" s="597" t="str">
        <f>IFERROR(INDEX(produtos_escape2!M:M,MATCH(Controle!H358,produtos_escape2!A:A,0)),"")</f>
        <v>BROMOPRIDA</v>
      </c>
    </row>
    <row r="359" spans="1:32" ht="14.25" customHeight="1">
      <c r="A359" s="176" t="s">
        <v>7779</v>
      </c>
      <c r="B359" s="176" t="s">
        <v>3608</v>
      </c>
      <c r="C359" s="177">
        <v>43920</v>
      </c>
      <c r="D359" s="176" t="s">
        <v>7952</v>
      </c>
      <c r="E359" s="176" t="s">
        <v>1866</v>
      </c>
      <c r="F359" s="259" t="s">
        <v>7953</v>
      </c>
      <c r="G359" s="176">
        <v>1</v>
      </c>
      <c r="H359" s="178">
        <v>90708</v>
      </c>
      <c r="I359" s="592">
        <f t="shared" si="10"/>
        <v>3</v>
      </c>
      <c r="J359" s="178" t="s">
        <v>816</v>
      </c>
      <c r="K359" s="178" t="s">
        <v>816</v>
      </c>
      <c r="L359" s="275" t="str">
        <f>IF(H:H=0,"",IF(ISERROR(VLOOKUP(H:H,produtos_escape2!$A$2:$B$2794,2,FALSE)),"Código não cadastrado",(VLOOKUP(H:H,produtos_escape2!$A$2:$B$2794,2,FALSE))))</f>
        <v xml:space="preserve">METRONIDAZOL COMPRIMIDO 400 MG </v>
      </c>
      <c r="M359" s="593" t="str">
        <f>IF(H:H=0,"",IF(ISERROR(VLOOKUP(H:H,produtos_escape2!$A$2:$D$2794,2,FALSE)),"Código não cadastrado",(VLOOKUP(H:H,produtos_escape2!$A$2:$D$2794,4,FALSE))))</f>
        <v>CP</v>
      </c>
      <c r="N359" s="486">
        <v>1000</v>
      </c>
      <c r="O359" s="176" t="s">
        <v>1868</v>
      </c>
      <c r="P359" s="486"/>
      <c r="Q359" s="247"/>
      <c r="R359" s="246">
        <f t="shared" si="11"/>
        <v>0</v>
      </c>
      <c r="S359" s="177">
        <v>43929</v>
      </c>
      <c r="T359" s="182"/>
      <c r="U359" s="177"/>
      <c r="V359" s="177"/>
      <c r="W359" s="177"/>
      <c r="X359" s="176"/>
      <c r="Y359" s="177"/>
      <c r="Z359" s="415">
        <v>2</v>
      </c>
      <c r="AA359" s="488" t="s">
        <v>7474</v>
      </c>
      <c r="AB359" s="594"/>
      <c r="AC359" s="595"/>
      <c r="AD359" s="596"/>
      <c r="AE359" s="596"/>
      <c r="AF359" s="597" t="str">
        <f>IFERROR(INDEX(produtos_escape2!M:M,MATCH(Controle!H359,produtos_escape2!A:A,0)),"")</f>
        <v xml:space="preserve">METRONIDAZOL COMPRIMIDO 400 MG </v>
      </c>
    </row>
    <row r="360" spans="1:32" ht="14.25" customHeight="1">
      <c r="A360" s="176" t="s">
        <v>7386</v>
      </c>
      <c r="B360" s="176" t="s">
        <v>7207</v>
      </c>
      <c r="C360" s="177">
        <v>43921</v>
      </c>
      <c r="D360" s="176" t="s">
        <v>7954</v>
      </c>
      <c r="E360" s="176" t="s">
        <v>3009</v>
      </c>
      <c r="F360" s="259" t="s">
        <v>7957</v>
      </c>
      <c r="G360" s="176">
        <v>1</v>
      </c>
      <c r="H360" s="178">
        <v>35175</v>
      </c>
      <c r="I360" s="592">
        <f t="shared" si="10"/>
        <v>1</v>
      </c>
      <c r="J360" s="178" t="s">
        <v>816</v>
      </c>
      <c r="K360" s="178" t="s">
        <v>816</v>
      </c>
      <c r="L360" s="275" t="str">
        <f>IF(H:H=0,"",IF(ISERROR(VLOOKUP(H:H,produtos_escape2!$A$2:$B$2794,2,FALSE)),"Código não cadastrado",(VLOOKUP(H:H,produtos_escape2!$A$2:$B$2794,2,FALSE))))</f>
        <v>Laringoscópio, material aço inoxidável, adulto, tamanho 17cm, comissura anterior.</v>
      </c>
      <c r="M360" s="593" t="str">
        <f>IF(H:H=0,"",IF(ISERROR(VLOOKUP(H:H,produtos_escape2!$A$2:$D$2794,2,FALSE)),"Código não cadastrado",(VLOOKUP(H:H,produtos_escape2!$A$2:$D$2794,4,FALSE))))</f>
        <v>UN</v>
      </c>
      <c r="N360" s="486">
        <v>4</v>
      </c>
      <c r="O360" s="176" t="s">
        <v>1868</v>
      </c>
      <c r="P360" s="486"/>
      <c r="Q360" s="247"/>
      <c r="R360" s="246">
        <f t="shared" si="11"/>
        <v>0</v>
      </c>
      <c r="S360" s="177">
        <v>43965</v>
      </c>
      <c r="T360" s="182"/>
      <c r="U360" s="177"/>
      <c r="V360" s="177"/>
      <c r="W360" s="177"/>
      <c r="X360" s="176"/>
      <c r="Y360" s="177"/>
      <c r="Z360" s="415">
        <v>2</v>
      </c>
      <c r="AA360" s="488" t="s">
        <v>7474</v>
      </c>
      <c r="AB360" s="594"/>
      <c r="AC360" s="595"/>
      <c r="AD360" s="596"/>
      <c r="AE360" s="596"/>
      <c r="AF360" s="597" t="str">
        <f>IFERROR(INDEX(produtos_escape2!M:M,MATCH(Controle!H360,produtos_escape2!A:A,0)),"")</f>
        <v>LARINGOSCÓPIO TM 17</v>
      </c>
    </row>
    <row r="361" spans="1:32" ht="14.25" customHeight="1">
      <c r="A361" s="176" t="s">
        <v>7387</v>
      </c>
      <c r="B361" s="176" t="s">
        <v>7207</v>
      </c>
      <c r="C361" s="177">
        <v>43921</v>
      </c>
      <c r="D361" s="176" t="s">
        <v>7958</v>
      </c>
      <c r="E361" s="176" t="s">
        <v>1867</v>
      </c>
      <c r="F361" s="259" t="s">
        <v>7959</v>
      </c>
      <c r="G361" s="176">
        <v>1</v>
      </c>
      <c r="H361" s="178">
        <v>19840</v>
      </c>
      <c r="I361" s="592">
        <f t="shared" si="10"/>
        <v>1</v>
      </c>
      <c r="J361" s="178" t="s">
        <v>816</v>
      </c>
      <c r="K361" s="178" t="s">
        <v>816</v>
      </c>
      <c r="L361" s="275" t="str">
        <f>IF(H:H=0,"",IF(ISERROR(VLOOKUP(H:H,produtos_escape2!$A$2:$B$2794,2,FALSE)),"Código não cadastrado",(VLOOKUP(H:H,produtos_escape2!$A$2:$B$2794,2,FALSE))))</f>
        <v>LÂMINA PARA LARINGOSCÓPIO CURVA Nº 03, Material: latão cromado, Tamanho: 12 cm, Características Adicionais: convencional acompanhada por 3 lâmpadas, Uso: reanimação em parada cardiorespiratória.</v>
      </c>
      <c r="M361" s="593" t="str">
        <f>IF(H:H=0,"",IF(ISERROR(VLOOKUP(H:H,produtos_escape2!$A$2:$D$2794,2,FALSE)),"Código não cadastrado",(VLOOKUP(H:H,produtos_escape2!$A$2:$D$2794,4,FALSE))))</f>
        <v>UN</v>
      </c>
      <c r="N361" s="486">
        <v>10</v>
      </c>
      <c r="O361" s="176" t="s">
        <v>3663</v>
      </c>
      <c r="P361" s="486">
        <v>10</v>
      </c>
      <c r="Q361" s="247">
        <v>101.871</v>
      </c>
      <c r="R361" s="246">
        <f t="shared" si="11"/>
        <v>1018.7099999999999</v>
      </c>
      <c r="S361" s="177">
        <v>43927</v>
      </c>
      <c r="T361" s="182">
        <v>1204374</v>
      </c>
      <c r="U361" s="177">
        <v>43927</v>
      </c>
      <c r="V361" s="177">
        <v>43930</v>
      </c>
      <c r="W361" s="177">
        <v>43934</v>
      </c>
      <c r="X361" s="176">
        <v>97737</v>
      </c>
      <c r="Y361" s="177">
        <v>43950</v>
      </c>
      <c r="Z361" s="415">
        <v>2</v>
      </c>
      <c r="AA361" s="488"/>
      <c r="AB361" s="594"/>
      <c r="AC361" s="595"/>
      <c r="AD361" s="596"/>
      <c r="AE361" s="596"/>
      <c r="AF361" s="597" t="str">
        <f>IFERROR(INDEX(produtos_escape2!M:M,MATCH(Controle!H361,produtos_escape2!A:A,0)),"")</f>
        <v>LÂMINA PARA LARINGOSCÓPIO CURVA Nº 03</v>
      </c>
    </row>
    <row r="362" spans="1:32" ht="14.25" customHeight="1">
      <c r="A362" s="176" t="s">
        <v>7402</v>
      </c>
      <c r="B362" s="176" t="s">
        <v>7207</v>
      </c>
      <c r="C362" s="177">
        <v>43921</v>
      </c>
      <c r="D362" s="176" t="s">
        <v>7961</v>
      </c>
      <c r="E362" s="176" t="s">
        <v>1865</v>
      </c>
      <c r="F362" s="259" t="s">
        <v>7960</v>
      </c>
      <c r="G362" s="176">
        <v>1</v>
      </c>
      <c r="H362" s="178">
        <v>19841</v>
      </c>
      <c r="I362" s="592">
        <f t="shared" si="10"/>
        <v>1</v>
      </c>
      <c r="J362" s="178" t="s">
        <v>816</v>
      </c>
      <c r="K362" s="178" t="s">
        <v>816</v>
      </c>
      <c r="L362" s="275" t="str">
        <f>IF(H:H=0,"",IF(ISERROR(VLOOKUP(H:H,produtos_escape2!$A$2:$B$2794,2,FALSE)),"Código não cadastrado",(VLOOKUP(H:H,produtos_escape2!$A$2:$B$2794,2,FALSE))))</f>
        <v>LÂMINA PARA LARINGOSCÓPIO CURVA Nº 04, Material: latão cromado, Tamanho: 14 cm, Características Adicionais: convencional acompanhada por 3 lâmpadas, Uso: reanimação em
parada cardiorespiratória.</v>
      </c>
      <c r="M362" s="593" t="str">
        <f>IF(H:H=0,"",IF(ISERROR(VLOOKUP(H:H,produtos_escape2!$A$2:$D$2794,2,FALSE)),"Código não cadastrado",(VLOOKUP(H:H,produtos_escape2!$A$2:$D$2794,4,FALSE))))</f>
        <v>UN</v>
      </c>
      <c r="N362" s="486">
        <v>10</v>
      </c>
      <c r="O362" s="176" t="s">
        <v>3663</v>
      </c>
      <c r="P362" s="486">
        <v>10</v>
      </c>
      <c r="Q362" s="247">
        <v>101.871</v>
      </c>
      <c r="R362" s="246">
        <f t="shared" si="11"/>
        <v>1018.7099999999999</v>
      </c>
      <c r="S362" s="177">
        <v>43928</v>
      </c>
      <c r="T362" s="182">
        <v>1204958</v>
      </c>
      <c r="U362" s="177">
        <v>43928</v>
      </c>
      <c r="V362" s="177">
        <v>43935</v>
      </c>
      <c r="W362" s="177">
        <v>43936</v>
      </c>
      <c r="X362" s="176">
        <v>97745</v>
      </c>
      <c r="Y362" s="177">
        <v>43950</v>
      </c>
      <c r="Z362" s="415">
        <v>2</v>
      </c>
      <c r="AA362" s="488"/>
      <c r="AB362" s="594"/>
      <c r="AC362" s="595"/>
      <c r="AD362" s="596"/>
      <c r="AE362" s="596"/>
      <c r="AF362" s="597" t="str">
        <f>IFERROR(INDEX(produtos_escape2!M:M,MATCH(Controle!H362,produtos_escape2!A:A,0)),"")</f>
        <v>LÂMINA PARA LARINGOSCÓPIO CURVA Nº 04</v>
      </c>
    </row>
    <row r="363" spans="1:32" ht="14.25" customHeight="1">
      <c r="A363" s="176" t="s">
        <v>7403</v>
      </c>
      <c r="B363" s="176" t="s">
        <v>7207</v>
      </c>
      <c r="C363" s="177">
        <v>43921</v>
      </c>
      <c r="D363" s="176" t="s">
        <v>7962</v>
      </c>
      <c r="E363" s="176" t="s">
        <v>1866</v>
      </c>
      <c r="F363" s="259" t="s">
        <v>7963</v>
      </c>
      <c r="G363" s="176">
        <v>1</v>
      </c>
      <c r="H363" s="178">
        <v>17699</v>
      </c>
      <c r="I363" s="592">
        <f t="shared" si="10"/>
        <v>1</v>
      </c>
      <c r="J363" s="178" t="s">
        <v>816</v>
      </c>
      <c r="K363" s="178" t="s">
        <v>816</v>
      </c>
      <c r="L363" s="275" t="str">
        <f>IF(H:H=0,"",IF(ISERROR(VLOOKUP(H:H,produtos_escape2!$A$2:$B$2794,2,FALSE)),"Código não cadastrado",(VLOOKUP(H:H,produtos_escape2!$A$2:$B$2794,2,FALSE))))</f>
        <v>LÂMINA PARA LARINGOSCÓPIO CURVA Nº 05, Material: latão cromado, Tamanho: 16 cm, Características Adicionais: convencional acompanhada por 3 lâmpadas, Uso: reanimação em parada cardiorespiratória.</v>
      </c>
      <c r="M363" s="593" t="str">
        <f>IF(H:H=0,"",IF(ISERROR(VLOOKUP(H:H,produtos_escape2!$A$2:$D$2794,2,FALSE)),"Código não cadastrado",(VLOOKUP(H:H,produtos_escape2!$A$2:$D$2794,4,FALSE))))</f>
        <v>UN</v>
      </c>
      <c r="N363" s="486">
        <v>10</v>
      </c>
      <c r="O363" s="176" t="s">
        <v>3663</v>
      </c>
      <c r="P363" s="486">
        <v>10</v>
      </c>
      <c r="Q363" s="247">
        <v>101.871</v>
      </c>
      <c r="R363" s="246">
        <f t="shared" si="11"/>
        <v>1018.7099999999999</v>
      </c>
      <c r="S363" s="177">
        <v>43924</v>
      </c>
      <c r="T363" s="182">
        <v>1203981</v>
      </c>
      <c r="U363" s="177">
        <v>43924</v>
      </c>
      <c r="V363" s="177">
        <v>43929</v>
      </c>
      <c r="W363" s="177">
        <v>43929</v>
      </c>
      <c r="X363" s="176">
        <v>97780</v>
      </c>
      <c r="Y363" s="177">
        <v>43950</v>
      </c>
      <c r="Z363" s="415">
        <v>2</v>
      </c>
      <c r="AA363" s="488"/>
      <c r="AB363" s="594"/>
      <c r="AC363" s="595"/>
      <c r="AD363" s="596"/>
      <c r="AE363" s="596"/>
      <c r="AF363" s="597" t="str">
        <f>IFERROR(INDEX(produtos_escape2!M:M,MATCH(Controle!H363,produtos_escape2!A:A,0)),"")</f>
        <v>LÂMINA PARA LARINGOSCÓPIO CURVA Nº 05</v>
      </c>
    </row>
    <row r="364" spans="1:32" ht="14.25" customHeight="1">
      <c r="A364" s="176" t="s">
        <v>7404</v>
      </c>
      <c r="B364" s="176" t="s">
        <v>7207</v>
      </c>
      <c r="C364" s="177">
        <v>43921</v>
      </c>
      <c r="D364" s="176" t="s">
        <v>7964</v>
      </c>
      <c r="E364" s="176" t="s">
        <v>3009</v>
      </c>
      <c r="F364" s="259" t="s">
        <v>7965</v>
      </c>
      <c r="G364" s="176">
        <v>1</v>
      </c>
      <c r="H364" s="178">
        <v>29984</v>
      </c>
      <c r="I364" s="592">
        <f t="shared" si="10"/>
        <v>1</v>
      </c>
      <c r="J364" s="178" t="s">
        <v>816</v>
      </c>
      <c r="K364" s="178" t="s">
        <v>816</v>
      </c>
      <c r="L364" s="275" t="str">
        <f>IF(H:H=0,"",IF(ISERROR(VLOOKUP(H:H,produtos_escape2!$A$2:$B$2794,2,FALSE)),"Código não cadastrado",(VLOOKUP(H:H,produtos_escape2!$A$2:$B$2794,2,FALSE))))</f>
        <v>PULSEIRA DE IDENTIFICAÇÃO BRANCA,  Aplicação: Identificação para classificação de risco, Material:fibra de polietileno de alta densidade, Tamanho: Dimensão:2,0 cm (largura) x 24 cm (comprimento).  Características: polipropileno , descartável, anti-alérgica , macia e resistente, lacre com fechamento auto colante, medida: 24 x 2cm. Processo de esterilização: Não se aplica, Forma de apresentação: unidade, Prazo de validade: Não se aplica. Unidade de Estoque: Unidade (Unid)</v>
      </c>
      <c r="M364" s="593" t="str">
        <f>IF(H:H=0,"",IF(ISERROR(VLOOKUP(H:H,produtos_escape2!$A$2:$D$2794,2,FALSE)),"Código não cadastrado",(VLOOKUP(H:H,produtos_escape2!$A$2:$D$2794,4,FALSE))))</f>
        <v>UN</v>
      </c>
      <c r="N364" s="486">
        <v>18000</v>
      </c>
      <c r="O364" s="176" t="s">
        <v>1868</v>
      </c>
      <c r="P364" s="486"/>
      <c r="Q364" s="247"/>
      <c r="R364" s="246">
        <f t="shared" si="11"/>
        <v>0</v>
      </c>
      <c r="S364" s="177">
        <v>43921</v>
      </c>
      <c r="T364" s="182"/>
      <c r="U364" s="177"/>
      <c r="V364" s="177"/>
      <c r="W364" s="177"/>
      <c r="X364" s="182"/>
      <c r="Y364" s="177"/>
      <c r="Z364" s="415">
        <v>2</v>
      </c>
      <c r="AA364" s="488" t="s">
        <v>7968</v>
      </c>
      <c r="AB364" s="594"/>
      <c r="AC364" s="595"/>
      <c r="AD364" s="596"/>
      <c r="AE364" s="596"/>
      <c r="AF364" s="597" t="str">
        <f>IFERROR(INDEX(produtos_escape2!M:M,MATCH(Controle!H364,produtos_escape2!A:A,0)),"")</f>
        <v>PULSEIRA DE IDENTIFICAÇÃO BRANCA</v>
      </c>
    </row>
    <row r="365" spans="1:32" ht="14.25" customHeight="1">
      <c r="A365" s="176" t="s">
        <v>7405</v>
      </c>
      <c r="B365" s="176" t="s">
        <v>7207</v>
      </c>
      <c r="C365" s="177">
        <v>43921</v>
      </c>
      <c r="D365" s="176" t="s">
        <v>7966</v>
      </c>
      <c r="E365" s="176" t="s">
        <v>1867</v>
      </c>
      <c r="F365" s="259" t="s">
        <v>7967</v>
      </c>
      <c r="G365" s="176">
        <v>1</v>
      </c>
      <c r="H365" s="203">
        <v>32735</v>
      </c>
      <c r="I365" s="592">
        <f t="shared" si="10"/>
        <v>4</v>
      </c>
      <c r="J365" s="203" t="s">
        <v>816</v>
      </c>
      <c r="K365" s="203" t="s">
        <v>816</v>
      </c>
      <c r="L365" s="275"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365" s="593" t="str">
        <f>IF(H:H=0,"",IF(ISERROR(VLOOKUP(H:H,produtos_escape2!$A$2:$D$2794,2,FALSE)),"Código não cadastrado",(VLOOKUP(H:H,produtos_escape2!$A$2:$D$2794,4,FALSE))))</f>
        <v>RL</v>
      </c>
      <c r="N365" s="486">
        <v>36</v>
      </c>
      <c r="O365" s="176" t="s">
        <v>3530</v>
      </c>
      <c r="P365" s="486">
        <v>36</v>
      </c>
      <c r="Q365" s="247">
        <v>38</v>
      </c>
      <c r="R365" s="246">
        <f t="shared" si="11"/>
        <v>1368</v>
      </c>
      <c r="S365" s="177">
        <v>43923</v>
      </c>
      <c r="T365" s="182">
        <v>950</v>
      </c>
      <c r="U365" s="177">
        <v>43943</v>
      </c>
      <c r="V365" s="177">
        <v>43945</v>
      </c>
      <c r="W365" s="177">
        <v>43945</v>
      </c>
      <c r="X365" s="176">
        <v>18113</v>
      </c>
      <c r="Y365" s="177">
        <v>43986</v>
      </c>
      <c r="Z365" s="415">
        <v>3</v>
      </c>
      <c r="AA365" s="488"/>
      <c r="AB365" s="594"/>
      <c r="AC365" s="595"/>
      <c r="AD365" s="596"/>
      <c r="AE365" s="596"/>
      <c r="AF365" s="597" t="str">
        <f>IFERROR(INDEX(produtos_escape2!M:M,MATCH(Controle!H365,produtos_escape2!A:A,0)),"")</f>
        <v>ETIQUETA ADESIVA TÉRMICA para Núcleo Segurança do Paciente</v>
      </c>
    </row>
    <row r="366" spans="1:32" ht="14.25" customHeight="1">
      <c r="A366" s="176" t="s">
        <v>7795</v>
      </c>
      <c r="B366" s="176" t="s">
        <v>3608</v>
      </c>
      <c r="C366" s="177">
        <v>43924</v>
      </c>
      <c r="D366" s="176" t="s">
        <v>7989</v>
      </c>
      <c r="E366" s="176" t="s">
        <v>1867</v>
      </c>
      <c r="F366" s="259" t="s">
        <v>7990</v>
      </c>
      <c r="G366" s="176">
        <v>1</v>
      </c>
      <c r="H366" s="203">
        <v>12289</v>
      </c>
      <c r="I366" s="592">
        <f t="shared" si="10"/>
        <v>6</v>
      </c>
      <c r="J366" s="203" t="s">
        <v>816</v>
      </c>
      <c r="K366" s="203" t="s">
        <v>816</v>
      </c>
      <c r="L366" s="275" t="str">
        <f>IF(H:H=0,"",IF(ISERROR(VLOOKUP(H:H,produtos_escape2!$A$2:$B$2794,2,FALSE)),"Código não cadastrado",(VLOOKUP(H:H,produtos_escape2!$A$2:$B$2794,2,FALSE))))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366" s="593" t="str">
        <f>IF(H:H=0,"",IF(ISERROR(VLOOKUP(H:H,produtos_escape2!$A$2:$D$2794,2,FALSE)),"Código não cadastrado",(VLOOKUP(H:H,produtos_escape2!$A$2:$D$2794,4,FALSE))))</f>
        <v>UN</v>
      </c>
      <c r="N366" s="486">
        <v>100</v>
      </c>
      <c r="O366" s="176" t="s">
        <v>1868</v>
      </c>
      <c r="P366" s="486"/>
      <c r="Q366" s="247"/>
      <c r="R366" s="246">
        <f t="shared" si="11"/>
        <v>0</v>
      </c>
      <c r="S366" s="177">
        <v>43929</v>
      </c>
      <c r="T366" s="182"/>
      <c r="U366" s="177"/>
      <c r="V366" s="177"/>
      <c r="W366" s="177"/>
      <c r="X366" s="176"/>
      <c r="Y366" s="177"/>
      <c r="Z366" s="415">
        <v>2</v>
      </c>
      <c r="AA366" s="488" t="s">
        <v>8043</v>
      </c>
      <c r="AB366" s="594"/>
      <c r="AC366" s="595"/>
      <c r="AD366" s="596"/>
      <c r="AE366" s="596"/>
      <c r="AF366" s="597" t="str">
        <f>IFERROR(INDEX(produtos_escape2!M:M,MATCH(Controle!H366,produtos_escape2!A:A,0)),"")</f>
        <v>SISTEMA FECHADO DE ASPIRAÇÃO TRAQUEAL VIA CÂNULA DE TRAQUEOSTOMIA ADULTO 16 FR</v>
      </c>
    </row>
    <row r="367" spans="1:32" ht="14.25" customHeight="1">
      <c r="A367" s="176" t="s">
        <v>7796</v>
      </c>
      <c r="B367" s="176" t="s">
        <v>3608</v>
      </c>
      <c r="C367" s="177">
        <v>43924</v>
      </c>
      <c r="D367" s="176" t="s">
        <v>7991</v>
      </c>
      <c r="E367" s="176" t="s">
        <v>1866</v>
      </c>
      <c r="F367" s="259" t="s">
        <v>7992</v>
      </c>
      <c r="G367" s="176">
        <v>1</v>
      </c>
      <c r="H367" s="178">
        <v>17684</v>
      </c>
      <c r="I367" s="592">
        <f t="shared" si="10"/>
        <v>6</v>
      </c>
      <c r="J367" s="178" t="s">
        <v>816</v>
      </c>
      <c r="K367" s="178" t="s">
        <v>816</v>
      </c>
      <c r="L367" s="275"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367" s="593" t="str">
        <f>IF(H:H=0,"",IF(ISERROR(VLOOKUP(H:H,produtos_escape2!$A$2:$D$2794,2,FALSE)),"Código não cadastrado",(VLOOKUP(H:H,produtos_escape2!$A$2:$D$2794,4,FALSE))))</f>
        <v>GR</v>
      </c>
      <c r="N367" s="486">
        <v>12000</v>
      </c>
      <c r="O367" s="176" t="s">
        <v>7372</v>
      </c>
      <c r="P367" s="486">
        <v>12000</v>
      </c>
      <c r="Q367" s="247">
        <v>0.03</v>
      </c>
      <c r="R367" s="246">
        <f t="shared" si="11"/>
        <v>360</v>
      </c>
      <c r="S367" s="177">
        <v>43928</v>
      </c>
      <c r="T367" s="182">
        <v>448954</v>
      </c>
      <c r="U367" s="177">
        <v>43937</v>
      </c>
      <c r="V367" s="177">
        <v>43937</v>
      </c>
      <c r="W367" s="177">
        <v>43941</v>
      </c>
      <c r="X367" s="176">
        <v>97785</v>
      </c>
      <c r="Y367" s="177">
        <v>43950</v>
      </c>
      <c r="Z367" s="415">
        <v>2</v>
      </c>
      <c r="AA367" s="488"/>
      <c r="AB367" s="594"/>
      <c r="AC367" s="595"/>
      <c r="AD367" s="596"/>
      <c r="AE367" s="596"/>
      <c r="AF367" s="597" t="str">
        <f>IFERROR(INDEX(produtos_escape2!M:M,MATCH(Controle!H367,produtos_escape2!A:A,0)),"")</f>
        <v>FÓRMULA INFANTIL PARA LACTENTES</v>
      </c>
    </row>
    <row r="368" spans="1:32" ht="14.25" customHeight="1">
      <c r="A368" s="176" t="s">
        <v>7797</v>
      </c>
      <c r="B368" s="176" t="s">
        <v>3608</v>
      </c>
      <c r="C368" s="177">
        <v>43924</v>
      </c>
      <c r="D368" s="176" t="s">
        <v>7993</v>
      </c>
      <c r="E368" s="176" t="s">
        <v>3009</v>
      </c>
      <c r="F368" s="259" t="s">
        <v>7994</v>
      </c>
      <c r="G368" s="176">
        <v>1</v>
      </c>
      <c r="H368" s="178">
        <v>100373</v>
      </c>
      <c r="I368" s="592">
        <f t="shared" si="10"/>
        <v>1</v>
      </c>
      <c r="J368" s="178" t="s">
        <v>816</v>
      </c>
      <c r="K368" s="178" t="s">
        <v>816</v>
      </c>
      <c r="L368" s="275" t="str">
        <f>IF(H:H=0,"",IF(ISERROR(VLOOKUP(H:H,produtos_escape2!$A$2:$B$2794,2,FALSE)),"Código não cadastrado",(VLOOKUP(H:H,produtos_escape2!$A$2:$B$2794,2,FALSE))))</f>
        <v>PEROXIDO DE HIDROGENIO A 3% OU 10 VOLUMES - 100ML</v>
      </c>
      <c r="M368" s="593" t="str">
        <f>IF(H:H=0,"",IF(ISERROR(VLOOKUP(H:H,produtos_escape2!$A$2:$D$2794,2,FALSE)),"Código não cadastrado",(VLOOKUP(H:H,produtos_escape2!$A$2:$D$2794,4,FALSE))))</f>
        <v>FR</v>
      </c>
      <c r="N368" s="486">
        <v>30</v>
      </c>
      <c r="O368" s="176" t="s">
        <v>7337</v>
      </c>
      <c r="P368" s="486">
        <v>30</v>
      </c>
      <c r="Q368" s="247">
        <v>1.1499999999999999</v>
      </c>
      <c r="R368" s="246">
        <f t="shared" si="11"/>
        <v>34.5</v>
      </c>
      <c r="S368" s="177">
        <v>43944</v>
      </c>
      <c r="T368" s="182">
        <v>10787</v>
      </c>
      <c r="U368" s="177">
        <v>43945</v>
      </c>
      <c r="V368" s="177">
        <v>43948</v>
      </c>
      <c r="W368" s="177">
        <v>43951</v>
      </c>
      <c r="X368" s="176">
        <v>32530</v>
      </c>
      <c r="Y368" s="177">
        <v>44011</v>
      </c>
      <c r="Z368" s="415">
        <v>3</v>
      </c>
      <c r="AA368" s="488" t="s">
        <v>8988</v>
      </c>
      <c r="AB368" s="594"/>
      <c r="AC368" s="595"/>
      <c r="AD368" s="596"/>
      <c r="AE368" s="596"/>
      <c r="AF368" s="597" t="str">
        <f>IFERROR(INDEX(produtos_escape2!M:M,MATCH(Controle!H368,produtos_escape2!A:A,0)),"")</f>
        <v>PEROXIDO DE HIDROGENIO A 3% OU 10 VOLUMES - 100ML</v>
      </c>
    </row>
    <row r="369" spans="1:32" ht="14.25" customHeight="1">
      <c r="A369" s="176" t="s">
        <v>7408</v>
      </c>
      <c r="B369" s="176" t="s">
        <v>7207</v>
      </c>
      <c r="C369" s="177">
        <v>43928</v>
      </c>
      <c r="D369" s="176" t="s">
        <v>8000</v>
      </c>
      <c r="E369" s="176" t="s">
        <v>3009</v>
      </c>
      <c r="F369" s="259" t="s">
        <v>8001</v>
      </c>
      <c r="G369" s="176">
        <v>1</v>
      </c>
      <c r="H369" s="178">
        <v>63295</v>
      </c>
      <c r="I369" s="592">
        <f t="shared" si="10"/>
        <v>8</v>
      </c>
      <c r="J369" s="178" t="s">
        <v>816</v>
      </c>
      <c r="K369" s="178" t="s">
        <v>816</v>
      </c>
      <c r="L369" s="275"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369" s="593" t="str">
        <f>IF(H:H=0,"",IF(ISERROR(VLOOKUP(H:H,produtos_escape2!$A$2:$D$2794,2,FALSE)),"Código não cadastrado",(VLOOKUP(H:H,produtos_escape2!$A$2:$D$2794,4,FALSE))))</f>
        <v>UN</v>
      </c>
      <c r="N369" s="486">
        <v>40000</v>
      </c>
      <c r="O369" s="176" t="s">
        <v>1868</v>
      </c>
      <c r="P369" s="486"/>
      <c r="Q369" s="247"/>
      <c r="R369" s="246">
        <f t="shared" si="11"/>
        <v>0</v>
      </c>
      <c r="S369" s="177">
        <v>43930</v>
      </c>
      <c r="T369" s="182"/>
      <c r="U369" s="177"/>
      <c r="V369" s="177"/>
      <c r="W369" s="177"/>
      <c r="X369" s="182"/>
      <c r="Y369" s="177"/>
      <c r="Z369" s="415">
        <v>2</v>
      </c>
      <c r="AA369" s="488" t="s">
        <v>7318</v>
      </c>
      <c r="AB369" s="594"/>
      <c r="AC369" s="595"/>
      <c r="AD369" s="596"/>
      <c r="AE369" s="596"/>
      <c r="AF369" s="597" t="str">
        <f>IFERROR(INDEX(produtos_escape2!M:M,MATCH(Controle!H369,produtos_escape2!A:A,0)),"")</f>
        <v>TOUCA HOSPITALAR</v>
      </c>
    </row>
    <row r="370" spans="1:32" ht="14.25" customHeight="1">
      <c r="A370" s="176" t="s">
        <v>7875</v>
      </c>
      <c r="B370" s="176" t="s">
        <v>3608</v>
      </c>
      <c r="C370" s="177">
        <v>43928</v>
      </c>
      <c r="D370" s="176" t="s">
        <v>8004</v>
      </c>
      <c r="E370" s="176" t="s">
        <v>1867</v>
      </c>
      <c r="F370" s="259" t="s">
        <v>8005</v>
      </c>
      <c r="G370" s="176">
        <v>1</v>
      </c>
      <c r="H370" s="178">
        <v>92439</v>
      </c>
      <c r="I370" s="592">
        <f t="shared" si="10"/>
        <v>4</v>
      </c>
      <c r="J370" s="178" t="s">
        <v>816</v>
      </c>
      <c r="K370" s="178" t="s">
        <v>816</v>
      </c>
      <c r="L370" s="275" t="str">
        <f>IF(H:H=0,"",IF(ISERROR(VLOOKUP(H:H,produtos_escape2!$A$2:$B$2794,2,FALSE)),"Código não cadastrado",(VLOOKUP(H:H,produtos_escape2!$A$2:$B$2794,2,FALSE))))</f>
        <v>SONDA DE FOLEY 2 VIAS LÁTEX Nº 18.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(UN). Código SES: 092439.  BR0277019</v>
      </c>
      <c r="M370" s="593" t="str">
        <f>IF(H:H=0,"",IF(ISERROR(VLOOKUP(H:H,produtos_escape2!$A$2:$D$2794,2,FALSE)),"Código não cadastrado",(VLOOKUP(H:H,produtos_escape2!$A$2:$D$2794,4,FALSE))))</f>
        <v>UN</v>
      </c>
      <c r="N370" s="486">
        <v>100</v>
      </c>
      <c r="O370" s="176" t="s">
        <v>3530</v>
      </c>
      <c r="P370" s="486">
        <v>100</v>
      </c>
      <c r="Q370" s="247">
        <v>3.17</v>
      </c>
      <c r="R370" s="246">
        <f t="shared" si="11"/>
        <v>317</v>
      </c>
      <c r="S370" s="177">
        <v>43932</v>
      </c>
      <c r="T370" s="182">
        <v>936</v>
      </c>
      <c r="U370" s="177">
        <v>43934</v>
      </c>
      <c r="V370" s="177">
        <v>43935</v>
      </c>
      <c r="W370" s="177">
        <v>43936</v>
      </c>
      <c r="X370" s="176">
        <v>97857</v>
      </c>
      <c r="Y370" s="177">
        <v>43950</v>
      </c>
      <c r="Z370" s="415">
        <v>2</v>
      </c>
      <c r="AA370" s="488"/>
      <c r="AB370" s="594"/>
      <c r="AC370" s="595"/>
      <c r="AD370" s="596"/>
      <c r="AE370" s="596"/>
      <c r="AF370" s="597" t="str">
        <f>IFERROR(INDEX(produtos_escape2!M:M,MATCH(Controle!H370,produtos_escape2!A:A,0)),"")</f>
        <v>SONDA DE FOLEY 2 VIAS LÁTEX Nº 18</v>
      </c>
    </row>
    <row r="371" spans="1:32" ht="14.25" customHeight="1">
      <c r="A371" s="176" t="s">
        <v>7870</v>
      </c>
      <c r="B371" s="176" t="s">
        <v>3608</v>
      </c>
      <c r="C371" s="177">
        <v>43928</v>
      </c>
      <c r="D371" s="176" t="s">
        <v>8006</v>
      </c>
      <c r="E371" s="176" t="s">
        <v>1865</v>
      </c>
      <c r="F371" s="259" t="s">
        <v>8007</v>
      </c>
      <c r="G371" s="176">
        <v>1</v>
      </c>
      <c r="H371" s="178">
        <v>92332</v>
      </c>
      <c r="I371" s="592">
        <f t="shared" si="10"/>
        <v>2</v>
      </c>
      <c r="J371" s="178" t="s">
        <v>816</v>
      </c>
      <c r="K371" s="178" t="s">
        <v>816</v>
      </c>
      <c r="L371" s="275" t="str">
        <f>IF(H:H=0,"",IF(ISERROR(VLOOKUP(H:H,produtos_escape2!$A$2:$B$2794,2,FALSE)),"Código não cadastrado",(VLOOKUP(H:H,produtos_escape2!$A$2:$B$2794,2,FALSE))))</f>
        <v xml:space="preserve">FIO DE SUTURA DE SEDA TRANCADA 2-0, 45CM, COM 01 AGULHA DE 3,0CM PONTA E CORPO CILINDRICOS 1/2 CIRCULO </v>
      </c>
      <c r="M371" s="593" t="str">
        <f>IF(H:H=0,"",IF(ISERROR(VLOOKUP(H:H,produtos_escape2!$A$2:$D$2794,2,FALSE)),"Código não cadastrado",(VLOOKUP(H:H,produtos_escape2!$A$2:$D$2794,4,FALSE))))</f>
        <v>EN</v>
      </c>
      <c r="N371" s="486">
        <v>240</v>
      </c>
      <c r="O371" s="176" t="s">
        <v>1868</v>
      </c>
      <c r="P371" s="486"/>
      <c r="Q371" s="247"/>
      <c r="R371" s="246">
        <f t="shared" si="11"/>
        <v>0</v>
      </c>
      <c r="S371" s="177">
        <v>43936</v>
      </c>
      <c r="T371" s="182"/>
      <c r="U371" s="177"/>
      <c r="V371" s="177"/>
      <c r="W371" s="177"/>
      <c r="X371" s="176"/>
      <c r="Y371" s="177"/>
      <c r="Z371" s="415">
        <v>2</v>
      </c>
      <c r="AA371" s="488" t="s">
        <v>8183</v>
      </c>
      <c r="AB371" s="594"/>
      <c r="AC371" s="595"/>
      <c r="AD371" s="596"/>
      <c r="AE371" s="596"/>
      <c r="AF371" s="597" t="str">
        <f>IFERROR(INDEX(produtos_escape2!M:M,MATCH(Controle!H371,produtos_escape2!A:A,0)),"")</f>
        <v>FIO DE SUTURA DE SEDA TRANCADA 2-0</v>
      </c>
    </row>
    <row r="372" spans="1:32" ht="14.25" customHeight="1">
      <c r="A372" s="176" t="s">
        <v>7800</v>
      </c>
      <c r="B372" s="176" t="s">
        <v>3608</v>
      </c>
      <c r="C372" s="177">
        <v>43928</v>
      </c>
      <c r="D372" s="176" t="s">
        <v>8008</v>
      </c>
      <c r="E372" s="176" t="s">
        <v>1866</v>
      </c>
      <c r="F372" s="259" t="s">
        <v>8009</v>
      </c>
      <c r="G372" s="176">
        <v>1</v>
      </c>
      <c r="H372" s="178">
        <v>34534</v>
      </c>
      <c r="I372" s="592">
        <f t="shared" si="10"/>
        <v>7</v>
      </c>
      <c r="J372" s="178" t="s">
        <v>816</v>
      </c>
      <c r="K372" s="178" t="s">
        <v>816</v>
      </c>
      <c r="L372" s="275"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372" s="593" t="str">
        <f>IF(H:H=0,"",IF(ISERROR(VLOOKUP(H:H,produtos_escape2!$A$2:$D$2794,2,FALSE)),"Código não cadastrado",(VLOOKUP(H:H,produtos_escape2!$A$2:$D$2794,4,FALSE))))</f>
        <v>UN</v>
      </c>
      <c r="N372" s="486">
        <v>1200</v>
      </c>
      <c r="O372" s="176" t="s">
        <v>7826</v>
      </c>
      <c r="P372" s="486">
        <v>1000</v>
      </c>
      <c r="Q372" s="247">
        <v>1.1000000000000001</v>
      </c>
      <c r="R372" s="246">
        <f t="shared" si="11"/>
        <v>1100</v>
      </c>
      <c r="S372" s="177">
        <v>43934</v>
      </c>
      <c r="T372" s="182">
        <v>2699</v>
      </c>
      <c r="U372" s="177">
        <v>43934</v>
      </c>
      <c r="V372" s="177">
        <v>43935</v>
      </c>
      <c r="W372" s="177">
        <v>43936</v>
      </c>
      <c r="X372" s="176">
        <v>97862</v>
      </c>
      <c r="Y372" s="177">
        <v>43950</v>
      </c>
      <c r="Z372" s="415">
        <v>2</v>
      </c>
      <c r="AA372" s="488"/>
      <c r="AB372" s="594"/>
      <c r="AC372" s="595"/>
      <c r="AD372" s="596"/>
      <c r="AE372" s="596"/>
      <c r="AF372" s="597" t="str">
        <f>IFERROR(INDEX(produtos_escape2!M:M,MATCH(Controle!H372,produtos_escape2!A:A,0)),"")</f>
        <v>EQUIPO SIMPLES PARA INFUSÃO DE SOLUÇÕES PARENTERAIS</v>
      </c>
    </row>
    <row r="373" spans="1:32" ht="14.25" customHeight="1">
      <c r="A373" s="176" t="s">
        <v>7865</v>
      </c>
      <c r="B373" s="176" t="s">
        <v>3608</v>
      </c>
      <c r="C373" s="177">
        <v>43928</v>
      </c>
      <c r="D373" s="176" t="s">
        <v>8010</v>
      </c>
      <c r="E373" s="176" t="s">
        <v>3009</v>
      </c>
      <c r="F373" s="259" t="s">
        <v>8011</v>
      </c>
      <c r="G373" s="176">
        <v>1</v>
      </c>
      <c r="H373" s="178">
        <v>7643</v>
      </c>
      <c r="I373" s="592">
        <f t="shared" si="10"/>
        <v>4</v>
      </c>
      <c r="J373" s="178" t="s">
        <v>816</v>
      </c>
      <c r="K373" s="178" t="s">
        <v>816</v>
      </c>
      <c r="L373" s="275" t="str">
        <f>IF(H:H=0,"",IF(ISERROR(VLOOKUP(H:H,produtos_escape2!$A$2:$B$2794,2,FALSE)),"Código não cadastrado",(VLOOKUP(H:H,produtos_escape2!$A$2:$B$2794,2,FALSE))))</f>
        <v>ISOLADOR DE PRESSAO DO MANOMETRO P/MAQUINA DE HEMODIALISE</v>
      </c>
      <c r="M373" s="593" t="str">
        <f>IF(H:H=0,"",IF(ISERROR(VLOOKUP(H:H,produtos_escape2!$A$2:$D$2794,2,FALSE)),"Código não cadastrado",(VLOOKUP(H:H,produtos_escape2!$A$2:$D$2794,4,FALSE))))</f>
        <v>UN</v>
      </c>
      <c r="N373" s="486">
        <v>500</v>
      </c>
      <c r="O373" s="176" t="s">
        <v>2989</v>
      </c>
      <c r="P373" s="486">
        <v>1000</v>
      </c>
      <c r="Q373" s="247">
        <v>0.5</v>
      </c>
      <c r="R373" s="246">
        <f t="shared" si="11"/>
        <v>500</v>
      </c>
      <c r="S373" s="177">
        <v>43950</v>
      </c>
      <c r="T373" s="182">
        <v>117921</v>
      </c>
      <c r="U373" s="177">
        <v>43951</v>
      </c>
      <c r="V373" s="177">
        <v>43955</v>
      </c>
      <c r="W373" s="177">
        <v>43958</v>
      </c>
      <c r="X373" s="176">
        <v>18052</v>
      </c>
      <c r="Y373" s="177">
        <v>43986</v>
      </c>
      <c r="Z373" s="415">
        <v>3</v>
      </c>
      <c r="AA373" s="601"/>
      <c r="AB373" s="594"/>
      <c r="AC373" s="595"/>
      <c r="AD373" s="596"/>
      <c r="AE373" s="596"/>
      <c r="AF373" s="597" t="str">
        <f>IFERROR(INDEX(produtos_escape2!M:M,MATCH(Controle!H373,produtos_escape2!A:A,0)),"")</f>
        <v>ISOLADOR DE PRESSAO DO MANOMETRO P/MAQUINA DE HEMODIALISE</v>
      </c>
    </row>
    <row r="374" spans="1:32" ht="14.25" customHeight="1">
      <c r="A374" s="176" t="s">
        <v>7856</v>
      </c>
      <c r="B374" s="176" t="s">
        <v>3608</v>
      </c>
      <c r="C374" s="177">
        <v>43928</v>
      </c>
      <c r="D374" s="176" t="s">
        <v>8012</v>
      </c>
      <c r="E374" s="176" t="s">
        <v>1867</v>
      </c>
      <c r="F374" s="259" t="s">
        <v>8013</v>
      </c>
      <c r="G374" s="176">
        <v>1</v>
      </c>
      <c r="H374" s="178">
        <v>91060</v>
      </c>
      <c r="I374" s="592">
        <f t="shared" si="10"/>
        <v>2</v>
      </c>
      <c r="J374" s="178" t="s">
        <v>816</v>
      </c>
      <c r="K374" s="178" t="s">
        <v>816</v>
      </c>
      <c r="L374" s="275" t="str">
        <f>IF(H:H=0,"",IF(ISERROR(VLOOKUP(H:H,produtos_escape2!$A$2:$B$2794,2,FALSE)),"Código não cadastrado",(VLOOKUP(H:H,produtos_escape2!$A$2:$B$2794,2,FALSE))))</f>
        <v>ALGODAO HIDROFILO BRANCO 20CMX100CM EM ROLO 500G</v>
      </c>
      <c r="M374" s="593" t="str">
        <f>IF(H:H=0,"",IF(ISERROR(VLOOKUP(H:H,produtos_escape2!$A$2:$D$2794,2,FALSE)),"Código não cadastrado",(VLOOKUP(H:H,produtos_escape2!$A$2:$D$2794,4,FALSE))))</f>
        <v>RL</v>
      </c>
      <c r="N374" s="486">
        <v>150</v>
      </c>
      <c r="O374" s="176" t="s">
        <v>7371</v>
      </c>
      <c r="P374" s="486">
        <v>150</v>
      </c>
      <c r="Q374" s="247">
        <v>9.6199999999999992</v>
      </c>
      <c r="R374" s="246">
        <f t="shared" si="11"/>
        <v>1442.9999999999998</v>
      </c>
      <c r="S374" s="177">
        <v>43932</v>
      </c>
      <c r="T374" s="182">
        <v>324068</v>
      </c>
      <c r="U374" s="177">
        <v>43934</v>
      </c>
      <c r="V374" s="177">
        <v>43934</v>
      </c>
      <c r="W374" s="177">
        <v>43936</v>
      </c>
      <c r="X374" s="176">
        <v>98257</v>
      </c>
      <c r="Y374" s="177">
        <v>43951</v>
      </c>
      <c r="Z374" s="415">
        <v>2</v>
      </c>
      <c r="AA374" s="606" t="s">
        <v>5888</v>
      </c>
      <c r="AB374" s="594"/>
      <c r="AC374" s="595"/>
      <c r="AD374" s="596"/>
      <c r="AE374" s="596"/>
      <c r="AF374" s="597" t="str">
        <f>IFERROR(INDEX(produtos_escape2!M:M,MATCH(Controle!H374,produtos_escape2!A:A,0)),"")</f>
        <v>ALGODAO HIDROFILO BRANCO 20CMX100CM EM ROLO 500G</v>
      </c>
    </row>
    <row r="375" spans="1:32" ht="14.25" customHeight="1">
      <c r="A375" s="176" t="s">
        <v>7867</v>
      </c>
      <c r="B375" s="176" t="s">
        <v>3608</v>
      </c>
      <c r="C375" s="177">
        <v>43928</v>
      </c>
      <c r="D375" s="176" t="s">
        <v>8014</v>
      </c>
      <c r="E375" s="176" t="s">
        <v>1866</v>
      </c>
      <c r="F375" s="259" t="s">
        <v>8015</v>
      </c>
      <c r="G375" s="176">
        <v>1</v>
      </c>
      <c r="H375" s="178">
        <v>92035</v>
      </c>
      <c r="I375" s="592">
        <f t="shared" si="10"/>
        <v>6</v>
      </c>
      <c r="J375" s="178" t="s">
        <v>816</v>
      </c>
      <c r="K375" s="178" t="s">
        <v>816</v>
      </c>
      <c r="L375" s="275"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375" s="593" t="str">
        <f>IF(H:H=0,"",IF(ISERROR(VLOOKUP(H:H,produtos_escape2!$A$2:$D$2794,2,FALSE)),"Código não cadastrado",(VLOOKUP(H:H,produtos_escape2!$A$2:$D$2794,4,FALSE))))</f>
        <v>UN</v>
      </c>
      <c r="N375" s="486">
        <v>100</v>
      </c>
      <c r="O375" s="176" t="s">
        <v>7283</v>
      </c>
      <c r="P375" s="486">
        <v>100</v>
      </c>
      <c r="Q375" s="247">
        <v>7.49</v>
      </c>
      <c r="R375" s="246">
        <f t="shared" si="11"/>
        <v>749</v>
      </c>
      <c r="S375" s="177">
        <v>43934</v>
      </c>
      <c r="T375" s="182">
        <v>1531</v>
      </c>
      <c r="U375" s="177">
        <v>43938</v>
      </c>
      <c r="V375" s="177">
        <v>43941</v>
      </c>
      <c r="W375" s="177">
        <v>43949</v>
      </c>
      <c r="X375" s="176">
        <v>18085</v>
      </c>
      <c r="Y375" s="177">
        <v>43986</v>
      </c>
      <c r="Z375" s="415">
        <v>3</v>
      </c>
      <c r="AA375" s="601"/>
      <c r="AB375" s="594"/>
      <c r="AC375" s="595"/>
      <c r="AD375" s="596"/>
      <c r="AE375" s="596"/>
      <c r="AF375" s="597" t="str">
        <f>IFERROR(INDEX(produtos_escape2!M:M,MATCH(Controle!H375,produtos_escape2!A:A,0)),"")</f>
        <v>TUBO ENDOTRAQUEAL</v>
      </c>
    </row>
    <row r="376" spans="1:32" ht="14.25" customHeight="1">
      <c r="A376" s="176" t="s">
        <v>7868</v>
      </c>
      <c r="B376" s="176" t="s">
        <v>3608</v>
      </c>
      <c r="C376" s="177">
        <v>43928</v>
      </c>
      <c r="D376" s="176" t="s">
        <v>8016</v>
      </c>
      <c r="E376" s="176" t="s">
        <v>3009</v>
      </c>
      <c r="F376" s="259" t="s">
        <v>8018</v>
      </c>
      <c r="G376" s="176">
        <v>1</v>
      </c>
      <c r="H376" s="203">
        <v>92330</v>
      </c>
      <c r="I376" s="592">
        <f t="shared" si="10"/>
        <v>1</v>
      </c>
      <c r="J376" s="178" t="s">
        <v>816</v>
      </c>
      <c r="K376" s="178" t="s">
        <v>816</v>
      </c>
      <c r="L376" s="275" t="str">
        <f>IF(H:H=0,"",IF(ISERROR(VLOOKUP(H:H,produtos_escape2!$A$2:$B$2794,2,FALSE)),"Código não cadastrado",(VLOOKUP(H:H,produtos_escape2!$A$2:$B$2794,2,FALSE))))</f>
        <v>FIO DE SUTURA DE SEDA TRANCADA 0, 45CM, COM 01 AGULHA DE 3,0CM PONTA E CORPO CORTANTES 1/2 CIRCULO. Características Adicionais: fio 0, cor preta, comprimento 45 cm, com 1 agulha, tipo agulha ponta cortante, corpo cortante, 1/2 circulo, comprimento da agulha 3,0 cm, estéril. Forma de Apresentação: 1 fio por envelope, com identificação do lote, data de fabricação, data de validade impressos em língua portuguesa no envelope e na caixa. Deverá seguir a Norma do INMETRO ABNT 13904/2003.</v>
      </c>
      <c r="M376" s="593" t="str">
        <f>IF(H:H=0,"",IF(ISERROR(VLOOKUP(H:H,produtos_escape2!$A$2:$D$2794,2,FALSE)),"Código não cadastrado",(VLOOKUP(H:H,produtos_escape2!$A$2:$D$2794,4,FALSE))))</f>
        <v>EN</v>
      </c>
      <c r="N376" s="486">
        <v>240</v>
      </c>
      <c r="O376" s="176" t="s">
        <v>1868</v>
      </c>
      <c r="P376" s="486"/>
      <c r="Q376" s="247"/>
      <c r="R376" s="246">
        <f t="shared" si="11"/>
        <v>0</v>
      </c>
      <c r="S376" s="177">
        <v>43965</v>
      </c>
      <c r="T376" s="182"/>
      <c r="U376" s="177"/>
      <c r="V376" s="177"/>
      <c r="W376" s="177"/>
      <c r="X376" s="176"/>
      <c r="Y376" s="177"/>
      <c r="Z376" s="415">
        <v>3</v>
      </c>
      <c r="AA376" s="488" t="s">
        <v>7474</v>
      </c>
      <c r="AB376" s="594"/>
      <c r="AC376" s="595"/>
      <c r="AD376" s="596"/>
      <c r="AE376" s="596"/>
      <c r="AF376" s="597" t="str">
        <f>IFERROR(INDEX(produtos_escape2!M:M,MATCH(Controle!H376,produtos_escape2!A:A,0)),"")</f>
        <v>FIO DE SUTURA DE SEDA TRANCADA 0</v>
      </c>
    </row>
    <row r="377" spans="1:32" ht="14.25" customHeight="1">
      <c r="A377" s="176" t="s">
        <v>7866</v>
      </c>
      <c r="B377" s="176" t="s">
        <v>3608</v>
      </c>
      <c r="C377" s="177">
        <v>43928</v>
      </c>
      <c r="D377" s="176" t="s">
        <v>8017</v>
      </c>
      <c r="E377" s="176" t="s">
        <v>1867</v>
      </c>
      <c r="F377" s="259" t="s">
        <v>8019</v>
      </c>
      <c r="G377" s="176">
        <v>1</v>
      </c>
      <c r="H377" s="178">
        <v>33960</v>
      </c>
      <c r="I377" s="592">
        <f t="shared" si="10"/>
        <v>3</v>
      </c>
      <c r="J377" s="178" t="s">
        <v>816</v>
      </c>
      <c r="K377" s="178" t="s">
        <v>816</v>
      </c>
      <c r="L377" s="275" t="str">
        <f>IF(H:H=0,"",IF(ISERROR(VLOOKUP(H:H,produtos_escape2!$A$2:$B$2794,2,FALSE)),"Código não cadastrado",(VLOOKUP(H:H,produtos_escape2!$A$2:$B$2794,2,FALSE))))</f>
        <v>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v>
      </c>
      <c r="M377" s="593" t="str">
        <f>IF(H:H=0,"",IF(ISERROR(VLOOKUP(H:H,produtos_escape2!$A$2:$D$2794,2,FALSE)),"Código não cadastrado",(VLOOKUP(H:H,produtos_escape2!$A$2:$D$2794,4,FALSE))))</f>
        <v>TE</v>
      </c>
      <c r="N377" s="486">
        <v>3000</v>
      </c>
      <c r="O377" s="176" t="s">
        <v>4380</v>
      </c>
      <c r="P377" s="486">
        <f>60*25</f>
        <v>1500</v>
      </c>
      <c r="Q377" s="247">
        <v>6.75</v>
      </c>
      <c r="R377" s="246">
        <f t="shared" si="11"/>
        <v>10125</v>
      </c>
      <c r="S377" s="177">
        <v>43932</v>
      </c>
      <c r="T377" s="182">
        <v>231991</v>
      </c>
      <c r="U377" s="177">
        <v>43934</v>
      </c>
      <c r="V377" s="177">
        <v>43936</v>
      </c>
      <c r="W377" s="177">
        <v>43941</v>
      </c>
      <c r="X377" s="176">
        <v>98261</v>
      </c>
      <c r="Y377" s="177">
        <v>43951</v>
      </c>
      <c r="Z377" s="415">
        <v>2</v>
      </c>
      <c r="AA377" s="488"/>
      <c r="AB377" s="594"/>
      <c r="AC377" s="595"/>
      <c r="AD377" s="596"/>
      <c r="AE377" s="596"/>
      <c r="AF377" s="597" t="str">
        <f>IFERROR(INDEX(produtos_escape2!M:M,MATCH(Controle!H377,produtos_escape2!A:A,0)),"")</f>
        <v>TESTE RÁPIDO PARA DIAGNÓSTICO DE DENGUE</v>
      </c>
    </row>
    <row r="378" spans="1:32" ht="14.25" customHeight="1">
      <c r="A378" s="176" t="s">
        <v>7866</v>
      </c>
      <c r="B378" s="176" t="s">
        <v>3608</v>
      </c>
      <c r="C378" s="177">
        <v>43928</v>
      </c>
      <c r="D378" s="176" t="s">
        <v>8017</v>
      </c>
      <c r="E378" s="176" t="s">
        <v>1867</v>
      </c>
      <c r="F378" s="259" t="s">
        <v>8019</v>
      </c>
      <c r="G378" s="176">
        <v>1</v>
      </c>
      <c r="H378" s="178">
        <v>33960</v>
      </c>
      <c r="I378" s="592">
        <f t="shared" si="10"/>
        <v>3</v>
      </c>
      <c r="J378" s="178" t="s">
        <v>816</v>
      </c>
      <c r="K378" s="178" t="s">
        <v>816</v>
      </c>
      <c r="L378" s="275" t="str">
        <f>IF(H:H=0,"",IF(ISERROR(VLOOKUP(H:H,produtos_escape2!$A$2:$B$2794,2,FALSE)),"Código não cadastrado",(VLOOKUP(H:H,produtos_escape2!$A$2:$B$2794,2,FALSE))))</f>
        <v>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v>
      </c>
      <c r="M378" s="593" t="str">
        <f>IF(H:H=0,"",IF(ISERROR(VLOOKUP(H:H,produtos_escape2!$A$2:$D$2794,2,FALSE)),"Código não cadastrado",(VLOOKUP(H:H,produtos_escape2!$A$2:$D$2794,4,FALSE))))</f>
        <v>TE</v>
      </c>
      <c r="N378" s="486">
        <v>3000</v>
      </c>
      <c r="O378" s="176" t="s">
        <v>4380</v>
      </c>
      <c r="P378" s="486">
        <v>1100</v>
      </c>
      <c r="Q378" s="247">
        <v>6.75</v>
      </c>
      <c r="R378" s="246">
        <f t="shared" si="11"/>
        <v>7425</v>
      </c>
      <c r="S378" s="177">
        <v>43932</v>
      </c>
      <c r="T378" s="182">
        <v>232926</v>
      </c>
      <c r="U378" s="177">
        <v>43944</v>
      </c>
      <c r="V378" s="177">
        <v>43949</v>
      </c>
      <c r="W378" s="177">
        <v>43949</v>
      </c>
      <c r="X378" s="176">
        <v>18232</v>
      </c>
      <c r="Y378" s="177">
        <v>43986</v>
      </c>
      <c r="Z378" s="415">
        <v>3</v>
      </c>
      <c r="AA378" s="488"/>
      <c r="AB378" s="594"/>
      <c r="AC378" s="595"/>
      <c r="AD378" s="596"/>
      <c r="AE378" s="596"/>
      <c r="AF378" s="597" t="str">
        <f>IFERROR(INDEX(produtos_escape2!M:M,MATCH(Controle!H378,produtos_escape2!A:A,0)),"")</f>
        <v>TESTE RÁPIDO PARA DIAGNÓSTICO DE DENGUE</v>
      </c>
    </row>
    <row r="379" spans="1:32" ht="14.25" customHeight="1">
      <c r="A379" s="176" t="s">
        <v>7798</v>
      </c>
      <c r="B379" s="176" t="s">
        <v>3608</v>
      </c>
      <c r="C379" s="177">
        <v>43928</v>
      </c>
      <c r="D379" s="176" t="s">
        <v>8020</v>
      </c>
      <c r="E379" s="176" t="s">
        <v>1865</v>
      </c>
      <c r="F379" s="259" t="s">
        <v>8021</v>
      </c>
      <c r="G379" s="176">
        <v>1</v>
      </c>
      <c r="H379" s="178">
        <v>35897</v>
      </c>
      <c r="I379" s="592">
        <f t="shared" si="10"/>
        <v>4</v>
      </c>
      <c r="J379" s="178" t="s">
        <v>816</v>
      </c>
      <c r="K379" s="178" t="s">
        <v>816</v>
      </c>
      <c r="L379" s="275" t="str">
        <f>IF(H:H=0,"",IF(ISERROR(VLOOKUP(H:H,produtos_escape2!$A$2:$B$2794,2,FALSE)),"Código não cadastrado",(VLOOKUP(H:H,produtos_escape2!$A$2:$B$2794,2,FALSE))))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379" s="593" t="str">
        <f>IF(H:H=0,"",IF(ISERROR(VLOOKUP(H:H,produtos_escape2!$A$2:$D$2794,2,FALSE)),"Código não cadastrado",(VLOOKUP(H:H,produtos_escape2!$A$2:$D$2794,4,FALSE))))</f>
        <v>UN</v>
      </c>
      <c r="N379" s="486">
        <v>500</v>
      </c>
      <c r="O379" s="176" t="s">
        <v>7371</v>
      </c>
      <c r="P379" s="486">
        <v>500</v>
      </c>
      <c r="Q379" s="247">
        <v>20.25</v>
      </c>
      <c r="R379" s="246">
        <f t="shared" si="11"/>
        <v>10125</v>
      </c>
      <c r="S379" s="177">
        <v>43935</v>
      </c>
      <c r="T379" s="182">
        <v>325379</v>
      </c>
      <c r="U379" s="177">
        <v>43937</v>
      </c>
      <c r="V379" s="177">
        <v>43937</v>
      </c>
      <c r="W379" s="177">
        <v>43941</v>
      </c>
      <c r="X379" s="176">
        <v>98274</v>
      </c>
      <c r="Y379" s="177">
        <v>43951</v>
      </c>
      <c r="Z379" s="415">
        <v>2</v>
      </c>
      <c r="AA379" s="488"/>
      <c r="AB379" s="594"/>
      <c r="AC379" s="595"/>
      <c r="AD379" s="596"/>
      <c r="AE379" s="596"/>
      <c r="AF379" s="597" t="str">
        <f>IFERROR(INDEX(produtos_escape2!M:M,MATCH(Controle!H379,produtos_escape2!A:A,0)),"")</f>
        <v>AGULHA ANESTÉSICA RAQUIDIANA 27G</v>
      </c>
    </row>
    <row r="380" spans="1:32" ht="14.25" customHeight="1">
      <c r="A380" s="176" t="s">
        <v>7879</v>
      </c>
      <c r="B380" s="176" t="s">
        <v>3608</v>
      </c>
      <c r="C380" s="177">
        <v>43928</v>
      </c>
      <c r="D380" s="176" t="s">
        <v>8022</v>
      </c>
      <c r="E380" s="176" t="s">
        <v>1866</v>
      </c>
      <c r="F380" s="259" t="s">
        <v>8025</v>
      </c>
      <c r="G380" s="176">
        <v>1</v>
      </c>
      <c r="H380" s="178">
        <v>10272</v>
      </c>
      <c r="I380" s="592">
        <f t="shared" si="10"/>
        <v>2</v>
      </c>
      <c r="J380" s="178" t="s">
        <v>816</v>
      </c>
      <c r="K380" s="178" t="s">
        <v>816</v>
      </c>
      <c r="L380" s="275" t="str">
        <f>IF(H:H=0,"",IF(ISERROR(VLOOKUP(H:H,produtos_escape2!$A$2:$B$2794,2,FALSE)),"Código não cadastrado",(VLOOKUP(H:H,produtos_escape2!$A$2:$B$2794,2,FALSE))))</f>
        <v>GLICOSE 5 % SOLUÇAO INJETAVEL BOLSA OU FRASCO 500 ML SISTEMA FECHADO DE INFUSAO EMBALAGEM PRIMÁRIA ISENTA DE PVC. Características Adicionais: a bolsa ou o
frasco deve ter graduação volumétrica. A bolsa ou o frasco deve ter colapsabilidade a fim de pe...</v>
      </c>
      <c r="M380" s="593" t="str">
        <f>IF(H:H=0,"",IF(ISERROR(VLOOKUP(H:H,produtos_escape2!$A$2:$D$2794,2,FALSE)),"Código não cadastrado",(VLOOKUP(H:H,produtos_escape2!$A$2:$D$2794,4,FALSE))))</f>
        <v>UN</v>
      </c>
      <c r="N380" s="486">
        <v>2000</v>
      </c>
      <c r="O380" s="176" t="s">
        <v>4109</v>
      </c>
      <c r="P380" s="486">
        <v>2000</v>
      </c>
      <c r="Q380" s="247">
        <v>2.89</v>
      </c>
      <c r="R380" s="246">
        <f t="shared" si="11"/>
        <v>5780</v>
      </c>
      <c r="S380" s="177">
        <v>43934</v>
      </c>
      <c r="T380" s="182">
        <v>80145</v>
      </c>
      <c r="U380" s="177">
        <v>43934</v>
      </c>
      <c r="V380" s="177">
        <v>43935</v>
      </c>
      <c r="W380" s="177">
        <v>43941</v>
      </c>
      <c r="X380" s="176">
        <v>98277</v>
      </c>
      <c r="Y380" s="177">
        <v>43951</v>
      </c>
      <c r="Z380" s="415">
        <v>2</v>
      </c>
      <c r="AA380" s="488"/>
      <c r="AB380" s="594"/>
      <c r="AC380" s="595"/>
      <c r="AD380" s="596"/>
      <c r="AE380" s="596"/>
      <c r="AF380" s="597" t="str">
        <f>IFERROR(INDEX(produtos_escape2!M:M,MATCH(Controle!H380,produtos_escape2!A:A,0)),"")</f>
        <v>GLICOSEE 5%</v>
      </c>
    </row>
    <row r="381" spans="1:32" ht="14.25" customHeight="1">
      <c r="A381" s="176" t="s">
        <v>7883</v>
      </c>
      <c r="B381" s="176" t="s">
        <v>3608</v>
      </c>
      <c r="C381" s="177">
        <v>43928</v>
      </c>
      <c r="D381" s="176" t="s">
        <v>8026</v>
      </c>
      <c r="E381" s="176" t="s">
        <v>3009</v>
      </c>
      <c r="F381" s="259" t="s">
        <v>8027</v>
      </c>
      <c r="G381" s="176">
        <v>1</v>
      </c>
      <c r="H381" s="178">
        <v>92402</v>
      </c>
      <c r="I381" s="592">
        <f t="shared" si="10"/>
        <v>9</v>
      </c>
      <c r="J381" s="178" t="s">
        <v>816</v>
      </c>
      <c r="K381" s="178" t="s">
        <v>816</v>
      </c>
      <c r="L381" s="275"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381" s="593" t="str">
        <f>IF(H:H=0,"",IF(ISERROR(VLOOKUP(H:H,produtos_escape2!$A$2:$D$2794,2,FALSE)),"Código não cadastrado",(VLOOKUP(H:H,produtos_escape2!$A$2:$D$2794,4,FALSE))))</f>
        <v>PAR</v>
      </c>
      <c r="N381" s="486">
        <v>5000</v>
      </c>
      <c r="O381" s="176" t="s">
        <v>7825</v>
      </c>
      <c r="P381" s="486">
        <v>5000</v>
      </c>
      <c r="Q381" s="247">
        <v>1.58</v>
      </c>
      <c r="R381" s="246">
        <f t="shared" si="11"/>
        <v>7900</v>
      </c>
      <c r="S381" s="177">
        <v>43934</v>
      </c>
      <c r="T381" s="182">
        <v>531816</v>
      </c>
      <c r="U381" s="177">
        <v>43935</v>
      </c>
      <c r="V381" s="177">
        <v>43941</v>
      </c>
      <c r="W381" s="177">
        <v>43949</v>
      </c>
      <c r="X381" s="176">
        <v>18237</v>
      </c>
      <c r="Y381" s="177">
        <v>43986</v>
      </c>
      <c r="Z381" s="415">
        <v>3</v>
      </c>
      <c r="AA381" s="488"/>
      <c r="AB381" s="594"/>
      <c r="AC381" s="595"/>
      <c r="AD381" s="596"/>
      <c r="AE381" s="596"/>
      <c r="AF381" s="597" t="str">
        <f>IFERROR(INDEX(produtos_escape2!M:M,MATCH(Controle!H381,produtos_escape2!A:A,0)),"")</f>
        <v>LUVA CIRURGICA CONVENCIONAL Nº 7</v>
      </c>
    </row>
    <row r="382" spans="1:32" ht="14.25" customHeight="1">
      <c r="A382" s="176" t="s">
        <v>7876</v>
      </c>
      <c r="B382" s="176" t="s">
        <v>3608</v>
      </c>
      <c r="C382" s="177">
        <v>43929</v>
      </c>
      <c r="D382" s="176" t="s">
        <v>8028</v>
      </c>
      <c r="E382" s="176" t="s">
        <v>1867</v>
      </c>
      <c r="F382" s="259" t="s">
        <v>8029</v>
      </c>
      <c r="G382" s="176">
        <v>1</v>
      </c>
      <c r="H382" s="178">
        <v>92445</v>
      </c>
      <c r="I382" s="592">
        <f t="shared" si="10"/>
        <v>8</v>
      </c>
      <c r="J382" s="178" t="s">
        <v>816</v>
      </c>
      <c r="K382" s="178" t="s">
        <v>816</v>
      </c>
      <c r="L382" s="275"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382" s="593" t="str">
        <f>IF(H:H=0,"",IF(ISERROR(VLOOKUP(H:H,produtos_escape2!$A$2:$D$2794,2,FALSE)),"Código não cadastrado",(VLOOKUP(H:H,produtos_escape2!$A$2:$D$2794,4,FALSE))))</f>
        <v>UN</v>
      </c>
      <c r="N382" s="486">
        <v>100</v>
      </c>
      <c r="O382" s="176" t="s">
        <v>4380</v>
      </c>
      <c r="P382" s="486">
        <v>100</v>
      </c>
      <c r="Q382" s="247">
        <v>2.89</v>
      </c>
      <c r="R382" s="246">
        <f t="shared" si="11"/>
        <v>289</v>
      </c>
      <c r="S382" s="177">
        <v>43932</v>
      </c>
      <c r="T382" s="182">
        <v>231934</v>
      </c>
      <c r="U382" s="177">
        <v>43934</v>
      </c>
      <c r="V382" s="177">
        <v>43934</v>
      </c>
      <c r="W382" s="177">
        <v>43936</v>
      </c>
      <c r="X382" s="176">
        <v>98281</v>
      </c>
      <c r="Y382" s="177">
        <v>43951</v>
      </c>
      <c r="Z382" s="415">
        <v>2</v>
      </c>
      <c r="AA382" s="488"/>
      <c r="AB382" s="594"/>
      <c r="AC382" s="595"/>
      <c r="AD382" s="596"/>
      <c r="AE382" s="596"/>
      <c r="AF382" s="597" t="str">
        <f>IFERROR(INDEX(produtos_escape2!M:M,MATCH(Controle!H382,produtos_escape2!A:A,0)),"")</f>
        <v>SONDA DE FOLEY 2 VIAS LÁTEX Nº 14</v>
      </c>
    </row>
    <row r="383" spans="1:32" ht="14.25" customHeight="1">
      <c r="A383" s="176" t="s">
        <v>7855</v>
      </c>
      <c r="B383" s="176" t="s">
        <v>3608</v>
      </c>
      <c r="C383" s="177">
        <v>43929</v>
      </c>
      <c r="D383" s="176" t="s">
        <v>8030</v>
      </c>
      <c r="E383" s="176" t="s">
        <v>1866</v>
      </c>
      <c r="F383" s="259" t="s">
        <v>8031</v>
      </c>
      <c r="G383" s="176">
        <v>1</v>
      </c>
      <c r="H383" s="178">
        <v>30972</v>
      </c>
      <c r="I383" s="592">
        <f t="shared" si="10"/>
        <v>7</v>
      </c>
      <c r="J383" s="178" t="s">
        <v>816</v>
      </c>
      <c r="K383" s="178" t="s">
        <v>816</v>
      </c>
      <c r="L383" s="275"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383" s="593" t="str">
        <f>IF(H:H=0,"",IF(ISERROR(VLOOKUP(H:H,produtos_escape2!$A$2:$D$2794,2,FALSE)),"Código não cadastrado",(VLOOKUP(H:H,produtos_escape2!$A$2:$D$2794,4,FALSE))))</f>
        <v>UN</v>
      </c>
      <c r="N383" s="486">
        <v>500</v>
      </c>
      <c r="O383" s="176" t="s">
        <v>10360</v>
      </c>
      <c r="P383" s="486">
        <v>500</v>
      </c>
      <c r="Q383" s="247">
        <v>3.1</v>
      </c>
      <c r="R383" s="246">
        <f t="shared" si="11"/>
        <v>1550</v>
      </c>
      <c r="S383" s="177">
        <v>43930</v>
      </c>
      <c r="T383" s="182">
        <v>23788</v>
      </c>
      <c r="U383" s="177">
        <v>43934</v>
      </c>
      <c r="V383" s="177">
        <v>43935</v>
      </c>
      <c r="W383" s="177">
        <v>43937</v>
      </c>
      <c r="X383" s="503" t="s">
        <v>9355</v>
      </c>
      <c r="Y383" s="502" t="s">
        <v>9356</v>
      </c>
      <c r="Z383" s="607">
        <v>2</v>
      </c>
      <c r="AA383" s="608" t="s">
        <v>9357</v>
      </c>
      <c r="AB383" s="594"/>
      <c r="AC383" s="595"/>
      <c r="AD383" s="596"/>
      <c r="AE383" s="596"/>
      <c r="AF383" s="597" t="str">
        <f>IFERROR(INDEX(produtos_escape2!M:M,MATCH(Controle!H383,produtos_escape2!A:A,0)),"")</f>
        <v>CATETER NASAL ADULTO</v>
      </c>
    </row>
    <row r="384" spans="1:32" ht="14.25" customHeight="1">
      <c r="A384" s="176" t="s">
        <v>7880</v>
      </c>
      <c r="B384" s="176" t="s">
        <v>3608</v>
      </c>
      <c r="C384" s="177">
        <v>43929</v>
      </c>
      <c r="D384" s="176" t="s">
        <v>8033</v>
      </c>
      <c r="E384" s="176" t="s">
        <v>3009</v>
      </c>
      <c r="F384" s="259" t="s">
        <v>8032</v>
      </c>
      <c r="G384" s="176">
        <v>1</v>
      </c>
      <c r="H384" s="178">
        <v>91207</v>
      </c>
      <c r="I384" s="592">
        <f t="shared" si="10"/>
        <v>4</v>
      </c>
      <c r="J384" s="178" t="s">
        <v>816</v>
      </c>
      <c r="K384" s="178" t="s">
        <v>816</v>
      </c>
      <c r="L384" s="275" t="str">
        <f>IF(H:H=0,"",IF(ISERROR(VLOOKUP(H:H,produtos_escape2!$A$2:$B$2794,2,FALSE)),"Código não cadastrado",(VLOOKUP(H:H,produtos_escape2!$A$2:$B$2794,2,FALSE))))</f>
        <v>CURATIVO DE HIDROFIBRA, ESTERIL. Composição: carboximetilcelulose associada à prata, estéril, não aderente. Tamanho: 15x15cm. Apresentação: embalagem individual.</v>
      </c>
      <c r="M384" s="593" t="str">
        <f>IF(H:H=0,"",IF(ISERROR(VLOOKUP(H:H,produtos_escape2!$A$2:$D$2794,2,FALSE)),"Código não cadastrado",(VLOOKUP(H:H,produtos_escape2!$A$2:$D$2794,4,FALSE))))</f>
        <v>UN</v>
      </c>
      <c r="N384" s="486">
        <v>300</v>
      </c>
      <c r="O384" s="176" t="s">
        <v>7285</v>
      </c>
      <c r="P384" s="486">
        <v>300</v>
      </c>
      <c r="Q384" s="247">
        <v>48</v>
      </c>
      <c r="R384" s="246">
        <f t="shared" si="11"/>
        <v>14400</v>
      </c>
      <c r="S384" s="177">
        <v>43935</v>
      </c>
      <c r="T384" s="182">
        <v>2045</v>
      </c>
      <c r="U384" s="177">
        <v>43937</v>
      </c>
      <c r="V384" s="177">
        <v>43948</v>
      </c>
      <c r="W384" s="177">
        <v>43951</v>
      </c>
      <c r="X384" s="176">
        <v>18270</v>
      </c>
      <c r="Y384" s="177">
        <v>43986</v>
      </c>
      <c r="Z384" s="415">
        <v>3</v>
      </c>
      <c r="AA384" s="488"/>
      <c r="AB384" s="594"/>
      <c r="AC384" s="595"/>
      <c r="AD384" s="596"/>
      <c r="AE384" s="596"/>
      <c r="AF384" s="597" t="str">
        <f>IFERROR(INDEX(produtos_escape2!M:M,MATCH(Controle!H384,produtos_escape2!A:A,0)),"")</f>
        <v>CURATIVO DE HIDROFIBRA</v>
      </c>
    </row>
    <row r="385" spans="1:32" ht="14.25" customHeight="1">
      <c r="A385" s="176" t="s">
        <v>7339</v>
      </c>
      <c r="B385" s="176" t="s">
        <v>1687</v>
      </c>
      <c r="C385" s="177">
        <v>43934</v>
      </c>
      <c r="D385" s="176" t="s">
        <v>8035</v>
      </c>
      <c r="E385" s="176" t="s">
        <v>3008</v>
      </c>
      <c r="F385" s="259" t="s">
        <v>8036</v>
      </c>
      <c r="G385" s="176">
        <v>1</v>
      </c>
      <c r="H385" s="178" t="s">
        <v>8044</v>
      </c>
      <c r="I385" s="592">
        <f t="shared" si="10"/>
        <v>1</v>
      </c>
      <c r="J385" s="178"/>
      <c r="K385" s="178"/>
      <c r="L385" s="275" t="str">
        <f>IF(H:H=0,"",IF(ISERROR(VLOOKUP(H:H,produtos_escape2!$A$2:$B$2794,2,FALSE)),"Código não cadastrado",(VLOOKUP(H:H,produtos_escape2!$A$2:$B$2794,2,FALSE))))</f>
        <v>CONSERTO DE MONITOR MULTIPARAMÉTRICO DIXTAL DX 2020 - Patrimônio 741178</v>
      </c>
      <c r="M385" s="593" t="str">
        <f>IF(H:H=0,"",IF(ISERROR(VLOOKUP(H:H,produtos_escape2!$A$2:$D$2794,2,FALSE)),"Código não cadastrado",(VLOOKUP(H:H,produtos_escape2!$A$2:$D$2794,4,FALSE))))</f>
        <v>Serviço</v>
      </c>
      <c r="N385" s="486">
        <v>1</v>
      </c>
      <c r="O385" s="176" t="s">
        <v>7819</v>
      </c>
      <c r="P385" s="486">
        <v>1</v>
      </c>
      <c r="Q385" s="247">
        <v>2556.87</v>
      </c>
      <c r="R385" s="246">
        <f t="shared" si="11"/>
        <v>2556.87</v>
      </c>
      <c r="S385" s="177">
        <v>43944</v>
      </c>
      <c r="T385" s="182">
        <v>8782</v>
      </c>
      <c r="U385" s="177">
        <v>43949</v>
      </c>
      <c r="V385" s="177">
        <v>43950</v>
      </c>
      <c r="W385" s="177">
        <v>43950</v>
      </c>
      <c r="X385" s="176">
        <v>18224</v>
      </c>
      <c r="Y385" s="177">
        <v>43986</v>
      </c>
      <c r="Z385" s="415">
        <v>3</v>
      </c>
      <c r="AA385" s="488"/>
      <c r="AB385" s="594"/>
      <c r="AC385" s="595"/>
      <c r="AD385" s="596"/>
      <c r="AE385" s="596"/>
      <c r="AF385" s="597">
        <f>IFERROR(INDEX(produtos_escape2!M:M,MATCH(Controle!H385,produtos_escape2!A:A,0)),"")</f>
        <v>0</v>
      </c>
    </row>
    <row r="386" spans="1:32" ht="14.25" customHeight="1">
      <c r="A386" s="176" t="s">
        <v>7339</v>
      </c>
      <c r="B386" s="176" t="s">
        <v>1687</v>
      </c>
      <c r="C386" s="177">
        <v>43934</v>
      </c>
      <c r="D386" s="176" t="s">
        <v>8035</v>
      </c>
      <c r="E386" s="176" t="s">
        <v>3008</v>
      </c>
      <c r="F386" s="259" t="s">
        <v>8036</v>
      </c>
      <c r="G386" s="176">
        <v>2</v>
      </c>
      <c r="H386" s="178" t="s">
        <v>8046</v>
      </c>
      <c r="I386" s="592">
        <f t="shared" si="10"/>
        <v>1</v>
      </c>
      <c r="J386" s="178"/>
      <c r="K386" s="178"/>
      <c r="L386" s="275" t="str">
        <f>IF(H:H=0,"",IF(ISERROR(VLOOKUP(H:H,produtos_escape2!$A$2:$B$2794,2,FALSE)),"Código não cadastrado",(VLOOKUP(H:H,produtos_escape2!$A$2:$B$2794,2,FALSE))))</f>
        <v>CONSERTO DE MONITOR MULTIPARAMÉTRICO DIXTAL DX 2020 - Patrimônio 741180</v>
      </c>
      <c r="M386" s="593" t="str">
        <f>IF(H:H=0,"",IF(ISERROR(VLOOKUP(H:H,produtos_escape2!$A$2:$D$2794,2,FALSE)),"Código não cadastrado",(VLOOKUP(H:H,produtos_escape2!$A$2:$D$2794,4,FALSE))))</f>
        <v>Serviço</v>
      </c>
      <c r="N386" s="486">
        <v>1</v>
      </c>
      <c r="O386" s="176" t="s">
        <v>7819</v>
      </c>
      <c r="P386" s="486">
        <v>1</v>
      </c>
      <c r="Q386" s="247">
        <v>2556.87</v>
      </c>
      <c r="R386" s="246">
        <f t="shared" si="11"/>
        <v>2556.87</v>
      </c>
      <c r="S386" s="177">
        <v>43944</v>
      </c>
      <c r="T386" s="182">
        <v>8782</v>
      </c>
      <c r="U386" s="177">
        <v>43949</v>
      </c>
      <c r="V386" s="177">
        <v>43950</v>
      </c>
      <c r="W386" s="177">
        <v>43950</v>
      </c>
      <c r="X386" s="176">
        <v>18224</v>
      </c>
      <c r="Y386" s="177">
        <v>43986</v>
      </c>
      <c r="Z386" s="415">
        <v>3</v>
      </c>
      <c r="AA386" s="488"/>
      <c r="AB386" s="594"/>
      <c r="AC386" s="595"/>
      <c r="AD386" s="596"/>
      <c r="AE386" s="596"/>
      <c r="AF386" s="597">
        <f>IFERROR(INDEX(produtos_escape2!M:M,MATCH(Controle!H386,produtos_escape2!A:A,0)),"")</f>
        <v>0</v>
      </c>
    </row>
    <row r="387" spans="1:32" ht="14.25" customHeight="1">
      <c r="A387" s="176" t="s">
        <v>7317</v>
      </c>
      <c r="B387" s="176" t="s">
        <v>1687</v>
      </c>
      <c r="C387" s="177">
        <v>43934</v>
      </c>
      <c r="D387" s="176" t="s">
        <v>8037</v>
      </c>
      <c r="E387" s="176" t="s">
        <v>3008</v>
      </c>
      <c r="F387" s="259" t="s">
        <v>8039</v>
      </c>
      <c r="G387" s="176">
        <v>1</v>
      </c>
      <c r="H387" s="178" t="s">
        <v>3243</v>
      </c>
      <c r="I387" s="592">
        <f t="shared" ref="I387:I450" si="12">COUNTIF($H$3:$H$3041,H387)</f>
        <v>1</v>
      </c>
      <c r="J387" s="178"/>
      <c r="K387" s="178"/>
      <c r="L387" s="275" t="str">
        <f>IF(H:H=0,"",IF(ISERROR(VLOOKUP(H:H,produtos_escape2!$A$2:$B$2794,2,FALSE)),"Código não cadastrado",(VLOOKUP(H:H,produtos_escape2!$A$2:$B$2794,2,FALSE))))</f>
        <v>Conserto em Aparelho VENTILADOR MECANICO, marca MAQUET modelo SERVO-S Patrimônio: 020447</v>
      </c>
      <c r="M387" s="593" t="str">
        <f>IF(H:H=0,"",IF(ISERROR(VLOOKUP(H:H,produtos_escape2!$A$2:$D$2794,2,FALSE)),"Código não cadastrado",(VLOOKUP(H:H,produtos_escape2!$A$2:$D$2794,4,FALSE))))</f>
        <v>Serviço</v>
      </c>
      <c r="N387" s="486">
        <v>1</v>
      </c>
      <c r="O387" s="176" t="s">
        <v>1868</v>
      </c>
      <c r="P387" s="486"/>
      <c r="Q387" s="247"/>
      <c r="R387" s="246">
        <f t="shared" ref="R387:R450" si="13">P387*Q387</f>
        <v>0</v>
      </c>
      <c r="S387" s="177">
        <v>43978</v>
      </c>
      <c r="T387" s="182"/>
      <c r="U387" s="177"/>
      <c r="V387" s="177"/>
      <c r="W387" s="177"/>
      <c r="X387" s="176"/>
      <c r="Y387" s="177"/>
      <c r="Z387" s="415">
        <v>3</v>
      </c>
      <c r="AA387" s="488" t="s">
        <v>8623</v>
      </c>
      <c r="AB387" s="594"/>
      <c r="AC387" s="595"/>
      <c r="AD387" s="596"/>
      <c r="AE387" s="596"/>
      <c r="AF387" s="597">
        <f>IFERROR(INDEX(produtos_escape2!M:M,MATCH(Controle!H387,produtos_escape2!A:A,0)),"")</f>
        <v>0</v>
      </c>
    </row>
    <row r="388" spans="1:32" ht="14.25" customHeight="1">
      <c r="A388" s="176" t="s">
        <v>7313</v>
      </c>
      <c r="B388" s="176" t="s">
        <v>1687</v>
      </c>
      <c r="C388" s="177">
        <v>43934</v>
      </c>
      <c r="D388" s="176" t="s">
        <v>8038</v>
      </c>
      <c r="E388" s="176" t="s">
        <v>3008</v>
      </c>
      <c r="F388" s="259" t="s">
        <v>8049</v>
      </c>
      <c r="G388" s="176">
        <v>5</v>
      </c>
      <c r="H388" s="178" t="s">
        <v>8105</v>
      </c>
      <c r="I388" s="592">
        <f t="shared" si="12"/>
        <v>1</v>
      </c>
      <c r="J388" s="178"/>
      <c r="K388" s="178"/>
      <c r="L388" s="275" t="str">
        <f>IF(H:H=0,"",IF(ISERROR(VLOOKUP(H:H,produtos_escape2!$A$2:$B$2794,2,FALSE)),"Código não cadastrado",(VLOOKUP(H:H,produtos_escape2!$A$2:$B$2794,2,FALSE))))</f>
        <v>CONSERTO DE Cama Elétrica Hospimetal, Patrimônio 878110</v>
      </c>
      <c r="M388" s="593" t="str">
        <f>IF(H:H=0,"",IF(ISERROR(VLOOKUP(H:H,produtos_escape2!$A$2:$D$2794,2,FALSE)),"Código não cadastrado",(VLOOKUP(H:H,produtos_escape2!$A$2:$D$2794,4,FALSE))))</f>
        <v>Serviço</v>
      </c>
      <c r="N388" s="486">
        <v>1</v>
      </c>
      <c r="O388" s="176" t="s">
        <v>1868</v>
      </c>
      <c r="P388" s="486"/>
      <c r="Q388" s="247">
        <v>1100</v>
      </c>
      <c r="R388" s="246">
        <f t="shared" si="13"/>
        <v>0</v>
      </c>
      <c r="S388" s="177">
        <v>43970</v>
      </c>
      <c r="T388" s="182"/>
      <c r="U388" s="177"/>
      <c r="V388" s="177"/>
      <c r="W388" s="177"/>
      <c r="X388" s="176"/>
      <c r="Y388" s="177"/>
      <c r="Z388" s="415">
        <v>5</v>
      </c>
      <c r="AA388" s="488" t="s">
        <v>10230</v>
      </c>
      <c r="AB388" s="594"/>
      <c r="AC388" s="595"/>
      <c r="AD388" s="596"/>
      <c r="AE388" s="596"/>
      <c r="AF388" s="597">
        <f>IFERROR(INDEX(produtos_escape2!M:M,MATCH(Controle!H388,produtos_escape2!A:A,0)),"")</f>
        <v>0</v>
      </c>
    </row>
    <row r="389" spans="1:32" ht="14.25" customHeight="1">
      <c r="A389" s="176" t="s">
        <v>7313</v>
      </c>
      <c r="B389" s="176" t="s">
        <v>1687</v>
      </c>
      <c r="C389" s="177">
        <v>43934</v>
      </c>
      <c r="D389" s="176" t="s">
        <v>8038</v>
      </c>
      <c r="E389" s="176" t="s">
        <v>3008</v>
      </c>
      <c r="F389" s="259" t="s">
        <v>8049</v>
      </c>
      <c r="G389" s="176">
        <v>4</v>
      </c>
      <c r="H389" s="178" t="s">
        <v>8104</v>
      </c>
      <c r="I389" s="592">
        <f t="shared" si="12"/>
        <v>1</v>
      </c>
      <c r="J389" s="178"/>
      <c r="K389" s="178"/>
      <c r="L389" s="275" t="str">
        <f>IF(H:H=0,"",IF(ISERROR(VLOOKUP(H:H,produtos_escape2!$A$2:$B$2794,2,FALSE)),"Código não cadastrado",(VLOOKUP(H:H,produtos_escape2!$A$2:$B$2794,2,FALSE))))</f>
        <v>CONSERTO DE Cama Elétrica Hospimetal, Patrimônio 878256</v>
      </c>
      <c r="M389" s="593" t="str">
        <f>IF(H:H=0,"",IF(ISERROR(VLOOKUP(H:H,produtos_escape2!$A$2:$D$2794,2,FALSE)),"Código não cadastrado",(VLOOKUP(H:H,produtos_escape2!$A$2:$D$2794,4,FALSE))))</f>
        <v>Serviço</v>
      </c>
      <c r="N389" s="486">
        <v>1</v>
      </c>
      <c r="O389" s="176" t="s">
        <v>1868</v>
      </c>
      <c r="P389" s="486"/>
      <c r="Q389" s="247">
        <v>1100</v>
      </c>
      <c r="R389" s="246">
        <f t="shared" si="13"/>
        <v>0</v>
      </c>
      <c r="S389" s="177">
        <v>43970</v>
      </c>
      <c r="T389" s="182"/>
      <c r="U389" s="177"/>
      <c r="V389" s="177"/>
      <c r="W389" s="177"/>
      <c r="X389" s="176"/>
      <c r="Y389" s="177"/>
      <c r="Z389" s="415">
        <v>5</v>
      </c>
      <c r="AA389" s="488" t="s">
        <v>10230</v>
      </c>
      <c r="AB389" s="594"/>
      <c r="AC389" s="595"/>
      <c r="AD389" s="596"/>
      <c r="AE389" s="596"/>
      <c r="AF389" s="597">
        <f>IFERROR(INDEX(produtos_escape2!M:M,MATCH(Controle!H389,produtos_escape2!A:A,0)),"")</f>
        <v>0</v>
      </c>
    </row>
    <row r="390" spans="1:32" ht="14.25" customHeight="1">
      <c r="A390" s="176" t="s">
        <v>7313</v>
      </c>
      <c r="B390" s="176" t="s">
        <v>1687</v>
      </c>
      <c r="C390" s="177">
        <v>43934</v>
      </c>
      <c r="D390" s="176" t="s">
        <v>8038</v>
      </c>
      <c r="E390" s="176" t="s">
        <v>3008</v>
      </c>
      <c r="F390" s="259" t="s">
        <v>8049</v>
      </c>
      <c r="G390" s="176">
        <v>2</v>
      </c>
      <c r="H390" s="178" t="s">
        <v>8103</v>
      </c>
      <c r="I390" s="592">
        <f t="shared" si="12"/>
        <v>1</v>
      </c>
      <c r="J390" s="178"/>
      <c r="K390" s="178"/>
      <c r="L390" s="275" t="str">
        <f>IF(H:H=0,"",IF(ISERROR(VLOOKUP(H:H,produtos_escape2!$A$2:$B$2794,2,FALSE)),"Código não cadastrado",(VLOOKUP(H:H,produtos_escape2!$A$2:$B$2794,2,FALSE))))</f>
        <v>CONSERTO DE Cama Elétrica Hospimetal, Patrimônio 878281</v>
      </c>
      <c r="M390" s="593" t="str">
        <f>IF(H:H=0,"",IF(ISERROR(VLOOKUP(H:H,produtos_escape2!$A$2:$D$2794,2,FALSE)),"Código não cadastrado",(VLOOKUP(H:H,produtos_escape2!$A$2:$D$2794,4,FALSE))))</f>
        <v>Serviço</v>
      </c>
      <c r="N390" s="486">
        <v>1</v>
      </c>
      <c r="O390" s="176" t="s">
        <v>1868</v>
      </c>
      <c r="P390" s="486"/>
      <c r="Q390" s="247">
        <v>1100</v>
      </c>
      <c r="R390" s="246">
        <f t="shared" si="13"/>
        <v>0</v>
      </c>
      <c r="S390" s="177">
        <v>43970</v>
      </c>
      <c r="T390" s="182"/>
      <c r="U390" s="177"/>
      <c r="V390" s="177"/>
      <c r="W390" s="177"/>
      <c r="X390" s="176"/>
      <c r="Y390" s="177"/>
      <c r="Z390" s="415">
        <v>5</v>
      </c>
      <c r="AA390" s="488" t="s">
        <v>10230</v>
      </c>
      <c r="AB390" s="594"/>
      <c r="AC390" s="595"/>
      <c r="AD390" s="596"/>
      <c r="AE390" s="596"/>
      <c r="AF390" s="597">
        <f>IFERROR(INDEX(produtos_escape2!M:M,MATCH(Controle!H390,produtos_escape2!A:A,0)),"")</f>
        <v>0</v>
      </c>
    </row>
    <row r="391" spans="1:32" ht="14.25" customHeight="1">
      <c r="A391" s="176" t="s">
        <v>7313</v>
      </c>
      <c r="B391" s="176" t="s">
        <v>1687</v>
      </c>
      <c r="C391" s="177">
        <v>43934</v>
      </c>
      <c r="D391" s="176" t="s">
        <v>8038</v>
      </c>
      <c r="E391" s="176" t="s">
        <v>3008</v>
      </c>
      <c r="F391" s="259" t="s">
        <v>8049</v>
      </c>
      <c r="G391" s="176">
        <v>1</v>
      </c>
      <c r="H391" s="178" t="s">
        <v>8102</v>
      </c>
      <c r="I391" s="592">
        <f t="shared" si="12"/>
        <v>1</v>
      </c>
      <c r="J391" s="178"/>
      <c r="K391" s="178"/>
      <c r="L391" s="275" t="str">
        <f>IF(H:H=0,"",IF(ISERROR(VLOOKUP(H:H,produtos_escape2!$A$2:$B$2794,2,FALSE)),"Código não cadastrado",(VLOOKUP(H:H,produtos_escape2!$A$2:$B$2794,2,FALSE))))</f>
        <v>CONSERTO DE Cama Elétrica Hospimetal, Patrimônio 878282</v>
      </c>
      <c r="M391" s="593" t="str">
        <f>IF(H:H=0,"",IF(ISERROR(VLOOKUP(H:H,produtos_escape2!$A$2:$D$2794,2,FALSE)),"Código não cadastrado",(VLOOKUP(H:H,produtos_escape2!$A$2:$D$2794,4,FALSE))))</f>
        <v>Serviço</v>
      </c>
      <c r="N391" s="486">
        <v>1</v>
      </c>
      <c r="O391" s="176" t="s">
        <v>1868</v>
      </c>
      <c r="P391" s="486"/>
      <c r="Q391" s="247">
        <v>1100</v>
      </c>
      <c r="R391" s="246">
        <f t="shared" si="13"/>
        <v>0</v>
      </c>
      <c r="S391" s="177">
        <v>43970</v>
      </c>
      <c r="T391" s="182"/>
      <c r="U391" s="177"/>
      <c r="V391" s="177"/>
      <c r="W391" s="177"/>
      <c r="X391" s="176"/>
      <c r="Y391" s="177"/>
      <c r="Z391" s="415">
        <v>5</v>
      </c>
      <c r="AA391" s="488" t="s">
        <v>10230</v>
      </c>
      <c r="AB391" s="594"/>
      <c r="AC391" s="595"/>
      <c r="AD391" s="596"/>
      <c r="AE391" s="596"/>
      <c r="AF391" s="597">
        <f>IFERROR(INDEX(produtos_escape2!M:M,MATCH(Controle!H391,produtos_escape2!A:A,0)),"")</f>
        <v>0</v>
      </c>
    </row>
    <row r="392" spans="1:32" ht="14.25" customHeight="1">
      <c r="A392" s="176" t="s">
        <v>7313</v>
      </c>
      <c r="B392" s="176" t="s">
        <v>1687</v>
      </c>
      <c r="C392" s="177">
        <v>43934</v>
      </c>
      <c r="D392" s="176" t="s">
        <v>8038</v>
      </c>
      <c r="E392" s="176" t="s">
        <v>3008</v>
      </c>
      <c r="F392" s="259" t="s">
        <v>8049</v>
      </c>
      <c r="G392" s="176">
        <v>3</v>
      </c>
      <c r="H392" s="178" t="s">
        <v>8101</v>
      </c>
      <c r="I392" s="592">
        <f t="shared" si="12"/>
        <v>2</v>
      </c>
      <c r="J392" s="178"/>
      <c r="K392" s="178"/>
      <c r="L392" s="275" t="str">
        <f>IF(H:H=0,"",IF(ISERROR(VLOOKUP(H:H,produtos_escape2!$A$2:$B$2794,2,FALSE)),"Código não cadastrado",(VLOOKUP(H:H,produtos_escape2!$A$2:$B$2794,2,FALSE))))</f>
        <v>CONSERTO DE CAMA Marca HOSPIMETAL, Nº. Pat. 878290 - Código PDPAS antigo CEL48</v>
      </c>
      <c r="M392" s="593" t="str">
        <f>IF(H:H=0,"",IF(ISERROR(VLOOKUP(H:H,produtos_escape2!$A$2:$D$2794,2,FALSE)),"Código não cadastrado",(VLOOKUP(H:H,produtos_escape2!$A$2:$D$2794,4,FALSE))))</f>
        <v>Serviço</v>
      </c>
      <c r="N392" s="486">
        <v>1</v>
      </c>
      <c r="O392" s="176" t="s">
        <v>1868</v>
      </c>
      <c r="P392" s="486"/>
      <c r="Q392" s="247">
        <v>1100</v>
      </c>
      <c r="R392" s="246">
        <f t="shared" si="13"/>
        <v>0</v>
      </c>
      <c r="S392" s="177">
        <v>43970</v>
      </c>
      <c r="T392" s="182"/>
      <c r="U392" s="177"/>
      <c r="V392" s="177"/>
      <c r="W392" s="177"/>
      <c r="X392" s="176"/>
      <c r="Y392" s="177"/>
      <c r="Z392" s="415">
        <v>5</v>
      </c>
      <c r="AA392" s="488" t="s">
        <v>10230</v>
      </c>
      <c r="AB392" s="594"/>
      <c r="AC392" s="595"/>
      <c r="AD392" s="596"/>
      <c r="AE392" s="596"/>
      <c r="AF392" s="597">
        <f>IFERROR(INDEX(produtos_escape2!M:M,MATCH(Controle!H392,produtos_escape2!A:A,0)),"")</f>
        <v>0</v>
      </c>
    </row>
    <row r="393" spans="1:32" ht="14.25" customHeight="1">
      <c r="A393" s="176" t="s">
        <v>7891</v>
      </c>
      <c r="B393" s="176" t="s">
        <v>3608</v>
      </c>
      <c r="C393" s="177">
        <v>43934</v>
      </c>
      <c r="D393" s="176" t="s">
        <v>8106</v>
      </c>
      <c r="E393" s="176" t="s">
        <v>1867</v>
      </c>
      <c r="F393" s="259" t="s">
        <v>8107</v>
      </c>
      <c r="G393" s="176">
        <v>1</v>
      </c>
      <c r="H393" s="178">
        <v>90505</v>
      </c>
      <c r="I393" s="592">
        <f t="shared" si="12"/>
        <v>2</v>
      </c>
      <c r="J393" s="178" t="s">
        <v>816</v>
      </c>
      <c r="K393" s="178" t="s">
        <v>816</v>
      </c>
      <c r="L393" s="275" t="str">
        <f>IF(H:H=0,"",IF(ISERROR(VLOOKUP(H:H,produtos_escape2!$A$2:$B$2794,2,FALSE)),"Código não cadastrado",(VLOOKUP(H:H,produtos_escape2!$A$2:$B$2794,2,FALSE))))</f>
        <v>OLEO MINERAL 100 % PURO FRASCO 100 ML</v>
      </c>
      <c r="M393" s="593" t="str">
        <f>IF(H:H=0,"",IF(ISERROR(VLOOKUP(H:H,produtos_escape2!$A$2:$D$2794,2,FALSE)),"Código não cadastrado",(VLOOKUP(H:H,produtos_escape2!$A$2:$D$2794,4,FALSE))))</f>
        <v>FR</v>
      </c>
      <c r="N393" s="486">
        <v>200</v>
      </c>
      <c r="O393" s="176" t="s">
        <v>1868</v>
      </c>
      <c r="P393" s="486"/>
      <c r="Q393" s="247"/>
      <c r="R393" s="246">
        <f t="shared" si="13"/>
        <v>0</v>
      </c>
      <c r="S393" s="177">
        <v>43936</v>
      </c>
      <c r="T393" s="182"/>
      <c r="U393" s="177"/>
      <c r="V393" s="177"/>
      <c r="W393" s="177"/>
      <c r="X393" s="176"/>
      <c r="Y393" s="177"/>
      <c r="Z393" s="415">
        <v>2</v>
      </c>
      <c r="AA393" s="488" t="s">
        <v>8121</v>
      </c>
      <c r="AB393" s="594"/>
      <c r="AC393" s="595"/>
      <c r="AD393" s="596"/>
      <c r="AE393" s="596"/>
      <c r="AF393" s="597" t="str">
        <f>IFERROR(INDEX(produtos_escape2!M:M,MATCH(Controle!H393,produtos_escape2!A:A,0)),"")</f>
        <v>OLEO MINERAL 100 % PURO FRASCO 100 ML</v>
      </c>
    </row>
    <row r="394" spans="1:32" ht="14.25" customHeight="1">
      <c r="A394" s="176" t="s">
        <v>7411</v>
      </c>
      <c r="B394" s="176" t="s">
        <v>7207</v>
      </c>
      <c r="C394" s="177">
        <v>43934</v>
      </c>
      <c r="D394" s="176" t="s">
        <v>8108</v>
      </c>
      <c r="E394" s="176" t="s">
        <v>1865</v>
      </c>
      <c r="F394" s="259" t="s">
        <v>8109</v>
      </c>
      <c r="G394" s="176">
        <v>1</v>
      </c>
      <c r="H394" s="178">
        <v>2975</v>
      </c>
      <c r="I394" s="592">
        <f t="shared" si="12"/>
        <v>1</v>
      </c>
      <c r="J394" s="178" t="s">
        <v>816</v>
      </c>
      <c r="K394" s="178" t="s">
        <v>816</v>
      </c>
      <c r="L394" s="275" t="str">
        <f>IF(H:H=0,"",IF(ISERROR(VLOOKUP(H:H,produtos_escape2!$A$2:$B$2794,2,FALSE)),"Código não cadastrado",(VLOOKUP(H:H,produtos_escape2!$A$2:$B$2794,2,FALSE))))</f>
        <v>ETIQUETA AUTO- ADESIVA, Material: celulose vegetal adesivo sintético, Tamanho Etiqueta: 89x24 mm, Aplicação: formulário contínuo, Número de Colunas: 1,Cor: branca. Com os dizeres abaixo conforme modelo no anexo.
Validade Multidose - HRG/SES-DF
Medicamento: ________________
Data de Abertura: _____________
Válido até: _____/_____/________
Resp. abertura: _______________</v>
      </c>
      <c r="M394" s="593" t="str">
        <f>IF(H:H=0,"",IF(ISERROR(VLOOKUP(H:H,produtos_escape2!$A$2:$D$2794,2,FALSE)),"Código não cadastrado",(VLOOKUP(H:H,produtos_escape2!$A$2:$D$2794,4,FALSE))))</f>
        <v>MH</v>
      </c>
      <c r="N394" s="486">
        <v>5</v>
      </c>
      <c r="O394" s="176" t="s">
        <v>3671</v>
      </c>
      <c r="P394" s="486">
        <v>5</v>
      </c>
      <c r="Q394" s="247">
        <v>60</v>
      </c>
      <c r="R394" s="246">
        <f t="shared" si="13"/>
        <v>300</v>
      </c>
      <c r="S394" s="177">
        <v>43936</v>
      </c>
      <c r="T394" s="182">
        <v>679</v>
      </c>
      <c r="U394" s="177">
        <v>43937</v>
      </c>
      <c r="V394" s="177">
        <v>43943</v>
      </c>
      <c r="W394" s="177">
        <v>43943</v>
      </c>
      <c r="X394" s="176">
        <v>18012</v>
      </c>
      <c r="Y394" s="177">
        <v>43986</v>
      </c>
      <c r="Z394" s="415">
        <v>3</v>
      </c>
      <c r="AA394" s="488" t="s">
        <v>8110</v>
      </c>
      <c r="AB394" s="594"/>
      <c r="AC394" s="595"/>
      <c r="AD394" s="596"/>
      <c r="AE394" s="596"/>
      <c r="AF394" s="597" t="str">
        <f>IFERROR(INDEX(produtos_escape2!M:M,MATCH(Controle!H394,produtos_escape2!A:A,0)),"")</f>
        <v>ETIQUETA AUTO- ADESIVA</v>
      </c>
    </row>
    <row r="395" spans="1:32" ht="26.25" customHeight="1">
      <c r="A395" s="176" t="s">
        <v>7892</v>
      </c>
      <c r="B395" s="176" t="s">
        <v>3608</v>
      </c>
      <c r="C395" s="177">
        <v>43934</v>
      </c>
      <c r="D395" s="176" t="s">
        <v>8111</v>
      </c>
      <c r="E395" s="176" t="s">
        <v>1866</v>
      </c>
      <c r="F395" s="259" t="s">
        <v>8112</v>
      </c>
      <c r="G395" s="176">
        <v>1</v>
      </c>
      <c r="H395" s="178">
        <v>90949</v>
      </c>
      <c r="I395" s="592">
        <f t="shared" si="12"/>
        <v>9</v>
      </c>
      <c r="J395" s="178" t="s">
        <v>816</v>
      </c>
      <c r="K395" s="178" t="s">
        <v>816</v>
      </c>
      <c r="L395" s="275" t="str">
        <f>IF(H:H=0,"",IF(ISERROR(VLOOKUP(H:H,produtos_escape2!$A$2:$B$2794,2,FALSE)),"Código não cadastrado",(VLOOKUP(H:H,produtos_escape2!$A$2:$B$2794,2,FALSE))))</f>
        <v>ONDANSETRONA SOLUÇAO INJETAVEL 2 MG/ML AMPOLA 4 ML</v>
      </c>
      <c r="M395" s="593" t="str">
        <f>IF(H:H=0,"",IF(ISERROR(VLOOKUP(H:H,produtos_escape2!$A$2:$D$2794,2,FALSE)),"Código não cadastrado",(VLOOKUP(H:H,produtos_escape2!$A$2:$D$2794,4,FALSE))))</f>
        <v>AMP</v>
      </c>
      <c r="N395" s="486">
        <v>3000</v>
      </c>
      <c r="O395" s="176" t="s">
        <v>7896</v>
      </c>
      <c r="P395" s="486">
        <v>3000</v>
      </c>
      <c r="Q395" s="247">
        <v>1.64</v>
      </c>
      <c r="R395" s="246">
        <f t="shared" si="13"/>
        <v>4920</v>
      </c>
      <c r="S395" s="177">
        <v>43936</v>
      </c>
      <c r="T395" s="182">
        <v>40075</v>
      </c>
      <c r="U395" s="177">
        <v>43936</v>
      </c>
      <c r="V395" s="177">
        <v>43937</v>
      </c>
      <c r="W395" s="177">
        <v>43941</v>
      </c>
      <c r="X395" s="501" t="s">
        <v>9358</v>
      </c>
      <c r="Y395" s="502" t="s">
        <v>9356</v>
      </c>
      <c r="Z395" s="415">
        <v>2</v>
      </c>
      <c r="AA395" s="608" t="s">
        <v>9357</v>
      </c>
      <c r="AB395" s="594"/>
      <c r="AC395" s="595"/>
      <c r="AD395" s="596"/>
      <c r="AE395" s="596"/>
      <c r="AF395" s="597" t="str">
        <f>IFERROR(INDEX(produtos_escape2!M:M,MATCH(Controle!H395,produtos_escape2!A:A,0)),"")</f>
        <v>ONDANSETRONA SOLUÇAO INJETAVEL 2 MG/ML AMPOLA 4 ML</v>
      </c>
    </row>
    <row r="396" spans="1:32" ht="14.25" customHeight="1">
      <c r="A396" s="176" t="s">
        <v>7889</v>
      </c>
      <c r="B396" s="176" t="s">
        <v>3608</v>
      </c>
      <c r="C396" s="177">
        <v>43934</v>
      </c>
      <c r="D396" s="176" t="s">
        <v>8113</v>
      </c>
      <c r="E396" s="176" t="s">
        <v>3009</v>
      </c>
      <c r="F396" s="259" t="s">
        <v>8114</v>
      </c>
      <c r="G396" s="176">
        <v>1</v>
      </c>
      <c r="H396" s="178">
        <v>90032</v>
      </c>
      <c r="I396" s="592">
        <f t="shared" si="12"/>
        <v>11</v>
      </c>
      <c r="J396" s="178" t="s">
        <v>816</v>
      </c>
      <c r="K396" s="178" t="s">
        <v>816</v>
      </c>
      <c r="L396" s="275" t="str">
        <f>IF(H:H=0,"",IF(ISERROR(VLOOKUP(H:H,produtos_escape2!$A$2:$B$2794,2,FALSE)),"Código não cadastrado",(VLOOKUP(H:H,produtos_escape2!$A$2:$B$2794,2,FALSE))))</f>
        <v>CISATRACURIO (BESILATO) SOLUCAO INJETAVEL 2 MG/ML AMPOLA 5 ML</v>
      </c>
      <c r="M396" s="593" t="str">
        <f>IF(H:H=0,"",IF(ISERROR(VLOOKUP(H:H,produtos_escape2!$A$2:$D$2794,2,FALSE)),"Código não cadastrado",(VLOOKUP(H:H,produtos_escape2!$A$2:$D$2794,4,FALSE))))</f>
        <v>AMP</v>
      </c>
      <c r="N396" s="486">
        <v>300</v>
      </c>
      <c r="O396" s="176" t="s">
        <v>4401</v>
      </c>
      <c r="P396" s="486">
        <v>300</v>
      </c>
      <c r="Q396" s="247">
        <v>29</v>
      </c>
      <c r="R396" s="246">
        <f t="shared" si="13"/>
        <v>8700</v>
      </c>
      <c r="S396" s="177">
        <v>43944</v>
      </c>
      <c r="T396" s="182">
        <v>2599926</v>
      </c>
      <c r="U396" s="177">
        <v>43948</v>
      </c>
      <c r="V396" s="177">
        <v>43949</v>
      </c>
      <c r="W396" s="177">
        <v>43951</v>
      </c>
      <c r="X396" s="176">
        <v>18246</v>
      </c>
      <c r="Y396" s="177">
        <v>43986</v>
      </c>
      <c r="Z396" s="415">
        <v>3</v>
      </c>
      <c r="AA396" s="488"/>
      <c r="AB396" s="594"/>
      <c r="AC396" s="595"/>
      <c r="AD396" s="596"/>
      <c r="AE396" s="596"/>
      <c r="AF396" s="597" t="str">
        <f>IFERROR(INDEX(produtos_escape2!M:M,MATCH(Controle!H396,produtos_escape2!A:A,0)),"")</f>
        <v>CISATRACURIO (BESILATO) SOLUCAO INJETAVEL 2 MG/ML AMPOLA 5 ML</v>
      </c>
    </row>
    <row r="397" spans="1:32" ht="14.25" customHeight="1">
      <c r="A397" s="176" t="s">
        <v>7890</v>
      </c>
      <c r="B397" s="176" t="s">
        <v>3608</v>
      </c>
      <c r="C397" s="177">
        <v>43934</v>
      </c>
      <c r="D397" s="176" t="s">
        <v>8115</v>
      </c>
      <c r="E397" s="176" t="s">
        <v>1867</v>
      </c>
      <c r="F397" s="259" t="s">
        <v>8116</v>
      </c>
      <c r="G397" s="176">
        <v>1</v>
      </c>
      <c r="H397" s="178">
        <v>10275</v>
      </c>
      <c r="I397" s="592">
        <f t="shared" si="12"/>
        <v>5</v>
      </c>
      <c r="J397" s="178" t="s">
        <v>816</v>
      </c>
      <c r="K397" s="178" t="s">
        <v>816</v>
      </c>
      <c r="L397" s="275"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397" s="593" t="str">
        <f>IF(H:H=0,"",IF(ISERROR(VLOOKUP(H:H,produtos_escape2!$A$2:$D$2794,2,FALSE)),"Código não cadastrado",(VLOOKUP(H:H,produtos_escape2!$A$2:$D$2794,4,FALSE))))</f>
        <v>UN</v>
      </c>
      <c r="N397" s="486">
        <v>100</v>
      </c>
      <c r="O397" s="176" t="s">
        <v>7371</v>
      </c>
      <c r="P397" s="486">
        <v>100</v>
      </c>
      <c r="Q397" s="247">
        <v>12.4</v>
      </c>
      <c r="R397" s="246">
        <f t="shared" si="13"/>
        <v>1240</v>
      </c>
      <c r="S397" s="177">
        <v>43936</v>
      </c>
      <c r="T397" s="182">
        <v>325298</v>
      </c>
      <c r="U397" s="177">
        <v>43936</v>
      </c>
      <c r="V397" s="177">
        <v>43937</v>
      </c>
      <c r="W397" s="177">
        <v>43941</v>
      </c>
      <c r="X397" s="176">
        <v>97708</v>
      </c>
      <c r="Y397" s="177">
        <v>43950</v>
      </c>
      <c r="Z397" s="415">
        <v>2</v>
      </c>
      <c r="AA397" s="488"/>
      <c r="AB397" s="594"/>
      <c r="AC397" s="595"/>
      <c r="AD397" s="596"/>
      <c r="AE397" s="596"/>
      <c r="AF397" s="597" t="str">
        <f>IFERROR(INDEX(produtos_escape2!M:M,MATCH(Controle!H397,produtos_escape2!A:A,0)),"")</f>
        <v>FLUCONAZOL SOLUCAO INJETAVEL 2 MG/ML BOLSA OU FRASCO 100 ML SISTEMA FECHADO DE INFUSAO</v>
      </c>
    </row>
    <row r="398" spans="1:32" ht="14.25" customHeight="1">
      <c r="A398" s="176" t="s">
        <v>7420</v>
      </c>
      <c r="B398" s="176" t="s">
        <v>7207</v>
      </c>
      <c r="C398" s="177">
        <v>43935</v>
      </c>
      <c r="D398" s="176" t="s">
        <v>8119</v>
      </c>
      <c r="E398" s="176" t="s">
        <v>1866</v>
      </c>
      <c r="F398" s="259" t="s">
        <v>8120</v>
      </c>
      <c r="G398" s="176">
        <v>1</v>
      </c>
      <c r="H398" s="178">
        <v>49243</v>
      </c>
      <c r="I398" s="592">
        <f t="shared" si="12"/>
        <v>2</v>
      </c>
      <c r="J398" s="178" t="s">
        <v>816</v>
      </c>
      <c r="K398" s="178" t="s">
        <v>816</v>
      </c>
      <c r="L398" s="275" t="str">
        <f>IF(H:H=0,"",IF(ISERROR(VLOOKUP(H:H,produtos_escape2!$A$2:$B$2794,2,FALSE)),"Código não cadastrado",(VLOOKUP(H:H,produtos_escape2!$A$2:$B$2794,2,FALSE))))</f>
        <v>APARELHO PARA TRICOTOMIA ( BARBA ), Material: plástico, Tipo Uso: descartável, Formato Cabo: anatômico, Emabalagem:   individual, Características Adicionais:  02 ( duas ) lâminas paralelas afiadas, e capa protetora para as lâminas.</v>
      </c>
      <c r="M398" s="593" t="str">
        <f>IF(H:H=0,"",IF(ISERROR(VLOOKUP(H:H,produtos_escape2!$A$2:$D$2794,2,FALSE)),"Código não cadastrado",(VLOOKUP(H:H,produtos_escape2!$A$2:$D$2794,4,FALSE))))</f>
        <v>UN</v>
      </c>
      <c r="N398" s="486">
        <v>2000</v>
      </c>
      <c r="O398" s="176" t="s">
        <v>3663</v>
      </c>
      <c r="P398" s="486">
        <v>1992</v>
      </c>
      <c r="Q398" s="247">
        <v>0.67864000000000002</v>
      </c>
      <c r="R398" s="246">
        <f t="shared" si="13"/>
        <v>1351.85088</v>
      </c>
      <c r="S398" s="177">
        <v>43936</v>
      </c>
      <c r="T398" s="182">
        <v>1207296</v>
      </c>
      <c r="U398" s="177">
        <v>43936</v>
      </c>
      <c r="V398" s="177">
        <v>43941</v>
      </c>
      <c r="W398" s="177">
        <v>43941</v>
      </c>
      <c r="X398" s="176">
        <v>18110</v>
      </c>
      <c r="Y398" s="177">
        <v>43986</v>
      </c>
      <c r="Z398" s="415">
        <v>3</v>
      </c>
      <c r="AA398" s="488"/>
      <c r="AB398" s="594"/>
      <c r="AC398" s="595"/>
      <c r="AD398" s="596" t="str">
        <f>IF(AND(AC398&lt;&gt;"",S398&lt;&gt;""),NETWORKDAYS(AC398,S398,#REF!),"")</f>
        <v/>
      </c>
      <c r="AE398" s="596" t="str">
        <f ca="1">IF(AND(AD398="",AC398=""),"",IF(OR(AD398&lt;&gt;"",O398="*CANCELADO"),"",NETWORKDAYS(AC398,TODAY(),#REF!)))</f>
        <v/>
      </c>
      <c r="AF398" s="597" t="str">
        <f>IFERROR(INDEX(produtos_escape2!M:M,MATCH(Controle!H398,produtos_escape2!A:A,0)),"")</f>
        <v>APARELHO PARA TRICOTOMIA ( BARBA )</v>
      </c>
    </row>
    <row r="399" spans="1:32" ht="14.25" customHeight="1">
      <c r="A399" s="176" t="s">
        <v>7414</v>
      </c>
      <c r="B399" s="176" t="s">
        <v>7207</v>
      </c>
      <c r="C399" s="177">
        <v>43936</v>
      </c>
      <c r="D399" s="176" t="s">
        <v>8122</v>
      </c>
      <c r="E399" s="176" t="s">
        <v>3009</v>
      </c>
      <c r="F399" s="259" t="s">
        <v>8123</v>
      </c>
      <c r="G399" s="176">
        <v>1</v>
      </c>
      <c r="H399" s="178">
        <v>24543</v>
      </c>
      <c r="I399" s="592">
        <f t="shared" si="12"/>
        <v>3</v>
      </c>
      <c r="J399" s="178" t="s">
        <v>816</v>
      </c>
      <c r="K399" s="178" t="s">
        <v>816</v>
      </c>
      <c r="L399" s="275" t="str">
        <f>IF(H:H=0,"",IF(ISERROR(VLOOKUP(H:H,produtos_escape2!$A$2:$B$2794,2,FALSE)),"Código não cadastrado",(VLOOKUP(H:H,produtos_escape2!$A$2:$B$2794,2,FALSE))))</f>
        <v>LÂMPADA ALOGÊNEA, 12 volt's , 30 Wat's para uso em Microscópio em laboratório.</v>
      </c>
      <c r="M399" s="593" t="str">
        <f>IF(H:H=0,"",IF(ISERROR(VLOOKUP(H:H,produtos_escape2!$A$2:$D$2794,2,FALSE)),"Código não cadastrado",(VLOOKUP(H:H,produtos_escape2!$A$2:$D$2794,4,FALSE))))</f>
        <v>UN</v>
      </c>
      <c r="N399" s="486">
        <v>10</v>
      </c>
      <c r="O399" s="176" t="s">
        <v>4433</v>
      </c>
      <c r="P399" s="486">
        <v>10</v>
      </c>
      <c r="Q399" s="247">
        <v>75</v>
      </c>
      <c r="R399" s="246">
        <f t="shared" si="13"/>
        <v>750</v>
      </c>
      <c r="S399" s="177">
        <v>43950</v>
      </c>
      <c r="T399" s="182">
        <v>442</v>
      </c>
      <c r="U399" s="177">
        <v>43966</v>
      </c>
      <c r="V399" s="177">
        <v>43966</v>
      </c>
      <c r="W399" s="177">
        <v>43966</v>
      </c>
      <c r="X399" s="176">
        <v>18090</v>
      </c>
      <c r="Y399" s="177">
        <v>43986</v>
      </c>
      <c r="Z399" s="415">
        <v>3</v>
      </c>
      <c r="AA399" s="488"/>
      <c r="AB399" s="594"/>
      <c r="AC399" s="595"/>
      <c r="AD399" s="596" t="str">
        <f>IF(AND(AC399&lt;&gt;"",S399&lt;&gt;""),NETWORKDAYS(AC399,S399,#REF!),"")</f>
        <v/>
      </c>
      <c r="AE399" s="596" t="str">
        <f ca="1">IF(AND(AD399="",AC399=""),"",IF(OR(AD399&lt;&gt;"",O399="*CANCELADO"),"",NETWORKDAYS(AC399,TODAY(),#REF!)))</f>
        <v/>
      </c>
      <c r="AF399" s="597" t="str">
        <f>IFERROR(INDEX(produtos_escape2!M:M,MATCH(Controle!H399,produtos_escape2!A:A,0)),"")</f>
        <v>LÂMPADA ALOGÊNEA</v>
      </c>
    </row>
    <row r="400" spans="1:32" ht="14.25" customHeight="1">
      <c r="A400" s="176" t="s">
        <v>7897</v>
      </c>
      <c r="B400" s="176" t="s">
        <v>3608</v>
      </c>
      <c r="C400" s="177">
        <v>43936</v>
      </c>
      <c r="D400" s="176" t="s">
        <v>8124</v>
      </c>
      <c r="E400" s="176" t="s">
        <v>1867</v>
      </c>
      <c r="F400" s="259" t="s">
        <v>8125</v>
      </c>
      <c r="G400" s="176">
        <v>1</v>
      </c>
      <c r="H400" s="178">
        <v>90070</v>
      </c>
      <c r="I400" s="592">
        <f t="shared" si="12"/>
        <v>4</v>
      </c>
      <c r="J400" s="178" t="s">
        <v>816</v>
      </c>
      <c r="K400" s="178" t="s">
        <v>816</v>
      </c>
      <c r="L400" s="275" t="str">
        <f>IF(H:H=0,"",IF(ISERROR(VLOOKUP(H:H,produtos_escape2!$A$2:$B$2794,2,FALSE)),"Código não cadastrado",(VLOOKUP(H:H,produtos_escape2!$A$2:$B$2794,2,FALSE))))</f>
        <v>VALPROATO DE SODIO XAROPE (EQUIVALENTE 250 MG/5 ML ACIDO VALPROICO) FRASCO 100 ML</v>
      </c>
      <c r="M400" s="593" t="str">
        <f>IF(H:H=0,"",IF(ISERROR(VLOOKUP(H:H,produtos_escape2!$A$2:$D$2794,2,FALSE)),"Código não cadastrado",(VLOOKUP(H:H,produtos_escape2!$A$2:$D$2794,4,FALSE))))</f>
        <v>FR</v>
      </c>
      <c r="N400" s="486">
        <v>20</v>
      </c>
      <c r="O400" s="176" t="s">
        <v>1868</v>
      </c>
      <c r="P400" s="486"/>
      <c r="Q400" s="247"/>
      <c r="R400" s="246">
        <f t="shared" si="13"/>
        <v>0</v>
      </c>
      <c r="S400" s="177">
        <v>43943</v>
      </c>
      <c r="T400" s="182"/>
      <c r="U400" s="177"/>
      <c r="V400" s="177"/>
      <c r="W400" s="177"/>
      <c r="X400" s="176"/>
      <c r="Y400" s="177"/>
      <c r="Z400" s="415">
        <v>2</v>
      </c>
      <c r="AA400" s="609" t="s">
        <v>7857</v>
      </c>
      <c r="AB400" s="594"/>
      <c r="AC400" s="595"/>
      <c r="AD400" s="596" t="str">
        <f>IF(AND(AC400&lt;&gt;"",S400&lt;&gt;""),NETWORKDAYS(AC400,S400,#REF!),"")</f>
        <v/>
      </c>
      <c r="AE400" s="596" t="str">
        <f ca="1">IF(AND(AD400="",AC400=""),"",IF(OR(AD400&lt;&gt;"",O400="*CANCELADO"),"",NETWORKDAYS(AC400,TODAY(),#REF!)))</f>
        <v/>
      </c>
      <c r="AF400" s="597" t="str">
        <f>IFERROR(INDEX(produtos_escape2!M:M,MATCH(Controle!H400,produtos_escape2!A:A,0)),"")</f>
        <v>VALPROATO DE SODIO XAROPE (EQUIVALENTE 250 MG/5 ML ACIDO VALPROICO) FRASCO 100 ML</v>
      </c>
    </row>
    <row r="401" spans="1:32" ht="14.25" customHeight="1">
      <c r="A401" s="176" t="s">
        <v>7903</v>
      </c>
      <c r="B401" s="176" t="s">
        <v>3608</v>
      </c>
      <c r="C401" s="177">
        <v>43936</v>
      </c>
      <c r="D401" s="176" t="s">
        <v>8126</v>
      </c>
      <c r="E401" s="176" t="s">
        <v>1865</v>
      </c>
      <c r="F401" s="259" t="s">
        <v>8127</v>
      </c>
      <c r="G401" s="176">
        <v>1</v>
      </c>
      <c r="H401" s="178">
        <v>90124</v>
      </c>
      <c r="I401" s="592">
        <f t="shared" si="12"/>
        <v>2</v>
      </c>
      <c r="J401" s="178" t="s">
        <v>816</v>
      </c>
      <c r="K401" s="178" t="s">
        <v>816</v>
      </c>
      <c r="L401" s="275" t="str">
        <f>IF(H:H=0,"",IF(ISERROR(VLOOKUP(H:H,produtos_escape2!$A$2:$B$2794,2,FALSE)),"Código não cadastrado",(VLOOKUP(H:H,produtos_escape2!$A$2:$B$2794,2,FALSE))))</f>
        <v xml:space="preserve">HALOPERIDOL COMPRIMIDO 5 MG </v>
      </c>
      <c r="M401" s="593" t="str">
        <f>IF(H:H=0,"",IF(ISERROR(VLOOKUP(H:H,produtos_escape2!$A$2:$D$2794,2,FALSE)),"Código não cadastrado",(VLOOKUP(H:H,produtos_escape2!$A$2:$D$2794,4,FALSE))))</f>
        <v>CP</v>
      </c>
      <c r="N401" s="486">
        <v>400</v>
      </c>
      <c r="O401" s="176" t="s">
        <v>2989</v>
      </c>
      <c r="P401" s="486">
        <v>400</v>
      </c>
      <c r="Q401" s="247">
        <v>0.255</v>
      </c>
      <c r="R401" s="246">
        <f t="shared" si="13"/>
        <v>102</v>
      </c>
      <c r="S401" s="177">
        <v>43943</v>
      </c>
      <c r="T401" s="182">
        <v>117457</v>
      </c>
      <c r="U401" s="177">
        <v>43948</v>
      </c>
      <c r="V401" s="177">
        <v>43949</v>
      </c>
      <c r="W401" s="177">
        <v>43951</v>
      </c>
      <c r="X401" s="176">
        <v>17884</v>
      </c>
      <c r="Y401" s="177">
        <v>43986</v>
      </c>
      <c r="Z401" s="415">
        <v>3</v>
      </c>
      <c r="AA401" s="488"/>
      <c r="AB401" s="594"/>
      <c r="AC401" s="595"/>
      <c r="AD401" s="596" t="str">
        <f>IF(AND(AC401&lt;&gt;"",S401&lt;&gt;""),NETWORKDAYS(AC401,S401,#REF!),"")</f>
        <v/>
      </c>
      <c r="AE401" s="596" t="str">
        <f ca="1">IF(AND(AD401="",AC401=""),"",IF(OR(AD401&lt;&gt;"",O401="*CANCELADO"),"",NETWORKDAYS(AC401,TODAY(),#REF!)))</f>
        <v/>
      </c>
      <c r="AF401" s="597" t="str">
        <f>IFERROR(INDEX(produtos_escape2!M:M,MATCH(Controle!H401,produtos_escape2!A:A,0)),"")</f>
        <v xml:space="preserve">HALOPERIDOL COMPRIMIDO 5 MG </v>
      </c>
    </row>
    <row r="402" spans="1:32" ht="14.25" customHeight="1">
      <c r="A402" s="176" t="s">
        <v>7908</v>
      </c>
      <c r="B402" s="176" t="s">
        <v>3608</v>
      </c>
      <c r="C402" s="177">
        <v>43936</v>
      </c>
      <c r="D402" s="176" t="s">
        <v>8128</v>
      </c>
      <c r="E402" s="176" t="s">
        <v>1866</v>
      </c>
      <c r="F402" s="259" t="s">
        <v>8129</v>
      </c>
      <c r="G402" s="176">
        <v>1</v>
      </c>
      <c r="H402" s="178">
        <v>92473</v>
      </c>
      <c r="I402" s="592">
        <f t="shared" si="12"/>
        <v>1</v>
      </c>
      <c r="J402" s="178" t="s">
        <v>816</v>
      </c>
      <c r="K402" s="178" t="s">
        <v>816</v>
      </c>
      <c r="L402" s="275" t="str">
        <f>IF(H:H=0,"",IF(ISERROR(VLOOKUP(H:H,produtos_escape2!$A$2:$B$2794,2,FALSE)),"Código não cadastrado",(VLOOKUP(H:H,produtos_escape2!$A$2:$B$2794,2,FALSE))))</f>
        <v>SONDA NASOGÁSTRICA LONGA Nº 20</v>
      </c>
      <c r="M402" s="593" t="str">
        <f>IF(H:H=0,"",IF(ISERROR(VLOOKUP(H:H,produtos_escape2!$A$2:$D$2794,2,FALSE)),"Código não cadastrado",(VLOOKUP(H:H,produtos_escape2!$A$2:$D$2794,4,FALSE))))</f>
        <v>UN</v>
      </c>
      <c r="N402" s="486">
        <v>100</v>
      </c>
      <c r="O402" s="176" t="s">
        <v>4380</v>
      </c>
      <c r="P402" s="486">
        <v>100</v>
      </c>
      <c r="Q402" s="247">
        <v>1.3</v>
      </c>
      <c r="R402" s="246">
        <f t="shared" si="13"/>
        <v>130</v>
      </c>
      <c r="S402" s="177">
        <v>43938</v>
      </c>
      <c r="T402" s="182">
        <v>232745</v>
      </c>
      <c r="U402" s="177">
        <v>43941</v>
      </c>
      <c r="V402" s="177">
        <v>43943</v>
      </c>
      <c r="W402" s="177">
        <v>43949</v>
      </c>
      <c r="X402" s="176">
        <v>17894</v>
      </c>
      <c r="Y402" s="177">
        <v>43986</v>
      </c>
      <c r="Z402" s="415">
        <v>3</v>
      </c>
      <c r="AA402" s="488"/>
      <c r="AB402" s="594"/>
      <c r="AC402" s="595"/>
      <c r="AD402" s="596" t="str">
        <f>IF(AND(AC402&lt;&gt;"",S402&lt;&gt;""),NETWORKDAYS(AC402,S402,#REF!),"")</f>
        <v/>
      </c>
      <c r="AE402" s="596" t="str">
        <f ca="1">IF(AND(AD402="",AC402=""),"",IF(OR(AD402&lt;&gt;"",O402="*CANCELADO"),"",NETWORKDAYS(AC402,TODAY(),#REF!)))</f>
        <v/>
      </c>
      <c r="AF402" s="597" t="str">
        <f>IFERROR(INDEX(produtos_escape2!M:M,MATCH(Controle!H402,produtos_escape2!A:A,0)),"")</f>
        <v>SONDA NASOGÁSTRICA LONGA Nº 20</v>
      </c>
    </row>
    <row r="403" spans="1:32" ht="14.25" customHeight="1">
      <c r="A403" s="176" t="s">
        <v>7905</v>
      </c>
      <c r="B403" s="176" t="s">
        <v>3608</v>
      </c>
      <c r="C403" s="177">
        <v>43936</v>
      </c>
      <c r="D403" s="176" t="s">
        <v>8130</v>
      </c>
      <c r="E403" s="176" t="s">
        <v>3009</v>
      </c>
      <c r="F403" s="259" t="s">
        <v>8131</v>
      </c>
      <c r="G403" s="176">
        <v>1</v>
      </c>
      <c r="H403" s="178">
        <v>92440</v>
      </c>
      <c r="I403" s="592">
        <f t="shared" si="12"/>
        <v>2</v>
      </c>
      <c r="J403" s="178" t="s">
        <v>816</v>
      </c>
      <c r="K403" s="178" t="s">
        <v>816</v>
      </c>
      <c r="L403" s="275" t="str">
        <f>IF(H:H=0,"",IF(ISERROR(VLOOKUP(H:H,produtos_escape2!$A$2:$B$2794,2,FALSE)),"Código não cadastrado",(VLOOKUP(H:H,produtos_escape2!$A$2:$B$2794,2,FALSE))))</f>
        <v xml:space="preserve">SONDA DE FOLEY 2 VIAS LÁTEX Nº 22.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Código SES: 092440.  </v>
      </c>
      <c r="M403" s="593" t="str">
        <f>IF(H:H=0,"",IF(ISERROR(VLOOKUP(H:H,produtos_escape2!$A$2:$D$2794,2,FALSE)),"Código não cadastrado",(VLOOKUP(H:H,produtos_escape2!$A$2:$D$2794,4,FALSE))))</f>
        <v>UN</v>
      </c>
      <c r="N403" s="486">
        <v>50</v>
      </c>
      <c r="O403" s="176" t="s">
        <v>8240</v>
      </c>
      <c r="P403" s="486">
        <v>30</v>
      </c>
      <c r="Q403" s="247">
        <v>5.5</v>
      </c>
      <c r="R403" s="246">
        <f t="shared" si="13"/>
        <v>165</v>
      </c>
      <c r="S403" s="177">
        <v>43945</v>
      </c>
      <c r="T403" s="182">
        <v>23</v>
      </c>
      <c r="U403" s="177">
        <v>43948</v>
      </c>
      <c r="V403" s="177">
        <v>43949</v>
      </c>
      <c r="W403" s="177">
        <v>43951</v>
      </c>
      <c r="X403" s="176">
        <v>17912</v>
      </c>
      <c r="Y403" s="177">
        <v>43986</v>
      </c>
      <c r="Z403" s="415">
        <v>3</v>
      </c>
      <c r="AA403" s="488" t="s">
        <v>8247</v>
      </c>
      <c r="AB403" s="594"/>
      <c r="AC403" s="595"/>
      <c r="AD403" s="596" t="str">
        <f>IF(AND(AC403&lt;&gt;"",S403&lt;&gt;""),NETWORKDAYS(AC403,S403,#REF!),"")</f>
        <v/>
      </c>
      <c r="AE403" s="596" t="str">
        <f ca="1">IF(AND(AD403="",AC403=""),"",IF(OR(AD403&lt;&gt;"",O403="*CANCELADO"),"",NETWORKDAYS(AC403,TODAY(),#REF!)))</f>
        <v/>
      </c>
      <c r="AF403" s="597" t="str">
        <f>IFERROR(INDEX(produtos_escape2!M:M,MATCH(Controle!H403,produtos_escape2!A:A,0)),"")</f>
        <v>SONDA DE FOLEY 2 VIAS LÁTEX Nº 22</v>
      </c>
    </row>
    <row r="404" spans="1:32" ht="14.25" customHeight="1">
      <c r="A404" s="176" t="s">
        <v>7905</v>
      </c>
      <c r="B404" s="176" t="s">
        <v>3608</v>
      </c>
      <c r="C404" s="177">
        <v>43936</v>
      </c>
      <c r="D404" s="176" t="s">
        <v>8130</v>
      </c>
      <c r="E404" s="176" t="s">
        <v>3009</v>
      </c>
      <c r="F404" s="259" t="s">
        <v>8131</v>
      </c>
      <c r="G404" s="176">
        <v>1</v>
      </c>
      <c r="H404" s="178">
        <v>92440</v>
      </c>
      <c r="I404" s="592">
        <f t="shared" si="12"/>
        <v>2</v>
      </c>
      <c r="J404" s="178" t="s">
        <v>816</v>
      </c>
      <c r="K404" s="178" t="s">
        <v>816</v>
      </c>
      <c r="L404" s="275" t="str">
        <f>IF(H:H=0,"",IF(ISERROR(VLOOKUP(H:H,produtos_escape2!$A$2:$B$2794,2,FALSE)),"Código não cadastrado",(VLOOKUP(H:H,produtos_escape2!$A$2:$B$2794,2,FALSE))))</f>
        <v xml:space="preserve">SONDA DE FOLEY 2 VIAS LÁTEX Nº 22. Aplicação: drenagem e controle da diurese. Material: Látex atóxico. Características Adicionais: estéril, descartável, siliconizada, medindo no mínimo 40cm, com flexibilidade adequada ao fim a que se destina, que não cause irritação ao paciente, espessura uniforme, isenta de manchas ou quaisquer defeitos. Balão com capacidade de 30 ml, com válvula fixa que permita perfeita adaptação em seringas, e boa distensibilidade. Ponta distal arredondada e fechada, apresentando 2 orifícios ovais situados em lados opostos, delimitados e proporcionais ao diâmetro da sonda, isentos de rebarbas e ou saliências que possam traumatizar o paciente. Embalagem dupla, sendo a externa em papel grau cirúrgico e a interna em polietileno picotado nas extremidades, favorecendo a abertura em técnica asséptica e garantindo a esterilidade do produto. Apresentação: embalagem individual, acondicionada em caixas com 10 unidades. Unidade de Estoque: unidade. Código SES: 092440.  </v>
      </c>
      <c r="M404" s="593" t="str">
        <f>IF(H:H=0,"",IF(ISERROR(VLOOKUP(H:H,produtos_escape2!$A$2:$D$2794,2,FALSE)),"Código não cadastrado",(VLOOKUP(H:H,produtos_escape2!$A$2:$D$2794,4,FALSE))))</f>
        <v>UN</v>
      </c>
      <c r="N404" s="486">
        <v>50</v>
      </c>
      <c r="O404" s="176" t="s">
        <v>1868</v>
      </c>
      <c r="P404" s="486">
        <v>0</v>
      </c>
      <c r="Q404" s="247">
        <v>5.5</v>
      </c>
      <c r="R404" s="246">
        <f t="shared" si="13"/>
        <v>0</v>
      </c>
      <c r="S404" s="177">
        <v>43945</v>
      </c>
      <c r="T404" s="182"/>
      <c r="U404" s="177"/>
      <c r="V404" s="177"/>
      <c r="W404" s="177"/>
      <c r="X404" s="176"/>
      <c r="Y404" s="177"/>
      <c r="Z404" s="415">
        <v>3</v>
      </c>
      <c r="AA404" s="488" t="s">
        <v>9309</v>
      </c>
      <c r="AB404" s="594"/>
      <c r="AC404" s="595"/>
      <c r="AD404" s="596" t="str">
        <f>IF(AND(AC404&lt;&gt;"",S404&lt;&gt;""),NETWORKDAYS(AC404,S404,#REF!),"")</f>
        <v/>
      </c>
      <c r="AE404" s="596" t="str">
        <f ca="1">IF(AND(AD404="",AC404=""),"",IF(OR(AD404&lt;&gt;"",O404="*CANCELADO"),"",NETWORKDAYS(AC404,TODAY(),#REF!)))</f>
        <v/>
      </c>
      <c r="AF404" s="597" t="str">
        <f>IFERROR(INDEX(produtos_escape2!M:M,MATCH(Controle!H404,produtos_escape2!A:A,0)),"")</f>
        <v>SONDA DE FOLEY 2 VIAS LÁTEX Nº 22</v>
      </c>
    </row>
    <row r="405" spans="1:32" ht="14.25" customHeight="1">
      <c r="A405" s="176" t="s">
        <v>7893</v>
      </c>
      <c r="B405" s="176" t="s">
        <v>3608</v>
      </c>
      <c r="C405" s="177">
        <v>43936</v>
      </c>
      <c r="D405" s="176" t="s">
        <v>8132</v>
      </c>
      <c r="E405" s="176" t="s">
        <v>1867</v>
      </c>
      <c r="F405" s="259" t="s">
        <v>8133</v>
      </c>
      <c r="G405" s="176">
        <v>1</v>
      </c>
      <c r="H405" s="178">
        <v>90288</v>
      </c>
      <c r="I405" s="592">
        <f t="shared" si="12"/>
        <v>1</v>
      </c>
      <c r="J405" s="178" t="s">
        <v>816</v>
      </c>
      <c r="K405" s="178" t="s">
        <v>816</v>
      </c>
      <c r="L405" s="275" t="str">
        <f>IF(H:H=0,"",IF(ISERROR(VLOOKUP(H:H,produtos_escape2!$A$2:$B$2794,2,FALSE)),"Código não cadastrado",(VLOOKUP(H:H,produtos_escape2!$A$2:$B$2794,2,FALSE))))</f>
        <v>VALPROATO DE SODIO COMPRIMIDO (EQUIVALENTE 500 MG ACIDO VALPROICO)</v>
      </c>
      <c r="M405" s="593" t="str">
        <f>IF(H:H=0,"",IF(ISERROR(VLOOKUP(H:H,produtos_escape2!$A$2:$D$2794,2,FALSE)),"Código não cadastrado",(VLOOKUP(H:H,produtos_escape2!$A$2:$D$2794,4,FALSE))))</f>
        <v>CP</v>
      </c>
      <c r="N405" s="486">
        <v>200</v>
      </c>
      <c r="O405" s="176" t="s">
        <v>1868</v>
      </c>
      <c r="P405" s="486"/>
      <c r="Q405" s="247"/>
      <c r="R405" s="246">
        <f t="shared" si="13"/>
        <v>0</v>
      </c>
      <c r="S405" s="177">
        <v>43943</v>
      </c>
      <c r="T405" s="182"/>
      <c r="U405" s="177"/>
      <c r="V405" s="177"/>
      <c r="W405" s="177"/>
      <c r="X405" s="176"/>
      <c r="Y405" s="177"/>
      <c r="Z405" s="415">
        <v>2</v>
      </c>
      <c r="AA405" s="609" t="s">
        <v>8121</v>
      </c>
      <c r="AB405" s="594"/>
      <c r="AC405" s="595"/>
      <c r="AD405" s="596" t="str">
        <f>IF(AND(AC405&lt;&gt;"",S405&lt;&gt;""),NETWORKDAYS(AC405,S405,#REF!),"")</f>
        <v/>
      </c>
      <c r="AE405" s="596" t="str">
        <f ca="1">IF(AND(AD405="",AC405=""),"",IF(OR(AD405&lt;&gt;"",O405="*CANCELADO"),"",NETWORKDAYS(AC405,TODAY(),#REF!)))</f>
        <v/>
      </c>
      <c r="AF405" s="597" t="str">
        <f>IFERROR(INDEX(produtos_escape2!M:M,MATCH(Controle!H405,produtos_escape2!A:A,0)),"")</f>
        <v>VALPROATO DE SODIO COMPRIMIDO (EQUIVALENTE 500 MG ACIDO VALPROICO)</v>
      </c>
    </row>
    <row r="406" spans="1:32" ht="14.25" customHeight="1">
      <c r="A406" s="176" t="s">
        <v>7431</v>
      </c>
      <c r="B406" s="176" t="s">
        <v>7207</v>
      </c>
      <c r="C406" s="177">
        <v>43936</v>
      </c>
      <c r="D406" s="176" t="s">
        <v>8171</v>
      </c>
      <c r="E406" s="176" t="s">
        <v>1866</v>
      </c>
      <c r="F406" s="259" t="s">
        <v>8172</v>
      </c>
      <c r="G406" s="176">
        <v>1</v>
      </c>
      <c r="H406" s="178">
        <v>19343</v>
      </c>
      <c r="I406" s="592">
        <f t="shared" si="12"/>
        <v>4</v>
      </c>
      <c r="J406" s="178" t="s">
        <v>816</v>
      </c>
      <c r="K406" s="178" t="s">
        <v>816</v>
      </c>
      <c r="L406" s="275" t="str">
        <f>IF(H:H=0,"",IF(ISERROR(VLOOKUP(H:H,produtos_escape2!$A$2:$B$2794,2,FALSE)),"Código não cadastrado",(VLOOKUP(H:H,produtos_escape2!$A$2:$B$2794,2,FALSE))))</f>
        <v>DISCO COMPACTO, Capacidade: CD R, 700 Mb, Tempo Duração: 80 min, Características Adicionais: gravável, Unidade de Fornecimento: envelope com 1 unidade</v>
      </c>
      <c r="M406" s="593" t="str">
        <f>IF(H:H=0,"",IF(ISERROR(VLOOKUP(H:H,produtos_escape2!$A$2:$D$2794,2,FALSE)),"Código não cadastrado",(VLOOKUP(H:H,produtos_escape2!$A$2:$D$2794,4,FALSE))))</f>
        <v>UIN</v>
      </c>
      <c r="N406" s="486">
        <v>2500</v>
      </c>
      <c r="O406" s="176" t="s">
        <v>3407</v>
      </c>
      <c r="P406" s="486">
        <v>2500</v>
      </c>
      <c r="Q406" s="247">
        <v>0.67900000000000005</v>
      </c>
      <c r="R406" s="246">
        <f t="shared" si="13"/>
        <v>1697.5000000000002</v>
      </c>
      <c r="S406" s="177">
        <v>43938</v>
      </c>
      <c r="T406" s="182">
        <v>855</v>
      </c>
      <c r="U406" s="177">
        <v>43941</v>
      </c>
      <c r="V406" s="177">
        <v>43943</v>
      </c>
      <c r="W406" s="177">
        <v>43943</v>
      </c>
      <c r="X406" s="176">
        <v>18143</v>
      </c>
      <c r="Y406" s="177">
        <v>43986</v>
      </c>
      <c r="Z406" s="415">
        <v>3</v>
      </c>
      <c r="AA406" s="488"/>
      <c r="AB406" s="594"/>
      <c r="AC406" s="595"/>
      <c r="AD406" s="596" t="str">
        <f>IF(AND(AC406&lt;&gt;"",S406&lt;&gt;""),NETWORKDAYS(AC406,S406,#REF!),"")</f>
        <v/>
      </c>
      <c r="AE406" s="596" t="str">
        <f ca="1">IF(AND(AD406="",AC406=""),"",IF(OR(AD406&lt;&gt;"",O406="*CANCELADO"),"",NETWORKDAYS(AC406,TODAY(),#REF!)))</f>
        <v/>
      </c>
      <c r="AF406" s="597" t="str">
        <f>IFERROR(INDEX(produtos_escape2!M:M,MATCH(Controle!H406,produtos_escape2!A:A,0)),"")</f>
        <v>DISCO CD-R GRAVÁVEL</v>
      </c>
    </row>
    <row r="407" spans="1:32" ht="14.25" customHeight="1">
      <c r="A407" s="176" t="s">
        <v>7429</v>
      </c>
      <c r="B407" s="176" t="s">
        <v>7207</v>
      </c>
      <c r="C407" s="177">
        <v>43936</v>
      </c>
      <c r="D407" s="176" t="s">
        <v>8173</v>
      </c>
      <c r="E407" s="176" t="s">
        <v>3009</v>
      </c>
      <c r="F407" s="259" t="s">
        <v>8174</v>
      </c>
      <c r="G407" s="176">
        <v>1</v>
      </c>
      <c r="H407" s="178">
        <v>201158</v>
      </c>
      <c r="I407" s="592">
        <f t="shared" si="12"/>
        <v>7</v>
      </c>
      <c r="J407" s="178" t="s">
        <v>816</v>
      </c>
      <c r="K407" s="178" t="s">
        <v>816</v>
      </c>
      <c r="L407" s="275"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407" s="593" t="str">
        <f>IF(H:H=0,"",IF(ISERROR(VLOOKUP(H:H,produtos_escape2!$A$2:$D$2794,2,FALSE)),"Código não cadastrado",(VLOOKUP(H:H,produtos_escape2!$A$2:$D$2794,4,FALSE))))</f>
        <v>PR</v>
      </c>
      <c r="N407" s="486">
        <v>20000</v>
      </c>
      <c r="O407" s="176" t="s">
        <v>7472</v>
      </c>
      <c r="P407" s="486">
        <v>20000</v>
      </c>
      <c r="Q407" s="247">
        <v>0.32</v>
      </c>
      <c r="R407" s="246">
        <f t="shared" si="13"/>
        <v>6400</v>
      </c>
      <c r="S407" s="177">
        <v>43945</v>
      </c>
      <c r="T407" s="182">
        <v>22479</v>
      </c>
      <c r="U407" s="177">
        <v>43945</v>
      </c>
      <c r="V407" s="177">
        <v>43948</v>
      </c>
      <c r="W407" s="177">
        <v>43949</v>
      </c>
      <c r="X407" s="176">
        <v>18230</v>
      </c>
      <c r="Y407" s="177">
        <v>43986</v>
      </c>
      <c r="Z407" s="415">
        <v>3</v>
      </c>
      <c r="AA407" s="488" t="s">
        <v>8247</v>
      </c>
      <c r="AB407" s="594"/>
      <c r="AC407" s="595"/>
      <c r="AD407" s="596" t="str">
        <f>IF(AND(AC407&lt;&gt;"",S407&lt;&gt;""),NETWORKDAYS(AC407,S407,#REF!),"")</f>
        <v/>
      </c>
      <c r="AE407" s="596" t="str">
        <f ca="1">IF(AND(AD407="",AC407=""),"",IF(OR(AD407&lt;&gt;"",O407="*CANCELADO"),"",NETWORKDAYS(AC407,TODAY(),#REF!)))</f>
        <v/>
      </c>
      <c r="AF407" s="597" t="str">
        <f>IFERROR(INDEX(produtos_escape2!M:M,MATCH(Controle!H407,produtos_escape2!A:A,0)),"")</f>
        <v>SAPATILHA DESCARTÁVEL</v>
      </c>
    </row>
    <row r="408" spans="1:32" ht="14.25" customHeight="1">
      <c r="A408" s="176" t="s">
        <v>7429</v>
      </c>
      <c r="B408" s="176" t="s">
        <v>7207</v>
      </c>
      <c r="C408" s="177">
        <v>43936</v>
      </c>
      <c r="D408" s="176" t="s">
        <v>8175</v>
      </c>
      <c r="E408" s="176" t="s">
        <v>1867</v>
      </c>
      <c r="F408" s="259" t="s">
        <v>8176</v>
      </c>
      <c r="G408" s="176">
        <v>1</v>
      </c>
      <c r="H408" s="178">
        <v>34084</v>
      </c>
      <c r="I408" s="592">
        <f t="shared" si="12"/>
        <v>3</v>
      </c>
      <c r="J408" s="178" t="s">
        <v>816</v>
      </c>
      <c r="K408" s="178" t="s">
        <v>816</v>
      </c>
      <c r="L408" s="275" t="str">
        <f>IF(H:H=0,"",IF(ISERROR(VLOOKUP(H:H,produtos_escape2!$A$2:$B$2794,2,FALSE)),"Código não cadastrado",(VLOOKUP(H:H,produtos_escape2!$A$2:$B$2794,2,FALSE))))</f>
        <v xml:space="preserve">VERIFICAR CÓDIGO 10823 (MESMA DESCRIÇÃO COM ALTERAÇÃO DE ORDEM DE ELEMENTOS)AVENTAL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v>
      </c>
      <c r="M408" s="593" t="str">
        <f>IF(H:H=0,"",IF(ISERROR(VLOOKUP(H:H,produtos_escape2!$A$2:$D$2794,2,FALSE)),"Código não cadastrado",(VLOOKUP(H:H,produtos_escape2!$A$2:$D$2794,4,FALSE))))</f>
        <v>UN</v>
      </c>
      <c r="N408" s="486">
        <v>10000</v>
      </c>
      <c r="O408" s="176" t="s">
        <v>1868</v>
      </c>
      <c r="P408" s="486"/>
      <c r="Q408" s="247"/>
      <c r="R408" s="246">
        <f t="shared" si="13"/>
        <v>0</v>
      </c>
      <c r="S408" s="177">
        <v>43936</v>
      </c>
      <c r="T408" s="182"/>
      <c r="U408" s="177"/>
      <c r="V408" s="177"/>
      <c r="W408" s="177"/>
      <c r="X408" s="176"/>
      <c r="Y408" s="177"/>
      <c r="Z408" s="415">
        <v>2</v>
      </c>
      <c r="AA408" s="488" t="s">
        <v>8201</v>
      </c>
      <c r="AB408" s="594"/>
      <c r="AC408" s="595"/>
      <c r="AD408" s="596" t="str">
        <f>IF(AND(AC408&lt;&gt;"",S408&lt;&gt;""),NETWORKDAYS(AC408,S408,#REF!),"")</f>
        <v/>
      </c>
      <c r="AE408" s="596" t="str">
        <f ca="1">IF(AND(AD408="",AC408=""),"",IF(OR(AD408&lt;&gt;"",O408="*CANCELADO"),"",NETWORKDAYS(AC408,TODAY(),#REF!)))</f>
        <v/>
      </c>
      <c r="AF408" s="597" t="str">
        <f>IFERROR(INDEX(produtos_escape2!M:M,MATCH(Controle!H408,produtos_escape2!A:A,0)),"")</f>
        <v>AVENTAL DE PROCEDIMENTO NÃO ESTÉRIL</v>
      </c>
    </row>
    <row r="409" spans="1:32" ht="14.25" customHeight="1">
      <c r="A409" s="176" t="s">
        <v>7428</v>
      </c>
      <c r="B409" s="176" t="s">
        <v>7207</v>
      </c>
      <c r="C409" s="177">
        <v>43936</v>
      </c>
      <c r="D409" s="176" t="s">
        <v>8177</v>
      </c>
      <c r="E409" s="176" t="s">
        <v>1865</v>
      </c>
      <c r="F409" s="259" t="s">
        <v>8178</v>
      </c>
      <c r="G409" s="176">
        <v>1</v>
      </c>
      <c r="H409" s="178">
        <v>31638</v>
      </c>
      <c r="I409" s="592">
        <f t="shared" si="12"/>
        <v>1</v>
      </c>
      <c r="J409" s="178" t="s">
        <v>816</v>
      </c>
      <c r="K409" s="178" t="s">
        <v>816</v>
      </c>
      <c r="L409" s="275" t="str">
        <f>IF(H:H=0,"",IF(ISERROR(VLOOKUP(H:H,produtos_escape2!$A$2:$B$2794,2,FALSE)),"Código não cadastrado",(VLOOKUP(H:H,produtos_escape2!$A$2:$B$2794,2,FALSE))))</f>
        <v>TUBO CONECTOR/EXTENSOR de alta pressão espiralado 120 - 150 cm, de 8 fr a 12 fr; 300 PSI, caixa contendo 100 unidades. (Compatível com Injetora CT 9000 ADV).</v>
      </c>
      <c r="M409" s="593" t="str">
        <f>IF(H:H=0,"",IF(ISERROR(VLOOKUP(H:H,produtos_escape2!$A$2:$D$2794,2,FALSE)),"Código não cadastrado",(VLOOKUP(H:H,produtos_escape2!$A$2:$D$2794,4,FALSE))))</f>
        <v>CX</v>
      </c>
      <c r="N409" s="486">
        <v>20</v>
      </c>
      <c r="O409" s="176" t="s">
        <v>8215</v>
      </c>
      <c r="P409" s="486">
        <v>20</v>
      </c>
      <c r="Q409" s="247">
        <v>500</v>
      </c>
      <c r="R409" s="246">
        <f t="shared" si="13"/>
        <v>10000</v>
      </c>
      <c r="S409" s="177">
        <v>43943</v>
      </c>
      <c r="T409" s="182">
        <v>11662</v>
      </c>
      <c r="U409" s="177">
        <v>43943</v>
      </c>
      <c r="V409" s="177">
        <v>43945</v>
      </c>
      <c r="W409" s="177">
        <v>43949</v>
      </c>
      <c r="X409" s="176">
        <v>20726</v>
      </c>
      <c r="Y409" s="177">
        <v>43991</v>
      </c>
      <c r="Z409" s="415">
        <v>3</v>
      </c>
      <c r="AA409" s="488"/>
      <c r="AB409" s="594"/>
      <c r="AC409" s="595"/>
      <c r="AD409" s="596" t="str">
        <f>IF(AND(AC409&lt;&gt;"",S409&lt;&gt;""),NETWORKDAYS(AC409,S409,#REF!),"")</f>
        <v/>
      </c>
      <c r="AE409" s="596" t="str">
        <f ca="1">IF(AND(AD409="",AC409=""),"",IF(OR(AD409&lt;&gt;"",O409="*CANCELADO"),"",NETWORKDAYS(AC409,TODAY(),#REF!)))</f>
        <v/>
      </c>
      <c r="AF409" s="597" t="str">
        <f>IFERROR(INDEX(produtos_escape2!M:M,MATCH(Controle!H409,produtos_escape2!A:A,0)),"")</f>
        <v>TUBO CONECTOR/EXTENSOR de alta pressão espiralado 120 - 150 cm</v>
      </c>
    </row>
    <row r="410" spans="1:32" ht="14.25" customHeight="1">
      <c r="A410" s="176" t="s">
        <v>7427</v>
      </c>
      <c r="B410" s="176" t="s">
        <v>7207</v>
      </c>
      <c r="C410" s="177">
        <v>43936</v>
      </c>
      <c r="D410" s="176" t="s">
        <v>8180</v>
      </c>
      <c r="E410" s="176" t="s">
        <v>1866</v>
      </c>
      <c r="F410" s="259" t="s">
        <v>8179</v>
      </c>
      <c r="G410" s="176">
        <v>1</v>
      </c>
      <c r="H410" s="178">
        <v>31637</v>
      </c>
      <c r="I410" s="592">
        <f t="shared" si="12"/>
        <v>2</v>
      </c>
      <c r="J410" s="178" t="s">
        <v>816</v>
      </c>
      <c r="K410" s="178" t="s">
        <v>816</v>
      </c>
      <c r="L410" s="275" t="str">
        <f>IF(H:H=0,"",IF(ISERROR(VLOOKUP(H:H,produtos_escape2!$A$2:$B$2794,2,FALSE)),"Código não cadastrado",(VLOOKUP(H:H,produtos_escape2!$A$2:$B$2794,2,FALSE))))</f>
        <v>SERINGAS VAZIAS, 200 ml para bomba injetora LF CT9000ADV, caixa contendo 50 unidades</v>
      </c>
      <c r="M410" s="593" t="str">
        <f>IF(H:H=0,"",IF(ISERROR(VLOOKUP(H:H,produtos_escape2!$A$2:$D$2794,2,FALSE)),"Código não cadastrado",(VLOOKUP(H:H,produtos_escape2!$A$2:$D$2794,4,FALSE))))</f>
        <v>CX</v>
      </c>
      <c r="N410" s="486">
        <v>12</v>
      </c>
      <c r="O410" s="176" t="s">
        <v>10360</v>
      </c>
      <c r="P410" s="486">
        <v>6</v>
      </c>
      <c r="Q410" s="247">
        <v>1950</v>
      </c>
      <c r="R410" s="246">
        <f t="shared" si="13"/>
        <v>11700</v>
      </c>
      <c r="S410" s="177">
        <v>43938</v>
      </c>
      <c r="T410" s="182">
        <v>24012</v>
      </c>
      <c r="U410" s="177">
        <v>43944</v>
      </c>
      <c r="V410" s="177">
        <v>43945</v>
      </c>
      <c r="W410" s="177">
        <v>43949</v>
      </c>
      <c r="X410" s="176">
        <v>18260</v>
      </c>
      <c r="Y410" s="177">
        <v>43986</v>
      </c>
      <c r="Z410" s="415">
        <v>3</v>
      </c>
      <c r="AA410" s="488"/>
      <c r="AB410" s="594"/>
      <c r="AC410" s="595"/>
      <c r="AD410" s="596" t="str">
        <f>IF(AND(AC410&lt;&gt;"",S410&lt;&gt;""),NETWORKDAYS(AC410,S410,#REF!),"")</f>
        <v/>
      </c>
      <c r="AE410" s="596" t="str">
        <f ca="1">IF(AND(AD410="",AC410=""),"",IF(OR(AD410&lt;&gt;"",O410="*CANCELADO"),"",NETWORKDAYS(AC410,TODAY(),#REF!)))</f>
        <v/>
      </c>
      <c r="AF410" s="597" t="str">
        <f>IFERROR(INDEX(produtos_escape2!M:M,MATCH(Controle!H410,produtos_escape2!A:A,0)),"")</f>
        <v>SERINGAS VAZIAS</v>
      </c>
    </row>
    <row r="411" spans="1:32" ht="14.25" customHeight="1">
      <c r="A411" s="176" t="s">
        <v>7427</v>
      </c>
      <c r="B411" s="176" t="s">
        <v>7207</v>
      </c>
      <c r="C411" s="177">
        <v>43936</v>
      </c>
      <c r="D411" s="176" t="s">
        <v>8180</v>
      </c>
      <c r="E411" s="176" t="s">
        <v>1866</v>
      </c>
      <c r="F411" s="259" t="s">
        <v>8179</v>
      </c>
      <c r="G411" s="176">
        <v>1</v>
      </c>
      <c r="H411" s="178">
        <v>31637</v>
      </c>
      <c r="I411" s="592">
        <f t="shared" si="12"/>
        <v>2</v>
      </c>
      <c r="J411" s="178" t="s">
        <v>816</v>
      </c>
      <c r="K411" s="178" t="s">
        <v>816</v>
      </c>
      <c r="L411" s="275" t="str">
        <f>IF(H:H=0,"",IF(ISERROR(VLOOKUP(H:H,produtos_escape2!$A$2:$B$2794,2,FALSE)),"Código não cadastrado",(VLOOKUP(H:H,produtos_escape2!$A$2:$B$2794,2,FALSE))))</f>
        <v>SERINGAS VAZIAS, 200 ml para bomba injetora LF CT9000ADV, caixa contendo 50 unidades</v>
      </c>
      <c r="M411" s="593" t="str">
        <f>IF(H:H=0,"",IF(ISERROR(VLOOKUP(H:H,produtos_escape2!$A$2:$D$2794,2,FALSE)),"Código não cadastrado",(VLOOKUP(H:H,produtos_escape2!$A$2:$D$2794,4,FALSE))))</f>
        <v>CX</v>
      </c>
      <c r="N411" s="486">
        <v>12</v>
      </c>
      <c r="O411" s="176" t="s">
        <v>10360</v>
      </c>
      <c r="P411" s="486">
        <v>3</v>
      </c>
      <c r="Q411" s="247">
        <v>1950</v>
      </c>
      <c r="R411" s="246">
        <f t="shared" si="13"/>
        <v>5850</v>
      </c>
      <c r="S411" s="177">
        <v>43938</v>
      </c>
      <c r="T411" s="182">
        <v>25698</v>
      </c>
      <c r="U411" s="177">
        <v>44036</v>
      </c>
      <c r="V411" s="177">
        <v>44039</v>
      </c>
      <c r="W411" s="177">
        <v>44050</v>
      </c>
      <c r="X411" s="176">
        <v>63744</v>
      </c>
      <c r="Y411" s="177">
        <v>44061</v>
      </c>
      <c r="Z411" s="415">
        <v>4</v>
      </c>
      <c r="AA411" s="488"/>
      <c r="AB411" s="594"/>
      <c r="AC411" s="595"/>
      <c r="AD411" s="596" t="str">
        <f>IF(AND(AC411&lt;&gt;"",S411&lt;&gt;""),NETWORKDAYS(AC411,S411,#REF!),"")</f>
        <v/>
      </c>
      <c r="AE411" s="596" t="str">
        <f ca="1">IF(AND(AD411="",AC411=""),"",IF(OR(AD411&lt;&gt;"",O411="*CANCELADO"),"",NETWORKDAYS(AC411,TODAY(),#REF!)))</f>
        <v/>
      </c>
      <c r="AF411" s="597" t="str">
        <f>IFERROR(INDEX(produtos_escape2!M:M,MATCH(Controle!H411,produtos_escape2!A:A,0)),"")</f>
        <v>SERINGAS VAZIAS</v>
      </c>
    </row>
    <row r="412" spans="1:32" ht="14.25" customHeight="1">
      <c r="A412" s="176" t="s">
        <v>7443</v>
      </c>
      <c r="B412" s="176" t="s">
        <v>7207</v>
      </c>
      <c r="C412" s="177">
        <v>43937</v>
      </c>
      <c r="D412" s="176" t="s">
        <v>8185</v>
      </c>
      <c r="E412" s="176" t="s">
        <v>3009</v>
      </c>
      <c r="F412" s="259" t="s">
        <v>8184</v>
      </c>
      <c r="G412" s="176">
        <v>1</v>
      </c>
      <c r="H412" s="178">
        <v>51453</v>
      </c>
      <c r="I412" s="592">
        <f t="shared" si="12"/>
        <v>6</v>
      </c>
      <c r="J412" s="178" t="s">
        <v>816</v>
      </c>
      <c r="K412" s="178" t="s">
        <v>816</v>
      </c>
      <c r="L412" s="275"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412" s="593" t="str">
        <f>IF(H:H=0,"",IF(ISERROR(VLOOKUP(H:H,produtos_escape2!$A$2:$D$2794,2,FALSE)),"Código não cadastrado",(VLOOKUP(H:H,produtos_escape2!$A$2:$D$2794,4,FALSE))))</f>
        <v>UN</v>
      </c>
      <c r="N412" s="486">
        <v>10000</v>
      </c>
      <c r="O412" s="176" t="s">
        <v>7336</v>
      </c>
      <c r="P412" s="486">
        <v>10000</v>
      </c>
      <c r="Q412" s="247">
        <v>0.9</v>
      </c>
      <c r="R412" s="246">
        <f t="shared" si="13"/>
        <v>9000</v>
      </c>
      <c r="S412" s="177">
        <v>43950</v>
      </c>
      <c r="T412" s="182">
        <v>21874</v>
      </c>
      <c r="U412" s="177">
        <v>43951</v>
      </c>
      <c r="V412" s="177">
        <v>43951</v>
      </c>
      <c r="W412" s="177">
        <v>43955</v>
      </c>
      <c r="X412" s="176">
        <v>18253</v>
      </c>
      <c r="Y412" s="177">
        <v>43986</v>
      </c>
      <c r="Z412" s="415">
        <v>3</v>
      </c>
      <c r="AA412" s="488"/>
      <c r="AB412" s="594"/>
      <c r="AC412" s="595"/>
      <c r="AD412" s="596" t="str">
        <f>IF(AND(AC412&lt;&gt;"",S412&lt;&gt;""),NETWORKDAYS(AC412,S412,#REF!),"")</f>
        <v/>
      </c>
      <c r="AE412" s="596" t="str">
        <f ca="1">IF(AND(AD412="",AC412=""),"",IF(OR(AD412&lt;&gt;"",O412="*CANCELADO"),"",NETWORKDAYS(AC412,TODAY(),#REF!)))</f>
        <v/>
      </c>
      <c r="AF412" s="597" t="str">
        <f>IFERROR(INDEX(produtos_escape2!M:M,MATCH(Controle!H412,produtos_escape2!A:A,0)),"")</f>
        <v>GORRO DESCARTÁVEL</v>
      </c>
    </row>
    <row r="413" spans="1:32" ht="14.25" customHeight="1">
      <c r="A413" s="176" t="s">
        <v>7442</v>
      </c>
      <c r="B413" s="176" t="s">
        <v>7207</v>
      </c>
      <c r="C413" s="177">
        <v>43937</v>
      </c>
      <c r="D413" s="176" t="s">
        <v>8186</v>
      </c>
      <c r="E413" s="176" t="s">
        <v>1867</v>
      </c>
      <c r="F413" s="259" t="s">
        <v>8187</v>
      </c>
      <c r="G413" s="176">
        <v>1</v>
      </c>
      <c r="H413" s="178">
        <v>4188</v>
      </c>
      <c r="I413" s="592">
        <f t="shared" si="12"/>
        <v>1</v>
      </c>
      <c r="J413" s="178" t="s">
        <v>816</v>
      </c>
      <c r="K413" s="178" t="s">
        <v>816</v>
      </c>
      <c r="L413" s="275" t="str">
        <f>IF(H:H=0,"",IF(ISERROR(VLOOKUP(H:H,produtos_escape2!$A$2:$B$2794,2,FALSE)),"Código não cadastrado",(VLOOKUP(H:H,produtos_escape2!$A$2:$B$2794,2,FALSE))))</f>
        <v>COPO, Material: plástico, Capacidade: 50 ml, Tipo Uso: descartável, aplicação: café, Unidade De fornecimento: pacote com 100 unidades.</v>
      </c>
      <c r="M413" s="593" t="str">
        <f>IF(H:H=0,"",IF(ISERROR(VLOOKUP(H:H,produtos_escape2!$A$2:$D$2794,2,FALSE)),"Código não cadastrado",(VLOOKUP(H:H,produtos_escape2!$A$2:$D$2794,4,FALSE))))</f>
        <v>CN</v>
      </c>
      <c r="N413" s="486">
        <v>200</v>
      </c>
      <c r="O413" s="176" t="s">
        <v>4432</v>
      </c>
      <c r="P413" s="486">
        <v>200</v>
      </c>
      <c r="Q413" s="247">
        <v>2.48</v>
      </c>
      <c r="R413" s="246">
        <f t="shared" si="13"/>
        <v>496</v>
      </c>
      <c r="S413" s="177">
        <v>43943</v>
      </c>
      <c r="T413" s="182">
        <v>8875</v>
      </c>
      <c r="U413" s="177">
        <v>43944</v>
      </c>
      <c r="V413" s="177">
        <v>43945</v>
      </c>
      <c r="W413" s="177">
        <v>43945</v>
      </c>
      <c r="X413" s="176">
        <v>18046</v>
      </c>
      <c r="Y413" s="177">
        <v>43986</v>
      </c>
      <c r="Z413" s="415">
        <v>3</v>
      </c>
      <c r="AA413" s="488"/>
      <c r="AB413" s="594"/>
      <c r="AC413" s="595"/>
      <c r="AD413" s="596" t="str">
        <f>IF(AND(AC413&lt;&gt;"",S413&lt;&gt;""),NETWORKDAYS(AC413,S413,#REF!),"")</f>
        <v/>
      </c>
      <c r="AE413" s="596" t="str">
        <f ca="1">IF(AND(AD413="",AC413=""),"",IF(OR(AD413&lt;&gt;"",O413="*CANCELADO"),"",NETWORKDAYS(AC413,TODAY(),#REF!)))</f>
        <v/>
      </c>
      <c r="AF413" s="597" t="str">
        <f>IFERROR(INDEX(produtos_escape2!M:M,MATCH(Controle!H413,produtos_escape2!A:A,0)),"")</f>
        <v>COPO</v>
      </c>
    </row>
    <row r="414" spans="1:32" ht="14.25" customHeight="1">
      <c r="A414" s="176" t="s">
        <v>7434</v>
      </c>
      <c r="B414" s="176" t="s">
        <v>7207</v>
      </c>
      <c r="C414" s="177">
        <v>43937</v>
      </c>
      <c r="D414" s="176" t="s">
        <v>8192</v>
      </c>
      <c r="E414" s="176" t="s">
        <v>1866</v>
      </c>
      <c r="F414" s="259" t="s">
        <v>8193</v>
      </c>
      <c r="G414" s="176">
        <v>1</v>
      </c>
      <c r="H414" s="178">
        <v>17090</v>
      </c>
      <c r="I414" s="592">
        <f t="shared" si="12"/>
        <v>2</v>
      </c>
      <c r="J414" s="178" t="s">
        <v>816</v>
      </c>
      <c r="K414" s="178" t="s">
        <v>816</v>
      </c>
      <c r="L414" s="275" t="str">
        <f>IF(H:H=0,"",IF(ISERROR(VLOOKUP(H:H,produtos_escape2!$A$2:$B$2794,2,FALSE)),"Código não cadastrado",(VLOOKUP(H:H,produtos_escape2!$A$2:$B$2794,2,FALSE))))</f>
        <v>RIBON, Aplicação: impressora Zebra TPL 2844, Tamanho: 110mm x 74m.</v>
      </c>
      <c r="M414" s="593" t="str">
        <f>IF(H:H=0,"",IF(ISERROR(VLOOKUP(H:H,produtos_escape2!$A$2:$D$2794,2,FALSE)),"Código não cadastrado",(VLOOKUP(H:H,produtos_escape2!$A$2:$D$2794,4,FALSE))))</f>
        <v>UN</v>
      </c>
      <c r="N414" s="486">
        <v>200</v>
      </c>
      <c r="O414" s="176" t="s">
        <v>4432</v>
      </c>
      <c r="P414" s="486">
        <v>200</v>
      </c>
      <c r="Q414" s="247">
        <v>7.33</v>
      </c>
      <c r="R414" s="246">
        <f t="shared" si="13"/>
        <v>1466</v>
      </c>
      <c r="S414" s="177">
        <v>43941</v>
      </c>
      <c r="T414" s="182">
        <v>8866</v>
      </c>
      <c r="U414" s="177">
        <v>43943</v>
      </c>
      <c r="V414" s="177">
        <v>43945</v>
      </c>
      <c r="W414" s="177">
        <v>43945</v>
      </c>
      <c r="X414" s="176">
        <v>18118</v>
      </c>
      <c r="Y414" s="177">
        <v>43986</v>
      </c>
      <c r="Z414" s="415">
        <v>3</v>
      </c>
      <c r="AA414" s="488"/>
      <c r="AB414" s="594"/>
      <c r="AC414" s="595"/>
      <c r="AD414" s="596" t="str">
        <f>IF(AND(AC414&lt;&gt;"",S414&lt;&gt;""),NETWORKDAYS(AC414,S414,#REF!),"")</f>
        <v/>
      </c>
      <c r="AE414" s="596" t="str">
        <f ca="1">IF(AND(AD414="",AC414=""),"",IF(OR(AD414&lt;&gt;"",O414="*CANCELADO"),"",NETWORKDAYS(AC414,TODAY(),#REF!)))</f>
        <v/>
      </c>
      <c r="AF414" s="597" t="str">
        <f>IFERROR(INDEX(produtos_escape2!M:M,MATCH(Controle!H414,produtos_escape2!A:A,0)),"")</f>
        <v>RIBON</v>
      </c>
    </row>
    <row r="415" spans="1:32" ht="14.25" customHeight="1">
      <c r="A415" s="176" t="s">
        <v>7432</v>
      </c>
      <c r="B415" s="176" t="s">
        <v>7207</v>
      </c>
      <c r="C415" s="177">
        <v>43937</v>
      </c>
      <c r="D415" s="176" t="s">
        <v>8188</v>
      </c>
      <c r="E415" s="176" t="s">
        <v>3009</v>
      </c>
      <c r="F415" s="259" t="s">
        <v>8189</v>
      </c>
      <c r="G415" s="176">
        <v>1</v>
      </c>
      <c r="H415" s="178">
        <v>21228</v>
      </c>
      <c r="I415" s="592">
        <f t="shared" si="12"/>
        <v>3</v>
      </c>
      <c r="J415" s="178" t="s">
        <v>816</v>
      </c>
      <c r="K415" s="178" t="s">
        <v>816</v>
      </c>
      <c r="L415" s="275" t="str">
        <f>IF(H:H=0,"",IF(ISERROR(VLOOKUP(H:H,produtos_escape2!$A$2:$B$2794,2,FALSE)),"Código não cadastrado",(VLOOKUP(H:H,produtos_escape2!$A$2:$B$2794,2,FALSE))))</f>
        <v>ENVELOPE PARA CD, Material: papel, Cor: branco, Características Adicionais: com janela circular de acetato e aba para fechamento</v>
      </c>
      <c r="M415" s="593" t="str">
        <f>IF(H:H=0,"",IF(ISERROR(VLOOKUP(H:H,produtos_escape2!$A$2:$D$2794,2,FALSE)),"Código não cadastrado",(VLOOKUP(H:H,produtos_escape2!$A$2:$D$2794,4,FALSE))))</f>
        <v>UN</v>
      </c>
      <c r="N415" s="486">
        <v>2500</v>
      </c>
      <c r="O415" s="176" t="s">
        <v>4432</v>
      </c>
      <c r="P415" s="486">
        <v>2500</v>
      </c>
      <c r="Q415" s="247">
        <v>0.19</v>
      </c>
      <c r="R415" s="246">
        <f t="shared" si="13"/>
        <v>475</v>
      </c>
      <c r="S415" s="177">
        <v>43950</v>
      </c>
      <c r="T415" s="182">
        <v>8908</v>
      </c>
      <c r="U415" s="177">
        <v>43956</v>
      </c>
      <c r="V415" s="177">
        <v>43957</v>
      </c>
      <c r="W415" s="177">
        <v>43957</v>
      </c>
      <c r="X415" s="176">
        <v>18043</v>
      </c>
      <c r="Y415" s="177">
        <v>43986</v>
      </c>
      <c r="Z415" s="415">
        <v>3</v>
      </c>
      <c r="AA415" s="488" t="s">
        <v>8248</v>
      </c>
      <c r="AB415" s="594"/>
      <c r="AC415" s="595"/>
      <c r="AD415" s="596" t="str">
        <f>IF(AND(AC415&lt;&gt;"",S415&lt;&gt;""),NETWORKDAYS(AC415,S415,#REF!),"")</f>
        <v/>
      </c>
      <c r="AE415" s="596" t="str">
        <f ca="1">IF(AND(AD415="",AC415=""),"",IF(OR(AD415&lt;&gt;"",O415="*CANCELADO"),"",NETWORKDAYS(AC415,TODAY(),#REF!)))</f>
        <v/>
      </c>
      <c r="AF415" s="597" t="str">
        <f>IFERROR(INDEX(produtos_escape2!M:M,MATCH(Controle!H415,produtos_escape2!A:A,0)),"")</f>
        <v>ENVELOPE PARA CD</v>
      </c>
    </row>
    <row r="416" spans="1:32" ht="14.25" customHeight="1">
      <c r="A416" s="176" t="s">
        <v>7453</v>
      </c>
      <c r="B416" s="176" t="s">
        <v>7207</v>
      </c>
      <c r="C416" s="177">
        <v>43937</v>
      </c>
      <c r="D416" s="176" t="s">
        <v>8194</v>
      </c>
      <c r="E416" s="176" t="s">
        <v>1867</v>
      </c>
      <c r="F416" s="259" t="s">
        <v>8195</v>
      </c>
      <c r="G416" s="176">
        <v>1</v>
      </c>
      <c r="H416" s="178">
        <v>619</v>
      </c>
      <c r="I416" s="592">
        <f t="shared" si="12"/>
        <v>2</v>
      </c>
      <c r="J416" s="178" t="s">
        <v>816</v>
      </c>
      <c r="K416" s="178" t="s">
        <v>816</v>
      </c>
      <c r="L416" s="275" t="str">
        <f>IF(H:H=0,"",IF(ISERROR(VLOOKUP(H:H,produtos_escape2!$A$2:$B$2794,2,FALSE)),"Código não cadastrado",(VLOOKUP(H:H,produtos_escape2!$A$2:$B$2794,2,FALSE))))</f>
        <v>PAPEL CÓPIA XEROGRÁFICA,  Material: sulfite, Gramatura: 75g/m2, Comprimento: 297 mm, Largura: 210 mm, Cor: branca, Unidade De Fornecimento: pacote com 500 folhas, Formato A4. Fornecimento: Resma pacote com 500 folhas, Formato: A-4.</v>
      </c>
      <c r="M416" s="593" t="str">
        <f>IF(H:H=0,"",IF(ISERROR(VLOOKUP(H:H,produtos_escape2!$A$2:$D$2794,2,FALSE)),"Código não cadastrado",(VLOOKUP(H:H,produtos_escape2!$A$2:$D$2794,4,FALSE))))</f>
        <v>UN</v>
      </c>
      <c r="N416" s="486">
        <v>130</v>
      </c>
      <c r="O416" s="176" t="s">
        <v>8239</v>
      </c>
      <c r="P416" s="486">
        <v>190</v>
      </c>
      <c r="Q416" s="247">
        <v>19.71</v>
      </c>
      <c r="R416" s="246">
        <f t="shared" si="13"/>
        <v>3744.9</v>
      </c>
      <c r="S416" s="177">
        <v>43943</v>
      </c>
      <c r="T416" s="182">
        <v>7518</v>
      </c>
      <c r="U416" s="177">
        <v>43944</v>
      </c>
      <c r="V416" s="177">
        <v>43944</v>
      </c>
      <c r="W416" s="177">
        <v>43945</v>
      </c>
      <c r="X416" s="176">
        <v>18187</v>
      </c>
      <c r="Y416" s="177">
        <v>43986</v>
      </c>
      <c r="Z416" s="415">
        <v>3</v>
      </c>
      <c r="AA416" s="488"/>
      <c r="AB416" s="594"/>
      <c r="AC416" s="595"/>
      <c r="AD416" s="596" t="str">
        <f>IF(AND(AC416&lt;&gt;"",S416&lt;&gt;""),NETWORKDAYS(AC416,S416,#REF!),"")</f>
        <v/>
      </c>
      <c r="AE416" s="596" t="str">
        <f ca="1">IF(AND(AD416="",AC416=""),"",IF(OR(AD416&lt;&gt;"",O416="*CANCELADO"),"",NETWORKDAYS(AC416,TODAY(),#REF!)))</f>
        <v/>
      </c>
      <c r="AF416" s="597" t="str">
        <f>IFERROR(INDEX(produtos_escape2!M:M,MATCH(Controle!H416,produtos_escape2!A:A,0)),"")</f>
        <v>PAPEL CÓPIA XEROGRÁFICA</v>
      </c>
    </row>
    <row r="417" spans="1:32" ht="14.25" customHeight="1">
      <c r="A417" s="176" t="s">
        <v>7433</v>
      </c>
      <c r="B417" s="176" t="s">
        <v>7207</v>
      </c>
      <c r="C417" s="177">
        <v>43937</v>
      </c>
      <c r="D417" s="176" t="s">
        <v>8196</v>
      </c>
      <c r="E417" s="176" t="s">
        <v>1865</v>
      </c>
      <c r="F417" s="259" t="s">
        <v>8197</v>
      </c>
      <c r="G417" s="176">
        <v>1</v>
      </c>
      <c r="H417" s="178">
        <v>20879</v>
      </c>
      <c r="I417" s="592">
        <f t="shared" si="12"/>
        <v>6</v>
      </c>
      <c r="J417" s="178" t="s">
        <v>816</v>
      </c>
      <c r="K417" s="178" t="s">
        <v>816</v>
      </c>
      <c r="L417" s="275"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417" s="593" t="str">
        <f>IF(H:H=0,"",IF(ISERROR(VLOOKUP(H:H,produtos_escape2!$A$2:$D$2794,2,FALSE)),"Código não cadastrado",(VLOOKUP(H:H,produtos_escape2!$A$2:$D$2794,4,FALSE))))</f>
        <v>MH</v>
      </c>
      <c r="N417" s="486">
        <v>300</v>
      </c>
      <c r="O417" s="176" t="s">
        <v>3671</v>
      </c>
      <c r="P417" s="486">
        <v>300</v>
      </c>
      <c r="Q417" s="247">
        <v>6.7</v>
      </c>
      <c r="R417" s="246">
        <f t="shared" si="13"/>
        <v>2010</v>
      </c>
      <c r="S417" s="177">
        <v>43943</v>
      </c>
      <c r="T417" s="182">
        <v>685</v>
      </c>
      <c r="U417" s="177">
        <v>43948</v>
      </c>
      <c r="V417" s="177">
        <v>43948</v>
      </c>
      <c r="W417" s="177">
        <v>43949</v>
      </c>
      <c r="X417" s="176">
        <v>18172</v>
      </c>
      <c r="Y417" s="177">
        <v>43986</v>
      </c>
      <c r="Z417" s="415">
        <v>3</v>
      </c>
      <c r="AA417" s="488"/>
      <c r="AB417" s="594"/>
      <c r="AC417" s="595"/>
      <c r="AD417" s="596" t="str">
        <f>IF(AND(AC417&lt;&gt;"",S417&lt;&gt;""),NETWORKDAYS(AC417,S417,#REF!),"")</f>
        <v/>
      </c>
      <c r="AE417" s="596" t="str">
        <f ca="1">IF(AND(AD417="",AC417=""),"",IF(OR(AD417&lt;&gt;"",O417="*CANCELADO"),"",NETWORKDAYS(AC417,TODAY(),#REF!)))</f>
        <v/>
      </c>
      <c r="AF417" s="597" t="str">
        <f>IFERROR(INDEX(produtos_escape2!M:M,MATCH(Controle!H417,produtos_escape2!A:A,0)),"")</f>
        <v>ETIQUETA AUTO-ADESIVApara LABORATÓRIO</v>
      </c>
    </row>
    <row r="418" spans="1:32" ht="14.25" customHeight="1">
      <c r="A418" s="176" t="s">
        <v>7910</v>
      </c>
      <c r="B418" s="176" t="s">
        <v>3608</v>
      </c>
      <c r="C418" s="177">
        <v>43941</v>
      </c>
      <c r="D418" s="176" t="s">
        <v>8204</v>
      </c>
      <c r="E418" s="176" t="s">
        <v>1866</v>
      </c>
      <c r="F418" s="259" t="s">
        <v>8205</v>
      </c>
      <c r="G418" s="176">
        <v>1</v>
      </c>
      <c r="H418" s="178">
        <v>36552</v>
      </c>
      <c r="I418" s="592">
        <f t="shared" si="12"/>
        <v>3</v>
      </c>
      <c r="J418" s="178" t="s">
        <v>816</v>
      </c>
      <c r="K418" s="178" t="s">
        <v>816</v>
      </c>
      <c r="L418" s="275"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418" s="593" t="str">
        <f>IF(H:H=0,"",IF(ISERROR(VLOOKUP(H:H,produtos_escape2!$A$2:$D$2794,2,FALSE)),"Código não cadastrado",(VLOOKUP(H:H,produtos_escape2!$A$2:$D$2794,4,FALSE))))</f>
        <v>UN</v>
      </c>
      <c r="N418" s="486">
        <v>20000</v>
      </c>
      <c r="O418" s="176" t="s">
        <v>7371</v>
      </c>
      <c r="P418" s="486">
        <v>20000</v>
      </c>
      <c r="Q418" s="247">
        <v>2.0799999999999999E-2</v>
      </c>
      <c r="R418" s="246">
        <f t="shared" si="13"/>
        <v>416</v>
      </c>
      <c r="S418" s="177">
        <v>43944</v>
      </c>
      <c r="T418" s="182">
        <v>327148</v>
      </c>
      <c r="U418" s="177">
        <v>43944</v>
      </c>
      <c r="V418" s="177">
        <v>43945</v>
      </c>
      <c r="W418" s="177">
        <v>43949</v>
      </c>
      <c r="X418" s="176">
        <v>18035</v>
      </c>
      <c r="Y418" s="177">
        <v>43986</v>
      </c>
      <c r="Z418" s="415">
        <v>3</v>
      </c>
      <c r="AA418" s="488"/>
      <c r="AB418" s="594"/>
      <c r="AC418" s="595"/>
      <c r="AD418" s="596" t="str">
        <f>IF(AND(AC418&lt;&gt;"",S418&lt;&gt;""),NETWORKDAYS(AC418,S418,#REF!),"")</f>
        <v/>
      </c>
      <c r="AE418" s="596" t="str">
        <f ca="1">IF(AND(AD418="",AC418=""),"",IF(OR(AD418&lt;&gt;"",O418="*CANCELADO"),"",NETWORKDAYS(AC418,TODAY(),#REF!)))</f>
        <v/>
      </c>
      <c r="AF418" s="597" t="str">
        <f>IFERROR(INDEX(produtos_escape2!M:M,MATCH(Controle!H418,produtos_escape2!A:A,0)),"")</f>
        <v>CURATIVO ANTISSEPTICO</v>
      </c>
    </row>
    <row r="419" spans="1:32" ht="14.25" customHeight="1">
      <c r="A419" s="176" t="s">
        <v>7943</v>
      </c>
      <c r="B419" s="176" t="s">
        <v>3608</v>
      </c>
      <c r="C419" s="177">
        <v>43941</v>
      </c>
      <c r="D419" s="176" t="s">
        <v>8206</v>
      </c>
      <c r="E419" s="176" t="s">
        <v>3009</v>
      </c>
      <c r="F419" s="259" t="s">
        <v>8207</v>
      </c>
      <c r="G419" s="176">
        <v>1</v>
      </c>
      <c r="H419" s="178">
        <v>90550</v>
      </c>
      <c r="I419" s="592">
        <f t="shared" si="12"/>
        <v>9</v>
      </c>
      <c r="J419" s="178" t="s">
        <v>816</v>
      </c>
      <c r="K419" s="178" t="s">
        <v>816</v>
      </c>
      <c r="L419" s="275" t="str">
        <f>IF(H:H=0,"",IF(ISERROR(VLOOKUP(H:H,produtos_escape2!$A$2:$B$2794,2,FALSE)),"Código não cadastrado",(VLOOKUP(H:H,produtos_escape2!$A$2:$B$2794,2,FALSE))))</f>
        <v xml:space="preserve">BICARBONATO DE SODIO SOLUCAO INJETAVEL 8,4 % (1 MEQ/ML) AMPOLA 10 ML  </v>
      </c>
      <c r="M419" s="593" t="str">
        <f>IF(H:H=0,"",IF(ISERROR(VLOOKUP(H:H,produtos_escape2!$A$2:$D$2794,2,FALSE)),"Código não cadastrado",(VLOOKUP(H:H,produtos_escape2!$A$2:$D$2794,4,FALSE))))</f>
        <v>AMP</v>
      </c>
      <c r="N419" s="486">
        <v>600</v>
      </c>
      <c r="O419" s="176" t="s">
        <v>7896</v>
      </c>
      <c r="P419" s="486">
        <v>600</v>
      </c>
      <c r="Q419" s="247">
        <v>0.9</v>
      </c>
      <c r="R419" s="246">
        <f t="shared" si="13"/>
        <v>540</v>
      </c>
      <c r="S419" s="177">
        <v>43950</v>
      </c>
      <c r="T419" s="182">
        <v>40509</v>
      </c>
      <c r="U419" s="177">
        <v>43950</v>
      </c>
      <c r="V419" s="177">
        <v>43951</v>
      </c>
      <c r="W419" s="177">
        <v>43951</v>
      </c>
      <c r="X419" s="176">
        <v>18064</v>
      </c>
      <c r="Y419" s="177">
        <v>43986</v>
      </c>
      <c r="Z419" s="415">
        <v>3</v>
      </c>
      <c r="AA419" s="488"/>
      <c r="AB419" s="594"/>
      <c r="AC419" s="595"/>
      <c r="AD419" s="596" t="str">
        <f>IF(AND(AC419&lt;&gt;"",S419&lt;&gt;""),NETWORKDAYS(AC419,S419,#REF!),"")</f>
        <v/>
      </c>
      <c r="AE419" s="596" t="str">
        <f ca="1">IF(AND(AD419="",AC419=""),"",IF(OR(AD419&lt;&gt;"",O419="*CANCELADO"),"",NETWORKDAYS(AC419,TODAY(),#REF!)))</f>
        <v/>
      </c>
      <c r="AF419" s="597" t="str">
        <f>IFERROR(INDEX(produtos_escape2!M:M,MATCH(Controle!H419,produtos_escape2!A:A,0)),"")</f>
        <v>BICARBONATO DE SODIO</v>
      </c>
    </row>
    <row r="420" spans="1:32" ht="14.25" customHeight="1">
      <c r="A420" s="176" t="s">
        <v>7942</v>
      </c>
      <c r="B420" s="176" t="s">
        <v>3608</v>
      </c>
      <c r="C420" s="177">
        <v>43941</v>
      </c>
      <c r="D420" s="176" t="s">
        <v>8208</v>
      </c>
      <c r="E420" s="176" t="s">
        <v>1867</v>
      </c>
      <c r="F420" s="259" t="s">
        <v>8209</v>
      </c>
      <c r="G420" s="176">
        <v>1</v>
      </c>
      <c r="H420" s="178">
        <v>90555</v>
      </c>
      <c r="I420" s="592">
        <f t="shared" si="12"/>
        <v>4</v>
      </c>
      <c r="J420" s="178" t="s">
        <v>816</v>
      </c>
      <c r="K420" s="178" t="s">
        <v>816</v>
      </c>
      <c r="L420" s="275" t="str">
        <f>IF(H:H=0,"",IF(ISERROR(VLOOKUP(H:H,produtos_escape2!$A$2:$B$2794,2,FALSE)),"Código não cadastrado",(VLOOKUP(H:H,produtos_escape2!$A$2:$B$2794,2,FALSE))))</f>
        <v>CLORETO DE SODIO SOLUÇAO INJETAVEL 20 % (3,4 MEQ/ML) AMPOLA 10 ML</v>
      </c>
      <c r="M420" s="593" t="str">
        <f>IF(H:H=0,"",IF(ISERROR(VLOOKUP(H:H,produtos_escape2!$A$2:$D$2794,2,FALSE)),"Código não cadastrado",(VLOOKUP(H:H,produtos_escape2!$A$2:$D$2794,4,FALSE))))</f>
        <v>AMP</v>
      </c>
      <c r="N420" s="486">
        <v>800</v>
      </c>
      <c r="O420" s="176" t="s">
        <v>7896</v>
      </c>
      <c r="P420" s="486">
        <v>800</v>
      </c>
      <c r="Q420" s="247">
        <v>0.28000000000000003</v>
      </c>
      <c r="R420" s="246">
        <f t="shared" si="13"/>
        <v>224.00000000000003</v>
      </c>
      <c r="S420" s="177">
        <v>43949</v>
      </c>
      <c r="T420" s="182">
        <v>40432</v>
      </c>
      <c r="U420" s="177">
        <v>43949</v>
      </c>
      <c r="V420" s="177">
        <v>43950</v>
      </c>
      <c r="W420" s="177">
        <v>43951</v>
      </c>
      <c r="X420" s="176">
        <v>17934</v>
      </c>
      <c r="Y420" s="177">
        <v>43986</v>
      </c>
      <c r="Z420" s="415">
        <v>3</v>
      </c>
      <c r="AA420" s="488"/>
      <c r="AB420" s="594"/>
      <c r="AC420" s="595"/>
      <c r="AD420" s="596" t="str">
        <f>IF(AND(AC420&lt;&gt;"",S420&lt;&gt;""),NETWORKDAYS(AC420,S420,#REF!),"")</f>
        <v/>
      </c>
      <c r="AE420" s="596" t="str">
        <f ca="1">IF(AND(AD420="",AC420=""),"",IF(OR(AD420&lt;&gt;"",O420="*CANCELADO"),"",NETWORKDAYS(AC420,TODAY(),#REF!)))</f>
        <v/>
      </c>
      <c r="AF420" s="597" t="str">
        <f>IFERROR(INDEX(produtos_escape2!M:M,MATCH(Controle!H420,produtos_escape2!A:A,0)),"")</f>
        <v>CLORETO DE SODIO SOLUÇAO INJETAVEL 20 % (3</v>
      </c>
    </row>
    <row r="421" spans="1:32" ht="14.25" customHeight="1">
      <c r="A421" s="176" t="s">
        <v>7941</v>
      </c>
      <c r="B421" s="176" t="s">
        <v>3608</v>
      </c>
      <c r="C421" s="177">
        <v>43941</v>
      </c>
      <c r="D421" s="176" t="s">
        <v>8210</v>
      </c>
      <c r="E421" s="176" t="s">
        <v>1866</v>
      </c>
      <c r="F421" s="259" t="s">
        <v>8211</v>
      </c>
      <c r="G421" s="176">
        <v>1</v>
      </c>
      <c r="H421" s="178">
        <v>90552</v>
      </c>
      <c r="I421" s="592">
        <f t="shared" si="12"/>
        <v>6</v>
      </c>
      <c r="J421" s="178" t="s">
        <v>816</v>
      </c>
      <c r="K421" s="178" t="s">
        <v>816</v>
      </c>
      <c r="L421" s="275" t="str">
        <f>IF(H:H=0,"",IF(ISERROR(VLOOKUP(H:H,produtos_escape2!$A$2:$B$2794,2,FALSE)),"Código não cadastrado",(VLOOKUP(H:H,produtos_escape2!$A$2:$B$2794,2,FALSE))))</f>
        <v>CLORETO DE POTASSIO SOLUCAO INJETAVEL 10 % (1,34 MEQ/ML) AMPOLA 10 ML</v>
      </c>
      <c r="M421" s="593" t="str">
        <f>IF(H:H=0,"",IF(ISERROR(VLOOKUP(H:H,produtos_escape2!$A$2:$D$2794,2,FALSE)),"Código não cadastrado",(VLOOKUP(H:H,produtos_escape2!$A$2:$D$2794,4,FALSE))))</f>
        <v>AMP</v>
      </c>
      <c r="N421" s="486">
        <v>800</v>
      </c>
      <c r="O421" s="176" t="s">
        <v>1868</v>
      </c>
      <c r="P421" s="486"/>
      <c r="Q421" s="247"/>
      <c r="R421" s="246">
        <f t="shared" si="13"/>
        <v>0</v>
      </c>
      <c r="S421" s="177">
        <v>43944</v>
      </c>
      <c r="T421" s="182"/>
      <c r="U421" s="177"/>
      <c r="V421" s="177"/>
      <c r="W421" s="177"/>
      <c r="X421" s="176"/>
      <c r="Y421" s="177"/>
      <c r="Z421" s="415">
        <v>2</v>
      </c>
      <c r="AA421" s="488" t="s">
        <v>8251</v>
      </c>
      <c r="AB421" s="594"/>
      <c r="AC421" s="595"/>
      <c r="AD421" s="596" t="str">
        <f>IF(AND(AC421&lt;&gt;"",S421&lt;&gt;""),NETWORKDAYS(AC421,S421,#REF!),"")</f>
        <v/>
      </c>
      <c r="AE421" s="596" t="str">
        <f ca="1">IF(AND(AD421="",AC421=""),"",IF(OR(AD421&lt;&gt;"",O421="*CANCELADO"),"",NETWORKDAYS(AC421,TODAY(),#REF!)))</f>
        <v/>
      </c>
      <c r="AF421" s="597" t="str">
        <f>IFERROR(INDEX(produtos_escape2!M:M,MATCH(Controle!H421,produtos_escape2!A:A,0)),"")</f>
        <v xml:space="preserve"> CLORETO DE POTASSIO SOLUCAO INJETAVEL 10 % (1</v>
      </c>
    </row>
    <row r="422" spans="1:32" ht="14.25" customHeight="1">
      <c r="A422" s="176" t="s">
        <v>7470</v>
      </c>
      <c r="B422" s="176" t="s">
        <v>7207</v>
      </c>
      <c r="C422" s="177">
        <v>43943</v>
      </c>
      <c r="D422" s="176" t="s">
        <v>8227</v>
      </c>
      <c r="E422" s="176" t="s">
        <v>3009</v>
      </c>
      <c r="F422" s="259" t="s">
        <v>8228</v>
      </c>
      <c r="G422" s="176">
        <v>1</v>
      </c>
      <c r="H422" s="178">
        <v>17195</v>
      </c>
      <c r="I422" s="592">
        <f t="shared" si="12"/>
        <v>2</v>
      </c>
      <c r="J422" s="178" t="s">
        <v>816</v>
      </c>
      <c r="K422" s="178" t="s">
        <v>816</v>
      </c>
      <c r="L422" s="275" t="str">
        <f>IF(H:H=0,"",IF(ISERROR(VLOOKUP(H:H,produtos_escape2!$A$2:$B$2794,2,FALSE)),"Código não cadastrado",(VLOOKUP(H:H,produtos_escape2!$A$2:$B$2794,2,FALSE))))</f>
        <v xml:space="preserve">DVD-R MR 8X,APLICAÇÃO: AÚDIO, VÍDEO, GAMES E DADOS, CARACTERÍSTICAS TÉCNICAS MÍNIMAS: CAPACIDADE: 4.7 GB (DADOS) E 120 MM (AÚDIO); VELOCIDADE DE GRAVAÇÃO: 32X; CAMADA DE GRAVAÇÃO: BRANCA, UNIDADE DE FORNECIMENTO: UNIDADE
</v>
      </c>
      <c r="M422" s="593" t="str">
        <f>IF(H:H=0,"",IF(ISERROR(VLOOKUP(H:H,produtos_escape2!$A$2:$D$2794,2,FALSE)),"Código não cadastrado",(VLOOKUP(H:H,produtos_escape2!$A$2:$D$2794,4,FALSE))))</f>
        <v>UN</v>
      </c>
      <c r="N422" s="486">
        <v>2000</v>
      </c>
      <c r="O422" s="176" t="s">
        <v>3407</v>
      </c>
      <c r="P422" s="486">
        <v>2000</v>
      </c>
      <c r="Q422" s="247">
        <v>0.79</v>
      </c>
      <c r="R422" s="246">
        <f t="shared" si="13"/>
        <v>1580</v>
      </c>
      <c r="S422" s="177">
        <v>43950</v>
      </c>
      <c r="T422" s="182">
        <v>869</v>
      </c>
      <c r="U422" s="177">
        <v>43954</v>
      </c>
      <c r="V422" s="177">
        <v>43956</v>
      </c>
      <c r="W422" s="177">
        <v>43956</v>
      </c>
      <c r="X422" s="176">
        <v>18131</v>
      </c>
      <c r="Y422" s="177">
        <v>43986</v>
      </c>
      <c r="Z422" s="415">
        <v>3</v>
      </c>
      <c r="AA422" s="488"/>
      <c r="AB422" s="594"/>
      <c r="AC422" s="595"/>
      <c r="AD422" s="596" t="str">
        <f>IF(AND(AC422&lt;&gt;"",S422&lt;&gt;""),NETWORKDAYS(AC422,S422,#REF!),"")</f>
        <v/>
      </c>
      <c r="AE422" s="596" t="str">
        <f ca="1">IF(AND(AD422="",AC422=""),"",IF(OR(AD422&lt;&gt;"",O422="*CANCELADO"),"",NETWORKDAYS(AC422,TODAY(),#REF!)))</f>
        <v/>
      </c>
      <c r="AF422" s="597" t="str">
        <f>IFERROR(INDEX(produtos_escape2!M:M,MATCH(Controle!H422,produtos_escape2!A:A,0)),"")</f>
        <v>DVD-R</v>
      </c>
    </row>
    <row r="423" spans="1:32" ht="14.25" customHeight="1">
      <c r="A423" s="176" t="s">
        <v>7456</v>
      </c>
      <c r="B423" s="176" t="s">
        <v>7207</v>
      </c>
      <c r="C423" s="177">
        <v>43943</v>
      </c>
      <c r="D423" s="176" t="s">
        <v>8231</v>
      </c>
      <c r="E423" s="176" t="s">
        <v>1867</v>
      </c>
      <c r="F423" s="259" t="s">
        <v>8232</v>
      </c>
      <c r="G423" s="176">
        <v>1</v>
      </c>
      <c r="H423" s="178">
        <v>35477</v>
      </c>
      <c r="I423" s="592">
        <f t="shared" si="12"/>
        <v>3</v>
      </c>
      <c r="J423" s="178" t="s">
        <v>816</v>
      </c>
      <c r="K423" s="178" t="s">
        <v>816</v>
      </c>
      <c r="L423" s="275" t="str">
        <f>IF(H:H=0,"",IF(ISERROR(VLOOKUP(H:H,produtos_escape2!$A$2:$B$2794,2,FALSE)),"Código não cadastrado",(VLOOKUP(H:H,produtos_escape2!$A$2:$B$2794,2,FALSE))))</f>
        <v>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v>
      </c>
      <c r="M423" s="593" t="str">
        <f>IF(H:H=0,"",IF(ISERROR(VLOOKUP(H:H,produtos_escape2!$A$2:$D$2794,2,FALSE)),"Código não cadastrado",(VLOOKUP(H:H,produtos_escape2!$A$2:$D$2794,4,FALSE))))</f>
        <v>UN</v>
      </c>
      <c r="N423" s="486">
        <v>10</v>
      </c>
      <c r="O423" s="176" t="s">
        <v>8239</v>
      </c>
      <c r="P423" s="486">
        <v>10</v>
      </c>
      <c r="Q423" s="247">
        <v>59.4</v>
      </c>
      <c r="R423" s="246">
        <f t="shared" si="13"/>
        <v>594</v>
      </c>
      <c r="S423" s="177">
        <v>43949</v>
      </c>
      <c r="T423" s="182">
        <v>7572</v>
      </c>
      <c r="U423" s="177">
        <v>43949</v>
      </c>
      <c r="V423" s="177">
        <v>43950</v>
      </c>
      <c r="W423" s="177">
        <v>43955</v>
      </c>
      <c r="X423" s="176">
        <v>18066</v>
      </c>
      <c r="Y423" s="177">
        <v>43986</v>
      </c>
      <c r="Z423" s="415">
        <v>3</v>
      </c>
      <c r="AA423" s="488"/>
      <c r="AB423" s="594"/>
      <c r="AC423" s="595"/>
      <c r="AD423" s="596" t="str">
        <f>IF(AND(AC423&lt;&gt;"",S423&lt;&gt;""),NETWORKDAYS(AC423,S423,#REF!),"")</f>
        <v/>
      </c>
      <c r="AE423" s="596" t="str">
        <f ca="1">IF(AND(AD423="",AC423=""),"",IF(OR(AD423&lt;&gt;"",O423="*CANCELADO"),"",NETWORKDAYS(AC423,TODAY(),#REF!)))</f>
        <v/>
      </c>
      <c r="AF423" s="597" t="str">
        <f>IFERROR(INDEX(produtos_escape2!M:M,MATCH(Controle!H423,produtos_escape2!A:A,0)),"")</f>
        <v>CAIXA ORGANIZADORA</v>
      </c>
    </row>
    <row r="424" spans="1:32" ht="14.25" customHeight="1">
      <c r="A424" s="176" t="s">
        <v>7455</v>
      </c>
      <c r="B424" s="176" t="s">
        <v>7207</v>
      </c>
      <c r="C424" s="177">
        <v>43943</v>
      </c>
      <c r="D424" s="176" t="s">
        <v>8233</v>
      </c>
      <c r="E424" s="176" t="s">
        <v>1865</v>
      </c>
      <c r="F424" s="259" t="s">
        <v>8234</v>
      </c>
      <c r="G424" s="176">
        <v>1</v>
      </c>
      <c r="H424" s="178">
        <v>35478</v>
      </c>
      <c r="I424" s="592">
        <f t="shared" si="12"/>
        <v>3</v>
      </c>
      <c r="J424" s="178" t="s">
        <v>816</v>
      </c>
      <c r="K424" s="178" t="s">
        <v>816</v>
      </c>
      <c r="L424" s="275" t="str">
        <f>IF(H:H=0,"",IF(ISERROR(VLOOKUP(H:H,produtos_escape2!$A$2:$B$2794,2,FALSE)),"Código não cadastrado",(VLOOKUP(H:H,produtos_escape2!$A$2:$B$2794,2,FALSE))))</f>
        <v>CAIXA ORGANIZADORA,Material: poliestireno de alta densidade e/ou polipropileno, Tamanho/Capacidade: 40 LITROS. Características Adicionais: reforçada, com tampa, empilhável, Altura: mínimo 27,5 cm, Largura: mínimo 37 cm, Comprimento: mínimo 54,5 cm, Cor: branca ou transparente.</v>
      </c>
      <c r="M424" s="593" t="str">
        <f>IF(H:H=0,"",IF(ISERROR(VLOOKUP(H:H,produtos_escape2!$A$2:$D$2794,2,FALSE)),"Código não cadastrado",(VLOOKUP(H:H,produtos_escape2!$A$2:$D$2794,4,FALSE))))</f>
        <v>UN</v>
      </c>
      <c r="N424" s="486">
        <v>10</v>
      </c>
      <c r="O424" s="176" t="s">
        <v>1868</v>
      </c>
      <c r="P424" s="486"/>
      <c r="Q424" s="247"/>
      <c r="R424" s="246">
        <f t="shared" si="13"/>
        <v>0</v>
      </c>
      <c r="S424" s="177">
        <v>43950</v>
      </c>
      <c r="T424" s="182"/>
      <c r="U424" s="177"/>
      <c r="V424" s="177"/>
      <c r="W424" s="177"/>
      <c r="X424" s="176"/>
      <c r="Y424" s="177"/>
      <c r="Z424" s="415">
        <v>2</v>
      </c>
      <c r="AA424" s="488" t="s">
        <v>7474</v>
      </c>
      <c r="AB424" s="594"/>
      <c r="AC424" s="595"/>
      <c r="AD424" s="596" t="str">
        <f>IF(AND(AC424&lt;&gt;"",S424&lt;&gt;""),NETWORKDAYS(AC424,S424,#REF!),"")</f>
        <v/>
      </c>
      <c r="AE424" s="596" t="str">
        <f ca="1">IF(AND(AD424="",AC424=""),"",IF(OR(AD424&lt;&gt;"",O424="*CANCELADO"),"",NETWORKDAYS(AC424,TODAY(),#REF!)))</f>
        <v/>
      </c>
      <c r="AF424" s="597" t="str">
        <f>IFERROR(INDEX(produtos_escape2!M:M,MATCH(Controle!H424,produtos_escape2!A:A,0)),"")</f>
        <v>CAIXA ORGANIZADORA</v>
      </c>
    </row>
    <row r="425" spans="1:32" ht="14.25" customHeight="1">
      <c r="A425" s="176" t="s">
        <v>7471</v>
      </c>
      <c r="B425" s="176" t="s">
        <v>7207</v>
      </c>
      <c r="C425" s="177">
        <v>43943</v>
      </c>
      <c r="D425" s="176" t="s">
        <v>8235</v>
      </c>
      <c r="E425" s="176" t="s">
        <v>1866</v>
      </c>
      <c r="F425" s="259" t="s">
        <v>8236</v>
      </c>
      <c r="G425" s="176">
        <v>1</v>
      </c>
      <c r="H425" s="178">
        <v>20959</v>
      </c>
      <c r="I425" s="592">
        <f t="shared" si="12"/>
        <v>1</v>
      </c>
      <c r="J425" s="178" t="s">
        <v>816</v>
      </c>
      <c r="K425" s="178" t="s">
        <v>816</v>
      </c>
      <c r="L425" s="275" t="str">
        <f>IF(H:H=0,"",IF(ISERROR(VLOOKUP(H:H,produtos_escape2!$A$2:$B$2794,2,FALSE)),"Código não cadastrado",(VLOOKUP(H:H,produtos_escape2!$A$2:$B$2794,2,FALSE))))</f>
        <v>SISTEMA DE ANESTESIA BARAKA EM BORRACHA COMPLETO (Traquéia, Com Borracha Completo Tipo Duplo T, Bolsa De Reinalação De 500 Ml - Pediátrico. Traquéia, Conexões, Bolsa, Mascara Com Coxim). Cada sistema de anestesia deverá conter: * 01 Traqueia de Silicone 30cm; * 02 Intermediários com entrada lateral; * 01 Balão de reinalação (tamanhos listados abaixo); *01 Máscara facial pediátrica; e * 01 Conector 90º. Os balões de reinalação devem ser de tamanhos variados: *2 balões de 500ml; *2 balões de 1 litro; *2 balões de 2 litros; *2 balões de 3 litros; e *2 balões de 5 litros.</v>
      </c>
      <c r="M425" s="593" t="str">
        <f>IF(H:H=0,"",IF(ISERROR(VLOOKUP(H:H,produtos_escape2!$A$2:$D$2794,2,FALSE)),"Código não cadastrado",(VLOOKUP(H:H,produtos_escape2!$A$2:$D$2794,4,FALSE))))</f>
        <v>UN</v>
      </c>
      <c r="N425" s="486">
        <v>10</v>
      </c>
      <c r="O425" s="176" t="s">
        <v>8252</v>
      </c>
      <c r="P425" s="486">
        <v>10</v>
      </c>
      <c r="Q425" s="247">
        <v>166.45</v>
      </c>
      <c r="R425" s="246">
        <f t="shared" si="13"/>
        <v>1664.5</v>
      </c>
      <c r="S425" s="177">
        <v>43945</v>
      </c>
      <c r="T425" s="182">
        <v>5348</v>
      </c>
      <c r="U425" s="177">
        <v>43945</v>
      </c>
      <c r="V425" s="177">
        <v>43945</v>
      </c>
      <c r="W425" s="177">
        <v>43945</v>
      </c>
      <c r="X425" s="176">
        <v>18136</v>
      </c>
      <c r="Y425" s="177">
        <v>43986</v>
      </c>
      <c r="Z425" s="415">
        <v>3</v>
      </c>
      <c r="AA425" s="488"/>
      <c r="AB425" s="594"/>
      <c r="AC425" s="595"/>
      <c r="AD425" s="596" t="str">
        <f>IF(AND(AC425&lt;&gt;"",S425&lt;&gt;""),NETWORKDAYS(AC425,S425,#REF!),"")</f>
        <v/>
      </c>
      <c r="AE425" s="596" t="str">
        <f ca="1">IF(AND(AD425="",AC425=""),"",IF(OR(AD425&lt;&gt;"",O425="*CANCELADO"),"",NETWORKDAYS(AC425,TODAY(),#REF!)))</f>
        <v/>
      </c>
      <c r="AF425" s="597" t="str">
        <f>IFERROR(INDEX(produtos_escape2!M:M,MATCH(Controle!H425,produtos_escape2!A:A,0)),"")</f>
        <v>SISTEMA DE ANESTESIA BARAKA EM BORRACHA COMPLETO (Traquéia</v>
      </c>
    </row>
    <row r="426" spans="1:32" ht="14.25" customHeight="1">
      <c r="A426" s="176" t="s">
        <v>7454</v>
      </c>
      <c r="B426" s="176" t="s">
        <v>7207</v>
      </c>
      <c r="C426" s="177">
        <v>43943</v>
      </c>
      <c r="D426" s="176" t="s">
        <v>8237</v>
      </c>
      <c r="E426" s="176" t="s">
        <v>3009</v>
      </c>
      <c r="F426" s="259" t="s">
        <v>8238</v>
      </c>
      <c r="G426" s="176">
        <v>1</v>
      </c>
      <c r="H426" s="178">
        <v>35479</v>
      </c>
      <c r="I426" s="592">
        <f t="shared" si="12"/>
        <v>6</v>
      </c>
      <c r="J426" s="178" t="s">
        <v>816</v>
      </c>
      <c r="K426" s="178" t="s">
        <v>816</v>
      </c>
      <c r="L426" s="275"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426" s="593" t="str">
        <f>IF(H:H=0,"",IF(ISERROR(VLOOKUP(H:H,produtos_escape2!$A$2:$D$2794,2,FALSE)),"Código não cadastrado",(VLOOKUP(H:H,produtos_escape2!$A$2:$D$2794,4,FALSE))))</f>
        <v>UN</v>
      </c>
      <c r="N426" s="486">
        <v>10</v>
      </c>
      <c r="O426" s="176" t="s">
        <v>1868</v>
      </c>
      <c r="P426" s="486"/>
      <c r="Q426" s="247"/>
      <c r="R426" s="246">
        <f t="shared" si="13"/>
        <v>0</v>
      </c>
      <c r="S426" s="177">
        <v>43949</v>
      </c>
      <c r="T426" s="182"/>
      <c r="U426" s="177"/>
      <c r="V426" s="177"/>
      <c r="W426" s="177"/>
      <c r="X426" s="176"/>
      <c r="Y426" s="177"/>
      <c r="Z426" s="415">
        <v>2</v>
      </c>
      <c r="AA426" s="488" t="s">
        <v>7474</v>
      </c>
      <c r="AB426" s="594"/>
      <c r="AC426" s="595"/>
      <c r="AD426" s="596" t="str">
        <f>IF(AND(AC426&lt;&gt;"",S426&lt;&gt;""),NETWORKDAYS(AC426,S426,#REF!),"")</f>
        <v/>
      </c>
      <c r="AE426" s="596" t="str">
        <f ca="1">IF(AND(AD426="",AC426=""),"",IF(OR(AD426&lt;&gt;"",O426="*CANCELADO"),"",NETWORKDAYS(AC426,TODAY(),#REF!)))</f>
        <v/>
      </c>
      <c r="AF426" s="597" t="str">
        <f>IFERROR(INDEX(produtos_escape2!M:M,MATCH(Controle!H426,produtos_escape2!A:A,0)),"")</f>
        <v>CAIXA ORGANIZADORA 70L</v>
      </c>
    </row>
    <row r="427" spans="1:32" ht="14.25" customHeight="1">
      <c r="A427" s="176" t="s">
        <v>7946</v>
      </c>
      <c r="B427" s="176" t="s">
        <v>3608</v>
      </c>
      <c r="C427" s="177">
        <v>43944</v>
      </c>
      <c r="D427" s="176" t="s">
        <v>8241</v>
      </c>
      <c r="E427" s="176" t="s">
        <v>1867</v>
      </c>
      <c r="F427" s="259" t="s">
        <v>8242</v>
      </c>
      <c r="G427" s="176">
        <v>1</v>
      </c>
      <c r="H427" s="178">
        <v>90841</v>
      </c>
      <c r="I427" s="592">
        <f t="shared" si="12"/>
        <v>8</v>
      </c>
      <c r="J427" s="178" t="s">
        <v>816</v>
      </c>
      <c r="K427" s="178" t="s">
        <v>816</v>
      </c>
      <c r="L427" s="275" t="str">
        <f>IF(H:H=0,"",IF(ISERROR(VLOOKUP(H:H,produtos_escape2!$A$2:$B$2794,2,FALSE)),"Código não cadastrado",(VLOOKUP(H:H,produtos_escape2!$A$2:$B$2794,2,FALSE))))</f>
        <v>ATROPINA (SULFATO) SOLUÇAO OFTALMICA 1 % FRASCO 5 ML</v>
      </c>
      <c r="M427" s="593" t="str">
        <f>IF(H:H=0,"",IF(ISERROR(VLOOKUP(H:H,produtos_escape2!$A$2:$D$2794,2,FALSE)),"Código não cadastrado",(VLOOKUP(H:H,produtos_escape2!$A$2:$D$2794,4,FALSE))))</f>
        <v>FR</v>
      </c>
      <c r="N427" s="486">
        <v>10</v>
      </c>
      <c r="O427" s="176" t="s">
        <v>5754</v>
      </c>
      <c r="P427" s="486">
        <v>10</v>
      </c>
      <c r="Q427" s="247">
        <v>25.89</v>
      </c>
      <c r="R427" s="246">
        <f t="shared" si="13"/>
        <v>258.89999999999998</v>
      </c>
      <c r="S427" s="177">
        <v>43950</v>
      </c>
      <c r="T427" s="182">
        <v>144234</v>
      </c>
      <c r="U427" s="177">
        <v>43951</v>
      </c>
      <c r="V427" s="177">
        <v>43957</v>
      </c>
      <c r="W427" s="177">
        <v>43958</v>
      </c>
      <c r="X427" s="176">
        <v>18006</v>
      </c>
      <c r="Y427" s="177">
        <v>43986</v>
      </c>
      <c r="Z427" s="415">
        <v>3</v>
      </c>
      <c r="AA427" s="488"/>
      <c r="AB427" s="594"/>
      <c r="AC427" s="595"/>
      <c r="AD427" s="596" t="str">
        <f>IF(AND(AC427&lt;&gt;"",S427&lt;&gt;""),NETWORKDAYS(AC427,S427,#REF!),"")</f>
        <v/>
      </c>
      <c r="AE427" s="596" t="str">
        <f ca="1">IF(AND(AD427="",AC427=""),"",IF(OR(AD427&lt;&gt;"",O427="*CANCELADO"),"",NETWORKDAYS(AC427,TODAY(),#REF!)))</f>
        <v/>
      </c>
      <c r="AF427" s="597" t="str">
        <f>IFERROR(INDEX(produtos_escape2!M:M,MATCH(Controle!H427,produtos_escape2!A:A,0)),"")</f>
        <v>ATROPINA (SULFATO) SOLUÇAO OFTALMICA 1 % FRASCO 5 ML</v>
      </c>
    </row>
    <row r="428" spans="1:32" ht="14.25" customHeight="1">
      <c r="A428" s="176" t="s">
        <v>7945</v>
      </c>
      <c r="B428" s="176" t="s">
        <v>3608</v>
      </c>
      <c r="C428" s="177">
        <v>43944</v>
      </c>
      <c r="D428" s="176" t="s">
        <v>8243</v>
      </c>
      <c r="E428" s="176" t="s">
        <v>1866</v>
      </c>
      <c r="F428" s="259" t="s">
        <v>8244</v>
      </c>
      <c r="G428" s="176">
        <v>1</v>
      </c>
      <c r="H428" s="178">
        <v>90207</v>
      </c>
      <c r="I428" s="592">
        <f t="shared" si="12"/>
        <v>7</v>
      </c>
      <c r="J428" s="178" t="s">
        <v>816</v>
      </c>
      <c r="K428" s="178" t="s">
        <v>816</v>
      </c>
      <c r="L428" s="275" t="str">
        <f>IF(H:H=0,"",IF(ISERROR(VLOOKUP(H:H,produtos_escape2!$A$2:$B$2794,2,FALSE)),"Código não cadastrado",(VLOOKUP(H:H,produtos_escape2!$A$2:$B$2794,2,FALSE))))</f>
        <v xml:space="preserve">PROPOFOL EMULSAO INJETAVEL 10 MG/ML AMPOLA 20 ML </v>
      </c>
      <c r="M428" s="593" t="str">
        <f>IF(H:H=0,"",IF(ISERROR(VLOOKUP(H:H,produtos_escape2!$A$2:$D$2794,2,FALSE)),"Código não cadastrado",(VLOOKUP(H:H,produtos_escape2!$A$2:$D$2794,4,FALSE))))</f>
        <v>AMP</v>
      </c>
      <c r="N428" s="486">
        <v>200</v>
      </c>
      <c r="O428" s="176" t="s">
        <v>2989</v>
      </c>
      <c r="P428" s="486">
        <v>200</v>
      </c>
      <c r="Q428" s="247">
        <v>8.6</v>
      </c>
      <c r="R428" s="246">
        <f t="shared" si="13"/>
        <v>1720</v>
      </c>
      <c r="S428" s="177">
        <v>43948</v>
      </c>
      <c r="T428" s="182">
        <v>117520</v>
      </c>
      <c r="U428" s="177">
        <v>43948</v>
      </c>
      <c r="V428" s="177">
        <v>43949</v>
      </c>
      <c r="W428" s="177">
        <v>43951</v>
      </c>
      <c r="X428" s="176">
        <v>18146</v>
      </c>
      <c r="Y428" s="177">
        <v>43986</v>
      </c>
      <c r="Z428" s="415">
        <v>3</v>
      </c>
      <c r="AA428" s="488"/>
      <c r="AB428" s="594"/>
      <c r="AC428" s="595"/>
      <c r="AD428" s="596" t="str">
        <f>IF(AND(AC428&lt;&gt;"",S428&lt;&gt;""),NETWORKDAYS(AC428,S428,#REF!),"")</f>
        <v/>
      </c>
      <c r="AE428" s="596" t="str">
        <f ca="1">IF(AND(AD428="",AC428=""),"",IF(OR(AD428&lt;&gt;"",O428="*CANCELADO"),"",NETWORKDAYS(AC428,TODAY(),#REF!)))</f>
        <v/>
      </c>
      <c r="AF428" s="597" t="str">
        <f>IFERROR(INDEX(produtos_escape2!M:M,MATCH(Controle!H428,produtos_escape2!A:A,0)),"")</f>
        <v xml:space="preserve">PROPOFOL EMULSAO INJETAVEL 10 MG/ML AMPOLA 20 ML </v>
      </c>
    </row>
    <row r="429" spans="1:32" ht="14.25" customHeight="1">
      <c r="A429" s="176" t="s">
        <v>7944</v>
      </c>
      <c r="B429" s="176" t="s">
        <v>3608</v>
      </c>
      <c r="C429" s="177">
        <v>43944</v>
      </c>
      <c r="D429" s="176" t="s">
        <v>8245</v>
      </c>
      <c r="E429" s="176" t="s">
        <v>3009</v>
      </c>
      <c r="F429" s="259" t="s">
        <v>8246</v>
      </c>
      <c r="G429" s="176">
        <v>1</v>
      </c>
      <c r="H429" s="178">
        <v>90861</v>
      </c>
      <c r="I429" s="592">
        <f t="shared" si="12"/>
        <v>4</v>
      </c>
      <c r="J429" s="178" t="s">
        <v>816</v>
      </c>
      <c r="K429" s="178" t="s">
        <v>816</v>
      </c>
      <c r="L429" s="275" t="str">
        <f>IF(H:H=0,"",IF(ISERROR(VLOOKUP(H:H,produtos_escape2!$A$2:$B$2794,2,FALSE)),"Código não cadastrado",(VLOOKUP(H:H,produtos_escape2!$A$2:$B$2794,2,FALSE))))</f>
        <v xml:space="preserve">NALOXONA (CLORIDRAT0) SOLUÇÃO INJETÁVEL 0,4 MG/ML AMPOLA 1 ML </v>
      </c>
      <c r="M429" s="593" t="str">
        <f>IF(H:H=0,"",IF(ISERROR(VLOOKUP(H:H,produtos_escape2!$A$2:$D$2794,2,FALSE)),"Código não cadastrado",(VLOOKUP(H:H,produtos_escape2!$A$2:$D$2794,4,FALSE))))</f>
        <v>AMP</v>
      </c>
      <c r="N429" s="486">
        <v>20</v>
      </c>
      <c r="O429" s="176" t="s">
        <v>7371</v>
      </c>
      <c r="P429" s="486">
        <v>20</v>
      </c>
      <c r="Q429" s="247">
        <v>6.6989999999999998</v>
      </c>
      <c r="R429" s="246">
        <f t="shared" si="13"/>
        <v>133.97999999999999</v>
      </c>
      <c r="S429" s="177">
        <v>43950</v>
      </c>
      <c r="T429" s="182">
        <v>328885</v>
      </c>
      <c r="U429" s="177">
        <v>43950</v>
      </c>
      <c r="V429" s="177">
        <v>43951</v>
      </c>
      <c r="W429" s="177">
        <v>43951</v>
      </c>
      <c r="X429" s="176">
        <v>17903</v>
      </c>
      <c r="Y429" s="177">
        <v>43986</v>
      </c>
      <c r="Z429" s="415">
        <v>3</v>
      </c>
      <c r="AA429" s="488"/>
      <c r="AB429" s="594"/>
      <c r="AC429" s="595"/>
      <c r="AD429" s="596" t="str">
        <f>IF(AND(AC429&lt;&gt;"",S429&lt;&gt;""),NETWORKDAYS(AC429,S429,#REF!),"")</f>
        <v/>
      </c>
      <c r="AE429" s="596" t="str">
        <f ca="1">IF(AND(AD429="",AC429=""),"",IF(OR(AD429&lt;&gt;"",O429="*CANCELADO"),"",NETWORKDAYS(AC429,TODAY(),#REF!)))</f>
        <v/>
      </c>
      <c r="AF429" s="597" t="str">
        <f>IFERROR(INDEX(produtos_escape2!M:M,MATCH(Controle!H429,produtos_escape2!A:A,0)),"")</f>
        <v>NALOXONA (CLORIDRAT0) SOLUÇÃO INJETÁVEL 0</v>
      </c>
    </row>
    <row r="430" spans="1:32" ht="14.25" customHeight="1">
      <c r="A430" s="176" t="s">
        <v>7947</v>
      </c>
      <c r="B430" s="176" t="s">
        <v>3608</v>
      </c>
      <c r="C430" s="177">
        <v>43945</v>
      </c>
      <c r="D430" s="176" t="s">
        <v>8253</v>
      </c>
      <c r="E430" s="176" t="s">
        <v>1865</v>
      </c>
      <c r="F430" s="259" t="s">
        <v>8254</v>
      </c>
      <c r="G430" s="176">
        <v>1</v>
      </c>
      <c r="H430" s="178">
        <v>90925</v>
      </c>
      <c r="I430" s="592">
        <f t="shared" si="12"/>
        <v>8</v>
      </c>
      <c r="J430" s="178" t="s">
        <v>816</v>
      </c>
      <c r="K430" s="178" t="s">
        <v>816</v>
      </c>
      <c r="L430" s="275" t="str">
        <f>IF(H:H=0,"",IF(ISERROR(VLOOKUP(H:H,produtos_escape2!$A$2:$B$2794,2,FALSE)),"Código não cadastrado",(VLOOKUP(H:H,produtos_escape2!$A$2:$B$2794,2,FALSE))))</f>
        <v>CEFAZOLINA SODICA PO PARA SOLUCAO INJETAVEL 1 G FRASCO AMPOLA</v>
      </c>
      <c r="M430" s="593" t="str">
        <f>IF(H:H=0,"",IF(ISERROR(VLOOKUP(H:H,produtos_escape2!$A$2:$D$2794,2,FALSE)),"Código não cadastrado",(VLOOKUP(H:H,produtos_escape2!$A$2:$D$2794,4,FALSE))))</f>
        <v>AMP</v>
      </c>
      <c r="N430" s="486">
        <v>300</v>
      </c>
      <c r="O430" s="176" t="s">
        <v>7371</v>
      </c>
      <c r="P430" s="486">
        <v>300</v>
      </c>
      <c r="Q430" s="247">
        <v>12.634</v>
      </c>
      <c r="R430" s="246">
        <f t="shared" si="13"/>
        <v>3790.2000000000003</v>
      </c>
      <c r="S430" s="177">
        <v>43949</v>
      </c>
      <c r="T430" s="182">
        <v>328699</v>
      </c>
      <c r="U430" s="177">
        <v>43950</v>
      </c>
      <c r="V430" s="177">
        <v>43950</v>
      </c>
      <c r="W430" s="177">
        <v>43951</v>
      </c>
      <c r="X430" s="176">
        <v>18208</v>
      </c>
      <c r="Y430" s="177">
        <v>43986</v>
      </c>
      <c r="Z430" s="415">
        <v>3</v>
      </c>
      <c r="AA430" s="488"/>
      <c r="AB430" s="594"/>
      <c r="AC430" s="595"/>
      <c r="AD430" s="596" t="str">
        <f>IF(AND(AC430&lt;&gt;"",S430&lt;&gt;""),NETWORKDAYS(AC430,S430,#REF!),"")</f>
        <v/>
      </c>
      <c r="AE430" s="596" t="str">
        <f ca="1">IF(AND(AD430="",AC430=""),"",IF(OR(AD430&lt;&gt;"",O430="*CANCELADO"),"",NETWORKDAYS(AC430,TODAY(),#REF!)))</f>
        <v/>
      </c>
      <c r="AF430" s="597" t="str">
        <f>IFERROR(INDEX(produtos_escape2!M:M,MATCH(Controle!H430,produtos_escape2!A:A,0)),"")</f>
        <v>CEFAZOLINA SODICA PO PARA SOLUCAO INJETAVEL 1 G FRASCO AMPOLA</v>
      </c>
    </row>
    <row r="431" spans="1:32" ht="14.25" customHeight="1">
      <c r="A431" s="176" t="s">
        <v>7948</v>
      </c>
      <c r="B431" s="176" t="s">
        <v>3608</v>
      </c>
      <c r="C431" s="177">
        <v>43945</v>
      </c>
      <c r="D431" s="176" t="s">
        <v>8255</v>
      </c>
      <c r="E431" s="176" t="s">
        <v>1866</v>
      </c>
      <c r="F431" s="259" t="s">
        <v>8256</v>
      </c>
      <c r="G431" s="176">
        <v>1</v>
      </c>
      <c r="H431" s="178">
        <v>90315</v>
      </c>
      <c r="I431" s="592">
        <f t="shared" si="12"/>
        <v>5</v>
      </c>
      <c r="J431" s="178" t="s">
        <v>816</v>
      </c>
      <c r="K431" s="178" t="s">
        <v>816</v>
      </c>
      <c r="L431" s="275" t="str">
        <f>IF(H:H=0,"",IF(ISERROR(VLOOKUP(H:H,produtos_escape2!$A$2:$B$2794,2,FALSE)),"Código não cadastrado",(VLOOKUP(H:H,produtos_escape2!$A$2:$B$2794,2,FALSE))))</f>
        <v>CEFEPIMA PO PARA SOLUCAO INJETAVEL 1 G FRASCO-AMPOLA</v>
      </c>
      <c r="M431" s="593" t="str">
        <f>IF(H:H=0,"",IF(ISERROR(VLOOKUP(H:H,produtos_escape2!$A$2:$D$2794,2,FALSE)),"Código não cadastrado",(VLOOKUP(H:H,produtos_escape2!$A$2:$D$2794,4,FALSE))))</f>
        <v>AMP</v>
      </c>
      <c r="N431" s="486">
        <v>500</v>
      </c>
      <c r="O431" s="176" t="s">
        <v>7371</v>
      </c>
      <c r="P431" s="486">
        <v>350</v>
      </c>
      <c r="Q431" s="247">
        <v>40</v>
      </c>
      <c r="R431" s="246">
        <f t="shared" si="13"/>
        <v>14000</v>
      </c>
      <c r="S431" s="177">
        <v>43949</v>
      </c>
      <c r="T431" s="182">
        <v>328591</v>
      </c>
      <c r="U431" s="177">
        <v>43949</v>
      </c>
      <c r="V431" s="177">
        <v>43950</v>
      </c>
      <c r="W431" s="177">
        <v>43951</v>
      </c>
      <c r="X431" s="176">
        <v>18263</v>
      </c>
      <c r="Y431" s="177">
        <v>43986</v>
      </c>
      <c r="Z431" s="415">
        <v>3</v>
      </c>
      <c r="AA431" s="488"/>
      <c r="AB431" s="594"/>
      <c r="AC431" s="595"/>
      <c r="AD431" s="596" t="str">
        <f>IF(AND(AC431&lt;&gt;"",S431&lt;&gt;""),NETWORKDAYS(AC431,S431,#REF!),"")</f>
        <v/>
      </c>
      <c r="AE431" s="596" t="str">
        <f ca="1">IF(AND(AD431="",AC431=""),"",IF(OR(AD431&lt;&gt;"",O431="*CANCELADO"),"",NETWORKDAYS(AC431,TODAY(),#REF!)))</f>
        <v/>
      </c>
      <c r="AF431" s="597" t="str">
        <f>IFERROR(INDEX(produtos_escape2!M:M,MATCH(Controle!H431,produtos_escape2!A:A,0)),"")</f>
        <v>CEFEPIMA PO PARA SOLUCAO INJETAVEL 1 G FRASCO-AMPOLA</v>
      </c>
    </row>
    <row r="432" spans="1:32" ht="14.25" customHeight="1">
      <c r="A432" s="176" t="s">
        <v>7949</v>
      </c>
      <c r="B432" s="176" t="s">
        <v>3608</v>
      </c>
      <c r="C432" s="177">
        <v>43945</v>
      </c>
      <c r="D432" s="176" t="s">
        <v>8257</v>
      </c>
      <c r="E432" s="176" t="s">
        <v>3009</v>
      </c>
      <c r="F432" s="259" t="s">
        <v>8258</v>
      </c>
      <c r="G432" s="176">
        <v>1</v>
      </c>
      <c r="H432" s="178">
        <v>90552</v>
      </c>
      <c r="I432" s="592">
        <f t="shared" si="12"/>
        <v>6</v>
      </c>
      <c r="J432" s="178" t="s">
        <v>816</v>
      </c>
      <c r="K432" s="178" t="s">
        <v>816</v>
      </c>
      <c r="L432" s="275" t="str">
        <f>IF(H:H=0,"",IF(ISERROR(VLOOKUP(H:H,produtos_escape2!$A$2:$B$2794,2,FALSE)),"Código não cadastrado",(VLOOKUP(H:H,produtos_escape2!$A$2:$B$2794,2,FALSE))))</f>
        <v>CLORETO DE POTASSIO SOLUCAO INJETAVEL 10 % (1,34 MEQ/ML) AMPOLA 10 ML</v>
      </c>
      <c r="M432" s="593" t="str">
        <f>IF(H:H=0,"",IF(ISERROR(VLOOKUP(H:H,produtos_escape2!$A$2:$D$2794,2,FALSE)),"Código não cadastrado",(VLOOKUP(H:H,produtos_escape2!$A$2:$D$2794,4,FALSE))))</f>
        <v>AMP</v>
      </c>
      <c r="N432" s="486">
        <v>2000</v>
      </c>
      <c r="O432" s="176" t="s">
        <v>1868</v>
      </c>
      <c r="P432" s="486"/>
      <c r="Q432" s="247"/>
      <c r="R432" s="246">
        <f t="shared" si="13"/>
        <v>0</v>
      </c>
      <c r="S432" s="177">
        <v>43965</v>
      </c>
      <c r="T432" s="182"/>
      <c r="U432" s="177"/>
      <c r="V432" s="177"/>
      <c r="W432" s="177"/>
      <c r="X432" s="176"/>
      <c r="Y432" s="177"/>
      <c r="Z432" s="415">
        <v>3</v>
      </c>
      <c r="AA432" s="488" t="s">
        <v>7474</v>
      </c>
      <c r="AB432" s="594"/>
      <c r="AC432" s="595"/>
      <c r="AD432" s="596" t="str">
        <f>IF(AND(AC432&lt;&gt;"",S432&lt;&gt;""),NETWORKDAYS(AC432,S432,#REF!),"")</f>
        <v/>
      </c>
      <c r="AE432" s="596" t="str">
        <f ca="1">IF(AND(AD432="",AC432=""),"",IF(OR(AD432&lt;&gt;"",O432="*CANCELADO"),"",NETWORKDAYS(AC432,TODAY(),#REF!)))</f>
        <v/>
      </c>
      <c r="AF432" s="597" t="str">
        <f>IFERROR(INDEX(produtos_escape2!M:M,MATCH(Controle!H432,produtos_escape2!A:A,0)),"")</f>
        <v xml:space="preserve"> CLORETO DE POTASSIO SOLUCAO INJETAVEL 10 % (1</v>
      </c>
    </row>
    <row r="433" spans="1:32" ht="14.25" customHeight="1">
      <c r="A433" s="176" t="s">
        <v>7208</v>
      </c>
      <c r="B433" s="176" t="s">
        <v>1739</v>
      </c>
      <c r="C433" s="177">
        <v>43949</v>
      </c>
      <c r="D433" s="176" t="s">
        <v>8267</v>
      </c>
      <c r="E433" s="176" t="s">
        <v>3008</v>
      </c>
      <c r="F433" s="259" t="s">
        <v>8268</v>
      </c>
      <c r="G433" s="176">
        <v>1</v>
      </c>
      <c r="H433" s="178" t="s">
        <v>8269</v>
      </c>
      <c r="I433" s="592">
        <f t="shared" si="12"/>
        <v>1</v>
      </c>
      <c r="J433" s="178"/>
      <c r="K433" s="178"/>
      <c r="L433" s="275" t="str">
        <f>IF(H:H=0,"",IF(ISERROR(VLOOKUP(H:H,produtos_escape2!$A$2:$B$2794,2,FALSE)),"Código não cadastrado",(VLOOKUP(H:H,produtos_escape2!$A$2:$B$2794,2,FALSE))))</f>
        <v>DETETIZAÇÃO E DESRATIZAÇÃO CONTROLE E EXTERMINIO DE PRAGA E VETORES HRG</v>
      </c>
      <c r="M433" s="593" t="str">
        <f>IF(H:H=0,"",IF(ISERROR(VLOOKUP(H:H,produtos_escape2!$A$2:$D$2794,2,FALSE)),"Código não cadastrado",(VLOOKUP(H:H,produtos_escape2!$A$2:$D$2794,4,FALSE))))</f>
        <v>Serviço</v>
      </c>
      <c r="N433" s="486">
        <v>1</v>
      </c>
      <c r="O433" s="176" t="s">
        <v>8394</v>
      </c>
      <c r="P433" s="486">
        <v>1</v>
      </c>
      <c r="Q433" s="247">
        <v>2950</v>
      </c>
      <c r="R433" s="246">
        <f t="shared" si="13"/>
        <v>2950</v>
      </c>
      <c r="S433" s="177">
        <v>43959</v>
      </c>
      <c r="T433" s="182">
        <v>7119</v>
      </c>
      <c r="U433" s="177">
        <v>43964</v>
      </c>
      <c r="V433" s="177">
        <v>43965</v>
      </c>
      <c r="W433" s="177">
        <v>43965</v>
      </c>
      <c r="X433" s="176">
        <v>3286</v>
      </c>
      <c r="Y433" s="177">
        <v>43983</v>
      </c>
      <c r="Z433" s="415">
        <v>3</v>
      </c>
      <c r="AA433" s="488"/>
      <c r="AB433" s="594"/>
      <c r="AC433" s="595"/>
      <c r="AD433" s="596" t="str">
        <f>IF(AND(AC433&lt;&gt;"",S433&lt;&gt;""),NETWORKDAYS(AC433,S433,#REF!),"")</f>
        <v/>
      </c>
      <c r="AE433" s="596" t="str">
        <f ca="1">IF(AND(AD433="",AC433=""),"",IF(OR(AD433&lt;&gt;"",O433="*CANCELADO"),"",NETWORKDAYS(AC433,TODAY(),#REF!)))</f>
        <v/>
      </c>
      <c r="AF433" s="597">
        <f>IFERROR(INDEX(produtos_escape2!M:M,MATCH(Controle!H433,produtos_escape2!A:A,0)),"")</f>
        <v>0</v>
      </c>
    </row>
    <row r="434" spans="1:32" ht="14.25" customHeight="1">
      <c r="A434" s="176" t="s">
        <v>7482</v>
      </c>
      <c r="B434" s="176" t="s">
        <v>7207</v>
      </c>
      <c r="C434" s="177">
        <v>43950</v>
      </c>
      <c r="D434" s="176" t="s">
        <v>8298</v>
      </c>
      <c r="E434" s="176" t="s">
        <v>1867</v>
      </c>
      <c r="F434" s="259" t="s">
        <v>8299</v>
      </c>
      <c r="G434" s="176">
        <v>1</v>
      </c>
      <c r="H434" s="178">
        <v>35753</v>
      </c>
      <c r="I434" s="592">
        <f t="shared" si="12"/>
        <v>3</v>
      </c>
      <c r="J434" s="178" t="s">
        <v>816</v>
      </c>
      <c r="K434" s="178" t="s">
        <v>816</v>
      </c>
      <c r="L434" s="275" t="str">
        <f>IF(H:H=0,"",IF(ISERROR(VLOOKUP(H:H,produtos_escape2!$A$2:$B$2794,2,FALSE)),"Código não cadastrado",(VLOOKUP(H:H,produtos_escape2!$A$2:$B$2794,2,FALSE))))</f>
        <v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v>
      </c>
      <c r="M434" s="593" t="str">
        <f>IF(H:H=0,"",IF(ISERROR(VLOOKUP(H:H,produtos_escape2!$A$2:$D$2794,2,FALSE)),"Código não cadastrado",(VLOOKUP(H:H,produtos_escape2!$A$2:$D$2794,4,FALSE))))</f>
        <v>UN</v>
      </c>
      <c r="N434" s="486">
        <v>15</v>
      </c>
      <c r="O434" s="176" t="s">
        <v>1868</v>
      </c>
      <c r="P434" s="486"/>
      <c r="Q434" s="247"/>
      <c r="R434" s="246">
        <f t="shared" si="13"/>
        <v>0</v>
      </c>
      <c r="S434" s="177">
        <v>43966</v>
      </c>
      <c r="T434" s="182"/>
      <c r="U434" s="177"/>
      <c r="V434" s="177"/>
      <c r="W434" s="177"/>
      <c r="X434" s="176"/>
      <c r="Y434" s="177"/>
      <c r="Z434" s="415">
        <v>3</v>
      </c>
      <c r="AA434" s="488" t="s">
        <v>8473</v>
      </c>
      <c r="AB434" s="594"/>
      <c r="AC434" s="595"/>
      <c r="AD434" s="596" t="str">
        <f>IF(AND(AC434&lt;&gt;"",S434&lt;&gt;""),NETWORKDAYS(AC434,S434,#REF!),"")</f>
        <v/>
      </c>
      <c r="AE434" s="596" t="str">
        <f ca="1">IF(AND(AD434="",AC434=""),"",IF(OR(AD434&lt;&gt;"",O434="*CANCELADO"),"",NETWORKDAYS(AC434,TODAY(),#REF!)))</f>
        <v/>
      </c>
      <c r="AF434" s="597" t="str">
        <f>IFERROR(INDEX(produtos_escape2!M:M,MATCH(Controle!H434,produtos_escape2!A:A,0)),"")</f>
        <v>TERMOMETRO AURICULAR</v>
      </c>
    </row>
    <row r="435" spans="1:32" ht="14.25" customHeight="1">
      <c r="A435" s="176" t="s">
        <v>7515</v>
      </c>
      <c r="B435" s="176" t="s">
        <v>7207</v>
      </c>
      <c r="C435" s="177">
        <v>43950</v>
      </c>
      <c r="D435" s="176" t="s">
        <v>8300</v>
      </c>
      <c r="E435" s="176" t="s">
        <v>1866</v>
      </c>
      <c r="F435" s="259" t="s">
        <v>8301</v>
      </c>
      <c r="G435" s="176">
        <v>1</v>
      </c>
      <c r="H435" s="178">
        <v>21635</v>
      </c>
      <c r="I435" s="592">
        <f t="shared" si="12"/>
        <v>1</v>
      </c>
      <c r="J435" s="178" t="s">
        <v>816</v>
      </c>
      <c r="K435" s="178" t="s">
        <v>816</v>
      </c>
      <c r="L435" s="275" t="str">
        <f>IF(H:H=0,"",IF(ISERROR(VLOOKUP(H:H,produtos_escape2!$A$2:$B$2794,2,FALSE)),"Código não cadastrado",(VLOOKUP(H:H,produtos_escape2!$A$2:$B$2794,2,FALSE))))</f>
        <v>TECIDO COURVIM, Material: courvim com malha resistente, Cor: preta, Largura: 1,38 m</v>
      </c>
      <c r="M435" s="593" t="str">
        <f>IF(H:H=0,"",IF(ISERROR(VLOOKUP(H:H,produtos_escape2!$A$2:$D$2794,2,FALSE)),"Código não cadastrado",(VLOOKUP(H:H,produtos_escape2!$A$2:$D$2794,4,FALSE))))</f>
        <v>MT</v>
      </c>
      <c r="N435" s="486">
        <v>100</v>
      </c>
      <c r="O435" s="176" t="s">
        <v>8344</v>
      </c>
      <c r="P435" s="486">
        <v>100</v>
      </c>
      <c r="Q435" s="247">
        <v>16.899999999999999</v>
      </c>
      <c r="R435" s="246">
        <f t="shared" si="13"/>
        <v>1689.9999999999998</v>
      </c>
      <c r="S435" s="177">
        <v>43955</v>
      </c>
      <c r="T435" s="182">
        <v>392</v>
      </c>
      <c r="U435" s="177">
        <v>43959</v>
      </c>
      <c r="V435" s="177">
        <v>43959</v>
      </c>
      <c r="W435" s="177">
        <v>43962</v>
      </c>
      <c r="X435" s="176">
        <v>18138</v>
      </c>
      <c r="Y435" s="177">
        <v>43986</v>
      </c>
      <c r="Z435" s="415">
        <v>3</v>
      </c>
      <c r="AA435" s="488"/>
      <c r="AB435" s="594"/>
      <c r="AC435" s="595"/>
      <c r="AD435" s="596" t="str">
        <f>IF(AND(AC435&lt;&gt;"",S435&lt;&gt;""),NETWORKDAYS(AC435,S435,#REF!),"")</f>
        <v/>
      </c>
      <c r="AE435" s="596" t="str">
        <f ca="1">IF(AND(AD435="",AC435=""),"",IF(OR(AD435&lt;&gt;"",O435="*CANCELADO"),"",NETWORKDAYS(AC435,TODAY(),#REF!)))</f>
        <v/>
      </c>
      <c r="AF435" s="597" t="str">
        <f>IFERROR(INDEX(produtos_escape2!M:M,MATCH(Controle!H435,produtos_escape2!A:A,0)),"")</f>
        <v>TECIDO COURVIM</v>
      </c>
    </row>
    <row r="436" spans="1:32" ht="14.25" customHeight="1">
      <c r="A436" s="176" t="s">
        <v>7519</v>
      </c>
      <c r="B436" s="176" t="s">
        <v>7207</v>
      </c>
      <c r="C436" s="177">
        <v>43950</v>
      </c>
      <c r="D436" s="176" t="s">
        <v>8302</v>
      </c>
      <c r="E436" s="176" t="s">
        <v>3009</v>
      </c>
      <c r="F436" s="259" t="s">
        <v>8303</v>
      </c>
      <c r="G436" s="176">
        <v>1</v>
      </c>
      <c r="H436" s="178">
        <v>12495</v>
      </c>
      <c r="I436" s="592">
        <f t="shared" si="12"/>
        <v>1</v>
      </c>
      <c r="J436" s="178" t="s">
        <v>816</v>
      </c>
      <c r="K436" s="178" t="s">
        <v>816</v>
      </c>
      <c r="L436" s="275" t="str">
        <f>IF(H:H=0,"",IF(ISERROR(VLOOKUP(H:H,produtos_escape2!$A$2:$B$2794,2,FALSE)),"Código não cadastrado",(VLOOKUP(H:H,produtos_escape2!$A$2:$B$2794,2,FALSE))))</f>
        <v>TECIDO COURVIM, Material: courvim com malha resistente, Cor: cinza, Largura: 1,38 m</v>
      </c>
      <c r="M436" s="593" t="str">
        <f>IF(H:H=0,"",IF(ISERROR(VLOOKUP(H:H,produtos_escape2!$A$2:$D$2794,2,FALSE)),"Código não cadastrado",(VLOOKUP(H:H,produtos_escape2!$A$2:$D$2794,4,FALSE))))</f>
        <v>MT</v>
      </c>
      <c r="N436" s="486">
        <v>100</v>
      </c>
      <c r="O436" s="176" t="s">
        <v>8344</v>
      </c>
      <c r="P436" s="486">
        <v>100</v>
      </c>
      <c r="Q436" s="247">
        <v>16.899999999999999</v>
      </c>
      <c r="R436" s="246">
        <f t="shared" si="13"/>
        <v>1689.9999999999998</v>
      </c>
      <c r="S436" s="177">
        <v>43957</v>
      </c>
      <c r="T436" s="182">
        <v>393</v>
      </c>
      <c r="U436" s="177">
        <v>43959</v>
      </c>
      <c r="V436" s="177">
        <v>43959</v>
      </c>
      <c r="W436" s="177">
        <v>43962</v>
      </c>
      <c r="X436" s="176">
        <v>18140</v>
      </c>
      <c r="Y436" s="177">
        <v>43986</v>
      </c>
      <c r="Z436" s="415">
        <v>3</v>
      </c>
      <c r="AA436" s="488"/>
      <c r="AB436" s="594"/>
      <c r="AC436" s="595"/>
      <c r="AD436" s="596" t="str">
        <f>IF(AND(AC436&lt;&gt;"",S436&lt;&gt;""),NETWORKDAYS(AC436,S436,#REF!),"")</f>
        <v/>
      </c>
      <c r="AE436" s="596" t="str">
        <f ca="1">IF(AND(AD436="",AC436=""),"",IF(OR(AD436&lt;&gt;"",O436="*CANCELADO"),"",NETWORKDAYS(AC436,TODAY(),#REF!)))</f>
        <v/>
      </c>
      <c r="AF436" s="597" t="str">
        <f>IFERROR(INDEX(produtos_escape2!M:M,MATCH(Controle!H436,produtos_escape2!A:A,0)),"")</f>
        <v>TECIDO COURVIM</v>
      </c>
    </row>
    <row r="437" spans="1:32" ht="14.25" customHeight="1">
      <c r="A437" s="176" t="s">
        <v>7528</v>
      </c>
      <c r="B437" s="176" t="s">
        <v>7207</v>
      </c>
      <c r="C437" s="177">
        <v>43950</v>
      </c>
      <c r="D437" s="176" t="s">
        <v>8304</v>
      </c>
      <c r="E437" s="176" t="s">
        <v>1867</v>
      </c>
      <c r="F437" s="259" t="s">
        <v>8305</v>
      </c>
      <c r="G437" s="176">
        <v>1</v>
      </c>
      <c r="H437" s="178">
        <v>31635</v>
      </c>
      <c r="I437" s="592">
        <f t="shared" si="12"/>
        <v>5</v>
      </c>
      <c r="J437" s="178" t="s">
        <v>816</v>
      </c>
      <c r="K437" s="178" t="s">
        <v>816</v>
      </c>
      <c r="L437" s="275" t="str">
        <f>IF(H:H=0,"",IF(ISERROR(VLOOKUP(H:H,produtos_escape2!$A$2:$B$2794,2,FALSE)),"Código não cadastrado",(VLOOKUP(H:H,produtos_escape2!$A$2:$B$2794,2,FALSE))))</f>
        <v>ETIQUETA AUTOADESIVA, Cor: Vermelho, Tamanho: 2cm x 1cm com os dizeres: ATENÇÃO! MEDICAMENTO DE ALTA VIGILÂNCIA.</v>
      </c>
      <c r="M437" s="593" t="str">
        <f>IF(H:H=0,"",IF(ISERROR(VLOOKUP(H:H,produtos_escape2!$A$2:$D$2794,2,FALSE)),"Código não cadastrado",(VLOOKUP(H:H,produtos_escape2!$A$2:$D$2794,4,FALSE))))</f>
        <v>UN</v>
      </c>
      <c r="N437" s="486">
        <v>25000</v>
      </c>
      <c r="O437" s="176" t="s">
        <v>3671</v>
      </c>
      <c r="P437" s="486">
        <v>25000</v>
      </c>
      <c r="Q437" s="247">
        <v>2.4E-2</v>
      </c>
      <c r="R437" s="246">
        <f t="shared" si="13"/>
        <v>600</v>
      </c>
      <c r="S437" s="177">
        <v>43957</v>
      </c>
      <c r="T437" s="182">
        <v>703</v>
      </c>
      <c r="U437" s="177">
        <v>43970</v>
      </c>
      <c r="V437" s="177">
        <v>43976</v>
      </c>
      <c r="W437" s="177">
        <v>43978</v>
      </c>
      <c r="X437" s="176">
        <v>30415</v>
      </c>
      <c r="Y437" s="177">
        <v>44007</v>
      </c>
      <c r="Z437" s="415">
        <v>3</v>
      </c>
      <c r="AA437" s="488"/>
      <c r="AB437" s="594"/>
      <c r="AC437" s="595"/>
      <c r="AD437" s="596" t="str">
        <f>IF(AND(AC437&lt;&gt;"",S437&lt;&gt;""),NETWORKDAYS(AC437,S437,#REF!),"")</f>
        <v/>
      </c>
      <c r="AE437" s="596" t="str">
        <f ca="1">IF(AND(AD437="",AC437=""),"",IF(OR(AD437&lt;&gt;"",O437="*CANCELADO"),"",NETWORKDAYS(AC437,TODAY(),#REF!)))</f>
        <v/>
      </c>
      <c r="AF437" s="597" t="str">
        <f>IFERROR(INDEX(produtos_escape2!M:M,MATCH(Controle!H437,produtos_escape2!A:A,0)),"")</f>
        <v>ETIQUETA AUTOADESIVA</v>
      </c>
    </row>
    <row r="438" spans="1:32" ht="14.25" customHeight="1">
      <c r="A438" s="176" t="s">
        <v>7526</v>
      </c>
      <c r="B438" s="176" t="s">
        <v>7207</v>
      </c>
      <c r="C438" s="177">
        <v>43950</v>
      </c>
      <c r="D438" s="176" t="s">
        <v>8306</v>
      </c>
      <c r="E438" s="176" t="s">
        <v>1865</v>
      </c>
      <c r="F438" s="259" t="s">
        <v>8307</v>
      </c>
      <c r="G438" s="176">
        <v>1</v>
      </c>
      <c r="H438" s="178">
        <v>36919</v>
      </c>
      <c r="I438" s="592">
        <f t="shared" si="12"/>
        <v>1</v>
      </c>
      <c r="J438" s="178" t="s">
        <v>816</v>
      </c>
      <c r="K438" s="178" t="s">
        <v>816</v>
      </c>
      <c r="L438" s="275" t="str">
        <f>IF(H:H=0,"",IF(ISERROR(VLOOKUP(H:H,produtos_escape2!$A$2:$B$2794,2,FALSE)),"Código não cadastrado",(VLOOKUP(H:H,produtos_escape2!$A$2:$B$2794,2,FALSE))))</f>
        <v>Controle para cama elétrica hospitalar Maquet (ArjoHuntleigh), ENTERPRISE 5000</v>
      </c>
      <c r="M438" s="593" t="str">
        <f>IF(H:H=0,"",IF(ISERROR(VLOOKUP(H:H,produtos_escape2!$A$2:$D$2794,2,FALSE)),"Código não cadastrado",(VLOOKUP(H:H,produtos_escape2!$A$2:$D$2794,4,FALSE))))</f>
        <v>UN</v>
      </c>
      <c r="N438" s="486">
        <v>15</v>
      </c>
      <c r="O438" s="176" t="s">
        <v>8402</v>
      </c>
      <c r="P438" s="486">
        <v>13</v>
      </c>
      <c r="Q438" s="247">
        <v>700</v>
      </c>
      <c r="R438" s="246">
        <f t="shared" si="13"/>
        <v>9100</v>
      </c>
      <c r="S438" s="177">
        <v>43963</v>
      </c>
      <c r="T438" s="182">
        <v>1253</v>
      </c>
      <c r="U438" s="177">
        <v>44032</v>
      </c>
      <c r="V438" s="177">
        <v>44074</v>
      </c>
      <c r="W438" s="177">
        <v>44075</v>
      </c>
      <c r="X438" s="176">
        <v>91520</v>
      </c>
      <c r="Y438" s="177">
        <v>44104</v>
      </c>
      <c r="Z438" s="415">
        <v>5</v>
      </c>
      <c r="AA438" s="488"/>
      <c r="AB438" s="594"/>
      <c r="AC438" s="595"/>
      <c r="AD438" s="596" t="str">
        <f>IF(AND(AC438&lt;&gt;"",S438&lt;&gt;""),NETWORKDAYS(AC438,S438,#REF!),"")</f>
        <v/>
      </c>
      <c r="AE438" s="596" t="str">
        <f ca="1">IF(AND(AD438="",AC438=""),"",IF(OR(AD438&lt;&gt;"",O438="*CANCELADO"),"",NETWORKDAYS(AC438,TODAY(),#REF!)))</f>
        <v/>
      </c>
      <c r="AF438" s="597" t="str">
        <f>IFERROR(INDEX(produtos_escape2!M:M,MATCH(Controle!H438,produtos_escape2!A:A,0)),"")</f>
        <v>CONTROLE PARA CAMA ELETRICA</v>
      </c>
    </row>
    <row r="439" spans="1:32" ht="14.25" customHeight="1">
      <c r="A439" s="176" t="s">
        <v>7564</v>
      </c>
      <c r="B439" s="176" t="s">
        <v>7207</v>
      </c>
      <c r="C439" s="177">
        <v>43955</v>
      </c>
      <c r="D439" s="176" t="s">
        <v>8315</v>
      </c>
      <c r="E439" s="176" t="s">
        <v>1866</v>
      </c>
      <c r="F439" s="259" t="s">
        <v>8316</v>
      </c>
      <c r="G439" s="176">
        <v>1</v>
      </c>
      <c r="H439" s="178">
        <v>11728</v>
      </c>
      <c r="I439" s="592">
        <f t="shared" si="12"/>
        <v>1</v>
      </c>
      <c r="J439" s="178" t="s">
        <v>816</v>
      </c>
      <c r="K439" s="178" t="s">
        <v>816</v>
      </c>
      <c r="L439" s="275" t="str">
        <f>IF(H:H=0,"",IF(ISERROR(VLOOKUP(H:H,produtos_escape2!$A$2:$B$2794,2,FALSE)),"Código não cadastrado",(VLOOKUP(H:H,produtos_escape2!$A$2:$B$2794,2,FALSE))))</f>
        <v>RODA DE APOIO, Aplicação: Empilhadeira. Informações Complementares(HRG) RODA PNEUMÁTICA COM PNEU 350 X 8" - 4 LONAS. C/ ROLAMENTO DE ROLETE P/ EIXO 1" - 25,40 MM. CAPACIDADE DE CARGA DO PNEU - 200 KG. DIAMETRO EXTERNO DA RODA - 380 MM. LARGURA DO CUBO DA RODA - 76 MM</v>
      </c>
      <c r="M439" s="593" t="str">
        <f>IF(H:H=0,"",IF(ISERROR(VLOOKUP(H:H,produtos_escape2!$A$2:$D$2794,2,FALSE)),"Código não cadastrado",(VLOOKUP(H:H,produtos_escape2!$A$2:$D$2794,4,FALSE))))</f>
        <v>UN</v>
      </c>
      <c r="N439" s="486">
        <v>8</v>
      </c>
      <c r="O439" s="176" t="s">
        <v>8991</v>
      </c>
      <c r="P439" s="486">
        <v>8</v>
      </c>
      <c r="Q439" s="247">
        <v>79.8</v>
      </c>
      <c r="R439" s="246">
        <f t="shared" si="13"/>
        <v>638.4</v>
      </c>
      <c r="S439" s="177">
        <v>43959</v>
      </c>
      <c r="T439" s="182">
        <v>1078</v>
      </c>
      <c r="U439" s="177">
        <v>43962</v>
      </c>
      <c r="V439" s="177">
        <v>43962</v>
      </c>
      <c r="W439" s="177">
        <v>43963</v>
      </c>
      <c r="X439" s="176">
        <v>32467</v>
      </c>
      <c r="Y439" s="177">
        <v>44011</v>
      </c>
      <c r="Z439" s="415">
        <v>3</v>
      </c>
      <c r="AA439" s="488" t="s">
        <v>8987</v>
      </c>
      <c r="AB439" s="594"/>
      <c r="AC439" s="595"/>
      <c r="AD439" s="596" t="str">
        <f>IF(AND(AC439&lt;&gt;"",S439&lt;&gt;""),NETWORKDAYS(AC439,S439,#REF!),"")</f>
        <v/>
      </c>
      <c r="AE439" s="596" t="str">
        <f ca="1">IF(AND(AD439="",AC439=""),"",IF(OR(AD439&lt;&gt;"",O439="*CANCELADO"),"",NETWORKDAYS(AC439,TODAY(),#REF!)))</f>
        <v/>
      </c>
      <c r="AF439" s="597" t="str">
        <f>IFERROR(INDEX(produtos_escape2!M:M,MATCH(Controle!H439,produtos_escape2!A:A,0)),"")</f>
        <v>Roda de Apoio</v>
      </c>
    </row>
    <row r="440" spans="1:32" ht="14.25" customHeight="1">
      <c r="A440" s="176" t="s">
        <v>7950</v>
      </c>
      <c r="B440" s="176" t="s">
        <v>3608</v>
      </c>
      <c r="C440" s="177">
        <v>43955</v>
      </c>
      <c r="D440" s="176" t="s">
        <v>8317</v>
      </c>
      <c r="E440" s="176" t="s">
        <v>3009</v>
      </c>
      <c r="F440" s="259" t="s">
        <v>8318</v>
      </c>
      <c r="G440" s="176">
        <v>1</v>
      </c>
      <c r="H440" s="178">
        <v>90070</v>
      </c>
      <c r="I440" s="592">
        <f t="shared" si="12"/>
        <v>4</v>
      </c>
      <c r="J440" s="178" t="s">
        <v>816</v>
      </c>
      <c r="K440" s="178" t="s">
        <v>816</v>
      </c>
      <c r="L440" s="275" t="str">
        <f>IF(H:H=0,"",IF(ISERROR(VLOOKUP(H:H,produtos_escape2!$A$2:$B$2794,2,FALSE)),"Código não cadastrado",(VLOOKUP(H:H,produtos_escape2!$A$2:$B$2794,2,FALSE))))</f>
        <v>VALPROATO DE SODIO XAROPE (EQUIVALENTE 250 MG/5 ML ACIDO VALPROICO) FRASCO 100 ML</v>
      </c>
      <c r="M440" s="593" t="str">
        <f>IF(H:H=0,"",IF(ISERROR(VLOOKUP(H:H,produtos_escape2!$A$2:$D$2794,2,FALSE)),"Código não cadastrado",(VLOOKUP(H:H,produtos_escape2!$A$2:$D$2794,4,FALSE))))</f>
        <v>FR</v>
      </c>
      <c r="N440" s="486">
        <v>20</v>
      </c>
      <c r="O440" s="176" t="s">
        <v>7371</v>
      </c>
      <c r="P440" s="486">
        <v>20</v>
      </c>
      <c r="Q440" s="247">
        <v>12</v>
      </c>
      <c r="R440" s="246">
        <f t="shared" si="13"/>
        <v>240</v>
      </c>
      <c r="S440" s="177">
        <v>43959</v>
      </c>
      <c r="T440" s="182">
        <v>331848</v>
      </c>
      <c r="U440" s="177">
        <v>43962</v>
      </c>
      <c r="V440" s="177">
        <v>43963</v>
      </c>
      <c r="W440" s="177">
        <v>43964</v>
      </c>
      <c r="X440" s="176">
        <v>17983</v>
      </c>
      <c r="Y440" s="177">
        <v>43986</v>
      </c>
      <c r="Z440" s="415">
        <v>3</v>
      </c>
      <c r="AA440" s="488"/>
      <c r="AB440" s="594"/>
      <c r="AC440" s="595"/>
      <c r="AD440" s="596" t="str">
        <f>IF(AND(AC440&lt;&gt;"",S440&lt;&gt;""),NETWORKDAYS(AC440,S440,#REF!),"")</f>
        <v/>
      </c>
      <c r="AE440" s="596" t="str">
        <f ca="1">IF(AND(AD440="",AC440=""),"",IF(OR(AD440&lt;&gt;"",O440="*CANCELADO"),"",NETWORKDAYS(AC440,TODAY(),#REF!)))</f>
        <v/>
      </c>
      <c r="AF440" s="597" t="str">
        <f>IFERROR(INDEX(produtos_escape2!M:M,MATCH(Controle!H440,produtos_escape2!A:A,0)),"")</f>
        <v>VALPROATO DE SODIO XAROPE (EQUIVALENTE 250 MG/5 ML ACIDO VALPROICO) FRASCO 100 ML</v>
      </c>
    </row>
    <row r="441" spans="1:32" ht="14.25" customHeight="1">
      <c r="A441" s="176" t="s">
        <v>7951</v>
      </c>
      <c r="B441" s="176" t="s">
        <v>3608</v>
      </c>
      <c r="C441" s="177">
        <v>43955</v>
      </c>
      <c r="D441" s="176" t="s">
        <v>8319</v>
      </c>
      <c r="E441" s="176" t="s">
        <v>1867</v>
      </c>
      <c r="F441" s="259" t="s">
        <v>8320</v>
      </c>
      <c r="G441" s="176">
        <v>1</v>
      </c>
      <c r="H441" s="178">
        <v>5312</v>
      </c>
      <c r="I441" s="592">
        <f t="shared" si="12"/>
        <v>3</v>
      </c>
      <c r="J441" s="178" t="s">
        <v>816</v>
      </c>
      <c r="K441" s="178" t="s">
        <v>816</v>
      </c>
      <c r="L441" s="275" t="str">
        <f>IF(H:H=0,"",IF(ISERROR(VLOOKUP(H:H,produtos_escape2!$A$2:$B$2794,2,FALSE)),"Código não cadastrado",(VLOOKUP(H:H,produtos_escape2!$A$2:$B$2794,2,FALSE))))</f>
        <v>GABAPENTINA CAPSULA 300MG</v>
      </c>
      <c r="M441" s="593" t="str">
        <f>IF(H:H=0,"",IF(ISERROR(VLOOKUP(H:H,produtos_escape2!$A$2:$D$2794,2,FALSE)),"Código não cadastrado",(VLOOKUP(H:H,produtos_escape2!$A$2:$D$2794,4,FALSE))))</f>
        <v>CS</v>
      </c>
      <c r="N441" s="486">
        <v>300</v>
      </c>
      <c r="O441" s="176" t="s">
        <v>7896</v>
      </c>
      <c r="P441" s="486">
        <v>300</v>
      </c>
      <c r="Q441" s="247">
        <v>0.63</v>
      </c>
      <c r="R441" s="246">
        <f t="shared" si="13"/>
        <v>189</v>
      </c>
      <c r="S441" s="177">
        <v>43962</v>
      </c>
      <c r="T441" s="182">
        <v>40855</v>
      </c>
      <c r="U441" s="177">
        <v>43962</v>
      </c>
      <c r="V441" s="177">
        <v>43963</v>
      </c>
      <c r="W441" s="177">
        <v>43964</v>
      </c>
      <c r="X441" s="176">
        <v>17920</v>
      </c>
      <c r="Y441" s="177">
        <v>43986</v>
      </c>
      <c r="Z441" s="415">
        <v>3</v>
      </c>
      <c r="AA441" s="488"/>
      <c r="AB441" s="594"/>
      <c r="AC441" s="595"/>
      <c r="AD441" s="596" t="str">
        <f>IF(AND(AC441&lt;&gt;"",S441&lt;&gt;""),NETWORKDAYS(AC441,S441,#REF!),"")</f>
        <v/>
      </c>
      <c r="AE441" s="596" t="str">
        <f ca="1">IF(AND(AD441="",AC441=""),"",IF(OR(AD441&lt;&gt;"",O441="*CANCELADO"),"",NETWORKDAYS(AC441,TODAY(),#REF!)))</f>
        <v/>
      </c>
      <c r="AF441" s="597" t="str">
        <f>IFERROR(INDEX(produtos_escape2!M:M,MATCH(Controle!H441,produtos_escape2!A:A,0)),"")</f>
        <v>GABAPENTINA CAPSULA 300MG</v>
      </c>
    </row>
    <row r="442" spans="1:32" ht="14.25" customHeight="1">
      <c r="A442" s="176" t="s">
        <v>7953</v>
      </c>
      <c r="B442" s="176" t="s">
        <v>3608</v>
      </c>
      <c r="C442" s="177">
        <v>43955</v>
      </c>
      <c r="D442" s="176" t="s">
        <v>8322</v>
      </c>
      <c r="E442" s="176" t="s">
        <v>1866</v>
      </c>
      <c r="F442" s="259" t="s">
        <v>8321</v>
      </c>
      <c r="G442" s="176">
        <v>1</v>
      </c>
      <c r="H442" s="178">
        <v>25977</v>
      </c>
      <c r="I442" s="592">
        <f t="shared" si="12"/>
        <v>3</v>
      </c>
      <c r="J442" s="178" t="s">
        <v>816</v>
      </c>
      <c r="K442" s="178" t="s">
        <v>816</v>
      </c>
      <c r="L442" s="275" t="str">
        <f>IF(H:H=0,"",IF(ISERROR(VLOOKUP(H:H,produtos_escape2!$A$2:$B$2794,2,FALSE)),"Código não cadastrado",(VLOOKUP(H:H,produtos_escape2!$A$2:$B$2794,2,FALSE))))</f>
        <v>FILTRO ANTIBACTERIANO, embalado individualmente para uso em espirômetro, compatível com aparelhos de função pulmonar, marca COSMED, modelo Pony FX</v>
      </c>
      <c r="M442" s="593" t="str">
        <f>IF(H:H=0,"",IF(ISERROR(VLOOKUP(H:H,produtos_escape2!$A$2:$D$2794,2,FALSE)),"Código não cadastrado",(VLOOKUP(H:H,produtos_escape2!$A$2:$D$2794,4,FALSE))))</f>
        <v>UN</v>
      </c>
      <c r="N442" s="486">
        <v>500</v>
      </c>
      <c r="O442" s="176" t="s">
        <v>7283</v>
      </c>
      <c r="P442" s="486">
        <v>500</v>
      </c>
      <c r="Q442" s="247">
        <v>9.8000000000000007</v>
      </c>
      <c r="R442" s="246">
        <f t="shared" si="13"/>
        <v>4900</v>
      </c>
      <c r="S442" s="177">
        <v>43957</v>
      </c>
      <c r="T442" s="182">
        <v>1557</v>
      </c>
      <c r="U442" s="177">
        <v>43963</v>
      </c>
      <c r="V442" s="177">
        <v>43963</v>
      </c>
      <c r="W442" s="177">
        <v>43964</v>
      </c>
      <c r="X442" s="176">
        <v>18220</v>
      </c>
      <c r="Y442" s="177">
        <v>43986</v>
      </c>
      <c r="Z442" s="415">
        <v>3</v>
      </c>
      <c r="AA442" s="488"/>
      <c r="AB442" s="594"/>
      <c r="AC442" s="595"/>
      <c r="AD442" s="596" t="str">
        <f>IF(AND(AC442&lt;&gt;"",S442&lt;&gt;""),NETWORKDAYS(AC442,S442,#REF!),"")</f>
        <v/>
      </c>
      <c r="AE442" s="596" t="str">
        <f ca="1">IF(AND(AD442="",AC442=""),"",IF(OR(AD442&lt;&gt;"",O442="*CANCELADO"),"",NETWORKDAYS(AC442,TODAY(),#REF!)))</f>
        <v/>
      </c>
      <c r="AF442" s="597" t="str">
        <f>IFERROR(INDEX(produtos_escape2!M:M,MATCH(Controle!H442,produtos_escape2!A:A,0)),"")</f>
        <v>FILTRO ANTIBACTERIANO</v>
      </c>
    </row>
    <row r="443" spans="1:32" ht="14.25" customHeight="1">
      <c r="A443" s="176" t="s">
        <v>7566</v>
      </c>
      <c r="B443" s="176" t="s">
        <v>7207</v>
      </c>
      <c r="C443" s="177">
        <v>43956</v>
      </c>
      <c r="D443" s="176" t="s">
        <v>8323</v>
      </c>
      <c r="E443" s="176"/>
      <c r="F443" s="259" t="s">
        <v>8374</v>
      </c>
      <c r="G443" s="176">
        <v>1</v>
      </c>
      <c r="H443" s="178">
        <v>22605</v>
      </c>
      <c r="I443" s="592">
        <f t="shared" si="12"/>
        <v>1</v>
      </c>
      <c r="J443" s="178" t="s">
        <v>816</v>
      </c>
      <c r="K443" s="178" t="s">
        <v>816</v>
      </c>
      <c r="L443" s="275" t="str">
        <f>IF(H:H=0,"",IF(ISERROR(VLOOKUP(H:H,produtos_escape2!$A$2:$B$2794,2,FALSE)),"Código não cadastrado",(VLOOKUP(H:H,produtos_escape2!$A$2:$B$2794,2,FALSE))))</f>
        <v>ALMOTOLIA DE 100ML(FOTO PROTECAO); Aplicação (finalidade): para acondicionamento de soluções; Material: polietileno; Tamanho/capacidade: 100 ml; Características: Almotolia âmbar, confeccionada em polietileno atóxico, graduada em alto-relevo, capacidade: 100 ml; cor âmbar, bico reto com tampa. Embalado individualmente em saco plástico selado; Processo de Esterilização: não estéril; Forma de apresentação: embalagem individual; Prazo de Validade: indeterminado; Unidade de estoque: unidade; Código SES: 22605</v>
      </c>
      <c r="M443" s="593" t="str">
        <f>IF(H:H=0,"",IF(ISERROR(VLOOKUP(H:H,produtos_escape2!$A$2:$D$2794,2,FALSE)),"Código não cadastrado",(VLOOKUP(H:H,produtos_escape2!$A$2:$D$2794,4,FALSE))))</f>
        <v>UN</v>
      </c>
      <c r="N443" s="486">
        <v>50</v>
      </c>
      <c r="O443" s="176" t="s">
        <v>1868</v>
      </c>
      <c r="P443" s="486"/>
      <c r="Q443" s="247"/>
      <c r="R443" s="246">
        <f t="shared" si="13"/>
        <v>0</v>
      </c>
      <c r="S443" s="177">
        <v>43956</v>
      </c>
      <c r="T443" s="182"/>
      <c r="U443" s="177"/>
      <c r="V443" s="177"/>
      <c r="W443" s="177"/>
      <c r="X443" s="176"/>
      <c r="Y443" s="177"/>
      <c r="Z443" s="415">
        <v>3</v>
      </c>
      <c r="AA443" s="488" t="s">
        <v>8343</v>
      </c>
      <c r="AB443" s="594"/>
      <c r="AC443" s="595"/>
      <c r="AD443" s="596" t="str">
        <f>IF(AND(AC443&lt;&gt;"",S443&lt;&gt;""),NETWORKDAYS(AC443,S443,#REF!),"")</f>
        <v/>
      </c>
      <c r="AE443" s="596" t="str">
        <f ca="1">IF(AND(AD443="",AC443=""),"",IF(OR(AD443&lt;&gt;"",O443="*CANCELADO"),"",NETWORKDAYS(AC443,TODAY(),#REF!)))</f>
        <v/>
      </c>
      <c r="AF443" s="597" t="str">
        <f>IFERROR(INDEX(produtos_escape2!M:M,MATCH(Controle!H443,produtos_escape2!A:A,0)),"")</f>
        <v>ALMOTOLIA DE 100ML</v>
      </c>
    </row>
    <row r="444" spans="1:32" ht="14.25" customHeight="1">
      <c r="A444" s="176" t="s">
        <v>7573</v>
      </c>
      <c r="B444" s="176" t="s">
        <v>7207</v>
      </c>
      <c r="C444" s="177">
        <v>43956</v>
      </c>
      <c r="D444" s="176" t="s">
        <v>8326</v>
      </c>
      <c r="E444" s="176" t="s">
        <v>3009</v>
      </c>
      <c r="F444" s="259" t="s">
        <v>8327</v>
      </c>
      <c r="G444" s="176">
        <v>1</v>
      </c>
      <c r="H444" s="178">
        <v>13923</v>
      </c>
      <c r="I444" s="592">
        <f t="shared" si="12"/>
        <v>1</v>
      </c>
      <c r="J444" s="178" t="s">
        <v>816</v>
      </c>
      <c r="K444" s="178" t="s">
        <v>816</v>
      </c>
      <c r="L444" s="275" t="str">
        <f>IF(H:H=0,"",IF(ISERROR(VLOOKUP(H:H,produtos_escape2!$A$2:$B$2794,2,FALSE)),"Código não cadastrado",(VLOOKUP(H:H,produtos_escape2!$A$2:$B$2794,2,FALSE))))</f>
        <v>PASTA TERMICA P/PROCESSADOR 1</v>
      </c>
      <c r="M444" s="593" t="str">
        <f>IF(H:H=0,"",IF(ISERROR(VLOOKUP(H:H,produtos_escape2!$A$2:$D$2794,2,FALSE)),"Código não cadastrado",(VLOOKUP(H:H,produtos_escape2!$A$2:$D$2794,4,FALSE))))</f>
        <v>UN</v>
      </c>
      <c r="N444" s="486">
        <v>24</v>
      </c>
      <c r="O444" s="176" t="s">
        <v>3407</v>
      </c>
      <c r="P444" s="486">
        <v>24</v>
      </c>
      <c r="Q444" s="247">
        <v>29</v>
      </c>
      <c r="R444" s="246">
        <f t="shared" si="13"/>
        <v>696</v>
      </c>
      <c r="S444" s="177">
        <v>43963</v>
      </c>
      <c r="T444" s="182">
        <v>874</v>
      </c>
      <c r="U444" s="177">
        <v>43969</v>
      </c>
      <c r="V444" s="177">
        <v>43969</v>
      </c>
      <c r="W444" s="177">
        <v>43978</v>
      </c>
      <c r="X444" s="176">
        <v>30461</v>
      </c>
      <c r="Y444" s="177">
        <v>44007</v>
      </c>
      <c r="Z444" s="415">
        <v>3</v>
      </c>
      <c r="AA444" s="488"/>
      <c r="AB444" s="594"/>
      <c r="AC444" s="595"/>
      <c r="AD444" s="596" t="str">
        <f>IF(AND(AC444&lt;&gt;"",S444&lt;&gt;""),NETWORKDAYS(AC444,S444,#REF!),"")</f>
        <v/>
      </c>
      <c r="AE444" s="596" t="str">
        <f ca="1">IF(AND(AD444="",AC444=""),"",IF(OR(AD444&lt;&gt;"",O444="*CANCELADO"),"",NETWORKDAYS(AC444,TODAY(),#REF!)))</f>
        <v/>
      </c>
      <c r="AF444" s="597" t="str">
        <f>IFERROR(INDEX(produtos_escape2!M:M,MATCH(Controle!H444,produtos_escape2!A:A,0)),"")</f>
        <v>PASTA TERMICA P/PROCESSADOR 1</v>
      </c>
    </row>
    <row r="445" spans="1:32" ht="14.25" customHeight="1">
      <c r="A445" s="176" t="s">
        <v>7572</v>
      </c>
      <c r="B445" s="176" t="s">
        <v>7207</v>
      </c>
      <c r="C445" s="177">
        <v>43956</v>
      </c>
      <c r="D445" s="176" t="s">
        <v>8329</v>
      </c>
      <c r="E445" s="176" t="s">
        <v>1867</v>
      </c>
      <c r="F445" s="259" t="s">
        <v>8330</v>
      </c>
      <c r="G445" s="176">
        <v>1</v>
      </c>
      <c r="H445" s="178">
        <v>52990</v>
      </c>
      <c r="I445" s="592">
        <f t="shared" si="12"/>
        <v>1</v>
      </c>
      <c r="J445" s="178" t="s">
        <v>816</v>
      </c>
      <c r="K445" s="178" t="s">
        <v>816</v>
      </c>
      <c r="L445" s="275" t="str">
        <f>IF(H:H=0,"",IF(ISERROR(VLOOKUP(H:H,produtos_escape2!$A$2:$B$2794,2,FALSE)),"Código não cadastrado",(VLOOKUP(H:H,produtos_escape2!$A$2:$B$2794,2,FALSE))))</f>
        <v>CAPACITADOR ELETROLITICO DE 1000MFX25V 1</v>
      </c>
      <c r="M445" s="593" t="str">
        <f>IF(H:H=0,"",IF(ISERROR(VLOOKUP(H:H,produtos_escape2!$A$2:$D$2794,2,FALSE)),"Código não cadastrado",(VLOOKUP(H:H,produtos_escape2!$A$2:$D$2794,4,FALSE))))</f>
        <v>UN</v>
      </c>
      <c r="N445" s="486">
        <v>200</v>
      </c>
      <c r="O445" s="176" t="s">
        <v>4358</v>
      </c>
      <c r="P445" s="486">
        <v>200</v>
      </c>
      <c r="Q445" s="247">
        <v>1.21</v>
      </c>
      <c r="R445" s="246">
        <f t="shared" si="13"/>
        <v>242</v>
      </c>
      <c r="S445" s="177">
        <v>43962</v>
      </c>
      <c r="T445" s="182">
        <v>993</v>
      </c>
      <c r="U445" s="177">
        <v>43963</v>
      </c>
      <c r="V445" s="177">
        <v>43964</v>
      </c>
      <c r="W445" s="177">
        <v>43965</v>
      </c>
      <c r="X445" s="176">
        <v>17962</v>
      </c>
      <c r="Y445" s="177">
        <v>43986</v>
      </c>
      <c r="Z445" s="415">
        <v>3</v>
      </c>
      <c r="AA445" s="488"/>
      <c r="AB445" s="594"/>
      <c r="AC445" s="595"/>
      <c r="AD445" s="596" t="str">
        <f>IF(AND(AC445&lt;&gt;"",S445&lt;&gt;""),NETWORKDAYS(AC445,S445,#REF!),"")</f>
        <v/>
      </c>
      <c r="AE445" s="596" t="str">
        <f ca="1">IF(AND(AD445="",AC445=""),"",IF(OR(AD445&lt;&gt;"",O445="*CANCELADO"),"",NETWORKDAYS(AC445,TODAY(),#REF!)))</f>
        <v/>
      </c>
      <c r="AF445" s="597" t="str">
        <f>IFERROR(INDEX(produtos_escape2!M:M,MATCH(Controle!H445,produtos_escape2!A:A,0)),"")</f>
        <v>CAPACITOR ELETROLITICO</v>
      </c>
    </row>
    <row r="446" spans="1:32" ht="14.25" customHeight="1">
      <c r="A446" s="176" t="s">
        <v>7594</v>
      </c>
      <c r="B446" s="176" t="s">
        <v>7207</v>
      </c>
      <c r="C446" s="177">
        <v>43956</v>
      </c>
      <c r="D446" s="176" t="s">
        <v>8333</v>
      </c>
      <c r="E446" s="176" t="s">
        <v>1865</v>
      </c>
      <c r="F446" s="259" t="s">
        <v>8334</v>
      </c>
      <c r="G446" s="176">
        <v>1</v>
      </c>
      <c r="H446" s="178">
        <v>5182</v>
      </c>
      <c r="I446" s="592">
        <f t="shared" si="12"/>
        <v>2</v>
      </c>
      <c r="J446" s="178" t="s">
        <v>816</v>
      </c>
      <c r="K446" s="178" t="s">
        <v>816</v>
      </c>
      <c r="L446" s="275" t="str">
        <f>IF(H:H=0,"",IF(ISERROR(VLOOKUP(H:H,produtos_escape2!$A$2:$B$2794,2,FALSE)),"Código não cadastrado",(VLOOKUP(H:H,produtos_escape2!$A$2:$B$2794,2,FALSE))))</f>
        <v>LIMPA CONTATOS FREON 250G</v>
      </c>
      <c r="M446" s="593" t="str">
        <f>IF(H:H=0,"",IF(ISERROR(VLOOKUP(H:H,produtos_escape2!$A$2:$D$2794,2,FALSE)),"Código não cadastrado",(VLOOKUP(H:H,produtos_escape2!$A$2:$D$2794,4,FALSE))))</f>
        <v>UN</v>
      </c>
      <c r="N446" s="486">
        <v>24</v>
      </c>
      <c r="O446" s="176" t="s">
        <v>4358</v>
      </c>
      <c r="P446" s="486">
        <v>24</v>
      </c>
      <c r="Q446" s="247">
        <v>8.76</v>
      </c>
      <c r="R446" s="246">
        <f t="shared" si="13"/>
        <v>210.24</v>
      </c>
      <c r="S446" s="177">
        <v>43963</v>
      </c>
      <c r="T446" s="182">
        <v>994</v>
      </c>
      <c r="U446" s="177">
        <v>43963</v>
      </c>
      <c r="V446" s="177">
        <v>43964</v>
      </c>
      <c r="W446" s="177">
        <v>43965</v>
      </c>
      <c r="X446" s="176">
        <v>17932</v>
      </c>
      <c r="Y446" s="177">
        <v>43986</v>
      </c>
      <c r="Z446" s="415">
        <v>3</v>
      </c>
      <c r="AA446" s="488" t="s">
        <v>8337</v>
      </c>
      <c r="AB446" s="594"/>
      <c r="AC446" s="595"/>
      <c r="AD446" s="596" t="str">
        <f>IF(AND(AC446&lt;&gt;"",S446&lt;&gt;""),NETWORKDAYS(AC446,S446,#REF!),"")</f>
        <v/>
      </c>
      <c r="AE446" s="596" t="str">
        <f ca="1">IF(AND(AD446="",AC446=""),"",IF(OR(AD446&lt;&gt;"",O446="*CANCELADO"),"",NETWORKDAYS(AC446,TODAY(),#REF!)))</f>
        <v/>
      </c>
      <c r="AF446" s="597" t="str">
        <f>IFERROR(INDEX(produtos_escape2!M:M,MATCH(Controle!H446,produtos_escape2!A:A,0)),"")</f>
        <v>LIMPA CONTATOS</v>
      </c>
    </row>
    <row r="447" spans="1:32" ht="14.25" customHeight="1">
      <c r="A447" s="176" t="s">
        <v>7595</v>
      </c>
      <c r="B447" s="176" t="s">
        <v>7207</v>
      </c>
      <c r="C447" s="177">
        <v>43956</v>
      </c>
      <c r="D447" s="176" t="s">
        <v>8338</v>
      </c>
      <c r="E447" s="176" t="s">
        <v>1866</v>
      </c>
      <c r="F447" s="259" t="s">
        <v>8339</v>
      </c>
      <c r="G447" s="176">
        <v>1</v>
      </c>
      <c r="H447" s="178">
        <v>2132</v>
      </c>
      <c r="I447" s="592">
        <f t="shared" si="12"/>
        <v>2</v>
      </c>
      <c r="J447" s="178" t="s">
        <v>816</v>
      </c>
      <c r="K447" s="178" t="s">
        <v>816</v>
      </c>
      <c r="L447" s="275" t="str">
        <f>IF(H:H=0,"",IF(ISERROR(VLOOKUP(H:H,produtos_escape2!$A$2:$B$2794,2,FALSE)),"Código não cadastrado",(VLOOKUP(H:H,produtos_escape2!$A$2:$B$2794,2,FALSE))))</f>
        <v>FERRO DE SOLDA 220VSX35W 1</v>
      </c>
      <c r="M447" s="593" t="str">
        <f>IF(H:H=0,"",IF(ISERROR(VLOOKUP(H:H,produtos_escape2!$A$2:$D$2794,2,FALSE)),"Código não cadastrado",(VLOOKUP(H:H,produtos_escape2!$A$2:$D$2794,4,FALSE))))</f>
        <v>UM</v>
      </c>
      <c r="N447" s="486">
        <v>2</v>
      </c>
      <c r="O447" s="176" t="s">
        <v>8395</v>
      </c>
      <c r="P447" s="486">
        <v>2</v>
      </c>
      <c r="Q447" s="247">
        <v>35</v>
      </c>
      <c r="R447" s="246">
        <f t="shared" si="13"/>
        <v>70</v>
      </c>
      <c r="S447" s="177">
        <v>43962</v>
      </c>
      <c r="T447" s="182">
        <v>3005</v>
      </c>
      <c r="U447" s="177">
        <v>43962</v>
      </c>
      <c r="V447" s="177">
        <v>43962</v>
      </c>
      <c r="W447" s="177">
        <v>43962</v>
      </c>
      <c r="X447" s="176">
        <v>17869</v>
      </c>
      <c r="Y447" s="177">
        <v>43986</v>
      </c>
      <c r="Z447" s="415">
        <v>3</v>
      </c>
      <c r="AA447" s="488"/>
      <c r="AB447" s="594"/>
      <c r="AC447" s="595"/>
      <c r="AD447" s="596" t="str">
        <f>IF(AND(AC447&lt;&gt;"",S447&lt;&gt;""),NETWORKDAYS(AC447,S447,#REF!),"")</f>
        <v/>
      </c>
      <c r="AE447" s="596" t="str">
        <f ca="1">IF(AND(AD447="",AC447=""),"",IF(OR(AD447&lt;&gt;"",O447="*CANCELADO"),"",NETWORKDAYS(AC447,TODAY(),#REF!)))</f>
        <v/>
      </c>
      <c r="AF447" s="597" t="str">
        <f>IFERROR(INDEX(produtos_escape2!M:M,MATCH(Controle!H447,produtos_escape2!A:A,0)),"")</f>
        <v>FERRO DE SOLDA 220VSX35W 1</v>
      </c>
    </row>
    <row r="448" spans="1:32" ht="14.25" customHeight="1">
      <c r="A448" s="176" t="s">
        <v>7597</v>
      </c>
      <c r="B448" s="176" t="s">
        <v>7207</v>
      </c>
      <c r="C448" s="177">
        <v>43957</v>
      </c>
      <c r="D448" s="176" t="s">
        <v>8351</v>
      </c>
      <c r="E448" s="176" t="s">
        <v>3009</v>
      </c>
      <c r="F448" s="259" t="s">
        <v>8345</v>
      </c>
      <c r="G448" s="176">
        <v>1</v>
      </c>
      <c r="H448" s="178">
        <v>619</v>
      </c>
      <c r="I448" s="592">
        <f t="shared" si="12"/>
        <v>2</v>
      </c>
      <c r="J448" s="178" t="s">
        <v>816</v>
      </c>
      <c r="K448" s="178" t="s">
        <v>816</v>
      </c>
      <c r="L448" s="275" t="str">
        <f>IF(H:H=0,"",IF(ISERROR(VLOOKUP(H:H,produtos_escape2!$A$2:$B$2794,2,FALSE)),"Código não cadastrado",(VLOOKUP(H:H,produtos_escape2!$A$2:$B$2794,2,FALSE))))</f>
        <v>PAPEL CÓPIA XEROGRÁFICA,  Material: sulfite, Gramatura: 75g/m2, Comprimento: 297 mm, Largura: 210 mm, Cor: branca, Unidade De Fornecimento: pacote com 500 folhas, Formato A4. Fornecimento: Resma pacote com 500 folhas, Formato: A-4.</v>
      </c>
      <c r="M448" s="593" t="str">
        <f>IF(H:H=0,"",IF(ISERROR(VLOOKUP(H:H,produtos_escape2!$A$2:$D$2794,2,FALSE)),"Código não cadastrado",(VLOOKUP(H:H,produtos_escape2!$A$2:$D$2794,4,FALSE))))</f>
        <v>UN</v>
      </c>
      <c r="N448" s="486">
        <v>450</v>
      </c>
      <c r="O448" s="176" t="s">
        <v>7051</v>
      </c>
      <c r="P448" s="486">
        <v>450</v>
      </c>
      <c r="Q448" s="247">
        <v>16.29</v>
      </c>
      <c r="R448" s="246">
        <f t="shared" si="13"/>
        <v>7330.5</v>
      </c>
      <c r="S448" s="177">
        <v>43963</v>
      </c>
      <c r="T448" s="182">
        <v>68</v>
      </c>
      <c r="U448" s="177">
        <v>43972</v>
      </c>
      <c r="V448" s="177">
        <v>43976</v>
      </c>
      <c r="W448" s="177">
        <v>43978</v>
      </c>
      <c r="X448" s="176">
        <v>3289</v>
      </c>
      <c r="Y448" s="177">
        <v>44007</v>
      </c>
      <c r="Z448" s="415">
        <v>3</v>
      </c>
      <c r="AA448" s="488"/>
      <c r="AB448" s="594"/>
      <c r="AC448" s="595"/>
      <c r="AD448" s="596" t="str">
        <f>IF(AND(AC448&lt;&gt;"",S448&lt;&gt;""),NETWORKDAYS(AC448,S448,#REF!),"")</f>
        <v/>
      </c>
      <c r="AE448" s="596" t="str">
        <f ca="1">IF(AND(AD448="",AC448=""),"",IF(OR(AD448&lt;&gt;"",O448="*CANCELADO"),"",NETWORKDAYS(AC448,TODAY(),#REF!)))</f>
        <v/>
      </c>
      <c r="AF448" s="597" t="str">
        <f>IFERROR(INDEX(produtos_escape2!M:M,MATCH(Controle!H448,produtos_escape2!A:A,0)),"")</f>
        <v>PAPEL CÓPIA XEROGRÁFICA</v>
      </c>
    </row>
    <row r="449" spans="1:32" ht="14.25" customHeight="1">
      <c r="A449" s="176" t="s">
        <v>7965</v>
      </c>
      <c r="B449" s="176" t="s">
        <v>3608</v>
      </c>
      <c r="C449" s="177">
        <v>43957</v>
      </c>
      <c r="D449" s="176" t="s">
        <v>8352</v>
      </c>
      <c r="E449" s="176" t="s">
        <v>3009</v>
      </c>
      <c r="F449" s="259" t="s">
        <v>8346</v>
      </c>
      <c r="G449" s="176">
        <v>1</v>
      </c>
      <c r="H449" s="178">
        <v>30972</v>
      </c>
      <c r="I449" s="592">
        <f t="shared" si="12"/>
        <v>7</v>
      </c>
      <c r="J449" s="178" t="s">
        <v>816</v>
      </c>
      <c r="K449" s="178" t="s">
        <v>816</v>
      </c>
      <c r="L449" s="275"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449" s="593" t="str">
        <f>IF(H:H=0,"",IF(ISERROR(VLOOKUP(H:H,produtos_escape2!$A$2:$D$2794,2,FALSE)),"Código não cadastrado",(VLOOKUP(H:H,produtos_escape2!$A$2:$D$2794,4,FALSE))))</f>
        <v>UN</v>
      </c>
      <c r="N449" s="486">
        <v>500</v>
      </c>
      <c r="O449" s="176" t="s">
        <v>2989</v>
      </c>
      <c r="P449" s="486">
        <v>500</v>
      </c>
      <c r="Q449" s="247">
        <v>1.05</v>
      </c>
      <c r="R449" s="246">
        <f t="shared" si="13"/>
        <v>525</v>
      </c>
      <c r="S449" s="177">
        <v>43963</v>
      </c>
      <c r="T449" s="182">
        <v>118975</v>
      </c>
      <c r="U449" s="177">
        <v>43963</v>
      </c>
      <c r="V449" s="177">
        <v>43964</v>
      </c>
      <c r="W449" s="177">
        <v>43971</v>
      </c>
      <c r="X449" s="176">
        <v>18059</v>
      </c>
      <c r="Y449" s="177">
        <v>43986</v>
      </c>
      <c r="Z449" s="415">
        <v>3</v>
      </c>
      <c r="AA449" s="488"/>
      <c r="AB449" s="594"/>
      <c r="AC449" s="595"/>
      <c r="AD449" s="596" t="str">
        <f>IF(AND(AC449&lt;&gt;"",S449&lt;&gt;""),NETWORKDAYS(AC449,S449,#REF!),"")</f>
        <v/>
      </c>
      <c r="AE449" s="596" t="str">
        <f ca="1">IF(AND(AD449="",AC449=""),"",IF(OR(AD449&lt;&gt;"",O449="*CANCELADO"),"",NETWORKDAYS(AC449,TODAY(),#REF!)))</f>
        <v/>
      </c>
      <c r="AF449" s="597" t="str">
        <f>IFERROR(INDEX(produtos_escape2!M:M,MATCH(Controle!H449,produtos_escape2!A:A,0)),"")</f>
        <v>CATETER NASAL ADULTO</v>
      </c>
    </row>
    <row r="450" spans="1:32" ht="14.25" customHeight="1">
      <c r="A450" s="176" t="s">
        <v>7967</v>
      </c>
      <c r="B450" s="176" t="s">
        <v>3608</v>
      </c>
      <c r="C450" s="177">
        <v>43957</v>
      </c>
      <c r="D450" s="176" t="s">
        <v>8353</v>
      </c>
      <c r="E450" s="176" t="s">
        <v>1867</v>
      </c>
      <c r="F450" s="259" t="s">
        <v>8347</v>
      </c>
      <c r="G450" s="176">
        <v>1</v>
      </c>
      <c r="H450" s="178">
        <v>90861</v>
      </c>
      <c r="I450" s="592">
        <f t="shared" si="12"/>
        <v>4</v>
      </c>
      <c r="J450" s="178" t="s">
        <v>816</v>
      </c>
      <c r="K450" s="178" t="s">
        <v>816</v>
      </c>
      <c r="L450" s="275" t="str">
        <f>IF(H:H=0,"",IF(ISERROR(VLOOKUP(H:H,produtos_escape2!$A$2:$B$2794,2,FALSE)),"Código não cadastrado",(VLOOKUP(H:H,produtos_escape2!$A$2:$B$2794,2,FALSE))))</f>
        <v xml:space="preserve">NALOXONA (CLORIDRAT0) SOLUÇÃO INJETÁVEL 0,4 MG/ML AMPOLA 1 ML </v>
      </c>
      <c r="M450" s="593" t="str">
        <f>IF(H:H=0,"",IF(ISERROR(VLOOKUP(H:H,produtos_escape2!$A$2:$D$2794,2,FALSE)),"Código não cadastrado",(VLOOKUP(H:H,produtos_escape2!$A$2:$D$2794,4,FALSE))))</f>
        <v>AMP</v>
      </c>
      <c r="N450" s="486">
        <v>40</v>
      </c>
      <c r="O450" s="176" t="s">
        <v>2989</v>
      </c>
      <c r="P450" s="486">
        <v>40</v>
      </c>
      <c r="Q450" s="247">
        <v>6.35</v>
      </c>
      <c r="R450" s="246">
        <f t="shared" si="13"/>
        <v>254</v>
      </c>
      <c r="S450" s="177">
        <v>43962</v>
      </c>
      <c r="T450" s="182">
        <v>118805</v>
      </c>
      <c r="U450" s="177">
        <v>43962</v>
      </c>
      <c r="V450" s="177">
        <v>43963</v>
      </c>
      <c r="W450" s="177">
        <v>43964</v>
      </c>
      <c r="X450" s="176">
        <v>17993</v>
      </c>
      <c r="Y450" s="177">
        <v>43986</v>
      </c>
      <c r="Z450" s="415">
        <v>3</v>
      </c>
      <c r="AA450" s="488"/>
      <c r="AB450" s="594"/>
      <c r="AC450" s="595"/>
      <c r="AD450" s="596" t="str">
        <f>IF(AND(AC450&lt;&gt;"",S450&lt;&gt;""),NETWORKDAYS(AC450,S450,#REF!),"")</f>
        <v/>
      </c>
      <c r="AE450" s="596" t="str">
        <f ca="1">IF(AND(AD450="",AC450=""),"",IF(OR(AD450&lt;&gt;"",O450="*CANCELADO"),"",NETWORKDAYS(AC450,TODAY(),#REF!)))</f>
        <v/>
      </c>
      <c r="AF450" s="597" t="str">
        <f>IFERROR(INDEX(produtos_escape2!M:M,MATCH(Controle!H450,produtos_escape2!A:A,0)),"")</f>
        <v>NALOXONA (CLORIDRAT0) SOLUÇÃO INJETÁVEL 0</v>
      </c>
    </row>
    <row r="451" spans="1:32" ht="14.25" customHeight="1">
      <c r="A451" s="176" t="s">
        <v>7963</v>
      </c>
      <c r="B451" s="176" t="s">
        <v>3608</v>
      </c>
      <c r="C451" s="177">
        <v>43957</v>
      </c>
      <c r="D451" s="176" t="s">
        <v>8354</v>
      </c>
      <c r="E451" s="176" t="s">
        <v>1866</v>
      </c>
      <c r="F451" s="259" t="s">
        <v>8348</v>
      </c>
      <c r="G451" s="176">
        <v>1</v>
      </c>
      <c r="H451" s="178">
        <v>90286</v>
      </c>
      <c r="I451" s="592">
        <f t="shared" ref="I451:I514" si="14">COUNTIF($H$3:$H$3041,H451)</f>
        <v>2</v>
      </c>
      <c r="J451" s="178" t="s">
        <v>816</v>
      </c>
      <c r="K451" s="178" t="s">
        <v>816</v>
      </c>
      <c r="L451" s="275" t="str">
        <f>IF(H:H=0,"",IF(ISERROR(VLOOKUP(H:H,produtos_escape2!$A$2:$B$2794,2,FALSE)),"Código não cadastrado",(VLOOKUP(H:H,produtos_escape2!$A$2:$B$2794,2,FALSE))))</f>
        <v>PREDNISOLONA SOLUCAO ORAL 3 MG/ML FRASCO DE 100 ML COM DOSEADOR.</v>
      </c>
      <c r="M451" s="593" t="str">
        <f>IF(H:H=0,"",IF(ISERROR(VLOOKUP(H:H,produtos_escape2!$A$2:$D$2794,2,FALSE)),"Código não cadastrado",(VLOOKUP(H:H,produtos_escape2!$A$2:$D$2794,4,FALSE))))</f>
        <v>FR</v>
      </c>
      <c r="N451" s="486">
        <v>100</v>
      </c>
      <c r="O451" s="176" t="s">
        <v>2989</v>
      </c>
      <c r="P451" s="486">
        <v>100</v>
      </c>
      <c r="Q451" s="247">
        <v>6.75</v>
      </c>
      <c r="R451" s="246">
        <f t="shared" ref="R451:R514" si="15">P451*Q451</f>
        <v>675</v>
      </c>
      <c r="S451" s="177">
        <v>43962</v>
      </c>
      <c r="T451" s="182">
        <v>118804</v>
      </c>
      <c r="U451" s="177">
        <v>43962</v>
      </c>
      <c r="V451" s="177">
        <v>43963</v>
      </c>
      <c r="W451" s="177">
        <v>43964</v>
      </c>
      <c r="X451" s="176">
        <v>18075</v>
      </c>
      <c r="Y451" s="177">
        <v>43986</v>
      </c>
      <c r="Z451" s="415">
        <v>3</v>
      </c>
      <c r="AA451" s="488"/>
      <c r="AB451" s="594"/>
      <c r="AC451" s="595"/>
      <c r="AD451" s="596" t="str">
        <f>IF(AND(AC451&lt;&gt;"",S451&lt;&gt;""),NETWORKDAYS(AC451,S451,#REF!),"")</f>
        <v/>
      </c>
      <c r="AE451" s="596" t="str">
        <f ca="1">IF(AND(AD451="",AC451=""),"",IF(OR(AD451&lt;&gt;"",O451="*CANCELADO"),"",NETWORKDAYS(AC451,TODAY(),#REF!)))</f>
        <v/>
      </c>
      <c r="AF451" s="597" t="str">
        <f>IFERROR(INDEX(produtos_escape2!M:M,MATCH(Controle!H451,produtos_escape2!A:A,0)),"")</f>
        <v>PREDNISOLONA SOLUCAO ORAL 3 MG/ML FRASCO DE 100 ML COM DOSEADOR</v>
      </c>
    </row>
    <row r="452" spans="1:32" ht="14.25" customHeight="1">
      <c r="A452" s="176" t="s">
        <v>7959</v>
      </c>
      <c r="B452" s="176" t="s">
        <v>3608</v>
      </c>
      <c r="C452" s="177">
        <v>43957</v>
      </c>
      <c r="D452" s="176" t="s">
        <v>8355</v>
      </c>
      <c r="E452" s="176" t="s">
        <v>3009</v>
      </c>
      <c r="F452" s="259" t="s">
        <v>8349</v>
      </c>
      <c r="G452" s="176">
        <v>1</v>
      </c>
      <c r="H452" s="178">
        <v>90203</v>
      </c>
      <c r="I452" s="592">
        <f t="shared" si="14"/>
        <v>5</v>
      </c>
      <c r="J452" s="178" t="s">
        <v>816</v>
      </c>
      <c r="K452" s="178" t="s">
        <v>816</v>
      </c>
      <c r="L452" s="275" t="str">
        <f>IF(H:H=0,"",IF(ISERROR(VLOOKUP(H:H,produtos_escape2!$A$2:$B$2794,2,FALSE)),"Código não cadastrado",(VLOOKUP(H:H,produtos_escape2!$A$2:$B$2794,2,FALSE))))</f>
        <v>OMEPRAZOL PO LIOFILIZADO PARA SOLUCAO INJETAVEL 40 MG FRASCO AMPOLA + SOLUCAO DILUENTE (AMPOLA 10 ML)</v>
      </c>
      <c r="M452" s="593" t="str">
        <f>IF(H:H=0,"",IF(ISERROR(VLOOKUP(H:H,produtos_escape2!$A$2:$D$2794,2,FALSE)),"Código não cadastrado",(VLOOKUP(H:H,produtos_escape2!$A$2:$D$2794,4,FALSE))))</f>
        <v>AMP</v>
      </c>
      <c r="N452" s="486">
        <v>500</v>
      </c>
      <c r="O452" s="176" t="s">
        <v>4401</v>
      </c>
      <c r="P452" s="486">
        <v>500</v>
      </c>
      <c r="Q452" s="247">
        <v>22</v>
      </c>
      <c r="R452" s="246">
        <f t="shared" si="15"/>
        <v>11000</v>
      </c>
      <c r="S452" s="177">
        <v>43963</v>
      </c>
      <c r="T452" s="182">
        <v>2619337</v>
      </c>
      <c r="U452" s="177">
        <v>43971</v>
      </c>
      <c r="V452" s="177">
        <v>43973</v>
      </c>
      <c r="W452" s="177">
        <v>43978</v>
      </c>
      <c r="X452" s="176">
        <v>30850</v>
      </c>
      <c r="Y452" s="177">
        <v>44007</v>
      </c>
      <c r="Z452" s="415">
        <v>3</v>
      </c>
      <c r="AA452" s="488"/>
      <c r="AB452" s="594"/>
      <c r="AC452" s="595"/>
      <c r="AD452" s="596" t="str">
        <f>IF(AND(AC452&lt;&gt;"",S452&lt;&gt;""),NETWORKDAYS(AC452,S452,#REF!),"")</f>
        <v/>
      </c>
      <c r="AE452" s="596" t="str">
        <f ca="1">IF(AND(AD452="",AC452=""),"",IF(OR(AD452&lt;&gt;"",O452="*CANCELADO"),"",NETWORKDAYS(AC452,TODAY(),#REF!)))</f>
        <v/>
      </c>
      <c r="AF452" s="597" t="str">
        <f>IFERROR(INDEX(produtos_escape2!M:M,MATCH(Controle!H452,produtos_escape2!A:A,0)),"")</f>
        <v>OMEPRAZOL PO LIOFILIZADO PARA SOLUCAO INJETAVEL 40 MG FRASCO AMPOLA + SOLUCAO DILUENTE (AMPOLA 10 ML)</v>
      </c>
    </row>
    <row r="453" spans="1:32" ht="14.25" customHeight="1">
      <c r="A453" s="176" t="s">
        <v>7960</v>
      </c>
      <c r="B453" s="176" t="s">
        <v>3608</v>
      </c>
      <c r="C453" s="177">
        <v>43957</v>
      </c>
      <c r="D453" s="176" t="s">
        <v>8356</v>
      </c>
      <c r="E453" s="176" t="s">
        <v>1867</v>
      </c>
      <c r="F453" s="259" t="s">
        <v>8350</v>
      </c>
      <c r="G453" s="176">
        <v>1</v>
      </c>
      <c r="H453" s="178">
        <v>90291</v>
      </c>
      <c r="I453" s="592">
        <f t="shared" si="14"/>
        <v>6</v>
      </c>
      <c r="J453" s="178" t="s">
        <v>816</v>
      </c>
      <c r="K453" s="178" t="s">
        <v>816</v>
      </c>
      <c r="L453" s="275" t="str">
        <f>IF(H:H=0,"",IF(ISERROR(VLOOKUP(H:H,produtos_escape2!$A$2:$B$2794,2,FALSE)),"Código não cadastrado",(VLOOKUP(H:H,produtos_escape2!$A$2:$B$2794,2,FALSE))))</f>
        <v>PROPANOLOL (CLORIDRATO) COMPRIMIDO 40 MG</v>
      </c>
      <c r="M453" s="593" t="str">
        <f>IF(H:H=0,"",IF(ISERROR(VLOOKUP(H:H,produtos_escape2!$A$2:$D$2794,2,FALSE)),"Código não cadastrado",(VLOOKUP(H:H,produtos_escape2!$A$2:$D$2794,4,FALSE))))</f>
        <v>CP</v>
      </c>
      <c r="N453" s="486">
        <v>600</v>
      </c>
      <c r="O453" s="176" t="s">
        <v>7896</v>
      </c>
      <c r="P453" s="486">
        <v>600</v>
      </c>
      <c r="Q453" s="247">
        <v>0.08</v>
      </c>
      <c r="R453" s="246">
        <f t="shared" si="15"/>
        <v>48</v>
      </c>
      <c r="S453" s="177">
        <v>43962</v>
      </c>
      <c r="T453" s="182">
        <v>40854</v>
      </c>
      <c r="U453" s="177">
        <v>43962</v>
      </c>
      <c r="V453" s="177">
        <v>43963</v>
      </c>
      <c r="W453" s="177">
        <v>43964</v>
      </c>
      <c r="X453" s="176">
        <v>17848</v>
      </c>
      <c r="Y453" s="177">
        <v>43986</v>
      </c>
      <c r="Z453" s="415">
        <v>3</v>
      </c>
      <c r="AA453" s="488"/>
      <c r="AB453" s="594"/>
      <c r="AC453" s="595"/>
      <c r="AD453" s="596" t="str">
        <f>IF(AND(AC453&lt;&gt;"",S453&lt;&gt;""),NETWORKDAYS(AC453,S453,#REF!),"")</f>
        <v/>
      </c>
      <c r="AE453" s="596" t="str">
        <f ca="1">IF(AND(AD453="",AC453=""),"",IF(OR(AD453&lt;&gt;"",O453="*CANCELADO"),"",NETWORKDAYS(AC453,TODAY(),#REF!)))</f>
        <v/>
      </c>
      <c r="AF453" s="597" t="str">
        <f>IFERROR(INDEX(produtos_escape2!M:M,MATCH(Controle!H453,produtos_escape2!A:A,0)),"")</f>
        <v>PROPANOLOL (CLORIDRATO) COMPRIMIDO 40 MG</v>
      </c>
    </row>
    <row r="454" spans="1:32" ht="14.25" customHeight="1">
      <c r="A454" s="176" t="s">
        <v>7957</v>
      </c>
      <c r="B454" s="176" t="s">
        <v>3608</v>
      </c>
      <c r="C454" s="177">
        <v>43957</v>
      </c>
      <c r="D454" s="176" t="s">
        <v>8357</v>
      </c>
      <c r="E454" s="176" t="s">
        <v>1865</v>
      </c>
      <c r="F454" s="259" t="s">
        <v>8358</v>
      </c>
      <c r="G454" s="176">
        <v>1</v>
      </c>
      <c r="H454" s="178">
        <v>90610</v>
      </c>
      <c r="I454" s="592">
        <f t="shared" si="14"/>
        <v>11</v>
      </c>
      <c r="J454" s="178" t="s">
        <v>816</v>
      </c>
      <c r="K454" s="178" t="s">
        <v>816</v>
      </c>
      <c r="L454" s="275" t="str">
        <f>IF(H:H=0,"",IF(ISERROR(VLOOKUP(H:H,produtos_escape2!$A$2:$B$2794,2,FALSE)),"Código não cadastrado",(VLOOKUP(H:H,produtos_escape2!$A$2:$B$2794,2,FALSE))))</f>
        <v>HEPARINA SODICA SOLUÇAO INJETAVEL 5000 UI/ML FRASCO AMPOLA 5 ML</v>
      </c>
      <c r="M454" s="593" t="str">
        <f>IF(H:H=0,"",IF(ISERROR(VLOOKUP(H:H,produtos_escape2!$A$2:$D$2794,2,FALSE)),"Código não cadastrado",(VLOOKUP(H:H,produtos_escape2!$A$2:$D$2794,4,FALSE))))</f>
        <v>FA</v>
      </c>
      <c r="N454" s="486">
        <v>20</v>
      </c>
      <c r="O454" s="176" t="s">
        <v>1868</v>
      </c>
      <c r="P454" s="486"/>
      <c r="Q454" s="247">
        <v>25</v>
      </c>
      <c r="R454" s="246">
        <f t="shared" si="15"/>
        <v>0</v>
      </c>
      <c r="S454" s="177">
        <v>43963</v>
      </c>
      <c r="T454" s="182"/>
      <c r="U454" s="177"/>
      <c r="V454" s="177"/>
      <c r="W454" s="177"/>
      <c r="X454" s="176"/>
      <c r="Y454" s="177"/>
      <c r="Z454" s="415">
        <v>3</v>
      </c>
      <c r="AA454" s="488" t="s">
        <v>8417</v>
      </c>
      <c r="AB454" s="594"/>
      <c r="AC454" s="595"/>
      <c r="AD454" s="596" t="str">
        <f>IF(AND(AC454&lt;&gt;"",S454&lt;&gt;""),NETWORKDAYS(AC454,S454,#REF!),"")</f>
        <v/>
      </c>
      <c r="AE454" s="596" t="str">
        <f ca="1">IF(AND(AD454="",AC454=""),"",IF(OR(AD454&lt;&gt;"",O454="*CANCELADO"),"",NETWORKDAYS(AC454,TODAY(),#REF!)))</f>
        <v/>
      </c>
      <c r="AF454" s="597" t="str">
        <f>IFERROR(INDEX(produtos_escape2!M:M,MATCH(Controle!H454,produtos_escape2!A:A,0)),"")</f>
        <v>HEPARINA SODICA SOLUÇAO INJETAVEL 5000 UI/ML FRASCO AMPOLA 5 ML</v>
      </c>
    </row>
    <row r="455" spans="1:32" ht="14.25" customHeight="1">
      <c r="A455" s="176" t="s">
        <v>7571</v>
      </c>
      <c r="B455" s="176" t="s">
        <v>7207</v>
      </c>
      <c r="C455" s="177">
        <v>43957</v>
      </c>
      <c r="D455" s="176" t="s">
        <v>8361</v>
      </c>
      <c r="E455" s="176" t="s">
        <v>1866</v>
      </c>
      <c r="F455" s="259" t="s">
        <v>8359</v>
      </c>
      <c r="G455" s="176">
        <v>1</v>
      </c>
      <c r="H455" s="178">
        <v>1547</v>
      </c>
      <c r="I455" s="592">
        <f t="shared" si="14"/>
        <v>1</v>
      </c>
      <c r="J455" s="178" t="s">
        <v>816</v>
      </c>
      <c r="K455" s="178" t="s">
        <v>816</v>
      </c>
      <c r="L455" s="275" t="str">
        <f>IF(H:H=0,"",IF(ISERROR(VLOOKUP(H:H,produtos_escape2!$A$2:$B$2794,2,FALSE)),"Código não cadastrado",(VLOOKUP(H:H,produtos_escape2!$A$2:$B$2794,2,FALSE))))</f>
        <v>CAPACITOR 470 MF 25V ELETROLITICO</v>
      </c>
      <c r="M455" s="593" t="str">
        <f>IF(H:H=0,"",IF(ISERROR(VLOOKUP(H:H,produtos_escape2!$A$2:$D$2794,2,FALSE)),"Código não cadastrado",(VLOOKUP(H:H,produtos_escape2!$A$2:$D$2794,4,FALSE))))</f>
        <v>UN</v>
      </c>
      <c r="N455" s="486">
        <v>300</v>
      </c>
      <c r="O455" s="176" t="s">
        <v>4358</v>
      </c>
      <c r="P455" s="486">
        <v>300</v>
      </c>
      <c r="Q455" s="247">
        <v>0.75</v>
      </c>
      <c r="R455" s="246">
        <f t="shared" si="15"/>
        <v>225</v>
      </c>
      <c r="S455" s="177">
        <v>43962</v>
      </c>
      <c r="T455" s="182">
        <v>992</v>
      </c>
      <c r="U455" s="177">
        <v>43963</v>
      </c>
      <c r="V455" s="177">
        <v>43964</v>
      </c>
      <c r="W455" s="177">
        <v>43965</v>
      </c>
      <c r="X455" s="176">
        <v>17956</v>
      </c>
      <c r="Y455" s="177">
        <v>43986</v>
      </c>
      <c r="Z455" s="415">
        <v>3</v>
      </c>
      <c r="AA455" s="488"/>
      <c r="AB455" s="594"/>
      <c r="AC455" s="595"/>
      <c r="AD455" s="596" t="str">
        <f>IF(AND(AC455&lt;&gt;"",S455&lt;&gt;""),NETWORKDAYS(AC455,S455,#REF!),"")</f>
        <v/>
      </c>
      <c r="AE455" s="596" t="str">
        <f ca="1">IF(AND(AD455="",AC455=""),"",IF(OR(AD455&lt;&gt;"",O455="*CANCELADO"),"",NETWORKDAYS(AC455,TODAY(),#REF!)))</f>
        <v/>
      </c>
      <c r="AF455" s="597" t="str">
        <f>IFERROR(INDEX(produtos_escape2!M:M,MATCH(Controle!H455,produtos_escape2!A:A,0)),"")</f>
        <v>CAPACITOR 470MF</v>
      </c>
    </row>
    <row r="456" spans="1:32" ht="14.25" customHeight="1">
      <c r="A456" s="176" t="s">
        <v>7340</v>
      </c>
      <c r="B456" s="176" t="s">
        <v>1687</v>
      </c>
      <c r="C456" s="177">
        <v>43958</v>
      </c>
      <c r="D456" s="176" t="s">
        <v>8376</v>
      </c>
      <c r="E456" s="176" t="s">
        <v>3008</v>
      </c>
      <c r="F456" s="259" t="s">
        <v>8360</v>
      </c>
      <c r="G456" s="176">
        <v>1</v>
      </c>
      <c r="H456" s="178" t="s">
        <v>8377</v>
      </c>
      <c r="I456" s="592">
        <f t="shared" si="14"/>
        <v>1</v>
      </c>
      <c r="J456" s="178"/>
      <c r="K456" s="178"/>
      <c r="L456" s="275" t="str">
        <f>IF(H:H=0,"",IF(ISERROR(VLOOKUP(H:H,produtos_escape2!$A$2:$B$2794,2,FALSE)),"Código não cadastrado",(VLOOKUP(H:H,produtos_escape2!$A$2:$B$2794,2,FALSE))))</f>
        <v>Conserto em Aparelho VENTILADOR MECÂNICO PULMONAR, marca Maquet, nº patrimônio 1001783</v>
      </c>
      <c r="M456" s="593" t="str">
        <f>IF(H:H=0,"",IF(ISERROR(VLOOKUP(H:H,produtos_escape2!$A$2:$D$2794,2,FALSE)),"Código não cadastrado",(VLOOKUP(H:H,produtos_escape2!$A$2:$D$2794,4,FALSE))))</f>
        <v>Serviço</v>
      </c>
      <c r="N456" s="486">
        <v>1</v>
      </c>
      <c r="O456" s="176" t="s">
        <v>9710</v>
      </c>
      <c r="P456" s="486">
        <v>1</v>
      </c>
      <c r="Q456" s="247">
        <v>7598</v>
      </c>
      <c r="R456" s="246">
        <f t="shared" si="15"/>
        <v>7598</v>
      </c>
      <c r="S456" s="177">
        <v>43992</v>
      </c>
      <c r="T456" s="182">
        <v>127</v>
      </c>
      <c r="U456" s="177">
        <v>44047</v>
      </c>
      <c r="V456" s="177">
        <v>44048</v>
      </c>
      <c r="W456" s="177">
        <v>44055</v>
      </c>
      <c r="X456" s="176">
        <v>63829</v>
      </c>
      <c r="Y456" s="177">
        <v>44061</v>
      </c>
      <c r="Z456" s="415">
        <v>4</v>
      </c>
      <c r="AA456" s="488"/>
      <c r="AB456" s="594"/>
      <c r="AC456" s="595"/>
      <c r="AD456" s="596" t="str">
        <f>IF(AND(AC456&lt;&gt;"",S456&lt;&gt;""),NETWORKDAYS(AC456,S456,#REF!),"")</f>
        <v/>
      </c>
      <c r="AE456" s="596" t="str">
        <f ca="1">IF(AND(AD456="",AC456=""),"",IF(OR(AD456&lt;&gt;"",O456="*CANCELADO"),"",NETWORKDAYS(AC456,TODAY(),#REF!)))</f>
        <v/>
      </c>
      <c r="AF456" s="597">
        <f>IFERROR(INDEX(produtos_escape2!M:M,MATCH(Controle!H456,produtos_escape2!A:A,0)),"")</f>
        <v>0</v>
      </c>
    </row>
    <row r="457" spans="1:32" ht="14.25" customHeight="1">
      <c r="A457" s="176" t="s">
        <v>7340</v>
      </c>
      <c r="B457" s="176" t="s">
        <v>1687</v>
      </c>
      <c r="C457" s="177">
        <v>43958</v>
      </c>
      <c r="D457" s="176" t="s">
        <v>8376</v>
      </c>
      <c r="E457" s="176" t="s">
        <v>3008</v>
      </c>
      <c r="F457" s="259" t="s">
        <v>8360</v>
      </c>
      <c r="G457" s="176">
        <v>2</v>
      </c>
      <c r="H457" s="178" t="s">
        <v>8378</v>
      </c>
      <c r="I457" s="592">
        <f t="shared" si="14"/>
        <v>1</v>
      </c>
      <c r="J457" s="178"/>
      <c r="K457" s="178"/>
      <c r="L457" s="275" t="str">
        <f>IF(H:H=0,"",IF(ISERROR(VLOOKUP(H:H,produtos_escape2!$A$2:$B$2794,2,FALSE)),"Código não cadastrado",(VLOOKUP(H:H,produtos_escape2!$A$2:$B$2794,2,FALSE))))</f>
        <v>Conserto em Aparelho VENTILADOR MECÂNICO PULMONAR, marca Maquet, nº patrimônio 1001784</v>
      </c>
      <c r="M457" s="593" t="str">
        <f>IF(H:H=0,"",IF(ISERROR(VLOOKUP(H:H,produtos_escape2!$A$2:$D$2794,2,FALSE)),"Código não cadastrado",(VLOOKUP(H:H,produtos_escape2!$A$2:$D$2794,4,FALSE))))</f>
        <v>Serviço</v>
      </c>
      <c r="N457" s="486">
        <v>1</v>
      </c>
      <c r="O457" s="176" t="s">
        <v>9710</v>
      </c>
      <c r="P457" s="486">
        <v>1</v>
      </c>
      <c r="Q457" s="247">
        <v>7598</v>
      </c>
      <c r="R457" s="246">
        <f t="shared" si="15"/>
        <v>7598</v>
      </c>
      <c r="S457" s="177">
        <v>43992</v>
      </c>
      <c r="T457" s="182">
        <v>127</v>
      </c>
      <c r="U457" s="177">
        <v>44047</v>
      </c>
      <c r="V457" s="177">
        <v>44048</v>
      </c>
      <c r="W457" s="177">
        <v>44055</v>
      </c>
      <c r="X457" s="176">
        <v>63829</v>
      </c>
      <c r="Y457" s="177">
        <v>44061</v>
      </c>
      <c r="Z457" s="415">
        <v>4</v>
      </c>
      <c r="AA457" s="488"/>
      <c r="AB457" s="594"/>
      <c r="AC457" s="595"/>
      <c r="AD457" s="596" t="str">
        <f>IF(AND(AC457&lt;&gt;"",S457&lt;&gt;""),NETWORKDAYS(AC457,S457,#REF!),"")</f>
        <v/>
      </c>
      <c r="AE457" s="596" t="str">
        <f ca="1">IF(AND(AD457="",AC457=""),"",IF(OR(AD457&lt;&gt;"",O457="*CANCELADO"),"",NETWORKDAYS(AC457,TODAY(),#REF!)))</f>
        <v/>
      </c>
      <c r="AF457" s="597">
        <f>IFERROR(INDEX(produtos_escape2!M:M,MATCH(Controle!H457,produtos_escape2!A:A,0)),"")</f>
        <v>0</v>
      </c>
    </row>
    <row r="458" spans="1:32" ht="14.25" customHeight="1">
      <c r="A458" s="176" t="s">
        <v>7340</v>
      </c>
      <c r="B458" s="176" t="s">
        <v>1687</v>
      </c>
      <c r="C458" s="177">
        <v>43958</v>
      </c>
      <c r="D458" s="176" t="s">
        <v>8376</v>
      </c>
      <c r="E458" s="176" t="s">
        <v>3008</v>
      </c>
      <c r="F458" s="259" t="s">
        <v>8360</v>
      </c>
      <c r="G458" s="176">
        <v>3</v>
      </c>
      <c r="H458" s="178" t="s">
        <v>3245</v>
      </c>
      <c r="I458" s="592">
        <f t="shared" si="14"/>
        <v>1</v>
      </c>
      <c r="J458" s="178"/>
      <c r="K458" s="178"/>
      <c r="L458" s="275" t="str">
        <f>IF(H:H=0,"",IF(ISERROR(VLOOKUP(H:H,produtos_escape2!$A$2:$B$2794,2,FALSE)),"Código não cadastrado",(VLOOKUP(H:H,produtos_escape2!$A$2:$B$2794,2,FALSE))))</f>
        <v>Conserto de ventilador mecânico da marca MAQUET, modelo SERVO-S, chapa patrimonial Nº 1001752</v>
      </c>
      <c r="M458" s="593" t="str">
        <f>IF(H:H=0,"",IF(ISERROR(VLOOKUP(H:H,produtos_escape2!$A$2:$D$2794,2,FALSE)),"Código não cadastrado",(VLOOKUP(H:H,produtos_escape2!$A$2:$D$2794,4,FALSE))))</f>
        <v>Serviço</v>
      </c>
      <c r="N458" s="486">
        <v>1</v>
      </c>
      <c r="O458" s="176" t="s">
        <v>9710</v>
      </c>
      <c r="P458" s="486">
        <v>1</v>
      </c>
      <c r="Q458" s="247">
        <v>7598</v>
      </c>
      <c r="R458" s="246">
        <f t="shared" si="15"/>
        <v>7598</v>
      </c>
      <c r="S458" s="177">
        <v>43992</v>
      </c>
      <c r="T458" s="182">
        <v>127</v>
      </c>
      <c r="U458" s="177">
        <v>44047</v>
      </c>
      <c r="V458" s="177">
        <v>44048</v>
      </c>
      <c r="W458" s="177">
        <v>44055</v>
      </c>
      <c r="X458" s="176">
        <v>63829</v>
      </c>
      <c r="Y458" s="177">
        <v>44061</v>
      </c>
      <c r="Z458" s="415">
        <v>4</v>
      </c>
      <c r="AA458" s="488"/>
      <c r="AB458" s="594"/>
      <c r="AC458" s="595"/>
      <c r="AD458" s="596" t="str">
        <f>IF(AND(AC458&lt;&gt;"",S458&lt;&gt;""),NETWORKDAYS(AC458,S458,#REF!),"")</f>
        <v/>
      </c>
      <c r="AE458" s="596" t="str">
        <f ca="1">IF(AND(AD458="",AC458=""),"",IF(OR(AD458&lt;&gt;"",O458="*CANCELADO"),"",NETWORKDAYS(AC458,TODAY(),#REF!)))</f>
        <v/>
      </c>
      <c r="AF458" s="597">
        <f>IFERROR(INDEX(produtos_escape2!M:M,MATCH(Controle!H458,produtos_escape2!A:A,0)),"")</f>
        <v>0</v>
      </c>
    </row>
    <row r="459" spans="1:32" ht="14.25" customHeight="1">
      <c r="A459" s="176" t="s">
        <v>7340</v>
      </c>
      <c r="B459" s="176" t="s">
        <v>1687</v>
      </c>
      <c r="C459" s="177">
        <v>43958</v>
      </c>
      <c r="D459" s="176" t="s">
        <v>8376</v>
      </c>
      <c r="E459" s="176" t="s">
        <v>3008</v>
      </c>
      <c r="F459" s="259" t="s">
        <v>8360</v>
      </c>
      <c r="G459" s="176">
        <v>4</v>
      </c>
      <c r="H459" s="178" t="s">
        <v>8379</v>
      </c>
      <c r="I459" s="592">
        <f t="shared" si="14"/>
        <v>1</v>
      </c>
      <c r="J459" s="178"/>
      <c r="K459" s="178"/>
      <c r="L459" s="275" t="str">
        <f>IF(H:H=0,"",IF(ISERROR(VLOOKUP(H:H,produtos_escape2!$A$2:$B$2794,2,FALSE)),"Código não cadastrado",(VLOOKUP(H:H,produtos_escape2!$A$2:$B$2794,2,FALSE))))</f>
        <v>Conserto em Aparelho VENTILADOR MECÂNICO PULMONAR, marca Maquet, nº patrimônio 020448</v>
      </c>
      <c r="M459" s="593" t="str">
        <f>IF(H:H=0,"",IF(ISERROR(VLOOKUP(H:H,produtos_escape2!$A$2:$D$2794,2,FALSE)),"Código não cadastrado",(VLOOKUP(H:H,produtos_escape2!$A$2:$D$2794,4,FALSE))))</f>
        <v>Serviço</v>
      </c>
      <c r="N459" s="486">
        <v>1</v>
      </c>
      <c r="O459" s="176" t="s">
        <v>9710</v>
      </c>
      <c r="P459" s="486">
        <v>1</v>
      </c>
      <c r="Q459" s="247">
        <v>7598</v>
      </c>
      <c r="R459" s="246">
        <f t="shared" si="15"/>
        <v>7598</v>
      </c>
      <c r="S459" s="177">
        <v>43992</v>
      </c>
      <c r="T459" s="182">
        <v>127</v>
      </c>
      <c r="U459" s="177">
        <v>44047</v>
      </c>
      <c r="V459" s="177">
        <v>44048</v>
      </c>
      <c r="W459" s="177">
        <v>44055</v>
      </c>
      <c r="X459" s="176">
        <v>63829</v>
      </c>
      <c r="Y459" s="177">
        <v>44061</v>
      </c>
      <c r="Z459" s="415">
        <v>4</v>
      </c>
      <c r="AA459" s="488"/>
      <c r="AB459" s="594"/>
      <c r="AC459" s="595"/>
      <c r="AD459" s="596" t="str">
        <f>IF(AND(AC459&lt;&gt;"",S459&lt;&gt;""),NETWORKDAYS(AC459,S459,#REF!),"")</f>
        <v/>
      </c>
      <c r="AE459" s="596" t="str">
        <f ca="1">IF(AND(AD459="",AC459=""),"",IF(OR(AD459&lt;&gt;"",O459="*CANCELADO"),"",NETWORKDAYS(AC459,TODAY(),#REF!)))</f>
        <v/>
      </c>
      <c r="AF459" s="597">
        <f>IFERROR(INDEX(produtos_escape2!M:M,MATCH(Controle!H459,produtos_escape2!A:A,0)),"")</f>
        <v>0</v>
      </c>
    </row>
    <row r="460" spans="1:32" ht="14.25" customHeight="1">
      <c r="A460" s="176" t="s">
        <v>7340</v>
      </c>
      <c r="B460" s="176" t="s">
        <v>1687</v>
      </c>
      <c r="C460" s="177">
        <v>43958</v>
      </c>
      <c r="D460" s="176" t="s">
        <v>8376</v>
      </c>
      <c r="E460" s="176" t="s">
        <v>3008</v>
      </c>
      <c r="F460" s="259" t="s">
        <v>8360</v>
      </c>
      <c r="G460" s="176">
        <v>5</v>
      </c>
      <c r="H460" s="178" t="s">
        <v>8380</v>
      </c>
      <c r="I460" s="592">
        <f t="shared" si="14"/>
        <v>1</v>
      </c>
      <c r="J460" s="178"/>
      <c r="K460" s="178"/>
      <c r="L460" s="275" t="str">
        <f>IF(H:H=0,"",IF(ISERROR(VLOOKUP(H:H,produtos_escape2!$A$2:$B$2794,2,FALSE)),"Código não cadastrado",(VLOOKUP(H:H,produtos_escape2!$A$2:$B$2794,2,FALSE))))</f>
        <v>Conserto em Aparelho VENTILADOR MECÂNICO PULMONAR, marca Maquet, nº patrimônio 020450</v>
      </c>
      <c r="M460" s="593" t="str">
        <f>IF(H:H=0,"",IF(ISERROR(VLOOKUP(H:H,produtos_escape2!$A$2:$D$2794,2,FALSE)),"Código não cadastrado",(VLOOKUP(H:H,produtos_escape2!$A$2:$D$2794,4,FALSE))))</f>
        <v>Serviço</v>
      </c>
      <c r="N460" s="486">
        <v>1</v>
      </c>
      <c r="O460" s="176" t="s">
        <v>9710</v>
      </c>
      <c r="P460" s="486">
        <v>1</v>
      </c>
      <c r="Q460" s="247">
        <v>7598</v>
      </c>
      <c r="R460" s="246">
        <f t="shared" si="15"/>
        <v>7598</v>
      </c>
      <c r="S460" s="177">
        <v>43992</v>
      </c>
      <c r="T460" s="182">
        <v>127</v>
      </c>
      <c r="U460" s="177">
        <v>44047</v>
      </c>
      <c r="V460" s="177">
        <v>44048</v>
      </c>
      <c r="W460" s="177">
        <v>44055</v>
      </c>
      <c r="X460" s="176">
        <v>63829</v>
      </c>
      <c r="Y460" s="177">
        <v>44061</v>
      </c>
      <c r="Z460" s="415">
        <v>4</v>
      </c>
      <c r="AA460" s="488"/>
      <c r="AB460" s="594"/>
      <c r="AC460" s="595"/>
      <c r="AD460" s="596" t="str">
        <f>IF(AND(AC460&lt;&gt;"",S460&lt;&gt;""),NETWORKDAYS(AC460,S460,#REF!),"")</f>
        <v/>
      </c>
      <c r="AE460" s="596" t="str">
        <f ca="1">IF(AND(AD460="",AC460=""),"",IF(OR(AD460&lt;&gt;"",O460="*CANCELADO"),"",NETWORKDAYS(AC460,TODAY(),#REF!)))</f>
        <v/>
      </c>
      <c r="AF460" s="597">
        <f>IFERROR(INDEX(produtos_escape2!M:M,MATCH(Controle!H460,produtos_escape2!A:A,0)),"")</f>
        <v>0</v>
      </c>
    </row>
    <row r="461" spans="1:32" ht="14.25" customHeight="1">
      <c r="A461" s="176" t="s">
        <v>7990</v>
      </c>
      <c r="B461" s="176" t="s">
        <v>3608</v>
      </c>
      <c r="C461" s="177">
        <v>43958</v>
      </c>
      <c r="D461" s="176" t="s">
        <v>8385</v>
      </c>
      <c r="E461" s="176" t="s">
        <v>1867</v>
      </c>
      <c r="F461" s="259" t="s">
        <v>8386</v>
      </c>
      <c r="G461" s="176">
        <v>1</v>
      </c>
      <c r="H461" s="178">
        <v>95046</v>
      </c>
      <c r="I461" s="592">
        <f t="shared" si="14"/>
        <v>7</v>
      </c>
      <c r="J461" s="178" t="s">
        <v>816</v>
      </c>
      <c r="K461" s="178" t="s">
        <v>816</v>
      </c>
      <c r="L461" s="275"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461" s="593" t="str">
        <f>IF(H:H=0,"",IF(ISERROR(VLOOKUP(H:H,produtos_escape2!$A$2:$D$2794,2,FALSE)),"Código não cadastrado",(VLOOKUP(H:H,produtos_escape2!$A$2:$D$2794,4,FALSE))))</f>
        <v>FR</v>
      </c>
      <c r="N461" s="486">
        <v>120</v>
      </c>
      <c r="O461" s="176" t="s">
        <v>7826</v>
      </c>
      <c r="P461" s="486">
        <v>120</v>
      </c>
      <c r="Q461" s="247">
        <v>6.2233000000000001</v>
      </c>
      <c r="R461" s="246">
        <f t="shared" si="15"/>
        <v>746.79600000000005</v>
      </c>
      <c r="S461" s="177">
        <v>43964</v>
      </c>
      <c r="T461" s="182">
        <v>2813</v>
      </c>
      <c r="U461" s="177">
        <v>43964</v>
      </c>
      <c r="V461" s="177">
        <v>43965</v>
      </c>
      <c r="W461" s="177">
        <v>43969</v>
      </c>
      <c r="X461" s="176">
        <v>30493</v>
      </c>
      <c r="Y461" s="177">
        <v>44007</v>
      </c>
      <c r="Z461" s="415">
        <v>3</v>
      </c>
      <c r="AA461" s="488"/>
      <c r="AB461" s="594"/>
      <c r="AC461" s="595"/>
      <c r="AD461" s="596" t="str">
        <f>IF(AND(AC461&lt;&gt;"",S461&lt;&gt;""),NETWORKDAYS(AC461,S461,#REF!),"")</f>
        <v/>
      </c>
      <c r="AE461" s="596" t="str">
        <f ca="1">IF(AND(AD461="",AC461=""),"",IF(OR(AD461&lt;&gt;"",O461="*CANCELADO"),"",NETWORKDAYS(AC461,TODAY(),#REF!)))</f>
        <v/>
      </c>
      <c r="AF461" s="597" t="str">
        <f>IFERROR(INDEX(produtos_escape2!M:M,MATCH(Controle!H461,produtos_escape2!A:A,0)),"")</f>
        <v>ALCOOL ETILICO ABSOLUTO 99</v>
      </c>
    </row>
    <row r="462" spans="1:32" ht="14.25" customHeight="1">
      <c r="A462" s="176" t="s">
        <v>7992</v>
      </c>
      <c r="B462" s="176" t="s">
        <v>3608</v>
      </c>
      <c r="C462" s="177">
        <v>43959</v>
      </c>
      <c r="D462" s="176" t="s">
        <v>8396</v>
      </c>
      <c r="E462" s="176" t="s">
        <v>1866</v>
      </c>
      <c r="F462" s="259" t="s">
        <v>8397</v>
      </c>
      <c r="G462" s="176">
        <v>1</v>
      </c>
      <c r="H462" s="178">
        <v>203437</v>
      </c>
      <c r="I462" s="592">
        <f t="shared" si="14"/>
        <v>4</v>
      </c>
      <c r="J462" s="178" t="s">
        <v>816</v>
      </c>
      <c r="K462" s="178" t="s">
        <v>816</v>
      </c>
      <c r="L462" s="275" t="str">
        <f>IF(H:H=0,"",IF(ISERROR(VLOOKUP(H:H,produtos_escape2!$A$2:$B$2794,2,FALSE)),"Código não cadastrado",(VLOOKUP(H:H,produtos_escape2!$A$2:$B$2794,2,FALSE))))</f>
        <v>CARVÃO ATIVADO PÓ FRASCO OU ENVELOPE 25 G.</v>
      </c>
      <c r="M462" s="593" t="str">
        <f>IF(H:H=0,"",IF(ISERROR(VLOOKUP(H:H,produtos_escape2!$A$2:$D$2794,2,FALSE)),"Código não cadastrado",(VLOOKUP(H:H,produtos_escape2!$A$2:$D$2794,4,FALSE))))</f>
        <v>UN</v>
      </c>
      <c r="N462" s="486">
        <v>30</v>
      </c>
      <c r="O462" s="176" t="s">
        <v>8452</v>
      </c>
      <c r="P462" s="486">
        <v>30</v>
      </c>
      <c r="Q462" s="247">
        <v>13.9</v>
      </c>
      <c r="R462" s="246">
        <f t="shared" si="15"/>
        <v>417</v>
      </c>
      <c r="S462" s="177">
        <v>43964</v>
      </c>
      <c r="T462" s="182">
        <v>18785</v>
      </c>
      <c r="U462" s="177">
        <v>43976</v>
      </c>
      <c r="V462" s="177">
        <v>43977</v>
      </c>
      <c r="W462" s="177">
        <v>43980</v>
      </c>
      <c r="X462" s="176">
        <v>30396</v>
      </c>
      <c r="Y462" s="177">
        <v>44007</v>
      </c>
      <c r="Z462" s="415">
        <v>3</v>
      </c>
      <c r="AA462" s="488"/>
      <c r="AB462" s="594"/>
      <c r="AC462" s="595"/>
      <c r="AD462" s="596" t="str">
        <f>IF(AND(AC462&lt;&gt;"",S462&lt;&gt;""),NETWORKDAYS(AC462,S462,#REF!),"")</f>
        <v/>
      </c>
      <c r="AE462" s="596" t="str">
        <f ca="1">IF(AND(AD462="",AC462=""),"",IF(OR(AD462&lt;&gt;"",O462="*CANCELADO"),"",NETWORKDAYS(AC462,TODAY(),#REF!)))</f>
        <v/>
      </c>
      <c r="AF462" s="597" t="str">
        <f>IFERROR(INDEX(produtos_escape2!M:M,MATCH(Controle!H462,produtos_escape2!A:A,0)),"")</f>
        <v>CARVÃO ATIVADO PÓ FRASCO OU ENVELOPE 25 G</v>
      </c>
    </row>
    <row r="463" spans="1:32" ht="14.25" customHeight="1">
      <c r="A463" s="176" t="s">
        <v>7994</v>
      </c>
      <c r="B463" s="176" t="s">
        <v>3608</v>
      </c>
      <c r="C463" s="177">
        <v>43959</v>
      </c>
      <c r="D463" s="176" t="s">
        <v>8398</v>
      </c>
      <c r="E463" s="176" t="s">
        <v>3009</v>
      </c>
      <c r="F463" s="259" t="s">
        <v>8399</v>
      </c>
      <c r="G463" s="176">
        <v>1</v>
      </c>
      <c r="H463" s="178">
        <v>90220</v>
      </c>
      <c r="I463" s="592">
        <f t="shared" si="14"/>
        <v>7</v>
      </c>
      <c r="J463" s="178" t="s">
        <v>816</v>
      </c>
      <c r="K463" s="178" t="s">
        <v>816</v>
      </c>
      <c r="L463" s="275" t="str">
        <f>IF(H:H=0,"",IF(ISERROR(VLOOKUP(H:H,produtos_escape2!$A$2:$B$2794,2,FALSE)),"Código não cadastrado",(VLOOKUP(H:H,produtos_escape2!$A$2:$B$2794,2,FALSE))))</f>
        <v>ATRACURIO (BESILATO) SOLUCAO INJETAVEL 10 MG/ML AMPOLA 2,5 ML</v>
      </c>
      <c r="M463" s="593" t="str">
        <f>IF(H:H=0,"",IF(ISERROR(VLOOKUP(H:H,produtos_escape2!$A$2:$D$2794,2,FALSE)),"Código não cadastrado",(VLOOKUP(H:H,produtos_escape2!$A$2:$D$2794,4,FALSE))))</f>
        <v>AMP</v>
      </c>
      <c r="N463" s="486">
        <v>50</v>
      </c>
      <c r="O463" s="176" t="s">
        <v>4401</v>
      </c>
      <c r="P463" s="486">
        <v>50</v>
      </c>
      <c r="Q463" s="247">
        <v>16.100000000000001</v>
      </c>
      <c r="R463" s="246">
        <f t="shared" si="15"/>
        <v>805.00000000000011</v>
      </c>
      <c r="S463" s="177">
        <v>43965</v>
      </c>
      <c r="T463" s="182">
        <v>2616347</v>
      </c>
      <c r="U463" s="177">
        <v>43969</v>
      </c>
      <c r="V463" s="177">
        <v>43970</v>
      </c>
      <c r="W463" s="177">
        <v>43973</v>
      </c>
      <c r="X463" s="176">
        <v>30512</v>
      </c>
      <c r="Y463" s="177">
        <v>44007</v>
      </c>
      <c r="Z463" s="415">
        <v>3</v>
      </c>
      <c r="AA463" s="488"/>
      <c r="AB463" s="594"/>
      <c r="AC463" s="595"/>
      <c r="AD463" s="596" t="str">
        <f>IF(AND(AC463&lt;&gt;"",S463&lt;&gt;""),NETWORKDAYS(AC463,S463,#REF!),"")</f>
        <v/>
      </c>
      <c r="AE463" s="596" t="str">
        <f ca="1">IF(AND(AD463="",AC463=""),"",IF(OR(AD463&lt;&gt;"",O463="*CANCELADO"),"",NETWORKDAYS(AC463,TODAY(),#REF!)))</f>
        <v/>
      </c>
      <c r="AF463" s="597" t="str">
        <f>IFERROR(INDEX(produtos_escape2!M:M,MATCH(Controle!H463,produtos_escape2!A:A,0)),"")</f>
        <v>ATRACURIO (BESILATO) SOLUCAO INJETAVEL 10 MG/ML AMPOLA 2</v>
      </c>
    </row>
    <row r="464" spans="1:32" ht="14.25" customHeight="1">
      <c r="A464" s="176" t="s">
        <v>7596</v>
      </c>
      <c r="B464" s="176" t="s">
        <v>7207</v>
      </c>
      <c r="C464" s="177">
        <v>43959</v>
      </c>
      <c r="D464" s="176" t="s">
        <v>8400</v>
      </c>
      <c r="E464" s="176" t="s">
        <v>1867</v>
      </c>
      <c r="F464" s="259" t="s">
        <v>8401</v>
      </c>
      <c r="G464" s="176">
        <v>1</v>
      </c>
      <c r="H464" s="178">
        <v>21073</v>
      </c>
      <c r="I464" s="592">
        <f t="shared" si="14"/>
        <v>2</v>
      </c>
      <c r="J464" s="178" t="s">
        <v>816</v>
      </c>
      <c r="K464" s="178" t="s">
        <v>816</v>
      </c>
      <c r="L464" s="275" t="str">
        <f>IF(H:H=0,"",IF(ISERROR(VLOOKUP(H:H,produtos_escape2!$A$2:$B$2794,2,FALSE)),"Código não cadastrado",(VLOOKUP(H:H,produtos_escape2!$A$2:$B$2794,2,FALSE))))</f>
        <v>SUGADOR DE SOLDA ALUMÍNIO, Características Técnicas Mínimas: manual, para remoção de solda de circuitos eletrônicos, corpo confeccionado em plástico resistente, com comprimento de 20 cm Código do Item: 3.3.90.30.26.02.0078.000001-01</v>
      </c>
      <c r="M464" s="593" t="str">
        <f>IF(H:H=0,"",IF(ISERROR(VLOOKUP(H:H,produtos_escape2!$A$2:$D$2794,2,FALSE)),"Código não cadastrado",(VLOOKUP(H:H,produtos_escape2!$A$2:$D$2794,4,FALSE))))</f>
        <v>UN</v>
      </c>
      <c r="N464" s="486">
        <v>1</v>
      </c>
      <c r="O464" s="176" t="s">
        <v>5727</v>
      </c>
      <c r="P464" s="486">
        <v>1</v>
      </c>
      <c r="Q464" s="247">
        <v>18</v>
      </c>
      <c r="R464" s="246">
        <f t="shared" si="15"/>
        <v>18</v>
      </c>
      <c r="S464" s="177">
        <v>43964</v>
      </c>
      <c r="T464" s="182">
        <v>8061</v>
      </c>
      <c r="U464" s="177">
        <v>43964</v>
      </c>
      <c r="V464" s="177">
        <v>43965</v>
      </c>
      <c r="W464" s="177">
        <v>43965</v>
      </c>
      <c r="X464" s="176">
        <v>32470</v>
      </c>
      <c r="Y464" s="177">
        <v>44011</v>
      </c>
      <c r="Z464" s="415">
        <v>3</v>
      </c>
      <c r="AA464" s="488" t="s">
        <v>8987</v>
      </c>
      <c r="AB464" s="594"/>
      <c r="AC464" s="595"/>
      <c r="AD464" s="596" t="str">
        <f>IF(AND(AC464&lt;&gt;"",S464&lt;&gt;""),NETWORKDAYS(AC464,S464,#REF!),"")</f>
        <v/>
      </c>
      <c r="AE464" s="596" t="str">
        <f ca="1">IF(AND(AD464="",AC464=""),"",IF(OR(AD464&lt;&gt;"",O464="*CANCELADO"),"",NETWORKDAYS(AC464,TODAY(),#REF!)))</f>
        <v/>
      </c>
      <c r="AF464" s="597" t="str">
        <f>IFERROR(INDEX(produtos_escape2!M:M,MATCH(Controle!H464,produtos_escape2!A:A,0)),"")</f>
        <v>SUGADOR DE SOLDA</v>
      </c>
    </row>
    <row r="465" spans="1:32" ht="14.25" customHeight="1">
      <c r="A465" s="176" t="s">
        <v>8001</v>
      </c>
      <c r="B465" s="176" t="s">
        <v>3608</v>
      </c>
      <c r="C465" s="177">
        <v>43963</v>
      </c>
      <c r="D465" s="176" t="s">
        <v>8403</v>
      </c>
      <c r="E465" s="176" t="s">
        <v>1865</v>
      </c>
      <c r="F465" s="259" t="s">
        <v>8404</v>
      </c>
      <c r="G465" s="176">
        <v>1</v>
      </c>
      <c r="H465" s="178">
        <v>90029</v>
      </c>
      <c r="I465" s="592">
        <f t="shared" si="14"/>
        <v>7</v>
      </c>
      <c r="J465" s="178" t="s">
        <v>816</v>
      </c>
      <c r="K465" s="178" t="s">
        <v>816</v>
      </c>
      <c r="L465" s="275" t="str">
        <f>IF(H:H=0,"",IF(ISERROR(VLOOKUP(H:H,produtos_escape2!$A$2:$B$2794,2,FALSE)),"Código não cadastrado",(VLOOKUP(H:H,produtos_escape2!$A$2:$B$2794,2,FALSE))))</f>
        <v>PROXIMETACAINA (CLORIDRATO) SOLUÇAO OFTALMICA 0,5 % FRASCO CONTA-GOTA 5 ML</v>
      </c>
      <c r="M465" s="593" t="str">
        <f>IF(H:H=0,"",IF(ISERROR(VLOOKUP(H:H,produtos_escape2!$A$2:$D$2794,2,FALSE)),"Código não cadastrado",(VLOOKUP(H:H,produtos_escape2!$A$2:$D$2794,4,FALSE))))</f>
        <v>FR</v>
      </c>
      <c r="N465" s="486">
        <v>20</v>
      </c>
      <c r="O465" s="176" t="s">
        <v>3882</v>
      </c>
      <c r="P465" s="486">
        <v>20</v>
      </c>
      <c r="Q465" s="247">
        <v>9.2899999999999991</v>
      </c>
      <c r="R465" s="246">
        <f t="shared" si="15"/>
        <v>185.79999999999998</v>
      </c>
      <c r="S465" s="177">
        <v>43972</v>
      </c>
      <c r="T465" s="182">
        <v>69876</v>
      </c>
      <c r="U465" s="177">
        <v>43985</v>
      </c>
      <c r="V465" s="177">
        <v>43986</v>
      </c>
      <c r="W465" s="177">
        <v>43991</v>
      </c>
      <c r="X465" s="176">
        <v>30115</v>
      </c>
      <c r="Y465" s="177">
        <v>44007</v>
      </c>
      <c r="Z465" s="415">
        <v>3</v>
      </c>
      <c r="AA465" s="488"/>
      <c r="AB465" s="594"/>
      <c r="AC465" s="595"/>
      <c r="AD465" s="596" t="str">
        <f>IF(AND(AC465&lt;&gt;"",S465&lt;&gt;""),NETWORKDAYS(AC465,S465,#REF!),"")</f>
        <v/>
      </c>
      <c r="AE465" s="596" t="str">
        <f ca="1">IF(AND(AD465="",AC465=""),"",IF(OR(AD465&lt;&gt;"",O465="*CANCELADO"),"",NETWORKDAYS(AC465,TODAY(),#REF!)))</f>
        <v/>
      </c>
      <c r="AF465" s="597" t="str">
        <f>IFERROR(INDEX(produtos_escape2!M:M,MATCH(Controle!H465,produtos_escape2!A:A,0)),"")</f>
        <v>PROXIMETACAINA (CLORIDRATO) SOLUÇAO OFTALMICA 0</v>
      </c>
    </row>
    <row r="466" spans="1:32" ht="14.25" customHeight="1">
      <c r="A466" s="176" t="s">
        <v>7625</v>
      </c>
      <c r="B466" s="176" t="s">
        <v>7207</v>
      </c>
      <c r="C466" s="177">
        <v>43963</v>
      </c>
      <c r="D466" s="176" t="s">
        <v>8405</v>
      </c>
      <c r="E466" s="176" t="s">
        <v>1866</v>
      </c>
      <c r="F466" s="259" t="s">
        <v>8406</v>
      </c>
      <c r="G466" s="176">
        <v>1</v>
      </c>
      <c r="H466" s="178">
        <v>24543</v>
      </c>
      <c r="I466" s="592">
        <f t="shared" si="14"/>
        <v>3</v>
      </c>
      <c r="J466" s="178" t="s">
        <v>816</v>
      </c>
      <c r="K466" s="178" t="s">
        <v>816</v>
      </c>
      <c r="L466" s="275" t="str">
        <f>IF(H:H=0,"",IF(ISERROR(VLOOKUP(H:H,produtos_escape2!$A$2:$B$2794,2,FALSE)),"Código não cadastrado",(VLOOKUP(H:H,produtos_escape2!$A$2:$B$2794,2,FALSE))))</f>
        <v>LÂMPADA ALOGÊNEA, 12 volt's , 30 Wat's para uso em Microscópio em laboratório.</v>
      </c>
      <c r="M466" s="593" t="str">
        <f>IF(H:H=0,"",IF(ISERROR(VLOOKUP(H:H,produtos_escape2!$A$2:$D$2794,2,FALSE)),"Código não cadastrado",(VLOOKUP(H:H,produtos_escape2!$A$2:$D$2794,4,FALSE))))</f>
        <v>UN</v>
      </c>
      <c r="N466" s="486">
        <v>15</v>
      </c>
      <c r="O466" s="176" t="s">
        <v>4433</v>
      </c>
      <c r="P466" s="486">
        <v>5</v>
      </c>
      <c r="Q466" s="247">
        <v>75</v>
      </c>
      <c r="R466" s="246">
        <f t="shared" si="15"/>
        <v>375</v>
      </c>
      <c r="S466" s="177">
        <v>43966</v>
      </c>
      <c r="T466" s="182">
        <v>448</v>
      </c>
      <c r="U466" s="177">
        <v>43980</v>
      </c>
      <c r="V466" s="177">
        <v>43984</v>
      </c>
      <c r="W466" s="177">
        <v>43985</v>
      </c>
      <c r="X466" s="176">
        <v>30419</v>
      </c>
      <c r="Y466" s="177">
        <v>44007</v>
      </c>
      <c r="Z466" s="415">
        <v>3</v>
      </c>
      <c r="AA466" s="488"/>
      <c r="AB466" s="594"/>
      <c r="AC466" s="595"/>
      <c r="AD466" s="596" t="str">
        <f>IF(AND(AC466&lt;&gt;"",S466&lt;&gt;""),NETWORKDAYS(AC466,S466,#REF!),"")</f>
        <v/>
      </c>
      <c r="AE466" s="596" t="str">
        <f ca="1">IF(AND(AD466="",AC466=""),"",IF(OR(AD466&lt;&gt;"",O466="*CANCELADO"),"",NETWORKDAYS(AC466,TODAY(),#REF!)))</f>
        <v/>
      </c>
      <c r="AF466" s="597" t="str">
        <f>IFERROR(INDEX(produtos_escape2!M:M,MATCH(Controle!H466,produtos_escape2!A:A,0)),"")</f>
        <v>LÂMPADA ALOGÊNEA</v>
      </c>
    </row>
    <row r="467" spans="1:32" ht="14.25" customHeight="1">
      <c r="A467" s="176" t="s">
        <v>7625</v>
      </c>
      <c r="B467" s="176" t="s">
        <v>7207</v>
      </c>
      <c r="C467" s="177">
        <v>43963</v>
      </c>
      <c r="D467" s="176" t="s">
        <v>8405</v>
      </c>
      <c r="E467" s="176" t="s">
        <v>1866</v>
      </c>
      <c r="F467" s="259" t="s">
        <v>8406</v>
      </c>
      <c r="G467" s="176">
        <v>2</v>
      </c>
      <c r="H467" s="178">
        <v>14464</v>
      </c>
      <c r="I467" s="592">
        <f t="shared" si="14"/>
        <v>1</v>
      </c>
      <c r="J467" s="178" t="s">
        <v>816</v>
      </c>
      <c r="K467" s="178" t="s">
        <v>816</v>
      </c>
      <c r="L467" s="275" t="str">
        <f>IF(H:H=0,"",IF(ISERROR(VLOOKUP(H:H,produtos_escape2!$A$2:$B$2794,2,FALSE)),"Código não cadastrado",(VLOOKUP(H:H,produtos_escape2!$A$2:$B$2794,2,FALSE))))</f>
        <v>LÂMPADA HALOGENA 6V 20W COD.80480-0480-0 P/ MICROSCOPIO NIKON MOD.LABOPHOT</v>
      </c>
      <c r="M467" s="593" t="str">
        <f>IF(H:H=0,"",IF(ISERROR(VLOOKUP(H:H,produtos_escape2!$A$2:$D$2794,2,FALSE)),"Código não cadastrado",(VLOOKUP(H:H,produtos_escape2!$A$2:$D$2794,4,FALSE))))</f>
        <v>UN</v>
      </c>
      <c r="N467" s="486">
        <v>15</v>
      </c>
      <c r="O467" s="176" t="s">
        <v>4433</v>
      </c>
      <c r="P467" s="486">
        <v>15</v>
      </c>
      <c r="Q467" s="247">
        <v>16</v>
      </c>
      <c r="R467" s="246">
        <f t="shared" si="15"/>
        <v>240</v>
      </c>
      <c r="S467" s="177">
        <v>43966</v>
      </c>
      <c r="T467" s="182">
        <v>448</v>
      </c>
      <c r="U467" s="177">
        <v>43980</v>
      </c>
      <c r="V467" s="177">
        <v>43984</v>
      </c>
      <c r="W467" s="177">
        <v>43985</v>
      </c>
      <c r="X467" s="176">
        <v>30419</v>
      </c>
      <c r="Y467" s="177">
        <v>44007</v>
      </c>
      <c r="Z467" s="415">
        <v>3</v>
      </c>
      <c r="AA467" s="488"/>
      <c r="AB467" s="594"/>
      <c r="AC467" s="595"/>
      <c r="AD467" s="596" t="str">
        <f>IF(AND(AC467&lt;&gt;"",S467&lt;&gt;""),NETWORKDAYS(AC467,S467,#REF!),"")</f>
        <v/>
      </c>
      <c r="AE467" s="596" t="str">
        <f ca="1">IF(AND(AD467="",AC467=""),"",IF(OR(AD467&lt;&gt;"",O467="*CANCELADO"),"",NETWORKDAYS(AC467,TODAY(),#REF!)))</f>
        <v/>
      </c>
      <c r="AF467" s="597" t="str">
        <f>IFERROR(INDEX(produtos_escape2!M:M,MATCH(Controle!H467,produtos_escape2!A:A,0)),"")</f>
        <v>LÂMPADA HALOGENA 6V 20W COD</v>
      </c>
    </row>
    <row r="468" spans="1:32" ht="14.25" customHeight="1">
      <c r="A468" s="176" t="s">
        <v>8007</v>
      </c>
      <c r="B468" s="176" t="s">
        <v>3608</v>
      </c>
      <c r="C468" s="177">
        <v>43963</v>
      </c>
      <c r="D468" s="176" t="s">
        <v>8407</v>
      </c>
      <c r="E468" s="176" t="s">
        <v>3009</v>
      </c>
      <c r="F468" s="259" t="s">
        <v>8408</v>
      </c>
      <c r="G468" s="176">
        <v>1</v>
      </c>
      <c r="H468" s="178">
        <v>27780</v>
      </c>
      <c r="I468" s="592">
        <f t="shared" si="14"/>
        <v>1</v>
      </c>
      <c r="J468" s="178" t="s">
        <v>816</v>
      </c>
      <c r="K468" s="178" t="s">
        <v>816</v>
      </c>
      <c r="L468" s="275" t="str">
        <f>IF(H:H=0,"",IF(ISERROR(VLOOKUP(H:H,produtos_escape2!$A$2:$B$2794,2,FALSE)),"Código não cadastrado",(VLOOKUP(H:H,produtos_escape2!$A$2:$B$2794,2,FALSE))))</f>
        <v xml:space="preserve">COMPRESSA ALGODONADA PARA CURATIVO TIPO COXIM 10CM x 15CM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 medindo aberta 10 cm x 50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v>
      </c>
      <c r="M468" s="593" t="str">
        <f>IF(H:H=0,"",IF(ISERROR(VLOOKUP(H:H,produtos_escape2!$A$2:$D$2794,2,FALSE)),"Código não cadastrado",(VLOOKUP(H:H,produtos_escape2!$A$2:$D$2794,4,FALSE))))</f>
        <v>UN</v>
      </c>
      <c r="N468" s="486">
        <v>1000</v>
      </c>
      <c r="O468" s="176" t="s">
        <v>4109</v>
      </c>
      <c r="P468" s="486">
        <v>1000</v>
      </c>
      <c r="Q468" s="247">
        <v>0.8</v>
      </c>
      <c r="R468" s="246">
        <f t="shared" si="15"/>
        <v>800</v>
      </c>
      <c r="S468" s="177">
        <v>43965</v>
      </c>
      <c r="T468" s="182">
        <v>82496</v>
      </c>
      <c r="U468" s="177">
        <v>43965</v>
      </c>
      <c r="V468" s="177">
        <v>43966</v>
      </c>
      <c r="W468" s="177">
        <v>43971</v>
      </c>
      <c r="X468" s="176">
        <v>18098</v>
      </c>
      <c r="Y468" s="177">
        <v>43986</v>
      </c>
      <c r="Z468" s="415">
        <v>3</v>
      </c>
      <c r="AA468" s="488"/>
      <c r="AB468" s="594"/>
      <c r="AC468" s="595"/>
      <c r="AD468" s="596" t="str">
        <f>IF(AND(AC468&lt;&gt;"",S468&lt;&gt;""),NETWORKDAYS(AC468,S468,#REF!),"")</f>
        <v/>
      </c>
      <c r="AE468" s="596" t="str">
        <f ca="1">IF(AND(AD468="",AC468=""),"",IF(OR(AD468&lt;&gt;"",O468="*CANCELADO"),"",NETWORKDAYS(AC468,TODAY(),#REF!)))</f>
        <v/>
      </c>
      <c r="AF468" s="597" t="str">
        <f>IFERROR(INDEX(produtos_escape2!M:M,MATCH(Controle!H468,produtos_escape2!A:A,0)),"")</f>
        <v>COMPRESSA ALGODONADA PARA CURATIVO TIPO COXIM 10CM x 15CM ESTERIL</v>
      </c>
    </row>
    <row r="469" spans="1:32" ht="14.25" customHeight="1">
      <c r="A469" s="176" t="s">
        <v>8005</v>
      </c>
      <c r="B469" s="176" t="s">
        <v>3608</v>
      </c>
      <c r="C469" s="177">
        <v>43963</v>
      </c>
      <c r="D469" s="176" t="s">
        <v>8409</v>
      </c>
      <c r="E469" s="176" t="s">
        <v>1867</v>
      </c>
      <c r="F469" s="259" t="s">
        <v>8410</v>
      </c>
      <c r="G469" s="176">
        <v>1</v>
      </c>
      <c r="H469" s="178">
        <v>90255</v>
      </c>
      <c r="I469" s="592">
        <f t="shared" si="14"/>
        <v>8</v>
      </c>
      <c r="J469" s="178" t="s">
        <v>816</v>
      </c>
      <c r="K469" s="178" t="s">
        <v>816</v>
      </c>
      <c r="L469" s="275" t="str">
        <f>IF(H:H=0,"",IF(ISERROR(VLOOKUP(H:H,produtos_escape2!$A$2:$B$2794,2,FALSE)),"Código não cadastrado",(VLOOKUP(H:H,produtos_escape2!$A$2:$B$2794,2,FALSE))))</f>
        <v>BROMOPRIDA SOLUCAO INJETAVEL 5MG/ML AMPOLA 2ML</v>
      </c>
      <c r="M469" s="593" t="str">
        <f>IF(H:H=0,"",IF(ISERROR(VLOOKUP(H:H,produtos_escape2!$A$2:$D$2794,2,FALSE)),"Código não cadastrado",(VLOOKUP(H:H,produtos_escape2!$A$2:$D$2794,4,FALSE))))</f>
        <v>AMP</v>
      </c>
      <c r="N469" s="486">
        <v>800</v>
      </c>
      <c r="O469" s="176" t="s">
        <v>7363</v>
      </c>
      <c r="P469" s="486">
        <v>800</v>
      </c>
      <c r="Q469" s="247">
        <v>1.03</v>
      </c>
      <c r="R469" s="246">
        <f t="shared" si="15"/>
        <v>824</v>
      </c>
      <c r="S469" s="177">
        <v>43966</v>
      </c>
      <c r="T469" s="182">
        <v>417823</v>
      </c>
      <c r="U469" s="177">
        <v>43971</v>
      </c>
      <c r="V469" s="177">
        <v>43977</v>
      </c>
      <c r="W469" s="177">
        <v>43978</v>
      </c>
      <c r="X469" s="176">
        <v>30546</v>
      </c>
      <c r="Y469" s="177">
        <v>44007</v>
      </c>
      <c r="Z469" s="415">
        <v>3</v>
      </c>
      <c r="AA469" s="488"/>
      <c r="AB469" s="594"/>
      <c r="AC469" s="595"/>
      <c r="AD469" s="596" t="str">
        <f>IF(AND(AC469&lt;&gt;"",S469&lt;&gt;""),NETWORKDAYS(AC469,S469,#REF!),"")</f>
        <v/>
      </c>
      <c r="AE469" s="596" t="str">
        <f ca="1">IF(AND(AD469="",AC469=""),"",IF(OR(AD469&lt;&gt;"",O469="*CANCELADO"),"",NETWORKDAYS(AC469,TODAY(),#REF!)))</f>
        <v/>
      </c>
      <c r="AF469" s="597" t="str">
        <f>IFERROR(INDEX(produtos_escape2!M:M,MATCH(Controle!H469,produtos_escape2!A:A,0)),"")</f>
        <v>BROMOPRIDA</v>
      </c>
    </row>
    <row r="470" spans="1:32" ht="14.25" customHeight="1">
      <c r="A470" s="176" t="s">
        <v>8019</v>
      </c>
      <c r="B470" s="176" t="s">
        <v>3608</v>
      </c>
      <c r="C470" s="177">
        <v>43963</v>
      </c>
      <c r="D470" s="176" t="s">
        <v>8412</v>
      </c>
      <c r="E470" s="176" t="s">
        <v>1866</v>
      </c>
      <c r="F470" s="259" t="s">
        <v>8411</v>
      </c>
      <c r="G470" s="176">
        <v>1</v>
      </c>
      <c r="H470" s="178">
        <v>10960</v>
      </c>
      <c r="I470" s="592">
        <f t="shared" si="14"/>
        <v>5</v>
      </c>
      <c r="J470" s="178" t="s">
        <v>816</v>
      </c>
      <c r="K470" s="178" t="s">
        <v>816</v>
      </c>
      <c r="L470" s="275" t="str">
        <f>IF(H:H=0,"",IF(ISERROR(VLOOKUP(H:H,produtos_escape2!$A$2:$B$2794,2,FALSE)),"Código não cadastrado",(VLOOKUP(H:H,produtos_escape2!$A$2:$B$2794,2,FALSE))))</f>
        <v>HIPOCLORITO DE SODIO A 1% FRASCO PLASTICO ESCURO 5000 ML</v>
      </c>
      <c r="M470" s="593" t="str">
        <f>IF(H:H=0,"",IF(ISERROR(VLOOKUP(H:H,produtos_escape2!$A$2:$D$2794,2,FALSE)),"Código não cadastrado",(VLOOKUP(H:H,produtos_escape2!$A$2:$D$2794,4,FALSE))))</f>
        <v>FR</v>
      </c>
      <c r="N470" s="486">
        <v>100</v>
      </c>
      <c r="O470" s="176" t="s">
        <v>10360</v>
      </c>
      <c r="P470" s="486">
        <v>100</v>
      </c>
      <c r="Q470" s="247">
        <v>6.6</v>
      </c>
      <c r="R470" s="246">
        <f t="shared" si="15"/>
        <v>660</v>
      </c>
      <c r="S470" s="177">
        <v>43964</v>
      </c>
      <c r="T470" s="182">
        <v>24366</v>
      </c>
      <c r="U470" s="177">
        <v>43965</v>
      </c>
      <c r="V470" s="177">
        <v>43969</v>
      </c>
      <c r="W470" s="177">
        <v>43971</v>
      </c>
      <c r="X470" s="176">
        <v>18069</v>
      </c>
      <c r="Y470" s="177">
        <v>43986</v>
      </c>
      <c r="Z470" s="415">
        <v>3</v>
      </c>
      <c r="AA470" s="488"/>
      <c r="AB470" s="594"/>
      <c r="AC470" s="595"/>
      <c r="AD470" s="596" t="str">
        <f>IF(AND(AC470&lt;&gt;"",S470&lt;&gt;""),NETWORKDAYS(AC470,S470,#REF!),"")</f>
        <v/>
      </c>
      <c r="AE470" s="596" t="str">
        <f ca="1">IF(AND(AD470="",AC470=""),"",IF(OR(AD470&lt;&gt;"",O470="*CANCELADO"),"",NETWORKDAYS(AC470,TODAY(),#REF!)))</f>
        <v/>
      </c>
      <c r="AF470" s="597" t="str">
        <f>IFERROR(INDEX(produtos_escape2!M:M,MATCH(Controle!H470,produtos_escape2!A:A,0)),"")</f>
        <v>HIPOCLORITO DE SODIO A 1% FRASCO PLASTICO ESCURO 5000 ML</v>
      </c>
    </row>
    <row r="471" spans="1:32" ht="14.25" customHeight="1">
      <c r="A471" s="176" t="s">
        <v>7717</v>
      </c>
      <c r="B471" s="176" t="s">
        <v>7207</v>
      </c>
      <c r="C471" s="177">
        <v>43964</v>
      </c>
      <c r="D471" s="176" t="s">
        <v>8434</v>
      </c>
      <c r="E471" s="176" t="s">
        <v>3009</v>
      </c>
      <c r="F471" s="259" t="s">
        <v>8419</v>
      </c>
      <c r="G471" s="176">
        <v>1</v>
      </c>
      <c r="H471" s="178">
        <v>16186</v>
      </c>
      <c r="I471" s="592">
        <f t="shared" si="14"/>
        <v>2</v>
      </c>
      <c r="J471" s="178" t="s">
        <v>816</v>
      </c>
      <c r="K471" s="178" t="s">
        <v>816</v>
      </c>
      <c r="L471" s="275" t="str">
        <f>IF(H:H=0,"",IF(ISERROR(VLOOKUP(H:H,produtos_escape2!$A$2:$B$2794,2,FALSE)),"Código não cadastrado",(VLOOKUP(H:H,produtos_escape2!$A$2:$B$2794,2,FALSE))))</f>
        <v xml:space="preserve">CONJUNTO PRIVATIVO ENFERMAGEM  CENTRO CIRÚRGICO E HEMODINÂMICA  Tamanho GG.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50 cm;Perímetro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471" s="593" t="str">
        <f>IF(H:H=0,"",IF(ISERROR(VLOOKUP(H:H,produtos_escape2!$A$2:$D$2794,2,FALSE)),"Código não cadastrado",(VLOOKUP(H:H,produtos_escape2!$A$2:$D$2794,4,FALSE))))</f>
        <v>UN</v>
      </c>
      <c r="N471" s="486">
        <v>100</v>
      </c>
      <c r="O471" s="176" t="s">
        <v>4149</v>
      </c>
      <c r="P471" s="486">
        <v>100</v>
      </c>
      <c r="Q471" s="247">
        <v>49</v>
      </c>
      <c r="R471" s="246">
        <f t="shared" si="15"/>
        <v>4900</v>
      </c>
      <c r="S471" s="177">
        <v>43971</v>
      </c>
      <c r="T471" s="182">
        <v>2466</v>
      </c>
      <c r="U471" s="177">
        <v>44008</v>
      </c>
      <c r="V471" s="177">
        <v>44012</v>
      </c>
      <c r="W471" s="177">
        <v>44013</v>
      </c>
      <c r="X471" s="176">
        <v>46972</v>
      </c>
      <c r="Y471" s="177">
        <v>44033</v>
      </c>
      <c r="Z471" s="415">
        <v>4</v>
      </c>
      <c r="AA471" s="488"/>
      <c r="AB471" s="594"/>
      <c r="AC471" s="595"/>
      <c r="AD471" s="596" t="str">
        <f>IF(AND(AC471&lt;&gt;"",S471&lt;&gt;""),NETWORKDAYS(AC471,S471,#REF!),"")</f>
        <v/>
      </c>
      <c r="AE471" s="596" t="str">
        <f ca="1">IF(AND(AD471="",AC471=""),"",IF(OR(AD471&lt;&gt;"",O471="*CANCELADO"),"",NETWORKDAYS(AC471,TODAY(),#REF!)))</f>
        <v/>
      </c>
      <c r="AF471" s="597" t="str">
        <f>IFERROR(INDEX(produtos_escape2!M:M,MATCH(Controle!H471,produtos_escape2!A:A,0)),"")</f>
        <v>CONJUNTO PRIVATIVO ENFERMAGEM CENTRO CIRURGICO E HEMODINAMICA</v>
      </c>
    </row>
    <row r="472" spans="1:32" ht="14.25" customHeight="1">
      <c r="A472" s="176" t="s">
        <v>8013</v>
      </c>
      <c r="B472" s="176" t="s">
        <v>3608</v>
      </c>
      <c r="C472" s="177">
        <v>43964</v>
      </c>
      <c r="D472" s="176" t="s">
        <v>8420</v>
      </c>
      <c r="E472" s="176" t="s">
        <v>1867</v>
      </c>
      <c r="F472" s="259" t="s">
        <v>8421</v>
      </c>
      <c r="G472" s="176">
        <v>1</v>
      </c>
      <c r="H472" s="178">
        <v>29820</v>
      </c>
      <c r="I472" s="592">
        <f t="shared" si="14"/>
        <v>2</v>
      </c>
      <c r="J472" s="178" t="s">
        <v>816</v>
      </c>
      <c r="K472" s="178" t="s">
        <v>816</v>
      </c>
      <c r="L472" s="275" t="str">
        <f>IF(H:H=0,"",IF(ISERROR(VLOOKUP(H:H,produtos_escape2!$A$2:$B$2794,2,FALSE)),"Código não cadastrado",(VLOOKUP(H:H,produtos_escape2!$A$2:$B$2794,2,FALSE))))</f>
        <v>TALA METÁLICA PARA IMOBILIZAÇÃO DE DEDO 12MM X 180MM, Composição alumínio 100% liga 1100 A H 14 com espessura de 1mm; com revestimento de espuma antialérgica com espessura de 9mm; tamanho 12mm x 180mm.</v>
      </c>
      <c r="M472" s="593" t="str">
        <f>IF(H:H=0,"",IF(ISERROR(VLOOKUP(H:H,produtos_escape2!$A$2:$D$2794,2,FALSE)),"Código não cadastrado",(VLOOKUP(H:H,produtos_escape2!$A$2:$D$2794,4,FALSE))))</f>
        <v>UN</v>
      </c>
      <c r="N472" s="486">
        <v>100</v>
      </c>
      <c r="O472" s="176" t="s">
        <v>3530</v>
      </c>
      <c r="P472" s="486">
        <f>8*12</f>
        <v>96</v>
      </c>
      <c r="Q472" s="247">
        <v>1.1000000000000001</v>
      </c>
      <c r="R472" s="246">
        <f t="shared" si="15"/>
        <v>105.60000000000001</v>
      </c>
      <c r="S472" s="177">
        <v>43969</v>
      </c>
      <c r="T472" s="182">
        <v>1002</v>
      </c>
      <c r="U472" s="177">
        <v>43976</v>
      </c>
      <c r="V472" s="177">
        <v>43977</v>
      </c>
      <c r="W472" s="177">
        <v>43978</v>
      </c>
      <c r="X472" s="176">
        <v>30012</v>
      </c>
      <c r="Y472" s="177">
        <v>44007</v>
      </c>
      <c r="Z472" s="415">
        <v>3</v>
      </c>
      <c r="AA472" s="488"/>
      <c r="AB472" s="594"/>
      <c r="AC472" s="595"/>
      <c r="AD472" s="596" t="str">
        <f>IF(AND(AC472&lt;&gt;"",S472&lt;&gt;""),NETWORKDAYS(AC472,S472,#REF!),"")</f>
        <v/>
      </c>
      <c r="AE472" s="596" t="str">
        <f ca="1">IF(AND(AD472="",AC472=""),"",IF(OR(AD472&lt;&gt;"",O472="*CANCELADO"),"",NETWORKDAYS(AC472,TODAY(),#REF!)))</f>
        <v/>
      </c>
      <c r="AF472" s="597" t="str">
        <f>IFERROR(INDEX(produtos_escape2!M:M,MATCH(Controle!H472,produtos_escape2!A:A,0)),"")</f>
        <v>TALA METÁLICA PARA IMOBILIZAÇÃO DE DEDO 12MM X 180MM</v>
      </c>
    </row>
    <row r="473" spans="1:32" ht="14.25" customHeight="1">
      <c r="A473" s="176" t="s">
        <v>8018</v>
      </c>
      <c r="B473" s="176" t="s">
        <v>3608</v>
      </c>
      <c r="C473" s="177">
        <v>43964</v>
      </c>
      <c r="D473" s="176" t="s">
        <v>8422</v>
      </c>
      <c r="E473" s="176" t="s">
        <v>1865</v>
      </c>
      <c r="F473" s="259" t="s">
        <v>8423</v>
      </c>
      <c r="G473" s="176">
        <v>1</v>
      </c>
      <c r="H473" s="178">
        <v>12117</v>
      </c>
      <c r="I473" s="592">
        <f t="shared" si="14"/>
        <v>2</v>
      </c>
      <c r="J473" s="178" t="s">
        <v>816</v>
      </c>
      <c r="K473" s="178" t="s">
        <v>816</v>
      </c>
      <c r="L473" s="275" t="str">
        <f>IF(H:H=0,"",IF(ISERROR(VLOOKUP(H:H,produtos_escape2!$A$2:$B$2794,2,FALSE)),"Código não cadastrado",(VLOOKUP(H:H,produtos_escape2!$A$2:$B$2794,2,FALSE))))</f>
        <v>SALTO ORTOPÉDICO GRANDE, Aplicação: correção ortopédica, Material: borracha, Tamanho/Capacidade: grande, Unidade De Fornecimento: unidade</v>
      </c>
      <c r="M473" s="593" t="str">
        <f>IF(H:H=0,"",IF(ISERROR(VLOOKUP(H:H,produtos_escape2!$A$2:$D$2794,2,FALSE)),"Código não cadastrado",(VLOOKUP(H:H,produtos_escape2!$A$2:$D$2794,4,FALSE))))</f>
        <v>UN</v>
      </c>
      <c r="N473" s="486">
        <v>100</v>
      </c>
      <c r="O473" s="176" t="s">
        <v>4465</v>
      </c>
      <c r="P473" s="486">
        <v>100</v>
      </c>
      <c r="Q473" s="247">
        <v>5</v>
      </c>
      <c r="R473" s="246">
        <f t="shared" si="15"/>
        <v>500</v>
      </c>
      <c r="S473" s="177">
        <v>43970</v>
      </c>
      <c r="T473" s="182">
        <v>359</v>
      </c>
      <c r="U473" s="177">
        <v>43984</v>
      </c>
      <c r="V473" s="177">
        <v>43984</v>
      </c>
      <c r="W473" s="177">
        <v>43985</v>
      </c>
      <c r="X473" s="176">
        <v>30403</v>
      </c>
      <c r="Y473" s="177">
        <v>44007</v>
      </c>
      <c r="Z473" s="415">
        <v>3</v>
      </c>
      <c r="AA473" s="488"/>
      <c r="AB473" s="594"/>
      <c r="AC473" s="595"/>
      <c r="AD473" s="596" t="str">
        <f>IF(AND(AC473&lt;&gt;"",S473&lt;&gt;""),NETWORKDAYS(AC473,S473,#REF!),"")</f>
        <v/>
      </c>
      <c r="AE473" s="596" t="str">
        <f ca="1">IF(AND(AD473="",AC473=""),"",IF(OR(AD473&lt;&gt;"",O473="*CANCELADO"),"",NETWORKDAYS(AC473,TODAY(),#REF!)))</f>
        <v/>
      </c>
      <c r="AF473" s="597" t="str">
        <f>IFERROR(INDEX(produtos_escape2!M:M,MATCH(Controle!H473,produtos_escape2!A:A,0)),"")</f>
        <v>TINTA ESMALTE SINTÉTICO</v>
      </c>
    </row>
    <row r="474" spans="1:32" ht="377.25" customHeight="1">
      <c r="A474" s="176" t="s">
        <v>7706</v>
      </c>
      <c r="B474" s="176" t="s">
        <v>7207</v>
      </c>
      <c r="C474" s="177">
        <v>43964</v>
      </c>
      <c r="D474" s="176" t="s">
        <v>8437</v>
      </c>
      <c r="E474" s="176" t="s">
        <v>3009</v>
      </c>
      <c r="F474" s="259" t="s">
        <v>8425</v>
      </c>
      <c r="G474" s="176">
        <v>1</v>
      </c>
      <c r="H474" s="178">
        <v>13943</v>
      </c>
      <c r="I474" s="592">
        <f t="shared" si="14"/>
        <v>1</v>
      </c>
      <c r="J474" s="178" t="s">
        <v>816</v>
      </c>
      <c r="K474" s="178" t="s">
        <v>816</v>
      </c>
      <c r="L474" s="275" t="str">
        <f>IF(H:H=0,"",IF(ISERROR(VLOOKUP(H:H,produtos_escape2!$A$2:$B$2794,2,FALSE)),"Código não cadastrado",(VLOOKUP(H:H,produtos_escape2!$A$2:$B$2794,2,FALSE))))</f>
        <v>CONJUNTO PRIVATIVO LAVANDERIA Tamanho G. De acordo com as normas ABNT NBR 16060:2012; NBR 14726:2001 e NBR 12071:2002. Aplicação: para servidor que atua na Lavanderia. Material: tecido tela pré-lavado e pré encolhido, liso, cor marrom escuro, em tecido composição sarja 2:1;  67% poliéster e 33% algodão, gramatura mínima 225 gr/m², com variação de ±5%. Linha 100% algodão. Manequim: 44/46. Características: conjunto feito com costura dupla com linha 100% algodão, com acabamento em overlock com linha 100% algodão. MEDIDAS:CAMISA: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LAVANDERIA,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474" s="593" t="str">
        <f>IF(H:H=0,"",IF(ISERROR(VLOOKUP(H:H,produtos_escape2!$A$2:$D$2794,2,FALSE)),"Código não cadastrado",(VLOOKUP(H:H,produtos_escape2!$A$2:$D$2794,4,FALSE))))</f>
        <v>UN</v>
      </c>
      <c r="N474" s="486">
        <v>60</v>
      </c>
      <c r="O474" s="176" t="s">
        <v>4149</v>
      </c>
      <c r="P474" s="486">
        <v>60</v>
      </c>
      <c r="Q474" s="247">
        <v>45</v>
      </c>
      <c r="R474" s="246">
        <f t="shared" si="15"/>
        <v>2700</v>
      </c>
      <c r="S474" s="177">
        <v>43971</v>
      </c>
      <c r="T474" s="182">
        <v>2465</v>
      </c>
      <c r="U474" s="177">
        <v>44008</v>
      </c>
      <c r="V474" s="177">
        <v>44012</v>
      </c>
      <c r="W474" s="177">
        <v>44013</v>
      </c>
      <c r="X474" s="176">
        <v>46853</v>
      </c>
      <c r="Y474" s="177">
        <v>44033</v>
      </c>
      <c r="Z474" s="415">
        <v>4</v>
      </c>
      <c r="AA474" s="488"/>
      <c r="AB474" s="594"/>
      <c r="AC474" s="595"/>
      <c r="AD474" s="596" t="str">
        <f>IF(AND(AC474&lt;&gt;"",S474&lt;&gt;""),NETWORKDAYS(AC474,S474,#REF!),"")</f>
        <v/>
      </c>
      <c r="AE474" s="596" t="str">
        <f ca="1">IF(AND(AD474="",AC474=""),"",IF(OR(AD474&lt;&gt;"",O474="*CANCELADO"),"",NETWORKDAYS(AC474,TODAY(),#REF!)))</f>
        <v/>
      </c>
      <c r="AF474" s="597" t="str">
        <f>IFERROR(INDEX(produtos_escape2!M:M,MATCH(Controle!H474,produtos_escape2!A:A,0)),"")</f>
        <v>CONJUNTO PRIVATIVO LAVANDERIA</v>
      </c>
    </row>
    <row r="475" spans="1:32" ht="14.25" customHeight="1">
      <c r="A475" s="176" t="s">
        <v>8015</v>
      </c>
      <c r="B475" s="176" t="s">
        <v>3608</v>
      </c>
      <c r="C475" s="177">
        <v>43964</v>
      </c>
      <c r="D475" s="176" t="s">
        <v>8426</v>
      </c>
      <c r="E475" s="176" t="s">
        <v>1867</v>
      </c>
      <c r="F475" s="259" t="s">
        <v>8427</v>
      </c>
      <c r="G475" s="176">
        <v>1</v>
      </c>
      <c r="H475" s="178">
        <v>29822</v>
      </c>
      <c r="I475" s="592">
        <f t="shared" si="14"/>
        <v>2</v>
      </c>
      <c r="J475" s="178" t="s">
        <v>816</v>
      </c>
      <c r="K475" s="178" t="s">
        <v>816</v>
      </c>
      <c r="L475" s="275" t="str">
        <f>IF(H:H=0,"",IF(ISERROR(VLOOKUP(H:H,produtos_escape2!$A$2:$B$2794,2,FALSE)),"Código não cadastrado",(VLOOKUP(H:H,produtos_escape2!$A$2:$B$2794,2,FALSE))))</f>
        <v>TALA METÁLICA PARA IMOBILIZAÇÃO DE DEDO 19MM X 180MM, Composição alumínio 100% liga 1100 A H 14 com espessura de 1mm; com revestimento de espuma antialérgica com espessura de 9mm; tamanho 19mm x 180mm.</v>
      </c>
      <c r="M475" s="593" t="str">
        <f>IF(H:H=0,"",IF(ISERROR(VLOOKUP(H:H,produtos_escape2!$A$2:$D$2794,2,FALSE)),"Código não cadastrado",(VLOOKUP(H:H,produtos_escape2!$A$2:$D$2794,4,FALSE))))</f>
        <v>UN</v>
      </c>
      <c r="N475" s="486">
        <v>100</v>
      </c>
      <c r="O475" s="176" t="s">
        <v>3530</v>
      </c>
      <c r="P475" s="486">
        <f>8*12</f>
        <v>96</v>
      </c>
      <c r="Q475" s="247">
        <v>1.65</v>
      </c>
      <c r="R475" s="246">
        <f t="shared" si="15"/>
        <v>158.39999999999998</v>
      </c>
      <c r="S475" s="177">
        <v>43969</v>
      </c>
      <c r="T475" s="182">
        <v>1003</v>
      </c>
      <c r="U475" s="177">
        <v>43976</v>
      </c>
      <c r="V475" s="177">
        <v>43977</v>
      </c>
      <c r="W475" s="177">
        <v>43978</v>
      </c>
      <c r="X475" s="176">
        <v>29972</v>
      </c>
      <c r="Y475" s="177">
        <v>44007</v>
      </c>
      <c r="Z475" s="415">
        <v>3</v>
      </c>
      <c r="AA475" s="488"/>
      <c r="AB475" s="594"/>
      <c r="AC475" s="595"/>
      <c r="AD475" s="596" t="str">
        <f>IF(AND(AC475&lt;&gt;"",S475&lt;&gt;""),NETWORKDAYS(AC475,S475,#REF!),"")</f>
        <v/>
      </c>
      <c r="AE475" s="596" t="str">
        <f ca="1">IF(AND(AD475="",AC475=""),"",IF(OR(AD475&lt;&gt;"",O475="*CANCELADO"),"",NETWORKDAYS(AC475,TODAY(),#REF!)))</f>
        <v/>
      </c>
      <c r="AF475" s="597" t="str">
        <f>IFERROR(INDEX(produtos_escape2!M:M,MATCH(Controle!H475,produtos_escape2!A:A,0)),"")</f>
        <v>TALA METÁLICA PARA IMOBILIZAÇÃO DE DEDO 19MM X 180MM</v>
      </c>
    </row>
    <row r="476" spans="1:32" ht="14.25" customHeight="1">
      <c r="A476" s="176" t="s">
        <v>7718</v>
      </c>
      <c r="B476" s="176" t="s">
        <v>7207</v>
      </c>
      <c r="C476" s="177">
        <v>43964</v>
      </c>
      <c r="D476" s="176" t="s">
        <v>8428</v>
      </c>
      <c r="E476" s="176" t="s">
        <v>1866</v>
      </c>
      <c r="F476" s="259" t="s">
        <v>8429</v>
      </c>
      <c r="G476" s="176">
        <v>1</v>
      </c>
      <c r="H476" s="178">
        <v>27604</v>
      </c>
      <c r="I476" s="592">
        <f t="shared" si="14"/>
        <v>3</v>
      </c>
      <c r="J476" s="178" t="s">
        <v>816</v>
      </c>
      <c r="K476" s="178" t="s">
        <v>816</v>
      </c>
      <c r="L476" s="275" t="str">
        <f>IF(H:H=0,"",IF(ISERROR(VLOOKUP(H:H,produtos_escape2!$A$2:$B$2794,2,FALSE)),"Código não cadastrado",(VLOOKUP(H:H,produtos_escape2!$A$2:$B$2794,2,FALSE))))</f>
        <v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v>
      </c>
      <c r="M476" s="593" t="str">
        <f>IF(H:H=0,"",IF(ISERROR(VLOOKUP(H:H,produtos_escape2!$A$2:$D$2794,2,FALSE)),"Código não cadastrado",(VLOOKUP(H:H,produtos_escape2!$A$2:$D$2794,4,FALSE))))</f>
        <v>UN</v>
      </c>
      <c r="N476" s="486">
        <v>20</v>
      </c>
      <c r="O476" s="176" t="s">
        <v>8468</v>
      </c>
      <c r="P476" s="486">
        <v>20</v>
      </c>
      <c r="Q476" s="247">
        <v>879.27</v>
      </c>
      <c r="R476" s="246">
        <f t="shared" si="15"/>
        <v>17585.400000000001</v>
      </c>
      <c r="S476" s="177">
        <v>43969</v>
      </c>
      <c r="T476" s="182">
        <v>702</v>
      </c>
      <c r="U476" s="177">
        <v>43972</v>
      </c>
      <c r="V476" s="177">
        <v>43976</v>
      </c>
      <c r="W476" s="177">
        <v>43978</v>
      </c>
      <c r="X476" s="176">
        <v>3288</v>
      </c>
      <c r="Y476" s="177">
        <v>44007</v>
      </c>
      <c r="Z476" s="415">
        <v>3</v>
      </c>
      <c r="AA476" s="488"/>
      <c r="AB476" s="594"/>
      <c r="AC476" s="595"/>
      <c r="AD476" s="596" t="str">
        <f>IF(AND(AC476&lt;&gt;"",S476&lt;&gt;""),NETWORKDAYS(AC476,S476,#REF!),"")</f>
        <v/>
      </c>
      <c r="AE476" s="596" t="str">
        <f ca="1">IF(AND(AD476="",AC476=""),"",IF(OR(AD476&lt;&gt;"",O476="*CANCELADO"),"",NETWORKDAYS(AC476,TODAY(),#REF!)))</f>
        <v/>
      </c>
      <c r="AF476" s="597" t="str">
        <f>IFERROR(INDEX(produtos_escape2!M:M,MATCH(Controle!H476,produtos_escape2!A:A,0)),"")</f>
        <v>CORTINA HOSPITALAR</v>
      </c>
    </row>
    <row r="477" spans="1:32" ht="14.25" customHeight="1">
      <c r="A477" s="176" t="s">
        <v>7708</v>
      </c>
      <c r="B477" s="176" t="s">
        <v>7207</v>
      </c>
      <c r="C477" s="177">
        <v>43964</v>
      </c>
      <c r="D477" s="176" t="s">
        <v>8430</v>
      </c>
      <c r="E477" s="176" t="s">
        <v>3009</v>
      </c>
      <c r="F477" s="259" t="s">
        <v>8431</v>
      </c>
      <c r="G477" s="176">
        <v>1</v>
      </c>
      <c r="H477" s="178">
        <v>16185</v>
      </c>
      <c r="I477" s="592">
        <f t="shared" si="14"/>
        <v>2</v>
      </c>
      <c r="J477" s="178" t="s">
        <v>816</v>
      </c>
      <c r="K477" s="178" t="s">
        <v>816</v>
      </c>
      <c r="L477" s="275" t="str">
        <f>IF(H:H=0,"",IF(ISERROR(VLOOKUP(H:H,produtos_escape2!$A$2:$B$2794,2,FALSE)),"Código não cadastrado",(VLOOKUP(H:H,produtos_escape2!$A$2:$B$2794,2,FALSE))))</f>
        <v xml:space="preserve">CONJUNTO PRIVATIVO ENFERMAGEM CENTRO CIRÚRGICO E HEMODINÂMICA  Tamanho 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477" s="593" t="str">
        <f>IF(H:H=0,"",IF(ISERROR(VLOOKUP(H:H,produtos_escape2!$A$2:$D$2794,2,FALSE)),"Código não cadastrado",(VLOOKUP(H:H,produtos_escape2!$A$2:$D$2794,4,FALSE))))</f>
        <v>UN</v>
      </c>
      <c r="N477" s="486">
        <v>1000</v>
      </c>
      <c r="O477" s="176" t="s">
        <v>4149</v>
      </c>
      <c r="P477" s="486">
        <v>378</v>
      </c>
      <c r="Q477" s="247">
        <v>46.5</v>
      </c>
      <c r="R477" s="246">
        <f t="shared" si="15"/>
        <v>17577</v>
      </c>
      <c r="S477" s="177">
        <v>43971</v>
      </c>
      <c r="T477" s="182">
        <v>2473</v>
      </c>
      <c r="U477" s="177">
        <v>44008</v>
      </c>
      <c r="V477" s="177">
        <v>44012</v>
      </c>
      <c r="W477" s="177">
        <v>44013</v>
      </c>
      <c r="X477" s="176">
        <v>47240</v>
      </c>
      <c r="Y477" s="177">
        <v>44033</v>
      </c>
      <c r="Z477" s="415">
        <v>4</v>
      </c>
      <c r="AA477" s="488"/>
      <c r="AB477" s="594"/>
      <c r="AC477" s="595"/>
      <c r="AD477" s="596" t="str">
        <f>IF(AND(AC477&lt;&gt;"",S477&lt;&gt;""),NETWORKDAYS(AC477,S477,#REF!),"")</f>
        <v/>
      </c>
      <c r="AE477" s="596" t="str">
        <f ca="1">IF(AND(AD477="",AC477=""),"",IF(OR(AD477&lt;&gt;"",O477="*CANCELADO"),"",NETWORKDAYS(AC477,TODAY(),#REF!)))</f>
        <v/>
      </c>
      <c r="AF477" s="597" t="str">
        <f>IFERROR(INDEX(produtos_escape2!M:M,MATCH(Controle!H477,produtos_escape2!A:A,0)),"")</f>
        <v>CONJUNTO PRIVATIVO ENFERMAGEM CENTRO CIRURGICO E HEMODINAMICA</v>
      </c>
    </row>
    <row r="478" spans="1:32" ht="14.25" customHeight="1">
      <c r="A478" s="176" t="s">
        <v>8011</v>
      </c>
      <c r="B478" s="176" t="s">
        <v>3608</v>
      </c>
      <c r="C478" s="177">
        <v>43964</v>
      </c>
      <c r="D478" s="176" t="s">
        <v>8418</v>
      </c>
      <c r="E478" s="176" t="s">
        <v>1867</v>
      </c>
      <c r="F478" s="259" t="s">
        <v>8433</v>
      </c>
      <c r="G478" s="176">
        <v>1</v>
      </c>
      <c r="H478" s="178">
        <v>90354</v>
      </c>
      <c r="I478" s="592">
        <f t="shared" si="14"/>
        <v>9</v>
      </c>
      <c r="J478" s="178" t="s">
        <v>816</v>
      </c>
      <c r="K478" s="178" t="s">
        <v>816</v>
      </c>
      <c r="L478" s="275" t="str">
        <f>IF(H:H=0,"",IF(ISERROR(VLOOKUP(H:H,produtos_escape2!$A$2:$B$2794,2,FALSE)),"Código não cadastrado",(VLOOKUP(H:H,produtos_escape2!$A$2:$B$2794,2,FALSE))))</f>
        <v>LACTULOSE XAROPE 667 MG/ML FRASCO 120 ML
NÂO pode ser a Lactulife da Naturelife.</v>
      </c>
      <c r="M478" s="593" t="str">
        <f>IF(H:H=0,"",IF(ISERROR(VLOOKUP(H:H,produtos_escape2!$A$2:$D$2794,2,FALSE)),"Código não cadastrado",(VLOOKUP(H:H,produtos_escape2!$A$2:$D$2794,4,FALSE))))</f>
        <v>FR</v>
      </c>
      <c r="N478" s="486">
        <v>240</v>
      </c>
      <c r="O478" s="176" t="s">
        <v>7472</v>
      </c>
      <c r="P478" s="486">
        <v>240</v>
      </c>
      <c r="Q478" s="247">
        <v>5.79</v>
      </c>
      <c r="R478" s="246">
        <f t="shared" si="15"/>
        <v>1389.6</v>
      </c>
      <c r="S478" s="177">
        <v>43966</v>
      </c>
      <c r="T478" s="182">
        <v>22849</v>
      </c>
      <c r="U478" s="177">
        <v>43966</v>
      </c>
      <c r="V478" s="177">
        <v>43969</v>
      </c>
      <c r="W478" s="177">
        <v>43971</v>
      </c>
      <c r="X478" s="176">
        <v>18122</v>
      </c>
      <c r="Y478" s="177">
        <v>43986</v>
      </c>
      <c r="Z478" s="415">
        <v>3</v>
      </c>
      <c r="AA478" s="488"/>
      <c r="AB478" s="594"/>
      <c r="AC478" s="595"/>
      <c r="AD478" s="596" t="str">
        <f>IF(AND(AC478&lt;&gt;"",S478&lt;&gt;""),NETWORKDAYS(AC478,S478,#REF!),"")</f>
        <v/>
      </c>
      <c r="AE478" s="596" t="str">
        <f ca="1">IF(AND(AD478="",AC478=""),"",IF(OR(AD478&lt;&gt;"",O478="*CANCELADO"),"",NETWORKDAYS(AC478,TODAY(),#REF!)))</f>
        <v/>
      </c>
      <c r="AF478" s="597" t="str">
        <f>IFERROR(INDEX(produtos_escape2!M:M,MATCH(Controle!H478,produtos_escape2!A:A,0)),"")</f>
        <v>LACTULOSE XAROPE 667 MG/ML FRASCO 120 ML</v>
      </c>
    </row>
    <row r="479" spans="1:32" ht="14.25" customHeight="1">
      <c r="A479" s="176" t="s">
        <v>8009</v>
      </c>
      <c r="B479" s="176" t="s">
        <v>3608</v>
      </c>
      <c r="C479" s="177">
        <v>43964</v>
      </c>
      <c r="D479" s="176" t="s">
        <v>8424</v>
      </c>
      <c r="E479" s="176" t="s">
        <v>1865</v>
      </c>
      <c r="F479" s="259" t="s">
        <v>8436</v>
      </c>
      <c r="G479" s="176">
        <v>1</v>
      </c>
      <c r="H479" s="178">
        <v>90925</v>
      </c>
      <c r="I479" s="592">
        <f t="shared" si="14"/>
        <v>8</v>
      </c>
      <c r="J479" s="178" t="s">
        <v>816</v>
      </c>
      <c r="K479" s="178" t="s">
        <v>816</v>
      </c>
      <c r="L479" s="275" t="str">
        <f>IF(H:H=0,"",IF(ISERROR(VLOOKUP(H:H,produtos_escape2!$A$2:$B$2794,2,FALSE)),"Código não cadastrado",(VLOOKUP(H:H,produtos_escape2!$A$2:$B$2794,2,FALSE))))</f>
        <v>CEFAZOLINA SODICA PO PARA SOLUCAO INJETAVEL 1 G FRASCO AMPOLA</v>
      </c>
      <c r="M479" s="593" t="str">
        <f>IF(H:H=0,"",IF(ISERROR(VLOOKUP(H:H,produtos_escape2!$A$2:$D$2794,2,FALSE)),"Código não cadastrado",(VLOOKUP(H:H,produtos_escape2!$A$2:$D$2794,4,FALSE))))</f>
        <v>AMP</v>
      </c>
      <c r="N479" s="486">
        <v>220</v>
      </c>
      <c r="O479" s="176" t="s">
        <v>7371</v>
      </c>
      <c r="P479" s="486">
        <v>200</v>
      </c>
      <c r="Q479" s="247">
        <v>12.634</v>
      </c>
      <c r="R479" s="246">
        <f t="shared" si="15"/>
        <v>2526.8000000000002</v>
      </c>
      <c r="S479" s="177">
        <v>43970</v>
      </c>
      <c r="T479" s="182">
        <v>334370</v>
      </c>
      <c r="U479" s="177">
        <v>43970</v>
      </c>
      <c r="V479" s="177">
        <v>43971</v>
      </c>
      <c r="W479" s="177">
        <v>43973</v>
      </c>
      <c r="X479" s="176">
        <v>30762</v>
      </c>
      <c r="Y479" s="177">
        <v>44007</v>
      </c>
      <c r="Z479" s="415">
        <v>3</v>
      </c>
      <c r="AA479" s="488"/>
      <c r="AB479" s="594"/>
      <c r="AC479" s="595"/>
      <c r="AD479" s="596" t="str">
        <f>IF(AND(AC479&lt;&gt;"",S479&lt;&gt;""),NETWORKDAYS(AC479,S479,#REF!),"")</f>
        <v/>
      </c>
      <c r="AE479" s="596" t="str">
        <f ca="1">IF(AND(AD479="",AC479=""),"",IF(OR(AD479&lt;&gt;"",O479="*CANCELADO"),"",NETWORKDAYS(AC479,TODAY(),#REF!)))</f>
        <v/>
      </c>
      <c r="AF479" s="597" t="str">
        <f>IFERROR(INDEX(produtos_escape2!M:M,MATCH(Controle!H479,produtos_escape2!A:A,0)),"")</f>
        <v>CEFAZOLINA SODICA PO PARA SOLUCAO INJETAVEL 1 G FRASCO AMPOLA</v>
      </c>
    </row>
    <row r="480" spans="1:32" ht="14.25" customHeight="1">
      <c r="A480" s="176" t="s">
        <v>7704</v>
      </c>
      <c r="B480" s="176" t="s">
        <v>7207</v>
      </c>
      <c r="C480" s="177">
        <v>43964</v>
      </c>
      <c r="D480" s="176" t="s">
        <v>8438</v>
      </c>
      <c r="E480" s="176" t="s">
        <v>1866</v>
      </c>
      <c r="F480" s="259" t="s">
        <v>8439</v>
      </c>
      <c r="G480" s="176">
        <v>1</v>
      </c>
      <c r="H480" s="178">
        <v>29130</v>
      </c>
      <c r="I480" s="592">
        <f t="shared" si="14"/>
        <v>1</v>
      </c>
      <c r="J480" s="178" t="s">
        <v>816</v>
      </c>
      <c r="K480" s="178" t="s">
        <v>816</v>
      </c>
      <c r="L480" s="275" t="str">
        <f>IF(H:H=0,"",IF(ISERROR(VLOOKUP(H:H,produtos_escape2!$A$2:$B$2794,2,FALSE)),"Código não cadastrado",(VLOOKUP(H:H,produtos_escape2!$A$2:$B$2794,2,FALSE))))</f>
        <v>CAPOTE CIRURGICO, Aplicação: para equipe cirúrgica, Material: Tecido estampado em toda extensão com logotipo SES/DF, cor azul, 100% algodão, Punho em malha ribana sanfonada 100% algodão cor azul, Linha 100% algodão, Tamanho: 48, Características: Peça única, costuras laterais, mangas raglãs compridas com punho em malha ribana sanfonada 100% algodão cor azul, decote rente com pescoço com tira para amarrar, abertura nas costas com transpasse tipo envelope, preso com tiras laterais internas e externas. Comprimento total: 150 cm, largura total: 100 cm, comprimento da manga: 75 cm mais o punho, comprimento do cinto: 90 cm em cada lado, Tecido com armação sarja 2x1cm², gramatura mínima 190g/m², fio urdume título 20, fio de trama título 16, encolhimento máximo 3%, variação de largura ± 2%, variação de peso ± 5g, Variação de medida do produto acabado ± 3 cm, Apresentar no capote a sigla do hospital nas mangas próximo do ombro medindo 10x10 cm, Forma de Apresentação: Embalagem primária em saco plástico com no máximo 10 unidades e secundaria em caixa de papelão com no máximo 100 unidades, Unidade de Estoque: Unidade, Unidade de fornecimento: Unidade</v>
      </c>
      <c r="M480" s="593" t="str">
        <f>IF(H:H=0,"",IF(ISERROR(VLOOKUP(H:H,produtos_escape2!$A$2:$D$2794,2,FALSE)),"Código não cadastrado",(VLOOKUP(H:H,produtos_escape2!$A$2:$D$2794,4,FALSE))))</f>
        <v>UN</v>
      </c>
      <c r="N480" s="486">
        <v>2000</v>
      </c>
      <c r="O480" s="176" t="s">
        <v>4149</v>
      </c>
      <c r="P480" s="486">
        <v>400</v>
      </c>
      <c r="Q480" s="247">
        <v>44</v>
      </c>
      <c r="R480" s="246">
        <f t="shared" si="15"/>
        <v>17600</v>
      </c>
      <c r="S480" s="177">
        <v>43969</v>
      </c>
      <c r="T480" s="182">
        <v>2467</v>
      </c>
      <c r="U480" s="177">
        <v>44008</v>
      </c>
      <c r="V480" s="177">
        <v>44015</v>
      </c>
      <c r="W480" s="177">
        <v>44015</v>
      </c>
      <c r="X480" s="176">
        <v>47252</v>
      </c>
      <c r="Y480" s="177">
        <v>44033</v>
      </c>
      <c r="Z480" s="415">
        <v>4</v>
      </c>
      <c r="AA480" s="488"/>
      <c r="AB480" s="594"/>
      <c r="AC480" s="595"/>
      <c r="AD480" s="596" t="str">
        <f>IF(AND(AC480&lt;&gt;"",S480&lt;&gt;""),NETWORKDAYS(AC480,S480,#REF!),"")</f>
        <v/>
      </c>
      <c r="AE480" s="596" t="str">
        <f ca="1">IF(AND(AD480="",AC480=""),"",IF(OR(AD480&lt;&gt;"",O480="*CANCELADO"),"",NETWORKDAYS(AC480,TODAY(),#REF!)))</f>
        <v/>
      </c>
      <c r="AF480" s="597" t="str">
        <f>IFERROR(INDEX(produtos_escape2!M:M,MATCH(Controle!H480,produtos_escape2!A:A,0)),"")</f>
        <v>CAPOTE CIRURGICO</v>
      </c>
    </row>
    <row r="481" spans="1:32" ht="14.25" customHeight="1">
      <c r="A481" s="176" t="s">
        <v>7353</v>
      </c>
      <c r="B481" s="176" t="s">
        <v>1687</v>
      </c>
      <c r="C481" s="177">
        <v>43964</v>
      </c>
      <c r="D481" s="176" t="s">
        <v>8440</v>
      </c>
      <c r="E481" s="176" t="s">
        <v>3008</v>
      </c>
      <c r="F481" s="259" t="s">
        <v>8441</v>
      </c>
      <c r="G481" s="176">
        <v>1</v>
      </c>
      <c r="H481" s="178" t="s">
        <v>8099</v>
      </c>
      <c r="I481" s="592">
        <f t="shared" si="14"/>
        <v>1</v>
      </c>
      <c r="J481" s="178" t="s">
        <v>816</v>
      </c>
      <c r="K481" s="178" t="s">
        <v>816</v>
      </c>
      <c r="L481" s="275" t="str">
        <f>IF(H:H=0,"",IF(ISERROR(VLOOKUP(H:H,produtos_escape2!$A$2:$B$2794,2,FALSE)),"Código não cadastrado",(VLOOKUP(H:H,produtos_escape2!$A$2:$B$2794,2,FALSE))))</f>
        <v>CONSERTO DE CAMA HOSPITALAR MOTORIZADA, Marca STRYKER, Nº Patrimônio 922101</v>
      </c>
      <c r="M481" s="593" t="str">
        <f>IF(H:H=0,"",IF(ISERROR(VLOOKUP(H:H,produtos_escape2!$A$2:$D$2794,2,FALSE)),"Código não cadastrado",(VLOOKUP(H:H,produtos_escape2!$A$2:$D$2794,4,FALSE))))</f>
        <v>Serviço</v>
      </c>
      <c r="N481" s="486">
        <v>1</v>
      </c>
      <c r="O481" s="176" t="s">
        <v>9711</v>
      </c>
      <c r="P481" s="486">
        <v>1</v>
      </c>
      <c r="Q481" s="247">
        <v>1560</v>
      </c>
      <c r="R481" s="246">
        <f t="shared" si="15"/>
        <v>1560</v>
      </c>
      <c r="S481" s="177">
        <v>43992</v>
      </c>
      <c r="T481" s="182">
        <v>30</v>
      </c>
      <c r="U481" s="177">
        <v>44005</v>
      </c>
      <c r="V481" s="177">
        <v>44008</v>
      </c>
      <c r="W481" s="177">
        <v>44008</v>
      </c>
      <c r="X481" s="176">
        <v>63464</v>
      </c>
      <c r="Y481" s="177">
        <v>44061</v>
      </c>
      <c r="Z481" s="415">
        <v>4</v>
      </c>
      <c r="AA481" s="488" t="s">
        <v>9659</v>
      </c>
      <c r="AB481" s="594"/>
      <c r="AC481" s="595"/>
      <c r="AD481" s="596" t="str">
        <f>IF(AND(AC481&lt;&gt;"",S481&lt;&gt;""),NETWORKDAYS(AC481,S481,#REF!),"")</f>
        <v/>
      </c>
      <c r="AE481" s="596" t="str">
        <f ca="1">IF(AND(AD481="",AC481=""),"",IF(OR(AD481&lt;&gt;"",O481="*CANCELADO"),"",NETWORKDAYS(AC481,TODAY(),#REF!)))</f>
        <v/>
      </c>
      <c r="AF481" s="597">
        <f>IFERROR(INDEX(produtos_escape2!M:M,MATCH(Controle!H481,produtos_escape2!A:A,0)),"")</f>
        <v>0</v>
      </c>
    </row>
    <row r="482" spans="1:32" ht="14.25" customHeight="1">
      <c r="A482" s="176" t="s">
        <v>7358</v>
      </c>
      <c r="B482" s="176" t="s">
        <v>1687</v>
      </c>
      <c r="C482" s="177">
        <v>43964</v>
      </c>
      <c r="D482" s="176" t="s">
        <v>8442</v>
      </c>
      <c r="E482" s="176" t="s">
        <v>3008</v>
      </c>
      <c r="F482" s="259" t="s">
        <v>8443</v>
      </c>
      <c r="G482" s="176">
        <v>1</v>
      </c>
      <c r="H482" s="178" t="s">
        <v>8444</v>
      </c>
      <c r="I482" s="592">
        <f t="shared" si="14"/>
        <v>2</v>
      </c>
      <c r="J482" s="178"/>
      <c r="K482" s="178"/>
      <c r="L482" s="275" t="str">
        <f>IF(H:H=0,"",IF(ISERROR(VLOOKUP(H:H,produtos_escape2!$A$2:$B$2794,2,FALSE)),"Código não cadastrado",(VLOOKUP(H:H,produtos_escape2!$A$2:$B$2794,2,FALSE))))</f>
        <v xml:space="preserve">Conserto de Impressora, Marca DRY STAR, Modelo Blue DRY VIEW 6850, Nº Patrimônio 1301048, Nº de Série 68508166 .
</v>
      </c>
      <c r="M482" s="593" t="str">
        <f>IF(H:H=0,"",IF(ISERROR(VLOOKUP(H:H,produtos_escape2!$A$2:$D$2794,2,FALSE)),"Código não cadastrado",(VLOOKUP(H:H,produtos_escape2!$A$2:$D$2794,4,FALSE))))</f>
        <v>Serviço</v>
      </c>
      <c r="N482" s="486">
        <v>1</v>
      </c>
      <c r="O482" s="176" t="s">
        <v>8596</v>
      </c>
      <c r="P482" s="486">
        <v>1</v>
      </c>
      <c r="Q482" s="247">
        <v>2437</v>
      </c>
      <c r="R482" s="246">
        <f t="shared" si="15"/>
        <v>2437</v>
      </c>
      <c r="S482" s="177">
        <v>43976</v>
      </c>
      <c r="T482" s="182">
        <v>1265</v>
      </c>
      <c r="U482" s="177">
        <v>43977</v>
      </c>
      <c r="V482" s="177">
        <v>43978</v>
      </c>
      <c r="W482" s="177">
        <v>43978</v>
      </c>
      <c r="X482" s="176">
        <v>30752</v>
      </c>
      <c r="Y482" s="177">
        <v>44007</v>
      </c>
      <c r="Z482" s="415">
        <v>3</v>
      </c>
      <c r="AA482" s="488"/>
      <c r="AB482" s="594"/>
      <c r="AC482" s="595"/>
      <c r="AD482" s="596" t="str">
        <f>IF(AND(AC482&lt;&gt;"",S482&lt;&gt;""),NETWORKDAYS(AC482,S482,#REF!),"")</f>
        <v/>
      </c>
      <c r="AE482" s="596" t="str">
        <f ca="1">IF(AND(AD482="",AC482=""),"",IF(OR(AD482&lt;&gt;"",O482="*CANCELADO"),"",NETWORKDAYS(AC482,TODAY(),#REF!)))</f>
        <v/>
      </c>
      <c r="AF482" s="597">
        <f>IFERROR(INDEX(produtos_escape2!M:M,MATCH(Controle!H482,produtos_escape2!A:A,0)),"")</f>
        <v>0</v>
      </c>
    </row>
    <row r="483" spans="1:32" ht="14.25" customHeight="1">
      <c r="A483" s="176" t="s">
        <v>7352</v>
      </c>
      <c r="B483" s="176" t="s">
        <v>1687</v>
      </c>
      <c r="C483" s="177">
        <v>43964</v>
      </c>
      <c r="D483" s="176" t="s">
        <v>8442</v>
      </c>
      <c r="E483" s="176" t="s">
        <v>3008</v>
      </c>
      <c r="F483" s="259" t="s">
        <v>8443</v>
      </c>
      <c r="G483" s="176">
        <v>1</v>
      </c>
      <c r="H483" s="178" t="s">
        <v>8445</v>
      </c>
      <c r="I483" s="592">
        <f t="shared" si="14"/>
        <v>1</v>
      </c>
      <c r="J483" s="178"/>
      <c r="K483" s="178"/>
      <c r="L483" s="275" t="str">
        <f>IF(H:H=0,"",IF(ISERROR(VLOOKUP(H:H,produtos_escape2!$A$2:$B$2794,2,FALSE)),"Código não cadastrado",(VLOOKUP(H:H,produtos_escape2!$A$2:$B$2794,2,FALSE))))</f>
        <v xml:space="preserve">Conserto de Impressora, Marca DRY STAR, Modelo Blue DRY VIEW 5950, Nº Patrimônio 1301069, Nº de Série 59537606 .
</v>
      </c>
      <c r="M483" s="593" t="str">
        <f>IF(H:H=0,"",IF(ISERROR(VLOOKUP(H:H,produtos_escape2!$A$2:$D$2794,2,FALSE)),"Código não cadastrado",(VLOOKUP(H:H,produtos_escape2!$A$2:$D$2794,4,FALSE))))</f>
        <v>Serviço</v>
      </c>
      <c r="N483" s="486">
        <v>1</v>
      </c>
      <c r="O483" s="176" t="s">
        <v>1868</v>
      </c>
      <c r="P483" s="486"/>
      <c r="Q483" s="247"/>
      <c r="R483" s="246">
        <f t="shared" si="15"/>
        <v>0</v>
      </c>
      <c r="S483" s="177">
        <v>43976</v>
      </c>
      <c r="T483" s="182"/>
      <c r="U483" s="177"/>
      <c r="V483" s="177"/>
      <c r="W483" s="177"/>
      <c r="X483" s="176"/>
      <c r="Y483" s="177"/>
      <c r="Z483" s="415">
        <v>3</v>
      </c>
      <c r="AA483" s="488" t="s">
        <v>7474</v>
      </c>
      <c r="AB483" s="594"/>
      <c r="AC483" s="595"/>
      <c r="AD483" s="596" t="str">
        <f>IF(AND(AC483&lt;&gt;"",S483&lt;&gt;""),NETWORKDAYS(AC483,S483,#REF!),"")</f>
        <v/>
      </c>
      <c r="AE483" s="596" t="str">
        <f ca="1">IF(AND(AD483="",AC483=""),"",IF(OR(AD483&lt;&gt;"",O483="*CANCELADO"),"",NETWORKDAYS(AC483,TODAY(),#REF!)))</f>
        <v/>
      </c>
      <c r="AF483" s="597">
        <f>IFERROR(INDEX(produtos_escape2!M:M,MATCH(Controle!H483,produtos_escape2!A:A,0)),"")</f>
        <v>0</v>
      </c>
    </row>
    <row r="484" spans="1:32" ht="14.25" customHeight="1">
      <c r="A484" s="176" t="s">
        <v>7341</v>
      </c>
      <c r="B484" s="176" t="s">
        <v>1687</v>
      </c>
      <c r="C484" s="177">
        <v>43964</v>
      </c>
      <c r="D484" s="176" t="s">
        <v>8449</v>
      </c>
      <c r="E484" s="176" t="s">
        <v>3008</v>
      </c>
      <c r="F484" s="259" t="s">
        <v>8448</v>
      </c>
      <c r="G484" s="176">
        <v>1</v>
      </c>
      <c r="H484" s="178" t="s">
        <v>3137</v>
      </c>
      <c r="I484" s="592">
        <f t="shared" si="14"/>
        <v>1</v>
      </c>
      <c r="J484" s="178"/>
      <c r="K484" s="178"/>
      <c r="L484" s="275" t="str">
        <f>IF(H:H=0,"",IF(ISERROR(VLOOKUP(H:H,produtos_escape2!$A$2:$B$2794,2,FALSE)),"Código não cadastrado",(VLOOKUP(H:H,produtos_escape2!$A$2:$B$2794,2,FALSE))))</f>
        <v>Conserto de uma centrifuga da marca FANEM, n°de Patrimônio 1152310</v>
      </c>
      <c r="M484" s="593" t="str">
        <f>IF(H:H=0,"",IF(ISERROR(VLOOKUP(H:H,produtos_escape2!$A$2:$D$2794,2,FALSE)),"Código não cadastrado",(VLOOKUP(H:H,produtos_escape2!$A$2:$D$2794,4,FALSE))))</f>
        <v>Serviço</v>
      </c>
      <c r="N484" s="486">
        <v>1</v>
      </c>
      <c r="O484" s="176" t="s">
        <v>8252</v>
      </c>
      <c r="P484" s="486">
        <v>1</v>
      </c>
      <c r="Q484" s="247">
        <v>5708.9</v>
      </c>
      <c r="R484" s="246">
        <f t="shared" si="15"/>
        <v>5708.9</v>
      </c>
      <c r="S484" s="177">
        <v>43992</v>
      </c>
      <c r="T484" s="182">
        <v>5730</v>
      </c>
      <c r="U484" s="177">
        <v>44034</v>
      </c>
      <c r="V484" s="177">
        <v>44046</v>
      </c>
      <c r="W484" s="177">
        <v>44047</v>
      </c>
      <c r="X484" s="176">
        <v>63801</v>
      </c>
      <c r="Y484" s="177">
        <v>44061</v>
      </c>
      <c r="Z484" s="415">
        <v>4</v>
      </c>
      <c r="AA484" s="488"/>
      <c r="AB484" s="594"/>
      <c r="AC484" s="595"/>
      <c r="AD484" s="596" t="str">
        <f>IF(AND(AC484&lt;&gt;"",S484&lt;&gt;""),NETWORKDAYS(AC484,S484,#REF!),"")</f>
        <v/>
      </c>
      <c r="AE484" s="596" t="str">
        <f ca="1">IF(AND(AD484="",AC484=""),"",IF(OR(AD484&lt;&gt;"",O484="*CANCELADO"),"",NETWORKDAYS(AC484,TODAY(),#REF!)))</f>
        <v/>
      </c>
      <c r="AF484" s="597">
        <f>IFERROR(INDEX(produtos_escape2!M:M,MATCH(Controle!H484,produtos_escape2!A:A,0)),"")</f>
        <v>0</v>
      </c>
    </row>
    <row r="485" spans="1:32" ht="14.25" customHeight="1">
      <c r="A485" s="176" t="s">
        <v>7341</v>
      </c>
      <c r="B485" s="176" t="s">
        <v>1687</v>
      </c>
      <c r="C485" s="177">
        <v>43964</v>
      </c>
      <c r="D485" s="176" t="s">
        <v>8449</v>
      </c>
      <c r="E485" s="176" t="s">
        <v>3008</v>
      </c>
      <c r="F485" s="259" t="s">
        <v>8448</v>
      </c>
      <c r="G485" s="176">
        <v>1</v>
      </c>
      <c r="H485" s="178" t="s">
        <v>3931</v>
      </c>
      <c r="I485" s="592">
        <f t="shared" si="14"/>
        <v>1</v>
      </c>
      <c r="J485" s="178"/>
      <c r="K485" s="178"/>
      <c r="L485" s="275" t="str">
        <f>IF(H:H=0,"",IF(ISERROR(VLOOKUP(H:H,produtos_escape2!$A$2:$B$2794,2,FALSE)),"Código não cadastrado",(VLOOKUP(H:H,produtos_escape2!$A$2:$B$2794,2,FALSE))))</f>
        <v>Conserto de uma centrifuga da marca FANEM, n°de Patrimônio 1152313 MOD. 206 BL</v>
      </c>
      <c r="M485" s="593" t="str">
        <f>IF(H:H=0,"",IF(ISERROR(VLOOKUP(H:H,produtos_escape2!$A$2:$D$2794,2,FALSE)),"Código não cadastrado",(VLOOKUP(H:H,produtos_escape2!$A$2:$D$2794,4,FALSE))))</f>
        <v>Serviço</v>
      </c>
      <c r="N485" s="486">
        <v>1</v>
      </c>
      <c r="O485" s="176" t="s">
        <v>8252</v>
      </c>
      <c r="P485" s="486">
        <v>1</v>
      </c>
      <c r="Q485" s="247">
        <v>4389.8999999999996</v>
      </c>
      <c r="R485" s="246">
        <f t="shared" si="15"/>
        <v>4389.8999999999996</v>
      </c>
      <c r="S485" s="177">
        <v>43992</v>
      </c>
      <c r="T485" s="182">
        <v>5730</v>
      </c>
      <c r="U485" s="177">
        <v>44034</v>
      </c>
      <c r="V485" s="177">
        <v>44046</v>
      </c>
      <c r="W485" s="177">
        <v>44047</v>
      </c>
      <c r="X485" s="176">
        <v>63801</v>
      </c>
      <c r="Y485" s="177">
        <v>44061</v>
      </c>
      <c r="Z485" s="415">
        <v>4</v>
      </c>
      <c r="AA485" s="488"/>
      <c r="AB485" s="594"/>
      <c r="AC485" s="595"/>
      <c r="AD485" s="596" t="str">
        <f>IF(AND(AC485&lt;&gt;"",S485&lt;&gt;""),NETWORKDAYS(AC485,S485,#REF!),"")</f>
        <v/>
      </c>
      <c r="AE485" s="596" t="str">
        <f ca="1">IF(AND(AD485="",AC485=""),"",IF(OR(AD485&lt;&gt;"",O485="*CANCELADO"),"",NETWORKDAYS(AC485,TODAY(),#REF!)))</f>
        <v/>
      </c>
      <c r="AF485" s="597">
        <f>IFERROR(INDEX(produtos_escape2!M:M,MATCH(Controle!H485,produtos_escape2!A:A,0)),"")</f>
        <v>0</v>
      </c>
    </row>
    <row r="486" spans="1:32" ht="14.25" customHeight="1">
      <c r="A486" s="176" t="s">
        <v>7341</v>
      </c>
      <c r="B486" s="176" t="s">
        <v>1687</v>
      </c>
      <c r="C486" s="177">
        <v>43964</v>
      </c>
      <c r="D486" s="176" t="s">
        <v>8449</v>
      </c>
      <c r="E486" s="176" t="s">
        <v>3008</v>
      </c>
      <c r="F486" s="259" t="s">
        <v>8448</v>
      </c>
      <c r="G486" s="176">
        <v>1</v>
      </c>
      <c r="H486" s="178" t="s">
        <v>3139</v>
      </c>
      <c r="I486" s="592">
        <f t="shared" si="14"/>
        <v>1</v>
      </c>
      <c r="J486" s="178"/>
      <c r="K486" s="178"/>
      <c r="L486" s="275" t="str">
        <f>IF(H:H=0,"",IF(ISERROR(VLOOKUP(H:H,produtos_escape2!$A$2:$B$2794,2,FALSE)),"Código não cadastrado",(VLOOKUP(H:H,produtos_escape2!$A$2:$B$2794,2,FALSE))))</f>
        <v>Conserto de uma centrifuga da marca FANEM, n°de Patrimônio 1152314</v>
      </c>
      <c r="M486" s="593" t="str">
        <f>IF(H:H=0,"",IF(ISERROR(VLOOKUP(H:H,produtos_escape2!$A$2:$D$2794,2,FALSE)),"Código não cadastrado",(VLOOKUP(H:H,produtos_escape2!$A$2:$D$2794,4,FALSE))))</f>
        <v>Serviço</v>
      </c>
      <c r="N486" s="486">
        <v>1</v>
      </c>
      <c r="O486" s="176" t="s">
        <v>8252</v>
      </c>
      <c r="P486" s="486">
        <v>1</v>
      </c>
      <c r="Q486" s="247">
        <v>4885.6499999999996</v>
      </c>
      <c r="R486" s="246">
        <f t="shared" si="15"/>
        <v>4885.6499999999996</v>
      </c>
      <c r="S486" s="177">
        <v>43992</v>
      </c>
      <c r="T486" s="182">
        <v>5730</v>
      </c>
      <c r="U486" s="177">
        <v>44034</v>
      </c>
      <c r="V486" s="177">
        <v>44046</v>
      </c>
      <c r="W486" s="177">
        <v>44047</v>
      </c>
      <c r="X486" s="176">
        <v>63801</v>
      </c>
      <c r="Y486" s="177">
        <v>44061</v>
      </c>
      <c r="Z486" s="415">
        <v>4</v>
      </c>
      <c r="AA486" s="488"/>
      <c r="AB486" s="594"/>
      <c r="AC486" s="595"/>
      <c r="AD486" s="596" t="str">
        <f>IF(AND(AC486&lt;&gt;"",S486&lt;&gt;""),NETWORKDAYS(AC486,S486,#REF!),"")</f>
        <v/>
      </c>
      <c r="AE486" s="596" t="str">
        <f ca="1">IF(AND(AD486="",AC486=""),"",IF(OR(AD486&lt;&gt;"",O486="*CANCELADO"),"",NETWORKDAYS(AC486,TODAY(),#REF!)))</f>
        <v/>
      </c>
      <c r="AF486" s="597">
        <f>IFERROR(INDEX(produtos_escape2!M:M,MATCH(Controle!H486,produtos_escape2!A:A,0)),"")</f>
        <v>0</v>
      </c>
    </row>
    <row r="487" spans="1:32" ht="14.25" customHeight="1">
      <c r="A487" s="176" t="s">
        <v>8021</v>
      </c>
      <c r="B487" s="176" t="s">
        <v>3608</v>
      </c>
      <c r="C487" s="177">
        <v>43966</v>
      </c>
      <c r="D487" s="176" t="s">
        <v>8461</v>
      </c>
      <c r="E487" s="176" t="s">
        <v>3009</v>
      </c>
      <c r="F487" s="259" t="s">
        <v>8454</v>
      </c>
      <c r="G487" s="176">
        <v>1</v>
      </c>
      <c r="H487" s="178">
        <v>23027</v>
      </c>
      <c r="I487" s="592">
        <f t="shared" si="14"/>
        <v>5</v>
      </c>
      <c r="J487" s="178" t="s">
        <v>816</v>
      </c>
      <c r="K487" s="178" t="s">
        <v>816</v>
      </c>
      <c r="L487" s="275"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487" s="593" t="str">
        <f>IF(H:H=0,"",IF(ISERROR(VLOOKUP(H:H,produtos_escape2!$A$2:$D$2794,2,FALSE)),"Código não cadastrado",(VLOOKUP(H:H,produtos_escape2!$A$2:$D$2794,4,FALSE))))</f>
        <v>UN</v>
      </c>
      <c r="N487" s="486">
        <v>20</v>
      </c>
      <c r="O487" s="176" t="s">
        <v>7283</v>
      </c>
      <c r="P487" s="486">
        <v>20</v>
      </c>
      <c r="Q487" s="247">
        <v>88</v>
      </c>
      <c r="R487" s="246">
        <f t="shared" si="15"/>
        <v>1760</v>
      </c>
      <c r="S487" s="177">
        <v>43973</v>
      </c>
      <c r="T487" s="182">
        <v>1585</v>
      </c>
      <c r="U487" s="177">
        <v>43982</v>
      </c>
      <c r="V487" s="177">
        <v>43983</v>
      </c>
      <c r="W487" s="177">
        <v>43985</v>
      </c>
      <c r="X487" s="176">
        <v>30625</v>
      </c>
      <c r="Y487" s="177">
        <v>44007</v>
      </c>
      <c r="Z487" s="415">
        <v>3</v>
      </c>
      <c r="AA487" s="488" t="s">
        <v>8462</v>
      </c>
      <c r="AB487" s="594"/>
      <c r="AC487" s="595"/>
      <c r="AD487" s="596" t="str">
        <f>IF(AND(AC487&lt;&gt;"",S487&lt;&gt;""),NETWORKDAYS(AC487,S487,#REF!),"")</f>
        <v/>
      </c>
      <c r="AE487" s="596" t="str">
        <f ca="1">IF(AND(AD487="",AC487=""),"",IF(OR(AD487&lt;&gt;"",O487="*CANCELADO"),"",NETWORKDAYS(AC487,TODAY(),#REF!)))</f>
        <v/>
      </c>
      <c r="AF487" s="597" t="str">
        <f>IFERROR(INDEX(produtos_escape2!M:M,MATCH(Controle!H487,produtos_escape2!A:A,0)),"")</f>
        <v>TUBO DE REPOSIÇÃO PARA GASTROSTOMIA</v>
      </c>
    </row>
    <row r="488" spans="1:32" ht="14.25" customHeight="1">
      <c r="A488" s="176" t="s">
        <v>8025</v>
      </c>
      <c r="B488" s="176" t="s">
        <v>3608</v>
      </c>
      <c r="C488" s="177">
        <v>43966</v>
      </c>
      <c r="D488" s="176" t="s">
        <v>8463</v>
      </c>
      <c r="E488" s="176" t="s">
        <v>1867</v>
      </c>
      <c r="F488" s="259" t="s">
        <v>8455</v>
      </c>
      <c r="G488" s="176">
        <v>1</v>
      </c>
      <c r="H488" s="178">
        <v>92133</v>
      </c>
      <c r="I488" s="592">
        <f t="shared" si="14"/>
        <v>3</v>
      </c>
      <c r="J488" s="178" t="s">
        <v>816</v>
      </c>
      <c r="K488" s="178" t="s">
        <v>816</v>
      </c>
      <c r="L488" s="275"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488" s="593" t="str">
        <f>IF(H:H=0,"",IF(ISERROR(VLOOKUP(H:H,produtos_escape2!$A$2:$D$2794,2,FALSE)),"Código não cadastrado",(VLOOKUP(H:H,produtos_escape2!$A$2:$D$2794,4,FALSE))))</f>
        <v>UN</v>
      </c>
      <c r="N488" s="486">
        <v>30</v>
      </c>
      <c r="O488" s="176" t="s">
        <v>7283</v>
      </c>
      <c r="P488" s="486">
        <v>30</v>
      </c>
      <c r="Q488" s="247">
        <v>109.9</v>
      </c>
      <c r="R488" s="246">
        <f t="shared" si="15"/>
        <v>3297</v>
      </c>
      <c r="S488" s="177">
        <v>43970</v>
      </c>
      <c r="T488" s="182">
        <v>1571</v>
      </c>
      <c r="U488" s="177">
        <v>43976</v>
      </c>
      <c r="V488" s="177">
        <v>43976</v>
      </c>
      <c r="W488" s="177">
        <v>43978</v>
      </c>
      <c r="X488" s="176">
        <v>30802</v>
      </c>
      <c r="Y488" s="177">
        <v>44007</v>
      </c>
      <c r="Z488" s="415">
        <v>3</v>
      </c>
      <c r="AA488" s="488"/>
      <c r="AB488" s="594"/>
      <c r="AC488" s="595"/>
      <c r="AD488" s="596" t="str">
        <f>IF(AND(AC488&lt;&gt;"",S488&lt;&gt;""),NETWORKDAYS(AC488,S488,#REF!),"")</f>
        <v/>
      </c>
      <c r="AE488" s="596" t="str">
        <f ca="1">IF(AND(AD488="",AC488=""),"",IF(OR(AD488&lt;&gt;"",O488="*CANCELADO"),"",NETWORKDAYS(AC488,TODAY(),#REF!)))</f>
        <v/>
      </c>
      <c r="AF488" s="597" t="str">
        <f>IFERROR(INDEX(produtos_escape2!M:M,MATCH(Controle!H488,produtos_escape2!A:A,0)),"")</f>
        <v>CATETER DUPLO LUMEN PARA HEMODIALISE</v>
      </c>
    </row>
    <row r="489" spans="1:32" ht="14.25" customHeight="1">
      <c r="A489" s="176" t="s">
        <v>8027</v>
      </c>
      <c r="B489" s="176" t="s">
        <v>3608</v>
      </c>
      <c r="C489" s="177">
        <v>43966</v>
      </c>
      <c r="D489" s="176" t="s">
        <v>8464</v>
      </c>
      <c r="E489" s="176" t="s">
        <v>1866</v>
      </c>
      <c r="F489" s="259" t="s">
        <v>8456</v>
      </c>
      <c r="G489" s="176">
        <v>1</v>
      </c>
      <c r="H489" s="178">
        <v>35105</v>
      </c>
      <c r="I489" s="592">
        <f t="shared" si="14"/>
        <v>1</v>
      </c>
      <c r="J489" s="178" t="s">
        <v>816</v>
      </c>
      <c r="K489" s="178" t="s">
        <v>816</v>
      </c>
      <c r="L489" s="275" t="str">
        <f>IF(H:H=0,"",IF(ISERROR(VLOOKUP(H:H,produtos_escape2!$A$2:$B$2794,2,FALSE)),"Código não cadastrado",(VLOOKUP(H:H,produtos_escape2!$A$2:$B$2794,2,FALSE))))</f>
        <v>Frasco coletor, 1000 mL, para aspiração de vias aéreas, descartável, com tampa rosqueada autovedante. Descartável. Tipo sistema fechado. Acompanha tubos extensores. APLICAÇÃO:  Utilizado para aspiração de secreção de vias aéreas adaptável a rede canalizada de vácuo, tipo beira leito. COMPOSIÇÃO: frasco em PVC cristal e 2 extensores em PVC ou silicone atóxico, medindo de 1,2 m a 2,5 m. TAMANHO/CAPACIDADE: frasco de 1000mL graduado volumetricamente a cada 50 ou 100mL; com alça de sustentação. CARACTERÍSTICAS ADICIONAIS: frascos com laças de sustentação. Acompanhado das 02 extensões em PVC ou silicone atóxico com transparência que permita a visualização da secreção, com pinça/clamp corta fluxo e tampa na extremidade proximal. . Do tipo 02 vias, com conexões para vacuômetro e paciente. Sistema fechado que ofereça segurança durante o manuseio e uso evitando transbordamento da secreção. Que proporcione segurança para a rede de vácuo e para os profissionais. PROCESSO DE ESTERILIZAÇÃO: não estéril. PRAZO DE VALIDADE:  mínima de 12 meses. EMBALAGEM: embalagem reforçada que ofereça proteção ao produto, assegurando a integridade do produto até o momento do uso.</v>
      </c>
      <c r="M489" s="593" t="str">
        <f>IF(H:H=0,"",IF(ISERROR(VLOOKUP(H:H,produtos_escape2!$A$2:$D$2794,2,FALSE)),"Código não cadastrado",(VLOOKUP(H:H,produtos_escape2!$A$2:$D$2794,4,FALSE))))</f>
        <v>UN</v>
      </c>
      <c r="N489" s="486">
        <v>150</v>
      </c>
      <c r="O489" s="176" t="s">
        <v>7483</v>
      </c>
      <c r="P489" s="486">
        <v>144</v>
      </c>
      <c r="Q489" s="247">
        <v>9.9</v>
      </c>
      <c r="R489" s="246">
        <f t="shared" si="15"/>
        <v>1425.6000000000001</v>
      </c>
      <c r="S489" s="177">
        <v>43970</v>
      </c>
      <c r="T489" s="182">
        <v>87761</v>
      </c>
      <c r="U489" s="177">
        <v>43971</v>
      </c>
      <c r="V489" s="177">
        <v>43977</v>
      </c>
      <c r="W489" s="177">
        <v>43978</v>
      </c>
      <c r="X489" s="176">
        <v>30616</v>
      </c>
      <c r="Y489" s="177">
        <v>44007</v>
      </c>
      <c r="Z489" s="415">
        <v>3</v>
      </c>
      <c r="AA489" s="488"/>
      <c r="AB489" s="594"/>
      <c r="AC489" s="595"/>
      <c r="AD489" s="596" t="str">
        <f>IF(AND(AC489&lt;&gt;"",S489&lt;&gt;""),NETWORKDAYS(AC489,S489,#REF!),"")</f>
        <v/>
      </c>
      <c r="AE489" s="596" t="str">
        <f ca="1">IF(AND(AD489="",AC489=""),"",IF(OR(AD489&lt;&gt;"",O489="*CANCELADO"),"",NETWORKDAYS(AC489,TODAY(),#REF!)))</f>
        <v/>
      </c>
      <c r="AF489" s="597" t="str">
        <f>IFERROR(INDEX(produtos_escape2!M:M,MATCH(Controle!H489,produtos_escape2!A:A,0)),"")</f>
        <v>Frasco coletor</v>
      </c>
    </row>
    <row r="490" spans="1:32" ht="14.25" customHeight="1">
      <c r="A490" s="176" t="s">
        <v>8029</v>
      </c>
      <c r="B490" s="176" t="s">
        <v>3608</v>
      </c>
      <c r="C490" s="177">
        <v>43966</v>
      </c>
      <c r="D490" s="176" t="s">
        <v>8465</v>
      </c>
      <c r="E490" s="176" t="s">
        <v>3009</v>
      </c>
      <c r="F490" s="259" t="s">
        <v>8457</v>
      </c>
      <c r="G490" s="176">
        <v>1</v>
      </c>
      <c r="H490" s="178">
        <v>12286</v>
      </c>
      <c r="I490" s="592">
        <f t="shared" si="14"/>
        <v>5</v>
      </c>
      <c r="J490" s="178" t="s">
        <v>816</v>
      </c>
      <c r="K490" s="178" t="s">
        <v>816</v>
      </c>
      <c r="L490" s="275"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490" s="593" t="str">
        <f>IF(H:H=0,"",IF(ISERROR(VLOOKUP(H:H,produtos_escape2!$A$2:$D$2794,2,FALSE)),"Código não cadastrado",(VLOOKUP(H:H,produtos_escape2!$A$2:$D$2794,4,FALSE))))</f>
        <v>UN</v>
      </c>
      <c r="N490" s="486">
        <v>100</v>
      </c>
      <c r="O490" s="176" t="s">
        <v>8556</v>
      </c>
      <c r="P490" s="486">
        <v>40</v>
      </c>
      <c r="Q490" s="247">
        <v>59.9</v>
      </c>
      <c r="R490" s="246">
        <f t="shared" si="15"/>
        <v>2396</v>
      </c>
      <c r="S490" s="177">
        <v>43973</v>
      </c>
      <c r="T490" s="182">
        <v>99570</v>
      </c>
      <c r="U490" s="177">
        <v>44026</v>
      </c>
      <c r="V490" s="177">
        <v>44028</v>
      </c>
      <c r="W490" s="177">
        <v>44029</v>
      </c>
      <c r="X490" s="176">
        <v>54226</v>
      </c>
      <c r="Y490" s="177">
        <v>44046</v>
      </c>
      <c r="Z490" s="415">
        <v>4</v>
      </c>
      <c r="AA490" s="488"/>
      <c r="AB490" s="594"/>
      <c r="AC490" s="595"/>
      <c r="AD490" s="596" t="str">
        <f>IF(AND(AC490&lt;&gt;"",S490&lt;&gt;""),NETWORKDAYS(AC490,S490,#REF!),"")</f>
        <v/>
      </c>
      <c r="AE490" s="596" t="str">
        <f ca="1">IF(AND(AD490="",AC490=""),"",IF(OR(AD490&lt;&gt;"",O490="*CANCELADO"),"",NETWORKDAYS(AC490,TODAY(),#REF!)))</f>
        <v/>
      </c>
      <c r="AF490" s="597" t="str">
        <f>IFERROR(INDEX(produtos_escape2!M:M,MATCH(Controle!H490,produtos_escape2!A:A,0)),"")</f>
        <v>SISTEMA FECHADO DE ASPIRAÇÃO TRAQUEAL VIA TUBO OROTRAQUEAL ADULTO 14 FR</v>
      </c>
    </row>
    <row r="491" spans="1:32" ht="14.25" customHeight="1">
      <c r="A491" s="176" t="s">
        <v>8029</v>
      </c>
      <c r="B491" s="176" t="s">
        <v>3608</v>
      </c>
      <c r="C491" s="177">
        <v>43966</v>
      </c>
      <c r="D491" s="176" t="s">
        <v>8465</v>
      </c>
      <c r="E491" s="176" t="s">
        <v>3009</v>
      </c>
      <c r="F491" s="259" t="s">
        <v>8457</v>
      </c>
      <c r="G491" s="176">
        <v>1</v>
      </c>
      <c r="H491" s="178">
        <v>12286</v>
      </c>
      <c r="I491" s="592">
        <f t="shared" si="14"/>
        <v>5</v>
      </c>
      <c r="J491" s="178" t="s">
        <v>816</v>
      </c>
      <c r="K491" s="178" t="s">
        <v>816</v>
      </c>
      <c r="L491" s="275"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491" s="593" t="str">
        <f>IF(H:H=0,"",IF(ISERROR(VLOOKUP(H:H,produtos_escape2!$A$2:$D$2794,2,FALSE)),"Código não cadastrado",(VLOOKUP(H:H,produtos_escape2!$A$2:$D$2794,4,FALSE))))</f>
        <v>UN</v>
      </c>
      <c r="N491" s="486">
        <v>100</v>
      </c>
      <c r="O491" s="176" t="s">
        <v>8556</v>
      </c>
      <c r="P491" s="486">
        <v>60</v>
      </c>
      <c r="Q491" s="247">
        <v>59.9</v>
      </c>
      <c r="R491" s="246">
        <f t="shared" si="15"/>
        <v>3594</v>
      </c>
      <c r="S491" s="177">
        <v>43973</v>
      </c>
      <c r="T491" s="182">
        <v>101109</v>
      </c>
      <c r="U491" s="177">
        <v>44070</v>
      </c>
      <c r="V491" s="177">
        <v>44074</v>
      </c>
      <c r="W491" s="177">
        <v>44077</v>
      </c>
      <c r="X491" s="176">
        <v>91466</v>
      </c>
      <c r="Y491" s="177">
        <v>44104</v>
      </c>
      <c r="Z491" s="415">
        <v>5</v>
      </c>
      <c r="AA491" s="488"/>
      <c r="AB491" s="594"/>
      <c r="AC491" s="595"/>
      <c r="AD491" s="596" t="str">
        <f>IF(AND(AC491&lt;&gt;"",S491&lt;&gt;""),NETWORKDAYS(AC491,S491,#REF!),"")</f>
        <v/>
      </c>
      <c r="AE491" s="596" t="str">
        <f ca="1">IF(AND(AD491="",AC491=""),"",IF(OR(AD491&lt;&gt;"",O491="*CANCELADO"),"",NETWORKDAYS(AC491,TODAY(),#REF!)))</f>
        <v/>
      </c>
      <c r="AF491" s="597" t="str">
        <f>IFERROR(INDEX(produtos_escape2!M:M,MATCH(Controle!H491,produtos_escape2!A:A,0)),"")</f>
        <v>SISTEMA FECHADO DE ASPIRAÇÃO TRAQUEAL VIA TUBO OROTRAQUEAL ADULTO 14 FR</v>
      </c>
    </row>
    <row r="492" spans="1:32" ht="14.25" customHeight="1">
      <c r="A492" s="176" t="s">
        <v>8031</v>
      </c>
      <c r="B492" s="176" t="s">
        <v>3608</v>
      </c>
      <c r="C492" s="177">
        <v>43966</v>
      </c>
      <c r="D492" s="176" t="s">
        <v>8466</v>
      </c>
      <c r="E492" s="176" t="s">
        <v>1867</v>
      </c>
      <c r="F492" s="259" t="s">
        <v>8458</v>
      </c>
      <c r="G492" s="176">
        <v>1</v>
      </c>
      <c r="H492" s="203">
        <v>12289</v>
      </c>
      <c r="I492" s="661">
        <f t="shared" si="14"/>
        <v>6</v>
      </c>
      <c r="J492" s="203" t="s">
        <v>816</v>
      </c>
      <c r="K492" s="203" t="s">
        <v>816</v>
      </c>
      <c r="L492" s="275" t="str">
        <f>IF(H:H=0,"",IF(ISERROR(VLOOKUP(H:H,produtos_escape2!$A$2:$B$2794,2,FALSE)),"Código não cadastrado",(VLOOKUP(H:H,produtos_escape2!$A$2:$B$2794,2,FALSE))))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492" s="593" t="str">
        <f>IF(H:H=0,"",IF(ISERROR(VLOOKUP(H:H,produtos_escape2!$A$2:$D$2794,2,FALSE)),"Código não cadastrado",(VLOOKUP(H:H,produtos_escape2!$A$2:$D$2794,4,FALSE))))</f>
        <v>UN</v>
      </c>
      <c r="N492" s="486">
        <v>50</v>
      </c>
      <c r="O492" s="176" t="s">
        <v>8556</v>
      </c>
      <c r="P492" s="486">
        <v>50</v>
      </c>
      <c r="Q492" s="247">
        <v>59.9</v>
      </c>
      <c r="R492" s="246">
        <f t="shared" si="15"/>
        <v>2995</v>
      </c>
      <c r="S492" s="177">
        <v>43973</v>
      </c>
      <c r="T492" s="182">
        <v>104590</v>
      </c>
      <c r="U492" s="177">
        <v>44154</v>
      </c>
      <c r="V492" s="177">
        <v>44159</v>
      </c>
      <c r="W492" s="177">
        <v>44160</v>
      </c>
      <c r="X492" s="176" t="s">
        <v>10674</v>
      </c>
      <c r="Y492" s="177"/>
      <c r="Z492" s="415">
        <v>6</v>
      </c>
      <c r="AA492" s="488" t="s">
        <v>10079</v>
      </c>
      <c r="AB492" s="594"/>
      <c r="AC492" s="595"/>
      <c r="AD492" s="596" t="str">
        <f>IF(AND(AC492&lt;&gt;"",S492&lt;&gt;""),NETWORKDAYS(AC492,S492,#REF!),"")</f>
        <v/>
      </c>
      <c r="AE492" s="596" t="str">
        <f ca="1">IF(AND(AD492="",AC492=""),"",IF(OR(AD492&lt;&gt;"",O492="*CANCELADO"),"",NETWORKDAYS(AC492,TODAY(),#REF!)))</f>
        <v/>
      </c>
      <c r="AF492" s="597" t="str">
        <f>IFERROR(INDEX(produtos_escape2!M:M,MATCH(Controle!H492,produtos_escape2!A:A,0)),"")</f>
        <v>SISTEMA FECHADO DE ASPIRAÇÃO TRAQUEAL VIA CÂNULA DE TRAQUEOSTOMIA ADULTO 16 FR</v>
      </c>
    </row>
    <row r="493" spans="1:32" ht="14.25" customHeight="1">
      <c r="A493" s="176" t="s">
        <v>8032</v>
      </c>
      <c r="B493" s="176" t="s">
        <v>3608</v>
      </c>
      <c r="C493" s="177">
        <v>43966</v>
      </c>
      <c r="D493" s="176" t="s">
        <v>8467</v>
      </c>
      <c r="E493" s="176" t="s">
        <v>1865</v>
      </c>
      <c r="F493" s="259" t="s">
        <v>8459</v>
      </c>
      <c r="G493" s="176">
        <v>1</v>
      </c>
      <c r="H493" s="178">
        <v>12290</v>
      </c>
      <c r="I493" s="592">
        <f t="shared" si="14"/>
        <v>8</v>
      </c>
      <c r="J493" s="178" t="s">
        <v>816</v>
      </c>
      <c r="K493" s="178" t="s">
        <v>816</v>
      </c>
      <c r="L493" s="275"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493" s="593" t="str">
        <f>IF(H:H=0,"",IF(ISERROR(VLOOKUP(H:H,produtos_escape2!$A$2:$D$2794,2,FALSE)),"Código não cadastrado",(VLOOKUP(H:H,produtos_escape2!$A$2:$D$2794,4,FALSE))))</f>
        <v>UN</v>
      </c>
      <c r="N493" s="486">
        <v>50</v>
      </c>
      <c r="O493" s="176" t="s">
        <v>8556</v>
      </c>
      <c r="P493" s="486">
        <v>50</v>
      </c>
      <c r="Q493" s="247">
        <v>59.9</v>
      </c>
      <c r="R493" s="246">
        <f t="shared" si="15"/>
        <v>2995</v>
      </c>
      <c r="S493" s="177">
        <v>43972</v>
      </c>
      <c r="T493" s="182">
        <v>97883</v>
      </c>
      <c r="U493" s="177">
        <v>43973</v>
      </c>
      <c r="V493" s="177">
        <v>43976</v>
      </c>
      <c r="W493" s="177">
        <v>43978</v>
      </c>
      <c r="X493" s="176">
        <v>30780</v>
      </c>
      <c r="Y493" s="177">
        <v>44007</v>
      </c>
      <c r="Z493" s="415">
        <v>3</v>
      </c>
      <c r="AA493" s="488"/>
      <c r="AB493" s="594"/>
      <c r="AC493" s="595"/>
      <c r="AD493" s="596" t="str">
        <f>IF(AND(AC493&lt;&gt;"",S493&lt;&gt;""),NETWORKDAYS(AC493,S493,#REF!),"")</f>
        <v/>
      </c>
      <c r="AE493" s="596" t="str">
        <f ca="1">IF(AND(AD493="",AC493=""),"",IF(OR(AD493&lt;&gt;"",O493="*CANCELADO"),"",NETWORKDAYS(AC493,TODAY(),#REF!)))</f>
        <v/>
      </c>
      <c r="AF493" s="597" t="str">
        <f>IFERROR(INDEX(produtos_escape2!M:M,MATCH(Controle!H493,produtos_escape2!A:A,0)),"")</f>
        <v>SISTEMA FECHADO DE ASPIRAÇÃO TRAQUEAL VIA TUBO OROTRAQUEAL ADULTO 16 FR</v>
      </c>
    </row>
    <row r="494" spans="1:32" ht="14.25" customHeight="1">
      <c r="A494" s="176" t="s">
        <v>7719</v>
      </c>
      <c r="B494" s="176" t="s">
        <v>7207</v>
      </c>
      <c r="C494" s="177">
        <v>43966</v>
      </c>
      <c r="D494" s="176" t="s">
        <v>8453</v>
      </c>
      <c r="E494" s="176" t="s">
        <v>1866</v>
      </c>
      <c r="F494" s="259" t="s">
        <v>8460</v>
      </c>
      <c r="G494" s="176">
        <v>1</v>
      </c>
      <c r="H494" s="178">
        <v>11888</v>
      </c>
      <c r="I494" s="592">
        <f t="shared" si="14"/>
        <v>2</v>
      </c>
      <c r="J494" s="178" t="s">
        <v>816</v>
      </c>
      <c r="K494" s="178" t="s">
        <v>816</v>
      </c>
      <c r="L494" s="275" t="str">
        <f>IF(H:H=0,"",IF(ISERROR(VLOOKUP(H:H,produtos_escape2!$A$2:$B$2794,2,FALSE)),"Código não cadastrado",(VLOOKUP(H:H,produtos_escape2!$A$2:$B$2794,2,FALSE))))</f>
        <v>ÓCULOS DE SEGURANÇA, Material Lente: 100% policarbonato, Modelo: tradicional ou aviador, Normas técnicas: certificado de aprovação do Ministério do Trabalho, Características Adicionais: resistentes a impactos, suporte reforçado para o nariz, protetores laterais e superiores moldados, opticamente corretos e sem distorções das imagens.</v>
      </c>
      <c r="M494" s="593" t="str">
        <f>IF(H:H=0,"",IF(ISERROR(VLOOKUP(H:H,produtos_escape2!$A$2:$D$2794,2,FALSE)),"Código não cadastrado",(VLOOKUP(H:H,produtos_escape2!$A$2:$D$2794,4,FALSE))))</f>
        <v>UN</v>
      </c>
      <c r="N494" s="486">
        <v>500</v>
      </c>
      <c r="O494" s="176" t="s">
        <v>8566</v>
      </c>
      <c r="P494" s="486">
        <v>500</v>
      </c>
      <c r="Q494" s="247">
        <v>5.49</v>
      </c>
      <c r="R494" s="246">
        <f t="shared" si="15"/>
        <v>2745</v>
      </c>
      <c r="S494" s="177">
        <v>43970</v>
      </c>
      <c r="T494" s="182">
        <v>8385</v>
      </c>
      <c r="U494" s="177">
        <v>43970</v>
      </c>
      <c r="V494" s="177">
        <v>43976</v>
      </c>
      <c r="W494" s="177">
        <v>43978</v>
      </c>
      <c r="X494" s="176">
        <v>30774</v>
      </c>
      <c r="Y494" s="177">
        <v>44007</v>
      </c>
      <c r="Z494" s="415">
        <v>3</v>
      </c>
      <c r="AA494" s="488"/>
      <c r="AB494" s="594"/>
      <c r="AC494" s="595"/>
      <c r="AD494" s="596" t="str">
        <f>IF(AND(AC494&lt;&gt;"",S494&lt;&gt;""),NETWORKDAYS(AC494,S494,#REF!),"")</f>
        <v/>
      </c>
      <c r="AE494" s="596" t="str">
        <f ca="1">IF(AND(AD494="",AC494=""),"",IF(OR(AD494&lt;&gt;"",O494="*CANCELADO"),"",NETWORKDAYS(AC494,TODAY(),#REF!)))</f>
        <v/>
      </c>
      <c r="AF494" s="597" t="str">
        <f>IFERROR(INDEX(produtos_escape2!M:M,MATCH(Controle!H494,produtos_escape2!A:A,0)),"")</f>
        <v>ÓCULOS DE SEGURANÇA</v>
      </c>
    </row>
    <row r="495" spans="1:32" ht="14.25" customHeight="1">
      <c r="A495" s="176" t="s">
        <v>8112</v>
      </c>
      <c r="B495" s="176" t="s">
        <v>3608</v>
      </c>
      <c r="C495" s="177">
        <v>43970</v>
      </c>
      <c r="D495" s="176" t="s">
        <v>8474</v>
      </c>
      <c r="E495" s="176" t="s">
        <v>1867</v>
      </c>
      <c r="F495" s="259" t="s">
        <v>8475</v>
      </c>
      <c r="G495" s="176">
        <v>1</v>
      </c>
      <c r="H495" s="178">
        <v>90259</v>
      </c>
      <c r="I495" s="592">
        <f t="shared" si="14"/>
        <v>5</v>
      </c>
      <c r="J495" s="178" t="s">
        <v>816</v>
      </c>
      <c r="K495" s="178" t="s">
        <v>816</v>
      </c>
      <c r="L495" s="275" t="str">
        <f>IF(H:H=0,"",IF(ISERROR(VLOOKUP(H:H,produtos_escape2!$A$2:$B$2794,2,FALSE)),"Código não cadastrado",(VLOOKUP(H:H,produtos_escape2!$A$2:$B$2794,2,FALSE))))</f>
        <v>AZITROMICINA PO PARA SOLUCAO INJETAVEL 500 MG FRASCO AMPOLA</v>
      </c>
      <c r="M495" s="593" t="str">
        <f>IF(H:H=0,"",IF(ISERROR(VLOOKUP(H:H,produtos_escape2!$A$2:$D$2794,2,FALSE)),"Código não cadastrado",(VLOOKUP(H:H,produtos_escape2!$A$2:$D$2794,4,FALSE))))</f>
        <v>AMP</v>
      </c>
      <c r="N495" s="486">
        <v>250</v>
      </c>
      <c r="O495" s="176" t="s">
        <v>1868</v>
      </c>
      <c r="P495" s="486"/>
      <c r="Q495" s="247"/>
      <c r="R495" s="246">
        <f t="shared" si="15"/>
        <v>0</v>
      </c>
      <c r="S495" s="177">
        <v>43983</v>
      </c>
      <c r="T495" s="182"/>
      <c r="U495" s="177"/>
      <c r="V495" s="177"/>
      <c r="W495" s="177"/>
      <c r="X495" s="176"/>
      <c r="Y495" s="177"/>
      <c r="Z495" s="415">
        <v>3</v>
      </c>
      <c r="AA495" s="488" t="s">
        <v>7474</v>
      </c>
      <c r="AB495" s="594"/>
      <c r="AC495" s="595"/>
      <c r="AD495" s="596" t="str">
        <f>IF(AND(AC495&lt;&gt;"",S495&lt;&gt;""),NETWORKDAYS(AC495,S495,#REF!),"")</f>
        <v/>
      </c>
      <c r="AE495" s="596" t="str">
        <f ca="1">IF(AND(AD495="",AC495=""),"",IF(OR(AD495&lt;&gt;"",O495="*CANCELADO"),"",NETWORKDAYS(AC495,TODAY(),#REF!)))</f>
        <v/>
      </c>
      <c r="AF495" s="597" t="str">
        <f>IFERROR(INDEX(produtos_escape2!M:M,MATCH(Controle!H495,produtos_escape2!A:A,0)),"")</f>
        <v>AZITROMICINA PO PARA SOLUCAO INJETAVEL 500 MG FRASCO AMPOLA</v>
      </c>
    </row>
    <row r="496" spans="1:32" ht="14.25" customHeight="1">
      <c r="A496" s="176" t="s">
        <v>7730</v>
      </c>
      <c r="B496" s="176" t="s">
        <v>7207</v>
      </c>
      <c r="C496" s="177">
        <v>43970</v>
      </c>
      <c r="D496" s="176" t="s">
        <v>8493</v>
      </c>
      <c r="E496" s="176" t="s">
        <v>1866</v>
      </c>
      <c r="F496" s="481" t="s">
        <v>8477</v>
      </c>
      <c r="G496" s="203">
        <v>1</v>
      </c>
      <c r="H496" s="178">
        <v>24934</v>
      </c>
      <c r="I496" s="592">
        <f t="shared" si="14"/>
        <v>2</v>
      </c>
      <c r="J496" s="178" t="s">
        <v>816</v>
      </c>
      <c r="K496" s="178" t="s">
        <v>816</v>
      </c>
      <c r="L496" s="275" t="str">
        <f>IF(H:H=0,"",IF(ISERROR(VLOOKUP(H:H,produtos_escape2!$A$2:$B$2794,2,FALSE)),"Código não cadastrado",(VLOOKUP(H:H,produtos_escape2!$A$2:$B$2794,2,FALSE))))</f>
        <v>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v>
      </c>
      <c r="M496" s="593" t="str">
        <f>IF(H:H=0,"",IF(ISERROR(VLOOKUP(H:H,produtos_escape2!$A$2:$D$2794,2,FALSE)),"Código não cadastrado",(VLOOKUP(H:H,produtos_escape2!$A$2:$D$2794,4,FALSE))))</f>
        <v>PR</v>
      </c>
      <c r="N496" s="486">
        <v>10</v>
      </c>
      <c r="O496" s="176" t="s">
        <v>5740</v>
      </c>
      <c r="P496" s="486">
        <v>15</v>
      </c>
      <c r="Q496" s="247">
        <v>22.5</v>
      </c>
      <c r="R496" s="246">
        <f t="shared" si="15"/>
        <v>337.5</v>
      </c>
      <c r="S496" s="177">
        <v>43977</v>
      </c>
      <c r="T496" s="182">
        <v>60848</v>
      </c>
      <c r="U496" s="177">
        <v>43978</v>
      </c>
      <c r="V496" s="177">
        <v>43984</v>
      </c>
      <c r="W496" s="177">
        <v>43985</v>
      </c>
      <c r="X496" s="176">
        <v>30058</v>
      </c>
      <c r="Y496" s="177">
        <v>44007</v>
      </c>
      <c r="Z496" s="415">
        <v>3</v>
      </c>
      <c r="AA496" s="488"/>
      <c r="AB496" s="594"/>
      <c r="AC496" s="595"/>
      <c r="AD496" s="596" t="str">
        <f>IF(AND(AC496&lt;&gt;"",S496&lt;&gt;""),NETWORKDAYS(AC496,S496,#REF!),"")</f>
        <v/>
      </c>
      <c r="AE496" s="596" t="str">
        <f ca="1">IF(AND(AD496="",AC496=""),"",IF(OR(AD496&lt;&gt;"",O496="*CANCELADO"),"",NETWORKDAYS(AC496,TODAY(),#REF!)))</f>
        <v/>
      </c>
      <c r="AF496" s="597" t="str">
        <f>IFERROR(INDEX(produtos_escape2!M:M,MATCH(Controle!H496,produtos_escape2!A:A,0)),"")</f>
        <v>BOTA SEGURANÇA 34</v>
      </c>
    </row>
    <row r="497" spans="1:32" ht="14.25" customHeight="1">
      <c r="A497" s="176" t="s">
        <v>7731</v>
      </c>
      <c r="B497" s="176" t="s">
        <v>7207</v>
      </c>
      <c r="C497" s="177">
        <v>43970</v>
      </c>
      <c r="D497" s="176" t="s">
        <v>8490</v>
      </c>
      <c r="E497" s="176" t="s">
        <v>1866</v>
      </c>
      <c r="F497" s="481" t="s">
        <v>8574</v>
      </c>
      <c r="G497" s="203">
        <v>2</v>
      </c>
      <c r="H497" s="178">
        <v>14381</v>
      </c>
      <c r="I497" s="592">
        <f t="shared" si="14"/>
        <v>1</v>
      </c>
      <c r="J497" s="178" t="s">
        <v>816</v>
      </c>
      <c r="K497" s="178" t="s">
        <v>816</v>
      </c>
      <c r="L497" s="275" t="str">
        <f>IF(H:H=0,"",IF(ISERROR(VLOOKUP(H:H,produtos_escape2!$A$2:$B$2794,2,FALSE)),"Código não cadastrado",(VLOOKUP(H:H,produtos_escape2!$A$2:$B$2794,2,FALSE))))</f>
        <v>BOTA DE BORRACHA CANO LONGO TAMANHO:35, FORRADA POR DENTRO COM MEIA DE POLIESTER OU NYLON, NA COR BRANCA, SOLADO ANITERRAPANTE, CONTENDO C.A (Certificado de Aprovação) INSCRITO NO EPI.</v>
      </c>
      <c r="M497" s="593" t="str">
        <f>IF(H:H=0,"",IF(ISERROR(VLOOKUP(H:H,produtos_escape2!$A$2:$D$2794,2,FALSE)),"Código não cadastrado",(VLOOKUP(H:H,produtos_escape2!$A$2:$D$2794,4,FALSE))))</f>
        <v>PR</v>
      </c>
      <c r="N497" s="486">
        <v>10</v>
      </c>
      <c r="O497" s="176" t="s">
        <v>5740</v>
      </c>
      <c r="P497" s="486">
        <v>15</v>
      </c>
      <c r="Q497" s="247">
        <v>22.5</v>
      </c>
      <c r="R497" s="246">
        <f t="shared" si="15"/>
        <v>337.5</v>
      </c>
      <c r="S497" s="177">
        <v>43977</v>
      </c>
      <c r="T497" s="182">
        <v>60848</v>
      </c>
      <c r="U497" s="177">
        <v>43978</v>
      </c>
      <c r="V497" s="177">
        <v>43984</v>
      </c>
      <c r="W497" s="177">
        <v>43985</v>
      </c>
      <c r="X497" s="176">
        <v>30058</v>
      </c>
      <c r="Y497" s="177">
        <v>44007</v>
      </c>
      <c r="Z497" s="415">
        <v>3</v>
      </c>
      <c r="AA497" s="488"/>
      <c r="AB497" s="594"/>
      <c r="AC497" s="595"/>
      <c r="AD497" s="596" t="str">
        <f>IF(AND(AC497&lt;&gt;"",S497&lt;&gt;""),NETWORKDAYS(AC497,S497,#REF!),"")</f>
        <v/>
      </c>
      <c r="AE497" s="596" t="str">
        <f ca="1">IF(AND(AD497="",AC497=""),"",IF(OR(AD497&lt;&gt;"",O497="*CANCELADO"),"",NETWORKDAYS(AC497,TODAY(),#REF!)))</f>
        <v/>
      </c>
      <c r="AF497" s="597" t="str">
        <f>IFERROR(INDEX(produtos_escape2!M:M,MATCH(Controle!H497,produtos_escape2!A:A,0)),"")</f>
        <v>BOTA BORRACHA 35</v>
      </c>
    </row>
    <row r="498" spans="1:32" ht="14.25" customHeight="1">
      <c r="A498" s="176" t="s">
        <v>7732</v>
      </c>
      <c r="B498" s="176" t="s">
        <v>7207</v>
      </c>
      <c r="C498" s="177">
        <v>43970</v>
      </c>
      <c r="D498" s="176" t="s">
        <v>8486</v>
      </c>
      <c r="E498" s="176" t="s">
        <v>1866</v>
      </c>
      <c r="F498" s="481" t="s">
        <v>8575</v>
      </c>
      <c r="G498" s="203">
        <v>3</v>
      </c>
      <c r="H498" s="178">
        <v>14383</v>
      </c>
      <c r="I498" s="592">
        <f t="shared" si="14"/>
        <v>3</v>
      </c>
      <c r="J498" s="178" t="s">
        <v>816</v>
      </c>
      <c r="K498" s="178" t="s">
        <v>816</v>
      </c>
      <c r="L498" s="275"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498" s="593" t="str">
        <f>IF(H:H=0,"",IF(ISERROR(VLOOKUP(H:H,produtos_escape2!$A$2:$D$2794,2,FALSE)),"Código não cadastrado",(VLOOKUP(H:H,produtos_escape2!$A$2:$D$2794,4,FALSE))))</f>
        <v>PR</v>
      </c>
      <c r="N498" s="486">
        <v>15</v>
      </c>
      <c r="O498" s="176" t="s">
        <v>5740</v>
      </c>
      <c r="P498" s="486">
        <v>15</v>
      </c>
      <c r="Q498" s="247">
        <v>22.5</v>
      </c>
      <c r="R498" s="246">
        <f t="shared" si="15"/>
        <v>337.5</v>
      </c>
      <c r="S498" s="177">
        <v>43977</v>
      </c>
      <c r="T498" s="182">
        <v>60848</v>
      </c>
      <c r="U498" s="177">
        <v>43978</v>
      </c>
      <c r="V498" s="177">
        <v>43984</v>
      </c>
      <c r="W498" s="177">
        <v>43985</v>
      </c>
      <c r="X498" s="176">
        <v>30058</v>
      </c>
      <c r="Y498" s="177">
        <v>44007</v>
      </c>
      <c r="Z498" s="415">
        <v>3</v>
      </c>
      <c r="AA498" s="488"/>
      <c r="AB498" s="594"/>
      <c r="AC498" s="595"/>
      <c r="AD498" s="596" t="str">
        <f>IF(AND(AC498&lt;&gt;"",S498&lt;&gt;""),NETWORKDAYS(AC498,S498,#REF!),"")</f>
        <v/>
      </c>
      <c r="AE498" s="596" t="str">
        <f ca="1">IF(AND(AD498="",AC498=""),"",IF(OR(AD498&lt;&gt;"",O498="*CANCELADO"),"",NETWORKDAYS(AC498,TODAY(),#REF!)))</f>
        <v/>
      </c>
      <c r="AF498" s="597" t="str">
        <f>IFERROR(INDEX(produtos_escape2!M:M,MATCH(Controle!H498,produtos_escape2!A:A,0)),"")</f>
        <v>BOTA BORRACHA 36</v>
      </c>
    </row>
    <row r="499" spans="1:32" ht="14.25" customHeight="1">
      <c r="A499" s="176" t="s">
        <v>7733</v>
      </c>
      <c r="B499" s="176" t="s">
        <v>7207</v>
      </c>
      <c r="C499" s="177">
        <v>43970</v>
      </c>
      <c r="D499" s="176" t="s">
        <v>8483</v>
      </c>
      <c r="E499" s="176" t="s">
        <v>1866</v>
      </c>
      <c r="F499" s="481" t="s">
        <v>8576</v>
      </c>
      <c r="G499" s="203">
        <v>4</v>
      </c>
      <c r="H499" s="178">
        <v>14384</v>
      </c>
      <c r="I499" s="592">
        <f t="shared" si="14"/>
        <v>1</v>
      </c>
      <c r="J499" s="178" t="s">
        <v>816</v>
      </c>
      <c r="K499" s="178" t="s">
        <v>816</v>
      </c>
      <c r="L499" s="275" t="str">
        <f>IF(H:H=0,"",IF(ISERROR(VLOOKUP(H:H,produtos_escape2!$A$2:$B$2794,2,FALSE)),"Código não cadastrado",(VLOOKUP(H:H,produtos_escape2!$A$2:$B$2794,2,FALSE))))</f>
        <v>BOTA DE BORRACHA CANO LONGO TAMANHO:37, FORRADA POR DENTRO COM MEIA DE POLIESTER OU NYLON, NA COR BRANCA, SOLADO ANITERRAPANTE, CONTENDO C.A (Certificado de Aprovação) INSCRITO NO EPI. Tamanho 37.</v>
      </c>
      <c r="M499" s="593" t="str">
        <f>IF(H:H=0,"",IF(ISERROR(VLOOKUP(H:H,produtos_escape2!$A$2:$D$2794,2,FALSE)),"Código não cadastrado",(VLOOKUP(H:H,produtos_escape2!$A$2:$D$2794,4,FALSE))))</f>
        <v>PR</v>
      </c>
      <c r="N499" s="486">
        <v>15</v>
      </c>
      <c r="O499" s="176" t="s">
        <v>5740</v>
      </c>
      <c r="P499" s="486">
        <v>15</v>
      </c>
      <c r="Q499" s="247">
        <v>22.5</v>
      </c>
      <c r="R499" s="246">
        <f t="shared" si="15"/>
        <v>337.5</v>
      </c>
      <c r="S499" s="177">
        <v>43977</v>
      </c>
      <c r="T499" s="182">
        <v>60848</v>
      </c>
      <c r="U499" s="177">
        <v>43978</v>
      </c>
      <c r="V499" s="177">
        <v>43984</v>
      </c>
      <c r="W499" s="177">
        <v>43985</v>
      </c>
      <c r="X499" s="176">
        <v>30058</v>
      </c>
      <c r="Y499" s="177">
        <v>44007</v>
      </c>
      <c r="Z499" s="415">
        <v>3</v>
      </c>
      <c r="AA499" s="488" t="s">
        <v>8489</v>
      </c>
      <c r="AB499" s="594"/>
      <c r="AC499" s="595"/>
      <c r="AD499" s="596" t="str">
        <f>IF(AND(AC499&lt;&gt;"",S499&lt;&gt;""),NETWORKDAYS(AC499,S499,#REF!),"")</f>
        <v/>
      </c>
      <c r="AE499" s="596" t="str">
        <f ca="1">IF(AND(AD499="",AC499=""),"",IF(OR(AD499&lt;&gt;"",O499="*CANCELADO"),"",NETWORKDAYS(AC499,TODAY(),#REF!)))</f>
        <v/>
      </c>
      <c r="AF499" s="597" t="str">
        <f>IFERROR(INDEX(produtos_escape2!M:M,MATCH(Controle!H499,produtos_escape2!A:A,0)),"")</f>
        <v>BOTA BORRACHA 37</v>
      </c>
    </row>
    <row r="500" spans="1:32" ht="14.25" customHeight="1">
      <c r="A500" s="176" t="s">
        <v>7735</v>
      </c>
      <c r="B500" s="176" t="s">
        <v>7207</v>
      </c>
      <c r="C500" s="177">
        <v>43970</v>
      </c>
      <c r="D500" s="176" t="s">
        <v>8480</v>
      </c>
      <c r="E500" s="176" t="s">
        <v>1866</v>
      </c>
      <c r="F500" s="481" t="s">
        <v>8577</v>
      </c>
      <c r="G500" s="203">
        <v>5</v>
      </c>
      <c r="H500" s="178">
        <v>14386</v>
      </c>
      <c r="I500" s="592">
        <f t="shared" si="14"/>
        <v>2</v>
      </c>
      <c r="J500" s="178" t="s">
        <v>816</v>
      </c>
      <c r="K500" s="178" t="s">
        <v>816</v>
      </c>
      <c r="L500" s="275" t="str">
        <f>IF(H:H=0,"",IF(ISERROR(VLOOKUP(H:H,produtos_escape2!$A$2:$B$2794,2,FALSE)),"Código não cadastrado",(VLOOKUP(H:H,produtos_escape2!$A$2:$B$2794,2,FALSE))))</f>
        <v>BOTA DE BORRACHA CANO LONGO TAMANHO:38, FORRADA POR DENTRO COM MEIA DE POLIESTER OU NYLON, NA COR BRANCA, SOLADO ANITERRAPANTE, CONTENDO C.A (Certificado de Aprovação) INSCRITO NO EPI.</v>
      </c>
      <c r="M500" s="593" t="str">
        <f>IF(H:H=0,"",IF(ISERROR(VLOOKUP(H:H,produtos_escape2!$A$2:$D$2794,2,FALSE)),"Código não cadastrado",(VLOOKUP(H:H,produtos_escape2!$A$2:$D$2794,4,FALSE))))</f>
        <v>PR</v>
      </c>
      <c r="N500" s="486">
        <v>15</v>
      </c>
      <c r="O500" s="176" t="s">
        <v>5740</v>
      </c>
      <c r="P500" s="486">
        <v>10</v>
      </c>
      <c r="Q500" s="247">
        <v>22.5</v>
      </c>
      <c r="R500" s="246">
        <f t="shared" si="15"/>
        <v>225</v>
      </c>
      <c r="S500" s="177">
        <v>43977</v>
      </c>
      <c r="T500" s="182">
        <v>60848</v>
      </c>
      <c r="U500" s="177">
        <v>43978</v>
      </c>
      <c r="V500" s="177">
        <v>43984</v>
      </c>
      <c r="W500" s="177">
        <v>43985</v>
      </c>
      <c r="X500" s="176">
        <v>30058</v>
      </c>
      <c r="Y500" s="177">
        <v>44007</v>
      </c>
      <c r="Z500" s="415">
        <v>3</v>
      </c>
      <c r="AA500" s="488"/>
      <c r="AB500" s="594"/>
      <c r="AC500" s="595"/>
      <c r="AD500" s="596" t="str">
        <f>IF(AND(AC500&lt;&gt;"",S500&lt;&gt;""),NETWORKDAYS(AC500,S500,#REF!),"")</f>
        <v/>
      </c>
      <c r="AE500" s="596" t="str">
        <f ca="1">IF(AND(AD500="",AC500=""),"",IF(OR(AD500&lt;&gt;"",O500="*CANCELADO"),"",NETWORKDAYS(AC500,TODAY(),#REF!)))</f>
        <v/>
      </c>
      <c r="AF500" s="597" t="str">
        <f>IFERROR(INDEX(produtos_escape2!M:M,MATCH(Controle!H500,produtos_escape2!A:A,0)),"")</f>
        <v>BOTA BORRACHA 38</v>
      </c>
    </row>
    <row r="501" spans="1:32" ht="14.25" customHeight="1">
      <c r="A501" s="176" t="s">
        <v>7762</v>
      </c>
      <c r="B501" s="176" t="s">
        <v>7207</v>
      </c>
      <c r="C501" s="177">
        <v>43970</v>
      </c>
      <c r="D501" s="176" t="s">
        <v>8476</v>
      </c>
      <c r="E501" s="176" t="s">
        <v>1866</v>
      </c>
      <c r="F501" s="481" t="s">
        <v>8578</v>
      </c>
      <c r="G501" s="203">
        <v>6</v>
      </c>
      <c r="H501" s="178">
        <v>14388</v>
      </c>
      <c r="I501" s="592">
        <f t="shared" si="14"/>
        <v>2</v>
      </c>
      <c r="J501" s="178" t="s">
        <v>816</v>
      </c>
      <c r="K501" s="178" t="s">
        <v>816</v>
      </c>
      <c r="L501" s="275" t="str">
        <f>IF(H:H=0,"",IF(ISERROR(VLOOKUP(H:H,produtos_escape2!$A$2:$B$2794,2,FALSE)),"Código não cadastrado",(VLOOKUP(H:H,produtos_escape2!$A$2:$B$2794,2,FALSE))))</f>
        <v>BOTA DE BORRACHA CANO LONGO TAMANHO:39, FORRADA POR DENTRO COM MEIA DE POLIESTER OU NYLON, NA COR BRANCA, SOLADO ANITERRAPANTE, CONTENDO C.A (Certificado de Aprovação) INSCRITO NO EPI.</v>
      </c>
      <c r="M501" s="593" t="str">
        <f>IF(H:H=0,"",IF(ISERROR(VLOOKUP(H:H,produtos_escape2!$A$2:$D$2794,2,FALSE)),"Código não cadastrado",(VLOOKUP(H:H,produtos_escape2!$A$2:$D$2794,4,FALSE))))</f>
        <v>PR</v>
      </c>
      <c r="N501" s="486">
        <v>15</v>
      </c>
      <c r="O501" s="176" t="s">
        <v>5740</v>
      </c>
      <c r="P501" s="486">
        <v>10</v>
      </c>
      <c r="Q501" s="247">
        <v>22.5</v>
      </c>
      <c r="R501" s="246">
        <f t="shared" si="15"/>
        <v>225</v>
      </c>
      <c r="S501" s="177">
        <v>43977</v>
      </c>
      <c r="T501" s="182">
        <v>60848</v>
      </c>
      <c r="U501" s="177">
        <v>43978</v>
      </c>
      <c r="V501" s="177">
        <v>43984</v>
      </c>
      <c r="W501" s="177">
        <v>43985</v>
      </c>
      <c r="X501" s="176">
        <v>30058</v>
      </c>
      <c r="Y501" s="177">
        <v>44007</v>
      </c>
      <c r="Z501" s="415">
        <v>3</v>
      </c>
      <c r="AA501" s="488"/>
      <c r="AB501" s="594"/>
      <c r="AC501" s="595"/>
      <c r="AD501" s="596" t="str">
        <f>IF(AND(AC501&lt;&gt;"",S501&lt;&gt;""),NETWORKDAYS(AC501,S501,#REF!),"")</f>
        <v/>
      </c>
      <c r="AE501" s="596" t="str">
        <f ca="1">IF(AND(AD501="",AC501=""),"",IF(OR(AD501&lt;&gt;"",O501="*CANCELADO"),"",NETWORKDAYS(AC501,TODAY(),#REF!)))</f>
        <v/>
      </c>
      <c r="AF501" s="597" t="str">
        <f>IFERROR(INDEX(produtos_escape2!M:M,MATCH(Controle!H501,produtos_escape2!A:A,0)),"")</f>
        <v>BOTA BORRACHA 39</v>
      </c>
    </row>
    <row r="502" spans="1:32" ht="14.25" customHeight="1">
      <c r="A502" s="176" t="s">
        <v>7763</v>
      </c>
      <c r="B502" s="176" t="s">
        <v>7207</v>
      </c>
      <c r="C502" s="177">
        <v>43970</v>
      </c>
      <c r="D502" s="176" t="s">
        <v>8496</v>
      </c>
      <c r="E502" s="176" t="s">
        <v>1866</v>
      </c>
      <c r="F502" s="481" t="s">
        <v>8579</v>
      </c>
      <c r="G502" s="203">
        <v>7</v>
      </c>
      <c r="H502" s="178">
        <v>14401</v>
      </c>
      <c r="I502" s="592">
        <f t="shared" si="14"/>
        <v>2</v>
      </c>
      <c r="J502" s="178" t="s">
        <v>816</v>
      </c>
      <c r="K502" s="178" t="s">
        <v>816</v>
      </c>
      <c r="L502" s="275" t="str">
        <f>IF(H:H=0,"",IF(ISERROR(VLOOKUP(H:H,produtos_escape2!$A$2:$B$2794,2,FALSE)),"Código não cadastrado",(VLOOKUP(H:H,produtos_escape2!$A$2:$B$2794,2,FALSE))))</f>
        <v>BOTA DE BORRACHA CANO LONGO TAMANHO:40, FORRADA POR DENTRO COM MEIA DE POLIESTER OU NYLON, NA COR BRANCA, SOLADO ANITERRAPANTE, CONTENDO C.A (Certificado de Aprovação) INSCRITO NO EPI.</v>
      </c>
      <c r="M502" s="593" t="str">
        <f>IF(H:H=0,"",IF(ISERROR(VLOOKUP(H:H,produtos_escape2!$A$2:$D$2794,2,FALSE)),"Código não cadastrado",(VLOOKUP(H:H,produtos_escape2!$A$2:$D$2794,4,FALSE))))</f>
        <v>PR</v>
      </c>
      <c r="N502" s="486">
        <v>15</v>
      </c>
      <c r="O502" s="176" t="s">
        <v>5740</v>
      </c>
      <c r="P502" s="486">
        <v>15</v>
      </c>
      <c r="Q502" s="247">
        <v>22.5</v>
      </c>
      <c r="R502" s="246">
        <f t="shared" si="15"/>
        <v>337.5</v>
      </c>
      <c r="S502" s="177">
        <v>43977</v>
      </c>
      <c r="T502" s="182">
        <v>60848</v>
      </c>
      <c r="U502" s="177">
        <v>43978</v>
      </c>
      <c r="V502" s="177">
        <v>43984</v>
      </c>
      <c r="W502" s="177">
        <v>43985</v>
      </c>
      <c r="X502" s="176">
        <v>30058</v>
      </c>
      <c r="Y502" s="177">
        <v>44007</v>
      </c>
      <c r="Z502" s="415">
        <v>3</v>
      </c>
      <c r="AA502" s="488"/>
      <c r="AB502" s="594"/>
      <c r="AC502" s="595"/>
      <c r="AD502" s="596" t="str">
        <f>IF(AND(AC502&lt;&gt;"",S502&lt;&gt;""),NETWORKDAYS(AC502,S502,#REF!),"")</f>
        <v/>
      </c>
      <c r="AE502" s="596" t="str">
        <f ca="1">IF(AND(AD502="",AC502=""),"",IF(OR(AD502&lt;&gt;"",O502="*CANCELADO"),"",NETWORKDAYS(AC502,TODAY(),#REF!)))</f>
        <v/>
      </c>
      <c r="AF502" s="597" t="str">
        <f>IFERROR(INDEX(produtos_escape2!M:M,MATCH(Controle!H502,produtos_escape2!A:A,0)),"")</f>
        <v>BOTA BORRACHA 40</v>
      </c>
    </row>
    <row r="503" spans="1:32" ht="14.25" customHeight="1">
      <c r="A503" s="176" t="s">
        <v>7764</v>
      </c>
      <c r="B503" s="176" t="s">
        <v>7207</v>
      </c>
      <c r="C503" s="177">
        <v>43970</v>
      </c>
      <c r="D503" s="176" t="s">
        <v>8499</v>
      </c>
      <c r="E503" s="176" t="s">
        <v>1866</v>
      </c>
      <c r="F503" s="481" t="s">
        <v>8580</v>
      </c>
      <c r="G503" s="203">
        <v>8</v>
      </c>
      <c r="H503" s="178">
        <v>14402</v>
      </c>
      <c r="I503" s="592">
        <f t="shared" si="14"/>
        <v>2</v>
      </c>
      <c r="J503" s="178" t="s">
        <v>816</v>
      </c>
      <c r="K503" s="178" t="s">
        <v>816</v>
      </c>
      <c r="L503" s="275" t="str">
        <f>IF(H:H=0,"",IF(ISERROR(VLOOKUP(H:H,produtos_escape2!$A$2:$B$2794,2,FALSE)),"Código não cadastrado",(VLOOKUP(H:H,produtos_escape2!$A$2:$B$2794,2,FALSE))))</f>
        <v>BOTA DE BORRACHA CANO LONGO TAMANHO:41, FORRADA POR DENTRO COM MEIA DE POLIESTER OU NYLON, NA COR BRANCA, SOLADO ANITERRAPANTE, CONTENDO C.A (Certificado de Aprovação) INSCRITO NO EPI.</v>
      </c>
      <c r="M503" s="593" t="str">
        <f>IF(H:H=0,"",IF(ISERROR(VLOOKUP(H:H,produtos_escape2!$A$2:$D$2794,2,FALSE)),"Código não cadastrado",(VLOOKUP(H:H,produtos_escape2!$A$2:$D$2794,4,FALSE))))</f>
        <v>PR</v>
      </c>
      <c r="N503" s="486">
        <v>15</v>
      </c>
      <c r="O503" s="176" t="s">
        <v>5740</v>
      </c>
      <c r="P503" s="486">
        <v>15</v>
      </c>
      <c r="Q503" s="247">
        <v>22.5</v>
      </c>
      <c r="R503" s="246">
        <f t="shared" si="15"/>
        <v>337.5</v>
      </c>
      <c r="S503" s="177">
        <v>43977</v>
      </c>
      <c r="T503" s="182">
        <v>60848</v>
      </c>
      <c r="U503" s="177">
        <v>43978</v>
      </c>
      <c r="V503" s="177">
        <v>43984</v>
      </c>
      <c r="W503" s="177">
        <v>43985</v>
      </c>
      <c r="X503" s="176">
        <v>30058</v>
      </c>
      <c r="Y503" s="177">
        <v>44007</v>
      </c>
      <c r="Z503" s="415">
        <v>3</v>
      </c>
      <c r="AA503" s="488"/>
      <c r="AB503" s="594"/>
      <c r="AC503" s="595"/>
      <c r="AD503" s="596" t="str">
        <f>IF(AND(AC503&lt;&gt;"",S503&lt;&gt;""),NETWORKDAYS(AC503,S503,#REF!),"")</f>
        <v/>
      </c>
      <c r="AE503" s="596" t="str">
        <f ca="1">IF(AND(AD503="",AC503=""),"",IF(OR(AD503&lt;&gt;"",O503="*CANCELADO"),"",NETWORKDAYS(AC503,TODAY(),#REF!)))</f>
        <v/>
      </c>
      <c r="AF503" s="597" t="str">
        <f>IFERROR(INDEX(produtos_escape2!M:M,MATCH(Controle!H503,produtos_escape2!A:A,0)),"")</f>
        <v>BOTA BORRACHA 41</v>
      </c>
    </row>
    <row r="504" spans="1:32" ht="14.25" customHeight="1">
      <c r="A504" s="176" t="s">
        <v>7765</v>
      </c>
      <c r="B504" s="176" t="s">
        <v>7207</v>
      </c>
      <c r="C504" s="177">
        <v>43970</v>
      </c>
      <c r="D504" s="176" t="s">
        <v>8502</v>
      </c>
      <c r="E504" s="176" t="s">
        <v>1866</v>
      </c>
      <c r="F504" s="481" t="s">
        <v>8581</v>
      </c>
      <c r="G504" s="203">
        <v>9</v>
      </c>
      <c r="H504" s="178">
        <v>15921</v>
      </c>
      <c r="I504" s="592">
        <f t="shared" si="14"/>
        <v>2</v>
      </c>
      <c r="J504" s="178" t="s">
        <v>816</v>
      </c>
      <c r="K504" s="178" t="s">
        <v>816</v>
      </c>
      <c r="L504" s="275"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v>
      </c>
      <c r="M504" s="593" t="str">
        <f>IF(H:H=0,"",IF(ISERROR(VLOOKUP(H:H,produtos_escape2!$A$2:$D$2794,2,FALSE)),"Código não cadastrado",(VLOOKUP(H:H,produtos_escape2!$A$2:$D$2794,4,FALSE))))</f>
        <v>PR</v>
      </c>
      <c r="N504" s="486">
        <v>10</v>
      </c>
      <c r="O504" s="176" t="s">
        <v>5740</v>
      </c>
      <c r="P504" s="486">
        <v>10</v>
      </c>
      <c r="Q504" s="247">
        <v>22.5</v>
      </c>
      <c r="R504" s="246">
        <f t="shared" si="15"/>
        <v>225</v>
      </c>
      <c r="S504" s="177">
        <v>43977</v>
      </c>
      <c r="T504" s="182">
        <v>60848</v>
      </c>
      <c r="U504" s="177">
        <v>43978</v>
      </c>
      <c r="V504" s="177">
        <v>43984</v>
      </c>
      <c r="W504" s="177">
        <v>43985</v>
      </c>
      <c r="X504" s="176">
        <v>30058</v>
      </c>
      <c r="Y504" s="177">
        <v>44007</v>
      </c>
      <c r="Z504" s="415">
        <v>3</v>
      </c>
      <c r="AA504" s="488"/>
      <c r="AB504" s="594"/>
      <c r="AC504" s="595"/>
      <c r="AD504" s="596" t="str">
        <f>IF(AND(AC504&lt;&gt;"",S504&lt;&gt;""),NETWORKDAYS(AC504,S504,#REF!),"")</f>
        <v/>
      </c>
      <c r="AE504" s="596" t="str">
        <f ca="1">IF(AND(AD504="",AC504=""),"",IF(OR(AD504&lt;&gt;"",O504="*CANCELADO"),"",NETWORKDAYS(AC504,TODAY(),#REF!)))</f>
        <v/>
      </c>
      <c r="AF504" s="597" t="str">
        <f>IFERROR(INDEX(produtos_escape2!M:M,MATCH(Controle!H504,produtos_escape2!A:A,0)),"")</f>
        <v>BOTA SEGURANÇA 42</v>
      </c>
    </row>
    <row r="505" spans="1:32" ht="14.25" customHeight="1">
      <c r="A505" s="176" t="s">
        <v>7779</v>
      </c>
      <c r="B505" s="176" t="s">
        <v>7207</v>
      </c>
      <c r="C505" s="177">
        <v>43970</v>
      </c>
      <c r="D505" s="176" t="s">
        <v>8505</v>
      </c>
      <c r="E505" s="176" t="s">
        <v>1866</v>
      </c>
      <c r="F505" s="481" t="s">
        <v>8582</v>
      </c>
      <c r="G505" s="203">
        <v>10</v>
      </c>
      <c r="H505" s="178">
        <v>15933</v>
      </c>
      <c r="I505" s="592">
        <f t="shared" si="14"/>
        <v>2</v>
      </c>
      <c r="J505" s="178" t="s">
        <v>816</v>
      </c>
      <c r="K505" s="178" t="s">
        <v>816</v>
      </c>
      <c r="L505" s="275"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v>
      </c>
      <c r="M505" s="593" t="str">
        <f>IF(H:H=0,"",IF(ISERROR(VLOOKUP(H:H,produtos_escape2!$A$2:$D$2794,2,FALSE)),"Código não cadastrado",(VLOOKUP(H:H,produtos_escape2!$A$2:$D$2794,4,FALSE))))</f>
        <v>PR</v>
      </c>
      <c r="N505" s="486">
        <v>10</v>
      </c>
      <c r="O505" s="176" t="s">
        <v>5740</v>
      </c>
      <c r="P505" s="486">
        <v>10</v>
      </c>
      <c r="Q505" s="247">
        <v>22.5</v>
      </c>
      <c r="R505" s="246">
        <f t="shared" si="15"/>
        <v>225</v>
      </c>
      <c r="S505" s="177">
        <v>43977</v>
      </c>
      <c r="T505" s="182">
        <v>60848</v>
      </c>
      <c r="U505" s="177">
        <v>43978</v>
      </c>
      <c r="V505" s="177">
        <v>43984</v>
      </c>
      <c r="W505" s="177">
        <v>43985</v>
      </c>
      <c r="X505" s="176">
        <v>30058</v>
      </c>
      <c r="Y505" s="177">
        <v>44007</v>
      </c>
      <c r="Z505" s="415">
        <v>3</v>
      </c>
      <c r="AA505" s="488"/>
      <c r="AB505" s="594"/>
      <c r="AC505" s="595"/>
      <c r="AD505" s="596" t="str">
        <f>IF(AND(AC505&lt;&gt;"",S505&lt;&gt;""),NETWORKDAYS(AC505,S505,#REF!),"")</f>
        <v/>
      </c>
      <c r="AE505" s="596" t="str">
        <f ca="1">IF(AND(AD505="",AC505=""),"",IF(OR(AD505&lt;&gt;"",O505="*CANCELADO"),"",NETWORKDAYS(AC505,TODAY(),#REF!)))</f>
        <v/>
      </c>
      <c r="AF505" s="597" t="str">
        <f>IFERROR(INDEX(produtos_escape2!M:M,MATCH(Controle!H505,produtos_escape2!A:A,0)),"")</f>
        <v>BOTA SEGURANÇA 43</v>
      </c>
    </row>
    <row r="506" spans="1:32" ht="14.25" customHeight="1">
      <c r="A506" s="176" t="s">
        <v>8109</v>
      </c>
      <c r="B506" s="176" t="s">
        <v>3608</v>
      </c>
      <c r="C506" s="177">
        <v>43970</v>
      </c>
      <c r="D506" s="176" t="s">
        <v>8511</v>
      </c>
      <c r="E506" s="176" t="s">
        <v>3009</v>
      </c>
      <c r="F506" s="259" t="s">
        <v>8508</v>
      </c>
      <c r="G506" s="176">
        <v>1</v>
      </c>
      <c r="H506" s="178">
        <v>90413</v>
      </c>
      <c r="I506" s="592">
        <f t="shared" si="14"/>
        <v>4</v>
      </c>
      <c r="J506" s="178" t="s">
        <v>816</v>
      </c>
      <c r="K506" s="178" t="s">
        <v>816</v>
      </c>
      <c r="L506" s="275" t="str">
        <f>IF(H:H=0,"",IF(ISERROR(VLOOKUP(H:H,produtos_escape2!$A$2:$B$2794,2,FALSE)),"Código não cadastrado",(VLOOKUP(H:H,produtos_escape2!$A$2:$B$2794,2,FALSE))))</f>
        <v>NITROPRUSSETO DE SODIO PO LIOFILIZADO OU SOLUCAO INJETAVEL 50 MG FRASCO-AMPOLA OU AMPOLA</v>
      </c>
      <c r="M506" s="593" t="str">
        <f>IF(H:H=0,"",IF(ISERROR(VLOOKUP(H:H,produtos_escape2!$A$2:$D$2794,2,FALSE)),"Código não cadastrado",(VLOOKUP(H:H,produtos_escape2!$A$2:$D$2794,4,FALSE))))</f>
        <v>UN</v>
      </c>
      <c r="N506" s="486">
        <v>70</v>
      </c>
      <c r="O506" s="176" t="s">
        <v>4109</v>
      </c>
      <c r="P506" s="486">
        <v>70</v>
      </c>
      <c r="Q506" s="247">
        <v>14</v>
      </c>
      <c r="R506" s="246">
        <f t="shared" si="15"/>
        <v>980</v>
      </c>
      <c r="S506" s="177">
        <v>43976</v>
      </c>
      <c r="T506" s="182">
        <v>84302</v>
      </c>
      <c r="U506" s="177">
        <v>43985</v>
      </c>
      <c r="V506" s="177">
        <v>43986</v>
      </c>
      <c r="W506" s="177">
        <v>43991</v>
      </c>
      <c r="X506" s="176">
        <v>30559</v>
      </c>
      <c r="Y506" s="177">
        <v>44007</v>
      </c>
      <c r="Z506" s="415">
        <v>3</v>
      </c>
      <c r="AA506" s="488"/>
      <c r="AB506" s="594"/>
      <c r="AC506" s="595"/>
      <c r="AD506" s="596" t="str">
        <f>IF(AND(AC506&lt;&gt;"",S506&lt;&gt;""),NETWORKDAYS(AC506,S506,#REF!),"")</f>
        <v/>
      </c>
      <c r="AE506" s="596" t="str">
        <f ca="1">IF(AND(AD506="",AC506=""),"",IF(OR(AD506&lt;&gt;"",O506="*CANCELADO"),"",NETWORKDAYS(AC506,TODAY(),#REF!)))</f>
        <v/>
      </c>
      <c r="AF506" s="597" t="str">
        <f>IFERROR(INDEX(produtos_escape2!M:M,MATCH(Controle!H506,produtos_escape2!A:A,0)),"")</f>
        <v>NITROPRUSSETO DE SODIO</v>
      </c>
    </row>
    <row r="507" spans="1:32" ht="14.25" customHeight="1">
      <c r="A507" s="176" t="s">
        <v>8107</v>
      </c>
      <c r="B507" s="176" t="s">
        <v>3608</v>
      </c>
      <c r="C507" s="177">
        <v>43970</v>
      </c>
      <c r="D507" s="176" t="s">
        <v>8512</v>
      </c>
      <c r="E507" s="176" t="s">
        <v>1867</v>
      </c>
      <c r="F507" s="259" t="s">
        <v>8509</v>
      </c>
      <c r="G507" s="176">
        <v>1</v>
      </c>
      <c r="H507" s="178">
        <v>90914</v>
      </c>
      <c r="I507" s="592">
        <f t="shared" si="14"/>
        <v>5</v>
      </c>
      <c r="J507" s="178" t="s">
        <v>816</v>
      </c>
      <c r="K507" s="178" t="s">
        <v>816</v>
      </c>
      <c r="L507" s="275" t="str">
        <f>IF(H:H=0,"",IF(ISERROR(VLOOKUP(H:H,produtos_escape2!$A$2:$B$2794,2,FALSE)),"Código não cadastrado",(VLOOKUP(H:H,produtos_escape2!$A$2:$B$2794,2,FALSE))))</f>
        <v>SULFAMETOXAZOL + TRIMETROPIMA SOLUCAO INJETAVEL (400 MG + 80 MG)/5 ML AMPOLA 5 ML.</v>
      </c>
      <c r="M507" s="593" t="str">
        <f>IF(H:H=0,"",IF(ISERROR(VLOOKUP(H:H,produtos_escape2!$A$2:$D$2794,2,FALSE)),"Código não cadastrado",(VLOOKUP(H:H,produtos_escape2!$A$2:$D$2794,4,FALSE))))</f>
        <v>AMP</v>
      </c>
      <c r="N507" s="486">
        <v>400</v>
      </c>
      <c r="O507" s="176" t="s">
        <v>1868</v>
      </c>
      <c r="P507" s="486"/>
      <c r="Q507" s="247"/>
      <c r="R507" s="246">
        <f t="shared" si="15"/>
        <v>0</v>
      </c>
      <c r="S507" s="177">
        <v>43983</v>
      </c>
      <c r="T507" s="182"/>
      <c r="U507" s="177"/>
      <c r="V507" s="177"/>
      <c r="W507" s="177"/>
      <c r="X507" s="176"/>
      <c r="Y507" s="177"/>
      <c r="Z507" s="415">
        <v>3</v>
      </c>
      <c r="AA507" s="488" t="s">
        <v>7474</v>
      </c>
      <c r="AB507" s="594"/>
      <c r="AC507" s="595"/>
      <c r="AD507" s="596" t="str">
        <f>IF(AND(AC507&lt;&gt;"",S507&lt;&gt;""),NETWORKDAYS(AC507,S507,#REF!),"")</f>
        <v/>
      </c>
      <c r="AE507" s="596" t="str">
        <f ca="1">IF(AND(AD507="",AC507=""),"",IF(OR(AD507&lt;&gt;"",O507="*CANCELADO"),"",NETWORKDAYS(AC507,TODAY(),#REF!)))</f>
        <v/>
      </c>
      <c r="AF507" s="597" t="str">
        <f>IFERROR(INDEX(produtos_escape2!M:M,MATCH(Controle!H507,produtos_escape2!A:A,0)),"")</f>
        <v>SULFAMETOXAZOL + TRIMETROPIMA SOLUCAO INJETAVEL (400 MG + 80 MG)/5 ML AMPOLA 5 ML</v>
      </c>
    </row>
    <row r="508" spans="1:32" ht="14.25" customHeight="1">
      <c r="A508" s="176" t="s">
        <v>7780</v>
      </c>
      <c r="B508" s="176" t="s">
        <v>7207</v>
      </c>
      <c r="C508" s="177">
        <v>43970</v>
      </c>
      <c r="D508" s="176" t="s">
        <v>8513</v>
      </c>
      <c r="E508" s="176" t="s">
        <v>1865</v>
      </c>
      <c r="F508" s="259" t="s">
        <v>8510</v>
      </c>
      <c r="G508" s="176">
        <v>1</v>
      </c>
      <c r="H508" s="178">
        <v>36766</v>
      </c>
      <c r="I508" s="592">
        <f t="shared" si="14"/>
        <v>1</v>
      </c>
      <c r="J508" s="178" t="s">
        <v>816</v>
      </c>
      <c r="K508" s="178" t="s">
        <v>816</v>
      </c>
      <c r="L508" s="275" t="str">
        <f>IF(H:H=0,"",IF(ISERROR(VLOOKUP(H:H,produtos_escape2!$A$2:$B$2794,2,FALSE)),"Código não cadastrado",(VLOOKUP(H:H,produtos_escape2!$A$2:$B$2794,2,FALSE))))</f>
        <v>Cabo de força para Desfibrilador e Cardioversor LIFEMED.</v>
      </c>
      <c r="M508" s="593" t="str">
        <f>IF(H:H=0,"",IF(ISERROR(VLOOKUP(H:H,produtos_escape2!$A$2:$D$2794,2,FALSE)),"Código não cadastrado",(VLOOKUP(H:H,produtos_escape2!$A$2:$D$2794,4,FALSE))))</f>
        <v>UN</v>
      </c>
      <c r="N508" s="486">
        <v>100</v>
      </c>
      <c r="O508" s="176" t="s">
        <v>4433</v>
      </c>
      <c r="P508" s="486">
        <v>100</v>
      </c>
      <c r="Q508" s="247">
        <v>11.9</v>
      </c>
      <c r="R508" s="246">
        <f t="shared" si="15"/>
        <v>1190</v>
      </c>
      <c r="S508" s="177">
        <v>43976</v>
      </c>
      <c r="T508" s="182">
        <v>449</v>
      </c>
      <c r="U508" s="177">
        <v>43980</v>
      </c>
      <c r="V508" s="177">
        <v>43984</v>
      </c>
      <c r="W508" s="177">
        <v>43985</v>
      </c>
      <c r="X508" s="176">
        <v>30606</v>
      </c>
      <c r="Y508" s="177">
        <v>44007</v>
      </c>
      <c r="Z508" s="415">
        <v>3</v>
      </c>
      <c r="AA508" s="488" t="s">
        <v>8516</v>
      </c>
      <c r="AB508" s="594"/>
      <c r="AC508" s="595"/>
      <c r="AD508" s="596" t="str">
        <f>IF(AND(AC508&lt;&gt;"",S508&lt;&gt;""),NETWORKDAYS(AC508,S508,#REF!),"")</f>
        <v/>
      </c>
      <c r="AE508" s="596" t="str">
        <f ca="1">IF(AND(AD508="",AC508=""),"",IF(OR(AD508&lt;&gt;"",O508="*CANCELADO"),"",NETWORKDAYS(AC508,TODAY(),#REF!)))</f>
        <v/>
      </c>
      <c r="AF508" s="597" t="str">
        <f>IFERROR(INDEX(produtos_escape2!M:M,MATCH(Controle!H508,produtos_escape2!A:A,0)),"")</f>
        <v>CABO DE FORÇA</v>
      </c>
    </row>
    <row r="509" spans="1:32" ht="14.25" customHeight="1">
      <c r="A509" s="176" t="s">
        <v>8036</v>
      </c>
      <c r="B509" s="176" t="s">
        <v>3608</v>
      </c>
      <c r="C509" s="177">
        <v>43970</v>
      </c>
      <c r="D509" s="176" t="s">
        <v>8517</v>
      </c>
      <c r="E509" s="176" t="s">
        <v>3009</v>
      </c>
      <c r="F509" s="259" t="s">
        <v>8524</v>
      </c>
      <c r="G509" s="176">
        <v>1</v>
      </c>
      <c r="H509" s="178">
        <v>90924</v>
      </c>
      <c r="I509" s="592">
        <f t="shared" si="14"/>
        <v>1</v>
      </c>
      <c r="J509" s="178" t="s">
        <v>816</v>
      </c>
      <c r="K509" s="178" t="s">
        <v>816</v>
      </c>
      <c r="L509" s="275" t="str">
        <f>IF(H:H=0,"",IF(ISERROR(VLOOKUP(H:H,produtos_escape2!$A$2:$B$2794,2,FALSE)),"Código não cadastrado",(VLOOKUP(H:H,produtos_escape2!$A$2:$B$2794,2,FALSE))))</f>
        <v>NISTATINA SUSPENSAO ORAL 100.000 UI/ML FRASCO 50 ML COM DOSEADOR</v>
      </c>
      <c r="M509" s="593" t="str">
        <f>IF(H:H=0,"",IF(ISERROR(VLOOKUP(H:H,produtos_escape2!$A$2:$D$2794,2,FALSE)),"Código não cadastrado",(VLOOKUP(H:H,produtos_escape2!$A$2:$D$2794,4,FALSE))))</f>
        <v>FR</v>
      </c>
      <c r="N509" s="486">
        <v>100</v>
      </c>
      <c r="O509" s="176" t="s">
        <v>2989</v>
      </c>
      <c r="P509" s="486">
        <v>100</v>
      </c>
      <c r="Q509" s="247">
        <v>4.2</v>
      </c>
      <c r="R509" s="246">
        <f t="shared" si="15"/>
        <v>420</v>
      </c>
      <c r="S509" s="177">
        <v>43973</v>
      </c>
      <c r="T509" s="182">
        <v>120129</v>
      </c>
      <c r="U509" s="177">
        <v>43973</v>
      </c>
      <c r="V509" s="177">
        <v>43976</v>
      </c>
      <c r="W509" s="177">
        <v>43978</v>
      </c>
      <c r="X509" s="176">
        <v>30377</v>
      </c>
      <c r="Y509" s="177">
        <v>44007</v>
      </c>
      <c r="Z509" s="415">
        <v>3</v>
      </c>
      <c r="AA509" s="488"/>
      <c r="AB509" s="594"/>
      <c r="AC509" s="595"/>
      <c r="AD509" s="596" t="str">
        <f>IF(AND(AC509&lt;&gt;"",S509&lt;&gt;""),NETWORKDAYS(AC509,S509,#REF!),"")</f>
        <v/>
      </c>
      <c r="AE509" s="596" t="str">
        <f ca="1">IF(AND(AD509="",AC509=""),"",IF(OR(AD509&lt;&gt;"",O509="*CANCELADO"),"",NETWORKDAYS(AC509,TODAY(),#REF!)))</f>
        <v/>
      </c>
      <c r="AF509" s="597" t="str">
        <f>IFERROR(INDEX(produtos_escape2!M:M,MATCH(Controle!H509,produtos_escape2!A:A,0)),"")</f>
        <v>NISTATINA SUSPENSAO ORAL 100</v>
      </c>
    </row>
    <row r="510" spans="1:32" ht="14.25" customHeight="1">
      <c r="A510" s="176" t="s">
        <v>8039</v>
      </c>
      <c r="B510" s="176" t="s">
        <v>3608</v>
      </c>
      <c r="C510" s="177">
        <v>43970</v>
      </c>
      <c r="D510" s="176" t="s">
        <v>8518</v>
      </c>
      <c r="E510" s="176" t="s">
        <v>1867</v>
      </c>
      <c r="F510" s="259" t="s">
        <v>8525</v>
      </c>
      <c r="G510" s="176">
        <v>1</v>
      </c>
      <c r="H510" s="178">
        <v>34591</v>
      </c>
      <c r="I510" s="592">
        <f t="shared" si="14"/>
        <v>2</v>
      </c>
      <c r="J510" s="178" t="s">
        <v>816</v>
      </c>
      <c r="K510" s="178" t="s">
        <v>816</v>
      </c>
      <c r="L510" s="275" t="str">
        <f>IF(H:H=0,"",IF(ISERROR(VLOOKUP(H:H,produtos_escape2!$A$2:$B$2794,2,FALSE)),"Código não cadastrado",(VLOOKUP(H:H,produtos_escape2!$A$2:$B$2794,2,FALSE))))</f>
        <v>SULFATO DE MAGNESIO SOLUCAO INJETAVEL 10 % AMPOLA 10 ML</v>
      </c>
      <c r="M510" s="593" t="str">
        <f>IF(H:H=0,"",IF(ISERROR(VLOOKUP(H:H,produtos_escape2!$A$2:$D$2794,2,FALSE)),"Código não cadastrado",(VLOOKUP(H:H,produtos_escape2!$A$2:$D$2794,4,FALSE))))</f>
        <v>AMP</v>
      </c>
      <c r="N510" s="486">
        <v>400</v>
      </c>
      <c r="O510" s="176" t="s">
        <v>8695</v>
      </c>
      <c r="P510" s="486">
        <v>400</v>
      </c>
      <c r="Q510" s="247">
        <v>2.4500000000000002</v>
      </c>
      <c r="R510" s="246">
        <f t="shared" si="15"/>
        <v>980.00000000000011</v>
      </c>
      <c r="S510" s="177">
        <v>43978</v>
      </c>
      <c r="T510" s="182">
        <v>27930</v>
      </c>
      <c r="U510" s="177">
        <v>43985</v>
      </c>
      <c r="V510" s="177">
        <v>43992</v>
      </c>
      <c r="W510" s="177">
        <v>43998</v>
      </c>
      <c r="X510" s="176">
        <v>32414</v>
      </c>
      <c r="Y510" s="177">
        <v>44011</v>
      </c>
      <c r="Z510" s="415">
        <v>3</v>
      </c>
      <c r="AA510" s="488"/>
      <c r="AB510" s="594"/>
      <c r="AC510" s="595"/>
      <c r="AD510" s="596" t="str">
        <f>IF(AND(AC510&lt;&gt;"",S510&lt;&gt;""),NETWORKDAYS(AC510,S510,#REF!),"")</f>
        <v/>
      </c>
      <c r="AE510" s="596" t="str">
        <f ca="1">IF(AND(AD510="",AC510=""),"",IF(OR(AD510&lt;&gt;"",O510="*CANCELADO"),"",NETWORKDAYS(AC510,TODAY(),#REF!)))</f>
        <v/>
      </c>
      <c r="AF510" s="597" t="str">
        <f>IFERROR(INDEX(produtos_escape2!M:M,MATCH(Controle!H510,produtos_escape2!A:A,0)),"")</f>
        <v>SULFATO DE MAGNESIO SOLUCAO INJETAVEL 10 % AMPOLA 10 ML</v>
      </c>
    </row>
    <row r="511" spans="1:32" ht="14.25" customHeight="1">
      <c r="A511" s="176" t="s">
        <v>8049</v>
      </c>
      <c r="B511" s="176" t="s">
        <v>3608</v>
      </c>
      <c r="C511" s="177">
        <v>43970</v>
      </c>
      <c r="D511" s="176" t="s">
        <v>8519</v>
      </c>
      <c r="E511" s="176" t="s">
        <v>3009</v>
      </c>
      <c r="F511" s="259" t="s">
        <v>8526</v>
      </c>
      <c r="G511" s="176">
        <v>1</v>
      </c>
      <c r="H511" s="178">
        <v>90949</v>
      </c>
      <c r="I511" s="592">
        <f t="shared" si="14"/>
        <v>9</v>
      </c>
      <c r="J511" s="178" t="s">
        <v>816</v>
      </c>
      <c r="K511" s="178" t="s">
        <v>816</v>
      </c>
      <c r="L511" s="275" t="str">
        <f>IF(H:H=0,"",IF(ISERROR(VLOOKUP(H:H,produtos_escape2!$A$2:$B$2794,2,FALSE)),"Código não cadastrado",(VLOOKUP(H:H,produtos_escape2!$A$2:$B$2794,2,FALSE))))</f>
        <v>ONDANSETRONA SOLUÇAO INJETAVEL 2 MG/ML AMPOLA 4 ML</v>
      </c>
      <c r="M511" s="593" t="str">
        <f>IF(H:H=0,"",IF(ISERROR(VLOOKUP(H:H,produtos_escape2!$A$2:$D$2794,2,FALSE)),"Código não cadastrado",(VLOOKUP(H:H,produtos_escape2!$A$2:$D$2794,4,FALSE))))</f>
        <v>AMP</v>
      </c>
      <c r="N511" s="486">
        <v>3000</v>
      </c>
      <c r="O511" s="176" t="s">
        <v>7371</v>
      </c>
      <c r="P511" s="486">
        <v>3000</v>
      </c>
      <c r="Q511" s="247">
        <v>1.347</v>
      </c>
      <c r="R511" s="246">
        <f t="shared" si="15"/>
        <v>4041</v>
      </c>
      <c r="S511" s="177">
        <v>43973</v>
      </c>
      <c r="T511" s="182">
        <v>335382</v>
      </c>
      <c r="U511" s="177">
        <v>43973</v>
      </c>
      <c r="V511" s="177">
        <v>43973</v>
      </c>
      <c r="W511" s="177">
        <v>43978</v>
      </c>
      <c r="X511" s="176">
        <v>30806</v>
      </c>
      <c r="Y511" s="177">
        <v>44007</v>
      </c>
      <c r="Z511" s="415">
        <v>3</v>
      </c>
      <c r="AA511" s="488"/>
      <c r="AB511" s="594"/>
      <c r="AC511" s="595"/>
      <c r="AD511" s="596" t="str">
        <f>IF(AND(AC511&lt;&gt;"",S511&lt;&gt;""),NETWORKDAYS(AC511,S511,#REF!),"")</f>
        <v/>
      </c>
      <c r="AE511" s="596" t="str">
        <f ca="1">IF(AND(AD511="",AC511=""),"",IF(OR(AD511&lt;&gt;"",O511="*CANCELADO"),"",NETWORKDAYS(AC511,TODAY(),#REF!)))</f>
        <v/>
      </c>
      <c r="AF511" s="597" t="str">
        <f>IFERROR(INDEX(produtos_escape2!M:M,MATCH(Controle!H511,produtos_escape2!A:A,0)),"")</f>
        <v>ONDANSETRONA SOLUÇAO INJETAVEL 2 MG/ML AMPOLA 4 ML</v>
      </c>
    </row>
    <row r="512" spans="1:32" ht="14.25" customHeight="1">
      <c r="A512" s="176" t="s">
        <v>7791</v>
      </c>
      <c r="B512" s="176" t="s">
        <v>7207</v>
      </c>
      <c r="C512" s="177">
        <v>43970</v>
      </c>
      <c r="D512" s="176" t="s">
        <v>8520</v>
      </c>
      <c r="E512" s="176" t="s">
        <v>1867</v>
      </c>
      <c r="F512" s="259" t="s">
        <v>8527</v>
      </c>
      <c r="G512" s="176">
        <v>1</v>
      </c>
      <c r="H512" s="178">
        <v>15962</v>
      </c>
      <c r="I512" s="592">
        <f t="shared" si="14"/>
        <v>2</v>
      </c>
      <c r="J512" s="178" t="s">
        <v>816</v>
      </c>
      <c r="K512" s="178" t="s">
        <v>816</v>
      </c>
      <c r="L512" s="275" t="str">
        <f>IF(H:H=0,"",IF(ISERROR(VLOOKUP(H:H,produtos_escape2!$A$2:$B$2794,2,FALSE)),"Código não cadastrado",(VLOOKUP(H:H,produtos_escape2!$A$2:$B$2794,2,FALSE))))</f>
        <v>COLCHAO HOSPITALAR REVESTIDO EM NAPA COR CINZA C/ESPUMA DE 10CM E DENSIDADE D28 TAMANHO 80X1,90CM 1</v>
      </c>
      <c r="M512" s="593" t="str">
        <f>IF(H:H=0,"",IF(ISERROR(VLOOKUP(H:H,produtos_escape2!$A$2:$D$2794,2,FALSE)),"Código não cadastrado",(VLOOKUP(H:H,produtos_escape2!$A$2:$D$2794,4,FALSE))))</f>
        <v>UN</v>
      </c>
      <c r="N512" s="486">
        <v>50</v>
      </c>
      <c r="O512" s="176" t="s">
        <v>8573</v>
      </c>
      <c r="P512" s="486">
        <v>50</v>
      </c>
      <c r="Q512" s="247">
        <v>219</v>
      </c>
      <c r="R512" s="246">
        <f t="shared" si="15"/>
        <v>10950</v>
      </c>
      <c r="S512" s="177">
        <v>43973</v>
      </c>
      <c r="T512" s="182">
        <v>1049</v>
      </c>
      <c r="U512" s="177">
        <v>43998</v>
      </c>
      <c r="V512" s="177">
        <v>43999</v>
      </c>
      <c r="W512" s="177">
        <v>43999</v>
      </c>
      <c r="X512" s="176">
        <v>32326</v>
      </c>
      <c r="Y512" s="177">
        <v>44011</v>
      </c>
      <c r="Z512" s="415">
        <v>3</v>
      </c>
      <c r="AA512" s="488"/>
      <c r="AB512" s="594"/>
      <c r="AC512" s="595"/>
      <c r="AD512" s="596" t="str">
        <f>IF(AND(AC512&lt;&gt;"",S512&lt;&gt;""),NETWORKDAYS(AC512,S512,#REF!),"")</f>
        <v/>
      </c>
      <c r="AE512" s="596" t="str">
        <f ca="1">IF(AND(AD512="",AC512=""),"",IF(OR(AD512&lt;&gt;"",O512="*CANCELADO"),"",NETWORKDAYS(AC512,TODAY(),#REF!)))</f>
        <v/>
      </c>
      <c r="AF512" s="597" t="str">
        <f>IFERROR(INDEX(produtos_escape2!M:M,MATCH(Controle!H512,produtos_escape2!A:A,0)),"")</f>
        <v>COLCHÃO HOSPITALAR</v>
      </c>
    </row>
    <row r="513" spans="1:32" ht="14.25" customHeight="1">
      <c r="A513" s="176" t="s">
        <v>7358</v>
      </c>
      <c r="B513" s="176" t="s">
        <v>1687</v>
      </c>
      <c r="C513" s="177">
        <v>43970</v>
      </c>
      <c r="D513" s="176" t="s">
        <v>8521</v>
      </c>
      <c r="E513" s="176" t="s">
        <v>1865</v>
      </c>
      <c r="F513" s="259" t="s">
        <v>8528</v>
      </c>
      <c r="G513" s="176">
        <v>1</v>
      </c>
      <c r="H513" s="178">
        <v>51384</v>
      </c>
      <c r="I513" s="592">
        <f t="shared" si="14"/>
        <v>2</v>
      </c>
      <c r="J513" s="178" t="s">
        <v>816</v>
      </c>
      <c r="K513" s="178" t="s">
        <v>816</v>
      </c>
      <c r="L513" s="275" t="str">
        <f>IF(H:H=0,"",IF(ISERROR(VLOOKUP(H:H,produtos_escape2!$A$2:$B$2794,2,FALSE)),"Código não cadastrado",(VLOOKUP(H:H,produtos_escape2!$A$2:$B$2794,2,FALSE))))</f>
        <v>RESISTENCIA AQUEC.AGUA EMERSAO "U" 1000WX220V 1</v>
      </c>
      <c r="M513" s="593" t="str">
        <f>IF(H:H=0,"",IF(ISERROR(VLOOKUP(H:H,produtos_escape2!$A$2:$D$2794,2,FALSE)),"Código não cadastrado",(VLOOKUP(H:H,produtos_escape2!$A$2:$D$2794,4,FALSE))))</f>
        <v>UN</v>
      </c>
      <c r="N513" s="486">
        <v>1</v>
      </c>
      <c r="O513" s="176" t="s">
        <v>4358</v>
      </c>
      <c r="P513" s="486">
        <v>1</v>
      </c>
      <c r="Q513" s="247">
        <v>65</v>
      </c>
      <c r="R513" s="246">
        <f t="shared" si="15"/>
        <v>65</v>
      </c>
      <c r="S513" s="177">
        <v>43978</v>
      </c>
      <c r="T513" s="182">
        <v>1003</v>
      </c>
      <c r="U513" s="177">
        <v>43979</v>
      </c>
      <c r="V513" s="177">
        <v>43991</v>
      </c>
      <c r="W513" s="177">
        <v>43991</v>
      </c>
      <c r="X513" s="176">
        <v>29972</v>
      </c>
      <c r="Y513" s="177">
        <v>44007</v>
      </c>
      <c r="Z513" s="415">
        <v>3</v>
      </c>
      <c r="AA513" s="488"/>
      <c r="AB513" s="594"/>
      <c r="AC513" s="595"/>
      <c r="AD513" s="596" t="str">
        <f>IF(AND(AC513&lt;&gt;"",S513&lt;&gt;""),NETWORKDAYS(AC513,S513,#REF!),"")</f>
        <v/>
      </c>
      <c r="AE513" s="596" t="str">
        <f ca="1">IF(AND(AD513="",AC513=""),"",IF(OR(AD513&lt;&gt;"",O513="*CANCELADO"),"",NETWORKDAYS(AC513,TODAY(),#REF!)))</f>
        <v/>
      </c>
      <c r="AF513" s="597" t="str">
        <f>IFERROR(INDEX(produtos_escape2!M:M,MATCH(Controle!H513,produtos_escape2!A:A,0)),"")</f>
        <v>RESISTENCIA</v>
      </c>
    </row>
    <row r="514" spans="1:32" ht="14.25" customHeight="1">
      <c r="A514" s="176" t="s">
        <v>8114</v>
      </c>
      <c r="B514" s="176" t="s">
        <v>3608</v>
      </c>
      <c r="C514" s="177">
        <v>43972</v>
      </c>
      <c r="D514" s="176" t="s">
        <v>8545</v>
      </c>
      <c r="E514" s="176" t="s">
        <v>3009</v>
      </c>
      <c r="F514" s="259" t="s">
        <v>8529</v>
      </c>
      <c r="G514" s="176">
        <v>1</v>
      </c>
      <c r="H514" s="178">
        <v>90843</v>
      </c>
      <c r="I514" s="592">
        <f t="shared" si="14"/>
        <v>4</v>
      </c>
      <c r="J514" s="178" t="s">
        <v>4381</v>
      </c>
      <c r="K514" s="178" t="s">
        <v>4381</v>
      </c>
      <c r="L514" s="275" t="str">
        <f>IF(H:H=0,"",IF(ISERROR(VLOOKUP(H:H,produtos_escape2!$A$2:$B$2794,2,FALSE)),"Código não cadastrado",(VLOOKUP(H:H,produtos_escape2!$A$2:$B$2794,2,FALSE))))</f>
        <v>FENILEFRINA (CLORIDRATO) SOLUCAO OFTALMICA 10 % FRASCO CONTA-GOTAS 5 ML</v>
      </c>
      <c r="M514" s="593" t="str">
        <f>IF(H:H=0,"",IF(ISERROR(VLOOKUP(H:H,produtos_escape2!$A$2:$D$2794,2,FALSE)),"Código não cadastrado",(VLOOKUP(H:H,produtos_escape2!$A$2:$D$2794,4,FALSE))))</f>
        <v>FR</v>
      </c>
      <c r="N514" s="486">
        <v>10</v>
      </c>
      <c r="O514" s="176" t="s">
        <v>8452</v>
      </c>
      <c r="P514" s="486">
        <v>10</v>
      </c>
      <c r="Q514" s="247">
        <v>17.100000000000001</v>
      </c>
      <c r="R514" s="246">
        <f t="shared" si="15"/>
        <v>171</v>
      </c>
      <c r="S514" s="177">
        <v>43977</v>
      </c>
      <c r="T514" s="182">
        <v>18933</v>
      </c>
      <c r="U514" s="177">
        <v>43978</v>
      </c>
      <c r="V514" s="177">
        <v>43979</v>
      </c>
      <c r="W514" s="177">
        <v>43980</v>
      </c>
      <c r="X514" s="176">
        <v>30041</v>
      </c>
      <c r="Y514" s="177">
        <v>44007</v>
      </c>
      <c r="Z514" s="415">
        <v>3</v>
      </c>
      <c r="AA514" s="488"/>
      <c r="AB514" s="594"/>
      <c r="AC514" s="595"/>
      <c r="AD514" s="596" t="str">
        <f>IF(AND(AC514&lt;&gt;"",S514&lt;&gt;""),NETWORKDAYS(AC514,S514,#REF!),"")</f>
        <v/>
      </c>
      <c r="AE514" s="596" t="str">
        <f ca="1">IF(AND(AD514="",AC514=""),"",IF(OR(AD514&lt;&gt;"",O514="*CANCELADO"),"",NETWORKDAYS(AC514,TODAY(),#REF!)))</f>
        <v/>
      </c>
      <c r="AF514" s="597" t="str">
        <f>IFERROR(INDEX(produtos_escape2!M:M,MATCH(Controle!H514,produtos_escape2!A:A,0)),"")</f>
        <v>FENILEFRINA (CLORIDRATO) SOLUCAO OFTALMICA 10 % FRASCO CONTA-GOTAS 5 ML</v>
      </c>
    </row>
    <row r="515" spans="1:32" ht="14.25" customHeight="1">
      <c r="A515" s="176" t="s">
        <v>8116</v>
      </c>
      <c r="B515" s="176" t="s">
        <v>3608</v>
      </c>
      <c r="C515" s="177">
        <v>43972</v>
      </c>
      <c r="D515" s="176" t="s">
        <v>8546</v>
      </c>
      <c r="E515" s="176" t="s">
        <v>1867</v>
      </c>
      <c r="F515" s="259" t="s">
        <v>8530</v>
      </c>
      <c r="G515" s="176">
        <v>1</v>
      </c>
      <c r="H515" s="178">
        <v>92403</v>
      </c>
      <c r="I515" s="592">
        <f t="shared" ref="I515:I578" si="16">COUNTIF($H$3:$H$3041,H515)</f>
        <v>10</v>
      </c>
      <c r="J515" s="178" t="s">
        <v>4381</v>
      </c>
      <c r="K515" s="178" t="s">
        <v>4381</v>
      </c>
      <c r="L515" s="275"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15" s="593" t="str">
        <f>IF(H:H=0,"",IF(ISERROR(VLOOKUP(H:H,produtos_escape2!$A$2:$D$2794,2,FALSE)),"Código não cadastrado",(VLOOKUP(H:H,produtos_escape2!$A$2:$D$2794,4,FALSE))))</f>
        <v>PAR</v>
      </c>
      <c r="N515" s="486">
        <v>5000</v>
      </c>
      <c r="O515" s="176" t="s">
        <v>4357</v>
      </c>
      <c r="P515" s="486">
        <v>1400</v>
      </c>
      <c r="Q515" s="247">
        <v>1.73</v>
      </c>
      <c r="R515" s="246">
        <f t="shared" ref="R515:R535" si="17">P515*Q515</f>
        <v>2422</v>
      </c>
      <c r="S515" s="177">
        <v>43973</v>
      </c>
      <c r="T515" s="182">
        <v>1540</v>
      </c>
      <c r="U515" s="177">
        <v>43984</v>
      </c>
      <c r="V515" s="177">
        <v>43984</v>
      </c>
      <c r="W515" s="177">
        <v>43985</v>
      </c>
      <c r="X515" s="176">
        <v>30743</v>
      </c>
      <c r="Y515" s="177">
        <v>44007</v>
      </c>
      <c r="Z515" s="415">
        <v>3</v>
      </c>
      <c r="AA515" s="488"/>
      <c r="AB515" s="594"/>
      <c r="AC515" s="595"/>
      <c r="AD515" s="596" t="str">
        <f>IF(AND(AC515&lt;&gt;"",S515&lt;&gt;""),NETWORKDAYS(AC515,S515,#REF!),"")</f>
        <v/>
      </c>
      <c r="AE515" s="596" t="str">
        <f ca="1">IF(AND(AD515="",AC515=""),"",IF(OR(AD515&lt;&gt;"",O515="*CANCELADO"),"",NETWORKDAYS(AC515,TODAY(),#REF!)))</f>
        <v/>
      </c>
      <c r="AF515" s="597" t="str">
        <f>IFERROR(INDEX(produtos_escape2!M:M,MATCH(Controle!H515,produtos_escape2!A:A,0)),"")</f>
        <v>LUVA CIRURGICA CONVENCIONAL Nº 8</v>
      </c>
    </row>
    <row r="516" spans="1:32" ht="14.25" customHeight="1">
      <c r="A516" s="176" t="s">
        <v>8116</v>
      </c>
      <c r="B516" s="176" t="s">
        <v>3608</v>
      </c>
      <c r="C516" s="177">
        <v>43972</v>
      </c>
      <c r="D516" s="176" t="s">
        <v>8546</v>
      </c>
      <c r="E516" s="176" t="s">
        <v>1867</v>
      </c>
      <c r="F516" s="259" t="s">
        <v>8530</v>
      </c>
      <c r="G516" s="176">
        <v>1</v>
      </c>
      <c r="H516" s="178">
        <v>92403</v>
      </c>
      <c r="I516" s="592">
        <f t="shared" si="16"/>
        <v>10</v>
      </c>
      <c r="J516" s="178" t="s">
        <v>4381</v>
      </c>
      <c r="K516" s="178" t="s">
        <v>4381</v>
      </c>
      <c r="L516" s="275"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16" s="593" t="str">
        <f>IF(H:H=0,"",IF(ISERROR(VLOOKUP(H:H,produtos_escape2!$A$2:$D$2794,2,FALSE)),"Código não cadastrado",(VLOOKUP(H:H,produtos_escape2!$A$2:$D$2794,4,FALSE))))</f>
        <v>PAR</v>
      </c>
      <c r="N516" s="486">
        <v>5000</v>
      </c>
      <c r="O516" s="176" t="s">
        <v>4357</v>
      </c>
      <c r="P516" s="486">
        <v>2800</v>
      </c>
      <c r="Q516" s="247">
        <v>1.73</v>
      </c>
      <c r="R516" s="246">
        <f t="shared" si="17"/>
        <v>4844</v>
      </c>
      <c r="S516" s="177">
        <v>43973</v>
      </c>
      <c r="T516" s="182">
        <v>1617</v>
      </c>
      <c r="U516" s="177">
        <v>44012</v>
      </c>
      <c r="V516" s="177">
        <v>44013</v>
      </c>
      <c r="W516" s="177">
        <v>44025</v>
      </c>
      <c r="X516" s="176">
        <v>46961</v>
      </c>
      <c r="Y516" s="177">
        <v>44033</v>
      </c>
      <c r="Z516" s="415">
        <v>4</v>
      </c>
      <c r="AA516" s="488"/>
      <c r="AB516" s="594"/>
      <c r="AC516" s="595"/>
      <c r="AD516" s="596" t="str">
        <f>IF(AND(AC516&lt;&gt;"",S516&lt;&gt;""),NETWORKDAYS(AC516,S516,#REF!),"")</f>
        <v/>
      </c>
      <c r="AE516" s="596" t="str">
        <f ca="1">IF(AND(AD516="",AC516=""),"",IF(OR(AD516&lt;&gt;"",O516="*CANCELADO"),"",NETWORKDAYS(AC516,TODAY(),#REF!)))</f>
        <v/>
      </c>
      <c r="AF516" s="597" t="str">
        <f>IFERROR(INDEX(produtos_escape2!M:M,MATCH(Controle!H516,produtos_escape2!A:A,0)),"")</f>
        <v>LUVA CIRURGICA CONVENCIONAL Nº 8</v>
      </c>
    </row>
    <row r="517" spans="1:32" ht="14.25" customHeight="1">
      <c r="A517" s="176" t="s">
        <v>8116</v>
      </c>
      <c r="B517" s="176" t="s">
        <v>3608</v>
      </c>
      <c r="C517" s="177">
        <v>43972</v>
      </c>
      <c r="D517" s="176" t="s">
        <v>8546</v>
      </c>
      <c r="E517" s="176" t="s">
        <v>1867</v>
      </c>
      <c r="F517" s="259" t="s">
        <v>8530</v>
      </c>
      <c r="G517" s="176">
        <v>1</v>
      </c>
      <c r="H517" s="178">
        <v>92403</v>
      </c>
      <c r="I517" s="592">
        <f t="shared" si="16"/>
        <v>10</v>
      </c>
      <c r="J517" s="178" t="s">
        <v>4381</v>
      </c>
      <c r="K517" s="178" t="s">
        <v>4381</v>
      </c>
      <c r="L517" s="275"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17" s="593" t="str">
        <f>IF(H:H=0,"",IF(ISERROR(VLOOKUP(H:H,produtos_escape2!$A$2:$D$2794,2,FALSE)),"Código não cadastrado",(VLOOKUP(H:H,produtos_escape2!$A$2:$D$2794,4,FALSE))))</f>
        <v>PAR</v>
      </c>
      <c r="N517" s="486">
        <v>5000</v>
      </c>
      <c r="O517" s="176" t="s">
        <v>4357</v>
      </c>
      <c r="P517" s="486">
        <v>300</v>
      </c>
      <c r="Q517" s="247">
        <v>1.73</v>
      </c>
      <c r="R517" s="246">
        <f t="shared" si="17"/>
        <v>519</v>
      </c>
      <c r="S517" s="177">
        <v>43973</v>
      </c>
      <c r="T517" s="182">
        <v>1748</v>
      </c>
      <c r="U517" s="177">
        <v>44050</v>
      </c>
      <c r="V517" s="177">
        <v>44050</v>
      </c>
      <c r="W517" s="177">
        <v>44055</v>
      </c>
      <c r="X517" s="176">
        <v>63328</v>
      </c>
      <c r="Y517" s="177">
        <v>44061</v>
      </c>
      <c r="Z517" s="415">
        <v>4</v>
      </c>
      <c r="AA517" s="488"/>
      <c r="AB517" s="594"/>
      <c r="AC517" s="595"/>
      <c r="AD517" s="596" t="str">
        <f>IF(AND(AC517&lt;&gt;"",S517&lt;&gt;""),NETWORKDAYS(AC517,S517,#REF!),"")</f>
        <v/>
      </c>
      <c r="AE517" s="596" t="str">
        <f ca="1">IF(AND(AD517="",AC517=""),"",IF(OR(AD517&lt;&gt;"",O517="*CANCELADO"),"",NETWORKDAYS(AC517,TODAY(),#REF!)))</f>
        <v/>
      </c>
      <c r="AF517" s="597" t="str">
        <f>IFERROR(INDEX(produtos_escape2!M:M,MATCH(Controle!H517,produtos_escape2!A:A,0)),"")</f>
        <v>LUVA CIRURGICA CONVENCIONAL Nº 8</v>
      </c>
    </row>
    <row r="518" spans="1:32" ht="14.25" customHeight="1">
      <c r="A518" s="176" t="s">
        <v>8116</v>
      </c>
      <c r="B518" s="176" t="s">
        <v>3608</v>
      </c>
      <c r="C518" s="177">
        <v>43972</v>
      </c>
      <c r="D518" s="176" t="s">
        <v>8546</v>
      </c>
      <c r="E518" s="176" t="s">
        <v>1867</v>
      </c>
      <c r="F518" s="259" t="s">
        <v>8530</v>
      </c>
      <c r="G518" s="176">
        <v>1</v>
      </c>
      <c r="H518" s="178">
        <v>92403</v>
      </c>
      <c r="I518" s="592">
        <f t="shared" si="16"/>
        <v>10</v>
      </c>
      <c r="J518" s="178" t="s">
        <v>4381</v>
      </c>
      <c r="K518" s="178" t="s">
        <v>4381</v>
      </c>
      <c r="L518" s="275"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18" s="593" t="str">
        <f>IF(H:H=0,"",IF(ISERROR(VLOOKUP(H:H,produtos_escape2!$A$2:$D$2794,2,FALSE)),"Código não cadastrado",(VLOOKUP(H:H,produtos_escape2!$A$2:$D$2794,4,FALSE))))</f>
        <v>PAR</v>
      </c>
      <c r="N518" s="486">
        <v>5000</v>
      </c>
      <c r="O518" s="176" t="s">
        <v>4357</v>
      </c>
      <c r="P518" s="486">
        <v>500</v>
      </c>
      <c r="Q518" s="247">
        <v>1.73</v>
      </c>
      <c r="R518" s="246">
        <f t="shared" si="17"/>
        <v>865</v>
      </c>
      <c r="S518" s="177">
        <v>43973</v>
      </c>
      <c r="T518" s="182">
        <v>1804</v>
      </c>
      <c r="U518" s="177">
        <v>44068</v>
      </c>
      <c r="V518" s="177">
        <v>44068</v>
      </c>
      <c r="W518" s="177">
        <v>44077</v>
      </c>
      <c r="X518" s="176">
        <v>91311</v>
      </c>
      <c r="Y518" s="177">
        <v>44104</v>
      </c>
      <c r="Z518" s="415">
        <v>5</v>
      </c>
      <c r="AA518" s="488"/>
      <c r="AB518" s="594"/>
      <c r="AC518" s="595"/>
      <c r="AD518" s="596" t="str">
        <f>IF(AND(AC518&lt;&gt;"",S518&lt;&gt;""),NETWORKDAYS(AC518,S518,#REF!),"")</f>
        <v/>
      </c>
      <c r="AE518" s="596" t="str">
        <f ca="1">IF(AND(AD518="",AC518=""),"",IF(OR(AD518&lt;&gt;"",O518="*CANCELADO"),"",NETWORKDAYS(AC518,TODAY(),#REF!)))</f>
        <v/>
      </c>
      <c r="AF518" s="597" t="str">
        <f>IFERROR(INDEX(produtos_escape2!M:M,MATCH(Controle!H518,produtos_escape2!A:A,0)),"")</f>
        <v>LUVA CIRURGICA CONVENCIONAL Nº 8</v>
      </c>
    </row>
    <row r="519" spans="1:32" ht="14.25" customHeight="1">
      <c r="A519" s="176" t="s">
        <v>8131</v>
      </c>
      <c r="B519" s="176" t="s">
        <v>3608</v>
      </c>
      <c r="C519" s="177">
        <v>43972</v>
      </c>
      <c r="D519" s="176" t="s">
        <v>8547</v>
      </c>
      <c r="E519" s="176" t="s">
        <v>3009</v>
      </c>
      <c r="F519" s="259" t="s">
        <v>8531</v>
      </c>
      <c r="G519" s="176">
        <v>1</v>
      </c>
      <c r="H519" s="178">
        <v>90260</v>
      </c>
      <c r="I519" s="592">
        <f t="shared" si="16"/>
        <v>4</v>
      </c>
      <c r="J519" s="178" t="s">
        <v>816</v>
      </c>
      <c r="K519" s="178" t="s">
        <v>816</v>
      </c>
      <c r="L519" s="275" t="str">
        <f>IF(H:H=0,"",IF(ISERROR(VLOOKUP(H:H,produtos_escape2!$A$2:$B$2794,2,FALSE)),"Código não cadastrado",(VLOOKUP(H:H,produtos_escape2!$A$2:$B$2794,2,FALSE))))</f>
        <v>DOBUTAMINA (CLORIDRATO) SOLUCAO INJETAVEL 12,5 MG/ML AMPOLA 20 ML</v>
      </c>
      <c r="M519" s="593" t="str">
        <f>IF(H:H=0,"",IF(ISERROR(VLOOKUP(H:H,produtos_escape2!$A$2:$D$2794,2,FALSE)),"Código não cadastrado",(VLOOKUP(H:H,produtos_escape2!$A$2:$D$2794,4,FALSE))))</f>
        <v>AMP</v>
      </c>
      <c r="N519" s="486">
        <v>300</v>
      </c>
      <c r="O519" s="176" t="s">
        <v>7371</v>
      </c>
      <c r="P519" s="486">
        <v>300</v>
      </c>
      <c r="Q519" s="247">
        <v>6.24</v>
      </c>
      <c r="R519" s="246">
        <f t="shared" si="17"/>
        <v>1872</v>
      </c>
      <c r="S519" s="177">
        <v>43976</v>
      </c>
      <c r="T519" s="182">
        <v>336093</v>
      </c>
      <c r="U519" s="177">
        <v>43976</v>
      </c>
      <c r="V519" s="177">
        <v>43977</v>
      </c>
      <c r="W519" s="177">
        <v>43978</v>
      </c>
      <c r="X519" s="176">
        <v>30694</v>
      </c>
      <c r="Y519" s="177">
        <v>44007</v>
      </c>
      <c r="Z519" s="415">
        <v>3</v>
      </c>
      <c r="AA519" s="488"/>
      <c r="AB519" s="594"/>
      <c r="AC519" s="595"/>
      <c r="AD519" s="596" t="str">
        <f>IF(AND(AC519&lt;&gt;"",S519&lt;&gt;""),NETWORKDAYS(AC519,S519,#REF!),"")</f>
        <v/>
      </c>
      <c r="AE519" s="596" t="str">
        <f ca="1">IF(AND(AD519="",AC519=""),"",IF(OR(AD519&lt;&gt;"",O519="*CANCELADO"),"",NETWORKDAYS(AC519,TODAY(),#REF!)))</f>
        <v/>
      </c>
      <c r="AF519" s="597" t="str">
        <f>IFERROR(INDEX(produtos_escape2!M:M,MATCH(Controle!H519,produtos_escape2!A:A,0)),"")</f>
        <v>DOBUTAMINA (CLORIDRATO) SOLUCAO INJETAVEL 12</v>
      </c>
    </row>
    <row r="520" spans="1:32" ht="14.25" customHeight="1">
      <c r="A520" s="176" t="s">
        <v>8127</v>
      </c>
      <c r="B520" s="176" t="s">
        <v>3608</v>
      </c>
      <c r="C520" s="177">
        <v>43972</v>
      </c>
      <c r="D520" s="176" t="s">
        <v>8548</v>
      </c>
      <c r="E520" s="176" t="s">
        <v>1867</v>
      </c>
      <c r="F520" s="259" t="s">
        <v>8532</v>
      </c>
      <c r="G520" s="176">
        <v>1</v>
      </c>
      <c r="H520" s="178">
        <v>90295</v>
      </c>
      <c r="I520" s="592">
        <f t="shared" si="16"/>
        <v>4</v>
      </c>
      <c r="J520" s="178" t="s">
        <v>816</v>
      </c>
      <c r="K520" s="178" t="s">
        <v>816</v>
      </c>
      <c r="L520" s="275" t="str">
        <f>IF(H:H=0,"",IF(ISERROR(VLOOKUP(H:H,produtos_escape2!$A$2:$B$2794,2,FALSE)),"Código não cadastrado",(VLOOKUP(H:H,produtos_escape2!$A$2:$B$2794,2,FALSE))))</f>
        <v>METILDOPA COMPRIMIDO REVESTIDO 250 MG</v>
      </c>
      <c r="M520" s="593" t="str">
        <f>IF(H:H=0,"",IF(ISERROR(VLOOKUP(H:H,produtos_escape2!$A$2:$D$2794,2,FALSE)),"Código não cadastrado",(VLOOKUP(H:H,produtos_escape2!$A$2:$D$2794,4,FALSE))))</f>
        <v>CP</v>
      </c>
      <c r="N520" s="486">
        <v>500</v>
      </c>
      <c r="O520" s="176" t="s">
        <v>4109</v>
      </c>
      <c r="P520" s="486">
        <v>490</v>
      </c>
      <c r="Q520" s="247">
        <v>0.71499999999999997</v>
      </c>
      <c r="R520" s="246">
        <f t="shared" si="17"/>
        <v>350.34999999999997</v>
      </c>
      <c r="S520" s="177">
        <v>43976</v>
      </c>
      <c r="T520" s="182">
        <v>83698</v>
      </c>
      <c r="U520" s="177">
        <v>43978</v>
      </c>
      <c r="V520" s="177">
        <v>43979</v>
      </c>
      <c r="W520" s="177">
        <v>43980</v>
      </c>
      <c r="X520" s="176">
        <v>30367</v>
      </c>
      <c r="Y520" s="177">
        <v>44007</v>
      </c>
      <c r="Z520" s="415">
        <v>3</v>
      </c>
      <c r="AA520" s="488"/>
      <c r="AB520" s="594"/>
      <c r="AC520" s="595"/>
      <c r="AD520" s="596" t="str">
        <f>IF(AND(AC520&lt;&gt;"",S520&lt;&gt;""),NETWORKDAYS(AC520,S520,#REF!),"")</f>
        <v/>
      </c>
      <c r="AE520" s="596" t="str">
        <f ca="1">IF(AND(AD520="",AC520=""),"",IF(OR(AD520&lt;&gt;"",O520="*CANCELADO"),"",NETWORKDAYS(AC520,TODAY(),#REF!)))</f>
        <v/>
      </c>
      <c r="AF520" s="597" t="str">
        <f>IFERROR(INDEX(produtos_escape2!M:M,MATCH(Controle!H520,produtos_escape2!A:A,0)),"")</f>
        <v>METILDOPA COMPRIMIDO REVESTIDO 250 MG</v>
      </c>
    </row>
    <row r="521" spans="1:32" ht="14.25" customHeight="1">
      <c r="A521" s="176" t="s">
        <v>8125</v>
      </c>
      <c r="B521" s="176" t="s">
        <v>3608</v>
      </c>
      <c r="C521" s="177">
        <v>43972</v>
      </c>
      <c r="D521" s="176" t="s">
        <v>8549</v>
      </c>
      <c r="E521" s="176" t="s">
        <v>1865</v>
      </c>
      <c r="F521" s="259" t="s">
        <v>8533</v>
      </c>
      <c r="G521" s="176">
        <v>1</v>
      </c>
      <c r="H521" s="178">
        <v>90028</v>
      </c>
      <c r="I521" s="592">
        <f t="shared" si="16"/>
        <v>5</v>
      </c>
      <c r="J521" s="178" t="s">
        <v>816</v>
      </c>
      <c r="K521" s="178" t="s">
        <v>816</v>
      </c>
      <c r="L521" s="275" t="str">
        <f>IF(H:H=0,"",IF(ISERROR(VLOOKUP(H:H,produtos_escape2!$A$2:$B$2794,2,FALSE)),"Código não cadastrado",(VLOOKUP(H:H,produtos_escape2!$A$2:$B$2794,2,FALSE))))</f>
        <v>LIDOCAINA (CLORIDRATO) GELEIA 2 % BISNAGA 30 G</v>
      </c>
      <c r="M521" s="593" t="str">
        <f>IF(H:H=0,"",IF(ISERROR(VLOOKUP(H:H,produtos_escape2!$A$2:$D$2794,2,FALSE)),"Código não cadastrado",(VLOOKUP(H:H,produtos_escape2!$A$2:$D$2794,4,FALSE))))</f>
        <v>BS</v>
      </c>
      <c r="N521" s="486">
        <v>300</v>
      </c>
      <c r="O521" s="176" t="s">
        <v>7549</v>
      </c>
      <c r="P521" s="486">
        <v>300</v>
      </c>
      <c r="Q521" s="247">
        <v>2.75</v>
      </c>
      <c r="R521" s="246">
        <f t="shared" si="17"/>
        <v>825</v>
      </c>
      <c r="S521" s="177">
        <v>43976</v>
      </c>
      <c r="T521" s="182">
        <v>105371</v>
      </c>
      <c r="U521" s="177">
        <v>43977</v>
      </c>
      <c r="V521" s="177">
        <v>43978</v>
      </c>
      <c r="W521" s="177">
        <v>43980</v>
      </c>
      <c r="X521" s="176">
        <v>30549</v>
      </c>
      <c r="Y521" s="177">
        <v>44007</v>
      </c>
      <c r="Z521" s="415">
        <v>3</v>
      </c>
      <c r="AA521" s="488"/>
      <c r="AB521" s="594"/>
      <c r="AC521" s="595"/>
      <c r="AD521" s="596" t="str">
        <f>IF(AND(AC521&lt;&gt;"",S521&lt;&gt;""),NETWORKDAYS(AC521,S521,#REF!),"")</f>
        <v/>
      </c>
      <c r="AE521" s="596" t="str">
        <f ca="1">IF(AND(AD521="",AC521=""),"",IF(OR(AD521&lt;&gt;"",O521="*CANCELADO"),"",NETWORKDAYS(AC521,TODAY(),#REF!)))</f>
        <v/>
      </c>
      <c r="AF521" s="597" t="str">
        <f>IFERROR(INDEX(produtos_escape2!M:M,MATCH(Controle!H521,produtos_escape2!A:A,0)),"")</f>
        <v>LIDOCAINA (CLORIDRATO) GELEIA 2 % BISNAGA 30 G</v>
      </c>
    </row>
    <row r="522" spans="1:32" ht="14.25" customHeight="1">
      <c r="A522" s="176" t="s">
        <v>8120</v>
      </c>
      <c r="B522" s="176" t="s">
        <v>3608</v>
      </c>
      <c r="C522" s="177">
        <v>43972</v>
      </c>
      <c r="D522" s="176" t="s">
        <v>8550</v>
      </c>
      <c r="E522" s="176" t="s">
        <v>3009</v>
      </c>
      <c r="F522" s="259" t="s">
        <v>8534</v>
      </c>
      <c r="G522" s="176">
        <v>1</v>
      </c>
      <c r="H522" s="178">
        <v>92401</v>
      </c>
      <c r="I522" s="592">
        <f t="shared" si="16"/>
        <v>9</v>
      </c>
      <c r="J522" s="178" t="s">
        <v>816</v>
      </c>
      <c r="K522" s="178" t="s">
        <v>816</v>
      </c>
      <c r="L522" s="275"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22" s="593" t="str">
        <f>IF(H:H=0,"",IF(ISERROR(VLOOKUP(H:H,produtos_escape2!$A$2:$D$2794,2,FALSE)),"Código não cadastrado",(VLOOKUP(H:H,produtos_escape2!$A$2:$D$2794,4,FALSE))))</f>
        <v>PAR</v>
      </c>
      <c r="N522" s="486">
        <v>5000</v>
      </c>
      <c r="O522" s="176" t="s">
        <v>4357</v>
      </c>
      <c r="P522" s="486">
        <v>1000</v>
      </c>
      <c r="Q522" s="247">
        <v>1.73</v>
      </c>
      <c r="R522" s="246">
        <f t="shared" si="17"/>
        <v>1730</v>
      </c>
      <c r="S522" s="177">
        <v>43976</v>
      </c>
      <c r="T522" s="182">
        <v>1518</v>
      </c>
      <c r="U522" s="177">
        <v>43984</v>
      </c>
      <c r="V522" s="177">
        <v>43984</v>
      </c>
      <c r="W522" s="177">
        <v>43985</v>
      </c>
      <c r="X522" s="176">
        <v>32367</v>
      </c>
      <c r="Y522" s="177">
        <v>44011</v>
      </c>
      <c r="Z522" s="415">
        <v>3</v>
      </c>
      <c r="AA522" s="488"/>
      <c r="AB522" s="594"/>
      <c r="AC522" s="595"/>
      <c r="AD522" s="596" t="str">
        <f>IF(AND(AC522&lt;&gt;"",S522&lt;&gt;""),NETWORKDAYS(AC522,S522,#REF!),"")</f>
        <v/>
      </c>
      <c r="AE522" s="596" t="str">
        <f ca="1">IF(AND(AD522="",AC522=""),"",IF(OR(AD522&lt;&gt;"",O522="*CANCELADO"),"",NETWORKDAYS(AC522,TODAY(),#REF!)))</f>
        <v/>
      </c>
      <c r="AF522" s="597" t="str">
        <f>IFERROR(INDEX(produtos_escape2!M:M,MATCH(Controle!H522,produtos_escape2!A:A,0)),"")</f>
        <v>LUVA CIRURGICA CONVENCIONAL Nº 7</v>
      </c>
    </row>
    <row r="523" spans="1:32" ht="14.25" customHeight="1">
      <c r="A523" s="176" t="s">
        <v>8120</v>
      </c>
      <c r="B523" s="176" t="s">
        <v>3608</v>
      </c>
      <c r="C523" s="177">
        <v>43972</v>
      </c>
      <c r="D523" s="176" t="s">
        <v>8550</v>
      </c>
      <c r="E523" s="176" t="s">
        <v>3009</v>
      </c>
      <c r="F523" s="259" t="s">
        <v>8534</v>
      </c>
      <c r="G523" s="176">
        <v>1</v>
      </c>
      <c r="H523" s="178">
        <v>92401</v>
      </c>
      <c r="I523" s="592">
        <f t="shared" si="16"/>
        <v>9</v>
      </c>
      <c r="J523" s="178" t="s">
        <v>816</v>
      </c>
      <c r="K523" s="178" t="s">
        <v>816</v>
      </c>
      <c r="L523" s="275"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23" s="593" t="str">
        <f>IF(H:H=0,"",IF(ISERROR(VLOOKUP(H:H,produtos_escape2!$A$2:$D$2794,2,FALSE)),"Código não cadastrado",(VLOOKUP(H:H,produtos_escape2!$A$2:$D$2794,4,FALSE))))</f>
        <v>PAR</v>
      </c>
      <c r="N523" s="486">
        <v>5000</v>
      </c>
      <c r="O523" s="176" t="s">
        <v>4357</v>
      </c>
      <c r="P523" s="486">
        <v>1800</v>
      </c>
      <c r="Q523" s="247">
        <v>1.73</v>
      </c>
      <c r="R523" s="246">
        <f t="shared" si="17"/>
        <v>3114</v>
      </c>
      <c r="S523" s="177">
        <v>43976</v>
      </c>
      <c r="T523" s="182">
        <v>1604</v>
      </c>
      <c r="U523" s="177">
        <v>44007</v>
      </c>
      <c r="V523" s="177">
        <v>44007</v>
      </c>
      <c r="W523" s="177">
        <v>44012</v>
      </c>
      <c r="X523" s="176">
        <v>46872</v>
      </c>
      <c r="Y523" s="177">
        <v>44033</v>
      </c>
      <c r="Z523" s="415">
        <v>4</v>
      </c>
      <c r="AA523" s="488" t="s">
        <v>9169</v>
      </c>
      <c r="AB523" s="594"/>
      <c r="AC523" s="595"/>
      <c r="AD523" s="596" t="str">
        <f>IF(AND(AC523&lt;&gt;"",S523&lt;&gt;""),NETWORKDAYS(AC523,S523,#REF!),"")</f>
        <v/>
      </c>
      <c r="AE523" s="596" t="str">
        <f ca="1">IF(AND(AD523="",AC523=""),"",IF(OR(AD523&lt;&gt;"",O523="*CANCELADO"),"",NETWORKDAYS(AC523,TODAY(),#REF!)))</f>
        <v/>
      </c>
      <c r="AF523" s="597" t="str">
        <f>IFERROR(INDEX(produtos_escape2!M:M,MATCH(Controle!H523,produtos_escape2!A:A,0)),"")</f>
        <v>LUVA CIRURGICA CONVENCIONAL Nº 7</v>
      </c>
    </row>
    <row r="524" spans="1:32" ht="14.25" customHeight="1">
      <c r="A524" s="176" t="s">
        <v>8120</v>
      </c>
      <c r="B524" s="176" t="s">
        <v>3608</v>
      </c>
      <c r="C524" s="177">
        <v>43972</v>
      </c>
      <c r="D524" s="176" t="s">
        <v>8550</v>
      </c>
      <c r="E524" s="176" t="s">
        <v>3009</v>
      </c>
      <c r="F524" s="259" t="s">
        <v>8534</v>
      </c>
      <c r="G524" s="176">
        <v>1</v>
      </c>
      <c r="H524" s="178">
        <v>92401</v>
      </c>
      <c r="I524" s="592">
        <f t="shared" si="16"/>
        <v>9</v>
      </c>
      <c r="J524" s="178" t="s">
        <v>816</v>
      </c>
      <c r="K524" s="178" t="s">
        <v>816</v>
      </c>
      <c r="L524" s="275"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24" s="593" t="str">
        <f>IF(H:H=0,"",IF(ISERROR(VLOOKUP(H:H,produtos_escape2!$A$2:$D$2794,2,FALSE)),"Código não cadastrado",(VLOOKUP(H:H,produtos_escape2!$A$2:$D$2794,4,FALSE))))</f>
        <v>PAR</v>
      </c>
      <c r="N524" s="486">
        <v>5000</v>
      </c>
      <c r="O524" s="176" t="s">
        <v>4357</v>
      </c>
      <c r="P524" s="486">
        <f>2892-P522-P523</f>
        <v>92</v>
      </c>
      <c r="Q524" s="247">
        <v>1.73</v>
      </c>
      <c r="R524" s="246">
        <f t="shared" si="17"/>
        <v>159.16</v>
      </c>
      <c r="S524" s="177">
        <v>43976</v>
      </c>
      <c r="T524" s="182">
        <v>1748</v>
      </c>
      <c r="U524" s="177">
        <v>44050</v>
      </c>
      <c r="V524" s="177">
        <v>44050</v>
      </c>
      <c r="W524" s="177">
        <v>44055</v>
      </c>
      <c r="X524" s="176">
        <v>91237</v>
      </c>
      <c r="Y524" s="177">
        <v>44104</v>
      </c>
      <c r="Z524" s="415">
        <v>5</v>
      </c>
      <c r="AA524" s="488" t="s">
        <v>9706</v>
      </c>
      <c r="AB524" s="594"/>
      <c r="AC524" s="595"/>
      <c r="AD524" s="596" t="str">
        <f>IF(AND(AC524&lt;&gt;"",S524&lt;&gt;""),NETWORKDAYS(AC524,S524,#REF!),"")</f>
        <v/>
      </c>
      <c r="AE524" s="596" t="str">
        <f ca="1">IF(AND(AD524="",AC524=""),"",IF(OR(AD524&lt;&gt;"",O524="*CANCELADO"),"",NETWORKDAYS(AC524,TODAY(),#REF!)))</f>
        <v/>
      </c>
      <c r="AF524" s="597" t="str">
        <f>IFERROR(INDEX(produtos_escape2!M:M,MATCH(Controle!H524,produtos_escape2!A:A,0)),"")</f>
        <v>LUVA CIRURGICA CONVENCIONAL Nº 7</v>
      </c>
    </row>
    <row r="525" spans="1:32" ht="14.25" customHeight="1">
      <c r="A525" s="176" t="s">
        <v>8123</v>
      </c>
      <c r="B525" s="176" t="s">
        <v>3608</v>
      </c>
      <c r="C525" s="177">
        <v>43972</v>
      </c>
      <c r="D525" s="176" t="s">
        <v>8551</v>
      </c>
      <c r="E525" s="176" t="s">
        <v>1867</v>
      </c>
      <c r="F525" s="259" t="s">
        <v>8535</v>
      </c>
      <c r="G525" s="176">
        <v>1</v>
      </c>
      <c r="H525" s="178">
        <v>90814</v>
      </c>
      <c r="I525" s="592">
        <f t="shared" si="16"/>
        <v>2</v>
      </c>
      <c r="J525" s="178" t="s">
        <v>816</v>
      </c>
      <c r="K525" s="178" t="s">
        <v>816</v>
      </c>
      <c r="L525" s="275" t="str">
        <f>IF(H:H=0,"",IF(ISERROR(VLOOKUP(H:H,produtos_escape2!$A$2:$B$2794,2,FALSE)),"Código não cadastrado",(VLOOKUP(H:H,produtos_escape2!$A$2:$B$2794,2,FALSE))))</f>
        <v xml:space="preserve">OXIDO DE ZINCO + VITAMINA A + VITAMINA D POMADA DERMATOLOGICA (150 MG + 5000 UI + 900 UI)/G BISNAGA 45 G </v>
      </c>
      <c r="M525" s="593" t="str">
        <f>IF(H:H=0,"",IF(ISERROR(VLOOKUP(H:H,produtos_escape2!$A$2:$D$2794,2,FALSE)),"Código não cadastrado",(VLOOKUP(H:H,produtos_escape2!$A$2:$D$2794,4,FALSE))))</f>
        <v>BS</v>
      </c>
      <c r="N525" s="486">
        <v>200</v>
      </c>
      <c r="O525" s="176" t="s">
        <v>2989</v>
      </c>
      <c r="P525" s="486">
        <v>200</v>
      </c>
      <c r="Q525" s="247">
        <v>3.46</v>
      </c>
      <c r="R525" s="246">
        <f t="shared" si="17"/>
        <v>692</v>
      </c>
      <c r="S525" s="177">
        <v>43976</v>
      </c>
      <c r="T525" s="182">
        <v>120320</v>
      </c>
      <c r="U525" s="177">
        <v>43976</v>
      </c>
      <c r="V525" s="177">
        <v>43977</v>
      </c>
      <c r="W525" s="177">
        <v>43978</v>
      </c>
      <c r="X525" s="176">
        <v>30437</v>
      </c>
      <c r="Y525" s="177">
        <v>44007</v>
      </c>
      <c r="Z525" s="415">
        <v>3</v>
      </c>
      <c r="AA525" s="488"/>
      <c r="AB525" s="594"/>
      <c r="AC525" s="595"/>
      <c r="AD525" s="596" t="str">
        <f>IF(AND(AC525&lt;&gt;"",S525&lt;&gt;""),NETWORKDAYS(AC525,S525,#REF!),"")</f>
        <v/>
      </c>
      <c r="AE525" s="596" t="str">
        <f ca="1">IF(AND(AD525="",AC525=""),"",IF(OR(AD525&lt;&gt;"",O525="*CANCELADO"),"",NETWORKDAYS(AC525,TODAY(),#REF!)))</f>
        <v/>
      </c>
      <c r="AF525" s="597" t="str">
        <f>IFERROR(INDEX(produtos_escape2!M:M,MATCH(Controle!H525,produtos_escape2!A:A,0)),"")</f>
        <v>OXIDO DE ZINCO + VITAMINA A + VITAMINA D POMADA DERMATOLOGICA</v>
      </c>
    </row>
    <row r="526" spans="1:32" ht="14.25" customHeight="1">
      <c r="A526" s="176" t="s">
        <v>8129</v>
      </c>
      <c r="B526" s="176" t="s">
        <v>3608</v>
      </c>
      <c r="C526" s="177">
        <v>43972</v>
      </c>
      <c r="D526" s="176" t="s">
        <v>8552</v>
      </c>
      <c r="E526" s="176" t="s">
        <v>3009</v>
      </c>
      <c r="F526" s="259" t="s">
        <v>8536</v>
      </c>
      <c r="G526" s="176">
        <v>1</v>
      </c>
      <c r="H526" s="178">
        <v>90861</v>
      </c>
      <c r="I526" s="592">
        <f t="shared" si="16"/>
        <v>4</v>
      </c>
      <c r="J526" s="178" t="s">
        <v>816</v>
      </c>
      <c r="K526" s="178" t="s">
        <v>816</v>
      </c>
      <c r="L526" s="275" t="str">
        <f>IF(H:H=0,"",IF(ISERROR(VLOOKUP(H:H,produtos_escape2!$A$2:$B$2794,2,FALSE)),"Código não cadastrado",(VLOOKUP(H:H,produtos_escape2!$A$2:$B$2794,2,FALSE))))</f>
        <v xml:space="preserve">NALOXONA (CLORIDRAT0) SOLUÇÃO INJETÁVEL 0,4 MG/ML AMPOLA 1 ML </v>
      </c>
      <c r="M526" s="593" t="str">
        <f>IF(H:H=0,"",IF(ISERROR(VLOOKUP(H:H,produtos_escape2!$A$2:$D$2794,2,FALSE)),"Código não cadastrado",(VLOOKUP(H:H,produtos_escape2!$A$2:$D$2794,4,FALSE))))</f>
        <v>AMP</v>
      </c>
      <c r="N526" s="486">
        <v>50</v>
      </c>
      <c r="O526" s="176" t="s">
        <v>2989</v>
      </c>
      <c r="P526" s="486">
        <v>50</v>
      </c>
      <c r="Q526" s="247">
        <v>6.35</v>
      </c>
      <c r="R526" s="246">
        <f t="shared" si="17"/>
        <v>317.5</v>
      </c>
      <c r="S526" s="177">
        <v>43976</v>
      </c>
      <c r="T526" s="182">
        <v>120354</v>
      </c>
      <c r="U526" s="177">
        <v>43977</v>
      </c>
      <c r="V526" s="177">
        <v>43978</v>
      </c>
      <c r="W526" s="177">
        <v>43980</v>
      </c>
      <c r="X526" s="176">
        <v>30129</v>
      </c>
      <c r="Y526" s="177">
        <v>44007</v>
      </c>
      <c r="Z526" s="415">
        <v>3</v>
      </c>
      <c r="AA526" s="488"/>
      <c r="AB526" s="594"/>
      <c r="AC526" s="595"/>
      <c r="AD526" s="596" t="str">
        <f>IF(AND(AC526&lt;&gt;"",S526&lt;&gt;""),NETWORKDAYS(AC526,S526,#REF!),"")</f>
        <v/>
      </c>
      <c r="AE526" s="596" t="str">
        <f ca="1">IF(AND(AD526="",AC526=""),"",IF(OR(AD526&lt;&gt;"",O526="*CANCELADO"),"",NETWORKDAYS(AC526,TODAY(),#REF!)))</f>
        <v/>
      </c>
      <c r="AF526" s="597" t="str">
        <f>IFERROR(INDEX(produtos_escape2!M:M,MATCH(Controle!H526,produtos_escape2!A:A,0)),"")</f>
        <v>NALOXONA (CLORIDRAT0) SOLUÇÃO INJETÁVEL 0</v>
      </c>
    </row>
    <row r="527" spans="1:32" ht="14.25" customHeight="1">
      <c r="A527" s="176" t="s">
        <v>7379</v>
      </c>
      <c r="B527" s="176" t="s">
        <v>1687</v>
      </c>
      <c r="C527" s="177">
        <v>43972</v>
      </c>
      <c r="D527" s="176" t="s">
        <v>8553</v>
      </c>
      <c r="E527" s="176" t="s">
        <v>3008</v>
      </c>
      <c r="F527" s="259" t="s">
        <v>8537</v>
      </c>
      <c r="G527" s="176">
        <v>1</v>
      </c>
      <c r="H527" s="178" t="s">
        <v>5769</v>
      </c>
      <c r="I527" s="592">
        <f t="shared" si="16"/>
        <v>1</v>
      </c>
      <c r="J527" s="178"/>
      <c r="K527" s="178"/>
      <c r="L527" s="275" t="str">
        <f>IF(H:H=0,"",IF(ISERROR(VLOOKUP(H:H,produtos_escape2!$A$2:$B$2794,2,FALSE)),"Código não cadastrado",(VLOOKUP(H:H,produtos_escape2!$A$2:$B$2794,2,FALSE))))</f>
        <v>Conserto do Ecógrafo, Marca Ultra-Vision, Modelo: 110PC Patrimônio Nº. 684026,</v>
      </c>
      <c r="M527" s="593" t="str">
        <f>IF(H:H=0,"",IF(ISERROR(VLOOKUP(H:H,produtos_escape2!$A$2:$D$2794,2,FALSE)),"Código não cadastrado",(VLOOKUP(H:H,produtos_escape2!$A$2:$D$2794,4,FALSE))))</f>
        <v>Serviço</v>
      </c>
      <c r="N527" s="486">
        <v>1</v>
      </c>
      <c r="O527" s="176" t="s">
        <v>1868</v>
      </c>
      <c r="P527" s="486"/>
      <c r="Q527" s="247">
        <v>6930</v>
      </c>
      <c r="R527" s="246">
        <f t="shared" si="17"/>
        <v>0</v>
      </c>
      <c r="S527" s="177">
        <v>44008</v>
      </c>
      <c r="T527" s="182"/>
      <c r="U527" s="177"/>
      <c r="V527" s="177"/>
      <c r="W527" s="177"/>
      <c r="X527" s="176"/>
      <c r="Y527" s="177"/>
      <c r="Z527" s="415">
        <v>5</v>
      </c>
      <c r="AA527" s="488" t="s">
        <v>10206</v>
      </c>
      <c r="AB527" s="594"/>
      <c r="AC527" s="595"/>
      <c r="AD527" s="596" t="str">
        <f>IF(AND(AC527&lt;&gt;"",S527&lt;&gt;""),NETWORKDAYS(AC527,S527,#REF!),"")</f>
        <v/>
      </c>
      <c r="AE527" s="596" t="str">
        <f ca="1">IF(AND(AD527="",AC527=""),"",IF(OR(AD527&lt;&gt;"",O527="*CANCELADO"),"",NETWORKDAYS(AC527,TODAY(),#REF!)))</f>
        <v/>
      </c>
      <c r="AF527" s="597">
        <f>IFERROR(INDEX(produtos_escape2!M:M,MATCH(Controle!H527,produtos_escape2!A:A,0)),"")</f>
        <v>0</v>
      </c>
    </row>
    <row r="528" spans="1:32" ht="14.25" customHeight="1">
      <c r="A528" s="176" t="s">
        <v>8133</v>
      </c>
      <c r="B528" s="176" t="s">
        <v>3608</v>
      </c>
      <c r="C528" s="177">
        <v>43973</v>
      </c>
      <c r="D528" s="480" t="s">
        <v>8560</v>
      </c>
      <c r="E528" s="176" t="s">
        <v>3009</v>
      </c>
      <c r="F528" s="259" t="s">
        <v>8538</v>
      </c>
      <c r="G528" s="176">
        <v>1</v>
      </c>
      <c r="H528" s="178">
        <v>95636</v>
      </c>
      <c r="I528" s="592">
        <f t="shared" si="16"/>
        <v>2</v>
      </c>
      <c r="J528" s="178" t="s">
        <v>4381</v>
      </c>
      <c r="K528" s="178" t="s">
        <v>4381</v>
      </c>
      <c r="L528" s="275" t="str">
        <f>IF(H:H=0,"",IF(ISERROR(VLOOKUP(H:H,produtos_escape2!$A$2:$B$2794,2,FALSE)),"Código não cadastrado",(VLOOKUP(H:H,produtos_escape2!$A$2:$B$2794,2,FALSE))))</f>
        <v>XILOL P.A. - 1000 ML - XILENO, ASPECTO FÍSICO LÍQUIDO LÍMPIDO, INCOLOR, INFLAMÁVEL, PESO MOLECULAR 106,17, FÓRMULA QUÍMICA C6H4(CH3)2 - MISTURA DE ISÔMEROS ORTO, PARA E META, GRAU DE PUREZA PUREZA MÍNIMA DE 98, CARACTERÍSTICA ADICIONAL REAGENTE P.A., NÚMERO DE REFERÊNCIA QUÍMICA CAS 1330-20-7</v>
      </c>
      <c r="M528" s="593" t="str">
        <f>IF(H:H=0,"",IF(ISERROR(VLOOKUP(H:H,produtos_escape2!$A$2:$D$2794,2,FALSE)),"Código não cadastrado",(VLOOKUP(H:H,produtos_escape2!$A$2:$D$2794,4,FALSE))))</f>
        <v>FR</v>
      </c>
      <c r="N528" s="486">
        <v>36</v>
      </c>
      <c r="O528" s="176" t="s">
        <v>7392</v>
      </c>
      <c r="P528" s="486">
        <v>36</v>
      </c>
      <c r="Q528" s="247">
        <v>29</v>
      </c>
      <c r="R528" s="246">
        <f t="shared" si="17"/>
        <v>1044</v>
      </c>
      <c r="S528" s="177">
        <v>43979</v>
      </c>
      <c r="T528" s="182">
        <v>1328</v>
      </c>
      <c r="U528" s="177">
        <v>43983</v>
      </c>
      <c r="V528" s="177">
        <v>43984</v>
      </c>
      <c r="W528" s="177">
        <v>43985</v>
      </c>
      <c r="X528" s="176">
        <v>30600</v>
      </c>
      <c r="Y528" s="177">
        <v>44007</v>
      </c>
      <c r="Z528" s="415">
        <v>3</v>
      </c>
      <c r="AA528" s="488"/>
      <c r="AB528" s="594"/>
      <c r="AC528" s="595"/>
      <c r="AD528" s="596" t="str">
        <f>IF(AND(AC528&lt;&gt;"",S528&lt;&gt;""),NETWORKDAYS(AC528,S528,#REF!),"")</f>
        <v/>
      </c>
      <c r="AE528" s="596" t="str">
        <f ca="1">IF(AND(AD528="",AC528=""),"",IF(OR(AD528&lt;&gt;"",O528="*CANCELADO"),"",NETWORKDAYS(AC528,TODAY(),#REF!)))</f>
        <v/>
      </c>
      <c r="AF528" s="597" t="str">
        <f>IFERROR(INDEX(produtos_escape2!M:M,MATCH(Controle!H528,produtos_escape2!A:A,0)),"")</f>
        <v>XILENO</v>
      </c>
    </row>
    <row r="529" spans="1:32" ht="14.25" customHeight="1">
      <c r="A529" s="176" t="s">
        <v>8176</v>
      </c>
      <c r="B529" s="176" t="s">
        <v>3608</v>
      </c>
      <c r="C529" s="177">
        <v>43973</v>
      </c>
      <c r="D529" s="176" t="s">
        <v>8561</v>
      </c>
      <c r="E529" s="176" t="s">
        <v>3009</v>
      </c>
      <c r="F529" s="259" t="s">
        <v>8539</v>
      </c>
      <c r="G529" s="176">
        <v>1</v>
      </c>
      <c r="H529" s="178">
        <v>37059</v>
      </c>
      <c r="I529" s="592">
        <f t="shared" si="16"/>
        <v>1</v>
      </c>
      <c r="J529" s="178" t="s">
        <v>816</v>
      </c>
      <c r="K529" s="178" t="s">
        <v>816</v>
      </c>
      <c r="L529" s="275" t="str">
        <f>IF(H:H=0,"",IF(ISERROR(VLOOKUP(H:H,produtos_escape2!$A$2:$B$2794,2,FALSE)),"Código não cadastrado",(VLOOKUP(H:H,produtos_escape2!$A$2:$B$2794,2,FALSE))))</f>
        <v>FLOXINA B. CORANTE, TIPO FLOXINA B, ASPECTO FÍSICO PÓ, CARACTERÍSTICAS ADICIONAIS CI 45410. Aplicação (finalidade): Corante para análise laboratorial e diagnóstico.
Tamanho/Capacidade: Frasco. Características adicionais: A embalagem do produto deverá...</v>
      </c>
      <c r="M529" s="593" t="str">
        <f>IF(H:H=0,"",IF(ISERROR(VLOOKUP(H:H,produtos_escape2!$A$2:$D$2794,2,FALSE)),"Código não cadastrado",(VLOOKUP(H:H,produtos_escape2!$A$2:$D$2794,4,FALSE))))</f>
        <v>GR</v>
      </c>
      <c r="N529" s="486">
        <v>50</v>
      </c>
      <c r="O529" s="176" t="s">
        <v>7540</v>
      </c>
      <c r="P529" s="486">
        <v>50</v>
      </c>
      <c r="Q529" s="247">
        <v>8.68</v>
      </c>
      <c r="R529" s="246">
        <f t="shared" si="17"/>
        <v>434</v>
      </c>
      <c r="S529" s="177">
        <v>43986</v>
      </c>
      <c r="T529" s="182">
        <v>618</v>
      </c>
      <c r="U529" s="177">
        <v>44000</v>
      </c>
      <c r="V529" s="177">
        <v>44000</v>
      </c>
      <c r="W529" s="177">
        <v>44004</v>
      </c>
      <c r="X529" s="176">
        <v>3292</v>
      </c>
      <c r="Y529" s="177">
        <v>44011</v>
      </c>
      <c r="Z529" s="415">
        <v>3</v>
      </c>
      <c r="AA529" s="488" t="s">
        <v>8733</v>
      </c>
      <c r="AB529" s="594"/>
      <c r="AC529" s="595"/>
      <c r="AD529" s="596" t="str">
        <f>IF(AND(AC529&lt;&gt;"",S529&lt;&gt;""),NETWORKDAYS(AC529,S529,#REF!),"")</f>
        <v/>
      </c>
      <c r="AE529" s="596" t="str">
        <f ca="1">IF(AND(AD529="",AC529=""),"",IF(OR(AD529&lt;&gt;"",O529="*CANCELADO"),"",NETWORKDAYS(AC529,TODAY(),#REF!)))</f>
        <v/>
      </c>
      <c r="AF529" s="597" t="str">
        <f>IFERROR(INDEX(produtos_escape2!M:M,MATCH(Controle!H529,produtos_escape2!A:A,0)),"")</f>
        <v>FLOXINA B</v>
      </c>
    </row>
    <row r="530" spans="1:32" ht="14.25" customHeight="1">
      <c r="A530" s="176" t="s">
        <v>8174</v>
      </c>
      <c r="B530" s="176" t="s">
        <v>3608</v>
      </c>
      <c r="C530" s="177">
        <v>43973</v>
      </c>
      <c r="D530" s="176" t="s">
        <v>8562</v>
      </c>
      <c r="E530" s="176" t="s">
        <v>3009</v>
      </c>
      <c r="F530" s="259" t="s">
        <v>8540</v>
      </c>
      <c r="G530" s="176">
        <v>1</v>
      </c>
      <c r="H530" s="178">
        <v>95461</v>
      </c>
      <c r="I530" s="592">
        <f t="shared" si="16"/>
        <v>4</v>
      </c>
      <c r="J530" s="178" t="s">
        <v>816</v>
      </c>
      <c r="K530" s="178" t="s">
        <v>816</v>
      </c>
      <c r="L530" s="275"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530" s="593" t="str">
        <f>IF(H:H=0,"",IF(ISERROR(VLOOKUP(H:H,produtos_escape2!$A$2:$D$2794,2,FALSE)),"Código não cadastrado",(VLOOKUP(H:H,produtos_escape2!$A$2:$D$2794,4,FALSE))))</f>
        <v>BR</v>
      </c>
      <c r="N530" s="486">
        <v>30</v>
      </c>
      <c r="O530" s="176" t="s">
        <v>3670</v>
      </c>
      <c r="P530" s="486">
        <v>30</v>
      </c>
      <c r="Q530" s="247">
        <v>31</v>
      </c>
      <c r="R530" s="246">
        <f t="shared" si="17"/>
        <v>930</v>
      </c>
      <c r="S530" s="177">
        <v>43979</v>
      </c>
      <c r="T530" s="182">
        <v>3824</v>
      </c>
      <c r="U530" s="177">
        <v>43991</v>
      </c>
      <c r="V530" s="177">
        <v>43999</v>
      </c>
      <c r="W530" s="177">
        <v>44000</v>
      </c>
      <c r="X530" s="176">
        <v>3291</v>
      </c>
      <c r="Y530" s="177">
        <v>44011</v>
      </c>
      <c r="Z530" s="415">
        <v>3</v>
      </c>
      <c r="AA530" s="488"/>
      <c r="AB530" s="594"/>
      <c r="AC530" s="595"/>
      <c r="AD530" s="596" t="str">
        <f>IF(AND(AC530&lt;&gt;"",S530&lt;&gt;""),NETWORKDAYS(AC530,S530,#REF!),"")</f>
        <v/>
      </c>
      <c r="AE530" s="596" t="str">
        <f ca="1">IF(AND(AD530="",AC530=""),"",IF(OR(AD530&lt;&gt;"",O530="*CANCELADO"),"",NETWORKDAYS(AC530,TODAY(),#REF!)))</f>
        <v/>
      </c>
      <c r="AF530" s="597" t="str">
        <f>IFERROR(INDEX(produtos_escape2!M:M,MATCH(Controle!H530,produtos_escape2!A:A,0)),"")</f>
        <v>PARAFINA HISTOLOGICA</v>
      </c>
    </row>
    <row r="531" spans="1:32" ht="14.25" customHeight="1">
      <c r="A531" s="176" t="s">
        <v>8172</v>
      </c>
      <c r="B531" s="176" t="s">
        <v>3608</v>
      </c>
      <c r="C531" s="177">
        <v>43973</v>
      </c>
      <c r="D531" s="176" t="s">
        <v>8563</v>
      </c>
      <c r="E531" s="176" t="s">
        <v>3009</v>
      </c>
      <c r="F531" s="259" t="s">
        <v>8541</v>
      </c>
      <c r="G531" s="176">
        <v>1</v>
      </c>
      <c r="H531" s="178">
        <v>95422</v>
      </c>
      <c r="I531" s="592">
        <f t="shared" si="16"/>
        <v>2</v>
      </c>
      <c r="J531" s="178" t="s">
        <v>816</v>
      </c>
      <c r="K531" s="178" t="s">
        <v>816</v>
      </c>
      <c r="L531" s="275" t="str">
        <f>IF(H:H=0,"",IF(ISERROR(VLOOKUP(H:H,produtos_escape2!$A$2:$B$2794,2,FALSE)),"Código não cadastrado",(VLOOKUP(H:H,produtos_escape2!$A$2:$B$2794,2,FALSE))))</f>
        <v>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v>
      </c>
      <c r="M531" s="593" t="str">
        <f>IF(H:H=0,"",IF(ISERROR(VLOOKUP(H:H,produtos_escape2!$A$2:$D$2794,2,FALSE)),"Código não cadastrado",(VLOOKUP(H:H,produtos_escape2!$A$2:$D$2794,4,FALSE))))</f>
        <v>FR</v>
      </c>
      <c r="N531" s="486">
        <v>6</v>
      </c>
      <c r="O531" s="176" t="s">
        <v>7392</v>
      </c>
      <c r="P531" s="486">
        <v>6</v>
      </c>
      <c r="Q531" s="247">
        <v>310</v>
      </c>
      <c r="R531" s="246">
        <f t="shared" si="17"/>
        <v>1860</v>
      </c>
      <c r="S531" s="177">
        <v>43979</v>
      </c>
      <c r="T531" s="182">
        <v>1327</v>
      </c>
      <c r="U531" s="177">
        <v>43980</v>
      </c>
      <c r="V531" s="177">
        <v>43983</v>
      </c>
      <c r="W531" s="177">
        <v>43985</v>
      </c>
      <c r="X531" s="176">
        <v>30683</v>
      </c>
      <c r="Y531" s="177">
        <v>44007</v>
      </c>
      <c r="Z531" s="415">
        <v>3</v>
      </c>
      <c r="AA531" s="488"/>
      <c r="AB531" s="594"/>
      <c r="AC531" s="595"/>
      <c r="AD531" s="596" t="str">
        <f>IF(AND(AC531&lt;&gt;"",S531&lt;&gt;""),NETWORKDAYS(AC531,S531,#REF!),"")</f>
        <v/>
      </c>
      <c r="AE531" s="596" t="str">
        <f ca="1">IF(AND(AD531="",AC531=""),"",IF(OR(AD531&lt;&gt;"",O531="*CANCELADO"),"",NETWORKDAYS(AC531,TODAY(),#REF!)))</f>
        <v/>
      </c>
      <c r="AF531" s="597" t="str">
        <f>IFERROR(INDEX(produtos_escape2!M:M,MATCH(Controle!H531,produtos_escape2!A:A,0)),"")</f>
        <v>MEIO MONTAGEM P/MICROSC</v>
      </c>
    </row>
    <row r="532" spans="1:32" ht="14.25" customHeight="1">
      <c r="A532" s="176" t="s">
        <v>8178</v>
      </c>
      <c r="B532" s="176" t="s">
        <v>3608</v>
      </c>
      <c r="C532" s="177">
        <v>43973</v>
      </c>
      <c r="D532" s="176" t="s">
        <v>8583</v>
      </c>
      <c r="E532" s="176" t="s">
        <v>3009</v>
      </c>
      <c r="F532" s="259" t="s">
        <v>8542</v>
      </c>
      <c r="G532" s="176">
        <v>1</v>
      </c>
      <c r="H532" s="178">
        <v>90032</v>
      </c>
      <c r="I532" s="592">
        <f t="shared" si="16"/>
        <v>11</v>
      </c>
      <c r="J532" s="178" t="s">
        <v>816</v>
      </c>
      <c r="K532" s="178" t="s">
        <v>816</v>
      </c>
      <c r="L532" s="275" t="str">
        <f>IF(H:H=0,"",IF(ISERROR(VLOOKUP(H:H,produtos_escape2!$A$2:$B$2794,2,FALSE)),"Código não cadastrado",(VLOOKUP(H:H,produtos_escape2!$A$2:$B$2794,2,FALSE))))</f>
        <v>CISATRACURIO (BESILATO) SOLUCAO INJETAVEL 2 MG/ML AMPOLA 5 ML</v>
      </c>
      <c r="M532" s="593" t="str">
        <f>IF(H:H=0,"",IF(ISERROR(VLOOKUP(H:H,produtos_escape2!$A$2:$D$2794,2,FALSE)),"Código não cadastrado",(VLOOKUP(H:H,produtos_escape2!$A$2:$D$2794,4,FALSE))))</f>
        <v>AMP</v>
      </c>
      <c r="N532" s="486">
        <v>200</v>
      </c>
      <c r="O532" s="176" t="s">
        <v>1868</v>
      </c>
      <c r="P532" s="486"/>
      <c r="Q532" s="247"/>
      <c r="R532" s="246">
        <f t="shared" si="17"/>
        <v>0</v>
      </c>
      <c r="S532" s="177">
        <v>43979</v>
      </c>
      <c r="T532" s="182"/>
      <c r="U532" s="177"/>
      <c r="V532" s="177"/>
      <c r="W532" s="177"/>
      <c r="X532" s="176"/>
      <c r="Y532" s="177"/>
      <c r="Z532" s="415">
        <v>3</v>
      </c>
      <c r="AA532" s="488" t="s">
        <v>7474</v>
      </c>
      <c r="AB532" s="594"/>
      <c r="AC532" s="595"/>
      <c r="AD532" s="596" t="str">
        <f>IF(AND(AC532&lt;&gt;"",S532&lt;&gt;""),NETWORKDAYS(AC532,S532,#REF!),"")</f>
        <v/>
      </c>
      <c r="AE532" s="596" t="str">
        <f ca="1">IF(AND(AD532="",AC532=""),"",IF(OR(AD532&lt;&gt;"",O532="*CANCELADO"),"",NETWORKDAYS(AC532,TODAY(),#REF!)))</f>
        <v/>
      </c>
      <c r="AF532" s="597" t="str">
        <f>IFERROR(INDEX(produtos_escape2!M:M,MATCH(Controle!H532,produtos_escape2!A:A,0)),"")</f>
        <v>CISATRACURIO (BESILATO) SOLUCAO INJETAVEL 2 MG/ML AMPOLA 5 ML</v>
      </c>
    </row>
    <row r="533" spans="1:32" ht="14.25" customHeight="1">
      <c r="A533" s="176" t="s">
        <v>8179</v>
      </c>
      <c r="B533" s="176" t="s">
        <v>3608</v>
      </c>
      <c r="C533" s="177">
        <v>43973</v>
      </c>
      <c r="D533" s="176" t="s">
        <v>8584</v>
      </c>
      <c r="E533" s="176" t="s">
        <v>1867</v>
      </c>
      <c r="F533" s="259" t="s">
        <v>8543</v>
      </c>
      <c r="G533" s="176">
        <v>1</v>
      </c>
      <c r="H533" s="178">
        <v>90152</v>
      </c>
      <c r="I533" s="592">
        <f t="shared" si="16"/>
        <v>2</v>
      </c>
      <c r="J533" s="178" t="s">
        <v>816</v>
      </c>
      <c r="K533" s="178" t="s">
        <v>816</v>
      </c>
      <c r="L533" s="275" t="str">
        <f>IF(H:H=0,"",IF(ISERROR(VLOOKUP(H:H,produtos_escape2!$A$2:$B$2794,2,FALSE)),"Código não cadastrado",(VLOOKUP(H:H,produtos_escape2!$A$2:$B$2794,2,FALSE))))</f>
        <v>AMINOFILINA SOLUCAO INJETAVEL 24 MG/ML AMPOLA 10 ML</v>
      </c>
      <c r="M533" s="593" t="str">
        <f>IF(H:H=0,"",IF(ISERROR(VLOOKUP(H:H,produtos_escape2!$A$2:$D$2794,2,FALSE)),"Código não cadastrado",(VLOOKUP(H:H,produtos_escape2!$A$2:$D$2794,4,FALSE))))</f>
        <v>AMP</v>
      </c>
      <c r="N533" s="486">
        <v>200</v>
      </c>
      <c r="O533" s="176" t="s">
        <v>7371</v>
      </c>
      <c r="P533" s="486">
        <v>200</v>
      </c>
      <c r="Q533" s="247">
        <v>0.79500000000000004</v>
      </c>
      <c r="R533" s="246">
        <f t="shared" si="17"/>
        <v>159</v>
      </c>
      <c r="S533" s="177">
        <v>43976</v>
      </c>
      <c r="T533" s="182">
        <v>336008</v>
      </c>
      <c r="U533" s="177">
        <v>43976</v>
      </c>
      <c r="V533" s="177">
        <v>43977</v>
      </c>
      <c r="W533" s="177">
        <v>43978</v>
      </c>
      <c r="X533" s="176">
        <v>30025</v>
      </c>
      <c r="Y533" s="177">
        <v>44007</v>
      </c>
      <c r="Z533" s="415">
        <v>3</v>
      </c>
      <c r="AA533" s="488"/>
      <c r="AB533" s="594"/>
      <c r="AC533" s="595"/>
      <c r="AD533" s="596" t="str">
        <f>IF(AND(AC533&lt;&gt;"",S533&lt;&gt;""),NETWORKDAYS(AC533,S533,#REF!),"")</f>
        <v/>
      </c>
      <c r="AE533" s="596" t="str">
        <f ca="1">IF(AND(AD533="",AC533=""),"",IF(OR(AD533&lt;&gt;"",O533="*CANCELADO"),"",NETWORKDAYS(AC533,TODAY(),#REF!)))</f>
        <v/>
      </c>
      <c r="AF533" s="597" t="str">
        <f>IFERROR(INDEX(produtos_escape2!M:M,MATCH(Controle!H533,produtos_escape2!A:A,0)),"")</f>
        <v>AMINOFILINA SOLUCAO INJETAVEL 24 MG/ML AMPOLA 10 ML</v>
      </c>
    </row>
    <row r="534" spans="1:32" ht="14.25" customHeight="1">
      <c r="A534" s="176" t="s">
        <v>8184</v>
      </c>
      <c r="B534" s="176" t="s">
        <v>3608</v>
      </c>
      <c r="C534" s="177">
        <v>43973</v>
      </c>
      <c r="D534" s="176" t="s">
        <v>8585</v>
      </c>
      <c r="E534" s="176" t="s">
        <v>1865</v>
      </c>
      <c r="F534" s="259" t="s">
        <v>8544</v>
      </c>
      <c r="G534" s="176">
        <v>1</v>
      </c>
      <c r="H534" s="178">
        <v>90600</v>
      </c>
      <c r="I534" s="592">
        <f t="shared" si="16"/>
        <v>2</v>
      </c>
      <c r="J534" s="178" t="s">
        <v>816</v>
      </c>
      <c r="K534" s="178" t="s">
        <v>816</v>
      </c>
      <c r="L534" s="275" t="str">
        <f>IF(H:H=0,"",IF(ISERROR(VLOOKUP(H:H,produtos_escape2!$A$2:$B$2794,2,FALSE)),"Código não cadastrado",(VLOOKUP(H:H,produtos_escape2!$A$2:$B$2794,2,FALSE))))</f>
        <v>PROTAMINA (CLORIDRATO) SOLUÇAO INJETAVEL 10 MG/ML AMPOLA 5 ML</v>
      </c>
      <c r="M534" s="593" t="str">
        <f>IF(H:H=0,"",IF(ISERROR(VLOOKUP(H:H,produtos_escape2!$A$2:$D$2794,2,FALSE)),"Código não cadastrado",(VLOOKUP(H:H,produtos_escape2!$A$2:$D$2794,4,FALSE))))</f>
        <v>AMP</v>
      </c>
      <c r="N534" s="486">
        <v>25</v>
      </c>
      <c r="O534" s="176" t="s">
        <v>7371</v>
      </c>
      <c r="P534" s="486">
        <v>25</v>
      </c>
      <c r="Q534" s="247">
        <v>2.9</v>
      </c>
      <c r="R534" s="246">
        <f t="shared" si="17"/>
        <v>72.5</v>
      </c>
      <c r="S534" s="177">
        <v>43978</v>
      </c>
      <c r="T534" s="182">
        <v>337167</v>
      </c>
      <c r="U534" s="177">
        <v>43979</v>
      </c>
      <c r="V534" s="177">
        <v>43980</v>
      </c>
      <c r="W534" s="177">
        <v>43985</v>
      </c>
      <c r="X534" s="176">
        <v>29999</v>
      </c>
      <c r="Y534" s="177">
        <v>44007</v>
      </c>
      <c r="Z534" s="415">
        <v>3</v>
      </c>
      <c r="AA534" s="488"/>
      <c r="AB534" s="594"/>
      <c r="AC534" s="595"/>
      <c r="AD534" s="596" t="str">
        <f>IF(AND(AC534&lt;&gt;"",S534&lt;&gt;""),NETWORKDAYS(AC534,S534,#REF!),"")</f>
        <v/>
      </c>
      <c r="AE534" s="596" t="str">
        <f ca="1">IF(AND(AD534="",AC534=""),"",IF(OR(AD534&lt;&gt;"",O534="*CANCELADO"),"",NETWORKDAYS(AC534,TODAY(),#REF!)))</f>
        <v/>
      </c>
      <c r="AF534" s="597" t="str">
        <f>IFERROR(INDEX(produtos_escape2!M:M,MATCH(Controle!H534,produtos_escape2!A:A,0)),"")</f>
        <v>PROTAMINA (CLORIDRATO) SOLUÇAO INJETAVEL 10 MG/ML AMPOLA 5 ML</v>
      </c>
    </row>
    <row r="535" spans="1:32" ht="14.25" customHeight="1">
      <c r="A535" s="176" t="s">
        <v>8187</v>
      </c>
      <c r="B535" s="176" t="s">
        <v>3608</v>
      </c>
      <c r="C535" s="177">
        <v>43973</v>
      </c>
      <c r="D535" s="176" t="s">
        <v>8586</v>
      </c>
      <c r="E535" s="176" t="s">
        <v>1866</v>
      </c>
      <c r="F535" s="259" t="s">
        <v>8554</v>
      </c>
      <c r="G535" s="176">
        <v>1</v>
      </c>
      <c r="H535" s="178">
        <v>90845</v>
      </c>
      <c r="I535" s="592">
        <f t="shared" si="16"/>
        <v>4</v>
      </c>
      <c r="J535" s="178" t="s">
        <v>816</v>
      </c>
      <c r="K535" s="178" t="s">
        <v>816</v>
      </c>
      <c r="L535" s="275" t="str">
        <f>IF(H:H=0,"",IF(ISERROR(VLOOKUP(H:H,produtos_escape2!$A$2:$B$2794,2,FALSE)),"Código não cadastrado",(VLOOKUP(H:H,produtos_escape2!$A$2:$B$2794,2,FALSE))))</f>
        <v>TROPICAMIDA SOLUCAO OFTALMICA 10 MG/ML FRASCO 5 ML</v>
      </c>
      <c r="M535" s="593" t="str">
        <f>IF(H:H=0,"",IF(ISERROR(VLOOKUP(H:H,produtos_escape2!$A$2:$D$2794,2,FALSE)),"Código não cadastrado",(VLOOKUP(H:H,produtos_escape2!$A$2:$D$2794,4,FALSE))))</f>
        <v>FR</v>
      </c>
      <c r="N535" s="486">
        <v>15</v>
      </c>
      <c r="O535" s="176" t="s">
        <v>2989</v>
      </c>
      <c r="P535" s="486">
        <v>15</v>
      </c>
      <c r="Q535" s="247">
        <v>11</v>
      </c>
      <c r="R535" s="246">
        <f t="shared" si="17"/>
        <v>165</v>
      </c>
      <c r="S535" s="177">
        <v>43977</v>
      </c>
      <c r="T535" s="182">
        <v>120445</v>
      </c>
      <c r="U535" s="177">
        <v>43977</v>
      </c>
      <c r="V535" s="177">
        <v>43978</v>
      </c>
      <c r="W535" s="177">
        <v>43980</v>
      </c>
      <c r="X535" s="176">
        <v>30033</v>
      </c>
      <c r="Y535" s="177">
        <v>44007</v>
      </c>
      <c r="Z535" s="415">
        <v>3</v>
      </c>
      <c r="AA535" s="488"/>
      <c r="AB535" s="594"/>
      <c r="AC535" s="595"/>
      <c r="AD535" s="596" t="str">
        <f>IF(AND(AC535&lt;&gt;"",S535&lt;&gt;""),NETWORKDAYS(AC535,S535,#REF!),"")</f>
        <v/>
      </c>
      <c r="AE535" s="596" t="str">
        <f ca="1">IF(AND(AD535="",AC535=""),"",IF(OR(AD535&lt;&gt;"",O535="*CANCELADO"),"",NETWORKDAYS(AC535,TODAY(),#REF!)))</f>
        <v/>
      </c>
      <c r="AF535" s="597" t="str">
        <f>IFERROR(INDEX(produtos_escape2!M:M,MATCH(Controle!H535,produtos_escape2!A:A,0)),"")</f>
        <v>TROPICAMIDA SOLUCAO OFTALMICA 10 MG/ML FRASCO 5 ML</v>
      </c>
    </row>
    <row r="536" spans="1:32" ht="14.25" customHeight="1">
      <c r="A536" s="176" t="s">
        <v>7382</v>
      </c>
      <c r="B536" s="176" t="s">
        <v>1687</v>
      </c>
      <c r="C536" s="177">
        <v>43976</v>
      </c>
      <c r="D536" s="176" t="s">
        <v>8587</v>
      </c>
      <c r="E536" s="176" t="s">
        <v>3008</v>
      </c>
      <c r="F536" s="259" t="s">
        <v>8555</v>
      </c>
      <c r="G536" s="176">
        <v>1</v>
      </c>
      <c r="H536" s="178" t="s">
        <v>3209</v>
      </c>
      <c r="I536" s="592">
        <f t="shared" si="16"/>
        <v>1</v>
      </c>
      <c r="J536" s="178"/>
      <c r="K536" s="178"/>
      <c r="L536" s="275" t="str">
        <f>IF(H:H=0,"",IF(ISERROR(VLOOKUP(H:H,produtos_escape2!$A$2:$B$2794,2,FALSE)),"Código não cadastrado",(VLOOKUP(H:H,produtos_escape2!$A$2:$B$2794,2,FALSE))))</f>
        <v>Conserto de monitor Multiparâmetros, marca PHILIPS INTELLIVUE, MP20, patrimônio nº 922313</v>
      </c>
      <c r="M536" s="593" t="str">
        <f>IF(H:H=0,"",IF(ISERROR(VLOOKUP(H:H,produtos_escape2!$A$2:$D$2794,2,FALSE)),"Código não cadastrado",(VLOOKUP(H:H,produtos_escape2!$A$2:$D$2794,4,FALSE))))</f>
        <v>Serviço</v>
      </c>
      <c r="N536" s="486">
        <v>1</v>
      </c>
      <c r="O536" s="176" t="s">
        <v>7819</v>
      </c>
      <c r="P536" s="486">
        <v>1</v>
      </c>
      <c r="Q536" s="247">
        <v>4358</v>
      </c>
      <c r="R536" s="246">
        <f>P536*Q536*0.95</f>
        <v>4140.0999999999995</v>
      </c>
      <c r="S536" s="177">
        <v>43986</v>
      </c>
      <c r="T536" s="182">
        <v>8937</v>
      </c>
      <c r="U536" s="177">
        <v>43986</v>
      </c>
      <c r="V536" s="177">
        <v>44132</v>
      </c>
      <c r="W536" s="177">
        <v>44133</v>
      </c>
      <c r="X536" s="176">
        <v>3303</v>
      </c>
      <c r="Y536" s="177">
        <v>44140</v>
      </c>
      <c r="Z536" s="415">
        <v>6</v>
      </c>
      <c r="AA536" s="488"/>
      <c r="AB536" s="594"/>
      <c r="AC536" s="595"/>
      <c r="AD536" s="596" t="str">
        <f>IF(AND(AC536&lt;&gt;"",S536&lt;&gt;""),NETWORKDAYS(AC536,S536,#REF!),"")</f>
        <v/>
      </c>
      <c r="AE536" s="596" t="str">
        <f ca="1">IF(AND(AD536="",AC536=""),"",IF(OR(AD536&lt;&gt;"",O536="*CANCELADO"),"",NETWORKDAYS(AC536,TODAY(),#REF!)))</f>
        <v/>
      </c>
      <c r="AF536" s="597">
        <f>IFERROR(INDEX(produtos_escape2!M:M,MATCH(Controle!H536,produtos_escape2!A:A,0)),"")</f>
        <v>0</v>
      </c>
    </row>
    <row r="537" spans="1:32" ht="14.25" customHeight="1">
      <c r="A537" s="176" t="s">
        <v>7382</v>
      </c>
      <c r="B537" s="176" t="s">
        <v>1687</v>
      </c>
      <c r="C537" s="177">
        <v>43976</v>
      </c>
      <c r="D537" s="176" t="s">
        <v>8587</v>
      </c>
      <c r="E537" s="176" t="s">
        <v>3008</v>
      </c>
      <c r="F537" s="259" t="s">
        <v>8555</v>
      </c>
      <c r="G537" s="176">
        <v>2</v>
      </c>
      <c r="H537" s="178" t="s">
        <v>3210</v>
      </c>
      <c r="I537" s="592">
        <f t="shared" si="16"/>
        <v>2</v>
      </c>
      <c r="J537" s="178"/>
      <c r="K537" s="178"/>
      <c r="L537" s="275" t="str">
        <f>IF(H:H=0,"",IF(ISERROR(VLOOKUP(H:H,produtos_escape2!$A$2:$B$2794,2,FALSE)),"Código não cadastrado",(VLOOKUP(H:H,produtos_escape2!$A$2:$B$2794,2,FALSE))))</f>
        <v>Conserto de monitor Multiparâmetros, marca PHILIPS INTELLIVUE, MP20, patrimônio nº 922327.</v>
      </c>
      <c r="M537" s="593" t="str">
        <f>IF(H:H=0,"",IF(ISERROR(VLOOKUP(H:H,produtos_escape2!$A$2:$D$2794,2,FALSE)),"Código não cadastrado",(VLOOKUP(H:H,produtos_escape2!$A$2:$D$2794,4,FALSE))))</f>
        <v>Serviço</v>
      </c>
      <c r="N537" s="486">
        <v>1</v>
      </c>
      <c r="O537" s="176" t="s">
        <v>7819</v>
      </c>
      <c r="P537" s="486">
        <v>1</v>
      </c>
      <c r="Q537" s="247">
        <v>4358</v>
      </c>
      <c r="R537" s="246">
        <f>P537*Q537*0.95</f>
        <v>4140.0999999999995</v>
      </c>
      <c r="S537" s="177">
        <v>43986</v>
      </c>
      <c r="T537" s="182">
        <v>8937</v>
      </c>
      <c r="U537" s="177">
        <v>43986</v>
      </c>
      <c r="V537" s="177">
        <v>44132</v>
      </c>
      <c r="W537" s="177">
        <v>44133</v>
      </c>
      <c r="X537" s="176">
        <v>3303</v>
      </c>
      <c r="Y537" s="177">
        <v>44140</v>
      </c>
      <c r="Z537" s="415">
        <v>6</v>
      </c>
      <c r="AA537" s="488"/>
      <c r="AB537" s="594"/>
      <c r="AC537" s="595"/>
      <c r="AD537" s="596" t="str">
        <f>IF(AND(AC537&lt;&gt;"",S537&lt;&gt;""),NETWORKDAYS(AC537,S537,#REF!),"")</f>
        <v/>
      </c>
      <c r="AE537" s="596" t="str">
        <f ca="1">IF(AND(AD537="",AC537=""),"",IF(OR(AD537&lt;&gt;"",O537="*CANCELADO"),"",NETWORKDAYS(AC537,TODAY(),#REF!)))</f>
        <v/>
      </c>
      <c r="AF537" s="597">
        <f>IFERROR(INDEX(produtos_escape2!M:M,MATCH(Controle!H537,produtos_escape2!A:A,0)),"")</f>
        <v>0</v>
      </c>
    </row>
    <row r="538" spans="1:32" ht="14.25" customHeight="1">
      <c r="A538" s="176" t="s">
        <v>7382</v>
      </c>
      <c r="B538" s="176" t="s">
        <v>1687</v>
      </c>
      <c r="C538" s="177">
        <v>43976</v>
      </c>
      <c r="D538" s="176" t="s">
        <v>8587</v>
      </c>
      <c r="E538" s="176" t="s">
        <v>3008</v>
      </c>
      <c r="F538" s="259" t="s">
        <v>8555</v>
      </c>
      <c r="G538" s="176">
        <v>2</v>
      </c>
      <c r="H538" s="178" t="s">
        <v>3210</v>
      </c>
      <c r="I538" s="592">
        <f t="shared" si="16"/>
        <v>2</v>
      </c>
      <c r="J538" s="178"/>
      <c r="K538" s="178"/>
      <c r="L538" s="275" t="str">
        <f>IF(H:H=0,"",IF(ISERROR(VLOOKUP(H:H,produtos_escape2!$A$2:$B$2794,2,FALSE)),"Código não cadastrado",(VLOOKUP(H:H,produtos_escape2!$A$2:$B$2794,2,FALSE))))</f>
        <v>Conserto de monitor Multiparâmetros, marca PHILIPS INTELLIVUE, MP20, patrimônio nº 922327.</v>
      </c>
      <c r="M538" s="593" t="str">
        <f>IF(H:H=0,"",IF(ISERROR(VLOOKUP(H:H,produtos_escape2!$A$2:$D$2794,2,FALSE)),"Código não cadastrado",(VLOOKUP(H:H,produtos_escape2!$A$2:$D$2794,4,FALSE))))</f>
        <v>Serviço</v>
      </c>
      <c r="N538" s="486">
        <v>1</v>
      </c>
      <c r="O538" s="176" t="s">
        <v>7624</v>
      </c>
      <c r="P538" s="486">
        <v>1</v>
      </c>
      <c r="Q538" s="247">
        <v>435.8</v>
      </c>
      <c r="R538" s="246">
        <f t="shared" ref="R538:R558" si="18">P538*Q538</f>
        <v>435.8</v>
      </c>
      <c r="S538" s="177">
        <v>43986</v>
      </c>
      <c r="T538" s="182">
        <v>8937</v>
      </c>
      <c r="U538" s="177">
        <v>43986</v>
      </c>
      <c r="V538" s="177">
        <v>44132</v>
      </c>
      <c r="W538" s="177">
        <v>44133</v>
      </c>
      <c r="X538" s="176">
        <v>3303</v>
      </c>
      <c r="Y538" s="177">
        <v>44140</v>
      </c>
      <c r="Z538" s="415">
        <v>6</v>
      </c>
      <c r="AA538" s="488"/>
      <c r="AB538" s="594"/>
      <c r="AC538" s="595"/>
      <c r="AD538" s="596" t="str">
        <f>IF(AND(AC538&lt;&gt;"",S538&lt;&gt;""),NETWORKDAYS(AC538,S538,#REF!),"")</f>
        <v/>
      </c>
      <c r="AE538" s="596" t="str">
        <f ca="1">IF(AND(AD538="",AC538=""),"",IF(OR(AD538&lt;&gt;"",O538="*CANCELADO"),"",NETWORKDAYS(AC538,TODAY(),#REF!)))</f>
        <v/>
      </c>
      <c r="AF538" s="597">
        <f>IFERROR(INDEX(produtos_escape2!M:M,MATCH(Controle!H538,produtos_escape2!A:A,0)),"")</f>
        <v>0</v>
      </c>
    </row>
    <row r="539" spans="1:32" ht="14.25" customHeight="1">
      <c r="A539" s="176" t="s">
        <v>7792</v>
      </c>
      <c r="B539" s="176" t="s">
        <v>7207</v>
      </c>
      <c r="C539" s="177">
        <v>43976</v>
      </c>
      <c r="D539" s="176" t="s">
        <v>8588</v>
      </c>
      <c r="E539" s="176" t="s">
        <v>3009</v>
      </c>
      <c r="F539" s="259" t="s">
        <v>8589</v>
      </c>
      <c r="G539" s="176">
        <v>1</v>
      </c>
      <c r="H539" s="178">
        <v>35753</v>
      </c>
      <c r="I539" s="592">
        <f t="shared" si="16"/>
        <v>3</v>
      </c>
      <c r="J539" s="178" t="s">
        <v>816</v>
      </c>
      <c r="K539" s="178" t="s">
        <v>816</v>
      </c>
      <c r="L539" s="275" t="str">
        <f>IF(H:H=0,"",IF(ISERROR(VLOOKUP(H:H,produtos_escape2!$A$2:$B$2794,2,FALSE)),"Código não cadastrado",(VLOOKUP(H:H,produtos_escape2!$A$2:$B$2794,2,FALSE))))</f>
        <v xml:space="preserve">TERMÔMETRO AURICULAR, DIGITAL, INFRAVERMELHO DIGITAL, USO CLÍNICO. Aplicação (finalidade): verificação de temperatura corporal por meio da radiação térmica do canal auditivo. Composição: digital com sensor infravermelho protegido e à prova d'água, revestido de plástico, visor LCD. Características adicionais: tempo de leitura máximo de 5 seg., desligamento automático, indicador de pilha, aviso de conclusão da medição. Processo de Esterilização: não estéril. Prazo de validade: indeterminado. Apresentação: embalagem individual. </v>
      </c>
      <c r="M539" s="593" t="str">
        <f>IF(H:H=0,"",IF(ISERROR(VLOOKUP(H:H,produtos_escape2!$A$2:$D$2794,2,FALSE)),"Código não cadastrado",(VLOOKUP(H:H,produtos_escape2!$A$2:$D$2794,4,FALSE))))</f>
        <v>UN</v>
      </c>
      <c r="N539" s="486">
        <v>15</v>
      </c>
      <c r="O539" s="176" t="s">
        <v>4357</v>
      </c>
      <c r="P539" s="486">
        <v>15</v>
      </c>
      <c r="Q539" s="247">
        <v>568.22</v>
      </c>
      <c r="R539" s="246">
        <f t="shared" si="18"/>
        <v>8523.3000000000011</v>
      </c>
      <c r="S539" s="177">
        <v>43979</v>
      </c>
      <c r="T539" s="182">
        <v>1516</v>
      </c>
      <c r="U539" s="177">
        <v>43984</v>
      </c>
      <c r="V539" s="177">
        <v>43984</v>
      </c>
      <c r="W539" s="177">
        <v>43985</v>
      </c>
      <c r="X539" s="176">
        <v>30817</v>
      </c>
      <c r="Y539" s="177">
        <v>44007</v>
      </c>
      <c r="Z539" s="415">
        <v>3</v>
      </c>
      <c r="AA539" s="488"/>
      <c r="AB539" s="594"/>
      <c r="AC539" s="595"/>
      <c r="AD539" s="596" t="str">
        <f>IF(AND(AC539&lt;&gt;"",S539&lt;&gt;""),NETWORKDAYS(AC539,S539,#REF!),"")</f>
        <v/>
      </c>
      <c r="AE539" s="596" t="str">
        <f ca="1">IF(AND(AD539="",AC539=""),"",IF(OR(AD539&lt;&gt;"",O539="*CANCELADO"),"",NETWORKDAYS(AC539,TODAY(),#REF!)))</f>
        <v/>
      </c>
      <c r="AF539" s="597" t="str">
        <f>IFERROR(INDEX(produtos_escape2!M:M,MATCH(Controle!H539,produtos_escape2!A:A,0)),"")</f>
        <v>TERMOMETRO AURICULAR</v>
      </c>
    </row>
    <row r="540" spans="1:32" ht="14.25" customHeight="1">
      <c r="A540" s="176" t="s">
        <v>7362</v>
      </c>
      <c r="B540" s="176" t="s">
        <v>1687</v>
      </c>
      <c r="C540" s="177">
        <v>43976</v>
      </c>
      <c r="D540" s="176" t="s">
        <v>8594</v>
      </c>
      <c r="E540" s="176" t="s">
        <v>3008</v>
      </c>
      <c r="F540" s="259" t="s">
        <v>8590</v>
      </c>
      <c r="G540" s="176">
        <v>1</v>
      </c>
      <c r="H540" s="178" t="s">
        <v>8593</v>
      </c>
      <c r="I540" s="592">
        <f t="shared" si="16"/>
        <v>1</v>
      </c>
      <c r="J540" s="178"/>
      <c r="K540" s="178"/>
      <c r="L540" s="275" t="str">
        <f>IF(H:H=0,"",IF(ISERROR(VLOOKUP(H:H,produtos_escape2!$A$2:$B$2794,2,FALSE)),"Código não cadastrado",(VLOOKUP(H:H,produtos_escape2!$A$2:$B$2794,2,FALSE))))</f>
        <v>Montagem/Desmontagem Raio X, Marca VMI, Modelo Compacto Plus 500, Nº Patrimônio 445305.</v>
      </c>
      <c r="M540" s="593" t="str">
        <f>IF(H:H=0,"",IF(ISERROR(VLOOKUP(H:H,produtos_escape2!$A$2:$D$2794,2,FALSE)),"Código não cadastrado",(VLOOKUP(H:H,produtos_escape2!$A$2:$D$2794,4,FALSE))))</f>
        <v>Serviço</v>
      </c>
      <c r="N540" s="486">
        <v>1</v>
      </c>
      <c r="O540" s="176" t="s">
        <v>1868</v>
      </c>
      <c r="P540" s="486"/>
      <c r="Q540" s="247"/>
      <c r="R540" s="246">
        <f t="shared" si="18"/>
        <v>0</v>
      </c>
      <c r="S540" s="177">
        <v>43984</v>
      </c>
      <c r="T540" s="182"/>
      <c r="U540" s="177"/>
      <c r="V540" s="177"/>
      <c r="W540" s="177"/>
      <c r="X540" s="176"/>
      <c r="Y540" s="177"/>
      <c r="Z540" s="415">
        <v>3</v>
      </c>
      <c r="AA540" s="488" t="s">
        <v>8816</v>
      </c>
      <c r="AB540" s="594"/>
      <c r="AC540" s="595"/>
      <c r="AD540" s="596" t="str">
        <f>IF(AND(AC540&lt;&gt;"",S540&lt;&gt;""),NETWORKDAYS(AC540,S540,#REF!),"")</f>
        <v/>
      </c>
      <c r="AE540" s="596" t="str">
        <f ca="1">IF(AND(AD540="",AC540=""),"",IF(OR(AD540&lt;&gt;"",O540="*CANCELADO"),"",NETWORKDAYS(AC540,TODAY(),#REF!)))</f>
        <v/>
      </c>
      <c r="AF540" s="597">
        <f>IFERROR(INDEX(produtos_escape2!M:M,MATCH(Controle!H540,produtos_escape2!A:A,0)),"")</f>
        <v>0</v>
      </c>
    </row>
    <row r="541" spans="1:32" ht="14.25" customHeight="1">
      <c r="A541" s="176" t="s">
        <v>7384</v>
      </c>
      <c r="B541" s="176" t="s">
        <v>1687</v>
      </c>
      <c r="C541" s="177">
        <v>43978</v>
      </c>
      <c r="D541" s="176" t="s">
        <v>8600</v>
      </c>
      <c r="E541" s="176" t="s">
        <v>3008</v>
      </c>
      <c r="F541" s="259" t="s">
        <v>8601</v>
      </c>
      <c r="G541" s="176">
        <v>1</v>
      </c>
      <c r="H541" s="178" t="s">
        <v>8602</v>
      </c>
      <c r="I541" s="592">
        <f t="shared" si="16"/>
        <v>1</v>
      </c>
      <c r="J541" s="178"/>
      <c r="K541" s="178"/>
      <c r="L541" s="275" t="str">
        <f>IF(H:H=0,"",IF(ISERROR(VLOOKUP(H:H,produtos_escape2!$A$2:$B$2794,2,FALSE)),"Código não cadastrado",(VLOOKUP(H:H,produtos_escape2!$A$2:$B$2794,2,FALSE))))</f>
        <v>CONSERTO DE Respirador Mecânico, Marca TAKAOKA DENVER, Nº Patrimônio 547161.</v>
      </c>
      <c r="M541" s="593" t="str">
        <f>IF(H:H=0,"",IF(ISERROR(VLOOKUP(H:H,produtos_escape2!$A$2:$D$2794,2,FALSE)),"Código não cadastrado",(VLOOKUP(H:H,produtos_escape2!$A$2:$D$2794,4,FALSE))))</f>
        <v>Serviço</v>
      </c>
      <c r="N541" s="486">
        <v>1</v>
      </c>
      <c r="O541" s="176" t="s">
        <v>1868</v>
      </c>
      <c r="P541" s="486">
        <v>0</v>
      </c>
      <c r="Q541" s="247">
        <v>6905</v>
      </c>
      <c r="R541" s="246">
        <f t="shared" si="18"/>
        <v>0</v>
      </c>
      <c r="S541" s="177">
        <v>43992</v>
      </c>
      <c r="T541" s="182"/>
      <c r="U541" s="177"/>
      <c r="V541" s="177"/>
      <c r="W541" s="177"/>
      <c r="X541" s="176"/>
      <c r="Y541" s="177"/>
      <c r="Z541" s="415">
        <v>5</v>
      </c>
      <c r="AA541" s="488" t="s">
        <v>10206</v>
      </c>
      <c r="AB541" s="594"/>
      <c r="AC541" s="595"/>
      <c r="AD541" s="596" t="str">
        <f>IF(AND(AC541&lt;&gt;"",S541&lt;&gt;""),NETWORKDAYS(AC541,S541,#REF!),"")</f>
        <v/>
      </c>
      <c r="AE541" s="596" t="str">
        <f ca="1">IF(AND(AD541="",AC541=""),"",IF(OR(AD541&lt;&gt;"",O541="*CANCELADO"),"",NETWORKDAYS(AC541,TODAY(),#REF!)))</f>
        <v/>
      </c>
      <c r="AF541" s="597">
        <f>IFERROR(INDEX(produtos_escape2!M:M,MATCH(Controle!H541,produtos_escape2!A:A,0)),"")</f>
        <v>0</v>
      </c>
    </row>
    <row r="542" spans="1:32" ht="14.25" customHeight="1">
      <c r="A542" s="176" t="s">
        <v>7385</v>
      </c>
      <c r="B542" s="176" t="s">
        <v>1687</v>
      </c>
      <c r="C542" s="177">
        <v>43978</v>
      </c>
      <c r="D542" s="176" t="s">
        <v>8604</v>
      </c>
      <c r="E542" s="176" t="s">
        <v>3008</v>
      </c>
      <c r="F542" s="259" t="s">
        <v>8605</v>
      </c>
      <c r="G542" s="176">
        <v>1</v>
      </c>
      <c r="H542" s="178" t="s">
        <v>8609</v>
      </c>
      <c r="I542" s="592">
        <f t="shared" si="16"/>
        <v>1</v>
      </c>
      <c r="J542" s="178"/>
      <c r="K542" s="178"/>
      <c r="L542" s="275" t="str">
        <f>IF(H:H=0,"",IF(ISERROR(VLOOKUP(H:H,produtos_escape2!$A$2:$B$2794,2,FALSE)),"Código não cadastrado",(VLOOKUP(H:H,produtos_escape2!$A$2:$B$2794,2,FALSE))))</f>
        <v>Conserto deMicroscópio Binocular, Marca LEICA, Modelo DM 1000, Nº Patrimônio 931646, Nº de Série 336695.</v>
      </c>
      <c r="M542" s="593" t="str">
        <f>IF(H:H=0,"",IF(ISERROR(VLOOKUP(H:H,produtos_escape2!$A$2:$D$2794,2,FALSE)),"Código não cadastrado",(VLOOKUP(H:H,produtos_escape2!$A$2:$D$2794,4,FALSE))))</f>
        <v>Serviço</v>
      </c>
      <c r="N542" s="486">
        <v>1</v>
      </c>
      <c r="O542" s="176" t="s">
        <v>7860</v>
      </c>
      <c r="P542" s="486">
        <v>1</v>
      </c>
      <c r="Q542" s="247">
        <v>220</v>
      </c>
      <c r="R542" s="246">
        <f t="shared" si="18"/>
        <v>220</v>
      </c>
      <c r="S542" s="177">
        <v>43992</v>
      </c>
      <c r="T542" s="182">
        <v>4187</v>
      </c>
      <c r="U542" s="177">
        <v>43997</v>
      </c>
      <c r="V542" s="177">
        <v>43997</v>
      </c>
      <c r="W542" s="177">
        <v>43997</v>
      </c>
      <c r="X542" s="176">
        <v>32460</v>
      </c>
      <c r="Y542" s="177">
        <v>44011</v>
      </c>
      <c r="Z542" s="415">
        <v>3</v>
      </c>
      <c r="AA542" s="488"/>
      <c r="AB542" s="594"/>
      <c r="AC542" s="595"/>
      <c r="AD542" s="596" t="str">
        <f>IF(AND(AC542&lt;&gt;"",S542&lt;&gt;""),NETWORKDAYS(AC542,S542,#REF!),"")</f>
        <v/>
      </c>
      <c r="AE542" s="596" t="str">
        <f ca="1">IF(AND(AD542="",AC542=""),"",IF(OR(AD542&lt;&gt;"",O542="*CANCELADO"),"",NETWORKDAYS(AC542,TODAY(),#REF!)))</f>
        <v/>
      </c>
      <c r="AF542" s="597">
        <f>IFERROR(INDEX(produtos_escape2!M:M,MATCH(Controle!H542,produtos_escape2!A:A,0)),"")</f>
        <v>0</v>
      </c>
    </row>
    <row r="543" spans="1:32" ht="14.25" customHeight="1">
      <c r="A543" s="176" t="s">
        <v>7385</v>
      </c>
      <c r="B543" s="176" t="s">
        <v>1687</v>
      </c>
      <c r="C543" s="177">
        <v>43978</v>
      </c>
      <c r="D543" s="176" t="s">
        <v>8604</v>
      </c>
      <c r="E543" s="176" t="s">
        <v>3008</v>
      </c>
      <c r="F543" s="259" t="s">
        <v>8605</v>
      </c>
      <c r="G543" s="176">
        <v>2</v>
      </c>
      <c r="H543" s="178" t="s">
        <v>8610</v>
      </c>
      <c r="I543" s="592">
        <f t="shared" si="16"/>
        <v>1</v>
      </c>
      <c r="J543" s="178"/>
      <c r="K543" s="178"/>
      <c r="L543" s="275" t="str">
        <f>IF(H:H=0,"",IF(ISERROR(VLOOKUP(H:H,produtos_escape2!$A$2:$B$2794,2,FALSE)),"Código não cadastrado",(VLOOKUP(H:H,produtos_escape2!$A$2:$B$2794,2,FALSE))))</f>
        <v>Conserto de Microscópio Binocular, Marca LEICA, Modelo DM 1000, Nº Patrimônio 931643, Nº de Série 336703.</v>
      </c>
      <c r="M543" s="593" t="str">
        <f>IF(H:H=0,"",IF(ISERROR(VLOOKUP(H:H,produtos_escape2!$A$2:$D$2794,2,FALSE)),"Código não cadastrado",(VLOOKUP(H:H,produtos_escape2!$A$2:$D$2794,4,FALSE))))</f>
        <v>Serviço</v>
      </c>
      <c r="N543" s="486">
        <v>1</v>
      </c>
      <c r="O543" s="176" t="s">
        <v>7860</v>
      </c>
      <c r="P543" s="486">
        <v>1</v>
      </c>
      <c r="Q543" s="247">
        <v>220</v>
      </c>
      <c r="R543" s="246">
        <f t="shared" si="18"/>
        <v>220</v>
      </c>
      <c r="S543" s="177">
        <v>43992</v>
      </c>
      <c r="T543" s="182">
        <v>4187</v>
      </c>
      <c r="U543" s="177">
        <v>43997</v>
      </c>
      <c r="V543" s="177">
        <v>43997</v>
      </c>
      <c r="W543" s="177">
        <v>43997</v>
      </c>
      <c r="X543" s="176">
        <v>32460</v>
      </c>
      <c r="Y543" s="177">
        <v>44011</v>
      </c>
      <c r="Z543" s="415">
        <v>3</v>
      </c>
      <c r="AA543" s="488"/>
      <c r="AB543" s="594"/>
      <c r="AC543" s="595"/>
      <c r="AD543" s="596" t="str">
        <f>IF(AND(AC543&lt;&gt;"",S543&lt;&gt;""),NETWORKDAYS(AC543,S543,#REF!),"")</f>
        <v/>
      </c>
      <c r="AE543" s="596" t="str">
        <f ca="1">IF(AND(AD543="",AC543=""),"",IF(OR(AD543&lt;&gt;"",O543="*CANCELADO"),"",NETWORKDAYS(AC543,TODAY(),#REF!)))</f>
        <v/>
      </c>
      <c r="AF543" s="597">
        <f>IFERROR(INDEX(produtos_escape2!M:M,MATCH(Controle!H543,produtos_escape2!A:A,0)),"")</f>
        <v>0</v>
      </c>
    </row>
    <row r="544" spans="1:32" ht="14.25" customHeight="1">
      <c r="A544" s="176" t="s">
        <v>7385</v>
      </c>
      <c r="B544" s="176" t="s">
        <v>1687</v>
      </c>
      <c r="C544" s="177">
        <v>43978</v>
      </c>
      <c r="D544" s="176" t="s">
        <v>8604</v>
      </c>
      <c r="E544" s="176" t="s">
        <v>3008</v>
      </c>
      <c r="F544" s="259" t="s">
        <v>8605</v>
      </c>
      <c r="G544" s="176">
        <v>3</v>
      </c>
      <c r="H544" s="178" t="s">
        <v>8611</v>
      </c>
      <c r="I544" s="592">
        <f t="shared" si="16"/>
        <v>1</v>
      </c>
      <c r="J544" s="178"/>
      <c r="K544" s="178"/>
      <c r="L544" s="275" t="str">
        <f>IF(H:H=0,"",IF(ISERROR(VLOOKUP(H:H,produtos_escape2!$A$2:$B$2794,2,FALSE)),"Código não cadastrado",(VLOOKUP(H:H,produtos_escape2!$A$2:$B$2794,2,FALSE))))</f>
        <v>Conserto de Microscópio Binocular, Marca OLYMPUS, Nº Patrimônio 3258.</v>
      </c>
      <c r="M544" s="593" t="str">
        <f>IF(H:H=0,"",IF(ISERROR(VLOOKUP(H:H,produtos_escape2!$A$2:$D$2794,2,FALSE)),"Código não cadastrado",(VLOOKUP(H:H,produtos_escape2!$A$2:$D$2794,4,FALSE))))</f>
        <v>Serviço</v>
      </c>
      <c r="N544" s="486">
        <v>1</v>
      </c>
      <c r="O544" s="176" t="s">
        <v>7860</v>
      </c>
      <c r="P544" s="486">
        <v>1</v>
      </c>
      <c r="Q544" s="247">
        <v>220</v>
      </c>
      <c r="R544" s="246">
        <f t="shared" si="18"/>
        <v>220</v>
      </c>
      <c r="S544" s="177">
        <v>43992</v>
      </c>
      <c r="T544" s="182">
        <v>4187</v>
      </c>
      <c r="U544" s="177">
        <v>43997</v>
      </c>
      <c r="V544" s="177">
        <v>43997</v>
      </c>
      <c r="W544" s="177">
        <v>43997</v>
      </c>
      <c r="X544" s="176">
        <v>32460</v>
      </c>
      <c r="Y544" s="177">
        <v>44011</v>
      </c>
      <c r="Z544" s="415">
        <v>3</v>
      </c>
      <c r="AA544" s="488"/>
      <c r="AB544" s="594"/>
      <c r="AC544" s="595"/>
      <c r="AD544" s="596" t="str">
        <f>IF(AND(AC544&lt;&gt;"",S544&lt;&gt;""),NETWORKDAYS(AC544,S544,#REF!),"")</f>
        <v/>
      </c>
      <c r="AE544" s="596" t="str">
        <f ca="1">IF(AND(AD544="",AC544=""),"",IF(OR(AD544&lt;&gt;"",O544="*CANCELADO"),"",NETWORKDAYS(AC544,TODAY(),#REF!)))</f>
        <v/>
      </c>
      <c r="AF544" s="597">
        <f>IFERROR(INDEX(produtos_escape2!M:M,MATCH(Controle!H544,produtos_escape2!A:A,0)),"")</f>
        <v>0</v>
      </c>
    </row>
    <row r="545" spans="1:32" ht="14.25" customHeight="1">
      <c r="A545" s="176" t="s">
        <v>7385</v>
      </c>
      <c r="B545" s="176" t="s">
        <v>1687</v>
      </c>
      <c r="C545" s="177">
        <v>43978</v>
      </c>
      <c r="D545" s="176" t="s">
        <v>8612</v>
      </c>
      <c r="E545" s="176" t="s">
        <v>3008</v>
      </c>
      <c r="F545" s="259" t="s">
        <v>8613</v>
      </c>
      <c r="G545" s="176">
        <v>1</v>
      </c>
      <c r="H545" s="178" t="s">
        <v>8614</v>
      </c>
      <c r="I545" s="592">
        <f t="shared" si="16"/>
        <v>2</v>
      </c>
      <c r="J545" s="178"/>
      <c r="K545" s="178"/>
      <c r="L545" s="275" t="str">
        <f>IF(H:H=0,"",IF(ISERROR(VLOOKUP(H:H,produtos_escape2!$A$2:$B$2794,2,FALSE)),"Código não cadastrado",(VLOOKUP(H:H,produtos_escape2!$A$2:$B$2794,2,FALSE))))</f>
        <v>CONSERTO DE Respirador Mecânico, Marca PURITAN BENNET 840, Nº Patrimônio 912147</v>
      </c>
      <c r="M545" s="593" t="str">
        <f>IF(H:H=0,"",IF(ISERROR(VLOOKUP(H:H,produtos_escape2!$A$2:$D$2794,2,FALSE)),"Código não cadastrado",(VLOOKUP(H:H,produtos_escape2!$A$2:$D$2794,4,FALSE))))</f>
        <v>Serviço</v>
      </c>
      <c r="N545" s="486">
        <v>1</v>
      </c>
      <c r="O545" s="176" t="s">
        <v>8894</v>
      </c>
      <c r="P545" s="486">
        <v>1</v>
      </c>
      <c r="Q545" s="413">
        <f>1050+2947.04-R546</f>
        <v>3944.54</v>
      </c>
      <c r="R545" s="246">
        <f t="shared" si="18"/>
        <v>3944.54</v>
      </c>
      <c r="S545" s="351">
        <v>43992</v>
      </c>
      <c r="T545" s="206" t="s">
        <v>9484</v>
      </c>
      <c r="U545" s="351">
        <v>44013</v>
      </c>
      <c r="V545" s="351">
        <v>44028</v>
      </c>
      <c r="W545" s="351">
        <v>44039</v>
      </c>
      <c r="X545" s="176">
        <v>63536</v>
      </c>
      <c r="Y545" s="177">
        <v>44061</v>
      </c>
      <c r="Z545" s="598">
        <v>4</v>
      </c>
      <c r="AA545" s="610">
        <f>2959.28+1050</f>
        <v>4009.28</v>
      </c>
      <c r="AB545" s="594"/>
      <c r="AC545" s="595"/>
      <c r="AD545" s="596" t="str">
        <f>IF(AND(AC545&lt;&gt;"",S545&lt;&gt;""),NETWORKDAYS(AC545,S545,#REF!),"")</f>
        <v/>
      </c>
      <c r="AE545" s="596" t="str">
        <f ca="1">IF(AND(AD545="",AC545=""),"",IF(OR(AD545&lt;&gt;"",O545="*CANCELADO"),"",NETWORKDAYS(AC545,TODAY(),#REF!)))</f>
        <v/>
      </c>
      <c r="AF545" s="597">
        <f>IFERROR(INDEX(produtos_escape2!M:M,MATCH(Controle!H545,produtos_escape2!A:A,0)),"")</f>
        <v>0</v>
      </c>
    </row>
    <row r="546" spans="1:32" ht="14.25" customHeight="1">
      <c r="A546" s="176" t="s">
        <v>7385</v>
      </c>
      <c r="B546" s="176" t="s">
        <v>1687</v>
      </c>
      <c r="C546" s="177">
        <v>43978</v>
      </c>
      <c r="D546" s="176" t="s">
        <v>8612</v>
      </c>
      <c r="E546" s="176" t="s">
        <v>3008</v>
      </c>
      <c r="F546" s="259" t="s">
        <v>8613</v>
      </c>
      <c r="G546" s="176">
        <v>1</v>
      </c>
      <c r="H546" s="178" t="s">
        <v>8614</v>
      </c>
      <c r="I546" s="592">
        <f t="shared" si="16"/>
        <v>2</v>
      </c>
      <c r="J546" s="178"/>
      <c r="K546" s="178"/>
      <c r="L546" s="275" t="str">
        <f>IF(H:H=0,"",IF(ISERROR(VLOOKUP(H:H,produtos_escape2!$A$2:$B$2794,2,FALSE)),"Código não cadastrado",(VLOOKUP(H:H,produtos_escape2!$A$2:$B$2794,2,FALSE))))</f>
        <v>CONSERTO DE Respirador Mecânico, Marca PURITAN BENNET 840, Nº Patrimônio 912147</v>
      </c>
      <c r="M546" s="593" t="str">
        <f>IF(H:H=0,"",IF(ISERROR(VLOOKUP(H:H,produtos_escape2!$A$2:$D$2794,2,FALSE)),"Código não cadastrado",(VLOOKUP(H:H,produtos_escape2!$A$2:$D$2794,4,FALSE))))</f>
        <v>Serviço</v>
      </c>
      <c r="N546" s="486">
        <v>1</v>
      </c>
      <c r="O546" s="176" t="s">
        <v>7624</v>
      </c>
      <c r="P546" s="486">
        <v>1</v>
      </c>
      <c r="Q546" s="413">
        <v>52.5</v>
      </c>
      <c r="R546" s="414">
        <f t="shared" si="18"/>
        <v>52.5</v>
      </c>
      <c r="S546" s="351">
        <v>43992</v>
      </c>
      <c r="T546" s="206" t="s">
        <v>9484</v>
      </c>
      <c r="U546" s="351">
        <v>44013</v>
      </c>
      <c r="V546" s="351">
        <v>44028</v>
      </c>
      <c r="W546" s="351">
        <v>44039</v>
      </c>
      <c r="X546" s="176">
        <v>63536</v>
      </c>
      <c r="Y546" s="177">
        <v>44061</v>
      </c>
      <c r="Z546" s="598">
        <v>4</v>
      </c>
      <c r="AA546" s="610">
        <f>2959.28+1050</f>
        <v>4009.28</v>
      </c>
      <c r="AB546" s="594"/>
      <c r="AC546" s="595"/>
      <c r="AD546" s="596" t="str">
        <f>IF(AND(AC546&lt;&gt;"",S546&lt;&gt;""),NETWORKDAYS(AC546,S546,#REF!),"")</f>
        <v/>
      </c>
      <c r="AE546" s="596" t="str">
        <f ca="1">IF(AND(AD546="",AC546=""),"",IF(OR(AD546&lt;&gt;"",O546="*CANCELADO"),"",NETWORKDAYS(AC546,TODAY(),#REF!)))</f>
        <v/>
      </c>
      <c r="AF546" s="597">
        <f>IFERROR(INDEX(produtos_escape2!M:M,MATCH(Controle!H546,produtos_escape2!A:A,0)),"")</f>
        <v>0</v>
      </c>
    </row>
    <row r="547" spans="1:32" ht="14.25" customHeight="1">
      <c r="A547" s="176" t="s">
        <v>7793</v>
      </c>
      <c r="B547" s="176" t="s">
        <v>7207</v>
      </c>
      <c r="C547" s="177">
        <v>43978</v>
      </c>
      <c r="D547" s="176" t="s">
        <v>8616</v>
      </c>
      <c r="E547" s="176" t="s">
        <v>1867</v>
      </c>
      <c r="F547" s="259" t="s">
        <v>8617</v>
      </c>
      <c r="G547" s="176">
        <v>1</v>
      </c>
      <c r="H547" s="178">
        <v>51453</v>
      </c>
      <c r="I547" s="592">
        <f t="shared" si="16"/>
        <v>6</v>
      </c>
      <c r="J547" s="178" t="s">
        <v>816</v>
      </c>
      <c r="K547" s="178" t="s">
        <v>816</v>
      </c>
      <c r="L547" s="275"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547" s="593" t="str">
        <f>IF(H:H=0,"",IF(ISERROR(VLOOKUP(H:H,produtos_escape2!$A$2:$D$2794,2,FALSE)),"Código não cadastrado",(VLOOKUP(H:H,produtos_escape2!$A$2:$D$2794,4,FALSE))))</f>
        <v>UN</v>
      </c>
      <c r="N547" s="486">
        <v>10000</v>
      </c>
      <c r="O547" s="176" t="s">
        <v>7825</v>
      </c>
      <c r="P547" s="486">
        <v>10000</v>
      </c>
      <c r="Q547" s="247">
        <v>0.24</v>
      </c>
      <c r="R547" s="246">
        <f t="shared" si="18"/>
        <v>2400</v>
      </c>
      <c r="S547" s="177">
        <v>43984</v>
      </c>
      <c r="T547" s="182">
        <v>542060</v>
      </c>
      <c r="U547" s="177">
        <v>43985</v>
      </c>
      <c r="V547" s="177">
        <v>43991</v>
      </c>
      <c r="W547" s="177">
        <v>43992</v>
      </c>
      <c r="X547" s="176">
        <v>30735</v>
      </c>
      <c r="Y547" s="177">
        <v>44007</v>
      </c>
      <c r="Z547" s="415">
        <v>3</v>
      </c>
      <c r="AA547" s="488"/>
      <c r="AB547" s="594"/>
      <c r="AC547" s="595"/>
      <c r="AD547" s="596" t="str">
        <f>IF(AND(AC547&lt;&gt;"",S547&lt;&gt;""),NETWORKDAYS(AC547,S547,#REF!),"")</f>
        <v/>
      </c>
      <c r="AE547" s="596" t="str">
        <f ca="1">IF(AND(AD547="",AC547=""),"",IF(OR(AD547&lt;&gt;"",O547="*CANCELADO"),"",NETWORKDAYS(AC547,TODAY(),#REF!)))</f>
        <v/>
      </c>
      <c r="AF547" s="597" t="str">
        <f>IFERROR(INDEX(produtos_escape2!M:M,MATCH(Controle!H547,produtos_escape2!A:A,0)),"")</f>
        <v>GORRO DESCARTÁVEL</v>
      </c>
    </row>
    <row r="548" spans="1:32" ht="14.25" customHeight="1">
      <c r="A548" s="176" t="s">
        <v>8193</v>
      </c>
      <c r="B548" s="176" t="s">
        <v>3608</v>
      </c>
      <c r="C548" s="177">
        <v>43978</v>
      </c>
      <c r="D548" s="176" t="s">
        <v>8618</v>
      </c>
      <c r="E548" s="176" t="s">
        <v>1866</v>
      </c>
      <c r="F548" s="259" t="s">
        <v>8619</v>
      </c>
      <c r="G548" s="176">
        <v>1</v>
      </c>
      <c r="H548" s="178">
        <v>92556</v>
      </c>
      <c r="I548" s="592">
        <f t="shared" si="16"/>
        <v>2</v>
      </c>
      <c r="J548" s="178" t="s">
        <v>816</v>
      </c>
      <c r="K548" s="178" t="s">
        <v>816</v>
      </c>
      <c r="L548" s="275" t="str">
        <f>IF(H:H=0,"",IF(ISERROR(VLOOKUP(H:H,produtos_escape2!$A$2:$B$2794,2,FALSE)),"Código não cadastrado",(VLOOKUP(H:H,produtos_escape2!$A$2:$B$2794,2,FALSE))))</f>
        <v>FIO DE KIRSCHNER 2,0 X 300MM. Material aço inoxidável, comprimento 300mm, diâmetro 2,0mm. Autoclavável</v>
      </c>
      <c r="M548" s="593" t="str">
        <f>IF(H:H=0,"",IF(ISERROR(VLOOKUP(H:H,produtos_escape2!$A$2:$D$2794,2,FALSE)),"Código não cadastrado",(VLOOKUP(H:H,produtos_escape2!$A$2:$D$2794,4,FALSE))))</f>
        <v>UN</v>
      </c>
      <c r="N548" s="486">
        <v>100</v>
      </c>
      <c r="O548" s="176" t="s">
        <v>8694</v>
      </c>
      <c r="P548" s="486">
        <v>100</v>
      </c>
      <c r="Q548" s="247">
        <v>7</v>
      </c>
      <c r="R548" s="246">
        <f t="shared" si="18"/>
        <v>700</v>
      </c>
      <c r="S548" s="177">
        <v>43983</v>
      </c>
      <c r="T548" s="182">
        <v>33868</v>
      </c>
      <c r="U548" s="177">
        <v>43983</v>
      </c>
      <c r="V548" s="177">
        <v>43985</v>
      </c>
      <c r="W548" s="177">
        <v>43991</v>
      </c>
      <c r="X548" s="176">
        <v>30476</v>
      </c>
      <c r="Y548" s="177">
        <v>44007</v>
      </c>
      <c r="Z548" s="415">
        <v>3</v>
      </c>
      <c r="AA548" s="488"/>
      <c r="AB548" s="594"/>
      <c r="AC548" s="595"/>
      <c r="AD548" s="596" t="str">
        <f>IF(AND(AC548&lt;&gt;"",S548&lt;&gt;""),NETWORKDAYS(AC548,S548,#REF!),"")</f>
        <v/>
      </c>
      <c r="AE548" s="596" t="str">
        <f ca="1">IF(AND(AD548="",AC548=""),"",IF(OR(AD548&lt;&gt;"",O548="*CANCELADO"),"",NETWORKDAYS(AC548,TODAY(),#REF!)))</f>
        <v/>
      </c>
      <c r="AF548" s="597" t="str">
        <f>IFERROR(INDEX(produtos_escape2!M:M,MATCH(Controle!H548,produtos_escape2!A:A,0)),"")</f>
        <v>FIO DE KIRSCHNER 2</v>
      </c>
    </row>
    <row r="549" spans="1:32" ht="14.25" customHeight="1">
      <c r="A549" s="176" t="s">
        <v>8195</v>
      </c>
      <c r="B549" s="176" t="s">
        <v>3608</v>
      </c>
      <c r="C549" s="177">
        <v>43979</v>
      </c>
      <c r="D549" s="176" t="s">
        <v>8628</v>
      </c>
      <c r="E549" s="176" t="s">
        <v>3009</v>
      </c>
      <c r="F549" s="259" t="s">
        <v>8629</v>
      </c>
      <c r="G549" s="176">
        <v>1</v>
      </c>
      <c r="H549" s="178">
        <v>27783</v>
      </c>
      <c r="I549" s="592">
        <f t="shared" si="16"/>
        <v>2</v>
      </c>
      <c r="J549" s="178" t="s">
        <v>4381</v>
      </c>
      <c r="K549" s="178" t="s">
        <v>4381</v>
      </c>
      <c r="L549" s="275" t="str">
        <f>IF(H:H=0,"",IF(ISERROR(VLOOKUP(H:H,produtos_escape2!$A$2:$B$2794,2,FALSE)),"Código não cadastrado",(VLOOKUP(H:H,produtos_escape2!$A$2:$B$2794,2,FALSE))))</f>
        <v>COMPRESSA ALGODONADA PARA CURATIVO TIPO COXIM 15CM x 30CM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algodãos, medindo aberta 15 cm x 60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BR0283949.</v>
      </c>
      <c r="M549" s="593" t="str">
        <f>IF(H:H=0,"",IF(ISERROR(VLOOKUP(H:H,produtos_escape2!$A$2:$D$2794,2,FALSE)),"Código não cadastrado",(VLOOKUP(H:H,produtos_escape2!$A$2:$D$2794,4,FALSE))))</f>
        <v>UN</v>
      </c>
      <c r="N549" s="486">
        <v>1500</v>
      </c>
      <c r="O549" s="176" t="s">
        <v>8696</v>
      </c>
      <c r="P549" s="486">
        <v>1500</v>
      </c>
      <c r="Q549" s="247">
        <v>1.04</v>
      </c>
      <c r="R549" s="246">
        <f t="shared" si="18"/>
        <v>1560</v>
      </c>
      <c r="S549" s="177">
        <v>43984</v>
      </c>
      <c r="T549" s="182">
        <v>339530</v>
      </c>
      <c r="U549" s="177">
        <v>44034</v>
      </c>
      <c r="V549" s="177">
        <v>44036</v>
      </c>
      <c r="W549" s="177">
        <v>44043</v>
      </c>
      <c r="X549" s="176">
        <v>63483</v>
      </c>
      <c r="Y549" s="177">
        <v>44061</v>
      </c>
      <c r="Z549" s="415">
        <v>4</v>
      </c>
      <c r="AA549" s="488"/>
      <c r="AB549" s="594"/>
      <c r="AC549" s="595"/>
      <c r="AD549" s="596" t="str">
        <f>IF(AND(AC549&lt;&gt;"",S549&lt;&gt;""),NETWORKDAYS(AC549,S549,#REF!),"")</f>
        <v/>
      </c>
      <c r="AE549" s="596" t="str">
        <f ca="1">IF(AND(AD549="",AC549=""),"",IF(OR(AD549&lt;&gt;"",O549="*CANCELADO"),"",NETWORKDAYS(AC549,TODAY(),#REF!)))</f>
        <v/>
      </c>
      <c r="AF549" s="597" t="str">
        <f>IFERROR(INDEX(produtos_escape2!M:M,MATCH(Controle!H549,produtos_escape2!A:A,0)),"")</f>
        <v>COMPRESSA ALGODONADA PARA CURATIVO TIPO COXIM 15CM x 30CM ESTERIL</v>
      </c>
    </row>
    <row r="550" spans="1:32" ht="14.25" customHeight="1">
      <c r="A550" s="176" t="s">
        <v>8189</v>
      </c>
      <c r="B550" s="176" t="s">
        <v>3608</v>
      </c>
      <c r="C550" s="177">
        <v>43979</v>
      </c>
      <c r="D550" s="176" t="s">
        <v>8630</v>
      </c>
      <c r="E550" s="176" t="s">
        <v>1867</v>
      </c>
      <c r="F550" s="259" t="s">
        <v>8631</v>
      </c>
      <c r="G550" s="176">
        <v>1</v>
      </c>
      <c r="H550" s="178">
        <v>95760</v>
      </c>
      <c r="I550" s="592">
        <f t="shared" si="16"/>
        <v>2</v>
      </c>
      <c r="J550" s="178" t="s">
        <v>816</v>
      </c>
      <c r="K550" s="178" t="s">
        <v>816</v>
      </c>
      <c r="L550" s="275" t="str">
        <f>IF(H:H=0,"",IF(ISERROR(VLOOKUP(H:H,produtos_escape2!$A$2:$B$2794,2,FALSE)),"Código não cadastrado",(VLOOKUP(H:H,produtos_escape2!$A$2:$B$2794,2,FALSE))))</f>
        <v>CONJUNTO PARA DETERMINAÇAO DE HDL COLESTEROL, AUTOMAÇAO</v>
      </c>
      <c r="M550" s="593" t="str">
        <f>IF(H:H=0,"",IF(ISERROR(VLOOKUP(H:H,produtos_escape2!$A$2:$D$2794,2,FALSE)),"Código não cadastrado",(VLOOKUP(H:H,produtos_escape2!$A$2:$D$2794,4,FALSE))))</f>
        <v>TE</v>
      </c>
      <c r="N550" s="486">
        <v>13500</v>
      </c>
      <c r="O550" s="176" t="s">
        <v>1868</v>
      </c>
      <c r="P550" s="486"/>
      <c r="Q550" s="247"/>
      <c r="R550" s="246">
        <f t="shared" si="18"/>
        <v>0</v>
      </c>
      <c r="S550" s="177">
        <v>44000</v>
      </c>
      <c r="T550" s="182"/>
      <c r="U550" s="177"/>
      <c r="V550" s="177"/>
      <c r="W550" s="177"/>
      <c r="X550" s="176"/>
      <c r="Y550" s="177"/>
      <c r="Z550" s="415">
        <v>3</v>
      </c>
      <c r="AA550" s="609" t="s">
        <v>8999</v>
      </c>
      <c r="AB550" s="594"/>
      <c r="AC550" s="595"/>
      <c r="AD550" s="596" t="str">
        <f>IF(AND(AC550&lt;&gt;"",S550&lt;&gt;""),NETWORKDAYS(AC550,S550,#REF!),"")</f>
        <v/>
      </c>
      <c r="AE550" s="596" t="str">
        <f ca="1">IF(AND(AD550="",AC550=""),"",IF(OR(AD550&lt;&gt;"",O550="*CANCELADO"),"",NETWORKDAYS(AC550,TODAY(),#REF!)))</f>
        <v/>
      </c>
      <c r="AF550" s="597" t="str">
        <f>IFERROR(INDEX(produtos_escape2!M:M,MATCH(Controle!H550,produtos_escape2!A:A,0)),"")</f>
        <v>CONJUNTO PARA DETERMINAÇAO DE HDL COLESTEROL</v>
      </c>
    </row>
    <row r="551" spans="1:32" ht="14.25" customHeight="1">
      <c r="A551" s="176" t="s">
        <v>8189</v>
      </c>
      <c r="B551" s="176" t="s">
        <v>3608</v>
      </c>
      <c r="C551" s="177">
        <v>43979</v>
      </c>
      <c r="D551" s="176" t="s">
        <v>8630</v>
      </c>
      <c r="E551" s="176" t="s">
        <v>1867</v>
      </c>
      <c r="F551" s="259" t="s">
        <v>8631</v>
      </c>
      <c r="G551" s="176">
        <v>2</v>
      </c>
      <c r="H551" s="178">
        <v>95779</v>
      </c>
      <c r="I551" s="592">
        <f t="shared" si="16"/>
        <v>3</v>
      </c>
      <c r="J551" s="178" t="s">
        <v>816</v>
      </c>
      <c r="K551" s="178" t="s">
        <v>816</v>
      </c>
      <c r="L551" s="275" t="str">
        <f>IF(H:H=0,"",IF(ISERROR(VLOOKUP(H:H,produtos_escape2!$A$2:$B$2794,2,FALSE)),"Código não cadastrado",(VLOOKUP(H:H,produtos_escape2!$A$2:$B$2794,2,FALSE))))</f>
        <v>CONJUNTO PARA DETERMINAÇAO DE BILIRRUBINA. Aplicação:analise bioquimica. 
Características adicionais: equipamento automatizado. Forma de Apresentação:conjunto (kit). 
Prazo de Validade: 75% do prazo de validade do produto.</v>
      </c>
      <c r="M551" s="593" t="str">
        <f>IF(H:H=0,"",IF(ISERROR(VLOOKUP(H:H,produtos_escape2!$A$2:$D$2794,2,FALSE)),"Código não cadastrado",(VLOOKUP(H:H,produtos_escape2!$A$2:$D$2794,4,FALSE))))</f>
        <v>TE</v>
      </c>
      <c r="N551" s="486">
        <v>9450</v>
      </c>
      <c r="O551" s="176" t="s">
        <v>1868</v>
      </c>
      <c r="P551" s="486"/>
      <c r="Q551" s="247"/>
      <c r="R551" s="246">
        <f t="shared" si="18"/>
        <v>0</v>
      </c>
      <c r="S551" s="177">
        <v>44000</v>
      </c>
      <c r="T551" s="182"/>
      <c r="U551" s="177"/>
      <c r="V551" s="177"/>
      <c r="W551" s="177"/>
      <c r="X551" s="176"/>
      <c r="Y551" s="177"/>
      <c r="Z551" s="415">
        <v>3</v>
      </c>
      <c r="AA551" s="609" t="s">
        <v>8999</v>
      </c>
      <c r="AB551" s="594"/>
      <c r="AC551" s="595"/>
      <c r="AD551" s="596" t="str">
        <f>IF(AND(AC551&lt;&gt;"",S551&lt;&gt;""),NETWORKDAYS(AC551,S551,#REF!),"")</f>
        <v/>
      </c>
      <c r="AE551" s="596" t="str">
        <f ca="1">IF(AND(AD551="",AC551=""),"",IF(OR(AD551&lt;&gt;"",O551="*CANCELADO"),"",NETWORKDAYS(AC551,TODAY(),#REF!)))</f>
        <v/>
      </c>
      <c r="AF551" s="597" t="str">
        <f>IFERROR(INDEX(produtos_escape2!M:M,MATCH(Controle!H551,produtos_escape2!A:A,0)),"")</f>
        <v>CONJUNTO PARA DETERMINAÇAO DE BILIRRUBINA</v>
      </c>
    </row>
    <row r="552" spans="1:32" ht="14.25" customHeight="1">
      <c r="A552" s="176" t="s">
        <v>8189</v>
      </c>
      <c r="B552" s="176" t="s">
        <v>3608</v>
      </c>
      <c r="C552" s="177">
        <v>43979</v>
      </c>
      <c r="D552" s="176" t="s">
        <v>8630</v>
      </c>
      <c r="E552" s="176" t="s">
        <v>1867</v>
      </c>
      <c r="F552" s="259" t="s">
        <v>8631</v>
      </c>
      <c r="G552" s="176">
        <v>3</v>
      </c>
      <c r="H552" s="178">
        <v>95757</v>
      </c>
      <c r="I552" s="592">
        <f t="shared" si="16"/>
        <v>3</v>
      </c>
      <c r="J552" s="178" t="s">
        <v>816</v>
      </c>
      <c r="K552" s="178" t="s">
        <v>816</v>
      </c>
      <c r="L552" s="275" t="str">
        <f>IF(H:H=0,"",IF(ISERROR(VLOOKUP(H:H,produtos_escape2!$A$2:$B$2794,2,FALSE)),"Código não cadastrado",(VLOOKUP(H:H,produtos_escape2!$A$2:$B$2794,2,FALSE))))</f>
        <v>CONJUNTO PARA DETERMINAÇAO DE FOSFORO, AUTOMAÇAO. Aplicação:analise bioquimica. Características adicionais: equipamento automatizado. Forma de Apresentação: conjunto (kit). Prazo de Validade:75% do prazo de validade do produto.</v>
      </c>
      <c r="M552" s="593" t="str">
        <f>IF(H:H=0,"",IF(ISERROR(VLOOKUP(H:H,produtos_escape2!$A$2:$D$2794,2,FALSE)),"Código não cadastrado",(VLOOKUP(H:H,produtos_escape2!$A$2:$D$2794,4,FALSE))))</f>
        <v>TE</v>
      </c>
      <c r="N552" s="486">
        <v>3000</v>
      </c>
      <c r="O552" s="176" t="s">
        <v>1868</v>
      </c>
      <c r="P552" s="486"/>
      <c r="Q552" s="247"/>
      <c r="R552" s="246">
        <f t="shared" si="18"/>
        <v>0</v>
      </c>
      <c r="S552" s="177">
        <v>44000</v>
      </c>
      <c r="T552" s="182"/>
      <c r="U552" s="177"/>
      <c r="V552" s="177"/>
      <c r="W552" s="177"/>
      <c r="X552" s="176"/>
      <c r="Y552" s="177"/>
      <c r="Z552" s="415">
        <v>3</v>
      </c>
      <c r="AA552" s="609" t="s">
        <v>8999</v>
      </c>
      <c r="AB552" s="594"/>
      <c r="AC552" s="595"/>
      <c r="AD552" s="596" t="str">
        <f>IF(AND(AC552&lt;&gt;"",S552&lt;&gt;""),NETWORKDAYS(AC552,S552,#REF!),"")</f>
        <v/>
      </c>
      <c r="AE552" s="596" t="str">
        <f ca="1">IF(AND(AD552="",AC552=""),"",IF(OR(AD552&lt;&gt;"",O552="*CANCELADO"),"",NETWORKDAYS(AC552,TODAY(),#REF!)))</f>
        <v/>
      </c>
      <c r="AF552" s="597" t="str">
        <f>IFERROR(INDEX(produtos_escape2!M:M,MATCH(Controle!H552,produtos_escape2!A:A,0)),"")</f>
        <v>CONJUNTO PARA DETERMINAÇAO DE FOSFORO</v>
      </c>
    </row>
    <row r="553" spans="1:32" ht="14.25" customHeight="1">
      <c r="A553" s="176" t="s">
        <v>8189</v>
      </c>
      <c r="B553" s="176" t="s">
        <v>3608</v>
      </c>
      <c r="C553" s="177">
        <v>43979</v>
      </c>
      <c r="D553" s="176" t="s">
        <v>8630</v>
      </c>
      <c r="E553" s="176" t="s">
        <v>1867</v>
      </c>
      <c r="F553" s="259" t="s">
        <v>8631</v>
      </c>
      <c r="G553" s="176">
        <v>4</v>
      </c>
      <c r="H553" s="178">
        <v>95773</v>
      </c>
      <c r="I553" s="592">
        <f t="shared" si="16"/>
        <v>5</v>
      </c>
      <c r="J553" s="178" t="s">
        <v>816</v>
      </c>
      <c r="K553" s="178" t="s">
        <v>816</v>
      </c>
      <c r="L553" s="275" t="str">
        <f>IF(H:H=0,"",IF(ISERROR(VLOOKUP(H:H,produtos_escape2!$A$2:$B$2794,2,FALSE)),"Código não cadastrado",(VLOOKUP(H:H,produtos_escape2!$A$2:$B$2794,2,FALSE))))</f>
        <v>CONJUNTO PARA DETERMINAÇAO DE TGP CINETICO, AUTOMAÇAO</v>
      </c>
      <c r="M553" s="593" t="str">
        <f>IF(H:H=0,"",IF(ISERROR(VLOOKUP(H:H,produtos_escape2!$A$2:$D$2794,2,FALSE)),"Código não cadastrado",(VLOOKUP(H:H,produtos_escape2!$A$2:$D$2794,4,FALSE))))</f>
        <v>TE</v>
      </c>
      <c r="N553" s="486">
        <v>19200</v>
      </c>
      <c r="O553" s="176" t="s">
        <v>1868</v>
      </c>
      <c r="P553" s="486"/>
      <c r="Q553" s="247">
        <f>4533.06+1050-Q562</f>
        <v>5530.56</v>
      </c>
      <c r="R553" s="246">
        <f t="shared" si="18"/>
        <v>0</v>
      </c>
      <c r="S553" s="177">
        <v>44000</v>
      </c>
      <c r="T553" s="182"/>
      <c r="U553" s="177"/>
      <c r="V553" s="177"/>
      <c r="W553" s="177"/>
      <c r="X553" s="176"/>
      <c r="Y553" s="177"/>
      <c r="Z553" s="415">
        <v>3</v>
      </c>
      <c r="AA553" s="609" t="s">
        <v>8999</v>
      </c>
      <c r="AB553" s="594"/>
      <c r="AC553" s="595"/>
      <c r="AD553" s="596" t="str">
        <f>IF(AND(AC553&lt;&gt;"",S553&lt;&gt;""),NETWORKDAYS(AC553,S553,#REF!),"")</f>
        <v/>
      </c>
      <c r="AE553" s="596" t="str">
        <f ca="1">IF(AND(AD553="",AC553=""),"",IF(OR(AD553&lt;&gt;"",O553="*CANCELADO"),"",NETWORKDAYS(AC553,TODAY(),#REF!)))</f>
        <v/>
      </c>
      <c r="AF553" s="597" t="str">
        <f>IFERROR(INDEX(produtos_escape2!M:M,MATCH(Controle!H553,produtos_escape2!A:A,0)),"")</f>
        <v>CONJUNTO PARA DETERMINAÇAO DE TGP CINETICO</v>
      </c>
    </row>
    <row r="554" spans="1:32" ht="14.25" customHeight="1">
      <c r="A554" s="176" t="s">
        <v>8189</v>
      </c>
      <c r="B554" s="176" t="s">
        <v>3608</v>
      </c>
      <c r="C554" s="177">
        <v>43979</v>
      </c>
      <c r="D554" s="176" t="s">
        <v>8630</v>
      </c>
      <c r="E554" s="176" t="s">
        <v>1867</v>
      </c>
      <c r="F554" s="259" t="s">
        <v>8631</v>
      </c>
      <c r="G554" s="176">
        <v>5</v>
      </c>
      <c r="H554" s="178">
        <v>95242</v>
      </c>
      <c r="I554" s="592">
        <f t="shared" si="16"/>
        <v>2</v>
      </c>
      <c r="J554" s="178" t="s">
        <v>816</v>
      </c>
      <c r="K554" s="178" t="s">
        <v>816</v>
      </c>
      <c r="L554" s="275" t="str">
        <f>IF(H:H=0,"",IF(ISERROR(VLOOKUP(H:H,produtos_escape2!$A$2:$B$2794,2,FALSE)),"Código não cadastrado",(VLOOKUP(H:H,produtos_escape2!$A$2:$B$2794,2,FALSE))))</f>
        <v xml:space="preserve">CONJUNTO PARA DETERMINAÇAO DE LIPASE. Aplicação:analise bioquimica. |Características adicionais: equipamento automatizado. Forma de Apresentação:conjunto (kit). |Prazo de Validade: 75% do prazo de validade do produto.
</v>
      </c>
      <c r="M554" s="593" t="str">
        <f>IF(H:H=0,"",IF(ISERROR(VLOOKUP(H:H,produtos_escape2!$A$2:$D$2794,2,FALSE)),"Código não cadastrado",(VLOOKUP(H:H,produtos_escape2!$A$2:$D$2794,4,FALSE))))</f>
        <v>TE</v>
      </c>
      <c r="N554" s="486">
        <v>1200</v>
      </c>
      <c r="O554" s="176" t="s">
        <v>1868</v>
      </c>
      <c r="P554" s="486"/>
      <c r="Q554" s="247"/>
      <c r="R554" s="246">
        <f t="shared" si="18"/>
        <v>0</v>
      </c>
      <c r="S554" s="177">
        <v>44000</v>
      </c>
      <c r="T554" s="182"/>
      <c r="U554" s="177"/>
      <c r="V554" s="177"/>
      <c r="W554" s="177"/>
      <c r="X554" s="176"/>
      <c r="Y554" s="177"/>
      <c r="Z554" s="415">
        <v>3</v>
      </c>
      <c r="AA554" s="609" t="s">
        <v>8999</v>
      </c>
      <c r="AB554" s="594"/>
      <c r="AC554" s="595"/>
      <c r="AD554" s="596" t="str">
        <f>IF(AND(AC554&lt;&gt;"",S554&lt;&gt;""),NETWORKDAYS(AC554,S554,#REF!),"")</f>
        <v/>
      </c>
      <c r="AE554" s="596" t="str">
        <f ca="1">IF(AND(AD554="",AC554=""),"",IF(OR(AD554&lt;&gt;"",O554="*CANCELADO"),"",NETWORKDAYS(AC554,TODAY(),#REF!)))</f>
        <v/>
      </c>
      <c r="AF554" s="597" t="str">
        <f>IFERROR(INDEX(produtos_escape2!M:M,MATCH(Controle!H554,produtos_escape2!A:A,0)),"")</f>
        <v>CONJUNTO PARA DETERMINAÇAO DE LIPASE</v>
      </c>
    </row>
    <row r="555" spans="1:32" ht="14.25" customHeight="1">
      <c r="A555" s="176" t="s">
        <v>8189</v>
      </c>
      <c r="B555" s="176" t="s">
        <v>3608</v>
      </c>
      <c r="C555" s="177">
        <v>43979</v>
      </c>
      <c r="D555" s="176" t="s">
        <v>8630</v>
      </c>
      <c r="E555" s="176" t="s">
        <v>1867</v>
      </c>
      <c r="F555" s="259" t="s">
        <v>8631</v>
      </c>
      <c r="G555" s="176">
        <v>6</v>
      </c>
      <c r="H555" s="178">
        <v>18881</v>
      </c>
      <c r="I555" s="592">
        <f t="shared" si="16"/>
        <v>1</v>
      </c>
      <c r="J555" s="178" t="s">
        <v>816</v>
      </c>
      <c r="K555" s="178" t="s">
        <v>816</v>
      </c>
      <c r="L555" s="275" t="str">
        <f>IF(H:H=0,"",IF(ISERROR(VLOOKUP(H:H,produtos_escape2!$A$2:$B$2794,2,FALSE)),"Código não cadastrado",(VLOOKUP(H:H,produtos_escape2!$A$2:$B$2794,2,FALSE))))</f>
        <v xml:space="preserve">CONJUNTO PARA DETERMINACAO DE CAPACIDADE DE FIXACAO DO FERRO TOTAL NO SORO,PLASMA E SANGUE TOTAL. Aplicação:reagente para dosagem de ferro total no
soro,plasma e sangue total , Característica adicional :método colorimétrico totalmente automatizado, F...
</v>
      </c>
      <c r="M555" s="593" t="str">
        <f>IF(H:H=0,"",IF(ISERROR(VLOOKUP(H:H,produtos_escape2!$A$2:$D$2794,2,FALSE)),"Código não cadastrado",(VLOOKUP(H:H,produtos_escape2!$A$2:$D$2794,4,FALSE))))</f>
        <v>TE</v>
      </c>
      <c r="N555" s="486">
        <v>3000</v>
      </c>
      <c r="O555" s="176" t="s">
        <v>1868</v>
      </c>
      <c r="P555" s="486"/>
      <c r="Q555" s="247"/>
      <c r="R555" s="246">
        <f t="shared" si="18"/>
        <v>0</v>
      </c>
      <c r="S555" s="177">
        <v>44000</v>
      </c>
      <c r="T555" s="182"/>
      <c r="U555" s="177"/>
      <c r="V555" s="177"/>
      <c r="W555" s="177"/>
      <c r="X555" s="176"/>
      <c r="Y555" s="177"/>
      <c r="Z555" s="415">
        <v>3</v>
      </c>
      <c r="AA555" s="609" t="s">
        <v>8999</v>
      </c>
      <c r="AB555" s="594"/>
      <c r="AC555" s="595"/>
      <c r="AD555" s="596" t="str">
        <f>IF(AND(AC555&lt;&gt;"",S555&lt;&gt;""),NETWORKDAYS(AC555,S555,#REF!),"")</f>
        <v/>
      </c>
      <c r="AE555" s="596" t="str">
        <f ca="1">IF(AND(AD555="",AC555=""),"",IF(OR(AD555&lt;&gt;"",O555="*CANCELADO"),"",NETWORKDAYS(AC555,TODAY(),#REF!)))</f>
        <v/>
      </c>
      <c r="AF555" s="597" t="str">
        <f>IFERROR(INDEX(produtos_escape2!M:M,MATCH(Controle!H555,produtos_escape2!A:A,0)),"")</f>
        <v>CONJUNTO PARA DETERMINAÇÃO DE CAPACIDADE DE FIXAÇÃO DE FERRO TOTAL NO SORO</v>
      </c>
    </row>
    <row r="556" spans="1:32" ht="14.25" customHeight="1">
      <c r="A556" s="176" t="s">
        <v>8197</v>
      </c>
      <c r="B556" s="176" t="s">
        <v>3608</v>
      </c>
      <c r="C556" s="177">
        <v>43979</v>
      </c>
      <c r="D556" s="176" t="s">
        <v>8634</v>
      </c>
      <c r="E556" s="176" t="s">
        <v>1865</v>
      </c>
      <c r="F556" s="259" t="s">
        <v>8635</v>
      </c>
      <c r="G556" s="176">
        <v>1</v>
      </c>
      <c r="H556" s="178">
        <v>8111</v>
      </c>
      <c r="I556" s="592">
        <f t="shared" si="16"/>
        <v>2</v>
      </c>
      <c r="J556" s="178" t="s">
        <v>816</v>
      </c>
      <c r="K556" s="178" t="s">
        <v>816</v>
      </c>
      <c r="L556" s="275" t="str">
        <f>IF(H:H=0,"",IF(ISERROR(VLOOKUP(H:H,produtos_escape2!$A$2:$B$2794,2,FALSE)),"Código não cadastrado",(VLOOKUP(H:H,produtos_escape2!$A$2:$B$2794,2,FALSE))))</f>
        <v>ANUSCOPIO DESCARTAVEL</v>
      </c>
      <c r="M556" s="593" t="str">
        <f>IF(H:H=0,"",IF(ISERROR(VLOOKUP(H:H,produtos_escape2!$A$2:$D$2794,2,FALSE)),"Código não cadastrado",(VLOOKUP(H:H,produtos_escape2!$A$2:$D$2794,4,FALSE))))</f>
        <v>UN</v>
      </c>
      <c r="N556" s="486">
        <v>200</v>
      </c>
      <c r="O556" s="176" t="s">
        <v>2989</v>
      </c>
      <c r="P556" s="486">
        <v>200</v>
      </c>
      <c r="Q556" s="247">
        <v>1.6</v>
      </c>
      <c r="R556" s="246">
        <f t="shared" si="18"/>
        <v>320</v>
      </c>
      <c r="S556" s="177">
        <v>43984</v>
      </c>
      <c r="T556" s="182">
        <v>121018</v>
      </c>
      <c r="U556" s="177">
        <v>43984</v>
      </c>
      <c r="V556" s="177">
        <v>43985</v>
      </c>
      <c r="W556" s="177">
        <v>43987</v>
      </c>
      <c r="X556" s="176">
        <v>30135</v>
      </c>
      <c r="Y556" s="177">
        <v>44007</v>
      </c>
      <c r="Z556" s="415">
        <v>3</v>
      </c>
      <c r="AA556" s="488"/>
      <c r="AB556" s="594"/>
      <c r="AC556" s="595"/>
      <c r="AD556" s="596" t="str">
        <f>IF(AND(AC556&lt;&gt;"",S556&lt;&gt;""),NETWORKDAYS(AC556,S556,#REF!),"")</f>
        <v/>
      </c>
      <c r="AE556" s="596" t="str">
        <f ca="1">IF(AND(AD556="",AC556=""),"",IF(OR(AD556&lt;&gt;"",O556="*CANCELADO"),"",NETWORKDAYS(AC556,TODAY(),#REF!)))</f>
        <v/>
      </c>
      <c r="AF556" s="597" t="str">
        <f>IFERROR(INDEX(produtos_escape2!M:M,MATCH(Controle!H556,produtos_escape2!A:A,0)),"")</f>
        <v>ANUSCOPIO DESCARTAVEL</v>
      </c>
    </row>
    <row r="557" spans="1:32" ht="14.25" customHeight="1">
      <c r="A557" s="176" t="s">
        <v>8205</v>
      </c>
      <c r="B557" s="176" t="s">
        <v>3608</v>
      </c>
      <c r="C557" s="177">
        <v>43979</v>
      </c>
      <c r="D557" s="176" t="s">
        <v>8637</v>
      </c>
      <c r="E557" s="176" t="s">
        <v>1866</v>
      </c>
      <c r="F557" s="259" t="s">
        <v>8636</v>
      </c>
      <c r="G557" s="176">
        <v>1</v>
      </c>
      <c r="H557" s="178">
        <v>92445</v>
      </c>
      <c r="I557" s="592">
        <f t="shared" si="16"/>
        <v>8</v>
      </c>
      <c r="J557" s="178" t="s">
        <v>816</v>
      </c>
      <c r="K557" s="178" t="s">
        <v>816</v>
      </c>
      <c r="L557" s="275"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557" s="593" t="str">
        <f>IF(H:H=0,"",IF(ISERROR(VLOOKUP(H:H,produtos_escape2!$A$2:$D$2794,2,FALSE)),"Código não cadastrado",(VLOOKUP(H:H,produtos_escape2!$A$2:$D$2794,4,FALSE))))</f>
        <v>UN</v>
      </c>
      <c r="N557" s="486">
        <v>100</v>
      </c>
      <c r="O557" s="176" t="s">
        <v>4357</v>
      </c>
      <c r="P557" s="486">
        <v>100</v>
      </c>
      <c r="Q557" s="247">
        <v>2.9</v>
      </c>
      <c r="R557" s="246">
        <f t="shared" si="18"/>
        <v>290</v>
      </c>
      <c r="S557" s="177">
        <v>43984</v>
      </c>
      <c r="T557" s="182">
        <v>1515</v>
      </c>
      <c r="U557" s="177">
        <v>43984</v>
      </c>
      <c r="V557" s="177">
        <v>43984</v>
      </c>
      <c r="W557" s="177">
        <v>43985</v>
      </c>
      <c r="X557" s="176">
        <v>30102</v>
      </c>
      <c r="Y557" s="177">
        <v>44007</v>
      </c>
      <c r="Z557" s="415">
        <v>3</v>
      </c>
      <c r="AA557" s="488"/>
      <c r="AB557" s="594"/>
      <c r="AC557" s="595"/>
      <c r="AD557" s="596" t="str">
        <f>IF(AND(AC557&lt;&gt;"",S557&lt;&gt;""),NETWORKDAYS(AC557,S557,#REF!),"")</f>
        <v/>
      </c>
      <c r="AE557" s="596" t="str">
        <f ca="1">IF(AND(AD557="",AC557=""),"",IF(OR(AD557&lt;&gt;"",O557="*CANCELADO"),"",NETWORKDAYS(AC557,TODAY(),#REF!)))</f>
        <v/>
      </c>
      <c r="AF557" s="597" t="str">
        <f>IFERROR(INDEX(produtos_escape2!M:M,MATCH(Controle!H557,produtos_escape2!A:A,0)),"")</f>
        <v>SONDA DE FOLEY 2 VIAS LÁTEX Nº 14</v>
      </c>
    </row>
    <row r="558" spans="1:32" ht="15.75" customHeight="1">
      <c r="A558" s="176" t="s">
        <v>8207</v>
      </c>
      <c r="B558" s="176" t="s">
        <v>3608</v>
      </c>
      <c r="C558" s="177">
        <v>43979</v>
      </c>
      <c r="D558" s="176" t="s">
        <v>8638</v>
      </c>
      <c r="E558" s="176" t="s">
        <v>3009</v>
      </c>
      <c r="F558" s="259" t="s">
        <v>8639</v>
      </c>
      <c r="G558" s="176">
        <v>1</v>
      </c>
      <c r="H558" s="178">
        <v>25180</v>
      </c>
      <c r="I558" s="592">
        <f t="shared" si="16"/>
        <v>2</v>
      </c>
      <c r="J558" s="178" t="s">
        <v>816</v>
      </c>
      <c r="K558" s="178" t="s">
        <v>816</v>
      </c>
      <c r="L558" s="275" t="str">
        <f>IF(H:H=0,"",IF(ISERROR(VLOOKUP(H:H,produtos_escape2!$A$2:$B$2794,2,FALSE)),"Código não cadastrado",(VLOOKUP(H:H,produtos_escape2!$A$2:$B$2794,2,FALSE))))</f>
        <v>CONJUNTO PARA DRENAGEM MEDIASTINAL Nº 36; CAPACIDADE DO FRASCO RESERVATÓRIO 2.000 ML; CONTENDO: 1 DRENO DE TORAX EM PVC ATÓXICO, TRANSPARENTE, FLEXÍVEL, MULTIPERFURADO, RADIOPACO; 1 CONECTOR DE COR TRANSLÚCIDA TIPO LUER COM CALIBRE IGUAL AO DRENO, 1 TUBO EXTENSOR EM PVC ATÓXICO, FLEXÍVEL, TRANSPARENTE, COM NO MÍNIMO 120 CM DE COMPRIMENTO E PINÇA CORTA FLUXO; 1 FRASCO RESERVATÓRIO, RIGIDO. TRANSPARENTE, GRADUADO, COM TAMPA DE VEDAÇÃO COM 3 VIAS, RESPIRO, FILTRO E COM ROSCA TOTAL EM ELEMENTO ÚNICO E ALÇA DE TRANSPORTE, CAPACIDADE DE 2.000 ML, EMBALAGEM ESTÉRIL EM PAPEL GRAU CIRÚRGICO COM ABERTURA EM PETALA, COM DADOS DE IDENTIFICAÇÃO, TIPO DE ESTERILIZAÇÃO, PRAZO DE VALIDADE E NÚMERO DE LOTE</v>
      </c>
      <c r="M558" s="593" t="str">
        <f>IF(H:H=0,"",IF(ISERROR(VLOOKUP(H:H,produtos_escape2!$A$2:$D$2794,2,FALSE)),"Código não cadastrado",(VLOOKUP(H:H,produtos_escape2!$A$2:$D$2794,4,FALSE))))</f>
        <v>UN</v>
      </c>
      <c r="N558" s="486">
        <v>40</v>
      </c>
      <c r="O558" s="176" t="s">
        <v>7483</v>
      </c>
      <c r="P558" s="486">
        <v>39</v>
      </c>
      <c r="Q558" s="247">
        <v>21.9</v>
      </c>
      <c r="R558" s="246">
        <f t="shared" si="18"/>
        <v>854.09999999999991</v>
      </c>
      <c r="S558" s="177">
        <v>43983</v>
      </c>
      <c r="T558" s="182">
        <v>89026</v>
      </c>
      <c r="U558" s="177">
        <v>43999</v>
      </c>
      <c r="V558" s="351">
        <v>44004</v>
      </c>
      <c r="W558" s="351">
        <v>44006</v>
      </c>
      <c r="X558" s="203">
        <v>32432</v>
      </c>
      <c r="Y558" s="351">
        <v>44011</v>
      </c>
      <c r="Z558" s="598">
        <v>3</v>
      </c>
      <c r="AA558" s="610"/>
      <c r="AB558" s="594"/>
      <c r="AC558" s="595"/>
      <c r="AD558" s="596" t="str">
        <f>IF(AND(AC558&lt;&gt;"",S558&lt;&gt;""),NETWORKDAYS(AC558,S558,#REF!),"")</f>
        <v/>
      </c>
      <c r="AE558" s="596" t="str">
        <f ca="1">IF(AND(AD558="",AC558=""),"",IF(OR(AD558&lt;&gt;"",O558="*CANCELADO"),"",NETWORKDAYS(AC558,TODAY(),#REF!)))</f>
        <v/>
      </c>
      <c r="AF558" s="597" t="str">
        <f>IFERROR(INDEX(produtos_escape2!M:M,MATCH(Controle!H558,produtos_escape2!A:A,0)),"")</f>
        <v>CONJUNTO PARA DRENAGEM MEDIASTINAL Nº 36</v>
      </c>
    </row>
    <row r="559" spans="1:32" ht="15.75" customHeight="1">
      <c r="A559" s="176" t="s">
        <v>7386</v>
      </c>
      <c r="B559" s="176" t="s">
        <v>1687</v>
      </c>
      <c r="C559" s="177">
        <v>43979</v>
      </c>
      <c r="D559" s="176" t="s">
        <v>8640</v>
      </c>
      <c r="E559" s="176" t="s">
        <v>3008</v>
      </c>
      <c r="F559" s="259" t="s">
        <v>8641</v>
      </c>
      <c r="G559" s="176">
        <v>1</v>
      </c>
      <c r="H559" s="178" t="s">
        <v>8645</v>
      </c>
      <c r="I559" s="592">
        <f t="shared" si="16"/>
        <v>2</v>
      </c>
      <c r="J559" s="178" t="s">
        <v>816</v>
      </c>
      <c r="K559" s="178" t="s">
        <v>816</v>
      </c>
      <c r="L559" s="275" t="str">
        <f>IF(H:H=0,"",IF(ISERROR(VLOOKUP(H:H,produtos_escape2!$A$2:$B$2794,2,FALSE)),"Código não cadastrado",(VLOOKUP(H:H,produtos_escape2!$A$2:$B$2794,2,FALSE))))</f>
        <v>CONSERTO DE Respirador Mecânico, Marca PURITAN BENNET 840, Nº Patrimônio 912145</v>
      </c>
      <c r="M559" s="593" t="str">
        <f>IF(H:H=0,"",IF(ISERROR(VLOOKUP(H:H,produtos_escape2!$A$2:$D$2794,2,FALSE)),"Código não cadastrado",(VLOOKUP(H:H,produtos_escape2!$A$2:$D$2794,4,FALSE))))</f>
        <v>Serviço</v>
      </c>
      <c r="N559" s="486">
        <v>1</v>
      </c>
      <c r="O559" s="176" t="s">
        <v>8894</v>
      </c>
      <c r="P559" s="486">
        <v>1</v>
      </c>
      <c r="Q559" s="247">
        <v>5583.59</v>
      </c>
      <c r="R559" s="246">
        <f>(P559*Q559)-R560</f>
        <v>5531.09</v>
      </c>
      <c r="S559" s="177">
        <v>43992</v>
      </c>
      <c r="T559" s="182" t="s">
        <v>9944</v>
      </c>
      <c r="U559" s="177">
        <v>44013</v>
      </c>
      <c r="V559" s="351">
        <v>44013</v>
      </c>
      <c r="W559" s="351">
        <v>44095</v>
      </c>
      <c r="X559" s="176">
        <v>91524</v>
      </c>
      <c r="Y559" s="177">
        <v>44104</v>
      </c>
      <c r="Z559" s="598">
        <v>5</v>
      </c>
      <c r="AA559" s="610"/>
      <c r="AB559" s="594"/>
      <c r="AC559" s="595"/>
      <c r="AD559" s="596" t="str">
        <f>IF(AND(AC559&lt;&gt;"",S559&lt;&gt;""),NETWORKDAYS(AC559,S559,#REF!),"")</f>
        <v/>
      </c>
      <c r="AE559" s="596" t="str">
        <f ca="1">IF(AND(AD559="",AC559=""),"",IF(OR(AD559&lt;&gt;"",O559="*CANCELADO"),"",NETWORKDAYS(AC559,TODAY(),#REF!)))</f>
        <v/>
      </c>
      <c r="AF559" s="597">
        <f>IFERROR(INDEX(produtos_escape2!M:M,MATCH(Controle!H559,produtos_escape2!A:A,0)),"")</f>
        <v>0</v>
      </c>
    </row>
    <row r="560" spans="1:32" ht="15.75" customHeight="1">
      <c r="A560" s="176" t="s">
        <v>7386</v>
      </c>
      <c r="B560" s="176" t="s">
        <v>1687</v>
      </c>
      <c r="C560" s="177">
        <v>43979</v>
      </c>
      <c r="D560" s="176" t="s">
        <v>8640</v>
      </c>
      <c r="E560" s="176" t="s">
        <v>3008</v>
      </c>
      <c r="F560" s="259" t="s">
        <v>8641</v>
      </c>
      <c r="G560" s="176">
        <v>1</v>
      </c>
      <c r="H560" s="178" t="s">
        <v>8645</v>
      </c>
      <c r="I560" s="592">
        <f t="shared" si="16"/>
        <v>2</v>
      </c>
      <c r="J560" s="178" t="s">
        <v>816</v>
      </c>
      <c r="K560" s="178" t="s">
        <v>816</v>
      </c>
      <c r="L560" s="275" t="str">
        <f>IF(H:H=0,"",IF(ISERROR(VLOOKUP(H:H,produtos_escape2!$A$2:$B$2794,2,FALSE)),"Código não cadastrado",(VLOOKUP(H:H,produtos_escape2!$A$2:$B$2794,2,FALSE))))</f>
        <v>CONSERTO DE Respirador Mecânico, Marca PURITAN BENNET 840, Nº Patrimônio 912145</v>
      </c>
      <c r="M560" s="593" t="str">
        <f>IF(H:H=0,"",IF(ISERROR(VLOOKUP(H:H,produtos_escape2!$A$2:$D$2794,2,FALSE)),"Código não cadastrado",(VLOOKUP(H:H,produtos_escape2!$A$2:$D$2794,4,FALSE))))</f>
        <v>Serviço</v>
      </c>
      <c r="N560" s="486">
        <v>1</v>
      </c>
      <c r="O560" s="176" t="s">
        <v>7624</v>
      </c>
      <c r="P560" s="486">
        <v>1</v>
      </c>
      <c r="Q560" s="247">
        <f>1050*0.05</f>
        <v>52.5</v>
      </c>
      <c r="R560" s="246">
        <f>P560*Q560</f>
        <v>52.5</v>
      </c>
      <c r="S560" s="177">
        <v>43992</v>
      </c>
      <c r="T560" s="182" t="s">
        <v>9944</v>
      </c>
      <c r="U560" s="177">
        <v>44013</v>
      </c>
      <c r="V560" s="351">
        <v>44013</v>
      </c>
      <c r="W560" s="351">
        <v>44095</v>
      </c>
      <c r="X560" s="176">
        <v>3298</v>
      </c>
      <c r="Y560" s="177">
        <v>44103</v>
      </c>
      <c r="Z560" s="598">
        <v>5</v>
      </c>
      <c r="AA560" s="610"/>
      <c r="AB560" s="594"/>
      <c r="AC560" s="595"/>
      <c r="AD560" s="596" t="str">
        <f>IF(AND(AC560&lt;&gt;"",S560&lt;&gt;""),NETWORKDAYS(AC560,S560,#REF!),"")</f>
        <v/>
      </c>
      <c r="AE560" s="596" t="str">
        <f ca="1">IF(AND(AD560="",AC560=""),"",IF(OR(AD560&lt;&gt;"",O560="*CANCELADO"),"",NETWORKDAYS(AC560,TODAY(),#REF!)))</f>
        <v/>
      </c>
      <c r="AF560" s="597">
        <f>IFERROR(INDEX(produtos_escape2!M:M,MATCH(Controle!H560,produtos_escape2!A:A,0)),"")</f>
        <v>0</v>
      </c>
    </row>
    <row r="561" spans="1:32" ht="15.75" customHeight="1">
      <c r="A561" s="176" t="s">
        <v>7386</v>
      </c>
      <c r="B561" s="176" t="s">
        <v>1687</v>
      </c>
      <c r="C561" s="177">
        <v>43979</v>
      </c>
      <c r="D561" s="176" t="s">
        <v>8640</v>
      </c>
      <c r="E561" s="176" t="s">
        <v>3008</v>
      </c>
      <c r="F561" s="259" t="s">
        <v>8641</v>
      </c>
      <c r="G561" s="176">
        <v>2</v>
      </c>
      <c r="H561" s="178" t="s">
        <v>8646</v>
      </c>
      <c r="I561" s="592">
        <f t="shared" si="16"/>
        <v>2</v>
      </c>
      <c r="J561" s="178" t="s">
        <v>816</v>
      </c>
      <c r="K561" s="178" t="s">
        <v>816</v>
      </c>
      <c r="L561" s="275" t="str">
        <f>IF(H:H=0,"",IF(ISERROR(VLOOKUP(H:H,produtos_escape2!$A$2:$B$2794,2,FALSE)),"Código não cadastrado",(VLOOKUP(H:H,produtos_escape2!$A$2:$B$2794,2,FALSE))))</f>
        <v>CONSERTO DE Respirador Mecânico, Marca PURITAN BENNET 840, Nº Patrimônio 912149</v>
      </c>
      <c r="M561" s="593" t="str">
        <f>IF(H:H=0,"",IF(ISERROR(VLOOKUP(H:H,produtos_escape2!$A$2:$D$2794,2,FALSE)),"Código não cadastrado",(VLOOKUP(H:H,produtos_escape2!$A$2:$D$2794,4,FALSE))))</f>
        <v>Serviço</v>
      </c>
      <c r="N561" s="486">
        <v>1</v>
      </c>
      <c r="O561" s="176" t="s">
        <v>8894</v>
      </c>
      <c r="P561" s="486">
        <v>1</v>
      </c>
      <c r="Q561" s="247">
        <v>5583.06</v>
      </c>
      <c r="R561" s="414">
        <f>(P561*Q561)-R562</f>
        <v>5530.56</v>
      </c>
      <c r="S561" s="351">
        <v>43992</v>
      </c>
      <c r="T561" s="206" t="s">
        <v>9943</v>
      </c>
      <c r="U561" s="351">
        <v>44013</v>
      </c>
      <c r="V561" s="351">
        <v>44013</v>
      </c>
      <c r="W561" s="351">
        <v>44095</v>
      </c>
      <c r="X561" s="176">
        <v>91662</v>
      </c>
      <c r="Y561" s="177">
        <v>44104</v>
      </c>
      <c r="Z561" s="598">
        <v>5</v>
      </c>
      <c r="AA561" s="610">
        <f>4533.06+1050</f>
        <v>5583.06</v>
      </c>
      <c r="AB561" s="594"/>
      <c r="AC561" s="595"/>
      <c r="AD561" s="596" t="str">
        <f>IF(AND(AC561&lt;&gt;"",S561&lt;&gt;""),NETWORKDAYS(AC561,S561,#REF!),"")</f>
        <v/>
      </c>
      <c r="AE561" s="596" t="str">
        <f ca="1">IF(AND(AD561="",AC561=""),"",IF(OR(AD561&lt;&gt;"",O561="*CANCELADO"),"",NETWORKDAYS(AC561,TODAY(),#REF!)))</f>
        <v/>
      </c>
      <c r="AF561" s="597">
        <f>IFERROR(INDEX(produtos_escape2!M:M,MATCH(Controle!H561,produtos_escape2!A:A,0)),"")</f>
        <v>0</v>
      </c>
    </row>
    <row r="562" spans="1:32" ht="15.75" customHeight="1">
      <c r="A562" s="176" t="s">
        <v>7386</v>
      </c>
      <c r="B562" s="176" t="s">
        <v>1687</v>
      </c>
      <c r="C562" s="177">
        <v>43979</v>
      </c>
      <c r="D562" s="176" t="s">
        <v>8640</v>
      </c>
      <c r="E562" s="176" t="s">
        <v>3008</v>
      </c>
      <c r="F562" s="259" t="s">
        <v>8641</v>
      </c>
      <c r="G562" s="176">
        <v>2</v>
      </c>
      <c r="H562" s="178" t="s">
        <v>8646</v>
      </c>
      <c r="I562" s="592">
        <f t="shared" si="16"/>
        <v>2</v>
      </c>
      <c r="J562" s="178" t="s">
        <v>816</v>
      </c>
      <c r="K562" s="178" t="s">
        <v>816</v>
      </c>
      <c r="L562" s="275" t="str">
        <f>IF(H:H=0,"",IF(ISERROR(VLOOKUP(H:H,produtos_escape2!$A$2:$B$2794,2,FALSE)),"Código não cadastrado",(VLOOKUP(H:H,produtos_escape2!$A$2:$B$2794,2,FALSE))))</f>
        <v>CONSERTO DE Respirador Mecânico, Marca PURITAN BENNET 840, Nº Patrimônio 912149</v>
      </c>
      <c r="M562" s="593" t="str">
        <f>IF(H:H=0,"",IF(ISERROR(VLOOKUP(H:H,produtos_escape2!$A$2:$D$2794,2,FALSE)),"Código não cadastrado",(VLOOKUP(H:H,produtos_escape2!$A$2:$D$2794,4,FALSE))))</f>
        <v>Serviço</v>
      </c>
      <c r="N562" s="486">
        <v>1</v>
      </c>
      <c r="O562" s="176" t="s">
        <v>7624</v>
      </c>
      <c r="P562" s="486">
        <v>1</v>
      </c>
      <c r="Q562" s="247">
        <f>1050*0.05</f>
        <v>52.5</v>
      </c>
      <c r="R562" s="414">
        <f>P562*Q562</f>
        <v>52.5</v>
      </c>
      <c r="S562" s="351">
        <v>43992</v>
      </c>
      <c r="T562" s="206" t="s">
        <v>9943</v>
      </c>
      <c r="U562" s="351">
        <v>44013</v>
      </c>
      <c r="V562" s="351">
        <v>44013</v>
      </c>
      <c r="W562" s="351">
        <v>44095</v>
      </c>
      <c r="X562" s="176">
        <v>3299</v>
      </c>
      <c r="Y562" s="177">
        <v>44103</v>
      </c>
      <c r="Z562" s="598">
        <v>5</v>
      </c>
      <c r="AA562" s="610">
        <f>4533.06+1050</f>
        <v>5583.06</v>
      </c>
      <c r="AB562" s="594"/>
      <c r="AC562" s="595"/>
      <c r="AD562" s="596" t="str">
        <f>IF(AND(AC562&lt;&gt;"",S562&lt;&gt;""),NETWORKDAYS(AC562,S562,#REF!),"")</f>
        <v/>
      </c>
      <c r="AE562" s="596" t="str">
        <f ca="1">IF(AND(AD562="",AC562=""),"",IF(OR(AD562&lt;&gt;"",O562="*CANCELADO"),"",NETWORKDAYS(AC562,TODAY(),#REF!)))</f>
        <v/>
      </c>
      <c r="AF562" s="597">
        <f>IFERROR(INDEX(produtos_escape2!M:M,MATCH(Controle!H562,produtos_escape2!A:A,0)),"")</f>
        <v>0</v>
      </c>
    </row>
    <row r="563" spans="1:32" ht="14.25" customHeight="1">
      <c r="A563" s="176" t="s">
        <v>7386</v>
      </c>
      <c r="B563" s="176" t="s">
        <v>1687</v>
      </c>
      <c r="C563" s="177">
        <v>43979</v>
      </c>
      <c r="D563" s="176" t="s">
        <v>8640</v>
      </c>
      <c r="E563" s="176" t="s">
        <v>3008</v>
      </c>
      <c r="F563" s="259" t="s">
        <v>8641</v>
      </c>
      <c r="G563" s="176">
        <v>3</v>
      </c>
      <c r="H563" s="178" t="s">
        <v>8647</v>
      </c>
      <c r="I563" s="592">
        <f t="shared" si="16"/>
        <v>2</v>
      </c>
      <c r="J563" s="178" t="s">
        <v>816</v>
      </c>
      <c r="K563" s="178" t="s">
        <v>816</v>
      </c>
      <c r="L563" s="275" t="str">
        <f>IF(H:H=0,"",IF(ISERROR(VLOOKUP(H:H,produtos_escape2!$A$2:$B$2794,2,FALSE)),"Código não cadastrado",(VLOOKUP(H:H,produtos_escape2!$A$2:$B$2794,2,FALSE))))</f>
        <v>CONSERTO DE Respirador Mecânico, Marca PURITAN BENNET 840, Nº Patrimônio 9122683</v>
      </c>
      <c r="M563" s="593" t="str">
        <f>IF(H:H=0,"",IF(ISERROR(VLOOKUP(H:H,produtos_escape2!$A$2:$D$2794,2,FALSE)),"Código não cadastrado",(VLOOKUP(H:H,produtos_escape2!$A$2:$D$2794,4,FALSE))))</f>
        <v>Serviço</v>
      </c>
      <c r="N563" s="486">
        <v>1</v>
      </c>
      <c r="O563" s="176" t="s">
        <v>8894</v>
      </c>
      <c r="P563" s="486">
        <v>1</v>
      </c>
      <c r="Q563" s="247">
        <v>5583.59</v>
      </c>
      <c r="R563" s="246">
        <f>(P563*Q563)-R564</f>
        <v>5531.09</v>
      </c>
      <c r="S563" s="177">
        <v>43992</v>
      </c>
      <c r="T563" s="182" t="s">
        <v>9942</v>
      </c>
      <c r="U563" s="177">
        <v>44001</v>
      </c>
      <c r="V563" s="351">
        <v>44001</v>
      </c>
      <c r="W563" s="351">
        <v>44095</v>
      </c>
      <c r="X563" s="176">
        <v>91683</v>
      </c>
      <c r="Y563" s="177">
        <v>44104</v>
      </c>
      <c r="Z563" s="598">
        <v>5</v>
      </c>
      <c r="AA563" s="610"/>
      <c r="AB563" s="594"/>
      <c r="AC563" s="595"/>
      <c r="AD563" s="596" t="str">
        <f>IF(AND(AC563&lt;&gt;"",S563&lt;&gt;""),NETWORKDAYS(AC563,S563,#REF!),"")</f>
        <v/>
      </c>
      <c r="AE563" s="596" t="str">
        <f ca="1">IF(AND(AD563="",AC563=""),"",IF(OR(AD563&lt;&gt;"",O563="*CANCELADO"),"",NETWORKDAYS(AC563,TODAY(),#REF!)))</f>
        <v/>
      </c>
      <c r="AF563" s="597">
        <f>IFERROR(INDEX(produtos_escape2!M:M,MATCH(Controle!H563,produtos_escape2!A:A,0)),"")</f>
        <v>0</v>
      </c>
    </row>
    <row r="564" spans="1:32" ht="14.25" customHeight="1">
      <c r="A564" s="176" t="s">
        <v>7386</v>
      </c>
      <c r="B564" s="176" t="s">
        <v>1687</v>
      </c>
      <c r="C564" s="177">
        <v>43979</v>
      </c>
      <c r="D564" s="176" t="s">
        <v>8640</v>
      </c>
      <c r="E564" s="176" t="s">
        <v>3008</v>
      </c>
      <c r="F564" s="259" t="s">
        <v>8641</v>
      </c>
      <c r="G564" s="176">
        <v>3</v>
      </c>
      <c r="H564" s="178" t="s">
        <v>8647</v>
      </c>
      <c r="I564" s="592">
        <f t="shared" si="16"/>
        <v>2</v>
      </c>
      <c r="J564" s="178" t="s">
        <v>816</v>
      </c>
      <c r="K564" s="178" t="s">
        <v>816</v>
      </c>
      <c r="L564" s="275" t="str">
        <f>IF(H:H=0,"",IF(ISERROR(VLOOKUP(H:H,produtos_escape2!$A$2:$B$2794,2,FALSE)),"Código não cadastrado",(VLOOKUP(H:H,produtos_escape2!$A$2:$B$2794,2,FALSE))))</f>
        <v>CONSERTO DE Respirador Mecânico, Marca PURITAN BENNET 840, Nº Patrimônio 9122683</v>
      </c>
      <c r="M564" s="593" t="str">
        <f>IF(H:H=0,"",IF(ISERROR(VLOOKUP(H:H,produtos_escape2!$A$2:$D$2794,2,FALSE)),"Código não cadastrado",(VLOOKUP(H:H,produtos_escape2!$A$2:$D$2794,4,FALSE))))</f>
        <v>Serviço</v>
      </c>
      <c r="N564" s="486">
        <v>1</v>
      </c>
      <c r="O564" s="176" t="s">
        <v>7624</v>
      </c>
      <c r="P564" s="486">
        <v>1</v>
      </c>
      <c r="Q564" s="247">
        <f>1050*0.05</f>
        <v>52.5</v>
      </c>
      <c r="R564" s="246">
        <f t="shared" ref="R564:R627" si="19">P564*Q564</f>
        <v>52.5</v>
      </c>
      <c r="S564" s="177">
        <v>43992</v>
      </c>
      <c r="T564" s="182" t="s">
        <v>9942</v>
      </c>
      <c r="U564" s="177">
        <v>44001</v>
      </c>
      <c r="V564" s="351">
        <v>44001</v>
      </c>
      <c r="W564" s="351">
        <v>44095</v>
      </c>
      <c r="X564" s="176">
        <v>3300</v>
      </c>
      <c r="Y564" s="177">
        <v>44103</v>
      </c>
      <c r="Z564" s="598">
        <v>5</v>
      </c>
      <c r="AA564" s="610"/>
      <c r="AB564" s="594"/>
      <c r="AC564" s="595"/>
      <c r="AD564" s="596" t="str">
        <f>IF(AND(AC564&lt;&gt;"",S564&lt;&gt;""),NETWORKDAYS(AC564,S564,#REF!),"")</f>
        <v/>
      </c>
      <c r="AE564" s="596" t="str">
        <f ca="1">IF(AND(AD564="",AC564=""),"",IF(OR(AD564&lt;&gt;"",O564="*CANCELADO"),"",NETWORKDAYS(AC564,TODAY(),#REF!)))</f>
        <v/>
      </c>
      <c r="AF564" s="597">
        <f>IFERROR(INDEX(produtos_escape2!M:M,MATCH(Controle!H564,produtos_escape2!A:A,0)),"")</f>
        <v>0</v>
      </c>
    </row>
    <row r="565" spans="1:32" ht="14.25" customHeight="1">
      <c r="A565" s="176" t="s">
        <v>8228</v>
      </c>
      <c r="B565" s="176" t="s">
        <v>3608</v>
      </c>
      <c r="C565" s="177">
        <v>43979</v>
      </c>
      <c r="D565" s="176" t="s">
        <v>8648</v>
      </c>
      <c r="E565" s="176" t="s">
        <v>1866</v>
      </c>
      <c r="F565" s="259" t="s">
        <v>8649</v>
      </c>
      <c r="G565" s="176">
        <v>1</v>
      </c>
      <c r="H565" s="178">
        <v>90111</v>
      </c>
      <c r="I565" s="592">
        <f t="shared" si="16"/>
        <v>8</v>
      </c>
      <c r="J565" s="178" t="s">
        <v>816</v>
      </c>
      <c r="K565" s="178" t="s">
        <v>816</v>
      </c>
      <c r="L565" s="275" t="str">
        <f>IF(H:H=0,"",IF(ISERROR(VLOOKUP(H:H,produtos_escape2!$A$2:$B$2794,2,FALSE)),"Código não cadastrado",(VLOOKUP(H:H,produtos_escape2!$A$2:$B$2794,2,FALSE))))</f>
        <v xml:space="preserve">MIDAZOLAM SOLUÇAO INJETAVEL 15 MG AMPOLA 3 ML </v>
      </c>
      <c r="M565" s="593" t="str">
        <f>IF(H:H=0,"",IF(ISERROR(VLOOKUP(H:H,produtos_escape2!$A$2:$D$2794,2,FALSE)),"Código não cadastrado",(VLOOKUP(H:H,produtos_escape2!$A$2:$D$2794,4,FALSE))))</f>
        <v>AMP</v>
      </c>
      <c r="N565" s="486">
        <v>700</v>
      </c>
      <c r="O565" s="176" t="s">
        <v>7472</v>
      </c>
      <c r="P565" s="486">
        <v>700</v>
      </c>
      <c r="Q565" s="247">
        <v>8.8000000000000007</v>
      </c>
      <c r="R565" s="246">
        <f t="shared" si="19"/>
        <v>6160.0000000000009</v>
      </c>
      <c r="S565" s="177">
        <v>43979</v>
      </c>
      <c r="T565" s="182">
        <v>23073</v>
      </c>
      <c r="U565" s="177">
        <v>43979</v>
      </c>
      <c r="V565" s="177">
        <v>43980</v>
      </c>
      <c r="W565" s="177">
        <v>43985</v>
      </c>
      <c r="X565" s="176">
        <v>30811</v>
      </c>
      <c r="Y565" s="177">
        <v>44007</v>
      </c>
      <c r="Z565" s="415">
        <v>3</v>
      </c>
      <c r="AA565" s="488"/>
      <c r="AB565" s="594"/>
      <c r="AC565" s="595"/>
      <c r="AD565" s="596" t="str">
        <f>IF(AND(AC565&lt;&gt;"",S565&lt;&gt;""),NETWORKDAYS(AC565,S565,#REF!),"")</f>
        <v/>
      </c>
      <c r="AE565" s="596" t="str">
        <f ca="1">IF(AND(AD565="",AC565=""),"",IF(OR(AD565&lt;&gt;"",O565="*CANCELADO"),"",NETWORKDAYS(AC565,TODAY(),#REF!)))</f>
        <v/>
      </c>
      <c r="AF565" s="597" t="str">
        <f>IFERROR(INDEX(produtos_escape2!M:M,MATCH(Controle!H565,produtos_escape2!A:A,0)),"")</f>
        <v xml:space="preserve">MIDAZOLAM SOLUÇAO INJETAVEL 15 MG AMPOLA 3 ML </v>
      </c>
    </row>
    <row r="566" spans="1:32" ht="14.25" customHeight="1">
      <c r="A566" s="176" t="s">
        <v>7794</v>
      </c>
      <c r="B566" s="176" t="s">
        <v>7207</v>
      </c>
      <c r="C566" s="177">
        <v>43980</v>
      </c>
      <c r="D566" s="176" t="s">
        <v>8650</v>
      </c>
      <c r="E566" s="176" t="s">
        <v>3009</v>
      </c>
      <c r="F566" s="259" t="s">
        <v>8651</v>
      </c>
      <c r="G566" s="176">
        <v>1</v>
      </c>
      <c r="H566" s="178">
        <v>200724</v>
      </c>
      <c r="I566" s="592">
        <f t="shared" si="16"/>
        <v>4</v>
      </c>
      <c r="J566" s="178" t="s">
        <v>816</v>
      </c>
      <c r="K566" s="178" t="s">
        <v>816</v>
      </c>
      <c r="L566" s="275" t="str">
        <f>IF(H:H=0,"",IF(ISERROR(VLOOKUP(H:H,produtos_escape2!$A$2:$B$2794,2,FALSE)),"Código não cadastrado",(VLOOKUP(H:H,produtos_escape2!$A$2:$B$2794,2,FALSE))))</f>
        <v>MÁSCARA DE OXIGÊNIO NÃO REINALANTE: em plástico siliconizado no tamanho médio.</v>
      </c>
      <c r="M566" s="593" t="str">
        <f>IF(H:H=0,"",IF(ISERROR(VLOOKUP(H:H,produtos_escape2!$A$2:$D$2794,2,FALSE)),"Código não cadastrado",(VLOOKUP(H:H,produtos_escape2!$A$2:$D$2794,4,FALSE))))</f>
        <v>UM</v>
      </c>
      <c r="N566" s="486">
        <v>50</v>
      </c>
      <c r="O566" s="176" t="s">
        <v>1868</v>
      </c>
      <c r="P566" s="486"/>
      <c r="Q566" s="247"/>
      <c r="R566" s="246">
        <f t="shared" si="19"/>
        <v>0</v>
      </c>
      <c r="S566" s="177">
        <v>43984</v>
      </c>
      <c r="T566" s="182"/>
      <c r="U566" s="177"/>
      <c r="V566" s="177"/>
      <c r="W566" s="177"/>
      <c r="X566" s="176"/>
      <c r="Y566" s="177"/>
      <c r="Z566" s="415">
        <v>3</v>
      </c>
      <c r="AA566" s="488" t="s">
        <v>7474</v>
      </c>
      <c r="AB566" s="594"/>
      <c r="AC566" s="595"/>
      <c r="AD566" s="596" t="str">
        <f>IF(AND(AC566&lt;&gt;"",S566&lt;&gt;""),NETWORKDAYS(AC566,S566,#REF!),"")</f>
        <v/>
      </c>
      <c r="AE566" s="596" t="str">
        <f ca="1">IF(AND(AD566="",AC566=""),"",IF(OR(AD566&lt;&gt;"",O566="*CANCELADO"),"",NETWORKDAYS(AC566,TODAY(),#REF!)))</f>
        <v/>
      </c>
      <c r="AF566" s="597" t="str">
        <f>IFERROR(INDEX(produtos_escape2!M:M,MATCH(Controle!H566,produtos_escape2!A:A,0)),"")</f>
        <v>MASCARA DE OXIGENIO</v>
      </c>
    </row>
    <row r="567" spans="1:32" ht="14.25" customHeight="1">
      <c r="A567" s="176" t="s">
        <v>8211</v>
      </c>
      <c r="B567" s="176" t="s">
        <v>3608</v>
      </c>
      <c r="C567" s="177">
        <v>43980</v>
      </c>
      <c r="D567" s="176" t="s">
        <v>8654</v>
      </c>
      <c r="E567" s="176" t="s">
        <v>3009</v>
      </c>
      <c r="F567" s="259" t="s">
        <v>8655</v>
      </c>
      <c r="G567" s="176">
        <v>1</v>
      </c>
      <c r="H567" s="178">
        <v>92410</v>
      </c>
      <c r="I567" s="592">
        <f t="shared" si="16"/>
        <v>7</v>
      </c>
      <c r="J567" s="178" t="s">
        <v>816</v>
      </c>
      <c r="K567" s="178" t="s">
        <v>816</v>
      </c>
      <c r="L567" s="275"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67" s="593" t="str">
        <f>IF(H:H=0,"",IF(ISERROR(VLOOKUP(H:H,produtos_escape2!$A$2:$D$2794,2,FALSE)),"Código não cadastrado",(VLOOKUP(H:H,produtos_escape2!$A$2:$D$2794,4,FALSE))))</f>
        <v>PAR</v>
      </c>
      <c r="N567" s="486">
        <v>1500</v>
      </c>
      <c r="O567" s="176" t="s">
        <v>7825</v>
      </c>
      <c r="P567" s="486">
        <v>1400</v>
      </c>
      <c r="Q567" s="247">
        <v>1.27</v>
      </c>
      <c r="R567" s="246">
        <f t="shared" si="19"/>
        <v>1778</v>
      </c>
      <c r="S567" s="177">
        <v>43984</v>
      </c>
      <c r="T567" s="182">
        <v>542152</v>
      </c>
      <c r="U567" s="177">
        <v>43985</v>
      </c>
      <c r="V567" s="177">
        <v>43991</v>
      </c>
      <c r="W567" s="177">
        <v>43992</v>
      </c>
      <c r="X567" s="176">
        <v>30678</v>
      </c>
      <c r="Y567" s="177">
        <v>44007</v>
      </c>
      <c r="Z567" s="415">
        <v>3</v>
      </c>
      <c r="AA567" s="488"/>
      <c r="AB567" s="594"/>
      <c r="AC567" s="595"/>
      <c r="AD567" s="596" t="str">
        <f>IF(AND(AC567&lt;&gt;"",S567&lt;&gt;""),NETWORKDAYS(AC567,S567,#REF!),"")</f>
        <v/>
      </c>
      <c r="AE567" s="596" t="str">
        <f ca="1">IF(AND(AD567="",AC567=""),"",IF(OR(AD567&lt;&gt;"",O567="*CANCELADO"),"",NETWORKDAYS(AC567,TODAY(),#REF!)))</f>
        <v/>
      </c>
      <c r="AF567" s="597" t="str">
        <f>IFERROR(INDEX(produtos_escape2!M:M,MATCH(Controle!H567,produtos_escape2!A:A,0)),"")</f>
        <v>LUVA CIRURGICA CONVENCIONAL Nº 6,5</v>
      </c>
    </row>
    <row r="568" spans="1:32" ht="14.25" customHeight="1">
      <c r="A568" s="176" t="s">
        <v>7798</v>
      </c>
      <c r="B568" s="176" t="s">
        <v>7207</v>
      </c>
      <c r="C568" s="177">
        <v>43980</v>
      </c>
      <c r="D568" s="176" t="s">
        <v>8656</v>
      </c>
      <c r="E568" s="176" t="s">
        <v>1866</v>
      </c>
      <c r="F568" s="259" t="s">
        <v>8657</v>
      </c>
      <c r="G568" s="176">
        <v>1</v>
      </c>
      <c r="H568" s="178">
        <v>31552</v>
      </c>
      <c r="I568" s="592">
        <f t="shared" si="16"/>
        <v>1</v>
      </c>
      <c r="J568" s="178" t="s">
        <v>816</v>
      </c>
      <c r="K568" s="178" t="s">
        <v>816</v>
      </c>
      <c r="L568" s="275" t="str">
        <f>IF(H:H=0,"",IF(ISERROR(VLOOKUP(H:H,produtos_escape2!$A$2:$B$2794,2,FALSE)),"Código não cadastrado",(VLOOKUP(H:H,produtos_escape2!$A$2:$B$2794,2,FALSE))))</f>
        <v>CABO DE OXÍMETRO ADULTO, para aferição de saturação arterial de oxigênio, compatível com monitor Philips IntelliVue MP20, Ref. M1191B.</v>
      </c>
      <c r="M568" s="593" t="str">
        <f>IF(H:H=0,"",IF(ISERROR(VLOOKUP(H:H,produtos_escape2!$A$2:$D$2794,2,FALSE)),"Código não cadastrado",(VLOOKUP(H:H,produtos_escape2!$A$2:$D$2794,4,FALSE))))</f>
        <v>UN</v>
      </c>
      <c r="N568" s="486">
        <v>30</v>
      </c>
      <c r="O568" s="176" t="s">
        <v>4433</v>
      </c>
      <c r="P568" s="486">
        <v>30</v>
      </c>
      <c r="Q568" s="247">
        <v>280</v>
      </c>
      <c r="R568" s="246">
        <f t="shared" si="19"/>
        <v>8400</v>
      </c>
      <c r="S568" s="177">
        <v>43986</v>
      </c>
      <c r="T568" s="182">
        <v>465</v>
      </c>
      <c r="U568" s="177">
        <v>44022</v>
      </c>
      <c r="V568" s="177">
        <v>44022</v>
      </c>
      <c r="W568" s="177">
        <v>44025</v>
      </c>
      <c r="X568" s="176">
        <v>54633</v>
      </c>
      <c r="Y568" s="177">
        <v>44046</v>
      </c>
      <c r="Z568" s="415">
        <v>4</v>
      </c>
      <c r="AA568" s="488"/>
      <c r="AB568" s="594"/>
      <c r="AC568" s="595"/>
      <c r="AD568" s="596" t="str">
        <f>IF(AND(AC568&lt;&gt;"",S568&lt;&gt;""),NETWORKDAYS(AC568,S568,#REF!),"")</f>
        <v/>
      </c>
      <c r="AE568" s="596" t="str">
        <f ca="1">IF(AND(AD568="",AC568=""),"",IF(OR(AD568&lt;&gt;"",O568="*CANCELADO"),"",NETWORKDAYS(AC568,TODAY(),#REF!)))</f>
        <v/>
      </c>
      <c r="AF568" s="597" t="str">
        <f>IFERROR(INDEX(produtos_escape2!M:M,MATCH(Controle!H568,produtos_escape2!A:A,0)),"")</f>
        <v>CABO DE OXÍMETRO ADULTO</v>
      </c>
    </row>
    <row r="569" spans="1:32" ht="14.25" customHeight="1">
      <c r="A569" s="176" t="s">
        <v>7795</v>
      </c>
      <c r="B569" s="176" t="s">
        <v>7207</v>
      </c>
      <c r="C569" s="177">
        <v>43980</v>
      </c>
      <c r="D569" s="176" t="s">
        <v>8658</v>
      </c>
      <c r="E569" s="176" t="s">
        <v>1867</v>
      </c>
      <c r="F569" s="259" t="s">
        <v>8659</v>
      </c>
      <c r="G569" s="176">
        <v>1</v>
      </c>
      <c r="H569" s="178">
        <v>36916</v>
      </c>
      <c r="I569" s="592">
        <f t="shared" si="16"/>
        <v>1</v>
      </c>
      <c r="J569" s="178" t="s">
        <v>816</v>
      </c>
      <c r="K569" s="178" t="s">
        <v>816</v>
      </c>
      <c r="L569" s="275" t="str">
        <f>IF(H:H=0,"",IF(ISERROR(VLOOKUP(H:H,produtos_escape2!$A$2:$B$2794,2,FALSE)),"Código não cadastrado",(VLOOKUP(H:H,produtos_escape2!$A$2:$B$2794,2,FALSE))))</f>
        <v>Braçadeira com manguito acoplado 1 tubo, adulto, reutilizável, livre de latéx e com engate rápido. Compatível com monitores multiparamétricos Mindray IPM-9800.</v>
      </c>
      <c r="M569" s="593" t="str">
        <f>IF(H:H=0,"",IF(ISERROR(VLOOKUP(H:H,produtos_escape2!$A$2:$D$2794,2,FALSE)),"Código não cadastrado",(VLOOKUP(H:H,produtos_escape2!$A$2:$D$2794,4,FALSE))))</f>
        <v>UN</v>
      </c>
      <c r="N569" s="486">
        <v>30</v>
      </c>
      <c r="O569" s="176" t="s">
        <v>4139</v>
      </c>
      <c r="P569" s="486">
        <v>30</v>
      </c>
      <c r="Q569" s="247">
        <v>99</v>
      </c>
      <c r="R569" s="246">
        <f t="shared" si="19"/>
        <v>2970</v>
      </c>
      <c r="S569" s="177">
        <v>43984</v>
      </c>
      <c r="T569" s="182">
        <v>8082</v>
      </c>
      <c r="U569" s="177">
        <v>43994</v>
      </c>
      <c r="V569" s="177">
        <v>43994</v>
      </c>
      <c r="W569" s="177">
        <v>43998</v>
      </c>
      <c r="X569" s="176">
        <v>32394</v>
      </c>
      <c r="Y569" s="177">
        <v>44011</v>
      </c>
      <c r="Z569" s="415">
        <v>3</v>
      </c>
      <c r="AA569" s="488"/>
      <c r="AB569" s="594"/>
      <c r="AC569" s="595"/>
      <c r="AD569" s="596" t="str">
        <f>IF(AND(AC569&lt;&gt;"",S569&lt;&gt;""),NETWORKDAYS(AC569,S569,#REF!),"")</f>
        <v/>
      </c>
      <c r="AE569" s="596" t="str">
        <f ca="1">IF(AND(AD569="",AC569=""),"",IF(OR(AD569&lt;&gt;"",O569="*CANCELADO"),"",NETWORKDAYS(AC569,TODAY(),#REF!)))</f>
        <v/>
      </c>
      <c r="AF569" s="597" t="str">
        <f>IFERROR(INDEX(produtos_escape2!M:M,MATCH(Controle!H569,produtos_escape2!A:A,0)),"")</f>
        <v>BRACADEIRA COM MANGUITO</v>
      </c>
    </row>
    <row r="570" spans="1:32" ht="14.25" customHeight="1">
      <c r="A570" s="176" t="s">
        <v>8209</v>
      </c>
      <c r="B570" s="176" t="s">
        <v>3608</v>
      </c>
      <c r="C570" s="177">
        <v>43980</v>
      </c>
      <c r="D570" s="176" t="s">
        <v>8660</v>
      </c>
      <c r="E570" s="176" t="s">
        <v>3009</v>
      </c>
      <c r="F570" s="259" t="s">
        <v>8661</v>
      </c>
      <c r="G570" s="176">
        <v>1</v>
      </c>
      <c r="H570" s="178">
        <v>92400</v>
      </c>
      <c r="I570" s="592">
        <f t="shared" si="16"/>
        <v>5</v>
      </c>
      <c r="J570" s="178" t="s">
        <v>816</v>
      </c>
      <c r="K570" s="178" t="s">
        <v>816</v>
      </c>
      <c r="L570" s="275"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570" s="593" t="str">
        <f>IF(H:H=0,"",IF(ISERROR(VLOOKUP(H:H,produtos_escape2!$A$2:$D$2794,2,FALSE)),"Código não cadastrado",(VLOOKUP(H:H,produtos_escape2!$A$2:$D$2794,4,FALSE))))</f>
        <v>PAR</v>
      </c>
      <c r="N570" s="486">
        <v>1500</v>
      </c>
      <c r="O570" s="176" t="s">
        <v>4109</v>
      </c>
      <c r="P570" s="611">
        <v>1500</v>
      </c>
      <c r="Q570" s="247">
        <v>1.47</v>
      </c>
      <c r="R570" s="246">
        <f t="shared" si="19"/>
        <v>2205</v>
      </c>
      <c r="S570" s="177">
        <v>43984</v>
      </c>
      <c r="T570" s="182">
        <v>84301</v>
      </c>
      <c r="U570" s="177">
        <v>43985</v>
      </c>
      <c r="V570" s="177">
        <v>43986</v>
      </c>
      <c r="W570" s="177">
        <v>43992</v>
      </c>
      <c r="X570" s="176">
        <v>30725</v>
      </c>
      <c r="Y570" s="177">
        <v>44007</v>
      </c>
      <c r="Z570" s="415">
        <v>3</v>
      </c>
      <c r="AA570" s="488"/>
      <c r="AB570" s="594"/>
      <c r="AC570" s="595"/>
      <c r="AD570" s="596" t="str">
        <f>IF(AND(AC570&lt;&gt;"",S570&lt;&gt;""),NETWORKDAYS(AC570,S570,#REF!),"")</f>
        <v/>
      </c>
      <c r="AE570" s="596" t="str">
        <f ca="1">IF(AND(AD570="",AC570=""),"",IF(OR(AD570&lt;&gt;"",O570="*CANCELADO"),"",NETWORKDAYS(AC570,TODAY(),#REF!)))</f>
        <v/>
      </c>
      <c r="AF570" s="597" t="str">
        <f>IFERROR(INDEX(produtos_escape2!M:M,MATCH(Controle!H570,produtos_escape2!A:A,0)),"")</f>
        <v>LUVA CIRURGICA CONVENCIONAL Nº 8,5</v>
      </c>
    </row>
    <row r="571" spans="1:32" ht="14.25" customHeight="1">
      <c r="A571" s="176" t="s">
        <v>7796</v>
      </c>
      <c r="B571" s="176" t="s">
        <v>7207</v>
      </c>
      <c r="C571" s="177">
        <v>43980</v>
      </c>
      <c r="D571" s="176" t="s">
        <v>8664</v>
      </c>
      <c r="E571" s="176" t="s">
        <v>1867</v>
      </c>
      <c r="F571" s="259" t="s">
        <v>8665</v>
      </c>
      <c r="G571" s="176">
        <v>1</v>
      </c>
      <c r="H571" s="178">
        <v>27952</v>
      </c>
      <c r="I571" s="592">
        <f t="shared" si="16"/>
        <v>1</v>
      </c>
      <c r="J571" s="178" t="s">
        <v>816</v>
      </c>
      <c r="K571" s="178" t="s">
        <v>816</v>
      </c>
      <c r="L571" s="275" t="str">
        <f>IF(H:H=0,"",IF(ISERROR(VLOOKUP(H:H,produtos_escape2!$A$2:$B$2794,2,FALSE)),"Código não cadastrado",(VLOOKUP(H:H,produtos_escape2!$A$2:$B$2794,2,FALSE))))</f>
        <v>MANGUITO DE PRESSÃO NÃO-INVASIVA - compatível com modelo PHILIPS INTELLIVUE MP20- Aplicação/Finalidade: Aferição de pressão não-invasiva para uso exclusivo nos monitores PHILIPS INTELLIVUE MP20. Material: Bolsa em borracha revestida de nylon. Tamanho/Capacidade: Adulto: 13x27cm, com circuferência máxima de 35 cm. Características Adicionais: lavável, reutilizável, confeccionado de material livre de latéx.</v>
      </c>
      <c r="M571" s="593" t="str">
        <f>IF(H:H=0,"",IF(ISERROR(VLOOKUP(H:H,produtos_escape2!$A$2:$D$2794,2,FALSE)),"Código não cadastrado",(VLOOKUP(H:H,produtos_escape2!$A$2:$D$2794,4,FALSE))))</f>
        <v>UN</v>
      </c>
      <c r="N571" s="486">
        <v>30</v>
      </c>
      <c r="O571" s="176" t="s">
        <v>4139</v>
      </c>
      <c r="P571" s="486">
        <v>30</v>
      </c>
      <c r="Q571" s="247">
        <v>99</v>
      </c>
      <c r="R571" s="246">
        <f t="shared" si="19"/>
        <v>2970</v>
      </c>
      <c r="S571" s="177">
        <v>43984</v>
      </c>
      <c r="T571" s="182">
        <v>8083</v>
      </c>
      <c r="U571" s="177">
        <v>43994</v>
      </c>
      <c r="V571" s="177">
        <v>43994</v>
      </c>
      <c r="W571" s="177">
        <v>43998</v>
      </c>
      <c r="X571" s="176">
        <v>32394</v>
      </c>
      <c r="Y571" s="177">
        <v>44011</v>
      </c>
      <c r="Z571" s="415">
        <v>3</v>
      </c>
      <c r="AA571" s="488"/>
      <c r="AB571" s="594"/>
      <c r="AC571" s="595"/>
      <c r="AD571" s="596" t="str">
        <f>IF(AND(AC571&lt;&gt;"",S571&lt;&gt;""),NETWORKDAYS(AC571,S571,#REF!),"")</f>
        <v/>
      </c>
      <c r="AE571" s="596" t="str">
        <f ca="1">IF(AND(AD571="",AC571=""),"",IF(OR(AD571&lt;&gt;"",O571="*CANCELADO"),"",NETWORKDAYS(AC571,TODAY(),#REF!)))</f>
        <v/>
      </c>
      <c r="AF571" s="597" t="str">
        <f>IFERROR(INDEX(produtos_escape2!M:M,MATCH(Controle!H571,produtos_escape2!A:A,0)),"")</f>
        <v>MANGUITO DE PRESSÃO NÃO-INVASIVA - compatível com modelo PHILIPS INTELLIVUE MP20- Aplicação/Finalidade</v>
      </c>
    </row>
    <row r="572" spans="1:32" ht="14.25" customHeight="1">
      <c r="A572" s="176" t="s">
        <v>7855</v>
      </c>
      <c r="B572" s="176" t="s">
        <v>7207</v>
      </c>
      <c r="C572" s="177">
        <v>43980</v>
      </c>
      <c r="D572" s="176" t="s">
        <v>8666</v>
      </c>
      <c r="E572" s="176" t="s">
        <v>1866</v>
      </c>
      <c r="F572" s="259" t="s">
        <v>8667</v>
      </c>
      <c r="G572" s="176">
        <v>1</v>
      </c>
      <c r="H572" s="178">
        <v>31755</v>
      </c>
      <c r="I572" s="592">
        <f t="shared" si="16"/>
        <v>2</v>
      </c>
      <c r="J572" s="178" t="s">
        <v>816</v>
      </c>
      <c r="K572" s="178" t="s">
        <v>816</v>
      </c>
      <c r="L572" s="275" t="str">
        <f>IF(H:H=0,"",IF(ISERROR(VLOOKUP(H:H,produtos_escape2!$A$2:$B$2794,2,FALSE)),"Código não cadastrado",(VLOOKUP(H:H,produtos_escape2!$A$2:$B$2794,2,FALSE))))</f>
        <v>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v>
      </c>
      <c r="M572" s="593" t="str">
        <f>IF(H:H=0,"",IF(ISERROR(VLOOKUP(H:H,produtos_escape2!$A$2:$D$2794,2,FALSE)),"Código não cadastrado",(VLOOKUP(H:H,produtos_escape2!$A$2:$D$2794,4,FALSE))))</f>
        <v>UN</v>
      </c>
      <c r="N572" s="486">
        <v>30</v>
      </c>
      <c r="O572" s="176" t="s">
        <v>4433</v>
      </c>
      <c r="P572" s="486">
        <v>15</v>
      </c>
      <c r="Q572" s="247">
        <v>280</v>
      </c>
      <c r="R572" s="246">
        <f t="shared" si="19"/>
        <v>4200</v>
      </c>
      <c r="S572" s="177">
        <v>43986</v>
      </c>
      <c r="T572" s="182">
        <v>481</v>
      </c>
      <c r="U572" s="177">
        <v>44050</v>
      </c>
      <c r="V572" s="177">
        <v>44050</v>
      </c>
      <c r="W572" s="177">
        <v>44050</v>
      </c>
      <c r="X572" s="176">
        <v>63706</v>
      </c>
      <c r="Y572" s="177">
        <v>44061</v>
      </c>
      <c r="Z572" s="415">
        <v>4</v>
      </c>
      <c r="AA572" s="488"/>
      <c r="AB572" s="594"/>
      <c r="AC572" s="595"/>
      <c r="AD572" s="596" t="str">
        <f>IF(AND(AC572&lt;&gt;"",S572&lt;&gt;""),NETWORKDAYS(AC572,S572,#REF!),"")</f>
        <v/>
      </c>
      <c r="AE572" s="596" t="str">
        <f ca="1">IF(AND(AD572="",AC572=""),"",IF(OR(AD572&lt;&gt;"",O572="*CANCELADO"),"",NETWORKDAYS(AC572,TODAY(),#REF!)))</f>
        <v/>
      </c>
      <c r="AF572" s="597" t="str">
        <f>IFERROR(INDEX(produtos_escape2!M:M,MATCH(Controle!H572,produtos_escape2!A:A,0)),"")</f>
        <v>SENSOR DE SPO2 REUSÁVEL</v>
      </c>
    </row>
    <row r="573" spans="1:32" ht="14.25" customHeight="1">
      <c r="A573" s="176" t="s">
        <v>7855</v>
      </c>
      <c r="B573" s="176" t="s">
        <v>7207</v>
      </c>
      <c r="C573" s="177">
        <v>43980</v>
      </c>
      <c r="D573" s="176" t="s">
        <v>8666</v>
      </c>
      <c r="E573" s="176" t="s">
        <v>1866</v>
      </c>
      <c r="F573" s="259" t="s">
        <v>8667</v>
      </c>
      <c r="G573" s="176">
        <v>1</v>
      </c>
      <c r="H573" s="178">
        <v>31755</v>
      </c>
      <c r="I573" s="592">
        <f t="shared" si="16"/>
        <v>2</v>
      </c>
      <c r="J573" s="178" t="s">
        <v>816</v>
      </c>
      <c r="K573" s="178" t="s">
        <v>816</v>
      </c>
      <c r="L573" s="275" t="str">
        <f>IF(H:H=0,"",IF(ISERROR(VLOOKUP(H:H,produtos_escape2!$A$2:$B$2794,2,FALSE)),"Código não cadastrado",(VLOOKUP(H:H,produtos_escape2!$A$2:$B$2794,2,FALSE))))</f>
        <v>SENSOR DE SPO2 REUSÁVEL, NEONATAL, MULTIFUNCIONAL, NELLCOR, OXIMAX D-YS. 0010-10-12476. Aplicação: monitorar saturação sanguínea em monitor de sinais vitais. Marca: MINDRAY. Material: plástico. Forma de apresentação: cabo com peça plástica 1m. Prazo de validade: indeterminado. Unidade de estoque: UM.</v>
      </c>
      <c r="M573" s="593" t="str">
        <f>IF(H:H=0,"",IF(ISERROR(VLOOKUP(H:H,produtos_escape2!$A$2:$D$2794,2,FALSE)),"Código não cadastrado",(VLOOKUP(H:H,produtos_escape2!$A$2:$D$2794,4,FALSE))))</f>
        <v>UN</v>
      </c>
      <c r="N573" s="486">
        <v>30</v>
      </c>
      <c r="O573" s="176" t="s">
        <v>4433</v>
      </c>
      <c r="P573" s="486">
        <v>15</v>
      </c>
      <c r="Q573" s="247">
        <v>280</v>
      </c>
      <c r="R573" s="246">
        <f t="shared" si="19"/>
        <v>4200</v>
      </c>
      <c r="S573" s="177">
        <v>43986</v>
      </c>
      <c r="T573" s="182">
        <v>502</v>
      </c>
      <c r="U573" s="177">
        <v>44090</v>
      </c>
      <c r="V573" s="177">
        <v>44090</v>
      </c>
      <c r="W573" s="177">
        <v>44090</v>
      </c>
      <c r="X573" s="176">
        <v>91493</v>
      </c>
      <c r="Y573" s="177">
        <v>44104</v>
      </c>
      <c r="Z573" s="415">
        <v>5</v>
      </c>
      <c r="AA573" s="488"/>
      <c r="AB573" s="594"/>
      <c r="AC573" s="595"/>
      <c r="AD573" s="596" t="str">
        <f>IF(AND(AC573&lt;&gt;"",S573&lt;&gt;""),NETWORKDAYS(AC573,S573,#REF!),"")</f>
        <v/>
      </c>
      <c r="AE573" s="596" t="str">
        <f ca="1">IF(AND(AD573="",AC573=""),"",IF(OR(AD573&lt;&gt;"",O573="*CANCELADO"),"",NETWORKDAYS(AC573,TODAY(),#REF!)))</f>
        <v/>
      </c>
      <c r="AF573" s="597" t="str">
        <f>IFERROR(INDEX(produtos_escape2!M:M,MATCH(Controle!H573,produtos_escape2!A:A,0)),"")</f>
        <v>SENSOR DE SPO2 REUSÁVEL</v>
      </c>
    </row>
    <row r="574" spans="1:32" ht="14.25" customHeight="1">
      <c r="A574" s="176" t="s">
        <v>7797</v>
      </c>
      <c r="B574" s="176" t="s">
        <v>7207</v>
      </c>
      <c r="C574" s="177">
        <v>43980</v>
      </c>
      <c r="D574" s="176" t="s">
        <v>8668</v>
      </c>
      <c r="E574" s="176" t="s">
        <v>1867</v>
      </c>
      <c r="F574" s="259" t="s">
        <v>8669</v>
      </c>
      <c r="G574" s="176">
        <v>1</v>
      </c>
      <c r="H574" s="178">
        <v>36745</v>
      </c>
      <c r="I574" s="592">
        <f t="shared" si="16"/>
        <v>1</v>
      </c>
      <c r="J574" s="178" t="s">
        <v>816</v>
      </c>
      <c r="K574" s="178" t="s">
        <v>816</v>
      </c>
      <c r="L574" s="275" t="str">
        <f>IF(H:H=0,"",IF(ISERROR(VLOOKUP(H:H,produtos_escape2!$A$2:$B$2794,2,FALSE)),"Código não cadastrado",(VLOOKUP(H:H,produtos_escape2!$A$2:$B$2794,2,FALSE))))</f>
        <v>Mangueira que conecta o manguito ao monitor. É obrigatório o|seu uso em conjunto com os Manguitos Adultos (1003130,10003132,10003133,10003136) e |Pediátricos (10003134,10003135).||Código LIFEMED: 10003131</v>
      </c>
      <c r="M574" s="593" t="str">
        <f>IF(H:H=0,"",IF(ISERROR(VLOOKUP(H:H,produtos_escape2!$A$2:$D$2794,2,FALSE)),"Código não cadastrado",(VLOOKUP(H:H,produtos_escape2!$A$2:$D$2794,4,FALSE))))</f>
        <v>UN</v>
      </c>
      <c r="N574" s="486">
        <v>30</v>
      </c>
      <c r="O574" s="176" t="s">
        <v>4139</v>
      </c>
      <c r="P574" s="486">
        <v>30</v>
      </c>
      <c r="Q574" s="247">
        <v>208</v>
      </c>
      <c r="R574" s="246">
        <f t="shared" si="19"/>
        <v>6240</v>
      </c>
      <c r="S574" s="177">
        <v>43984</v>
      </c>
      <c r="T574" s="182">
        <v>8088</v>
      </c>
      <c r="U574" s="177">
        <v>43997</v>
      </c>
      <c r="V574" s="177">
        <v>43997</v>
      </c>
      <c r="W574" s="177">
        <v>43998</v>
      </c>
      <c r="X574" s="176">
        <v>32365</v>
      </c>
      <c r="Y574" s="177">
        <v>44011</v>
      </c>
      <c r="Z574" s="415">
        <v>3</v>
      </c>
      <c r="AA574" s="488"/>
      <c r="AB574" s="594"/>
      <c r="AC574" s="595"/>
      <c r="AD574" s="596" t="str">
        <f>IF(AND(AC574&lt;&gt;"",S574&lt;&gt;""),NETWORKDAYS(AC574,S574,#REF!),"")</f>
        <v/>
      </c>
      <c r="AE574" s="596" t="str">
        <f ca="1">IF(AND(AD574="",AC574=""),"",IF(OR(AD574&lt;&gt;"",O574="*CANCELADO"),"",NETWORKDAYS(AC574,TODAY(),#REF!)))</f>
        <v/>
      </c>
      <c r="AF574" s="597" t="str">
        <f>IFERROR(INDEX(produtos_escape2!M:M,MATCH(Controle!H574,produtos_escape2!A:A,0)),"")</f>
        <v>MANGUEIRA EXTENSORA</v>
      </c>
    </row>
    <row r="575" spans="1:32" ht="14.25" customHeight="1">
      <c r="A575" s="176" t="s">
        <v>7800</v>
      </c>
      <c r="B575" s="176" t="s">
        <v>7207</v>
      </c>
      <c r="C575" s="177">
        <v>43980</v>
      </c>
      <c r="D575" s="176" t="s">
        <v>8672</v>
      </c>
      <c r="E575" s="176" t="s">
        <v>1866</v>
      </c>
      <c r="F575" s="259" t="s">
        <v>8673</v>
      </c>
      <c r="G575" s="176">
        <v>1</v>
      </c>
      <c r="H575" s="178">
        <v>31754</v>
      </c>
      <c r="I575" s="592">
        <f t="shared" si="16"/>
        <v>1</v>
      </c>
      <c r="J575" s="178" t="s">
        <v>816</v>
      </c>
      <c r="K575" s="178" t="s">
        <v>816</v>
      </c>
      <c r="L575" s="275" t="str">
        <f>IF(H:H=0,"",IF(ISERROR(VLOOKUP(H:H,produtos_escape2!$A$2:$B$2794,2,FALSE)),"Código não cadastrado",(VLOOKUP(H:H,produtos_escape2!$A$2:$B$2794,2,FALSE))))</f>
        <v>SENSOR DE SPO2 REUSÁVEL, ADULTO, NELLCOR. 9000-10-05161. Aplicação: monitorar saturação sanguínea em monitor de sinais vitais. Marca: MINDRAY. Material: plástico. Forma de apresentação: cabo com peça plástica 1m. Prazo de validade: indeterminado. Unidade de estoque: UM.</v>
      </c>
      <c r="M575" s="593" t="str">
        <f>IF(H:H=0,"",IF(ISERROR(VLOOKUP(H:H,produtos_escape2!$A$2:$D$2794,2,FALSE)),"Código não cadastrado",(VLOOKUP(H:H,produtos_escape2!$A$2:$D$2794,4,FALSE))))</f>
        <v>UN</v>
      </c>
      <c r="N575" s="486">
        <v>30</v>
      </c>
      <c r="O575" s="176" t="s">
        <v>4433</v>
      </c>
      <c r="P575" s="486">
        <v>30</v>
      </c>
      <c r="Q575" s="247">
        <v>280</v>
      </c>
      <c r="R575" s="246">
        <f t="shared" si="19"/>
        <v>8400</v>
      </c>
      <c r="S575" s="177">
        <v>43986</v>
      </c>
      <c r="T575" s="182">
        <v>466</v>
      </c>
      <c r="U575" s="177">
        <v>44022</v>
      </c>
      <c r="V575" s="177">
        <v>44022</v>
      </c>
      <c r="W575" s="177">
        <v>44025</v>
      </c>
      <c r="X575" s="176">
        <v>47019</v>
      </c>
      <c r="Y575" s="177">
        <v>44033</v>
      </c>
      <c r="Z575" s="415">
        <v>4</v>
      </c>
      <c r="AA575" s="488"/>
      <c r="AB575" s="594"/>
      <c r="AC575" s="595"/>
      <c r="AD575" s="596" t="str">
        <f>IF(AND(AC575&lt;&gt;"",S575&lt;&gt;""),NETWORKDAYS(AC575,S575,#REF!),"")</f>
        <v/>
      </c>
      <c r="AE575" s="596" t="str">
        <f ca="1">IF(AND(AD575="",AC575=""),"",IF(OR(AD575&lt;&gt;"",O575="*CANCELADO"),"",NETWORKDAYS(AC575,TODAY(),#REF!)))</f>
        <v/>
      </c>
      <c r="AF575" s="597" t="str">
        <f>IFERROR(INDEX(produtos_escape2!M:M,MATCH(Controle!H575,produtos_escape2!A:A,0)),"")</f>
        <v>SENSOR DE SPO2 REUSÁVEL</v>
      </c>
    </row>
    <row r="576" spans="1:32" ht="14.25" customHeight="1">
      <c r="A576" s="176" t="s">
        <v>8299</v>
      </c>
      <c r="B576" s="176" t="s">
        <v>3608</v>
      </c>
      <c r="C576" s="177">
        <v>43984</v>
      </c>
      <c r="D576" s="176" t="s">
        <v>8697</v>
      </c>
      <c r="E576" s="176" t="s">
        <v>3009</v>
      </c>
      <c r="F576" s="259" t="s">
        <v>8698</v>
      </c>
      <c r="G576" s="176">
        <v>1</v>
      </c>
      <c r="H576" s="178">
        <v>90159</v>
      </c>
      <c r="I576" s="592">
        <f t="shared" si="16"/>
        <v>4</v>
      </c>
      <c r="J576" s="178" t="s">
        <v>816</v>
      </c>
      <c r="K576" s="178" t="s">
        <v>816</v>
      </c>
      <c r="L576" s="275" t="str">
        <f>IF(H:H=0,"",IF(ISERROR(VLOOKUP(H:H,produtos_escape2!$A$2:$B$2794,2,FALSE)),"Código não cadastrado",(VLOOKUP(H:H,produtos_escape2!$A$2:$B$2794,2,FALSE))))</f>
        <v>DILTIAZEM (CLORIDRATO) COMPRIMIDO 60 MG</v>
      </c>
      <c r="M576" s="593" t="str">
        <f>IF(H:H=0,"",IF(ISERROR(VLOOKUP(H:H,produtos_escape2!$A$2:$D$2794,2,FALSE)),"Código não cadastrado",(VLOOKUP(H:H,produtos_escape2!$A$2:$D$2794,4,FALSE))))</f>
        <v>CP</v>
      </c>
      <c r="N576" s="486">
        <v>90</v>
      </c>
      <c r="O576" s="176" t="s">
        <v>7371</v>
      </c>
      <c r="P576" s="486">
        <v>50</v>
      </c>
      <c r="Q576" s="247">
        <v>0.83740000000000003</v>
      </c>
      <c r="R576" s="246">
        <f t="shared" si="19"/>
        <v>41.870000000000005</v>
      </c>
      <c r="S576" s="177">
        <v>43987</v>
      </c>
      <c r="T576" s="182">
        <v>341284</v>
      </c>
      <c r="U576" s="177">
        <v>43997</v>
      </c>
      <c r="V576" s="177">
        <v>43997</v>
      </c>
      <c r="W576" s="177">
        <v>43998</v>
      </c>
      <c r="X576" s="176">
        <v>32526</v>
      </c>
      <c r="Y576" s="177">
        <v>44011</v>
      </c>
      <c r="Z576" s="415">
        <v>3</v>
      </c>
      <c r="AA576" s="488"/>
      <c r="AB576" s="594"/>
      <c r="AC576" s="595"/>
      <c r="AD576" s="596" t="str">
        <f>IF(AND(AC576&lt;&gt;"",S576&lt;&gt;""),NETWORKDAYS(AC576,S576,#REF!),"")</f>
        <v/>
      </c>
      <c r="AE576" s="596" t="str">
        <f ca="1">IF(AND(AD576="",AC576=""),"",IF(OR(AD576&lt;&gt;"",O576="*CANCELADO"),"",NETWORKDAYS(AC576,TODAY(),#REF!)))</f>
        <v/>
      </c>
      <c r="AF576" s="597" t="str">
        <f>IFERROR(INDEX(produtos_escape2!M:M,MATCH(Controle!H576,produtos_escape2!A:A,0)),"")</f>
        <v>DILTIAZEM (CLORIDRATO) COMPRIMIDO 60 MG</v>
      </c>
    </row>
    <row r="577" spans="1:32" ht="14.25" customHeight="1">
      <c r="A577" s="176" t="s">
        <v>8268</v>
      </c>
      <c r="B577" s="176" t="s">
        <v>3608</v>
      </c>
      <c r="C577" s="177">
        <v>43984</v>
      </c>
      <c r="D577" s="176" t="s">
        <v>8699</v>
      </c>
      <c r="E577" s="176" t="s">
        <v>1865</v>
      </c>
      <c r="F577" s="259" t="s">
        <v>8700</v>
      </c>
      <c r="G577" s="176">
        <v>1</v>
      </c>
      <c r="H577" s="178">
        <v>90342</v>
      </c>
      <c r="I577" s="592">
        <f t="shared" si="16"/>
        <v>4</v>
      </c>
      <c r="J577" s="178" t="s">
        <v>816</v>
      </c>
      <c r="K577" s="178" t="s">
        <v>816</v>
      </c>
      <c r="L577" s="275" t="str">
        <f>IF(H:H=0,"",IF(ISERROR(VLOOKUP(H:H,produtos_escape2!$A$2:$B$2794,2,FALSE)),"Código não cadastrado",(VLOOKUP(H:H,produtos_escape2!$A$2:$B$2794,2,FALSE))))</f>
        <v>ACIDO POLIACRILICO GEL LIQUIDO OFTALMICO 2 MG/G BISNAGA 10 G</v>
      </c>
      <c r="M577" s="593" t="str">
        <f>IF(H:H=0,"",IF(ISERROR(VLOOKUP(H:H,produtos_escape2!$A$2:$D$2794,2,FALSE)),"Código não cadastrado",(VLOOKUP(H:H,produtos_escape2!$A$2:$D$2794,4,FALSE))))</f>
        <v>BS</v>
      </c>
      <c r="N577" s="486">
        <v>10</v>
      </c>
      <c r="O577" s="176" t="s">
        <v>1868</v>
      </c>
      <c r="P577" s="486"/>
      <c r="Q577" s="247"/>
      <c r="R577" s="246">
        <f t="shared" si="19"/>
        <v>0</v>
      </c>
      <c r="S577" s="177">
        <v>43992</v>
      </c>
      <c r="T577" s="182"/>
      <c r="U577" s="177"/>
      <c r="V577" s="177"/>
      <c r="W577" s="177"/>
      <c r="X577" s="176"/>
      <c r="Y577" s="177"/>
      <c r="Z577" s="415">
        <v>3</v>
      </c>
      <c r="AA577" s="488" t="s">
        <v>7474</v>
      </c>
      <c r="AB577" s="594"/>
      <c r="AC577" s="595"/>
      <c r="AD577" s="596" t="str">
        <f>IF(AND(AC577&lt;&gt;"",S577&lt;&gt;""),NETWORKDAYS(AC577,S577,#REF!),"")</f>
        <v/>
      </c>
      <c r="AE577" s="596" t="str">
        <f ca="1">IF(AND(AD577="",AC577=""),"",IF(OR(AD577&lt;&gt;"",O577="*CANCELADO"),"",NETWORKDAYS(AC577,TODAY(),#REF!)))</f>
        <v/>
      </c>
      <c r="AF577" s="597" t="str">
        <f>IFERROR(INDEX(produtos_escape2!M:M,MATCH(Controle!H577,produtos_escape2!A:A,0)),"")</f>
        <v>ACIDO POLIACRILICO GEL LIQUIDO OFTALMICO 2 MG/G BISNAGA 10 G</v>
      </c>
    </row>
    <row r="578" spans="1:32" ht="14.25" customHeight="1">
      <c r="A578" s="176" t="s">
        <v>8258</v>
      </c>
      <c r="B578" s="176" t="s">
        <v>3608</v>
      </c>
      <c r="C578" s="177">
        <v>43984</v>
      </c>
      <c r="D578" s="176" t="s">
        <v>8701</v>
      </c>
      <c r="E578" s="176" t="s">
        <v>3009</v>
      </c>
      <c r="F578" s="259" t="s">
        <v>8702</v>
      </c>
      <c r="G578" s="176">
        <v>1</v>
      </c>
      <c r="H578" s="178">
        <v>90550</v>
      </c>
      <c r="I578" s="592">
        <f t="shared" si="16"/>
        <v>9</v>
      </c>
      <c r="J578" s="178" t="s">
        <v>816</v>
      </c>
      <c r="K578" s="178" t="s">
        <v>816</v>
      </c>
      <c r="L578" s="275" t="str">
        <f>IF(H:H=0,"",IF(ISERROR(VLOOKUP(H:H,produtos_escape2!$A$2:$B$2794,2,FALSE)),"Código não cadastrado",(VLOOKUP(H:H,produtos_escape2!$A$2:$B$2794,2,FALSE))))</f>
        <v xml:space="preserve">BICARBONATO DE SODIO SOLUCAO INJETAVEL 8,4 % (1 MEQ/ML) AMPOLA 10 ML  </v>
      </c>
      <c r="M578" s="593" t="str">
        <f>IF(H:H=0,"",IF(ISERROR(VLOOKUP(H:H,produtos_escape2!$A$2:$D$2794,2,FALSE)),"Código não cadastrado",(VLOOKUP(H:H,produtos_escape2!$A$2:$D$2794,4,FALSE))))</f>
        <v>AMP</v>
      </c>
      <c r="N578" s="486">
        <v>600</v>
      </c>
      <c r="O578" s="176" t="s">
        <v>7825</v>
      </c>
      <c r="P578" s="486">
        <v>100</v>
      </c>
      <c r="Q578" s="247">
        <v>0.86240000000000006</v>
      </c>
      <c r="R578" s="246">
        <f t="shared" si="19"/>
        <v>86.240000000000009</v>
      </c>
      <c r="S578" s="177">
        <v>43987</v>
      </c>
      <c r="T578" s="182">
        <v>543195</v>
      </c>
      <c r="U578" s="177">
        <v>43991</v>
      </c>
      <c r="V578" s="177">
        <v>43998</v>
      </c>
      <c r="W578" s="177">
        <v>43999</v>
      </c>
      <c r="X578" s="176">
        <v>32504</v>
      </c>
      <c r="Y578" s="177">
        <v>44011</v>
      </c>
      <c r="Z578" s="415">
        <v>3</v>
      </c>
      <c r="AA578" s="488"/>
      <c r="AB578" s="594"/>
      <c r="AC578" s="595"/>
      <c r="AD578" s="596" t="str">
        <f>IF(AND(AC578&lt;&gt;"",S578&lt;&gt;""),NETWORKDAYS(AC578,S578,#REF!),"")</f>
        <v/>
      </c>
      <c r="AE578" s="596" t="str">
        <f ca="1">IF(AND(AD578="",AC578=""),"",IF(OR(AD578&lt;&gt;"",O578="*CANCELADO"),"",NETWORKDAYS(AC578,TODAY(),#REF!)))</f>
        <v/>
      </c>
      <c r="AF578" s="597" t="str">
        <f>IFERROR(INDEX(produtos_escape2!M:M,MATCH(Controle!H578,produtos_escape2!A:A,0)),"")</f>
        <v>BICARBONATO DE SODIO</v>
      </c>
    </row>
    <row r="579" spans="1:32" ht="14.25" customHeight="1">
      <c r="A579" s="176" t="s">
        <v>8256</v>
      </c>
      <c r="B579" s="176" t="s">
        <v>3608</v>
      </c>
      <c r="C579" s="177">
        <v>43984</v>
      </c>
      <c r="D579" s="176" t="s">
        <v>8703</v>
      </c>
      <c r="E579" s="176" t="s">
        <v>1867</v>
      </c>
      <c r="F579" s="259" t="s">
        <v>8704</v>
      </c>
      <c r="G579" s="176">
        <v>1</v>
      </c>
      <c r="H579" s="178">
        <v>90203</v>
      </c>
      <c r="I579" s="592">
        <f t="shared" ref="I579:I642" si="20">COUNTIF($H$3:$H$3041,H579)</f>
        <v>5</v>
      </c>
      <c r="J579" s="178" t="s">
        <v>816</v>
      </c>
      <c r="K579" s="178" t="s">
        <v>816</v>
      </c>
      <c r="L579" s="275" t="str">
        <f>IF(H:H=0,"",IF(ISERROR(VLOOKUP(H:H,produtos_escape2!$A$2:$B$2794,2,FALSE)),"Código não cadastrado",(VLOOKUP(H:H,produtos_escape2!$A$2:$B$2794,2,FALSE))))</f>
        <v>OMEPRAZOL PO LIOFILIZADO PARA SOLUCAO INJETAVEL 40 MG FRASCO AMPOLA + SOLUCAO DILUENTE (AMPOLA 10 ML)</v>
      </c>
      <c r="M579" s="593" t="str">
        <f>IF(H:H=0,"",IF(ISERROR(VLOOKUP(H:H,produtos_escape2!$A$2:$D$2794,2,FALSE)),"Código não cadastrado",(VLOOKUP(H:H,produtos_escape2!$A$2:$D$2794,4,FALSE))))</f>
        <v>AMP</v>
      </c>
      <c r="N579" s="486">
        <v>175</v>
      </c>
      <c r="O579" s="176" t="s">
        <v>7825</v>
      </c>
      <c r="P579" s="486">
        <v>160</v>
      </c>
      <c r="Q579" s="247">
        <v>30</v>
      </c>
      <c r="R579" s="246">
        <f t="shared" si="19"/>
        <v>4800</v>
      </c>
      <c r="S579" s="177">
        <v>43987</v>
      </c>
      <c r="T579" s="182">
        <v>542915</v>
      </c>
      <c r="U579" s="177">
        <v>43990</v>
      </c>
      <c r="V579" s="177">
        <v>43998</v>
      </c>
      <c r="W579" s="177">
        <v>43999</v>
      </c>
      <c r="X579" s="176">
        <v>32374</v>
      </c>
      <c r="Y579" s="177">
        <v>44011</v>
      </c>
      <c r="Z579" s="415">
        <v>3</v>
      </c>
      <c r="AA579" s="488"/>
      <c r="AB579" s="594"/>
      <c r="AC579" s="595"/>
      <c r="AD579" s="596" t="str">
        <f>IF(AND(AC579&lt;&gt;"",S579&lt;&gt;""),NETWORKDAYS(AC579,S579,#REF!),"")</f>
        <v/>
      </c>
      <c r="AE579" s="596" t="str">
        <f ca="1">IF(AND(AD579="",AC579=""),"",IF(OR(AD579&lt;&gt;"",O579="*CANCELADO"),"",NETWORKDAYS(AC579,TODAY(),#REF!)))</f>
        <v/>
      </c>
      <c r="AF579" s="597" t="str">
        <f>IFERROR(INDEX(produtos_escape2!M:M,MATCH(Controle!H579,produtos_escape2!A:A,0)),"")</f>
        <v>OMEPRAZOL PO LIOFILIZADO PARA SOLUCAO INJETAVEL 40 MG FRASCO AMPOLA + SOLUCAO DILUENTE (AMPOLA 10 ML)</v>
      </c>
    </row>
    <row r="580" spans="1:32" ht="14.25" customHeight="1">
      <c r="A580" s="176" t="s">
        <v>8254</v>
      </c>
      <c r="B580" s="176" t="s">
        <v>3608</v>
      </c>
      <c r="C580" s="177">
        <v>43984</v>
      </c>
      <c r="D580" s="176" t="s">
        <v>8705</v>
      </c>
      <c r="E580" s="176" t="s">
        <v>1866</v>
      </c>
      <c r="F580" s="259" t="s">
        <v>8706</v>
      </c>
      <c r="G580" s="176">
        <v>1</v>
      </c>
      <c r="H580" s="178">
        <v>90556</v>
      </c>
      <c r="I580" s="592">
        <f t="shared" si="20"/>
        <v>1</v>
      </c>
      <c r="J580" s="178" t="s">
        <v>816</v>
      </c>
      <c r="K580" s="178" t="s">
        <v>816</v>
      </c>
      <c r="L580" s="275" t="str">
        <f>IF(H:H=0,"",IF(ISERROR(VLOOKUP(H:H,produtos_escape2!$A$2:$B$2794,2,FALSE)),"Código não cadastrado",(VLOOKUP(H:H,produtos_escape2!$A$2:$B$2794,2,FALSE))))</f>
        <v>FOSFATO DE POTASSIO SOLUCAO INJETAVEL 2 MEQ/ML AMPOLA 10 ML</v>
      </c>
      <c r="M580" s="593" t="str">
        <f>IF(H:H=0,"",IF(ISERROR(VLOOKUP(H:H,produtos_escape2!$A$2:$D$2794,2,FALSE)),"Código não cadastrado",(VLOOKUP(H:H,produtos_escape2!$A$2:$D$2794,4,FALSE))))</f>
        <v>AMP</v>
      </c>
      <c r="N580" s="486">
        <v>100</v>
      </c>
      <c r="O580" s="176" t="s">
        <v>8452</v>
      </c>
      <c r="P580" s="486">
        <v>100</v>
      </c>
      <c r="Q580" s="247">
        <v>2.9</v>
      </c>
      <c r="R580" s="246">
        <f t="shared" si="19"/>
        <v>290</v>
      </c>
      <c r="S580" s="177">
        <v>43987</v>
      </c>
      <c r="T580" s="182">
        <v>19679</v>
      </c>
      <c r="U580" s="177">
        <v>43997</v>
      </c>
      <c r="V580" s="177">
        <v>43999</v>
      </c>
      <c r="W580" s="177">
        <v>43999</v>
      </c>
      <c r="X580" s="176">
        <v>32496</v>
      </c>
      <c r="Y580" s="177">
        <v>44011</v>
      </c>
      <c r="Z580" s="415">
        <v>3</v>
      </c>
      <c r="AA580" s="488"/>
      <c r="AB580" s="594"/>
      <c r="AC580" s="595"/>
      <c r="AD580" s="596" t="str">
        <f>IF(AND(AC580&lt;&gt;"",S580&lt;&gt;""),NETWORKDAYS(AC580,S580,#REF!),"")</f>
        <v/>
      </c>
      <c r="AE580" s="596" t="str">
        <f ca="1">IF(AND(AD580="",AC580=""),"",IF(OR(AD580&lt;&gt;"",O580="*CANCELADO"),"",NETWORKDAYS(AC580,TODAY(),#REF!)))</f>
        <v/>
      </c>
      <c r="AF580" s="597" t="str">
        <f>IFERROR(INDEX(produtos_escape2!M:M,MATCH(Controle!H580,produtos_escape2!A:A,0)),"")</f>
        <v>FOSFATO DE POTASSIO SOLUCAO INJETAVEL 2 MEQ/ML AMPOLA 10 ML</v>
      </c>
    </row>
    <row r="581" spans="1:32" ht="14.25" customHeight="1">
      <c r="A581" s="176" t="s">
        <v>8246</v>
      </c>
      <c r="B581" s="176" t="s">
        <v>3608</v>
      </c>
      <c r="C581" s="177">
        <v>43984</v>
      </c>
      <c r="D581" s="176" t="s">
        <v>8707</v>
      </c>
      <c r="E581" s="176" t="s">
        <v>3009</v>
      </c>
      <c r="F581" s="259" t="s">
        <v>8708</v>
      </c>
      <c r="G581" s="176">
        <v>1</v>
      </c>
      <c r="H581" s="178">
        <v>90552</v>
      </c>
      <c r="I581" s="592">
        <f t="shared" si="20"/>
        <v>6</v>
      </c>
      <c r="J581" s="178" t="s">
        <v>816</v>
      </c>
      <c r="K581" s="178" t="s">
        <v>816</v>
      </c>
      <c r="L581" s="275" t="str">
        <f>IF(H:H=0,"",IF(ISERROR(VLOOKUP(H:H,produtos_escape2!$A$2:$B$2794,2,FALSE)),"Código não cadastrado",(VLOOKUP(H:H,produtos_escape2!$A$2:$B$2794,2,FALSE))))</f>
        <v>CLORETO DE POTASSIO SOLUCAO INJETAVEL 10 % (1,34 MEQ/ML) AMPOLA 10 ML</v>
      </c>
      <c r="M581" s="593" t="str">
        <f>IF(H:H=0,"",IF(ISERROR(VLOOKUP(H:H,produtos_escape2!$A$2:$D$2794,2,FALSE)),"Código não cadastrado",(VLOOKUP(H:H,produtos_escape2!$A$2:$D$2794,4,FALSE))))</f>
        <v>AMP</v>
      </c>
      <c r="N581" s="486">
        <v>1000</v>
      </c>
      <c r="O581" s="176" t="s">
        <v>7371</v>
      </c>
      <c r="P581" s="486">
        <v>1000</v>
      </c>
      <c r="Q581" s="247">
        <v>0.25</v>
      </c>
      <c r="R581" s="246">
        <f t="shared" si="19"/>
        <v>250</v>
      </c>
      <c r="S581" s="177">
        <v>43987</v>
      </c>
      <c r="T581" s="182">
        <v>339329</v>
      </c>
      <c r="U581" s="177">
        <v>43987</v>
      </c>
      <c r="V581" s="177">
        <v>43987</v>
      </c>
      <c r="W581" s="177">
        <v>43992</v>
      </c>
      <c r="X581" s="176">
        <v>30091</v>
      </c>
      <c r="Y581" s="177">
        <v>44007</v>
      </c>
      <c r="Z581" s="415">
        <v>3</v>
      </c>
      <c r="AA581" s="488"/>
      <c r="AB581" s="594"/>
      <c r="AC581" s="595"/>
      <c r="AD581" s="596" t="str">
        <f>IF(AND(AC581&lt;&gt;"",S581&lt;&gt;""),NETWORKDAYS(AC581,S581,#REF!),"")</f>
        <v/>
      </c>
      <c r="AE581" s="596" t="str">
        <f ca="1">IF(AND(AD581="",AC581=""),"",IF(OR(AD581&lt;&gt;"",O581="*CANCELADO"),"",NETWORKDAYS(AC581,TODAY(),#REF!)))</f>
        <v/>
      </c>
      <c r="AF581" s="597" t="str">
        <f>IFERROR(INDEX(produtos_escape2!M:M,MATCH(Controle!H581,produtos_escape2!A:A,0)),"")</f>
        <v xml:space="preserve"> CLORETO DE POTASSIO SOLUCAO INJETAVEL 10 % (1</v>
      </c>
    </row>
    <row r="582" spans="1:32" ht="14.25" customHeight="1">
      <c r="A582" s="176" t="s">
        <v>8244</v>
      </c>
      <c r="B582" s="176" t="s">
        <v>3608</v>
      </c>
      <c r="C582" s="177">
        <v>43984</v>
      </c>
      <c r="D582" s="176" t="s">
        <v>8709</v>
      </c>
      <c r="E582" s="176" t="s">
        <v>1867</v>
      </c>
      <c r="F582" s="259" t="s">
        <v>8710</v>
      </c>
      <c r="G582" s="176">
        <v>1</v>
      </c>
      <c r="H582" s="178">
        <v>90220</v>
      </c>
      <c r="I582" s="592">
        <f t="shared" si="20"/>
        <v>7</v>
      </c>
      <c r="J582" s="178" t="s">
        <v>816</v>
      </c>
      <c r="K582" s="178" t="s">
        <v>816</v>
      </c>
      <c r="L582" s="275" t="str">
        <f>IF(H:H=0,"",IF(ISERROR(VLOOKUP(H:H,produtos_escape2!$A$2:$B$2794,2,FALSE)),"Código não cadastrado",(VLOOKUP(H:H,produtos_escape2!$A$2:$B$2794,2,FALSE))))</f>
        <v>ATRACURIO (BESILATO) SOLUCAO INJETAVEL 10 MG/ML AMPOLA 2,5 ML</v>
      </c>
      <c r="M582" s="593" t="str">
        <f>IF(H:H=0,"",IF(ISERROR(VLOOKUP(H:H,produtos_escape2!$A$2:$D$2794,2,FALSE)),"Código não cadastrado",(VLOOKUP(H:H,produtos_escape2!$A$2:$D$2794,4,FALSE))))</f>
        <v>AMP</v>
      </c>
      <c r="N582" s="486">
        <v>50</v>
      </c>
      <c r="O582" s="176" t="s">
        <v>1868</v>
      </c>
      <c r="P582" s="486"/>
      <c r="Q582" s="247"/>
      <c r="R582" s="246">
        <f t="shared" si="19"/>
        <v>0</v>
      </c>
      <c r="S582" s="177">
        <v>43990</v>
      </c>
      <c r="T582" s="182"/>
      <c r="U582" s="177"/>
      <c r="V582" s="177"/>
      <c r="W582" s="177"/>
      <c r="X582" s="176"/>
      <c r="Y582" s="177"/>
      <c r="Z582" s="415">
        <v>3</v>
      </c>
      <c r="AA582" s="488" t="s">
        <v>7474</v>
      </c>
      <c r="AB582" s="594"/>
      <c r="AC582" s="595"/>
      <c r="AD582" s="596" t="str">
        <f>IF(AND(AC582&lt;&gt;"",S582&lt;&gt;""),NETWORKDAYS(AC582,S582,#REF!),"")</f>
        <v/>
      </c>
      <c r="AE582" s="596" t="str">
        <f ca="1">IF(AND(AD582="",AC582=""),"",IF(OR(AD582&lt;&gt;"",O582="*CANCELADO"),"",NETWORKDAYS(AC582,TODAY(),#REF!)))</f>
        <v/>
      </c>
      <c r="AF582" s="597" t="str">
        <f>IFERROR(INDEX(produtos_escape2!M:M,MATCH(Controle!H582,produtos_escape2!A:A,0)),"")</f>
        <v>ATRACURIO (BESILATO) SOLUCAO INJETAVEL 10 MG/ML AMPOLA 2</v>
      </c>
    </row>
    <row r="583" spans="1:32" ht="14.25" customHeight="1">
      <c r="A583" s="176" t="s">
        <v>8242</v>
      </c>
      <c r="B583" s="176" t="s">
        <v>3608</v>
      </c>
      <c r="C583" s="177">
        <v>43984</v>
      </c>
      <c r="D583" s="176" t="s">
        <v>8711</v>
      </c>
      <c r="E583" s="176" t="s">
        <v>1865</v>
      </c>
      <c r="F583" s="259" t="s">
        <v>8712</v>
      </c>
      <c r="G583" s="176">
        <v>1</v>
      </c>
      <c r="H583" s="178">
        <v>90106</v>
      </c>
      <c r="I583" s="592">
        <f t="shared" si="20"/>
        <v>4</v>
      </c>
      <c r="J583" s="178" t="s">
        <v>816</v>
      </c>
      <c r="K583" s="178" t="s">
        <v>816</v>
      </c>
      <c r="L583" s="275" t="str">
        <f>IF(H:H=0,"",IF(ISERROR(VLOOKUP(H:H,produtos_escape2!$A$2:$B$2794,2,FALSE)),"Código não cadastrado",(VLOOKUP(H:H,produtos_escape2!$A$2:$B$2794,2,FALSE))))</f>
        <v>AZITROMICINA COMPRIMIDO 500 MG</v>
      </c>
      <c r="M583" s="593" t="str">
        <f>IF(H:H=0,"",IF(ISERROR(VLOOKUP(H:H,produtos_escape2!$A$2:$D$2794,2,FALSE)),"Código não cadastrado",(VLOOKUP(H:H,produtos_escape2!$A$2:$D$2794,4,FALSE))))</f>
        <v>CP</v>
      </c>
      <c r="N583" s="486">
        <v>1000</v>
      </c>
      <c r="O583" s="176" t="s">
        <v>7457</v>
      </c>
      <c r="P583" s="486">
        <v>980</v>
      </c>
      <c r="Q583" s="247">
        <v>1.99</v>
      </c>
      <c r="R583" s="246">
        <f t="shared" si="19"/>
        <v>1950.2</v>
      </c>
      <c r="S583" s="177">
        <v>43985</v>
      </c>
      <c r="T583" s="182" t="s">
        <v>8888</v>
      </c>
      <c r="U583" s="177">
        <v>43987</v>
      </c>
      <c r="V583" s="177">
        <v>43987</v>
      </c>
      <c r="W583" s="177">
        <v>43992</v>
      </c>
      <c r="X583" s="176">
        <v>30711</v>
      </c>
      <c r="Y583" s="177">
        <v>44007</v>
      </c>
      <c r="Z583" s="415">
        <v>3</v>
      </c>
      <c r="AA583" s="488"/>
      <c r="AB583" s="594"/>
      <c r="AC583" s="595"/>
      <c r="AD583" s="596" t="str">
        <f>IF(AND(AC583&lt;&gt;"",S583&lt;&gt;""),NETWORKDAYS(AC583,S583,#REF!),"")</f>
        <v/>
      </c>
      <c r="AE583" s="596" t="str">
        <f ca="1">IF(AND(AD583="",AC583=""),"",IF(OR(AD583&lt;&gt;"",O583="*CANCELADO"),"",NETWORKDAYS(AC583,TODAY(),#REF!)))</f>
        <v/>
      </c>
      <c r="AF583" s="597" t="str">
        <f>IFERROR(INDEX(produtos_escape2!M:M,MATCH(Controle!H583,produtos_escape2!A:A,0)),"")</f>
        <v>AZITROMICINA COMPRIMIDO 500 MG</v>
      </c>
    </row>
    <row r="584" spans="1:32" ht="14.25" customHeight="1">
      <c r="A584" s="176" t="s">
        <v>8238</v>
      </c>
      <c r="B584" s="176" t="s">
        <v>3608</v>
      </c>
      <c r="C584" s="177">
        <v>43984</v>
      </c>
      <c r="D584" s="176" t="s">
        <v>8713</v>
      </c>
      <c r="E584" s="176" t="s">
        <v>1866</v>
      </c>
      <c r="F584" s="259" t="s">
        <v>8714</v>
      </c>
      <c r="G584" s="176">
        <v>1</v>
      </c>
      <c r="H584" s="178">
        <v>90458</v>
      </c>
      <c r="I584" s="592">
        <f t="shared" si="20"/>
        <v>7</v>
      </c>
      <c r="J584" s="178" t="s">
        <v>816</v>
      </c>
      <c r="K584" s="178" t="s">
        <v>816</v>
      </c>
      <c r="L584" s="275" t="str">
        <f>IF(H:H=0,"",IF(ISERROR(VLOOKUP(H:H,produtos_escape2!$A$2:$B$2794,2,FALSE)),"Código não cadastrado",(VLOOKUP(H:H,produtos_escape2!$A$2:$B$2794,2,FALSE))))</f>
        <v>ROCURÔNIO SOLUÇÃO INJETÁVEL 10 MG/ML FRASCO AMPOLA 5ML</v>
      </c>
      <c r="M584" s="593" t="str">
        <f>IF(H:H=0,"",IF(ISERROR(VLOOKUP(H:H,produtos_escape2!$A$2:$D$2794,2,FALSE)),"Código não cadastrado",(VLOOKUP(H:H,produtos_escape2!$A$2:$D$2794,4,FALSE))))</f>
        <v>FA</v>
      </c>
      <c r="N584" s="486">
        <v>300</v>
      </c>
      <c r="O584" s="176" t="s">
        <v>1868</v>
      </c>
      <c r="P584" s="486"/>
      <c r="Q584" s="247"/>
      <c r="R584" s="246">
        <f t="shared" si="19"/>
        <v>0</v>
      </c>
      <c r="S584" s="177">
        <v>43990</v>
      </c>
      <c r="T584" s="182"/>
      <c r="U584" s="177"/>
      <c r="V584" s="177"/>
      <c r="W584" s="177"/>
      <c r="X584" s="176"/>
      <c r="Y584" s="177"/>
      <c r="Z584" s="415">
        <v>3</v>
      </c>
      <c r="AA584" s="488" t="s">
        <v>7474</v>
      </c>
      <c r="AB584" s="594"/>
      <c r="AC584" s="595"/>
      <c r="AD584" s="596" t="str">
        <f>IF(AND(AC584&lt;&gt;"",S584&lt;&gt;""),NETWORKDAYS(AC584,S584,#REF!),"")</f>
        <v/>
      </c>
      <c r="AE584" s="596" t="str">
        <f ca="1">IF(AND(AD584="",AC584=""),"",IF(OR(AD584&lt;&gt;"",O584="*CANCELADO"),"",NETWORKDAYS(AC584,TODAY(),#REF!)))</f>
        <v/>
      </c>
      <c r="AF584" s="597" t="str">
        <f>IFERROR(INDEX(produtos_escape2!M:M,MATCH(Controle!H584,produtos_escape2!A:A,0)),"")</f>
        <v>ROCURÔNIO SOLUÇÃO INJETÁVEL 10 MG/ML FRASCO AMPOLA 5ML</v>
      </c>
    </row>
    <row r="585" spans="1:32" ht="14.25" customHeight="1">
      <c r="A585" s="176" t="s">
        <v>8236</v>
      </c>
      <c r="B585" s="176" t="s">
        <v>3608</v>
      </c>
      <c r="C585" s="177">
        <v>43984</v>
      </c>
      <c r="D585" s="176" t="s">
        <v>8715</v>
      </c>
      <c r="E585" s="176" t="s">
        <v>3009</v>
      </c>
      <c r="F585" s="259" t="s">
        <v>8716</v>
      </c>
      <c r="G585" s="176">
        <v>1</v>
      </c>
      <c r="H585" s="178">
        <v>90032</v>
      </c>
      <c r="I585" s="592">
        <f t="shared" si="20"/>
        <v>11</v>
      </c>
      <c r="J585" s="178" t="s">
        <v>816</v>
      </c>
      <c r="K585" s="178" t="s">
        <v>816</v>
      </c>
      <c r="L585" s="275" t="str">
        <f>IF(H:H=0,"",IF(ISERROR(VLOOKUP(H:H,produtos_escape2!$A$2:$B$2794,2,FALSE)),"Código não cadastrado",(VLOOKUP(H:H,produtos_escape2!$A$2:$B$2794,2,FALSE))))</f>
        <v>CISATRACURIO (BESILATO) SOLUCAO INJETAVEL 2 MG/ML AMPOLA 5 ML</v>
      </c>
      <c r="M585" s="593" t="str">
        <f>IF(H:H=0,"",IF(ISERROR(VLOOKUP(H:H,produtos_escape2!$A$2:$D$2794,2,FALSE)),"Código não cadastrado",(VLOOKUP(H:H,produtos_escape2!$A$2:$D$2794,4,FALSE))))</f>
        <v>AMP</v>
      </c>
      <c r="N585" s="486">
        <v>400</v>
      </c>
      <c r="O585" s="176" t="s">
        <v>1868</v>
      </c>
      <c r="P585" s="486"/>
      <c r="Q585" s="247"/>
      <c r="R585" s="246">
        <f t="shared" si="19"/>
        <v>0</v>
      </c>
      <c r="S585" s="177">
        <v>43990</v>
      </c>
      <c r="T585" s="182"/>
      <c r="U585" s="177"/>
      <c r="V585" s="177"/>
      <c r="W585" s="177"/>
      <c r="X585" s="176"/>
      <c r="Y585" s="177"/>
      <c r="Z585" s="415">
        <v>3</v>
      </c>
      <c r="AA585" s="488" t="s">
        <v>7474</v>
      </c>
      <c r="AB585" s="594"/>
      <c r="AC585" s="595"/>
      <c r="AD585" s="596" t="str">
        <f>IF(AND(AC585&lt;&gt;"",S585&lt;&gt;""),NETWORKDAYS(AC585,S585,#REF!),"")</f>
        <v/>
      </c>
      <c r="AE585" s="596" t="str">
        <f ca="1">IF(AND(AD585="",AC585=""),"",IF(OR(AD585&lt;&gt;"",O585="*CANCELADO"),"",NETWORKDAYS(AC585,TODAY(),#REF!)))</f>
        <v/>
      </c>
      <c r="AF585" s="597" t="str">
        <f>IFERROR(INDEX(produtos_escape2!M:M,MATCH(Controle!H585,produtos_escape2!A:A,0)),"")</f>
        <v>CISATRACURIO (BESILATO) SOLUCAO INJETAVEL 2 MG/ML AMPOLA 5 ML</v>
      </c>
    </row>
    <row r="586" spans="1:32" ht="14.25" customHeight="1">
      <c r="A586" s="176" t="s">
        <v>8234</v>
      </c>
      <c r="B586" s="176" t="s">
        <v>3608</v>
      </c>
      <c r="C586" s="177">
        <v>43984</v>
      </c>
      <c r="D586" s="176" t="s">
        <v>8717</v>
      </c>
      <c r="E586" s="176" t="s">
        <v>1867</v>
      </c>
      <c r="F586" s="259" t="s">
        <v>8718</v>
      </c>
      <c r="G586" s="176">
        <v>1</v>
      </c>
      <c r="H586" s="178">
        <v>90888</v>
      </c>
      <c r="I586" s="592">
        <f t="shared" si="20"/>
        <v>4</v>
      </c>
      <c r="J586" s="178" t="s">
        <v>816</v>
      </c>
      <c r="K586" s="178" t="s">
        <v>816</v>
      </c>
      <c r="L586" s="275" t="str">
        <f>IF(H:H=0,"",IF(ISERROR(VLOOKUP(H:H,produtos_escape2!$A$2:$B$2794,2,FALSE)),"Código não cadastrado",(VLOOKUP(H:H,produtos_escape2!$A$2:$B$2794,2,FALSE))))</f>
        <v>CEFTAZIDIMA PO PARA SOLUCAO INJETAVEL 1 G FRASCO AMPOLA</v>
      </c>
      <c r="M586" s="593" t="str">
        <f>IF(H:H=0,"",IF(ISERROR(VLOOKUP(H:H,produtos_escape2!$A$2:$D$2794,2,FALSE)),"Código não cadastrado",(VLOOKUP(H:H,produtos_escape2!$A$2:$D$2794,4,FALSE))))</f>
        <v>FA</v>
      </c>
      <c r="N586" s="486">
        <v>300</v>
      </c>
      <c r="O586" s="176" t="s">
        <v>8695</v>
      </c>
      <c r="P586" s="486">
        <v>300</v>
      </c>
      <c r="Q586" s="247">
        <v>39.979999999999997</v>
      </c>
      <c r="R586" s="246">
        <f t="shared" si="19"/>
        <v>11993.999999999998</v>
      </c>
      <c r="S586" s="177">
        <v>43987</v>
      </c>
      <c r="T586" s="182">
        <v>27936</v>
      </c>
      <c r="U586" s="177">
        <v>43990</v>
      </c>
      <c r="V586" s="177">
        <v>43999</v>
      </c>
      <c r="W586" s="177">
        <v>44000</v>
      </c>
      <c r="X586" s="176">
        <v>32324</v>
      </c>
      <c r="Y586" s="177">
        <v>44011</v>
      </c>
      <c r="Z586" s="415">
        <v>3</v>
      </c>
      <c r="AA586" s="488"/>
      <c r="AB586" s="594"/>
      <c r="AC586" s="595"/>
      <c r="AD586" s="596" t="str">
        <f>IF(AND(AC586&lt;&gt;"",S586&lt;&gt;""),NETWORKDAYS(AC586,S586,#REF!),"")</f>
        <v/>
      </c>
      <c r="AE586" s="596" t="str">
        <f ca="1">IF(AND(AD586="",AC586=""),"",IF(OR(AD586&lt;&gt;"",O586="*CANCELADO"),"",NETWORKDAYS(AC586,TODAY(),#REF!)))</f>
        <v/>
      </c>
      <c r="AF586" s="597" t="str">
        <f>IFERROR(INDEX(produtos_escape2!M:M,MATCH(Controle!H586,produtos_escape2!A:A,0)),"")</f>
        <v>CEFTAZIDIMA PO PARA SOLUCAO INJETAVEL 1 G FRASCO AMPOLA</v>
      </c>
    </row>
    <row r="587" spans="1:32" ht="14.25" customHeight="1">
      <c r="A587" s="176" t="s">
        <v>8232</v>
      </c>
      <c r="B587" s="176" t="s">
        <v>3608</v>
      </c>
      <c r="C587" s="177">
        <v>43984</v>
      </c>
      <c r="D587" s="176" t="s">
        <v>8719</v>
      </c>
      <c r="E587" s="176" t="s">
        <v>1866</v>
      </c>
      <c r="F587" s="259" t="s">
        <v>8720</v>
      </c>
      <c r="G587" s="176">
        <v>1</v>
      </c>
      <c r="H587" s="178">
        <v>90126</v>
      </c>
      <c r="I587" s="592">
        <f t="shared" si="20"/>
        <v>4</v>
      </c>
      <c r="J587" s="178" t="s">
        <v>816</v>
      </c>
      <c r="K587" s="178" t="s">
        <v>816</v>
      </c>
      <c r="L587" s="275" t="str">
        <f>IF(H:H=0,"",IF(ISERROR(VLOOKUP(H:H,produtos_escape2!$A$2:$B$2794,2,FALSE)),"Código não cadastrado",(VLOOKUP(H:H,produtos_escape2!$A$2:$B$2794,2,FALSE))))</f>
        <v>HALOPERIDOL SOLUCAO INJETAVEL 5 MG/ML AMPOLA 1 ML</v>
      </c>
      <c r="M587" s="593" t="str">
        <f>IF(H:H=0,"",IF(ISERROR(VLOOKUP(H:H,produtos_escape2!$A$2:$D$2794,2,FALSE)),"Código não cadastrado",(VLOOKUP(H:H,produtos_escape2!$A$2:$D$2794,4,FALSE))))</f>
        <v>AMP</v>
      </c>
      <c r="N587" s="486">
        <v>200</v>
      </c>
      <c r="O587" s="176" t="s">
        <v>7371</v>
      </c>
      <c r="P587" s="486">
        <v>200</v>
      </c>
      <c r="Q587" s="247">
        <v>1.5720000000000001</v>
      </c>
      <c r="R587" s="246">
        <f t="shared" si="19"/>
        <v>314.40000000000003</v>
      </c>
      <c r="S587" s="177">
        <v>43987</v>
      </c>
      <c r="T587" s="182">
        <v>339328</v>
      </c>
      <c r="U587" s="177">
        <v>43987</v>
      </c>
      <c r="V587" s="177">
        <v>43987</v>
      </c>
      <c r="W587" s="177">
        <v>43992</v>
      </c>
      <c r="X587" s="176">
        <v>30121</v>
      </c>
      <c r="Y587" s="177">
        <v>44007</v>
      </c>
      <c r="Z587" s="415">
        <v>3</v>
      </c>
      <c r="AA587" s="488"/>
      <c r="AB587" s="594"/>
      <c r="AC587" s="595"/>
      <c r="AD587" s="596" t="str">
        <f>IF(AND(AC587&lt;&gt;"",S587&lt;&gt;""),NETWORKDAYS(AC587,S587,#REF!),"")</f>
        <v/>
      </c>
      <c r="AE587" s="596" t="str">
        <f ca="1">IF(AND(AD587="",AC587=""),"",IF(OR(AD587&lt;&gt;"",O587="*CANCELADO"),"",NETWORKDAYS(AC587,TODAY(),#REF!)))</f>
        <v/>
      </c>
      <c r="AF587" s="597" t="str">
        <f>IFERROR(INDEX(produtos_escape2!M:M,MATCH(Controle!H587,produtos_escape2!A:A,0)),"")</f>
        <v>HALOPERIDOL SOLUCAO INJETAVEL 5 MG/ML AMPOLA 1 ML</v>
      </c>
    </row>
    <row r="588" spans="1:32" ht="14.25" customHeight="1">
      <c r="A588" s="176" t="s">
        <v>8305</v>
      </c>
      <c r="B588" s="176" t="s">
        <v>3608</v>
      </c>
      <c r="C588" s="177">
        <v>43984</v>
      </c>
      <c r="D588" s="176" t="s">
        <v>8721</v>
      </c>
      <c r="E588" s="176" t="s">
        <v>1867</v>
      </c>
      <c r="F588" s="259" t="s">
        <v>8722</v>
      </c>
      <c r="G588" s="176">
        <v>1</v>
      </c>
      <c r="H588" s="178">
        <v>95617</v>
      </c>
      <c r="I588" s="592">
        <f t="shared" si="20"/>
        <v>2</v>
      </c>
      <c r="J588" s="178" t="s">
        <v>816</v>
      </c>
      <c r="K588" s="178" t="s">
        <v>816</v>
      </c>
      <c r="L588" s="275" t="str">
        <f>IF(H:H=0,"",IF(ISERROR(VLOOKUP(H:H,produtos_escape2!$A$2:$B$2794,2,FALSE)),"Código não cadastrado",(VLOOKUP(H:H,produtos_escape2!$A$2:$B$2794,2,FALSE))))</f>
        <v>TUBO PORTA-LAMINAS EM POLIPROP.C/FECH.HERMET. CAP.3 LAMINAS</v>
      </c>
      <c r="M588" s="593" t="str">
        <f>IF(H:H=0,"",IF(ISERROR(VLOOKUP(H:H,produtos_escape2!$A$2:$D$2794,2,FALSE)),"Código não cadastrado",(VLOOKUP(H:H,produtos_escape2!$A$2:$D$2794,4,FALSE))))</f>
        <v>UN</v>
      </c>
      <c r="N588" s="486">
        <v>2000</v>
      </c>
      <c r="O588" s="176" t="s">
        <v>7371</v>
      </c>
      <c r="P588" s="486">
        <v>2000</v>
      </c>
      <c r="Q588" s="247">
        <v>0.254</v>
      </c>
      <c r="R588" s="246">
        <f t="shared" si="19"/>
        <v>508</v>
      </c>
      <c r="S588" s="177">
        <v>43985</v>
      </c>
      <c r="T588" s="182">
        <v>338988</v>
      </c>
      <c r="U588" s="177">
        <v>43986</v>
      </c>
      <c r="V588" s="177">
        <v>43986</v>
      </c>
      <c r="W588" s="177">
        <v>43992</v>
      </c>
      <c r="X588" s="176">
        <v>30388</v>
      </c>
      <c r="Y588" s="177">
        <v>44007</v>
      </c>
      <c r="Z588" s="415">
        <v>3</v>
      </c>
      <c r="AA588" s="488"/>
      <c r="AB588" s="594"/>
      <c r="AC588" s="595"/>
      <c r="AD588" s="596" t="str">
        <f>IF(AND(AC588&lt;&gt;"",S588&lt;&gt;""),NETWORKDAYS(AC588,S588,#REF!),"")</f>
        <v/>
      </c>
      <c r="AE588" s="596" t="str">
        <f ca="1">IF(AND(AD588="",AC588=""),"",IF(OR(AD588&lt;&gt;"",O588="*CANCELADO"),"",NETWORKDAYS(AC588,TODAY(),#REF!)))</f>
        <v/>
      </c>
      <c r="AF588" s="597" t="str">
        <f>IFERROR(INDEX(produtos_escape2!M:M,MATCH(Controle!H588,produtos_escape2!A:A,0)),"")</f>
        <v>TUBO PORTA-LAMINAS EM POLIPROP</v>
      </c>
    </row>
    <row r="589" spans="1:32" ht="14.25" customHeight="1">
      <c r="A589" s="176" t="s">
        <v>8303</v>
      </c>
      <c r="B589" s="176" t="s">
        <v>3608</v>
      </c>
      <c r="C589" s="177">
        <v>43984</v>
      </c>
      <c r="D589" s="176" t="s">
        <v>8723</v>
      </c>
      <c r="E589" s="176" t="s">
        <v>1865</v>
      </c>
      <c r="F589" s="259" t="s">
        <v>8724</v>
      </c>
      <c r="G589" s="176">
        <v>1</v>
      </c>
      <c r="H589" s="178">
        <v>90153</v>
      </c>
      <c r="I589" s="592">
        <f t="shared" si="20"/>
        <v>2</v>
      </c>
      <c r="J589" s="178" t="s">
        <v>816</v>
      </c>
      <c r="K589" s="178" t="s">
        <v>816</v>
      </c>
      <c r="L589" s="275" t="str">
        <f>IF(H:H=0,"",IF(ISERROR(VLOOKUP(H:H,produtos_escape2!$A$2:$B$2794,2,FALSE)),"Código não cadastrado",(VLOOKUP(H:H,produtos_escape2!$A$2:$B$2794,2,FALSE))))</f>
        <v>EFEDRINA (SULFATO) SOLUCAO INJETAVEL 50 MG/ML AMPOLA 1 ML</v>
      </c>
      <c r="M589" s="593" t="str">
        <f>IF(H:H=0,"",IF(ISERROR(VLOOKUP(H:H,produtos_escape2!$A$2:$D$2794,2,FALSE)),"Código não cadastrado",(VLOOKUP(H:H,produtos_escape2!$A$2:$D$2794,4,FALSE))))</f>
        <v>AMP</v>
      </c>
      <c r="N589" s="486">
        <v>300</v>
      </c>
      <c r="O589" s="176" t="s">
        <v>2989</v>
      </c>
      <c r="P589" s="486">
        <v>300</v>
      </c>
      <c r="Q589" s="247">
        <v>2.5499999999999998</v>
      </c>
      <c r="R589" s="246">
        <f t="shared" si="19"/>
        <v>765</v>
      </c>
      <c r="S589" s="177">
        <v>43985</v>
      </c>
      <c r="T589" s="182">
        <v>121344</v>
      </c>
      <c r="U589" s="177">
        <v>43987</v>
      </c>
      <c r="V589" s="177">
        <v>43988</v>
      </c>
      <c r="W589" s="177">
        <v>43992</v>
      </c>
      <c r="X589" s="176">
        <v>30501</v>
      </c>
      <c r="Y589" s="177">
        <v>44007</v>
      </c>
      <c r="Z589" s="415">
        <v>3</v>
      </c>
      <c r="AA589" s="488"/>
      <c r="AB589" s="594"/>
      <c r="AC589" s="595"/>
      <c r="AD589" s="596" t="str">
        <f>IF(AND(AC589&lt;&gt;"",S589&lt;&gt;""),NETWORKDAYS(AC589,S589,#REF!),"")</f>
        <v/>
      </c>
      <c r="AE589" s="596" t="str">
        <f ca="1">IF(AND(AD589="",AC589=""),"",IF(OR(AD589&lt;&gt;"",O589="*CANCELADO"),"",NETWORKDAYS(AC589,TODAY(),#REF!)))</f>
        <v/>
      </c>
      <c r="AF589" s="597" t="str">
        <f>IFERROR(INDEX(produtos_escape2!M:M,MATCH(Controle!H589,produtos_escape2!A:A,0)),"")</f>
        <v>EFEDRINA (SULFATO) SOLUCAO INJETAVEL 50 MG/ML AMPOLA 1 ML</v>
      </c>
    </row>
    <row r="590" spans="1:32" ht="14.25" customHeight="1">
      <c r="A590" s="176" t="s">
        <v>8301</v>
      </c>
      <c r="B590" s="176" t="s">
        <v>3608</v>
      </c>
      <c r="C590" s="177">
        <v>43984</v>
      </c>
      <c r="D590" s="176" t="s">
        <v>8725</v>
      </c>
      <c r="E590" s="176" t="s">
        <v>1866</v>
      </c>
      <c r="F590" s="259" t="s">
        <v>8726</v>
      </c>
      <c r="G590" s="176">
        <v>1</v>
      </c>
      <c r="H590" s="178">
        <v>5312</v>
      </c>
      <c r="I590" s="592">
        <f t="shared" si="20"/>
        <v>3</v>
      </c>
      <c r="J590" s="178" t="s">
        <v>816</v>
      </c>
      <c r="K590" s="178" t="s">
        <v>816</v>
      </c>
      <c r="L590" s="275" t="str">
        <f>IF(H:H=0,"",IF(ISERROR(VLOOKUP(H:H,produtos_escape2!$A$2:$B$2794,2,FALSE)),"Código não cadastrado",(VLOOKUP(H:H,produtos_escape2!$A$2:$B$2794,2,FALSE))))</f>
        <v>GABAPENTINA CAPSULA 300MG</v>
      </c>
      <c r="M590" s="593" t="str">
        <f>IF(H:H=0,"",IF(ISERROR(VLOOKUP(H:H,produtos_escape2!$A$2:$D$2794,2,FALSE)),"Código não cadastrado",(VLOOKUP(H:H,produtos_escape2!$A$2:$D$2794,4,FALSE))))</f>
        <v>CS</v>
      </c>
      <c r="N590" s="486">
        <v>300</v>
      </c>
      <c r="O590" s="176" t="s">
        <v>7472</v>
      </c>
      <c r="P590" s="486">
        <v>300</v>
      </c>
      <c r="Q590" s="247">
        <v>1.03</v>
      </c>
      <c r="R590" s="246">
        <f t="shared" si="19"/>
        <v>309</v>
      </c>
      <c r="S590" s="177">
        <v>43986</v>
      </c>
      <c r="T590" s="182">
        <v>23147</v>
      </c>
      <c r="U590" s="177">
        <v>43986</v>
      </c>
      <c r="V590" s="177">
        <v>43987</v>
      </c>
      <c r="W590" s="177">
        <v>43992</v>
      </c>
      <c r="X590" s="176">
        <v>30107</v>
      </c>
      <c r="Y590" s="177">
        <v>44007</v>
      </c>
      <c r="Z590" s="415">
        <v>3</v>
      </c>
      <c r="AA590" s="488"/>
      <c r="AB590" s="594"/>
      <c r="AC590" s="595"/>
      <c r="AD590" s="596" t="str">
        <f>IF(AND(AC590&lt;&gt;"",S590&lt;&gt;""),NETWORKDAYS(AC590,S590,#REF!),"")</f>
        <v/>
      </c>
      <c r="AE590" s="596" t="str">
        <f ca="1">IF(AND(AD590="",AC590=""),"",IF(OR(AD590&lt;&gt;"",O590="*CANCELADO"),"",NETWORKDAYS(AC590,TODAY(),#REF!)))</f>
        <v/>
      </c>
      <c r="AF590" s="597" t="str">
        <f>IFERROR(INDEX(produtos_escape2!M:M,MATCH(Controle!H590,produtos_escape2!A:A,0)),"")</f>
        <v>GABAPENTINA CAPSULA 300MG</v>
      </c>
    </row>
    <row r="591" spans="1:32" ht="14.25" customHeight="1">
      <c r="A591" s="176" t="s">
        <v>7255</v>
      </c>
      <c r="B591" s="176" t="s">
        <v>1739</v>
      </c>
      <c r="C591" s="177">
        <v>43985</v>
      </c>
      <c r="D591" s="176" t="s">
        <v>8759</v>
      </c>
      <c r="E591" s="176" t="s">
        <v>3008</v>
      </c>
      <c r="F591" s="259" t="s">
        <v>8760</v>
      </c>
      <c r="G591" s="176">
        <v>1</v>
      </c>
      <c r="H591" s="178" t="s">
        <v>8734</v>
      </c>
      <c r="I591" s="592">
        <f t="shared" si="20"/>
        <v>1</v>
      </c>
      <c r="J591" s="178"/>
      <c r="K591" s="178"/>
      <c r="L591" s="275" t="str">
        <f>IF(H:H=0,"",IF(ISERROR(VLOOKUP(H:H,produtos_escape2!$A$2:$B$2794,2,FALSE)),"Código não cadastrado",(VLOOKUP(H:H,produtos_escape2!$A$2:$B$2794,2,FALSE))))</f>
        <v>DETETIZAÇÃO E DESRATIZAÇÃO CONTROLE E EXTERMINIO DE PRAGA E VETORES UBS 1 Gama</v>
      </c>
      <c r="M591" s="593" t="str">
        <f>IF(H:H=0,"",IF(ISERROR(VLOOKUP(H:H,produtos_escape2!$A$2:$D$2794,2,FALSE)),"Código não cadastrado",(VLOOKUP(H:H,produtos_escape2!$A$2:$D$2794,4,FALSE))))</f>
        <v>Serviço</v>
      </c>
      <c r="N591" s="486">
        <v>1</v>
      </c>
      <c r="O591" s="176" t="s">
        <v>8394</v>
      </c>
      <c r="P591" s="486">
        <v>1</v>
      </c>
      <c r="Q591" s="247">
        <v>250</v>
      </c>
      <c r="R591" s="414">
        <f t="shared" si="19"/>
        <v>250</v>
      </c>
      <c r="S591" s="177">
        <v>43997</v>
      </c>
      <c r="T591" s="182">
        <v>7324</v>
      </c>
      <c r="U591" s="351">
        <v>44018</v>
      </c>
      <c r="V591" s="351">
        <v>44074</v>
      </c>
      <c r="W591" s="351">
        <v>44004</v>
      </c>
      <c r="X591" s="176">
        <v>3293</v>
      </c>
      <c r="Y591" s="177">
        <v>44032</v>
      </c>
      <c r="Z591" s="415">
        <v>4</v>
      </c>
      <c r="AA591" s="488"/>
      <c r="AB591" s="594"/>
      <c r="AC591" s="595"/>
      <c r="AD591" s="596" t="str">
        <f>IF(AND(AC591&lt;&gt;"",S591&lt;&gt;""),NETWORKDAYS(AC591,S591,#REF!),"")</f>
        <v/>
      </c>
      <c r="AE591" s="596" t="str">
        <f ca="1">IF(AND(AD591="",AC591=""),"",IF(OR(AD591&lt;&gt;"",O591="*CANCELADO"),"",NETWORKDAYS(AC591,TODAY(),#REF!)))</f>
        <v/>
      </c>
      <c r="AF591" s="597">
        <f>IFERROR(INDEX(produtos_escape2!M:M,MATCH(Controle!H591,produtos_escape2!A:A,0)),"")</f>
        <v>0</v>
      </c>
    </row>
    <row r="592" spans="1:32" ht="14.25" customHeight="1">
      <c r="A592" s="176" t="s">
        <v>7255</v>
      </c>
      <c r="B592" s="176" t="s">
        <v>1739</v>
      </c>
      <c r="C592" s="177">
        <v>43985</v>
      </c>
      <c r="D592" s="176" t="s">
        <v>8759</v>
      </c>
      <c r="E592" s="176" t="s">
        <v>3008</v>
      </c>
      <c r="F592" s="259" t="s">
        <v>8760</v>
      </c>
      <c r="G592" s="176">
        <v>2</v>
      </c>
      <c r="H592" s="178" t="s">
        <v>8735</v>
      </c>
      <c r="I592" s="592">
        <f t="shared" si="20"/>
        <v>1</v>
      </c>
      <c r="J592" s="178"/>
      <c r="K592" s="178"/>
      <c r="L592" s="275" t="str">
        <f>IF(H:H=0,"",IF(ISERROR(VLOOKUP(H:H,produtos_escape2!$A$2:$B$2794,2,FALSE)),"Código não cadastrado",(VLOOKUP(H:H,produtos_escape2!$A$2:$B$2794,2,FALSE))))</f>
        <v>DETETIZAÇÃO E DESRATIZAÇÃO CONTROLE E EXTERMINIO DE PRAGA E VETORES UBS 2 Gama</v>
      </c>
      <c r="M592" s="593" t="str">
        <f>IF(H:H=0,"",IF(ISERROR(VLOOKUP(H:H,produtos_escape2!$A$2:$D$2794,2,FALSE)),"Código não cadastrado",(VLOOKUP(H:H,produtos_escape2!$A$2:$D$2794,4,FALSE))))</f>
        <v>Serviço</v>
      </c>
      <c r="N592" s="486">
        <v>1</v>
      </c>
      <c r="O592" s="176" t="s">
        <v>8394</v>
      </c>
      <c r="P592" s="486">
        <v>1</v>
      </c>
      <c r="Q592" s="247">
        <v>250</v>
      </c>
      <c r="R592" s="414">
        <f t="shared" si="19"/>
        <v>250</v>
      </c>
      <c r="S592" s="177">
        <v>43998</v>
      </c>
      <c r="T592" s="182">
        <v>7324</v>
      </c>
      <c r="U592" s="351">
        <v>44018</v>
      </c>
      <c r="V592" s="351">
        <v>44074</v>
      </c>
      <c r="W592" s="351">
        <v>44004</v>
      </c>
      <c r="X592" s="176">
        <v>3293</v>
      </c>
      <c r="Y592" s="177">
        <v>44032</v>
      </c>
      <c r="Z592" s="415">
        <v>4</v>
      </c>
      <c r="AA592" s="488"/>
      <c r="AB592" s="594"/>
      <c r="AC592" s="595"/>
      <c r="AD592" s="596" t="str">
        <f>IF(AND(AC592&lt;&gt;"",S592&lt;&gt;""),NETWORKDAYS(AC592,S592,#REF!),"")</f>
        <v/>
      </c>
      <c r="AE592" s="596" t="str">
        <f ca="1">IF(AND(AD592="",AC592=""),"",IF(OR(AD592&lt;&gt;"",O592="*CANCELADO"),"",NETWORKDAYS(AC592,TODAY(),#REF!)))</f>
        <v/>
      </c>
      <c r="AF592" s="597">
        <f>IFERROR(INDEX(produtos_escape2!M:M,MATCH(Controle!H592,produtos_escape2!A:A,0)),"")</f>
        <v>0</v>
      </c>
    </row>
    <row r="593" spans="1:32" ht="14.25" customHeight="1">
      <c r="A593" s="176" t="s">
        <v>7255</v>
      </c>
      <c r="B593" s="176" t="s">
        <v>1739</v>
      </c>
      <c r="C593" s="177">
        <v>43985</v>
      </c>
      <c r="D593" s="176" t="s">
        <v>8759</v>
      </c>
      <c r="E593" s="176" t="s">
        <v>3008</v>
      </c>
      <c r="F593" s="259" t="s">
        <v>8760</v>
      </c>
      <c r="G593" s="176">
        <v>3</v>
      </c>
      <c r="H593" s="178" t="s">
        <v>8736</v>
      </c>
      <c r="I593" s="592">
        <f t="shared" si="20"/>
        <v>1</v>
      </c>
      <c r="J593" s="178"/>
      <c r="K593" s="178"/>
      <c r="L593" s="275" t="str">
        <f>IF(H:H=0,"",IF(ISERROR(VLOOKUP(H:H,produtos_escape2!$A$2:$B$2794,2,FALSE)),"Código não cadastrado",(VLOOKUP(H:H,produtos_escape2!$A$2:$B$2794,2,FALSE))))</f>
        <v>DETETIZAÇÃO E DESRATIZAÇÃO CONTROLE E EXTERMINIO DE PRAGA E VETORES UBS 3 Gama</v>
      </c>
      <c r="M593" s="593" t="str">
        <f>IF(H:H=0,"",IF(ISERROR(VLOOKUP(H:H,produtos_escape2!$A$2:$D$2794,2,FALSE)),"Código não cadastrado",(VLOOKUP(H:H,produtos_escape2!$A$2:$D$2794,4,FALSE))))</f>
        <v>Serviço</v>
      </c>
      <c r="N593" s="486">
        <v>1</v>
      </c>
      <c r="O593" s="176" t="s">
        <v>8394</v>
      </c>
      <c r="P593" s="486">
        <v>1</v>
      </c>
      <c r="Q593" s="247">
        <v>250</v>
      </c>
      <c r="R593" s="414">
        <f t="shared" si="19"/>
        <v>250</v>
      </c>
      <c r="S593" s="177">
        <v>43999</v>
      </c>
      <c r="T593" s="182">
        <v>7324</v>
      </c>
      <c r="U593" s="351">
        <v>44018</v>
      </c>
      <c r="V593" s="351">
        <v>44074</v>
      </c>
      <c r="W593" s="351">
        <v>44004</v>
      </c>
      <c r="X593" s="176">
        <v>3293</v>
      </c>
      <c r="Y593" s="177">
        <v>44032</v>
      </c>
      <c r="Z593" s="415">
        <v>4</v>
      </c>
      <c r="AA593" s="488"/>
      <c r="AB593" s="594"/>
      <c r="AC593" s="595"/>
      <c r="AD593" s="596" t="str">
        <f>IF(AND(AC593&lt;&gt;"",S593&lt;&gt;""),NETWORKDAYS(AC593,S593,#REF!),"")</f>
        <v/>
      </c>
      <c r="AE593" s="596" t="str">
        <f ca="1">IF(AND(AD593="",AC593=""),"",IF(OR(AD593&lt;&gt;"",O593="*CANCELADO"),"",NETWORKDAYS(AC593,TODAY(),#REF!)))</f>
        <v/>
      </c>
      <c r="AF593" s="597">
        <f>IFERROR(INDEX(produtos_escape2!M:M,MATCH(Controle!H593,produtos_escape2!A:A,0)),"")</f>
        <v>0</v>
      </c>
    </row>
    <row r="594" spans="1:32" ht="14.25" customHeight="1">
      <c r="A594" s="176" t="s">
        <v>7255</v>
      </c>
      <c r="B594" s="176" t="s">
        <v>1739</v>
      </c>
      <c r="C594" s="177">
        <v>43985</v>
      </c>
      <c r="D594" s="176" t="s">
        <v>8759</v>
      </c>
      <c r="E594" s="176" t="s">
        <v>3008</v>
      </c>
      <c r="F594" s="259" t="s">
        <v>8760</v>
      </c>
      <c r="G594" s="176">
        <v>4</v>
      </c>
      <c r="H594" s="178" t="s">
        <v>8737</v>
      </c>
      <c r="I594" s="592">
        <f t="shared" si="20"/>
        <v>1</v>
      </c>
      <c r="J594" s="178"/>
      <c r="K594" s="178"/>
      <c r="L594" s="275" t="str">
        <f>IF(H:H=0,"",IF(ISERROR(VLOOKUP(H:H,produtos_escape2!$A$2:$B$2794,2,FALSE)),"Código não cadastrado",(VLOOKUP(H:H,produtos_escape2!$A$2:$B$2794,2,FALSE))))</f>
        <v>DETETIZAÇÃO E DESRATIZAÇÃO CONTROLE E EXTERMINIO DE PRAGA E VETORES UBS 4 Gama</v>
      </c>
      <c r="M594" s="593" t="str">
        <f>IF(H:H=0,"",IF(ISERROR(VLOOKUP(H:H,produtos_escape2!$A$2:$D$2794,2,FALSE)),"Código não cadastrado",(VLOOKUP(H:H,produtos_escape2!$A$2:$D$2794,4,FALSE))))</f>
        <v>Serviço</v>
      </c>
      <c r="N594" s="486">
        <v>1</v>
      </c>
      <c r="O594" s="176" t="s">
        <v>8394</v>
      </c>
      <c r="P594" s="486">
        <v>1</v>
      </c>
      <c r="Q594" s="247">
        <v>250</v>
      </c>
      <c r="R594" s="414">
        <f t="shared" si="19"/>
        <v>250</v>
      </c>
      <c r="S594" s="177">
        <v>44000</v>
      </c>
      <c r="T594" s="182">
        <v>7324</v>
      </c>
      <c r="U594" s="351">
        <v>44018</v>
      </c>
      <c r="V594" s="351">
        <v>44074</v>
      </c>
      <c r="W594" s="351">
        <v>44004</v>
      </c>
      <c r="X594" s="176">
        <v>3293</v>
      </c>
      <c r="Y594" s="177">
        <v>44032</v>
      </c>
      <c r="Z594" s="415">
        <v>4</v>
      </c>
      <c r="AA594" s="488"/>
      <c r="AB594" s="594"/>
      <c r="AC594" s="595"/>
      <c r="AD594" s="596" t="str">
        <f>IF(AND(AC594&lt;&gt;"",S594&lt;&gt;""),NETWORKDAYS(AC594,S594,#REF!),"")</f>
        <v/>
      </c>
      <c r="AE594" s="596" t="str">
        <f ca="1">IF(AND(AD594="",AC594=""),"",IF(OR(AD594&lt;&gt;"",O594="*CANCELADO"),"",NETWORKDAYS(AC594,TODAY(),#REF!)))</f>
        <v/>
      </c>
      <c r="AF594" s="597">
        <f>IFERROR(INDEX(produtos_escape2!M:M,MATCH(Controle!H594,produtos_escape2!A:A,0)),"")</f>
        <v>0</v>
      </c>
    </row>
    <row r="595" spans="1:32" ht="14.25" customHeight="1">
      <c r="A595" s="176" t="s">
        <v>7255</v>
      </c>
      <c r="B595" s="176" t="s">
        <v>1739</v>
      </c>
      <c r="C595" s="177">
        <v>43985</v>
      </c>
      <c r="D595" s="176" t="s">
        <v>8759</v>
      </c>
      <c r="E595" s="176" t="s">
        <v>3008</v>
      </c>
      <c r="F595" s="259" t="s">
        <v>8760</v>
      </c>
      <c r="G595" s="176">
        <v>5</v>
      </c>
      <c r="H595" s="178" t="s">
        <v>8738</v>
      </c>
      <c r="I595" s="592">
        <f t="shared" si="20"/>
        <v>1</v>
      </c>
      <c r="J595" s="178"/>
      <c r="K595" s="178"/>
      <c r="L595" s="275" t="str">
        <f>IF(H:H=0,"",IF(ISERROR(VLOOKUP(H:H,produtos_escape2!$A$2:$B$2794,2,FALSE)),"Código não cadastrado",(VLOOKUP(H:H,produtos_escape2!$A$2:$B$2794,2,FALSE))))</f>
        <v>DETETIZAÇÃO E DESRATIZAÇÃO CONTROLE E EXTERMINIO DE PRAGA E VETORES UBS 5 Gama</v>
      </c>
      <c r="M595" s="593" t="str">
        <f>IF(H:H=0,"",IF(ISERROR(VLOOKUP(H:H,produtos_escape2!$A$2:$D$2794,2,FALSE)),"Código não cadastrado",(VLOOKUP(H:H,produtos_escape2!$A$2:$D$2794,4,FALSE))))</f>
        <v>Serviço</v>
      </c>
      <c r="N595" s="486">
        <v>1</v>
      </c>
      <c r="O595" s="176" t="s">
        <v>8394</v>
      </c>
      <c r="P595" s="486">
        <v>1</v>
      </c>
      <c r="Q595" s="247">
        <v>250</v>
      </c>
      <c r="R595" s="414">
        <f t="shared" si="19"/>
        <v>250</v>
      </c>
      <c r="S595" s="177">
        <v>44001</v>
      </c>
      <c r="T595" s="182">
        <v>7324</v>
      </c>
      <c r="U595" s="351">
        <v>44018</v>
      </c>
      <c r="V595" s="351">
        <v>44074</v>
      </c>
      <c r="W595" s="351">
        <v>44004</v>
      </c>
      <c r="X595" s="176">
        <v>3293</v>
      </c>
      <c r="Y595" s="177">
        <v>44032</v>
      </c>
      <c r="Z595" s="415">
        <v>4</v>
      </c>
      <c r="AA595" s="488"/>
      <c r="AB595" s="594"/>
      <c r="AC595" s="595"/>
      <c r="AD595" s="596" t="str">
        <f>IF(AND(AC595&lt;&gt;"",S595&lt;&gt;""),NETWORKDAYS(AC595,S595,#REF!),"")</f>
        <v/>
      </c>
      <c r="AE595" s="596" t="str">
        <f ca="1">IF(AND(AD595="",AC595=""),"",IF(OR(AD595&lt;&gt;"",O595="*CANCELADO"),"",NETWORKDAYS(AC595,TODAY(),#REF!)))</f>
        <v/>
      </c>
      <c r="AF595" s="597">
        <f>IFERROR(INDEX(produtos_escape2!M:M,MATCH(Controle!H595,produtos_escape2!A:A,0)),"")</f>
        <v>0</v>
      </c>
    </row>
    <row r="596" spans="1:32" ht="14.25" customHeight="1">
      <c r="A596" s="176" t="s">
        <v>7255</v>
      </c>
      <c r="B596" s="176" t="s">
        <v>1739</v>
      </c>
      <c r="C596" s="177">
        <v>43985</v>
      </c>
      <c r="D596" s="176" t="s">
        <v>8759</v>
      </c>
      <c r="E596" s="176" t="s">
        <v>3008</v>
      </c>
      <c r="F596" s="259" t="s">
        <v>8760</v>
      </c>
      <c r="G596" s="176">
        <v>6</v>
      </c>
      <c r="H596" s="178" t="s">
        <v>8739</v>
      </c>
      <c r="I596" s="592">
        <f t="shared" si="20"/>
        <v>1</v>
      </c>
      <c r="J596" s="178"/>
      <c r="K596" s="178"/>
      <c r="L596" s="275" t="str">
        <f>IF(H:H=0,"",IF(ISERROR(VLOOKUP(H:H,produtos_escape2!$A$2:$B$2794,2,FALSE)),"Código não cadastrado",(VLOOKUP(H:H,produtos_escape2!$A$2:$B$2794,2,FALSE))))</f>
        <v>DETETIZAÇÃO E DESRATIZAÇÃO CONTROLE E EXTERMINIO DE PRAGA E VETORES UBS 6 Gama</v>
      </c>
      <c r="M596" s="593" t="str">
        <f>IF(H:H=0,"",IF(ISERROR(VLOOKUP(H:H,produtos_escape2!$A$2:$D$2794,2,FALSE)),"Código não cadastrado",(VLOOKUP(H:H,produtos_escape2!$A$2:$D$2794,4,FALSE))))</f>
        <v>Serviço</v>
      </c>
      <c r="N596" s="486">
        <v>1</v>
      </c>
      <c r="O596" s="176" t="s">
        <v>8897</v>
      </c>
      <c r="P596" s="486">
        <v>1</v>
      </c>
      <c r="Q596" s="247">
        <v>299</v>
      </c>
      <c r="R596" s="414">
        <f t="shared" si="19"/>
        <v>299</v>
      </c>
      <c r="S596" s="177">
        <v>44002</v>
      </c>
      <c r="T596" s="182">
        <v>2057</v>
      </c>
      <c r="U596" s="351">
        <v>44018</v>
      </c>
      <c r="V596" s="351">
        <v>44074</v>
      </c>
      <c r="W596" s="351">
        <v>44004</v>
      </c>
      <c r="X596" s="176">
        <v>3294</v>
      </c>
      <c r="Y596" s="177">
        <v>44075</v>
      </c>
      <c r="Z596" s="415">
        <v>5</v>
      </c>
      <c r="AA596" s="488"/>
      <c r="AB596" s="594"/>
      <c r="AC596" s="595"/>
      <c r="AD596" s="596" t="str">
        <f>IF(AND(AC596&lt;&gt;"",S596&lt;&gt;""),NETWORKDAYS(AC596,S596,#REF!),"")</f>
        <v/>
      </c>
      <c r="AE596" s="596" t="str">
        <f ca="1">IF(AND(AD596="",AC596=""),"",IF(OR(AD596&lt;&gt;"",O596="*CANCELADO"),"",NETWORKDAYS(AC596,TODAY(),#REF!)))</f>
        <v/>
      </c>
      <c r="AF596" s="597">
        <f>IFERROR(INDEX(produtos_escape2!M:M,MATCH(Controle!H596,produtos_escape2!A:A,0)),"")</f>
        <v>0</v>
      </c>
    </row>
    <row r="597" spans="1:32" ht="14.25" customHeight="1">
      <c r="A597" s="176" t="s">
        <v>7255</v>
      </c>
      <c r="B597" s="176" t="s">
        <v>1739</v>
      </c>
      <c r="C597" s="177">
        <v>43985</v>
      </c>
      <c r="D597" s="176" t="s">
        <v>8759</v>
      </c>
      <c r="E597" s="176" t="s">
        <v>3008</v>
      </c>
      <c r="F597" s="259" t="s">
        <v>8760</v>
      </c>
      <c r="G597" s="176">
        <v>7</v>
      </c>
      <c r="H597" s="178" t="s">
        <v>8740</v>
      </c>
      <c r="I597" s="592">
        <f t="shared" si="20"/>
        <v>1</v>
      </c>
      <c r="J597" s="178"/>
      <c r="K597" s="178"/>
      <c r="L597" s="275" t="str">
        <f>IF(H:H=0,"",IF(ISERROR(VLOOKUP(H:H,produtos_escape2!$A$2:$B$2794,2,FALSE)),"Código não cadastrado",(VLOOKUP(H:H,produtos_escape2!$A$2:$B$2794,2,FALSE))))</f>
        <v>DETETIZAÇÃO E DESRATIZAÇÃO CONTROLE E EXTERMINIO DE PRAGA E VETORES UBS 7 Gama</v>
      </c>
      <c r="M597" s="593" t="str">
        <f>IF(H:H=0,"",IF(ISERROR(VLOOKUP(H:H,produtos_escape2!$A$2:$D$2794,2,FALSE)),"Código não cadastrado",(VLOOKUP(H:H,produtos_escape2!$A$2:$D$2794,4,FALSE))))</f>
        <v>Serviço</v>
      </c>
      <c r="N597" s="486">
        <v>1</v>
      </c>
      <c r="O597" s="176" t="s">
        <v>8897</v>
      </c>
      <c r="P597" s="486">
        <v>1</v>
      </c>
      <c r="Q597" s="247">
        <v>299</v>
      </c>
      <c r="R597" s="246">
        <f t="shared" si="19"/>
        <v>299</v>
      </c>
      <c r="S597" s="177">
        <v>44003</v>
      </c>
      <c r="T597" s="182">
        <v>2057</v>
      </c>
      <c r="U597" s="351">
        <v>44018</v>
      </c>
      <c r="V597" s="351">
        <v>44074</v>
      </c>
      <c r="W597" s="351">
        <v>44004</v>
      </c>
      <c r="X597" s="176">
        <v>3294</v>
      </c>
      <c r="Y597" s="177">
        <v>44075</v>
      </c>
      <c r="Z597" s="415">
        <v>5</v>
      </c>
      <c r="AA597" s="488"/>
      <c r="AB597" s="594"/>
      <c r="AC597" s="595"/>
      <c r="AD597" s="596" t="str">
        <f>IF(AND(AC597&lt;&gt;"",S597&lt;&gt;""),NETWORKDAYS(AC597,S597,#REF!),"")</f>
        <v/>
      </c>
      <c r="AE597" s="596" t="str">
        <f ca="1">IF(AND(AD597="",AC597=""),"",IF(OR(AD597&lt;&gt;"",O597="*CANCELADO"),"",NETWORKDAYS(AC597,TODAY(),#REF!)))</f>
        <v/>
      </c>
      <c r="AF597" s="597">
        <f>IFERROR(INDEX(produtos_escape2!M:M,MATCH(Controle!H597,produtos_escape2!A:A,0)),"")</f>
        <v>0</v>
      </c>
    </row>
    <row r="598" spans="1:32" ht="14.25" customHeight="1">
      <c r="A598" s="176" t="s">
        <v>7255</v>
      </c>
      <c r="B598" s="176" t="s">
        <v>1739</v>
      </c>
      <c r="C598" s="177">
        <v>43985</v>
      </c>
      <c r="D598" s="176" t="s">
        <v>8759</v>
      </c>
      <c r="E598" s="176" t="s">
        <v>3008</v>
      </c>
      <c r="F598" s="259" t="s">
        <v>8760</v>
      </c>
      <c r="G598" s="176">
        <v>8</v>
      </c>
      <c r="H598" s="178" t="s">
        <v>8741</v>
      </c>
      <c r="I598" s="592">
        <f t="shared" si="20"/>
        <v>1</v>
      </c>
      <c r="J598" s="178"/>
      <c r="K598" s="178"/>
      <c r="L598" s="275" t="str">
        <f>IF(H:H=0,"",IF(ISERROR(VLOOKUP(H:H,produtos_escape2!$A$2:$B$2794,2,FALSE)),"Código não cadastrado",(VLOOKUP(H:H,produtos_escape2!$A$2:$B$2794,2,FALSE))))</f>
        <v>DETETIZAÇÃO E DESRATIZAÇÃO CONTROLE E EXTERMINIO DE PRAGA E VETORES UBS 9 (Engenho das Lages)</v>
      </c>
      <c r="M598" s="593" t="str">
        <f>IF(H:H=0,"",IF(ISERROR(VLOOKUP(H:H,produtos_escape2!$A$2:$D$2794,2,FALSE)),"Código não cadastrado",(VLOOKUP(H:H,produtos_escape2!$A$2:$D$2794,4,FALSE))))</f>
        <v>Serviço</v>
      </c>
      <c r="N598" s="486">
        <v>1</v>
      </c>
      <c r="O598" s="176" t="s">
        <v>8899</v>
      </c>
      <c r="P598" s="486">
        <v>1</v>
      </c>
      <c r="Q598" s="247">
        <v>62</v>
      </c>
      <c r="R598" s="246">
        <f t="shared" si="19"/>
        <v>62</v>
      </c>
      <c r="S598" s="177">
        <v>44004</v>
      </c>
      <c r="T598" s="206">
        <v>591</v>
      </c>
      <c r="U598" s="351">
        <v>44025</v>
      </c>
      <c r="V598" s="351">
        <v>44064</v>
      </c>
      <c r="W598" s="351">
        <v>44064</v>
      </c>
      <c r="X598" s="176">
        <v>71340</v>
      </c>
      <c r="Y598" s="177">
        <v>44075</v>
      </c>
      <c r="Z598" s="415">
        <v>5</v>
      </c>
      <c r="AA598" s="488"/>
      <c r="AB598" s="594"/>
      <c r="AC598" s="595"/>
      <c r="AD598" s="596" t="str">
        <f>IF(AND(AC598&lt;&gt;"",S598&lt;&gt;""),NETWORKDAYS(AC598,S598,#REF!),"")</f>
        <v/>
      </c>
      <c r="AE598" s="596" t="str">
        <f ca="1">IF(AND(AD598="",AC598=""),"",IF(OR(AD598&lt;&gt;"",O598="*CANCELADO"),"",NETWORKDAYS(AC598,TODAY(),#REF!)))</f>
        <v/>
      </c>
      <c r="AF598" s="597">
        <f>IFERROR(INDEX(produtos_escape2!M:M,MATCH(Controle!H598,produtos_escape2!A:A,0)),"")</f>
        <v>0</v>
      </c>
    </row>
    <row r="599" spans="1:32" ht="14.25" customHeight="1">
      <c r="A599" s="176" t="s">
        <v>7255</v>
      </c>
      <c r="B599" s="176" t="s">
        <v>1739</v>
      </c>
      <c r="C599" s="177">
        <v>43985</v>
      </c>
      <c r="D599" s="176" t="s">
        <v>8759</v>
      </c>
      <c r="E599" s="176" t="s">
        <v>3008</v>
      </c>
      <c r="F599" s="259" t="s">
        <v>8760</v>
      </c>
      <c r="G599" s="176">
        <v>9</v>
      </c>
      <c r="H599" s="178" t="s">
        <v>8742</v>
      </c>
      <c r="I599" s="592">
        <f t="shared" si="20"/>
        <v>1</v>
      </c>
      <c r="J599" s="178"/>
      <c r="K599" s="178"/>
      <c r="L599" s="275" t="str">
        <f>IF(H:H=0,"",IF(ISERROR(VLOOKUP(H:H,produtos_escape2!$A$2:$B$2794,2,FALSE)),"Código não cadastrado",(VLOOKUP(H:H,produtos_escape2!$A$2:$B$2794,2,FALSE))))</f>
        <v>DETETIZAÇÃO E DESRATIZAÇÃO CONTROLE E EXTERMINIO DE PRAGA E VETORES UBS 11 (Ponte Alta Norte)</v>
      </c>
      <c r="M599" s="593" t="str">
        <f>IF(H:H=0,"",IF(ISERROR(VLOOKUP(H:H,produtos_escape2!$A$2:$D$2794,2,FALSE)),"Código não cadastrado",(VLOOKUP(H:H,produtos_escape2!$A$2:$D$2794,4,FALSE))))</f>
        <v>Serviço</v>
      </c>
      <c r="N599" s="486">
        <v>1</v>
      </c>
      <c r="O599" s="176" t="s">
        <v>8899</v>
      </c>
      <c r="P599" s="486">
        <v>1</v>
      </c>
      <c r="Q599" s="247">
        <v>25.2</v>
      </c>
      <c r="R599" s="246">
        <f t="shared" si="19"/>
        <v>25.2</v>
      </c>
      <c r="S599" s="177">
        <v>44004</v>
      </c>
      <c r="T599" s="206">
        <v>591</v>
      </c>
      <c r="U599" s="351">
        <v>44025</v>
      </c>
      <c r="V599" s="351">
        <v>44064</v>
      </c>
      <c r="W599" s="351">
        <v>44064</v>
      </c>
      <c r="X599" s="176">
        <v>71340</v>
      </c>
      <c r="Y599" s="177">
        <v>44075</v>
      </c>
      <c r="Z599" s="415">
        <v>5</v>
      </c>
      <c r="AA599" s="488"/>
      <c r="AB599" s="594"/>
      <c r="AC599" s="595"/>
      <c r="AD599" s="596" t="str">
        <f>IF(AND(AC599&lt;&gt;"",S599&lt;&gt;""),NETWORKDAYS(AC599,S599,#REF!),"")</f>
        <v/>
      </c>
      <c r="AE599" s="596" t="str">
        <f ca="1">IF(AND(AD599="",AC599=""),"",IF(OR(AD599&lt;&gt;"",O599="*CANCELADO"),"",NETWORKDAYS(AC599,TODAY(),#REF!)))</f>
        <v/>
      </c>
      <c r="AF599" s="597">
        <f>IFERROR(INDEX(produtos_escape2!M:M,MATCH(Controle!H599,produtos_escape2!A:A,0)),"")</f>
        <v>0</v>
      </c>
    </row>
    <row r="600" spans="1:32" ht="14.25" customHeight="1">
      <c r="A600" s="176" t="s">
        <v>7255</v>
      </c>
      <c r="B600" s="176" t="s">
        <v>1739</v>
      </c>
      <c r="C600" s="177">
        <v>43985</v>
      </c>
      <c r="D600" s="176" t="s">
        <v>8759</v>
      </c>
      <c r="E600" s="176" t="s">
        <v>3008</v>
      </c>
      <c r="F600" s="259" t="s">
        <v>8760</v>
      </c>
      <c r="G600" s="176">
        <v>10</v>
      </c>
      <c r="H600" s="178" t="s">
        <v>8743</v>
      </c>
      <c r="I600" s="592">
        <f t="shared" si="20"/>
        <v>1</v>
      </c>
      <c r="J600" s="178"/>
      <c r="K600" s="178"/>
      <c r="L600" s="275" t="str">
        <f>IF(H:H=0,"",IF(ISERROR(VLOOKUP(H:H,produtos_escape2!$A$2:$B$2794,2,FALSE)),"Código não cadastrado",(VLOOKUP(H:H,produtos_escape2!$A$2:$B$2794,2,FALSE))))</f>
        <v>DETETIZAÇÃO E DESRATIZAÇÃO CONTROLE E EXTERMINIO DE PRAGA E VETORES UBS 12 Ponte Alta</v>
      </c>
      <c r="M600" s="593" t="str">
        <f>IF(H:H=0,"",IF(ISERROR(VLOOKUP(H:H,produtos_escape2!$A$2:$D$2794,2,FALSE)),"Código não cadastrado",(VLOOKUP(H:H,produtos_escape2!$A$2:$D$2794,4,FALSE))))</f>
        <v>Serviço</v>
      </c>
      <c r="N600" s="486">
        <v>1</v>
      </c>
      <c r="O600" s="176" t="s">
        <v>8899</v>
      </c>
      <c r="P600" s="486">
        <v>1</v>
      </c>
      <c r="Q600" s="247">
        <v>83.2</v>
      </c>
      <c r="R600" s="246">
        <f t="shared" si="19"/>
        <v>83.2</v>
      </c>
      <c r="S600" s="177">
        <v>44004</v>
      </c>
      <c r="T600" s="206">
        <v>591</v>
      </c>
      <c r="U600" s="351">
        <v>44025</v>
      </c>
      <c r="V600" s="351">
        <v>44064</v>
      </c>
      <c r="W600" s="351">
        <v>44064</v>
      </c>
      <c r="X600" s="176">
        <v>71340</v>
      </c>
      <c r="Y600" s="177">
        <v>44075</v>
      </c>
      <c r="Z600" s="415">
        <v>5</v>
      </c>
      <c r="AA600" s="488"/>
      <c r="AB600" s="594"/>
      <c r="AC600" s="595"/>
      <c r="AD600" s="596" t="str">
        <f>IF(AND(AC600&lt;&gt;"",S600&lt;&gt;""),NETWORKDAYS(AC600,S600,#REF!),"")</f>
        <v/>
      </c>
      <c r="AE600" s="596" t="str">
        <f ca="1">IF(AND(AD600="",AC600=""),"",IF(OR(AD600&lt;&gt;"",O600="*CANCELADO"),"",NETWORKDAYS(AC600,TODAY(),#REF!)))</f>
        <v/>
      </c>
      <c r="AF600" s="597">
        <f>IFERROR(INDEX(produtos_escape2!M:M,MATCH(Controle!H600,produtos_escape2!A:A,0)),"")</f>
        <v>0</v>
      </c>
    </row>
    <row r="601" spans="1:32" ht="14.25" customHeight="1">
      <c r="A601" s="176" t="s">
        <v>7255</v>
      </c>
      <c r="B601" s="176" t="s">
        <v>1739</v>
      </c>
      <c r="C601" s="177">
        <v>43985</v>
      </c>
      <c r="D601" s="176" t="s">
        <v>8759</v>
      </c>
      <c r="E601" s="176" t="s">
        <v>3008</v>
      </c>
      <c r="F601" s="259" t="s">
        <v>8760</v>
      </c>
      <c r="G601" s="176">
        <v>11</v>
      </c>
      <c r="H601" s="178" t="s">
        <v>8744</v>
      </c>
      <c r="I601" s="592">
        <f t="shared" si="20"/>
        <v>1</v>
      </c>
      <c r="J601" s="178"/>
      <c r="K601" s="178"/>
      <c r="L601" s="275" t="str">
        <f>IF(H:H=0,"",IF(ISERROR(VLOOKUP(H:H,produtos_escape2!$A$2:$B$2794,2,FALSE)),"Código não cadastrado",(VLOOKUP(H:H,produtos_escape2!$A$2:$B$2794,2,FALSE))))</f>
        <v>DETETIZAÇÃO E DESRATIZAÇÃO CONTROLE E EXTERMINIO DE PRAGA E VETORES UBS 8 (DVO) Gama</v>
      </c>
      <c r="M601" s="593" t="str">
        <f>IF(H:H=0,"",IF(ISERROR(VLOOKUP(H:H,produtos_escape2!$A$2:$D$2794,2,FALSE)),"Código não cadastrado",(VLOOKUP(H:H,produtos_escape2!$A$2:$D$2794,4,FALSE))))</f>
        <v>Serviço</v>
      </c>
      <c r="N601" s="486">
        <v>1</v>
      </c>
      <c r="O601" s="176" t="s">
        <v>8899</v>
      </c>
      <c r="P601" s="486">
        <v>1</v>
      </c>
      <c r="Q601" s="247">
        <v>87.2</v>
      </c>
      <c r="R601" s="246">
        <f t="shared" si="19"/>
        <v>87.2</v>
      </c>
      <c r="S601" s="177">
        <v>44004</v>
      </c>
      <c r="T601" s="206">
        <v>591</v>
      </c>
      <c r="U601" s="351">
        <v>44025</v>
      </c>
      <c r="V601" s="351">
        <v>44064</v>
      </c>
      <c r="W601" s="351">
        <v>44064</v>
      </c>
      <c r="X601" s="176">
        <v>71340</v>
      </c>
      <c r="Y601" s="177">
        <v>44075</v>
      </c>
      <c r="Z601" s="415">
        <v>5</v>
      </c>
      <c r="AA601" s="488"/>
      <c r="AB601" s="594"/>
      <c r="AC601" s="595"/>
      <c r="AD601" s="596" t="str">
        <f>IF(AND(AC601&lt;&gt;"",S601&lt;&gt;""),NETWORKDAYS(AC601,S601,#REF!),"")</f>
        <v/>
      </c>
      <c r="AE601" s="596" t="str">
        <f ca="1">IF(AND(AD601="",AC601=""),"",IF(OR(AD601&lt;&gt;"",O601="*CANCELADO"),"",NETWORKDAYS(AC601,TODAY(),#REF!)))</f>
        <v/>
      </c>
      <c r="AF601" s="597">
        <f>IFERROR(INDEX(produtos_escape2!M:M,MATCH(Controle!H601,produtos_escape2!A:A,0)),"")</f>
        <v>0</v>
      </c>
    </row>
    <row r="602" spans="1:32" ht="14.25" customHeight="1">
      <c r="A602" s="176" t="s">
        <v>7255</v>
      </c>
      <c r="B602" s="176" t="s">
        <v>1739</v>
      </c>
      <c r="C602" s="177">
        <v>43985</v>
      </c>
      <c r="D602" s="176" t="s">
        <v>8759</v>
      </c>
      <c r="E602" s="176" t="s">
        <v>3008</v>
      </c>
      <c r="F602" s="259" t="s">
        <v>8760</v>
      </c>
      <c r="G602" s="176">
        <v>12</v>
      </c>
      <c r="H602" s="178" t="s">
        <v>8745</v>
      </c>
      <c r="I602" s="592">
        <f t="shared" si="20"/>
        <v>1</v>
      </c>
      <c r="J602" s="178"/>
      <c r="K602" s="178"/>
      <c r="L602" s="275" t="str">
        <f>IF(H:H=0,"",IF(ISERROR(VLOOKUP(H:H,produtos_escape2!$A$2:$B$2794,2,FALSE)),"Código não cadastrado",(VLOOKUP(H:H,produtos_escape2!$A$2:$B$2794,2,FALSE))))</f>
        <v>DETETIZAÇÃO E DESRATIZAÇÃO CONTROLE E EXTERMINIO DE PRAGA E VETORES GAOAPS-SU Gama</v>
      </c>
      <c r="M602" s="593" t="str">
        <f>IF(H:H=0,"",IF(ISERROR(VLOOKUP(H:H,produtos_escape2!$A$2:$D$2794,2,FALSE)),"Código não cadastrado",(VLOOKUP(H:H,produtos_escape2!$A$2:$D$2794,4,FALSE))))</f>
        <v>Serviço</v>
      </c>
      <c r="N602" s="486">
        <v>1</v>
      </c>
      <c r="O602" s="176" t="s">
        <v>8899</v>
      </c>
      <c r="P602" s="486">
        <v>1</v>
      </c>
      <c r="Q602" s="247">
        <v>44</v>
      </c>
      <c r="R602" s="246">
        <f t="shared" si="19"/>
        <v>44</v>
      </c>
      <c r="S602" s="177">
        <v>44004</v>
      </c>
      <c r="T602" s="206">
        <v>591</v>
      </c>
      <c r="U602" s="351">
        <v>44025</v>
      </c>
      <c r="V602" s="351">
        <v>44064</v>
      </c>
      <c r="W602" s="351">
        <v>44064</v>
      </c>
      <c r="X602" s="176">
        <v>71340</v>
      </c>
      <c r="Y602" s="177">
        <v>44075</v>
      </c>
      <c r="Z602" s="415">
        <v>5</v>
      </c>
      <c r="AA602" s="488"/>
      <c r="AB602" s="594"/>
      <c r="AC602" s="595"/>
      <c r="AD602" s="596" t="str">
        <f>IF(AND(AC602&lt;&gt;"",S602&lt;&gt;""),NETWORKDAYS(AC602,S602,#REF!),"")</f>
        <v/>
      </c>
      <c r="AE602" s="596" t="str">
        <f ca="1">IF(AND(AD602="",AC602=""),"",IF(OR(AD602&lt;&gt;"",O602="*CANCELADO"),"",NETWORKDAYS(AC602,TODAY(),#REF!)))</f>
        <v/>
      </c>
      <c r="AF602" s="597">
        <f>IFERROR(INDEX(produtos_escape2!M:M,MATCH(Controle!H602,produtos_escape2!A:A,0)),"")</f>
        <v>0</v>
      </c>
    </row>
    <row r="603" spans="1:32" ht="14.25" customHeight="1">
      <c r="A603" s="176" t="s">
        <v>8321</v>
      </c>
      <c r="B603" s="176" t="s">
        <v>3608</v>
      </c>
      <c r="C603" s="177">
        <v>43985</v>
      </c>
      <c r="D603" s="176" t="s">
        <v>8761</v>
      </c>
      <c r="E603" s="176" t="s">
        <v>3009</v>
      </c>
      <c r="F603" s="259" t="s">
        <v>8762</v>
      </c>
      <c r="G603" s="176">
        <v>1</v>
      </c>
      <c r="H603" s="178">
        <v>90610</v>
      </c>
      <c r="I603" s="592">
        <f t="shared" si="20"/>
        <v>11</v>
      </c>
      <c r="J603" s="178" t="s">
        <v>816</v>
      </c>
      <c r="K603" s="178" t="s">
        <v>816</v>
      </c>
      <c r="L603" s="275" t="str">
        <f>IF(H:H=0,"",IF(ISERROR(VLOOKUP(H:H,produtos_escape2!$A$2:$B$2794,2,FALSE)),"Código não cadastrado",(VLOOKUP(H:H,produtos_escape2!$A$2:$B$2794,2,FALSE))))</f>
        <v>HEPARINA SODICA SOLUÇAO INJETAVEL 5000 UI/ML FRASCO AMPOLA 5 ML</v>
      </c>
      <c r="M603" s="593" t="str">
        <f>IF(H:H=0,"",IF(ISERROR(VLOOKUP(H:H,produtos_escape2!$A$2:$D$2794,2,FALSE)),"Código não cadastrado",(VLOOKUP(H:H,produtos_escape2!$A$2:$D$2794,4,FALSE))))</f>
        <v>FA</v>
      </c>
      <c r="N603" s="486">
        <v>300</v>
      </c>
      <c r="O603" s="176" t="s">
        <v>7337</v>
      </c>
      <c r="P603" s="486">
        <v>300</v>
      </c>
      <c r="Q603" s="247">
        <v>22</v>
      </c>
      <c r="R603" s="246">
        <f t="shared" si="19"/>
        <v>6600</v>
      </c>
      <c r="S603" s="177">
        <v>43991</v>
      </c>
      <c r="T603" s="182">
        <v>11252</v>
      </c>
      <c r="U603" s="177">
        <v>43994</v>
      </c>
      <c r="V603" s="177">
        <v>43994</v>
      </c>
      <c r="W603" s="177">
        <v>43998</v>
      </c>
      <c r="X603" s="176">
        <v>32353</v>
      </c>
      <c r="Y603" s="177">
        <v>44011</v>
      </c>
      <c r="Z603" s="415">
        <v>3</v>
      </c>
      <c r="AA603" s="488"/>
      <c r="AB603" s="594"/>
      <c r="AC603" s="595"/>
      <c r="AD603" s="596" t="str">
        <f>IF(AND(AC603&lt;&gt;"",S603&lt;&gt;""),NETWORKDAYS(AC603,S603,#REF!),"")</f>
        <v/>
      </c>
      <c r="AE603" s="596" t="str">
        <f ca="1">IF(AND(AD603="",AC603=""),"",IF(OR(AD603&lt;&gt;"",O603="*CANCELADO"),"",NETWORKDAYS(AC603,TODAY(),#REF!)))</f>
        <v/>
      </c>
      <c r="AF603" s="597" t="str">
        <f>IFERROR(INDEX(produtos_escape2!M:M,MATCH(Controle!H603,produtos_escape2!A:A,0)),"")</f>
        <v>HEPARINA SODICA SOLUÇAO INJETAVEL 5000 UI/ML FRASCO AMPOLA 5 ML</v>
      </c>
    </row>
    <row r="604" spans="1:32" ht="14.25" customHeight="1">
      <c r="A604" s="176" t="s">
        <v>8307</v>
      </c>
      <c r="B604" s="176" t="s">
        <v>3608</v>
      </c>
      <c r="C604" s="177">
        <v>43985</v>
      </c>
      <c r="D604" s="176" t="s">
        <v>8763</v>
      </c>
      <c r="E604" s="176" t="s">
        <v>1867</v>
      </c>
      <c r="F604" s="259" t="s">
        <v>8764</v>
      </c>
      <c r="G604" s="176">
        <v>1</v>
      </c>
      <c r="H604" s="178">
        <v>90255</v>
      </c>
      <c r="I604" s="592">
        <f t="shared" si="20"/>
        <v>8</v>
      </c>
      <c r="J604" s="178" t="s">
        <v>816</v>
      </c>
      <c r="K604" s="178" t="s">
        <v>816</v>
      </c>
      <c r="L604" s="275" t="str">
        <f>IF(H:H=0,"",IF(ISERROR(VLOOKUP(H:H,produtos_escape2!$A$2:$B$2794,2,FALSE)),"Código não cadastrado",(VLOOKUP(H:H,produtos_escape2!$A$2:$B$2794,2,FALSE))))</f>
        <v>BROMOPRIDA SOLUCAO INJETAVEL 5MG/ML AMPOLA 2ML</v>
      </c>
      <c r="M604" s="593" t="str">
        <f>IF(H:H=0,"",IF(ISERROR(VLOOKUP(H:H,produtos_escape2!$A$2:$D$2794,2,FALSE)),"Código não cadastrado",(VLOOKUP(H:H,produtos_escape2!$A$2:$D$2794,4,FALSE))))</f>
        <v>AMP</v>
      </c>
      <c r="N604" s="486">
        <v>1000</v>
      </c>
      <c r="O604" s="176" t="s">
        <v>7371</v>
      </c>
      <c r="P604" s="486">
        <v>1000</v>
      </c>
      <c r="Q604" s="247">
        <v>1.27</v>
      </c>
      <c r="R604" s="246">
        <f t="shared" si="19"/>
        <v>1270</v>
      </c>
      <c r="S604" s="177">
        <v>43987</v>
      </c>
      <c r="T604" s="182">
        <v>339454</v>
      </c>
      <c r="U604" s="177">
        <v>43987</v>
      </c>
      <c r="V604" s="177">
        <v>43990</v>
      </c>
      <c r="W604" s="177">
        <v>43992</v>
      </c>
      <c r="X604" s="176">
        <v>30609</v>
      </c>
      <c r="Y604" s="177">
        <v>44007</v>
      </c>
      <c r="Z604" s="415">
        <v>3</v>
      </c>
      <c r="AA604" s="488"/>
      <c r="AB604" s="594"/>
      <c r="AC604" s="595"/>
      <c r="AD604" s="596" t="str">
        <f>IF(AND(AC604&lt;&gt;"",S604&lt;&gt;""),NETWORKDAYS(AC604,S604,#REF!),"")</f>
        <v/>
      </c>
      <c r="AE604" s="596" t="str">
        <f ca="1">IF(AND(AD604="",AC604=""),"",IF(OR(AD604&lt;&gt;"",O604="*CANCELADO"),"",NETWORKDAYS(AC604,TODAY(),#REF!)))</f>
        <v/>
      </c>
      <c r="AF604" s="597" t="str">
        <f>IFERROR(INDEX(produtos_escape2!M:M,MATCH(Controle!H604,produtos_escape2!A:A,0)),"")</f>
        <v>BROMOPRIDA</v>
      </c>
    </row>
    <row r="605" spans="1:32" ht="14.25" customHeight="1">
      <c r="A605" s="176" t="s">
        <v>8316</v>
      </c>
      <c r="B605" s="176" t="s">
        <v>3608</v>
      </c>
      <c r="C605" s="177">
        <v>43985</v>
      </c>
      <c r="D605" s="176" t="s">
        <v>8765</v>
      </c>
      <c r="E605" s="176" t="s">
        <v>1866</v>
      </c>
      <c r="F605" s="259" t="s">
        <v>8766</v>
      </c>
      <c r="G605" s="176">
        <v>1</v>
      </c>
      <c r="H605" s="178">
        <v>90259</v>
      </c>
      <c r="I605" s="592">
        <f t="shared" si="20"/>
        <v>5</v>
      </c>
      <c r="J605" s="178" t="s">
        <v>816</v>
      </c>
      <c r="K605" s="178" t="s">
        <v>816</v>
      </c>
      <c r="L605" s="275" t="str">
        <f>IF(H:H=0,"",IF(ISERROR(VLOOKUP(H:H,produtos_escape2!$A$2:$B$2794,2,FALSE)),"Código não cadastrado",(VLOOKUP(H:H,produtos_escape2!$A$2:$B$2794,2,FALSE))))</f>
        <v>AZITROMICINA PO PARA SOLUCAO INJETAVEL 500 MG FRASCO AMPOLA</v>
      </c>
      <c r="M605" s="593" t="str">
        <f>IF(H:H=0,"",IF(ISERROR(VLOOKUP(H:H,produtos_escape2!$A$2:$D$2794,2,FALSE)),"Código não cadastrado",(VLOOKUP(H:H,produtos_escape2!$A$2:$D$2794,4,FALSE))))</f>
        <v>AMP</v>
      </c>
      <c r="N605" s="486">
        <v>250</v>
      </c>
      <c r="O605" s="176" t="s">
        <v>7825</v>
      </c>
      <c r="P605" s="486">
        <v>150</v>
      </c>
      <c r="Q605" s="247">
        <v>109</v>
      </c>
      <c r="R605" s="246">
        <f t="shared" si="19"/>
        <v>16350</v>
      </c>
      <c r="S605" s="177">
        <v>43990</v>
      </c>
      <c r="T605" s="182">
        <v>543194</v>
      </c>
      <c r="U605" s="177">
        <v>43991</v>
      </c>
      <c r="V605" s="177">
        <v>43998</v>
      </c>
      <c r="W605" s="177">
        <v>43999</v>
      </c>
      <c r="X605" s="176">
        <v>32499</v>
      </c>
      <c r="Y605" s="177">
        <v>44011</v>
      </c>
      <c r="Z605" s="415">
        <v>3</v>
      </c>
      <c r="AA605" s="488"/>
      <c r="AB605" s="594"/>
      <c r="AC605" s="595"/>
      <c r="AD605" s="596" t="str">
        <f>IF(AND(AC605&lt;&gt;"",S605&lt;&gt;""),NETWORKDAYS(AC605,S605,#REF!),"")</f>
        <v/>
      </c>
      <c r="AE605" s="596" t="str">
        <f ca="1">IF(AND(AD605="",AC605=""),"",IF(OR(AD605&lt;&gt;"",O605="*CANCELADO"),"",NETWORKDAYS(AC605,TODAY(),#REF!)))</f>
        <v/>
      </c>
      <c r="AF605" s="597" t="str">
        <f>IFERROR(INDEX(produtos_escape2!M:M,MATCH(Controle!H605,produtos_escape2!A:A,0)),"")</f>
        <v>AZITROMICINA PO PARA SOLUCAO INJETAVEL 500 MG FRASCO AMPOLA</v>
      </c>
    </row>
    <row r="606" spans="1:32" ht="14.25" customHeight="1">
      <c r="A606" s="176" t="s">
        <v>8318</v>
      </c>
      <c r="B606" s="176" t="s">
        <v>3608</v>
      </c>
      <c r="C606" s="177">
        <v>43985</v>
      </c>
      <c r="D606" s="176" t="s">
        <v>8767</v>
      </c>
      <c r="E606" s="176" t="s">
        <v>3009</v>
      </c>
      <c r="F606" s="259" t="s">
        <v>8768</v>
      </c>
      <c r="G606" s="176">
        <v>1</v>
      </c>
      <c r="H606" s="178">
        <v>90925</v>
      </c>
      <c r="I606" s="592">
        <f t="shared" si="20"/>
        <v>8</v>
      </c>
      <c r="J606" s="178" t="s">
        <v>816</v>
      </c>
      <c r="K606" s="178" t="s">
        <v>816</v>
      </c>
      <c r="L606" s="275" t="str">
        <f>IF(H:H=0,"",IF(ISERROR(VLOOKUP(H:H,produtos_escape2!$A$2:$B$2794,2,FALSE)),"Código não cadastrado",(VLOOKUP(H:H,produtos_escape2!$A$2:$B$2794,2,FALSE))))</f>
        <v>CEFAZOLINA SODICA PO PARA SOLUCAO INJETAVEL 1 G FRASCO AMPOLA</v>
      </c>
      <c r="M606" s="593" t="str">
        <f>IF(H:H=0,"",IF(ISERROR(VLOOKUP(H:H,produtos_escape2!$A$2:$D$2794,2,FALSE)),"Código não cadastrado",(VLOOKUP(H:H,produtos_escape2!$A$2:$D$2794,4,FALSE))))</f>
        <v>AMP</v>
      </c>
      <c r="N606" s="486">
        <v>1000</v>
      </c>
      <c r="O606" s="176" t="s">
        <v>7371</v>
      </c>
      <c r="P606" s="486">
        <v>1000</v>
      </c>
      <c r="Q606" s="247">
        <v>12.634</v>
      </c>
      <c r="R606" s="246">
        <f t="shared" si="19"/>
        <v>12634</v>
      </c>
      <c r="S606" s="177">
        <v>43991</v>
      </c>
      <c r="T606" s="182">
        <v>340231</v>
      </c>
      <c r="U606" s="177">
        <v>43991</v>
      </c>
      <c r="V606" s="177">
        <v>43992</v>
      </c>
      <c r="W606" s="177">
        <v>43994</v>
      </c>
      <c r="X606" s="176">
        <v>32479</v>
      </c>
      <c r="Y606" s="177">
        <v>44011</v>
      </c>
      <c r="Z606" s="415">
        <v>3</v>
      </c>
      <c r="AA606" s="488"/>
      <c r="AB606" s="594"/>
      <c r="AC606" s="595"/>
      <c r="AD606" s="596" t="str">
        <f>IF(AND(AC606&lt;&gt;"",S606&lt;&gt;""),NETWORKDAYS(AC606,S606,#REF!),"")</f>
        <v/>
      </c>
      <c r="AE606" s="596" t="str">
        <f ca="1">IF(AND(AD606="",AC606=""),"",IF(OR(AD606&lt;&gt;"",O606="*CANCELADO"),"",NETWORKDAYS(AC606,TODAY(),#REF!)))</f>
        <v/>
      </c>
      <c r="AF606" s="597" t="str">
        <f>IFERROR(INDEX(produtos_escape2!M:M,MATCH(Controle!H606,produtos_escape2!A:A,0)),"")</f>
        <v>CEFAZOLINA SODICA PO PARA SOLUCAO INJETAVEL 1 G FRASCO AMPOLA</v>
      </c>
    </row>
    <row r="607" spans="1:32" ht="14.25" customHeight="1">
      <c r="A607" s="176" t="s">
        <v>8320</v>
      </c>
      <c r="B607" s="176" t="s">
        <v>3608</v>
      </c>
      <c r="C607" s="177">
        <v>43985</v>
      </c>
      <c r="D607" s="176" t="s">
        <v>8769</v>
      </c>
      <c r="E607" s="176" t="s">
        <v>1867</v>
      </c>
      <c r="F607" s="259" t="s">
        <v>8770</v>
      </c>
      <c r="G607" s="176">
        <v>1</v>
      </c>
      <c r="H607" s="178">
        <v>90315</v>
      </c>
      <c r="I607" s="592">
        <f t="shared" si="20"/>
        <v>5</v>
      </c>
      <c r="J607" s="178" t="s">
        <v>816</v>
      </c>
      <c r="K607" s="178" t="s">
        <v>816</v>
      </c>
      <c r="L607" s="275" t="str">
        <f>IF(H:H=0,"",IF(ISERROR(VLOOKUP(H:H,produtos_escape2!$A$2:$B$2794,2,FALSE)),"Código não cadastrado",(VLOOKUP(H:H,produtos_escape2!$A$2:$B$2794,2,FALSE))))</f>
        <v>CEFEPIMA PO PARA SOLUCAO INJETAVEL 1 G FRASCO-AMPOLA</v>
      </c>
      <c r="M607" s="593" t="str">
        <f>IF(H:H=0,"",IF(ISERROR(VLOOKUP(H:H,produtos_escape2!$A$2:$D$2794,2,FALSE)),"Código não cadastrado",(VLOOKUP(H:H,produtos_escape2!$A$2:$D$2794,4,FALSE))))</f>
        <v>AMP</v>
      </c>
      <c r="N607" s="486">
        <v>1000</v>
      </c>
      <c r="O607" s="176" t="s">
        <v>7371</v>
      </c>
      <c r="P607" s="486">
        <v>400</v>
      </c>
      <c r="Q607" s="247">
        <v>40</v>
      </c>
      <c r="R607" s="246">
        <f t="shared" si="19"/>
        <v>16000</v>
      </c>
      <c r="S607" s="177">
        <v>43987</v>
      </c>
      <c r="T607" s="182">
        <v>339380</v>
      </c>
      <c r="U607" s="177">
        <v>43987</v>
      </c>
      <c r="V607" s="177">
        <v>43987</v>
      </c>
      <c r="W607" s="177">
        <v>43992</v>
      </c>
      <c r="X607" s="176">
        <v>30859</v>
      </c>
      <c r="Y607" s="177">
        <v>44007</v>
      </c>
      <c r="Z607" s="415">
        <v>3</v>
      </c>
      <c r="AA607" s="488"/>
      <c r="AB607" s="594"/>
      <c r="AC607" s="595"/>
      <c r="AD607" s="596" t="str">
        <f>IF(AND(AC607&lt;&gt;"",S607&lt;&gt;""),NETWORKDAYS(AC607,S607,#REF!),"")</f>
        <v/>
      </c>
      <c r="AE607" s="596" t="str">
        <f ca="1">IF(AND(AD607="",AC607=""),"",IF(OR(AD607&lt;&gt;"",O607="*CANCELADO"),"",NETWORKDAYS(AC607,TODAY(),#REF!)))</f>
        <v/>
      </c>
      <c r="AF607" s="597" t="str">
        <f>IFERROR(INDEX(produtos_escape2!M:M,MATCH(Controle!H607,produtos_escape2!A:A,0)),"")</f>
        <v>CEFEPIMA PO PARA SOLUCAO INJETAVEL 1 G FRASCO-AMPOLA</v>
      </c>
    </row>
    <row r="608" spans="1:32" ht="14.25" customHeight="1">
      <c r="A608" s="176" t="s">
        <v>8339</v>
      </c>
      <c r="B608" s="176" t="s">
        <v>3608</v>
      </c>
      <c r="C608" s="177">
        <v>43986</v>
      </c>
      <c r="D608" s="176" t="s">
        <v>8775</v>
      </c>
      <c r="E608" s="176" t="s">
        <v>3009</v>
      </c>
      <c r="F608" s="259" t="s">
        <v>8776</v>
      </c>
      <c r="G608" s="176">
        <v>1</v>
      </c>
      <c r="H608" s="178">
        <v>92402</v>
      </c>
      <c r="I608" s="592">
        <f t="shared" si="20"/>
        <v>9</v>
      </c>
      <c r="J608" s="178" t="s">
        <v>816</v>
      </c>
      <c r="K608" s="178" t="s">
        <v>816</v>
      </c>
      <c r="L608" s="275"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608" s="593" t="str">
        <f>IF(H:H=0,"",IF(ISERROR(VLOOKUP(H:H,produtos_escape2!$A$2:$D$2794,2,FALSE)),"Código não cadastrado",(VLOOKUP(H:H,produtos_escape2!$A$2:$D$2794,4,FALSE))))</f>
        <v>PAR</v>
      </c>
      <c r="N608" s="486">
        <v>10000</v>
      </c>
      <c r="O608" s="176" t="s">
        <v>7825</v>
      </c>
      <c r="P608" s="486">
        <v>10000</v>
      </c>
      <c r="Q608" s="247">
        <v>1.28</v>
      </c>
      <c r="R608" s="246">
        <f t="shared" si="19"/>
        <v>12800</v>
      </c>
      <c r="S608" s="177">
        <v>43992</v>
      </c>
      <c r="T608" s="182">
        <v>543935</v>
      </c>
      <c r="U608" s="177">
        <v>43994</v>
      </c>
      <c r="V608" s="177">
        <v>44000</v>
      </c>
      <c r="W608" s="177">
        <v>44004</v>
      </c>
      <c r="X608" s="176">
        <v>32484</v>
      </c>
      <c r="Y608" s="177">
        <v>44011</v>
      </c>
      <c r="Z608" s="415">
        <v>3</v>
      </c>
      <c r="AA608" s="488"/>
      <c r="AB608" s="594"/>
      <c r="AC608" s="595"/>
      <c r="AD608" s="596" t="str">
        <f>IF(AND(AC608&lt;&gt;"",S608&lt;&gt;""),NETWORKDAYS(AC608,S608,#REF!),"")</f>
        <v/>
      </c>
      <c r="AE608" s="596" t="str">
        <f ca="1">IF(AND(AD608="",AC608=""),"",IF(OR(AD608&lt;&gt;"",O608="*CANCELADO"),"",NETWORKDAYS(AC608,TODAY(),#REF!)))</f>
        <v/>
      </c>
      <c r="AF608" s="597" t="str">
        <f>IFERROR(INDEX(produtos_escape2!M:M,MATCH(Controle!H608,produtos_escape2!A:A,0)),"")</f>
        <v>LUVA CIRURGICA CONVENCIONAL Nº 7</v>
      </c>
    </row>
    <row r="609" spans="1:32" ht="14.25" customHeight="1">
      <c r="A609" s="176" t="s">
        <v>8334</v>
      </c>
      <c r="B609" s="176" t="s">
        <v>3608</v>
      </c>
      <c r="C609" s="177">
        <v>43986</v>
      </c>
      <c r="D609" s="176" t="s">
        <v>8777</v>
      </c>
      <c r="E609" s="176" t="s">
        <v>1865</v>
      </c>
      <c r="F609" s="259" t="s">
        <v>8778</v>
      </c>
      <c r="G609" s="176">
        <v>1</v>
      </c>
      <c r="H609" s="178">
        <v>90291</v>
      </c>
      <c r="I609" s="592">
        <f t="shared" si="20"/>
        <v>6</v>
      </c>
      <c r="J609" s="178" t="s">
        <v>816</v>
      </c>
      <c r="K609" s="178" t="s">
        <v>816</v>
      </c>
      <c r="L609" s="275" t="str">
        <f>IF(H:H=0,"",IF(ISERROR(VLOOKUP(H:H,produtos_escape2!$A$2:$B$2794,2,FALSE)),"Código não cadastrado",(VLOOKUP(H:H,produtos_escape2!$A$2:$B$2794,2,FALSE))))</f>
        <v>PROPANOLOL (CLORIDRATO) COMPRIMIDO 40 MG</v>
      </c>
      <c r="M609" s="593" t="str">
        <f>IF(H:H=0,"",IF(ISERROR(VLOOKUP(H:H,produtos_escape2!$A$2:$D$2794,2,FALSE)),"Código não cadastrado",(VLOOKUP(H:H,produtos_escape2!$A$2:$D$2794,4,FALSE))))</f>
        <v>CP</v>
      </c>
      <c r="N609" s="486">
        <v>1100</v>
      </c>
      <c r="O609" s="176" t="s">
        <v>7896</v>
      </c>
      <c r="P609" s="486">
        <v>1000</v>
      </c>
      <c r="Q609" s="247">
        <v>4.2599999999999999E-2</v>
      </c>
      <c r="R609" s="246">
        <f t="shared" si="19"/>
        <v>42.6</v>
      </c>
      <c r="S609" s="177">
        <v>43991</v>
      </c>
      <c r="T609" s="182">
        <v>41902</v>
      </c>
      <c r="U609" s="177">
        <v>43992</v>
      </c>
      <c r="V609" s="177">
        <v>43994</v>
      </c>
      <c r="W609" s="177">
        <v>43998</v>
      </c>
      <c r="X609" s="176">
        <v>32520</v>
      </c>
      <c r="Y609" s="177">
        <v>44011</v>
      </c>
      <c r="Z609" s="415">
        <v>3</v>
      </c>
      <c r="AA609" s="488"/>
      <c r="AB609" s="594"/>
      <c r="AC609" s="595"/>
      <c r="AD609" s="596" t="str">
        <f>IF(AND(AC609&lt;&gt;"",S609&lt;&gt;""),NETWORKDAYS(AC609,S609,#REF!),"")</f>
        <v/>
      </c>
      <c r="AE609" s="596" t="str">
        <f ca="1">IF(AND(AD609="",AC609=""),"",IF(OR(AD609&lt;&gt;"",O609="*CANCELADO"),"",NETWORKDAYS(AC609,TODAY(),#REF!)))</f>
        <v/>
      </c>
      <c r="AF609" s="597" t="str">
        <f>IFERROR(INDEX(produtos_escape2!M:M,MATCH(Controle!H609,produtos_escape2!A:A,0)),"")</f>
        <v>PROPANOLOL (CLORIDRATO) COMPRIMIDO 40 MG</v>
      </c>
    </row>
    <row r="610" spans="1:32" ht="14.25" customHeight="1">
      <c r="A610" s="176" t="s">
        <v>8346</v>
      </c>
      <c r="B610" s="176" t="s">
        <v>3608</v>
      </c>
      <c r="C610" s="177">
        <v>43986</v>
      </c>
      <c r="D610" s="176" t="s">
        <v>8779</v>
      </c>
      <c r="E610" s="176" t="s">
        <v>1866</v>
      </c>
      <c r="F610" s="259" t="s">
        <v>8780</v>
      </c>
      <c r="G610" s="176">
        <v>1</v>
      </c>
      <c r="H610" s="178">
        <v>36169</v>
      </c>
      <c r="I610" s="592">
        <f t="shared" si="20"/>
        <v>6</v>
      </c>
      <c r="J610" s="178" t="s">
        <v>816</v>
      </c>
      <c r="K610" s="178" t="s">
        <v>816</v>
      </c>
      <c r="L610" s="275"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610" s="593" t="str">
        <f>IF(H:H=0,"",IF(ISERROR(VLOOKUP(H:H,produtos_escape2!$A$2:$D$2794,2,FALSE)),"Código não cadastrado",(VLOOKUP(H:H,produtos_escape2!$A$2:$D$2794,4,FALSE))))</f>
        <v>UN</v>
      </c>
      <c r="N610" s="486">
        <v>5000</v>
      </c>
      <c r="O610" s="176" t="s">
        <v>7896</v>
      </c>
      <c r="P610" s="486">
        <v>2500</v>
      </c>
      <c r="Q610" s="247">
        <v>0.36199999999999999</v>
      </c>
      <c r="R610" s="246">
        <f t="shared" si="19"/>
        <v>905</v>
      </c>
      <c r="S610" s="177">
        <v>43990</v>
      </c>
      <c r="T610" s="182">
        <v>41805</v>
      </c>
      <c r="U610" s="177">
        <v>43990</v>
      </c>
      <c r="V610" s="177">
        <v>43992</v>
      </c>
      <c r="W610" s="177">
        <v>43994</v>
      </c>
      <c r="X610" s="176">
        <v>32416</v>
      </c>
      <c r="Y610" s="177">
        <v>44011</v>
      </c>
      <c r="Z610" s="415">
        <v>3</v>
      </c>
      <c r="AA610" s="488"/>
      <c r="AB610" s="594"/>
      <c r="AC610" s="595"/>
      <c r="AD610" s="596" t="str">
        <f>IF(AND(AC610&lt;&gt;"",S610&lt;&gt;""),NETWORKDAYS(AC610,S610,#REF!),"")</f>
        <v/>
      </c>
      <c r="AE610" s="596" t="str">
        <f ca="1">IF(AND(AD610="",AC610=""),"",IF(OR(AD610&lt;&gt;"",O610="*CANCELADO"),"",NETWORKDAYS(AC610,TODAY(),#REF!)))</f>
        <v/>
      </c>
      <c r="AF610" s="597" t="str">
        <f>IFERROR(INDEX(produtos_escape2!M:M,MATCH(Controle!H610,produtos_escape2!A:A,0)),"")</f>
        <v>LUVA NITRÍLICA M</v>
      </c>
    </row>
    <row r="611" spans="1:32" ht="14.25" customHeight="1">
      <c r="A611" s="176" t="s">
        <v>8347</v>
      </c>
      <c r="B611" s="176" t="s">
        <v>3608</v>
      </c>
      <c r="C611" s="177">
        <v>43986</v>
      </c>
      <c r="D611" s="176" t="s">
        <v>8797</v>
      </c>
      <c r="E611" s="176" t="s">
        <v>1866</v>
      </c>
      <c r="F611" s="259" t="s">
        <v>8780</v>
      </c>
      <c r="G611" s="176">
        <v>2</v>
      </c>
      <c r="H611" s="178">
        <v>36052</v>
      </c>
      <c r="I611" s="592">
        <f t="shared" si="20"/>
        <v>5</v>
      </c>
      <c r="J611" s="178" t="s">
        <v>816</v>
      </c>
      <c r="K611" s="178" t="s">
        <v>816</v>
      </c>
      <c r="L611" s="275"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611" s="593" t="str">
        <f>IF(H:H=0,"",IF(ISERROR(VLOOKUP(H:H,produtos_escape2!$A$2:$D$2794,2,FALSE)),"Código não cadastrado",(VLOOKUP(H:H,produtos_escape2!$A$2:$D$2794,4,FALSE))))</f>
        <v>UN</v>
      </c>
      <c r="N611" s="486">
        <v>5000</v>
      </c>
      <c r="O611" s="176" t="s">
        <v>7896</v>
      </c>
      <c r="P611" s="486">
        <v>5000</v>
      </c>
      <c r="Q611" s="247">
        <v>0.36199999999999999</v>
      </c>
      <c r="R611" s="246">
        <f t="shared" si="19"/>
        <v>1810</v>
      </c>
      <c r="S611" s="177">
        <v>43990</v>
      </c>
      <c r="T611" s="182">
        <v>41805</v>
      </c>
      <c r="U611" s="177">
        <v>43990</v>
      </c>
      <c r="V611" s="177">
        <v>43992</v>
      </c>
      <c r="W611" s="177">
        <v>43994</v>
      </c>
      <c r="X611" s="176">
        <v>32416</v>
      </c>
      <c r="Y611" s="177">
        <v>44011</v>
      </c>
      <c r="Z611" s="415">
        <v>3</v>
      </c>
      <c r="AA611" s="488"/>
      <c r="AB611" s="594"/>
      <c r="AC611" s="595"/>
      <c r="AD611" s="596" t="str">
        <f>IF(AND(AC611&lt;&gt;"",S611&lt;&gt;""),NETWORKDAYS(AC611,S611,#REF!),"")</f>
        <v/>
      </c>
      <c r="AE611" s="596" t="str">
        <f ca="1">IF(AND(AD611="",AC611=""),"",IF(OR(AD611&lt;&gt;"",O611="*CANCELADO"),"",NETWORKDAYS(AC611,TODAY(),#REF!)))</f>
        <v/>
      </c>
      <c r="AF611" s="597" t="str">
        <f>IFERROR(INDEX(produtos_escape2!M:M,MATCH(Controle!H611,produtos_escape2!A:A,0)),"")</f>
        <v>LUVA NITRÍLICA G</v>
      </c>
    </row>
    <row r="612" spans="1:32" ht="14.25" customHeight="1">
      <c r="A612" s="176" t="s">
        <v>8349</v>
      </c>
      <c r="B612" s="176" t="s">
        <v>3608</v>
      </c>
      <c r="C612" s="177">
        <v>43986</v>
      </c>
      <c r="D612" s="176" t="s">
        <v>8781</v>
      </c>
      <c r="E612" s="176" t="s">
        <v>3009</v>
      </c>
      <c r="F612" s="259" t="s">
        <v>8782</v>
      </c>
      <c r="G612" s="176">
        <v>1</v>
      </c>
      <c r="H612" s="178">
        <v>92034</v>
      </c>
      <c r="I612" s="592">
        <f t="shared" si="20"/>
        <v>4</v>
      </c>
      <c r="J612" s="178" t="s">
        <v>816</v>
      </c>
      <c r="K612" s="178" t="s">
        <v>816</v>
      </c>
      <c r="L612" s="275" t="str">
        <f>IF(H:H=0,"",IF(ISERROR(VLOOKUP(H:H,produtos_escape2!$A$2:$B$2794,2,FALSE)),"Código não cadastrado",(VLOOKUP(H:H,produtos_escape2!$A$2:$B$2794,2,FALSE))))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612" s="593" t="str">
        <f>IF(H:H=0,"",IF(ISERROR(VLOOKUP(H:H,produtos_escape2!$A$2:$D$2794,2,FALSE)),"Código não cadastrado",(VLOOKUP(H:H,produtos_escape2!$A$2:$D$2794,4,FALSE))))</f>
        <v>UN</v>
      </c>
      <c r="N612" s="486">
        <v>100</v>
      </c>
      <c r="O612" s="176" t="s">
        <v>4380</v>
      </c>
      <c r="P612" s="486">
        <v>100</v>
      </c>
      <c r="Q612" s="247">
        <v>4.4000000000000004</v>
      </c>
      <c r="R612" s="246">
        <f t="shared" si="19"/>
        <v>440.00000000000006</v>
      </c>
      <c r="S612" s="177">
        <v>43991</v>
      </c>
      <c r="T612" s="182">
        <v>238847</v>
      </c>
      <c r="U612" s="177">
        <v>43999</v>
      </c>
      <c r="V612" s="177">
        <v>44000</v>
      </c>
      <c r="W612" s="177">
        <v>44004</v>
      </c>
      <c r="X612" s="176">
        <v>32493</v>
      </c>
      <c r="Y612" s="177">
        <v>44011</v>
      </c>
      <c r="Z612" s="415">
        <v>3</v>
      </c>
      <c r="AA612" s="488"/>
      <c r="AB612" s="594"/>
      <c r="AC612" s="595"/>
      <c r="AD612" s="596" t="str">
        <f>IF(AND(AC612&lt;&gt;"",S612&lt;&gt;""),NETWORKDAYS(AC612,S612,#REF!),"")</f>
        <v/>
      </c>
      <c r="AE612" s="596" t="str">
        <f ca="1">IF(AND(AD612="",AC612=""),"",IF(OR(AD612&lt;&gt;"",O612="*CANCELADO"),"",NETWORKDAYS(AC612,TODAY(),#REF!)))</f>
        <v/>
      </c>
      <c r="AF612" s="597" t="str">
        <f>IFERROR(INDEX(produtos_escape2!M:M,MATCH(Controle!H612,produtos_escape2!A:A,0)),"")</f>
        <v>TUBO ENDOTRAQUEAL</v>
      </c>
    </row>
    <row r="613" spans="1:32" ht="14.25" customHeight="1">
      <c r="A613" s="176" t="s">
        <v>8374</v>
      </c>
      <c r="B613" s="176" t="s">
        <v>3608</v>
      </c>
      <c r="C613" s="177">
        <v>43986</v>
      </c>
      <c r="D613" s="176" t="s">
        <v>8783</v>
      </c>
      <c r="E613" s="176" t="s">
        <v>1867</v>
      </c>
      <c r="F613" s="259" t="s">
        <v>8784</v>
      </c>
      <c r="G613" s="176">
        <v>1</v>
      </c>
      <c r="H613" s="178">
        <v>34534</v>
      </c>
      <c r="I613" s="592">
        <f t="shared" si="20"/>
        <v>7</v>
      </c>
      <c r="J613" s="178" t="s">
        <v>816</v>
      </c>
      <c r="K613" s="178" t="s">
        <v>816</v>
      </c>
      <c r="L613" s="275"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613" s="593" t="str">
        <f>IF(H:H=0,"",IF(ISERROR(VLOOKUP(H:H,produtos_escape2!$A$2:$D$2794,2,FALSE)),"Código não cadastrado",(VLOOKUP(H:H,produtos_escape2!$A$2:$D$2794,4,FALSE))))</f>
        <v>UN</v>
      </c>
      <c r="N613" s="486">
        <v>10000</v>
      </c>
      <c r="O613" s="176" t="s">
        <v>8849</v>
      </c>
      <c r="P613" s="486">
        <v>10000</v>
      </c>
      <c r="Q613" s="247">
        <v>0.89</v>
      </c>
      <c r="R613" s="246">
        <f t="shared" si="19"/>
        <v>8900</v>
      </c>
      <c r="S613" s="177">
        <v>43987</v>
      </c>
      <c r="T613" s="182">
        <v>451</v>
      </c>
      <c r="U613" s="177">
        <v>43990</v>
      </c>
      <c r="V613" s="177">
        <v>43991</v>
      </c>
      <c r="W613" s="177">
        <v>43992</v>
      </c>
      <c r="X613" s="176">
        <v>30827</v>
      </c>
      <c r="Y613" s="177">
        <v>44007</v>
      </c>
      <c r="Z613" s="415">
        <v>3</v>
      </c>
      <c r="AA613" s="488"/>
      <c r="AB613" s="594"/>
      <c r="AC613" s="595"/>
      <c r="AD613" s="596" t="str">
        <f>IF(AND(AC613&lt;&gt;"",S613&lt;&gt;""),NETWORKDAYS(AC613,S613,#REF!),"")</f>
        <v/>
      </c>
      <c r="AE613" s="596" t="str">
        <f ca="1">IF(AND(AD613="",AC613=""),"",IF(OR(AD613&lt;&gt;"",O613="*CANCELADO"),"",NETWORKDAYS(AC613,TODAY(),#REF!)))</f>
        <v/>
      </c>
      <c r="AF613" s="597" t="str">
        <f>IFERROR(INDEX(produtos_escape2!M:M,MATCH(Controle!H613,produtos_escape2!A:A,0)),"")</f>
        <v>EQUIPO SIMPLES PARA INFUSÃO DE SOLUÇÕES PARENTERAIS</v>
      </c>
    </row>
    <row r="614" spans="1:32" ht="14.25" customHeight="1">
      <c r="A614" s="176" t="s">
        <v>8327</v>
      </c>
      <c r="B614" s="176" t="s">
        <v>3608</v>
      </c>
      <c r="C614" s="177">
        <v>43986</v>
      </c>
      <c r="D614" s="176" t="s">
        <v>8785</v>
      </c>
      <c r="E614" s="176" t="s">
        <v>1866</v>
      </c>
      <c r="F614" s="259" t="s">
        <v>8786</v>
      </c>
      <c r="G614" s="176">
        <v>1</v>
      </c>
      <c r="H614" s="178">
        <v>90555</v>
      </c>
      <c r="I614" s="592">
        <f t="shared" si="20"/>
        <v>4</v>
      </c>
      <c r="J614" s="178" t="s">
        <v>816</v>
      </c>
      <c r="K614" s="178" t="s">
        <v>816</v>
      </c>
      <c r="L614" s="275" t="str">
        <f>IF(H:H=0,"",IF(ISERROR(VLOOKUP(H:H,produtos_escape2!$A$2:$B$2794,2,FALSE)),"Código não cadastrado",(VLOOKUP(H:H,produtos_escape2!$A$2:$B$2794,2,FALSE))))</f>
        <v>CLORETO DE SODIO SOLUÇAO INJETAVEL 20 % (3,4 MEQ/ML) AMPOLA 10 ML</v>
      </c>
      <c r="M614" s="593" t="str">
        <f>IF(H:H=0,"",IF(ISERROR(VLOOKUP(H:H,produtos_escape2!$A$2:$D$2794,2,FALSE)),"Código não cadastrado",(VLOOKUP(H:H,produtos_escape2!$A$2:$D$2794,4,FALSE))))</f>
        <v>AMP</v>
      </c>
      <c r="N614" s="486">
        <v>1000</v>
      </c>
      <c r="O614" s="176" t="s">
        <v>1868</v>
      </c>
      <c r="P614" s="486"/>
      <c r="Q614" s="247">
        <v>0.65</v>
      </c>
      <c r="R614" s="246">
        <f t="shared" si="19"/>
        <v>0</v>
      </c>
      <c r="S614" s="177">
        <v>43991</v>
      </c>
      <c r="T614" s="182"/>
      <c r="U614" s="177"/>
      <c r="V614" s="177"/>
      <c r="W614" s="177"/>
      <c r="X614" s="176"/>
      <c r="Y614" s="177"/>
      <c r="Z614" s="415">
        <v>3</v>
      </c>
      <c r="AA614" s="488" t="s">
        <v>9298</v>
      </c>
      <c r="AB614" s="594"/>
      <c r="AC614" s="595"/>
      <c r="AD614" s="596" t="str">
        <f>IF(AND(AC614&lt;&gt;"",S614&lt;&gt;""),NETWORKDAYS(AC614,S614,#REF!),"")</f>
        <v/>
      </c>
      <c r="AE614" s="596" t="str">
        <f ca="1">IF(AND(AD614="",AC614=""),"",IF(OR(AD614&lt;&gt;"",O614="*CANCELADO"),"",NETWORKDAYS(AC614,TODAY(),#REF!)))</f>
        <v/>
      </c>
      <c r="AF614" s="597" t="str">
        <f>IFERROR(INDEX(produtos_escape2!M:M,MATCH(Controle!H614,produtos_escape2!A:A,0)),"")</f>
        <v>CLORETO DE SODIO SOLUÇAO INJETAVEL 20 % (3</v>
      </c>
    </row>
    <row r="615" spans="1:32" ht="14.25" customHeight="1">
      <c r="A615" s="176" t="s">
        <v>8330</v>
      </c>
      <c r="B615" s="176" t="s">
        <v>3608</v>
      </c>
      <c r="C615" s="177">
        <v>43986</v>
      </c>
      <c r="D615" s="176" t="s">
        <v>8787</v>
      </c>
      <c r="E615" s="176" t="s">
        <v>3009</v>
      </c>
      <c r="F615" s="259" t="s">
        <v>8788</v>
      </c>
      <c r="G615" s="176">
        <v>1</v>
      </c>
      <c r="H615" s="178">
        <v>90914</v>
      </c>
      <c r="I615" s="592">
        <f t="shared" si="20"/>
        <v>5</v>
      </c>
      <c r="J615" s="178" t="s">
        <v>816</v>
      </c>
      <c r="K615" s="178" t="s">
        <v>816</v>
      </c>
      <c r="L615" s="275" t="str">
        <f>IF(H:H=0,"",IF(ISERROR(VLOOKUP(H:H,produtos_escape2!$A$2:$B$2794,2,FALSE)),"Código não cadastrado",(VLOOKUP(H:H,produtos_escape2!$A$2:$B$2794,2,FALSE))))</f>
        <v>SULFAMETOXAZOL + TRIMETROPIMA SOLUCAO INJETAVEL (400 MG + 80 MG)/5 ML AMPOLA 5 ML.</v>
      </c>
      <c r="M615" s="593" t="str">
        <f>IF(H:H=0,"",IF(ISERROR(VLOOKUP(H:H,produtos_escape2!$A$2:$D$2794,2,FALSE)),"Código não cadastrado",(VLOOKUP(H:H,produtos_escape2!$A$2:$D$2794,4,FALSE))))</f>
        <v>AMP</v>
      </c>
      <c r="N615" s="486">
        <v>400</v>
      </c>
      <c r="O615" s="176" t="s">
        <v>1868</v>
      </c>
      <c r="P615" s="486"/>
      <c r="Q615" s="247"/>
      <c r="R615" s="246">
        <f t="shared" si="19"/>
        <v>0</v>
      </c>
      <c r="S615" s="177">
        <v>43991</v>
      </c>
      <c r="T615" s="182"/>
      <c r="U615" s="177"/>
      <c r="V615" s="177"/>
      <c r="W615" s="177"/>
      <c r="X615" s="176"/>
      <c r="Y615" s="177"/>
      <c r="Z615" s="415">
        <v>3</v>
      </c>
      <c r="AA615" s="488" t="s">
        <v>8117</v>
      </c>
      <c r="AB615" s="594"/>
      <c r="AC615" s="595"/>
      <c r="AD615" s="596" t="str">
        <f>IF(AND(AC615&lt;&gt;"",S615&lt;&gt;""),NETWORKDAYS(AC615,S615,#REF!),"")</f>
        <v/>
      </c>
      <c r="AE615" s="596" t="str">
        <f ca="1">IF(AND(AD615="",AC615=""),"",IF(OR(AD615&lt;&gt;"",O615="*CANCELADO"),"",NETWORKDAYS(AC615,TODAY(),#REF!)))</f>
        <v/>
      </c>
      <c r="AF615" s="597" t="str">
        <f>IFERROR(INDEX(produtos_escape2!M:M,MATCH(Controle!H615,produtos_escape2!A:A,0)),"")</f>
        <v>SULFAMETOXAZOL + TRIMETROPIMA SOLUCAO INJETAVEL (400 MG + 80 MG)/5 ML AMPOLA 5 ML</v>
      </c>
    </row>
    <row r="616" spans="1:32" ht="14.25" customHeight="1">
      <c r="A616" s="176" t="s">
        <v>7856</v>
      </c>
      <c r="B616" s="176" t="s">
        <v>7207</v>
      </c>
      <c r="C616" s="177">
        <v>43986</v>
      </c>
      <c r="D616" s="176" t="s">
        <v>8789</v>
      </c>
      <c r="E616" s="176" t="s">
        <v>1867</v>
      </c>
      <c r="F616" s="259" t="s">
        <v>8790</v>
      </c>
      <c r="G616" s="176">
        <v>1</v>
      </c>
      <c r="H616" s="178">
        <v>562</v>
      </c>
      <c r="I616" s="592">
        <f t="shared" si="20"/>
        <v>3</v>
      </c>
      <c r="J616" s="178" t="s">
        <v>816</v>
      </c>
      <c r="K616" s="178" t="s">
        <v>816</v>
      </c>
      <c r="L616" s="275" t="str">
        <f>IF(H:H=0,"",IF(ISERROR(VLOOKUP(H:H,produtos_escape2!$A$2:$B$2794,2,FALSE)),"Código não cadastrado",(VLOOKUP(H:H,produtos_escape2!$A$2:$B$2794,2,FALSE))))</f>
        <v>DETERGENTE,Composição: ph neutro,glicerinado, Aspecto Físico: líquido, Aplicação: para pia, Características  Adicionais: Altamente Concentrado Biodegradável,ausência de    eletrolitos espessantes,Unidade De Fornecimento: frasco com 500 ml</v>
      </c>
      <c r="M616" s="593" t="str">
        <f>IF(H:H=0,"",IF(ISERROR(VLOOKUP(H:H,produtos_escape2!$A$2:$D$2794,2,FALSE)),"Código não cadastrado",(VLOOKUP(H:H,produtos_escape2!$A$2:$D$2794,4,FALSE))))</f>
        <v>FR</v>
      </c>
      <c r="N616" s="486">
        <v>2000</v>
      </c>
      <c r="O616" s="176" t="s">
        <v>4358</v>
      </c>
      <c r="P616" s="486">
        <v>2000</v>
      </c>
      <c r="Q616" s="247">
        <v>1.37</v>
      </c>
      <c r="R616" s="246">
        <f t="shared" si="19"/>
        <v>2740</v>
      </c>
      <c r="S616" s="177">
        <v>43987</v>
      </c>
      <c r="T616" s="182">
        <v>1015</v>
      </c>
      <c r="U616" s="177">
        <v>43994</v>
      </c>
      <c r="V616" s="177">
        <v>43998</v>
      </c>
      <c r="W616" s="177">
        <v>43998</v>
      </c>
      <c r="X616" s="176">
        <v>32411</v>
      </c>
      <c r="Y616" s="177">
        <v>44011</v>
      </c>
      <c r="Z616" s="415">
        <v>3</v>
      </c>
      <c r="AA616" s="488"/>
      <c r="AB616" s="594"/>
      <c r="AC616" s="595"/>
      <c r="AD616" s="596" t="str">
        <f>IF(AND(AC616&lt;&gt;"",S616&lt;&gt;""),NETWORKDAYS(AC616,S616,#REF!),"")</f>
        <v/>
      </c>
      <c r="AE616" s="596" t="str">
        <f ca="1">IF(AND(AD616="",AC616=""),"",IF(OR(AD616&lt;&gt;"",O616="*CANCELADO"),"",NETWORKDAYS(AC616,TODAY(),#REF!)))</f>
        <v/>
      </c>
      <c r="AF616" s="597" t="str">
        <f>IFERROR(INDEX(produtos_escape2!M:M,MATCH(Controle!H616,produtos_escape2!A:A,0)),"")</f>
        <v>DETERGENTE</v>
      </c>
    </row>
    <row r="617" spans="1:32" ht="14.25" customHeight="1">
      <c r="A617" s="176" t="s">
        <v>7865</v>
      </c>
      <c r="B617" s="176" t="s">
        <v>7207</v>
      </c>
      <c r="C617" s="177">
        <v>43986</v>
      </c>
      <c r="D617" s="176" t="s">
        <v>8791</v>
      </c>
      <c r="E617" s="176" t="s">
        <v>1865</v>
      </c>
      <c r="F617" s="259" t="s">
        <v>8792</v>
      </c>
      <c r="G617" s="176">
        <v>1</v>
      </c>
      <c r="H617" s="178">
        <v>588</v>
      </c>
      <c r="I617" s="592">
        <f t="shared" si="20"/>
        <v>1</v>
      </c>
      <c r="J617" s="178" t="s">
        <v>816</v>
      </c>
      <c r="K617" s="178" t="s">
        <v>816</v>
      </c>
      <c r="L617" s="275" t="str">
        <f>IF(H:H=0,"",IF(ISERROR(VLOOKUP(H:H,produtos_escape2!$A$2:$B$2794,2,FALSE)),"Código não cadastrado",(VLOOKUP(H:H,produtos_escape2!$A$2:$B$2794,2,FALSE))))</f>
        <v>SABÃO COCO,Composição Básica: coco natural, Aspecto Físico: sólido, Unidade De Fornecimento: barra de 200 gramas</v>
      </c>
      <c r="M617" s="593" t="str">
        <f>IF(H:H=0,"",IF(ISERROR(VLOOKUP(H:H,produtos_escape2!$A$2:$D$2794,2,FALSE)),"Código não cadastrado",(VLOOKUP(H:H,produtos_escape2!$A$2:$D$2794,4,FALSE))))</f>
        <v>UN</v>
      </c>
      <c r="N617" s="486">
        <v>1000</v>
      </c>
      <c r="O617" s="176" t="s">
        <v>3530</v>
      </c>
      <c r="P617" s="486">
        <v>990</v>
      </c>
      <c r="Q617" s="247">
        <v>1.5</v>
      </c>
      <c r="R617" s="246">
        <f t="shared" si="19"/>
        <v>1485</v>
      </c>
      <c r="S617" s="177">
        <v>43991</v>
      </c>
      <c r="T617" s="182">
        <v>1025</v>
      </c>
      <c r="U617" s="177">
        <v>43992</v>
      </c>
      <c r="V617" s="177">
        <v>43994</v>
      </c>
      <c r="W617" s="177">
        <v>43998</v>
      </c>
      <c r="X617" s="176">
        <v>32373</v>
      </c>
      <c r="Y617" s="177">
        <v>44011</v>
      </c>
      <c r="Z617" s="415">
        <v>3</v>
      </c>
      <c r="AA617" s="488"/>
      <c r="AB617" s="594"/>
      <c r="AC617" s="595"/>
      <c r="AD617" s="596" t="str">
        <f>IF(AND(AC617&lt;&gt;"",S617&lt;&gt;""),NETWORKDAYS(AC617,S617,#REF!),"")</f>
        <v/>
      </c>
      <c r="AE617" s="596" t="str">
        <f ca="1">IF(AND(AD617="",AC617=""),"",IF(OR(AD617&lt;&gt;"",O617="*CANCELADO"),"",NETWORKDAYS(AC617,TODAY(),#REF!)))</f>
        <v/>
      </c>
      <c r="AF617" s="597" t="str">
        <f>IFERROR(INDEX(produtos_escape2!M:M,MATCH(Controle!H617,produtos_escape2!A:A,0)),"")</f>
        <v>SABÃO COCO</v>
      </c>
    </row>
    <row r="618" spans="1:32" ht="14.25" customHeight="1">
      <c r="A618" s="176" t="s">
        <v>7866</v>
      </c>
      <c r="B618" s="176" t="s">
        <v>7207</v>
      </c>
      <c r="C618" s="177">
        <v>43986</v>
      </c>
      <c r="D618" s="176" t="s">
        <v>8793</v>
      </c>
      <c r="E618" s="176" t="s">
        <v>1866</v>
      </c>
      <c r="F618" s="259" t="s">
        <v>8794</v>
      </c>
      <c r="G618" s="176">
        <v>1</v>
      </c>
      <c r="H618" s="178">
        <v>49242</v>
      </c>
      <c r="I618" s="592">
        <f t="shared" si="20"/>
        <v>2</v>
      </c>
      <c r="J618" s="178" t="s">
        <v>816</v>
      </c>
      <c r="K618" s="178" t="s">
        <v>816</v>
      </c>
      <c r="L618" s="275" t="str">
        <f>IF(H:H=0,"",IF(ISERROR(VLOOKUP(H:H,produtos_escape2!$A$2:$B$2794,2,FALSE)),"Código não cadastrado",(VLOOKUP(H:H,produtos_escape2!$A$2:$B$2794,2,FALSE))))</f>
        <v>SABONETE, Aspecto Físico: sólido, Material: neutro, Tipo Uso: infantil, Unidade De Fornecimento: barra de 80 gramas.</v>
      </c>
      <c r="M618" s="593" t="str">
        <f>IF(H:H=0,"",IF(ISERROR(VLOOKUP(H:H,produtos_escape2!$A$2:$D$2794,2,FALSE)),"Código não cadastrado",(VLOOKUP(H:H,produtos_escape2!$A$2:$D$2794,4,FALSE))))</f>
        <v>UN</v>
      </c>
      <c r="N618" s="486">
        <v>2500</v>
      </c>
      <c r="O618" s="176" t="s">
        <v>4432</v>
      </c>
      <c r="P618" s="486">
        <v>2500</v>
      </c>
      <c r="Q618" s="247">
        <v>1.68</v>
      </c>
      <c r="R618" s="246">
        <f t="shared" si="19"/>
        <v>4200</v>
      </c>
      <c r="S618" s="177">
        <v>43990</v>
      </c>
      <c r="T618" s="182">
        <v>9059</v>
      </c>
      <c r="U618" s="177">
        <v>43994</v>
      </c>
      <c r="V618" s="177">
        <v>43994</v>
      </c>
      <c r="W618" s="177">
        <v>43994</v>
      </c>
      <c r="X618" s="176">
        <v>32387</v>
      </c>
      <c r="Y618" s="177">
        <v>44011</v>
      </c>
      <c r="Z618" s="415">
        <v>3</v>
      </c>
      <c r="AA618" s="488"/>
      <c r="AB618" s="594"/>
      <c r="AC618" s="595"/>
      <c r="AD618" s="596" t="str">
        <f>IF(AND(AC618&lt;&gt;"",S618&lt;&gt;""),NETWORKDAYS(AC618,S618,#REF!),"")</f>
        <v/>
      </c>
      <c r="AE618" s="596" t="str">
        <f ca="1">IF(AND(AD618="",AC618=""),"",IF(OR(AD618&lt;&gt;"",O618="*CANCELADO"),"",NETWORKDAYS(AC618,TODAY(),#REF!)))</f>
        <v/>
      </c>
      <c r="AF618" s="597" t="str">
        <f>IFERROR(INDEX(produtos_escape2!M:M,MATCH(Controle!H618,produtos_escape2!A:A,0)),"")</f>
        <v>SABONETE</v>
      </c>
    </row>
    <row r="619" spans="1:32" ht="14.25" customHeight="1">
      <c r="A619" s="176" t="s">
        <v>7867</v>
      </c>
      <c r="B619" s="176" t="s">
        <v>7207</v>
      </c>
      <c r="C619" s="177">
        <v>43986</v>
      </c>
      <c r="D619" s="176" t="s">
        <v>8795</v>
      </c>
      <c r="E619" s="176" t="s">
        <v>3009</v>
      </c>
      <c r="F619" s="259" t="s">
        <v>8796</v>
      </c>
      <c r="G619" s="176">
        <v>1</v>
      </c>
      <c r="H619" s="178">
        <v>589</v>
      </c>
      <c r="I619" s="592">
        <f t="shared" si="20"/>
        <v>1</v>
      </c>
      <c r="J619" s="178" t="s">
        <v>816</v>
      </c>
      <c r="K619" s="178" t="s">
        <v>816</v>
      </c>
      <c r="L619" s="275" t="str">
        <f>IF(H:H=0,"",IF(ISERROR(VLOOKUP(H:H,produtos_escape2!$A$2:$B$2794,2,FALSE)),"Código não cadastrado",(VLOOKUP(H:H,produtos_escape2!$A$2:$B$2794,2,FALSE))))</f>
        <v>SABÃO COMUM, Composição: básica glicerinado, Aspecto Físico: sólido, Unidade De Fornecimento: barra de 200 gramas</v>
      </c>
      <c r="M619" s="593" t="str">
        <f>IF(H:H=0,"",IF(ISERROR(VLOOKUP(H:H,produtos_escape2!$A$2:$D$2794,2,FALSE)),"Código não cadastrado",(VLOOKUP(H:H,produtos_escape2!$A$2:$D$2794,4,FALSE))))</f>
        <v>UN</v>
      </c>
      <c r="N619" s="486">
        <v>1000</v>
      </c>
      <c r="O619" s="176" t="s">
        <v>3530</v>
      </c>
      <c r="P619" s="486">
        <v>1000</v>
      </c>
      <c r="Q619" s="247">
        <v>0.9</v>
      </c>
      <c r="R619" s="246">
        <f t="shared" si="19"/>
        <v>900</v>
      </c>
      <c r="S619" s="177">
        <v>43991</v>
      </c>
      <c r="T619" s="182">
        <v>1051</v>
      </c>
      <c r="U619" s="177">
        <v>44012</v>
      </c>
      <c r="V619" s="177">
        <v>44013</v>
      </c>
      <c r="W619" s="177">
        <v>44013</v>
      </c>
      <c r="X619" s="176">
        <v>46017</v>
      </c>
      <c r="Y619" s="177">
        <v>44032</v>
      </c>
      <c r="Z619" s="415">
        <v>4</v>
      </c>
      <c r="AA619" s="488"/>
      <c r="AB619" s="594"/>
      <c r="AC619" s="595"/>
      <c r="AD619" s="596" t="str">
        <f>IF(AND(AC619&lt;&gt;"",S619&lt;&gt;""),NETWORKDAYS(AC619,S619,#REF!),"")</f>
        <v/>
      </c>
      <c r="AE619" s="596" t="str">
        <f ca="1">IF(AND(AD619="",AC619=""),"",IF(OR(AD619&lt;&gt;"",O619="*CANCELADO"),"",NETWORKDAYS(AC619,TODAY(),#REF!)))</f>
        <v/>
      </c>
      <c r="AF619" s="597" t="str">
        <f>IFERROR(INDEX(produtos_escape2!M:M,MATCH(Controle!H619,produtos_escape2!A:A,0)),"")</f>
        <v>SABÃO COMUM</v>
      </c>
    </row>
    <row r="620" spans="1:32" ht="14.25" customHeight="1">
      <c r="A620" s="176" t="s">
        <v>7868</v>
      </c>
      <c r="B620" s="176" t="s">
        <v>7207</v>
      </c>
      <c r="C620" s="177">
        <v>43986</v>
      </c>
      <c r="D620" s="176" t="s">
        <v>8799</v>
      </c>
      <c r="E620" s="176" t="s">
        <v>1867</v>
      </c>
      <c r="F620" s="259" t="s">
        <v>8798</v>
      </c>
      <c r="G620" s="176">
        <v>1</v>
      </c>
      <c r="H620" s="178">
        <v>21222</v>
      </c>
      <c r="I620" s="592">
        <f t="shared" si="20"/>
        <v>2</v>
      </c>
      <c r="J620" s="178" t="s">
        <v>816</v>
      </c>
      <c r="K620" s="178" t="s">
        <v>816</v>
      </c>
      <c r="L620" s="275" t="str">
        <f>IF(H:H=0,"",IF(ISERROR(VLOOKUP(H:H,produtos_escape2!$A$2:$B$2794,2,FALSE)),"Código não cadastrado",(VLOOKUP(H:H,produtos_escape2!$A$2:$B$2794,2,FALSE))))</f>
        <v>ESCOVA PARA UNHAS, Material: sintético, Dimensões: 2,5 x 8 cm, Unidade De Estoque: unidade (UN), Unidade De Fornecimento: unidade</v>
      </c>
      <c r="M620" s="593" t="str">
        <f>IF(H:H=0,"",IF(ISERROR(VLOOKUP(H:H,produtos_escape2!$A$2:$D$2794,2,FALSE)),"Código não cadastrado",(VLOOKUP(H:H,produtos_escape2!$A$2:$D$2794,4,FALSE))))</f>
        <v>UN</v>
      </c>
      <c r="N620" s="486">
        <v>2000</v>
      </c>
      <c r="O620" s="176" t="s">
        <v>8923</v>
      </c>
      <c r="P620" s="486">
        <v>2000</v>
      </c>
      <c r="Q620" s="247">
        <v>2.95</v>
      </c>
      <c r="R620" s="246">
        <f t="shared" si="19"/>
        <v>5900</v>
      </c>
      <c r="S620" s="177">
        <v>44001</v>
      </c>
      <c r="T620" s="182">
        <v>3389</v>
      </c>
      <c r="U620" s="177">
        <v>44013</v>
      </c>
      <c r="V620" s="177">
        <v>44014</v>
      </c>
      <c r="W620" s="177">
        <v>44014</v>
      </c>
      <c r="X620" s="176">
        <v>46993</v>
      </c>
      <c r="Y620" s="177">
        <v>44033</v>
      </c>
      <c r="Z620" s="415">
        <v>4</v>
      </c>
      <c r="AA620" s="488"/>
      <c r="AB620" s="594"/>
      <c r="AC620" s="595"/>
      <c r="AD620" s="596" t="str">
        <f>IF(AND(AC620&lt;&gt;"",S620&lt;&gt;""),NETWORKDAYS(AC620,S620,#REF!),"")</f>
        <v/>
      </c>
      <c r="AE620" s="596" t="str">
        <f ca="1">IF(AND(AD620="",AC620=""),"",IF(OR(AD620&lt;&gt;"",O620="*CANCELADO"),"",NETWORKDAYS(AC620,TODAY(),#REF!)))</f>
        <v/>
      </c>
      <c r="AF620" s="597" t="str">
        <f>IFERROR(INDEX(produtos_escape2!M:M,MATCH(Controle!H620,produtos_escape2!A:A,0)),"")</f>
        <v>ESCOVA PARA UNHAS</v>
      </c>
    </row>
    <row r="621" spans="1:32" ht="14.25" customHeight="1">
      <c r="A621" s="176" t="s">
        <v>8348</v>
      </c>
      <c r="B621" s="176" t="s">
        <v>3608</v>
      </c>
      <c r="C621" s="177">
        <v>43986</v>
      </c>
      <c r="D621" s="176" t="s">
        <v>8801</v>
      </c>
      <c r="E621" s="176" t="s">
        <v>3009</v>
      </c>
      <c r="F621" s="259" t="s">
        <v>8800</v>
      </c>
      <c r="G621" s="176">
        <v>1</v>
      </c>
      <c r="H621" s="178">
        <v>92033</v>
      </c>
      <c r="I621" s="592">
        <f t="shared" si="20"/>
        <v>3</v>
      </c>
      <c r="J621" s="178" t="s">
        <v>816</v>
      </c>
      <c r="K621" s="178" t="s">
        <v>816</v>
      </c>
      <c r="L621" s="275" t="str">
        <f>IF(H:H=0,"",IF(ISERROR(VLOOKUP(H:H,produtos_escape2!$A$2:$B$2794,2,FALSE)),"Código não cadastrado",(VLOOKUP(H:H,produtos_escape2!$A$2:$B$2794,2,FALSE))))</f>
        <v>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v>
      </c>
      <c r="M621" s="593" t="str">
        <f>IF(H:H=0,"",IF(ISERROR(VLOOKUP(H:H,produtos_escape2!$A$2:$D$2794,2,FALSE)),"Código não cadastrado",(VLOOKUP(H:H,produtos_escape2!$A$2:$D$2794,4,FALSE))))</f>
        <v>UN</v>
      </c>
      <c r="N621" s="486">
        <v>100</v>
      </c>
      <c r="O621" s="176" t="s">
        <v>4357</v>
      </c>
      <c r="P621" s="486">
        <v>100</v>
      </c>
      <c r="Q621" s="247">
        <v>4.9000000000000004</v>
      </c>
      <c r="R621" s="246">
        <f t="shared" si="19"/>
        <v>490.00000000000006</v>
      </c>
      <c r="S621" s="177">
        <v>43991</v>
      </c>
      <c r="T621" s="182">
        <v>1559</v>
      </c>
      <c r="U621" s="177">
        <v>43992</v>
      </c>
      <c r="V621" s="177">
        <v>43994</v>
      </c>
      <c r="W621" s="177">
        <v>43998</v>
      </c>
      <c r="X621" s="176">
        <v>32485</v>
      </c>
      <c r="Y621" s="177">
        <v>44011</v>
      </c>
      <c r="Z621" s="415">
        <v>3</v>
      </c>
      <c r="AA621" s="488"/>
      <c r="AB621" s="594"/>
      <c r="AC621" s="595"/>
      <c r="AD621" s="596" t="str">
        <f>IF(AND(AC621&lt;&gt;"",S621&lt;&gt;""),NETWORKDAYS(AC621,S621,#REF!),"")</f>
        <v/>
      </c>
      <c r="AE621" s="596" t="str">
        <f ca="1">IF(AND(AD621="",AC621=""),"",IF(OR(AD621&lt;&gt;"",O621="*CANCELADO"),"",NETWORKDAYS(AC621,TODAY(),#REF!)))</f>
        <v/>
      </c>
      <c r="AF621" s="597" t="str">
        <f>IFERROR(INDEX(produtos_escape2!M:M,MATCH(Controle!H621,produtos_escape2!A:A,0)),"")</f>
        <v>TUBO ENDOTRAQUEAL</v>
      </c>
    </row>
    <row r="622" spans="1:32" ht="14.25" customHeight="1">
      <c r="A622" s="176" t="s">
        <v>8350</v>
      </c>
      <c r="B622" s="176" t="s">
        <v>3608</v>
      </c>
      <c r="C622" s="177">
        <v>43986</v>
      </c>
      <c r="D622" s="176" t="s">
        <v>8802</v>
      </c>
      <c r="E622" s="176" t="s">
        <v>3009</v>
      </c>
      <c r="F622" s="259" t="s">
        <v>8803</v>
      </c>
      <c r="G622" s="176">
        <v>1</v>
      </c>
      <c r="H622" s="178">
        <v>92035</v>
      </c>
      <c r="I622" s="592">
        <f t="shared" si="20"/>
        <v>6</v>
      </c>
      <c r="J622" s="178" t="s">
        <v>816</v>
      </c>
      <c r="K622" s="178" t="s">
        <v>816</v>
      </c>
      <c r="L622" s="275"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622" s="593" t="str">
        <f>IF(H:H=0,"",IF(ISERROR(VLOOKUP(H:H,produtos_escape2!$A$2:$D$2794,2,FALSE)),"Código não cadastrado",(VLOOKUP(H:H,produtos_escape2!$A$2:$D$2794,4,FALSE))))</f>
        <v>UN</v>
      </c>
      <c r="N622" s="486">
        <v>100</v>
      </c>
      <c r="O622" s="176" t="s">
        <v>4109</v>
      </c>
      <c r="P622" s="486">
        <v>100</v>
      </c>
      <c r="Q622" s="247">
        <v>6</v>
      </c>
      <c r="R622" s="246">
        <f t="shared" si="19"/>
        <v>600</v>
      </c>
      <c r="S622" s="177">
        <v>43991</v>
      </c>
      <c r="T622" s="182">
        <v>85840</v>
      </c>
      <c r="U622" s="177">
        <v>44001</v>
      </c>
      <c r="V622" s="177">
        <v>44004</v>
      </c>
      <c r="W622" s="177">
        <v>44006</v>
      </c>
      <c r="X622" s="176">
        <v>32478</v>
      </c>
      <c r="Y622" s="177">
        <v>44011</v>
      </c>
      <c r="Z622" s="415">
        <v>3</v>
      </c>
      <c r="AA622" s="488"/>
      <c r="AB622" s="594"/>
      <c r="AC622" s="595"/>
      <c r="AD622" s="596" t="str">
        <f>IF(AND(AC622&lt;&gt;"",S622&lt;&gt;""),NETWORKDAYS(AC622,S622,#REF!),"")</f>
        <v/>
      </c>
      <c r="AE622" s="596" t="str">
        <f ca="1">IF(AND(AD622="",AC622=""),"",IF(OR(AD622&lt;&gt;"",O622="*CANCELADO"),"",NETWORKDAYS(AC622,TODAY(),#REF!)))</f>
        <v/>
      </c>
      <c r="AF622" s="597" t="str">
        <f>IFERROR(INDEX(produtos_escape2!M:M,MATCH(Controle!H622,produtos_escape2!A:A,0)),"")</f>
        <v>TUBO ENDOTRAQUEAL</v>
      </c>
    </row>
    <row r="623" spans="1:32" ht="14.25" customHeight="1">
      <c r="A623" s="176" t="s">
        <v>8358</v>
      </c>
      <c r="B623" s="176" t="s">
        <v>3608</v>
      </c>
      <c r="C623" s="177">
        <v>43986</v>
      </c>
      <c r="D623" s="176" t="s">
        <v>8804</v>
      </c>
      <c r="E623" s="176" t="s">
        <v>1867</v>
      </c>
      <c r="F623" s="259" t="s">
        <v>8805</v>
      </c>
      <c r="G623" s="176">
        <v>1</v>
      </c>
      <c r="H623" s="178">
        <v>35897</v>
      </c>
      <c r="I623" s="592">
        <f t="shared" si="20"/>
        <v>4</v>
      </c>
      <c r="J623" s="178" t="s">
        <v>816</v>
      </c>
      <c r="K623" s="178" t="s">
        <v>816</v>
      </c>
      <c r="L623" s="275" t="str">
        <f>IF(H:H=0,"",IF(ISERROR(VLOOKUP(H:H,produtos_escape2!$A$2:$B$2794,2,FALSE)),"Código não cadastrado",(VLOOKUP(H:H,produtos_escape2!$A$2:$B$2794,2,FALSE))))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623" s="593" t="str">
        <f>IF(H:H=0,"",IF(ISERROR(VLOOKUP(H:H,produtos_escape2!$A$2:$D$2794,2,FALSE)),"Código não cadastrado",(VLOOKUP(H:H,produtos_escape2!$A$2:$D$2794,4,FALSE))))</f>
        <v>UN</v>
      </c>
      <c r="N623" s="486">
        <v>500</v>
      </c>
      <c r="O623" s="176" t="s">
        <v>7371</v>
      </c>
      <c r="P623" s="486">
        <v>500</v>
      </c>
      <c r="Q623" s="247">
        <v>24.9</v>
      </c>
      <c r="R623" s="246">
        <f t="shared" si="19"/>
        <v>12450</v>
      </c>
      <c r="S623" s="177">
        <v>43991</v>
      </c>
      <c r="T623" s="182" t="s">
        <v>8914</v>
      </c>
      <c r="U623" s="177">
        <v>43992</v>
      </c>
      <c r="V623" s="177">
        <v>43992</v>
      </c>
      <c r="W623" s="177">
        <v>43994</v>
      </c>
      <c r="X623" s="176">
        <v>32305</v>
      </c>
      <c r="Y623" s="177">
        <v>44011</v>
      </c>
      <c r="Z623" s="415">
        <v>3</v>
      </c>
      <c r="AA623" s="488"/>
      <c r="AB623" s="594"/>
      <c r="AC623" s="595"/>
      <c r="AD623" s="596" t="str">
        <f>IF(AND(AC623&lt;&gt;"",S623&lt;&gt;""),NETWORKDAYS(AC623,S623,#REF!),"")</f>
        <v/>
      </c>
      <c r="AE623" s="596" t="str">
        <f ca="1">IF(AND(AD623="",AC623=""),"",IF(OR(AD623&lt;&gt;"",O623="*CANCELADO"),"",NETWORKDAYS(AC623,TODAY(),#REF!)))</f>
        <v/>
      </c>
      <c r="AF623" s="597" t="str">
        <f>IFERROR(INDEX(produtos_escape2!M:M,MATCH(Controle!H623,produtos_escape2!A:A,0)),"")</f>
        <v>AGULHA ANESTÉSICA RAQUIDIANA 27G</v>
      </c>
    </row>
    <row r="624" spans="1:32" ht="14.25" customHeight="1">
      <c r="A624" s="176" t="s">
        <v>8359</v>
      </c>
      <c r="B624" s="176" t="s">
        <v>3608</v>
      </c>
      <c r="C624" s="177">
        <v>43986</v>
      </c>
      <c r="D624" s="176" t="s">
        <v>8806</v>
      </c>
      <c r="E624" s="176" t="s">
        <v>1865</v>
      </c>
      <c r="F624" s="259" t="s">
        <v>8807</v>
      </c>
      <c r="G624" s="176">
        <v>1</v>
      </c>
      <c r="H624" s="178">
        <v>91060</v>
      </c>
      <c r="I624" s="592">
        <f t="shared" si="20"/>
        <v>2</v>
      </c>
      <c r="J624" s="178" t="s">
        <v>816</v>
      </c>
      <c r="K624" s="178" t="s">
        <v>816</v>
      </c>
      <c r="L624" s="275" t="str">
        <f>IF(H:H=0,"",IF(ISERROR(VLOOKUP(H:H,produtos_escape2!$A$2:$B$2794,2,FALSE)),"Código não cadastrado",(VLOOKUP(H:H,produtos_escape2!$A$2:$B$2794,2,FALSE))))</f>
        <v>ALGODAO HIDROFILO BRANCO 20CMX100CM EM ROLO 500G</v>
      </c>
      <c r="M624" s="593" t="str">
        <f>IF(H:H=0,"",IF(ISERROR(VLOOKUP(H:H,produtos_escape2!$A$2:$D$2794,2,FALSE)),"Código não cadastrado",(VLOOKUP(H:H,produtos_escape2!$A$2:$D$2794,4,FALSE))))</f>
        <v>RL</v>
      </c>
      <c r="N624" s="486">
        <v>200</v>
      </c>
      <c r="O624" s="176" t="s">
        <v>8849</v>
      </c>
      <c r="P624" s="486">
        <v>100</v>
      </c>
      <c r="Q624" s="247">
        <v>8.49</v>
      </c>
      <c r="R624" s="246">
        <f t="shared" si="19"/>
        <v>849</v>
      </c>
      <c r="S624" s="177">
        <v>43991</v>
      </c>
      <c r="T624" s="182">
        <v>477</v>
      </c>
      <c r="U624" s="177">
        <v>44000</v>
      </c>
      <c r="V624" s="177">
        <v>44000</v>
      </c>
      <c r="W624" s="177">
        <v>44004</v>
      </c>
      <c r="X624" s="176">
        <v>32448</v>
      </c>
      <c r="Y624" s="177">
        <v>44011</v>
      </c>
      <c r="Z624" s="415">
        <v>3</v>
      </c>
      <c r="AA624" s="488"/>
      <c r="AB624" s="594"/>
      <c r="AC624" s="595"/>
      <c r="AD624" s="596" t="str">
        <f>IF(AND(AC624&lt;&gt;"",S624&lt;&gt;""),NETWORKDAYS(AC624,S624,#REF!),"")</f>
        <v/>
      </c>
      <c r="AE624" s="596" t="str">
        <f ca="1">IF(AND(AD624="",AC624=""),"",IF(OR(AD624&lt;&gt;"",O624="*CANCELADO"),"",NETWORKDAYS(AC624,TODAY(),#REF!)))</f>
        <v/>
      </c>
      <c r="AF624" s="597" t="str">
        <f>IFERROR(INDEX(produtos_escape2!M:M,MATCH(Controle!H624,produtos_escape2!A:A,0)),"")</f>
        <v>ALGODAO HIDROFILO BRANCO 20CMX100CM EM ROLO 500G</v>
      </c>
    </row>
    <row r="625" spans="1:32" ht="14.25" customHeight="1">
      <c r="A625" s="176" t="s">
        <v>8360</v>
      </c>
      <c r="B625" s="176" t="s">
        <v>3608</v>
      </c>
      <c r="C625" s="177">
        <v>43986</v>
      </c>
      <c r="D625" s="176" t="s">
        <v>8809</v>
      </c>
      <c r="E625" s="176" t="s">
        <v>1866</v>
      </c>
      <c r="F625" s="259" t="s">
        <v>8808</v>
      </c>
      <c r="G625" s="176">
        <v>1</v>
      </c>
      <c r="H625" s="178">
        <v>91207</v>
      </c>
      <c r="I625" s="592">
        <f t="shared" si="20"/>
        <v>4</v>
      </c>
      <c r="J625" s="178" t="s">
        <v>816</v>
      </c>
      <c r="K625" s="178" t="s">
        <v>816</v>
      </c>
      <c r="L625" s="275" t="str">
        <f>IF(H:H=0,"",IF(ISERROR(VLOOKUP(H:H,produtos_escape2!$A$2:$B$2794,2,FALSE)),"Código não cadastrado",(VLOOKUP(H:H,produtos_escape2!$A$2:$B$2794,2,FALSE))))</f>
        <v>CURATIVO DE HIDROFIBRA, ESTERIL. Composição: carboximetilcelulose associada à prata, estéril, não aderente. Tamanho: 15x15cm. Apresentação: embalagem individual.</v>
      </c>
      <c r="M625" s="593" t="str">
        <f>IF(H:H=0,"",IF(ISERROR(VLOOKUP(H:H,produtos_escape2!$A$2:$D$2794,2,FALSE)),"Código não cadastrado",(VLOOKUP(H:H,produtos_escape2!$A$2:$D$2794,4,FALSE))))</f>
        <v>UN</v>
      </c>
      <c r="N625" s="486">
        <v>300</v>
      </c>
      <c r="O625" s="176" t="s">
        <v>7285</v>
      </c>
      <c r="P625" s="486">
        <v>300</v>
      </c>
      <c r="Q625" s="247">
        <v>50.4</v>
      </c>
      <c r="R625" s="246">
        <f t="shared" si="19"/>
        <v>15120</v>
      </c>
      <c r="S625" s="177">
        <v>43991</v>
      </c>
      <c r="T625" s="182">
        <v>56533</v>
      </c>
      <c r="U625" s="177">
        <v>43991</v>
      </c>
      <c r="V625" s="177">
        <v>44000</v>
      </c>
      <c r="W625" s="177">
        <v>44004</v>
      </c>
      <c r="X625" s="176">
        <v>32492</v>
      </c>
      <c r="Y625" s="177">
        <v>44011</v>
      </c>
      <c r="Z625" s="415">
        <v>3</v>
      </c>
      <c r="AA625" s="488"/>
      <c r="AB625" s="594"/>
      <c r="AC625" s="595"/>
      <c r="AD625" s="596" t="str">
        <f>IF(AND(AC625&lt;&gt;"",S625&lt;&gt;""),NETWORKDAYS(AC625,S625,#REF!),"")</f>
        <v/>
      </c>
      <c r="AE625" s="596" t="str">
        <f ca="1">IF(AND(AD625="",AC625=""),"",IF(OR(AD625&lt;&gt;"",O625="*CANCELADO"),"",NETWORKDAYS(AC625,TODAY(),#REF!)))</f>
        <v/>
      </c>
      <c r="AF625" s="597" t="str">
        <f>IFERROR(INDEX(produtos_escape2!M:M,MATCH(Controle!H625,produtos_escape2!A:A,0)),"")</f>
        <v>CURATIVO DE HIDROFIBRA</v>
      </c>
    </row>
    <row r="626" spans="1:32" ht="14.25" customHeight="1">
      <c r="A626" s="176" t="s">
        <v>7387</v>
      </c>
      <c r="B626" s="176" t="s">
        <v>1687</v>
      </c>
      <c r="C626" s="177">
        <v>43986</v>
      </c>
      <c r="D626" s="176" t="s">
        <v>8812</v>
      </c>
      <c r="E626" s="176" t="s">
        <v>3008</v>
      </c>
      <c r="F626" s="259" t="s">
        <v>8810</v>
      </c>
      <c r="G626" s="176">
        <v>1</v>
      </c>
      <c r="H626" s="178" t="s">
        <v>7850</v>
      </c>
      <c r="I626" s="592">
        <f t="shared" si="20"/>
        <v>3</v>
      </c>
      <c r="J626" s="178"/>
      <c r="K626" s="178"/>
      <c r="L626" s="275" t="str">
        <f>IF(H:H=0,"",IF(ISERROR(VLOOKUP(H:H,produtos_escape2!$A$2:$B$2794,2,FALSE)),"Código não cadastrado",(VLOOKUP(H:H,produtos_escape2!$A$2:$B$2794,2,FALSE))))</f>
        <v xml:space="preserve">CONSERTO DE Conjunto de Perfuradores, Marca STRYKER, Nº. Patrimônio 1405495 (4 itens)
</v>
      </c>
      <c r="M626" s="593" t="str">
        <f>IF(H:H=0,"",IF(ISERROR(VLOOKUP(H:H,produtos_escape2!$A$2:$D$2794,2,FALSE)),"Código não cadastrado",(VLOOKUP(H:H,produtos_escape2!$A$2:$D$2794,4,FALSE))))</f>
        <v>Serviço</v>
      </c>
      <c r="N626" s="486">
        <v>1</v>
      </c>
      <c r="O626" s="176" t="s">
        <v>1868</v>
      </c>
      <c r="P626" s="486"/>
      <c r="Q626" s="247"/>
      <c r="R626" s="246">
        <f t="shared" si="19"/>
        <v>0</v>
      </c>
      <c r="S626" s="177"/>
      <c r="T626" s="182"/>
      <c r="U626" s="177"/>
      <c r="V626" s="177"/>
      <c r="W626" s="177"/>
      <c r="X626" s="176"/>
      <c r="Y626" s="177"/>
      <c r="Z626" s="415">
        <v>3</v>
      </c>
      <c r="AA626" s="488" t="s">
        <v>9297</v>
      </c>
      <c r="AB626" s="594"/>
      <c r="AC626" s="595"/>
      <c r="AD626" s="596"/>
      <c r="AE626" s="596"/>
      <c r="AF626" s="597">
        <f>IFERROR(INDEX(produtos_escape2!M:M,MATCH(Controle!H626,produtos_escape2!A:A,0)),"")</f>
        <v>0</v>
      </c>
    </row>
    <row r="627" spans="1:32" ht="14.25" customHeight="1">
      <c r="A627" s="176" t="s">
        <v>7402</v>
      </c>
      <c r="B627" s="176" t="s">
        <v>1687</v>
      </c>
      <c r="C627" s="177">
        <v>43986</v>
      </c>
      <c r="D627" s="176" t="s">
        <v>8813</v>
      </c>
      <c r="E627" s="176" t="s">
        <v>3008</v>
      </c>
      <c r="F627" s="259" t="s">
        <v>8811</v>
      </c>
      <c r="G627" s="176">
        <v>1</v>
      </c>
      <c r="H627" s="178" t="s">
        <v>8814</v>
      </c>
      <c r="I627" s="592">
        <f t="shared" si="20"/>
        <v>1</v>
      </c>
      <c r="J627" s="178"/>
      <c r="K627" s="178"/>
      <c r="L627" s="275" t="str">
        <f>IF(H:H=0,"",IF(ISERROR(VLOOKUP(H:H,produtos_escape2!$A$2:$B$2794,2,FALSE)),"Código não cadastrado",(VLOOKUP(H:H,produtos_escape2!$A$2:$B$2794,2,FALSE))))</f>
        <v>CONSERTO DE Termodesinfectora, Marca BAUMER, Nº Patrimônio 741165.</v>
      </c>
      <c r="M627" s="593" t="str">
        <f>IF(H:H=0,"",IF(ISERROR(VLOOKUP(H:H,produtos_escape2!$A$2:$D$2794,2,FALSE)),"Código não cadastrado",(VLOOKUP(H:H,produtos_escape2!$A$2:$D$2794,4,FALSE))))</f>
        <v>Serviço</v>
      </c>
      <c r="N627" s="486">
        <v>1</v>
      </c>
      <c r="O627" s="176" t="s">
        <v>8924</v>
      </c>
      <c r="P627" s="486">
        <v>1</v>
      </c>
      <c r="Q627" s="247">
        <v>5000</v>
      </c>
      <c r="R627" s="246">
        <f t="shared" si="19"/>
        <v>5000</v>
      </c>
      <c r="S627" s="177">
        <v>44090</v>
      </c>
      <c r="T627" s="182">
        <v>11</v>
      </c>
      <c r="U627" s="177">
        <v>44007</v>
      </c>
      <c r="V627" s="177">
        <v>44008</v>
      </c>
      <c r="W627" s="177">
        <v>44008</v>
      </c>
      <c r="X627" s="176">
        <v>46978</v>
      </c>
      <c r="Y627" s="177">
        <v>44033</v>
      </c>
      <c r="Z627" s="415">
        <v>4</v>
      </c>
      <c r="AA627" s="488"/>
      <c r="AB627" s="594"/>
      <c r="AC627" s="595"/>
      <c r="AD627" s="596"/>
      <c r="AE627" s="596"/>
      <c r="AF627" s="597">
        <f>IFERROR(INDEX(produtos_escape2!M:M,MATCH(Controle!H627,produtos_escape2!A:A,0)),"")</f>
        <v>0</v>
      </c>
    </row>
    <row r="628" spans="1:32" ht="14.25" customHeight="1">
      <c r="A628" s="176" t="s">
        <v>8386</v>
      </c>
      <c r="B628" s="176" t="s">
        <v>3608</v>
      </c>
      <c r="C628" s="177">
        <v>43986</v>
      </c>
      <c r="D628" s="176" t="s">
        <v>8817</v>
      </c>
      <c r="E628" s="176" t="s">
        <v>1867</v>
      </c>
      <c r="F628" s="259" t="s">
        <v>8818</v>
      </c>
      <c r="G628" s="176">
        <v>1</v>
      </c>
      <c r="H628" s="178">
        <v>12814</v>
      </c>
      <c r="I628" s="592">
        <f t="shared" si="20"/>
        <v>1</v>
      </c>
      <c r="J628" s="178" t="s">
        <v>816</v>
      </c>
      <c r="K628" s="178" t="s">
        <v>816</v>
      </c>
      <c r="L628" s="275" t="str">
        <f>IF(H:H=0,"",IF(ISERROR(VLOOKUP(H:H,produtos_escape2!$A$2:$B$2794,2,FALSE)),"Código não cadastrado",(VLOOKUP(H:H,produtos_escape2!$A$2:$B$2794,2,FALSE))))</f>
        <v>MASCARA DE NAO-REINALAÇAO - MODELO ADULTO SISTEMA COMPLETO, Tamanho: adulto, Características Adicionais: máscara para oxigenioterapia em vinil macio e transparente facilitando avaliação visual, com presilha ajustável de nariz para fixação confortável. Faixa elástica ajustável à face do paciente. Válvula de controle de baixa resistência, previne a reinalação de gases e duas membranas na máscara permitem a eliminação do gás exalado. Sistema completo, com bolsa reservatória de capacidade mínima de 750ml e tubo de suprimento de oxigênio com no mínimo 2,00m de comprimento. Permite terapia com até 100% de O2.</v>
      </c>
      <c r="M628" s="593" t="str">
        <f>IF(H:H=0,"",IF(ISERROR(VLOOKUP(H:H,produtos_escape2!$A$2:$D$2794,2,FALSE)),"Código não cadastrado",(VLOOKUP(H:H,produtos_escape2!$A$2:$D$2794,4,FALSE))))</f>
        <v>UN</v>
      </c>
      <c r="N628" s="486">
        <v>300</v>
      </c>
      <c r="O628" s="176" t="s">
        <v>8252</v>
      </c>
      <c r="P628" s="486">
        <v>300</v>
      </c>
      <c r="Q628" s="247">
        <v>23.55</v>
      </c>
      <c r="R628" s="246">
        <f t="shared" ref="R628:R691" si="21">P628*Q628</f>
        <v>7065</v>
      </c>
      <c r="S628" s="177">
        <v>43991</v>
      </c>
      <c r="T628" s="182">
        <v>6037</v>
      </c>
      <c r="U628" s="177">
        <v>44102</v>
      </c>
      <c r="V628" s="177">
        <v>44103</v>
      </c>
      <c r="W628" s="177">
        <v>44105</v>
      </c>
      <c r="X628" s="176">
        <v>15758</v>
      </c>
      <c r="Y628" s="177">
        <v>44144</v>
      </c>
      <c r="Z628" s="415">
        <v>6</v>
      </c>
      <c r="AA628" s="176"/>
      <c r="AB628" s="594"/>
      <c r="AC628" s="595"/>
      <c r="AD628" s="596" t="str">
        <f>IF(AND(AC628&lt;&gt;"",S628&lt;&gt;""),NETWORKDAYS(AC628,S628,#REF!),"")</f>
        <v/>
      </c>
      <c r="AE628" s="596" t="str">
        <f ca="1">IF(AND(AD628="",AC628=""),"",IF(OR(AD628&lt;&gt;"",O628="*CANCELADO"),"",NETWORKDAYS(AC628,TODAY(),#REF!)))</f>
        <v/>
      </c>
      <c r="AF628" s="597" t="str">
        <f>IFERROR(INDEX(produtos_escape2!M:M,MATCH(Controle!H628,produtos_escape2!A:A,0)),"")</f>
        <v>MASCARA NÃO REINALAÇÃO</v>
      </c>
    </row>
    <row r="629" spans="1:32" ht="14.25" customHeight="1">
      <c r="A629" s="176" t="s">
        <v>7879</v>
      </c>
      <c r="B629" s="176" t="s">
        <v>7207</v>
      </c>
      <c r="C629" s="177">
        <v>43987</v>
      </c>
      <c r="D629" s="176" t="s">
        <v>8829</v>
      </c>
      <c r="E629" s="176" t="s">
        <v>1866</v>
      </c>
      <c r="F629" s="259" t="s">
        <v>8832</v>
      </c>
      <c r="G629" s="176">
        <v>1</v>
      </c>
      <c r="H629" s="178">
        <v>16488</v>
      </c>
      <c r="I629" s="592">
        <f t="shared" si="20"/>
        <v>1</v>
      </c>
      <c r="J629" s="178" t="s">
        <v>816</v>
      </c>
      <c r="K629" s="178" t="s">
        <v>816</v>
      </c>
      <c r="L629" s="275" t="str">
        <f>IF(H:H=0,"",IF(ISERROR(VLOOKUP(H:H,produtos_escape2!$A$2:$B$2794,2,FALSE)),"Código não cadastrado",(VLOOKUP(H:H,produtos_escape2!$A$2:$B$2794,2,FALSE))))</f>
        <v>AVENTAL DE PROTEÇÃO RADIOLÓGICA 0,50 mm equivalente chumbo de proteção frontal e 0,25 mm equivalente chumbo de proteção nas costas. Aplicação: uso em centros cirúrgicos, raios X telecomandado e hemodinâmica. Uso em equipamentos de fluoroscopia. Características adicionais: borracha de alta resistência, flexível, livre de chumbo, acabamento em nylon impermeável, lavável, ombreira acolchoada, fecho por trava, velcro ou magnético. Tamanhos: Adulto (P/M/G) e infantil. Deverá ter o certificado de aprovação (CA) do MTE e registro na ANVISA.</v>
      </c>
      <c r="M629" s="593" t="str">
        <f>IF(H:H=0,"",IF(ISERROR(VLOOKUP(H:H,produtos_escape2!$A$2:$D$2794,2,FALSE)),"Código não cadastrado",(VLOOKUP(H:H,produtos_escape2!$A$2:$D$2794,4,FALSE))))</f>
        <v>UN</v>
      </c>
      <c r="N629" s="486">
        <v>30</v>
      </c>
      <c r="O629" s="176" t="s">
        <v>8923</v>
      </c>
      <c r="P629" s="486">
        <v>15</v>
      </c>
      <c r="Q629" s="247">
        <v>1490</v>
      </c>
      <c r="R629" s="246">
        <f t="shared" si="21"/>
        <v>22350</v>
      </c>
      <c r="S629" s="177">
        <v>43996</v>
      </c>
      <c r="T629" s="182">
        <v>3387</v>
      </c>
      <c r="U629" s="177">
        <v>44013</v>
      </c>
      <c r="V629" s="177">
        <v>44014</v>
      </c>
      <c r="W629" s="177">
        <v>44025</v>
      </c>
      <c r="X629" s="176">
        <v>47255</v>
      </c>
      <c r="Y629" s="177">
        <v>44033</v>
      </c>
      <c r="Z629" s="415">
        <v>4</v>
      </c>
      <c r="AA629" s="488"/>
      <c r="AB629" s="594"/>
      <c r="AC629" s="595"/>
      <c r="AD629" s="596" t="str">
        <f>IF(AND(AC629&lt;&gt;"",S629&lt;&gt;""),NETWORKDAYS(AC629,S629,#REF!),"")</f>
        <v/>
      </c>
      <c r="AE629" s="596" t="str">
        <f ca="1">IF(AND(AD629="",AC629=""),"",IF(OR(AD629&lt;&gt;"",O629="*CANCELADO"),"",NETWORKDAYS(AC629,TODAY(),#REF!)))</f>
        <v/>
      </c>
      <c r="AF629" s="597" t="str">
        <f>IFERROR(INDEX(produtos_escape2!M:M,MATCH(Controle!H629,produtos_escape2!A:A,0)),"")</f>
        <v xml:space="preserve">AVENTAL DE PROTEÇÃO RADIOLÓGICA 0,50 mm </v>
      </c>
    </row>
    <row r="630" spans="1:32" ht="14.25" customHeight="1">
      <c r="A630" s="176" t="s">
        <v>8345</v>
      </c>
      <c r="B630" s="176" t="s">
        <v>3608</v>
      </c>
      <c r="C630" s="177">
        <v>43895</v>
      </c>
      <c r="D630" s="176" t="s">
        <v>8835</v>
      </c>
      <c r="E630" s="176" t="s">
        <v>3009</v>
      </c>
      <c r="F630" s="259" t="s">
        <v>8833</v>
      </c>
      <c r="G630" s="176">
        <v>1</v>
      </c>
      <c r="H630" s="178">
        <v>36048</v>
      </c>
      <c r="I630" s="592">
        <f t="shared" si="20"/>
        <v>5</v>
      </c>
      <c r="J630" s="178" t="s">
        <v>816</v>
      </c>
      <c r="K630" s="178" t="s">
        <v>816</v>
      </c>
      <c r="L630" s="275"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630" s="593" t="str">
        <f>IF(H:H=0,"",IF(ISERROR(VLOOKUP(H:H,produtos_escape2!$A$2:$D$2794,2,FALSE)),"Código não cadastrado",(VLOOKUP(H:H,produtos_escape2!$A$2:$D$2794,4,FALSE))))</f>
        <v>UN</v>
      </c>
      <c r="N630" s="486">
        <v>5000</v>
      </c>
      <c r="O630" s="176" t="s">
        <v>4357</v>
      </c>
      <c r="P630" s="486">
        <v>5000</v>
      </c>
      <c r="Q630" s="247">
        <v>0.39500000000000002</v>
      </c>
      <c r="R630" s="246">
        <f t="shared" si="21"/>
        <v>1975</v>
      </c>
      <c r="S630" s="177">
        <v>43992</v>
      </c>
      <c r="T630" s="182">
        <v>1576</v>
      </c>
      <c r="U630" s="177">
        <v>44000</v>
      </c>
      <c r="V630" s="177">
        <v>44000</v>
      </c>
      <c r="W630" s="177">
        <v>44004</v>
      </c>
      <c r="X630" s="176">
        <v>32354</v>
      </c>
      <c r="Y630" s="177">
        <v>44011</v>
      </c>
      <c r="Z630" s="415">
        <v>3</v>
      </c>
      <c r="AA630" s="488"/>
      <c r="AB630" s="594"/>
      <c r="AC630" s="595"/>
      <c r="AD630" s="596" t="str">
        <f>IF(AND(AC630&lt;&gt;"",S630&lt;&gt;""),NETWORKDAYS(AC630,S630,#REF!),"")</f>
        <v/>
      </c>
      <c r="AE630" s="596" t="str">
        <f ca="1">IF(AND(AD630="",AC630=""),"",IF(OR(AD630&lt;&gt;"",O630="*CANCELADO"),"",NETWORKDAYS(AC630,TODAY(),#REF!)))</f>
        <v/>
      </c>
      <c r="AF630" s="597" t="str">
        <f>IFERROR(INDEX(produtos_escape2!M:M,MATCH(Controle!H630,produtos_escape2!A:A,0)),"")</f>
        <v>LUVA NITRÍLICA P</v>
      </c>
    </row>
    <row r="631" spans="1:32" ht="14.25" customHeight="1">
      <c r="A631" s="176" t="s">
        <v>8397</v>
      </c>
      <c r="B631" s="176" t="s">
        <v>3608</v>
      </c>
      <c r="C631" s="177">
        <v>43987</v>
      </c>
      <c r="D631" s="176" t="s">
        <v>8836</v>
      </c>
      <c r="E631" s="176" t="s">
        <v>1867</v>
      </c>
      <c r="F631" s="259" t="s">
        <v>8834</v>
      </c>
      <c r="G631" s="176">
        <v>1</v>
      </c>
      <c r="H631" s="178">
        <v>90262</v>
      </c>
      <c r="I631" s="592">
        <f t="shared" si="20"/>
        <v>4</v>
      </c>
      <c r="J631" s="178" t="s">
        <v>816</v>
      </c>
      <c r="K631" s="178" t="s">
        <v>816</v>
      </c>
      <c r="L631" s="275" t="str">
        <f>IF(H:H=0,"",IF(ISERROR(VLOOKUP(H:H,produtos_escape2!$A$2:$B$2794,2,FALSE)),"Código não cadastrado",(VLOOKUP(H:H,produtos_escape2!$A$2:$B$2794,2,FALSE))))</f>
        <v>NOREPINEFRINA (HEMITARTARATO) SOLUCAO INJETAVEL 2 MG/ML (EQUIVALENTE A 1MG/ML DE NOREPINEFRINA BASE) AMPOLA 4 ML</v>
      </c>
      <c r="M631" s="593" t="str">
        <f>IF(H:H=0,"",IF(ISERROR(VLOOKUP(H:H,produtos_escape2!$A$2:$D$2794,2,FALSE)),"Código não cadastrado",(VLOOKUP(H:H,produtos_escape2!$A$2:$D$2794,4,FALSE))))</f>
        <v>AMP</v>
      </c>
      <c r="N631" s="486">
        <v>2000</v>
      </c>
      <c r="O631" s="176" t="s">
        <v>4398</v>
      </c>
      <c r="P631" s="486">
        <v>2000</v>
      </c>
      <c r="Q631" s="247">
        <v>9.1999999999999993</v>
      </c>
      <c r="R631" s="246">
        <f t="shared" si="21"/>
        <v>18400</v>
      </c>
      <c r="S631" s="177">
        <v>43991</v>
      </c>
      <c r="T631" s="182">
        <v>1307649</v>
      </c>
      <c r="U631" s="177">
        <v>43992</v>
      </c>
      <c r="V631" s="177">
        <v>43997</v>
      </c>
      <c r="W631" s="177">
        <v>43998</v>
      </c>
      <c r="X631" s="176">
        <v>32519</v>
      </c>
      <c r="Y631" s="177">
        <v>44011</v>
      </c>
      <c r="Z631" s="415">
        <v>3</v>
      </c>
      <c r="AA631" s="488"/>
      <c r="AB631" s="594"/>
      <c r="AC631" s="595"/>
      <c r="AD631" s="596" t="str">
        <f>IF(AND(AC631&lt;&gt;"",S631&lt;&gt;""),NETWORKDAYS(AC631,S631,#REF!),"")</f>
        <v/>
      </c>
      <c r="AE631" s="596" t="str">
        <f ca="1">IF(AND(AD631="",AC631=""),"",IF(OR(AD631&lt;&gt;"",O631="*CANCELADO"),"",NETWORKDAYS(AC631,TODAY(),#REF!)))</f>
        <v/>
      </c>
      <c r="AF631" s="597" t="str">
        <f>IFERROR(INDEX(produtos_escape2!M:M,MATCH(Controle!H631,produtos_escape2!A:A,0)),"")</f>
        <v>NOREPINEFRINA (HEMITARTARATO</v>
      </c>
    </row>
    <row r="632" spans="1:32" ht="14.25" customHeight="1">
      <c r="A632" s="176" t="s">
        <v>7705</v>
      </c>
      <c r="B632" s="176" t="s">
        <v>7207</v>
      </c>
      <c r="C632" s="177">
        <v>43990</v>
      </c>
      <c r="D632" s="176" t="s">
        <v>8837</v>
      </c>
      <c r="E632" s="176" t="s">
        <v>1865</v>
      </c>
      <c r="F632" s="259" t="s">
        <v>8838</v>
      </c>
      <c r="G632" s="176">
        <v>1</v>
      </c>
      <c r="H632" s="178">
        <v>10823</v>
      </c>
      <c r="I632" s="592">
        <f t="shared" si="20"/>
        <v>1</v>
      </c>
      <c r="J632" s="178" t="s">
        <v>4381</v>
      </c>
      <c r="K632" s="178" t="s">
        <v>4381</v>
      </c>
      <c r="L632" s="275" t="str">
        <f>IF(H:H=0,"",IF(ISERROR(VLOOKUP(H:H,produtos_escape2!$A$2:$B$2794,2,FALSE)),"Código não cadastrado",(VLOOKUP(H:H,produtos_escape2!$A$2:$B$2794,2,FALSE))))</f>
        <v xml:space="preserve">VERIFICAR CÓDIGO 34084 (MESMA DESCRIÇÃO COM ALTERAÇÃO DE ORDEM DE ELEMENTOS)AVENTAL DESCARTÁVEL NÃO ESTÉRIL. Material: confeccionado 100% em falso tecido, Gramatura: 30gr/m². Tamanho: único, comprimento/altura mínima de 1,20m. Finalidade: barreira protetora aos profissionais de saúde nos procedimentos com exposição de fluídos e/ou contaminação por contato, Características adicionais: maleável, decote rente ao pescoço, com abertura nas costas, com tiras externa laterais para fechamento, com mangas compridas e punho com elástico, que não cause nenhuma irritação ao usuário, fácil uso e que não proporcione liberação de partículas. Unidade de fornecimento: UN - </v>
      </c>
      <c r="M632" s="593" t="str">
        <f>IF(H:H=0,"",IF(ISERROR(VLOOKUP(H:H,produtos_escape2!$A$2:$D$2794,2,FALSE)),"Código não cadastrado",(VLOOKUP(H:H,produtos_escape2!$A$2:$D$2794,4,FALSE))))</f>
        <v>UN</v>
      </c>
      <c r="N632" s="486">
        <v>10000</v>
      </c>
      <c r="O632" s="176" t="s">
        <v>1868</v>
      </c>
      <c r="P632" s="486"/>
      <c r="Q632" s="247"/>
      <c r="R632" s="246">
        <f t="shared" si="21"/>
        <v>0</v>
      </c>
      <c r="S632" s="177">
        <v>43992</v>
      </c>
      <c r="T632" s="182"/>
      <c r="U632" s="177"/>
      <c r="V632" s="177"/>
      <c r="W632" s="177"/>
      <c r="X632" s="176"/>
      <c r="Y632" s="177"/>
      <c r="Z632" s="415">
        <v>3</v>
      </c>
      <c r="AA632" s="488" t="s">
        <v>8905</v>
      </c>
      <c r="AB632" s="594"/>
      <c r="AC632" s="595"/>
      <c r="AD632" s="596" t="str">
        <f>IF(AND(AC632&lt;&gt;"",S632&lt;&gt;""),NETWORKDAYS(AC632,S632,#REF!),"")</f>
        <v/>
      </c>
      <c r="AE632" s="596" t="str">
        <f ca="1">IF(AND(AD632="",AC632=""),"",IF(OR(AD632&lt;&gt;"",O632="*CANCELADO"),"",NETWORKDAYS(AC632,TODAY(),#REF!)))</f>
        <v/>
      </c>
      <c r="AF632" s="597" t="str">
        <f>IFERROR(INDEX(produtos_escape2!M:M,MATCH(Controle!H632,produtos_escape2!A:A,0)),"")</f>
        <v>AVENTAL DESCARTÁVEL NÃO ESTÉRIL</v>
      </c>
    </row>
    <row r="633" spans="1:32" ht="14.25" customHeight="1">
      <c r="A633" s="176" t="s">
        <v>7883</v>
      </c>
      <c r="B633" s="176" t="s">
        <v>7207</v>
      </c>
      <c r="C633" s="177">
        <v>43990</v>
      </c>
      <c r="D633" s="176" t="s">
        <v>8839</v>
      </c>
      <c r="E633" s="176" t="s">
        <v>1866</v>
      </c>
      <c r="F633" s="259" t="s">
        <v>8840</v>
      </c>
      <c r="G633" s="176">
        <v>1</v>
      </c>
      <c r="H633" s="178">
        <v>20318</v>
      </c>
      <c r="I633" s="592">
        <f t="shared" si="20"/>
        <v>1</v>
      </c>
      <c r="J633" s="178" t="s">
        <v>816</v>
      </c>
      <c r="K633" s="178" t="s">
        <v>816</v>
      </c>
      <c r="L633" s="275" t="str">
        <f>IF(H:H=0,"",IF(ISERROR(VLOOKUP(H:H,produtos_escape2!$A$2:$B$2794,2,FALSE)),"Código não cadastrado",(VLOOKUP(H:H,produtos_escape2!$A$2:$B$2794,2,FALSE))))</f>
        <v>PAPEL CREPADO, Tamanho: 30 x 30 cm,  Composição: 100% celulose,Tipo Uso: único para embalagem hospitalar, Gramatura  Mínima: 60g/m2, Cor: azul ou verde, Características Adicionais:atóxico, antiestático, hidrorepelente, resistente ao manuseio, boa drapeabilidade, que não libere fribras ou partículas</v>
      </c>
      <c r="M633" s="593" t="str">
        <f>IF(H:H=0,"",IF(ISERROR(VLOOKUP(H:H,produtos_escape2!$A$2:$D$2794,2,FALSE)),"Código não cadastrado",(VLOOKUP(H:H,produtos_escape2!$A$2:$D$2794,4,FALSE))))</f>
        <v>UN</v>
      </c>
      <c r="N633" s="486">
        <v>10000</v>
      </c>
      <c r="O633" s="176" t="s">
        <v>1868</v>
      </c>
      <c r="P633" s="486"/>
      <c r="Q633" s="247"/>
      <c r="R633" s="246">
        <f t="shared" si="21"/>
        <v>0</v>
      </c>
      <c r="S633" s="177">
        <v>43994</v>
      </c>
      <c r="T633" s="182"/>
      <c r="U633" s="177"/>
      <c r="V633" s="177"/>
      <c r="W633" s="177"/>
      <c r="X633" s="176"/>
      <c r="Y633" s="177"/>
      <c r="Z633" s="415">
        <v>3</v>
      </c>
      <c r="AA633" s="488" t="s">
        <v>8922</v>
      </c>
      <c r="AB633" s="594"/>
      <c r="AC633" s="595"/>
      <c r="AD633" s="596"/>
      <c r="AE633" s="596"/>
      <c r="AF633" s="597" t="str">
        <f>IFERROR(INDEX(produtos_escape2!M:M,MATCH(Controle!H633,produtos_escape2!A:A,0)),"")</f>
        <v>PAPEL CREPADO</v>
      </c>
    </row>
    <row r="634" spans="1:32" ht="14.25" customHeight="1">
      <c r="A634" s="176" t="s">
        <v>7883</v>
      </c>
      <c r="B634" s="176" t="s">
        <v>7207</v>
      </c>
      <c r="C634" s="177">
        <v>43990</v>
      </c>
      <c r="D634" s="176" t="s">
        <v>8839</v>
      </c>
      <c r="E634" s="176" t="s">
        <v>1866</v>
      </c>
      <c r="F634" s="259" t="s">
        <v>8840</v>
      </c>
      <c r="G634" s="176">
        <v>2</v>
      </c>
      <c r="H634" s="178">
        <v>4623</v>
      </c>
      <c r="I634" s="592">
        <f t="shared" si="20"/>
        <v>1</v>
      </c>
      <c r="J634" s="178" t="s">
        <v>816</v>
      </c>
      <c r="K634" s="178" t="s">
        <v>816</v>
      </c>
      <c r="L634" s="275" t="str">
        <f>IF(H:H=0,"",IF(ISERROR(VLOOKUP(H:H,produtos_escape2!$A$2:$B$2794,2,FALSE)),"Código não cadastrado",(VLOOKUP(H:H,produtos_escape2!$A$2:$B$2794,2,FALSE))))</f>
        <v>PAPEL CREPADO, Tamanho: 40 x 40 cm,  Composição: 100% celulose,Tipo Uso: único para embalagem hospitalar, Gramatura  Mínima: 60g/m2, Cor: azul ou verde, Características Adicionais:atóxico, antiestático, hidrorepelente, resistente ao manuseio, boa drapeabilidade, que não libere fribras ou partículas.</v>
      </c>
      <c r="M634" s="593" t="str">
        <f>IF(H:H=0,"",IF(ISERROR(VLOOKUP(H:H,produtos_escape2!$A$2:$D$2794,2,FALSE)),"Código não cadastrado",(VLOOKUP(H:H,produtos_escape2!$A$2:$D$2794,4,FALSE))))</f>
        <v>UN</v>
      </c>
      <c r="N634" s="486">
        <v>10000</v>
      </c>
      <c r="O634" s="176" t="s">
        <v>1868</v>
      </c>
      <c r="P634" s="486"/>
      <c r="Q634" s="247"/>
      <c r="R634" s="246">
        <f t="shared" si="21"/>
        <v>0</v>
      </c>
      <c r="S634" s="177">
        <v>43994</v>
      </c>
      <c r="T634" s="182"/>
      <c r="U634" s="177"/>
      <c r="V634" s="177"/>
      <c r="W634" s="177"/>
      <c r="X634" s="176"/>
      <c r="Y634" s="177"/>
      <c r="Z634" s="415">
        <v>3</v>
      </c>
      <c r="AA634" s="488" t="s">
        <v>8922</v>
      </c>
      <c r="AB634" s="594"/>
      <c r="AC634" s="595"/>
      <c r="AD634" s="596" t="str">
        <f>IF(AND(AC634&lt;&gt;"",S634&lt;&gt;""),NETWORKDAYS(AC634,S634,#REF!),"")</f>
        <v/>
      </c>
      <c r="AE634" s="596" t="str">
        <f ca="1">IF(AND(AD634="",AC634=""),"",IF(OR(AD634&lt;&gt;"",O634="*CANCELADO"),"",NETWORKDAYS(AC634,TODAY(),#REF!)))</f>
        <v/>
      </c>
      <c r="AF634" s="597" t="str">
        <f>IFERROR(INDEX(produtos_escape2!M:M,MATCH(Controle!H634,produtos_escape2!A:A,0)),"")</f>
        <v>PAPEL CREPADO</v>
      </c>
    </row>
    <row r="635" spans="1:32" ht="14.25" customHeight="1">
      <c r="A635" s="176" t="s">
        <v>7889</v>
      </c>
      <c r="B635" s="176" t="s">
        <v>7207</v>
      </c>
      <c r="C635" s="177">
        <v>43990</v>
      </c>
      <c r="D635" s="176" t="s">
        <v>8841</v>
      </c>
      <c r="E635" s="176" t="s">
        <v>3009</v>
      </c>
      <c r="F635" s="259" t="s">
        <v>8842</v>
      </c>
      <c r="G635" s="176">
        <v>1</v>
      </c>
      <c r="H635" s="178">
        <v>35479</v>
      </c>
      <c r="I635" s="592">
        <f t="shared" si="20"/>
        <v>6</v>
      </c>
      <c r="J635" s="178" t="s">
        <v>816</v>
      </c>
      <c r="K635" s="178" t="s">
        <v>816</v>
      </c>
      <c r="L635" s="275"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635" s="593" t="str">
        <f>IF(H:H=0,"",IF(ISERROR(VLOOKUP(H:H,produtos_escape2!$A$2:$D$2794,2,FALSE)),"Código não cadastrado",(VLOOKUP(H:H,produtos_escape2!$A$2:$D$2794,4,FALSE))))</f>
        <v>UN</v>
      </c>
      <c r="N635" s="486">
        <v>10</v>
      </c>
      <c r="O635" s="176" t="s">
        <v>7051</v>
      </c>
      <c r="P635" s="486">
        <v>10</v>
      </c>
      <c r="Q635" s="247">
        <v>109.99</v>
      </c>
      <c r="R635" s="246">
        <f t="shared" si="21"/>
        <v>1099.8999999999999</v>
      </c>
      <c r="S635" s="177">
        <v>43991</v>
      </c>
      <c r="T635" s="182">
        <v>83</v>
      </c>
      <c r="U635" s="177">
        <v>44012</v>
      </c>
      <c r="V635" s="177">
        <v>44012</v>
      </c>
      <c r="W635" s="177">
        <v>44012</v>
      </c>
      <c r="X635" s="176">
        <v>3295</v>
      </c>
      <c r="Y635" s="177">
        <v>44032</v>
      </c>
      <c r="Z635" s="415">
        <v>4</v>
      </c>
      <c r="AA635" s="488"/>
      <c r="AB635" s="594"/>
      <c r="AC635" s="595"/>
      <c r="AD635" s="596" t="str">
        <f>IF(AND(AC635&lt;&gt;"",S635&lt;&gt;""),NETWORKDAYS(AC635,S635,#REF!),"")</f>
        <v/>
      </c>
      <c r="AE635" s="596" t="str">
        <f ca="1">IF(AND(AD635="",AC635=""),"",IF(OR(AD635&lt;&gt;"",O635="*CANCELADO"),"",NETWORKDAYS(AC635,TODAY(),#REF!)))</f>
        <v/>
      </c>
      <c r="AF635" s="597" t="str">
        <f>IFERROR(INDEX(produtos_escape2!M:M,MATCH(Controle!H635,produtos_escape2!A:A,0)),"")</f>
        <v>CAIXA ORGANIZADORA 70L</v>
      </c>
    </row>
    <row r="636" spans="1:32" ht="14.25" customHeight="1">
      <c r="A636" s="176" t="s">
        <v>7875</v>
      </c>
      <c r="B636" s="176" t="s">
        <v>7207</v>
      </c>
      <c r="C636" s="177">
        <v>43990</v>
      </c>
      <c r="D636" s="176" t="s">
        <v>8844</v>
      </c>
      <c r="E636" s="176" t="s">
        <v>1867</v>
      </c>
      <c r="F636" s="259" t="s">
        <v>8843</v>
      </c>
      <c r="G636" s="176">
        <v>1</v>
      </c>
      <c r="H636" s="178">
        <v>16329</v>
      </c>
      <c r="I636" s="592">
        <f t="shared" si="20"/>
        <v>1</v>
      </c>
      <c r="J636" s="178" t="s">
        <v>816</v>
      </c>
      <c r="K636" s="178" t="s">
        <v>816</v>
      </c>
      <c r="L636" s="275" t="str">
        <f>IF(H:H=0,"",IF(ISERROR(VLOOKUP(H:H,produtos_escape2!$A$2:$B$2794,2,FALSE)),"Código não cadastrado",(VLOOKUP(H:H,produtos_escape2!$A$2:$B$2794,2,FALSE))))</f>
        <v>UMIDIFICADOR DE OXIGÊNIO PARA REDE CANALIZADA DE O2, Aplicação: umidificação das vias áereas, Material: plástico, Capacidade: 200- 250 ml, Forma de Apresentação: material plástico, adaptação com rosca de metal, bico de saída, metal cromado</v>
      </c>
      <c r="M636" s="593" t="str">
        <f>IF(H:H=0,"",IF(ISERROR(VLOOKUP(H:H,produtos_escape2!$A$2:$D$2794,2,FALSE)),"Código não cadastrado",(VLOOKUP(H:H,produtos_escape2!$A$2:$D$2794,4,FALSE))))</f>
        <v>UN</v>
      </c>
      <c r="N636" s="486">
        <v>300</v>
      </c>
      <c r="O636" s="176" t="s">
        <v>8252</v>
      </c>
      <c r="P636" s="486">
        <v>300</v>
      </c>
      <c r="Q636" s="247">
        <v>13.95</v>
      </c>
      <c r="R636" s="246">
        <f t="shared" si="21"/>
        <v>4185</v>
      </c>
      <c r="S636" s="177">
        <v>43997</v>
      </c>
      <c r="T636" s="182" t="s">
        <v>9488</v>
      </c>
      <c r="U636" s="177">
        <v>43999</v>
      </c>
      <c r="V636" s="177">
        <v>44000</v>
      </c>
      <c r="W636" s="177">
        <v>44029</v>
      </c>
      <c r="X636" s="176">
        <v>54305</v>
      </c>
      <c r="Y636" s="177">
        <v>44046</v>
      </c>
      <c r="Z636" s="415">
        <v>4</v>
      </c>
      <c r="AA636" s="488"/>
      <c r="AB636" s="594"/>
      <c r="AC636" s="595"/>
      <c r="AD636" s="596" t="str">
        <f>IF(AND(AC636&lt;&gt;"",S636&lt;&gt;""),NETWORKDAYS(AC636,S636,#REF!),"")</f>
        <v/>
      </c>
      <c r="AE636" s="596" t="str">
        <f ca="1">IF(AND(AD636="",AC636=""),"",IF(OR(AD636&lt;&gt;"",O636="*CANCELADO"),"",NETWORKDAYS(AC636,TODAY(),#REF!)))</f>
        <v/>
      </c>
      <c r="AF636" s="597" t="str">
        <f>IFERROR(INDEX(produtos_escape2!M:M,MATCH(Controle!H636,produtos_escape2!A:A,0)),"")</f>
        <v>UMIDIFICADOR DE OXIGÊNIO PARA REDE CANALIZADA DE O2</v>
      </c>
    </row>
    <row r="637" spans="1:32" ht="14.25" customHeight="1">
      <c r="A637" s="176" t="s">
        <v>7870</v>
      </c>
      <c r="B637" s="176" t="s">
        <v>7207</v>
      </c>
      <c r="C637" s="177">
        <v>43990</v>
      </c>
      <c r="D637" s="176" t="s">
        <v>8845</v>
      </c>
      <c r="E637" s="176" t="s">
        <v>1866</v>
      </c>
      <c r="F637" s="259" t="s">
        <v>8846</v>
      </c>
      <c r="G637" s="176">
        <v>1</v>
      </c>
      <c r="H637" s="178">
        <v>201223</v>
      </c>
      <c r="I637" s="592">
        <f t="shared" si="20"/>
        <v>1</v>
      </c>
      <c r="J637" s="178" t="s">
        <v>816</v>
      </c>
      <c r="K637" s="178" t="s">
        <v>816</v>
      </c>
      <c r="L637" s="275" t="str">
        <f>IF(H:H=0,"",IF(ISERROR(VLOOKUP(H:H,produtos_escape2!$A$2:$B$2794,2,FALSE)),"Código não cadastrado",(VLOOKUP(H:H,produtos_escape2!$A$2:$B$2794,2,FALSE))))</f>
        <v>EXERCITADOR RESPIRATÓRIO, Tipo: Respiron, Material: fabricado em material totalmente inerte (poliestireno, polipropileno, polietileno), sem cola, Aplicação: utilizado em fisioterapia na reabilitação de pacientes com comprometimento respiratório, para ganho de amplitude pulmonar, prevenção e tratamento de atelectasias, Características Adicionais: expansão alveolar, graduação das câmaras 600/900/1200 CC/segundo, Peso: 150g (variação de +/- 5%), Código SES: 201223, Unidade De Fornecimento: unidade.</v>
      </c>
      <c r="M637" s="593" t="str">
        <f>IF(H:H=0,"",IF(ISERROR(VLOOKUP(H:H,produtos_escape2!$A$2:$D$2794,2,FALSE)),"Código não cadastrado",(VLOOKUP(H:H,produtos_escape2!$A$2:$D$2794,4,FALSE))))</f>
        <v>UN</v>
      </c>
      <c r="N637" s="486">
        <v>200</v>
      </c>
      <c r="O637" s="176" t="s">
        <v>3530</v>
      </c>
      <c r="P637" s="486">
        <v>200</v>
      </c>
      <c r="Q637" s="247">
        <v>18</v>
      </c>
      <c r="R637" s="246">
        <f t="shared" si="21"/>
        <v>3600</v>
      </c>
      <c r="S637" s="177">
        <v>43994</v>
      </c>
      <c r="T637" s="182">
        <v>1037</v>
      </c>
      <c r="U637" s="177">
        <v>44005</v>
      </c>
      <c r="V637" s="177">
        <v>44006</v>
      </c>
      <c r="W637" s="177">
        <v>44011</v>
      </c>
      <c r="X637" s="176">
        <v>54288</v>
      </c>
      <c r="Y637" s="177">
        <v>44046</v>
      </c>
      <c r="Z637" s="415">
        <v>4</v>
      </c>
      <c r="AA637" s="488"/>
      <c r="AB637" s="594"/>
      <c r="AC637" s="595"/>
      <c r="AD637" s="596" t="str">
        <f>IF(AND(AC637&lt;&gt;"",S637&lt;&gt;""),NETWORKDAYS(AC637,S637,#REF!),"")</f>
        <v/>
      </c>
      <c r="AE637" s="596" t="str">
        <f ca="1">IF(AND(AD637="",AC637=""),"",IF(OR(AD637&lt;&gt;"",O637="*CANCELADO"),"",NETWORKDAYS(AC637,TODAY(),#REF!)))</f>
        <v/>
      </c>
      <c r="AF637" s="597" t="str">
        <f>IFERROR(INDEX(produtos_escape2!M:M,MATCH(Controle!H637,produtos_escape2!A:A,0)),"")</f>
        <v>EXERCITADOR RESPIRATÓRIO</v>
      </c>
    </row>
    <row r="638" spans="1:32" ht="14.25" customHeight="1">
      <c r="A638" s="176" t="s">
        <v>7880</v>
      </c>
      <c r="B638" s="176" t="s">
        <v>7207</v>
      </c>
      <c r="C638" s="177">
        <v>43990</v>
      </c>
      <c r="D638" s="176" t="s">
        <v>8848</v>
      </c>
      <c r="E638" s="176" t="s">
        <v>3009</v>
      </c>
      <c r="F638" s="259" t="s">
        <v>8847</v>
      </c>
      <c r="G638" s="176">
        <v>1</v>
      </c>
      <c r="H638" s="178">
        <v>29534</v>
      </c>
      <c r="I638" s="592">
        <f t="shared" si="20"/>
        <v>1</v>
      </c>
      <c r="J638" s="178" t="s">
        <v>816</v>
      </c>
      <c r="K638" s="178" t="s">
        <v>816</v>
      </c>
      <c r="L638" s="275" t="str">
        <f>IF(H:H=0,"",IF(ISERROR(VLOOKUP(H:H,produtos_escape2!$A$2:$B$2794,2,FALSE)),"Código não cadastrado",(VLOOKUP(H:H,produtos_escape2!$A$2:$B$2794,2,FALSE))))</f>
        <v>MANTA DE POLIPROPILENO, Tamanho: 120 x 120 cm (+- 5 cm), Produto: 100% em 03 camadas (SMS), Aplicação/finalidade: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Uso: único, não estéril, composta por 03 camadas (SMS) soldadas termicamente, sendo as 2 ( duas ) camadas externas de spunbond e 1 (uma) camada interna de meltblown, as camadas de spunbond deverão oferecer hidrorepelência, maleabilidade, resistência ao manuseio contra rasgos e não liberar fibras e partículas, a camada de meltblown deverá oferecer barreira microbiológica, Tamanho/capacidade: 1,20 x 1,20 cm, Características (quando necessário):assegurada por laudo de eficiência de filtração bacteriana (BFE). Forma de apresentação: Plástico resistente. Unidade de estoque: Unidade.</v>
      </c>
      <c r="M638" s="593" t="str">
        <f>IF(H:H=0,"",IF(ISERROR(VLOOKUP(H:H,produtos_escape2!$A$2:$D$2794,2,FALSE)),"Código não cadastrado",(VLOOKUP(H:H,produtos_escape2!$A$2:$D$2794,4,FALSE))))</f>
        <v>FL</v>
      </c>
      <c r="N638" s="486">
        <v>20000</v>
      </c>
      <c r="O638" s="176" t="s">
        <v>3530</v>
      </c>
      <c r="P638" s="486">
        <v>2000</v>
      </c>
      <c r="Q638" s="247">
        <v>2.52</v>
      </c>
      <c r="R638" s="246">
        <f t="shared" si="21"/>
        <v>5040</v>
      </c>
      <c r="S638" s="177">
        <v>43997</v>
      </c>
      <c r="T638" s="182">
        <v>1034</v>
      </c>
      <c r="U638" s="177">
        <v>44005</v>
      </c>
      <c r="V638" s="177">
        <v>44006</v>
      </c>
      <c r="W638" s="177">
        <v>44029</v>
      </c>
      <c r="X638" s="176">
        <v>54625</v>
      </c>
      <c r="Y638" s="177">
        <v>44046</v>
      </c>
      <c r="Z638" s="415">
        <v>4</v>
      </c>
      <c r="AA638" s="488"/>
      <c r="AB638" s="594"/>
      <c r="AC638" s="595"/>
      <c r="AD638" s="596" t="str">
        <f>IF(AND(AC638&lt;&gt;"",S638&lt;&gt;""),NETWORKDAYS(AC638,S638,#REF!),"")</f>
        <v/>
      </c>
      <c r="AE638" s="596" t="str">
        <f ca="1">IF(AND(AD638="",AC638=""),"",IF(OR(AD638&lt;&gt;"",O638="*CANCELADO"),"",NETWORKDAYS(AC638,TODAY(),#REF!)))</f>
        <v/>
      </c>
      <c r="AF638" s="597" t="str">
        <f>IFERROR(INDEX(produtos_escape2!M:M,MATCH(Controle!H638,produtos_escape2!A:A,0)),"")</f>
        <v>MANTA DE POLIPROPILENO</v>
      </c>
    </row>
    <row r="639" spans="1:32" ht="14.25" customHeight="1">
      <c r="A639" s="176" t="s">
        <v>7880</v>
      </c>
      <c r="B639" s="176" t="s">
        <v>7207</v>
      </c>
      <c r="C639" s="177">
        <v>43990</v>
      </c>
      <c r="D639" s="176" t="s">
        <v>8848</v>
      </c>
      <c r="E639" s="176" t="s">
        <v>3009</v>
      </c>
      <c r="F639" s="259" t="s">
        <v>8847</v>
      </c>
      <c r="G639" s="176">
        <v>2</v>
      </c>
      <c r="H639" s="178">
        <v>15879</v>
      </c>
      <c r="I639" s="592">
        <f t="shared" si="20"/>
        <v>1</v>
      </c>
      <c r="J639" s="178" t="s">
        <v>816</v>
      </c>
      <c r="K639" s="178" t="s">
        <v>816</v>
      </c>
      <c r="L639" s="275" t="str">
        <f>IF(H:H=0,"",IF(ISERROR(VLOOKUP(H:H,produtos_escape2!$A$2:$B$2794,2,FALSE)),"Código não cadastrado",(VLOOKUP(H:H,produtos_escape2!$A$2:$B$2794,2,FALSE))))</f>
        <v>MANTA DE POLIPROPILENO, Tamanho:  75 x 75 cm ( +- 5 cm), Produto: 100% em 03 camadas ( SMS),       Gramatura Mínima:  55 g/m2, Uso: único,  não estéril, composta por 03 camadas ( SMS) soldadas termicamente, sendo as 2 ( duas ) camadas externas de spunbond e 1 ( uma ) camada interna de meltblown, as camadas de spunbond deverão oferecer hidrorepelência, maleabilidade, resistência ao manuseio contra rasgos e não liberar fibras e partículas, a camada de meltblown deverá oferecer barreira microbiológica, Características Adicionais: assegurada por laudo de eficiência de filtração bacteriana ( BFE ), a manta é indicaca como embalagem para artigos a serem submetiddos e esterilizados por gás formaldeído ou vapor saturado sob pressão ou peróxido de hidrogênio, devendo ser permeável aos agentes esterilizantes, atóxica, antiestática e maleável para permitir o fechamento adequado do pacote, Cor: azul ou verde, Apresentação: acondicionadas em caixas de papelão com 100 ou 200 unidades.</v>
      </c>
      <c r="M639" s="593" t="str">
        <f>IF(H:H=0,"",IF(ISERROR(VLOOKUP(H:H,produtos_escape2!$A$2:$D$2794,2,FALSE)),"Código não cadastrado",(VLOOKUP(H:H,produtos_escape2!$A$2:$D$2794,4,FALSE))))</f>
        <v>FL</v>
      </c>
      <c r="N639" s="486">
        <v>25000</v>
      </c>
      <c r="O639" s="176" t="s">
        <v>1868</v>
      </c>
      <c r="P639" s="486"/>
      <c r="Q639" s="247"/>
      <c r="R639" s="246">
        <f t="shared" si="21"/>
        <v>0</v>
      </c>
      <c r="S639" s="177">
        <v>43994</v>
      </c>
      <c r="T639" s="182"/>
      <c r="U639" s="177"/>
      <c r="V639" s="177"/>
      <c r="W639" s="177"/>
      <c r="X639" s="176"/>
      <c r="Y639" s="177"/>
      <c r="Z639" s="415">
        <v>3</v>
      </c>
      <c r="AA639" s="488" t="s">
        <v>8911</v>
      </c>
      <c r="AB639" s="594"/>
      <c r="AC639" s="595"/>
      <c r="AD639" s="596" t="str">
        <f>IF(AND(AC639&lt;&gt;"",S639&lt;&gt;""),NETWORKDAYS(AC639,S639,#REF!),"")</f>
        <v/>
      </c>
      <c r="AE639" s="596" t="str">
        <f ca="1">IF(AND(AD639="",AC639=""),"",IF(OR(AD639&lt;&gt;"",O639="*CANCELADO"),"",NETWORKDAYS(AC639,TODAY(),#REF!)))</f>
        <v/>
      </c>
      <c r="AF639" s="597" t="str">
        <f>IFERROR(INDEX(produtos_escape2!M:M,MATCH(Controle!H639,produtos_escape2!A:A,0)),"")</f>
        <v>MANTA DE POLIPROPILENO</v>
      </c>
    </row>
    <row r="640" spans="1:32" ht="14.25" customHeight="1">
      <c r="A640" s="176" t="s">
        <v>8406</v>
      </c>
      <c r="B640" s="176" t="s">
        <v>3608</v>
      </c>
      <c r="C640" s="177">
        <v>43991</v>
      </c>
      <c r="D640" s="176" t="s">
        <v>8850</v>
      </c>
      <c r="E640" s="176" t="s">
        <v>1867</v>
      </c>
      <c r="F640" s="259" t="s">
        <v>8851</v>
      </c>
      <c r="G640" s="176">
        <v>1</v>
      </c>
      <c r="H640" s="178">
        <v>10275</v>
      </c>
      <c r="I640" s="592">
        <f t="shared" si="20"/>
        <v>5</v>
      </c>
      <c r="J640" s="178" t="s">
        <v>816</v>
      </c>
      <c r="K640" s="178" t="s">
        <v>816</v>
      </c>
      <c r="L640" s="275"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640" s="593" t="str">
        <f>IF(H:H=0,"",IF(ISERROR(VLOOKUP(H:H,produtos_escape2!$A$2:$D$2794,2,FALSE)),"Código não cadastrado",(VLOOKUP(H:H,produtos_escape2!$A$2:$D$2794,4,FALSE))))</f>
        <v>UN</v>
      </c>
      <c r="N640" s="486">
        <v>100</v>
      </c>
      <c r="O640" s="176" t="s">
        <v>7371</v>
      </c>
      <c r="P640" s="486">
        <v>100</v>
      </c>
      <c r="Q640" s="247">
        <v>12.4</v>
      </c>
      <c r="R640" s="246">
        <f t="shared" si="21"/>
        <v>1240</v>
      </c>
      <c r="S640" s="177">
        <v>43994</v>
      </c>
      <c r="T640" s="182">
        <v>341010</v>
      </c>
      <c r="U640" s="177">
        <v>43994</v>
      </c>
      <c r="V640" s="177">
        <v>43997</v>
      </c>
      <c r="W640" s="177">
        <v>43998</v>
      </c>
      <c r="X640" s="176">
        <v>32395</v>
      </c>
      <c r="Y640" s="177">
        <v>44011</v>
      </c>
      <c r="Z640" s="415">
        <v>3</v>
      </c>
      <c r="AA640" s="488"/>
      <c r="AB640" s="594"/>
      <c r="AC640" s="595"/>
      <c r="AD640" s="596" t="str">
        <f>IF(AND(AC640&lt;&gt;"",S640&lt;&gt;""),NETWORKDAYS(AC640,S640,#REF!),"")</f>
        <v/>
      </c>
      <c r="AE640" s="596" t="str">
        <f ca="1">IF(AND(AD640="",AC640=""),"",IF(OR(AD640&lt;&gt;"",O640="*CANCELADO"),"",NETWORKDAYS(AC640,TODAY(),#REF!)))</f>
        <v/>
      </c>
      <c r="AF640" s="597" t="str">
        <f>IFERROR(INDEX(produtos_escape2!M:M,MATCH(Controle!H640,produtos_escape2!A:A,0)),"")</f>
        <v>FLUCONAZOL SOLUCAO INJETAVEL 2 MG/ML BOLSA OU FRASCO 100 ML SISTEMA FECHADO DE INFUSAO</v>
      </c>
    </row>
    <row r="641" spans="1:32" ht="14.25" customHeight="1">
      <c r="A641" s="176" t="s">
        <v>8399</v>
      </c>
      <c r="B641" s="176" t="s">
        <v>3608</v>
      </c>
      <c r="C641" s="177">
        <v>43991</v>
      </c>
      <c r="D641" s="176" t="s">
        <v>8852</v>
      </c>
      <c r="E641" s="176" t="s">
        <v>1865</v>
      </c>
      <c r="F641" s="259" t="s">
        <v>8853</v>
      </c>
      <c r="G641" s="176">
        <v>1</v>
      </c>
      <c r="H641" s="178">
        <v>90039</v>
      </c>
      <c r="I641" s="592">
        <f t="shared" si="20"/>
        <v>5</v>
      </c>
      <c r="J641" s="178" t="s">
        <v>816</v>
      </c>
      <c r="K641" s="178" t="s">
        <v>816</v>
      </c>
      <c r="L641" s="275" t="str">
        <f>IF(H:H=0,"",IF(ISERROR(VLOOKUP(H:H,produtos_escape2!$A$2:$B$2794,2,FALSE)),"Código não cadastrado",(VLOOKUP(H:H,produtos_escape2!$A$2:$B$2794,2,FALSE))))</f>
        <v>MIDAZOLAM SOLUCAO INJETAVEL 5 MG/ML AMPOLA 10 ML</v>
      </c>
      <c r="M641" s="593" t="str">
        <f>IF(H:H=0,"",IF(ISERROR(VLOOKUP(H:H,produtos_escape2!$A$2:$D$2794,2,FALSE)),"Código não cadastrado",(VLOOKUP(H:H,produtos_escape2!$A$2:$D$2794,4,FALSE))))</f>
        <v>AMP</v>
      </c>
      <c r="N641" s="486">
        <v>1500</v>
      </c>
      <c r="O641" s="176" t="s">
        <v>4398</v>
      </c>
      <c r="P641" s="486">
        <v>1000</v>
      </c>
      <c r="Q641" s="247">
        <v>21</v>
      </c>
      <c r="R641" s="246">
        <f t="shared" si="21"/>
        <v>21000</v>
      </c>
      <c r="S641" s="177">
        <v>43998</v>
      </c>
      <c r="T641" s="182">
        <v>1309458</v>
      </c>
      <c r="U641" s="177">
        <v>43998</v>
      </c>
      <c r="V641" s="177">
        <v>43999</v>
      </c>
      <c r="W641" s="177">
        <v>44000</v>
      </c>
      <c r="X641" s="176">
        <v>32527</v>
      </c>
      <c r="Y641" s="177">
        <v>44011</v>
      </c>
      <c r="Z641" s="415">
        <v>3</v>
      </c>
      <c r="AA641" s="488"/>
      <c r="AB641" s="594"/>
      <c r="AC641" s="595"/>
      <c r="AD641" s="596" t="str">
        <f>IF(AND(AC641&lt;&gt;"",S641&lt;&gt;""),NETWORKDAYS(AC641,S641,#REF!),"")</f>
        <v/>
      </c>
      <c r="AE641" s="596" t="str">
        <f ca="1">IF(AND(AD641="",AC641=""),"",IF(OR(AD641&lt;&gt;"",O641="*CANCELADO"),"",NETWORKDAYS(AC641,TODAY(),#REF!)))</f>
        <v/>
      </c>
      <c r="AF641" s="597" t="str">
        <f>IFERROR(INDEX(produtos_escape2!M:M,MATCH(Controle!H641,produtos_escape2!A:A,0)),"")</f>
        <v>MIDAZOLAM SOLUCAO INJETAVEL 5 MG/ML AMPOLA 10 ML</v>
      </c>
    </row>
    <row r="642" spans="1:32" ht="14.25" customHeight="1">
      <c r="A642" s="176" t="s">
        <v>8404</v>
      </c>
      <c r="B642" s="176" t="s">
        <v>3608</v>
      </c>
      <c r="C642" s="177">
        <v>43991</v>
      </c>
      <c r="D642" s="176" t="s">
        <v>8854</v>
      </c>
      <c r="E642" s="176" t="s">
        <v>1866</v>
      </c>
      <c r="F642" s="259" t="s">
        <v>8855</v>
      </c>
      <c r="G642" s="176">
        <v>1</v>
      </c>
      <c r="H642" s="178">
        <v>23384</v>
      </c>
      <c r="I642" s="592">
        <f t="shared" si="20"/>
        <v>3</v>
      </c>
      <c r="J642" s="178" t="s">
        <v>816</v>
      </c>
      <c r="K642" s="178" t="s">
        <v>816</v>
      </c>
      <c r="L642" s="275" t="str">
        <f>IF(H:H=0,"",IF(ISERROR(VLOOKUP(H:H,produtos_escape2!$A$2:$B$2794,2,FALSE)),"Código não cadastrado",(VLOOKUP(H:H,produtos_escape2!$A$2:$B$2794,2,FALSE))))</f>
        <v>HIDROXIDO DE ALUMINIO + HIDROXIDO DE MAGNESIO SUSPENSAO ORAL (60 MG + 40 MG)/ML FRASCO COM NO MINIMO 100 ML</v>
      </c>
      <c r="M642" s="593" t="str">
        <f>IF(H:H=0,"",IF(ISERROR(VLOOKUP(H:H,produtos_escape2!$A$2:$D$2794,2,FALSE)),"Código não cadastrado",(VLOOKUP(H:H,produtos_escape2!$A$2:$D$2794,4,FALSE))))</f>
        <v>FR</v>
      </c>
      <c r="N642" s="486">
        <v>70</v>
      </c>
      <c r="O642" s="176" t="s">
        <v>1868</v>
      </c>
      <c r="P642" s="486"/>
      <c r="Q642" s="247"/>
      <c r="R642" s="246">
        <f t="shared" si="21"/>
        <v>0</v>
      </c>
      <c r="S642" s="177">
        <v>43994</v>
      </c>
      <c r="T642" s="182"/>
      <c r="U642" s="177"/>
      <c r="V642" s="177"/>
      <c r="W642" s="177"/>
      <c r="X642" s="176"/>
      <c r="Y642" s="177"/>
      <c r="Z642" s="415">
        <v>3</v>
      </c>
      <c r="AA642" s="488" t="s">
        <v>7474</v>
      </c>
      <c r="AB642" s="594"/>
      <c r="AC642" s="595"/>
      <c r="AD642" s="596" t="str">
        <f>IF(AND(AC642&lt;&gt;"",S642&lt;&gt;""),NETWORKDAYS(AC642,S642,#REF!),"")</f>
        <v/>
      </c>
      <c r="AE642" s="596" t="str">
        <f ca="1">IF(AND(AD642="",AC642=""),"",IF(OR(AD642&lt;&gt;"",O642="*CANCELADO"),"",NETWORKDAYS(AC642,TODAY(),#REF!)))</f>
        <v/>
      </c>
      <c r="AF642" s="597" t="str">
        <f>IFERROR(INDEX(produtos_escape2!M:M,MATCH(Controle!H642,produtos_escape2!A:A,0)),"")</f>
        <v>HIDROXIDO DE ALUMINIO + HIDROXIDO DE MAGNESIO SUSPENSAO ORAL (60 MG + 40 MG)/ML FRASCO COM NO MINIMO 100 ML</v>
      </c>
    </row>
    <row r="643" spans="1:32" ht="15.75" customHeight="1">
      <c r="A643" s="176" t="s">
        <v>8856</v>
      </c>
      <c r="B643" s="176" t="s">
        <v>3608</v>
      </c>
      <c r="C643" s="177">
        <v>43991</v>
      </c>
      <c r="D643" s="176" t="s">
        <v>8857</v>
      </c>
      <c r="E643" s="176" t="s">
        <v>3009</v>
      </c>
      <c r="F643" s="259" t="s">
        <v>8858</v>
      </c>
      <c r="G643" s="176">
        <v>1</v>
      </c>
      <c r="H643" s="178">
        <v>17684</v>
      </c>
      <c r="I643" s="592">
        <f t="shared" ref="I643:I706" si="22">COUNTIF($H$3:$H$3041,H643)</f>
        <v>6</v>
      </c>
      <c r="J643" s="178" t="s">
        <v>816</v>
      </c>
      <c r="K643" s="178" t="s">
        <v>816</v>
      </c>
      <c r="L643" s="275"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643" s="593" t="str">
        <f>IF(H:H=0,"",IF(ISERROR(VLOOKUP(H:H,produtos_escape2!$A$2:$D$2794,2,FALSE)),"Código não cadastrado",(VLOOKUP(H:H,produtos_escape2!$A$2:$D$2794,4,FALSE))))</f>
        <v>GR</v>
      </c>
      <c r="N643" s="486">
        <v>19200</v>
      </c>
      <c r="O643" s="176" t="s">
        <v>8931</v>
      </c>
      <c r="P643" s="486">
        <v>19200</v>
      </c>
      <c r="Q643" s="247">
        <v>2.6249999999999999E-2</v>
      </c>
      <c r="R643" s="246">
        <f t="shared" si="21"/>
        <v>504</v>
      </c>
      <c r="S643" s="177">
        <v>43997</v>
      </c>
      <c r="T643" s="182">
        <v>5003</v>
      </c>
      <c r="U643" s="177">
        <v>44008</v>
      </c>
      <c r="V643" s="177">
        <v>44008</v>
      </c>
      <c r="W643" s="177">
        <v>44012</v>
      </c>
      <c r="X643" s="176">
        <v>45771</v>
      </c>
      <c r="Y643" s="177">
        <v>44032</v>
      </c>
      <c r="Z643" s="415">
        <v>4</v>
      </c>
      <c r="AA643" s="488"/>
      <c r="AB643" s="594"/>
      <c r="AC643" s="595"/>
      <c r="AD643" s="596" t="str">
        <f>IF(AND(AC643&lt;&gt;"",S643&lt;&gt;""),NETWORKDAYS(AC643,S643,#REF!),"")</f>
        <v/>
      </c>
      <c r="AE643" s="596" t="str">
        <f ca="1">IF(AND(AD643="",AC643=""),"",IF(OR(AD643&lt;&gt;"",O643="*CANCELADO"),"",NETWORKDAYS(AC643,TODAY(),#REF!)))</f>
        <v/>
      </c>
      <c r="AF643" s="597" t="str">
        <f>IFERROR(INDEX(produtos_escape2!M:M,MATCH(Controle!H643,produtos_escape2!A:A,0)),"")</f>
        <v>FÓRMULA INFANTIL PARA LACTENTES</v>
      </c>
    </row>
    <row r="644" spans="1:32" ht="14.25" customHeight="1">
      <c r="A644" s="176" t="s">
        <v>8408</v>
      </c>
      <c r="B644" s="176" t="s">
        <v>3608</v>
      </c>
      <c r="C644" s="177">
        <v>43992</v>
      </c>
      <c r="D644" s="176" t="s">
        <v>8867</v>
      </c>
      <c r="E644" s="176" t="s">
        <v>1867</v>
      </c>
      <c r="F644" s="259" t="s">
        <v>8868</v>
      </c>
      <c r="G644" s="176">
        <v>1</v>
      </c>
      <c r="H644" s="178">
        <v>90221</v>
      </c>
      <c r="I644" s="592">
        <f t="shared" si="22"/>
        <v>4</v>
      </c>
      <c r="J644" s="178" t="s">
        <v>816</v>
      </c>
      <c r="K644" s="178" t="s">
        <v>816</v>
      </c>
      <c r="L644" s="275" t="str">
        <f>IF(H:H=0,"",IF(ISERROR(VLOOKUP(H:H,produtos_escape2!$A$2:$B$2794,2,FALSE)),"Código não cadastrado",(VLOOKUP(H:H,produtos_escape2!$A$2:$B$2794,2,FALSE))))</f>
        <v>PANCURONIO (BROMETO) SOLUCAO INJETAVEL 2 MG/ML AMPOLA 2 ML</v>
      </c>
      <c r="M644" s="593" t="str">
        <f>IF(H:H=0,"",IF(ISERROR(VLOOKUP(H:H,produtos_escape2!$A$2:$D$2794,2,FALSE)),"Código não cadastrado",(VLOOKUP(H:H,produtos_escape2!$A$2:$D$2794,4,FALSE))))</f>
        <v>AMP</v>
      </c>
      <c r="N644" s="486">
        <v>50</v>
      </c>
      <c r="O644" s="176" t="s">
        <v>1868</v>
      </c>
      <c r="P644" s="486"/>
      <c r="Q644" s="247"/>
      <c r="R644" s="246">
        <f t="shared" si="21"/>
        <v>0</v>
      </c>
      <c r="S644" s="177">
        <v>44000</v>
      </c>
      <c r="T644" s="182"/>
      <c r="U644" s="177"/>
      <c r="V644" s="177"/>
      <c r="W644" s="177"/>
      <c r="X644" s="176"/>
      <c r="Y644" s="177"/>
      <c r="Z644" s="176">
        <v>3</v>
      </c>
      <c r="AA644" s="609" t="s">
        <v>7474</v>
      </c>
      <c r="AB644" s="594"/>
      <c r="AC644" s="595"/>
      <c r="AD644" s="596" t="str">
        <f>IF(AND(AC644&lt;&gt;"",S644&lt;&gt;""),NETWORKDAYS(AC644,S644,#REF!),"")</f>
        <v/>
      </c>
      <c r="AE644" s="596" t="str">
        <f ca="1">IF(AND(AD644="",AC644=""),"",IF(OR(AD644&lt;&gt;"",O644="*CANCELADO"),"",NETWORKDAYS(AC644,TODAY(),#REF!)))</f>
        <v/>
      </c>
      <c r="AF644" s="597" t="str">
        <f>IFERROR(INDEX(produtos_escape2!M:M,MATCH(Controle!H644,produtos_escape2!A:A,0)),"")</f>
        <v>PANCURONIO (BROMETO) SOLUCAO INJETAVEL 2 MG/ML AMPOLA 2 ML</v>
      </c>
    </row>
    <row r="645" spans="1:32" ht="14.25" customHeight="1">
      <c r="A645" s="176" t="s">
        <v>8411</v>
      </c>
      <c r="B645" s="176" t="s">
        <v>3608</v>
      </c>
      <c r="C645" s="177">
        <v>43992</v>
      </c>
      <c r="D645" s="176" t="s">
        <v>8869</v>
      </c>
      <c r="E645" s="176" t="s">
        <v>1866</v>
      </c>
      <c r="F645" s="259" t="s">
        <v>8870</v>
      </c>
      <c r="G645" s="176">
        <v>1</v>
      </c>
      <c r="H645" s="178">
        <v>12286</v>
      </c>
      <c r="I645" s="592">
        <f t="shared" si="22"/>
        <v>5</v>
      </c>
      <c r="J645" s="178" t="s">
        <v>816</v>
      </c>
      <c r="K645" s="178" t="s">
        <v>816</v>
      </c>
      <c r="L645" s="275"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645" s="593" t="str">
        <f>IF(H:H=0,"",IF(ISERROR(VLOOKUP(H:H,produtos_escape2!$A$2:$D$2794,2,FALSE)),"Código não cadastrado",(VLOOKUP(H:H,produtos_escape2!$A$2:$D$2794,4,FALSE))))</f>
        <v>UN</v>
      </c>
      <c r="N645" s="486">
        <v>120</v>
      </c>
      <c r="O645" s="176" t="s">
        <v>7283</v>
      </c>
      <c r="P645" s="486">
        <v>20</v>
      </c>
      <c r="Q645" s="247">
        <v>175</v>
      </c>
      <c r="R645" s="246">
        <f t="shared" si="21"/>
        <v>3500</v>
      </c>
      <c r="S645" s="177">
        <v>43997</v>
      </c>
      <c r="T645" s="182">
        <v>1654</v>
      </c>
      <c r="U645" s="177">
        <v>44015</v>
      </c>
      <c r="V645" s="177">
        <v>44019</v>
      </c>
      <c r="W645" s="177">
        <v>44025</v>
      </c>
      <c r="X645" s="176">
        <v>46900</v>
      </c>
      <c r="Y645" s="177">
        <v>44033</v>
      </c>
      <c r="Z645" s="415">
        <v>4</v>
      </c>
      <c r="AA645" s="488"/>
      <c r="AB645" s="594"/>
      <c r="AC645" s="595"/>
      <c r="AD645" s="596" t="str">
        <f>IF(AND(AC645&lt;&gt;"",S645&lt;&gt;""),NETWORKDAYS(AC645,S645,#REF!),"")</f>
        <v/>
      </c>
      <c r="AE645" s="596" t="str">
        <f ca="1">IF(AND(AD645="",AC645=""),"",IF(OR(AD645&lt;&gt;"",O645="*CANCELADO"),"",NETWORKDAYS(AC645,TODAY(),#REF!)))</f>
        <v/>
      </c>
      <c r="AF645" s="597" t="str">
        <f>IFERROR(INDEX(produtos_escape2!M:M,MATCH(Controle!H645,produtos_escape2!A:A,0)),"")</f>
        <v>SISTEMA FECHADO DE ASPIRAÇÃO TRAQUEAL VIA TUBO OROTRAQUEAL ADULTO 14 FR</v>
      </c>
    </row>
    <row r="646" spans="1:32" ht="14.25" customHeight="1">
      <c r="A646" s="176" t="s">
        <v>8411</v>
      </c>
      <c r="B646" s="176" t="s">
        <v>3608</v>
      </c>
      <c r="C646" s="177">
        <v>43992</v>
      </c>
      <c r="D646" s="176" t="s">
        <v>8869</v>
      </c>
      <c r="E646" s="176" t="s">
        <v>1866</v>
      </c>
      <c r="F646" s="259" t="s">
        <v>8870</v>
      </c>
      <c r="G646" s="176">
        <v>2</v>
      </c>
      <c r="H646" s="178">
        <v>12289</v>
      </c>
      <c r="I646" s="592">
        <f t="shared" si="22"/>
        <v>6</v>
      </c>
      <c r="J646" s="178" t="s">
        <v>816</v>
      </c>
      <c r="K646" s="178" t="s">
        <v>816</v>
      </c>
      <c r="L646" s="275" t="str">
        <f>IF(H:H=0,"",IF(ISERROR(VLOOKUP(H:H,produtos_escape2!$A$2:$B$2794,2,FALSE)),"Código não cadastrado",(VLOOKUP(H:H,produtos_escape2!$A$2:$B$2794,2,FALSE))))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646" s="593" t="str">
        <f>IF(H:H=0,"",IF(ISERROR(VLOOKUP(H:H,produtos_escape2!$A$2:$D$2794,2,FALSE)),"Código não cadastrado",(VLOOKUP(H:H,produtos_escape2!$A$2:$D$2794,4,FALSE))))</f>
        <v>UN</v>
      </c>
      <c r="N646" s="486">
        <v>60</v>
      </c>
      <c r="O646" s="176" t="s">
        <v>1868</v>
      </c>
      <c r="P646" s="486"/>
      <c r="Q646" s="247"/>
      <c r="R646" s="246">
        <f t="shared" si="21"/>
        <v>0</v>
      </c>
      <c r="S646" s="177">
        <v>43997</v>
      </c>
      <c r="T646" s="182"/>
      <c r="U646" s="177"/>
      <c r="V646" s="177"/>
      <c r="W646" s="177"/>
      <c r="X646" s="176"/>
      <c r="Y646" s="177"/>
      <c r="Z646" s="415">
        <v>3</v>
      </c>
      <c r="AA646" s="488" t="s">
        <v>9036</v>
      </c>
      <c r="AB646" s="594"/>
      <c r="AC646" s="595"/>
      <c r="AD646" s="596" t="str">
        <f>IF(AND(AC646&lt;&gt;"",S646&lt;&gt;""),NETWORKDAYS(AC646,S646,#REF!),"")</f>
        <v/>
      </c>
      <c r="AE646" s="596" t="str">
        <f ca="1">IF(AND(AD646="",AC646=""),"",IF(OR(AD646&lt;&gt;"",O646="*CANCELADO"),"",NETWORKDAYS(AC646,TODAY(),#REF!)))</f>
        <v/>
      </c>
      <c r="AF646" s="597" t="str">
        <f>IFERROR(INDEX(produtos_escape2!M:M,MATCH(Controle!H646,produtos_escape2!A:A,0)),"")</f>
        <v>SISTEMA FECHADO DE ASPIRAÇÃO TRAQUEAL VIA CÂNULA DE TRAQUEOSTOMIA ADULTO 16 FR</v>
      </c>
    </row>
    <row r="647" spans="1:32" ht="14.25" customHeight="1">
      <c r="A647" s="176" t="s">
        <v>8411</v>
      </c>
      <c r="B647" s="176" t="s">
        <v>3608</v>
      </c>
      <c r="C647" s="177">
        <v>43992</v>
      </c>
      <c r="D647" s="176" t="s">
        <v>8869</v>
      </c>
      <c r="E647" s="176" t="s">
        <v>1866</v>
      </c>
      <c r="F647" s="259" t="s">
        <v>8870</v>
      </c>
      <c r="G647" s="176">
        <v>3</v>
      </c>
      <c r="H647" s="178">
        <v>12290</v>
      </c>
      <c r="I647" s="592">
        <f t="shared" si="22"/>
        <v>8</v>
      </c>
      <c r="J647" s="178" t="s">
        <v>816</v>
      </c>
      <c r="K647" s="178" t="s">
        <v>816</v>
      </c>
      <c r="L647" s="275"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647" s="593" t="str">
        <f>IF(H:H=0,"",IF(ISERROR(VLOOKUP(H:H,produtos_escape2!$A$2:$D$2794,2,FALSE)),"Código não cadastrado",(VLOOKUP(H:H,produtos_escape2!$A$2:$D$2794,4,FALSE))))</f>
        <v>UN</v>
      </c>
      <c r="N647" s="486">
        <v>150</v>
      </c>
      <c r="O647" s="176" t="s">
        <v>7283</v>
      </c>
      <c r="P647" s="486">
        <v>50</v>
      </c>
      <c r="Q647" s="247">
        <v>175</v>
      </c>
      <c r="R647" s="246">
        <f t="shared" si="21"/>
        <v>8750</v>
      </c>
      <c r="S647" s="177">
        <v>43997</v>
      </c>
      <c r="T647" s="182">
        <v>1616</v>
      </c>
      <c r="U647" s="177">
        <v>43997</v>
      </c>
      <c r="V647" s="177">
        <v>43997</v>
      </c>
      <c r="W647" s="177">
        <v>43998</v>
      </c>
      <c r="X647" s="176">
        <v>32342</v>
      </c>
      <c r="Y647" s="177">
        <v>44011</v>
      </c>
      <c r="Z647" s="415">
        <v>3</v>
      </c>
      <c r="AA647" s="488"/>
      <c r="AB647" s="594"/>
      <c r="AC647" s="595"/>
      <c r="AD647" s="596" t="str">
        <f>IF(AND(AC647&lt;&gt;"",S647&lt;&gt;""),NETWORKDAYS(AC647,S647,#REF!),"")</f>
        <v/>
      </c>
      <c r="AE647" s="596" t="str">
        <f ca="1">IF(AND(AD647="",AC647=""),"",IF(OR(AD647&lt;&gt;"",O647="*CANCELADO"),"",NETWORKDAYS(AC647,TODAY(),#REF!)))</f>
        <v/>
      </c>
      <c r="AF647" s="597" t="str">
        <f>IFERROR(INDEX(produtos_escape2!M:M,MATCH(Controle!H647,produtos_escape2!A:A,0)),"")</f>
        <v>SISTEMA FECHADO DE ASPIRAÇÃO TRAQUEAL VIA TUBO OROTRAQUEAL ADULTO 16 FR</v>
      </c>
    </row>
    <row r="648" spans="1:32" ht="15" customHeight="1">
      <c r="A648" s="176" t="s">
        <v>8410</v>
      </c>
      <c r="B648" s="176" t="s">
        <v>3608</v>
      </c>
      <c r="C648" s="177">
        <v>43992</v>
      </c>
      <c r="D648" s="176" t="s">
        <v>8871</v>
      </c>
      <c r="E648" s="176" t="s">
        <v>3009</v>
      </c>
      <c r="F648" s="259" t="s">
        <v>8872</v>
      </c>
      <c r="G648" s="176">
        <v>1</v>
      </c>
      <c r="H648" s="178">
        <v>95504</v>
      </c>
      <c r="I648" s="592">
        <f t="shared" si="22"/>
        <v>2</v>
      </c>
      <c r="J648" s="178" t="s">
        <v>816</v>
      </c>
      <c r="K648" s="178" t="s">
        <v>816</v>
      </c>
      <c r="L648" s="275" t="str">
        <f>IF(H:H=0,"",IF(ISERROR(VLOOKUP(H:H,produtos_escape2!$A$2:$B$2794,2,FALSE)),"Código não cadastrado",(VLOOKUP(H:H,produtos_escape2!$A$2:$B$2794,2,FALSE))))</f>
        <v>PONTEIRA DESCARTÁVEL, POLIPROPILENO P/PIPETA MICROVOLUMÉTRICA 5 A 200 MCL PACOTE C/1000 UNIDADES. Estéril.</v>
      </c>
      <c r="M648" s="593" t="str">
        <f>IF(H:H=0,"",IF(ISERROR(VLOOKUP(H:H,produtos_escape2!$A$2:$D$2794,2,FALSE)),"Código não cadastrado",(VLOOKUP(H:H,produtos_escape2!$A$2:$D$2794,4,FALSE))))</f>
        <v>PCT</v>
      </c>
      <c r="N648" s="486">
        <v>400</v>
      </c>
      <c r="O648" s="176" t="s">
        <v>3670</v>
      </c>
      <c r="P648" s="486">
        <v>400</v>
      </c>
      <c r="Q648" s="247">
        <v>0.70000000000000007</v>
      </c>
      <c r="R648" s="246">
        <f t="shared" si="21"/>
        <v>280</v>
      </c>
      <c r="S648" s="177">
        <v>43998</v>
      </c>
      <c r="T648" s="182">
        <v>3835</v>
      </c>
      <c r="U648" s="177">
        <v>44000</v>
      </c>
      <c r="V648" s="177">
        <v>44001</v>
      </c>
      <c r="W648" s="177">
        <v>44004</v>
      </c>
      <c r="X648" s="176">
        <v>3290</v>
      </c>
      <c r="Y648" s="177">
        <v>44011</v>
      </c>
      <c r="Z648" s="415">
        <v>3</v>
      </c>
      <c r="AA648" s="488" t="s">
        <v>8873</v>
      </c>
      <c r="AB648" s="594"/>
      <c r="AC648" s="595"/>
      <c r="AD648" s="596" t="str">
        <f>IF(AND(AC648&lt;&gt;"",S648&lt;&gt;""),NETWORKDAYS(AC648,S648,#REF!),"")</f>
        <v/>
      </c>
      <c r="AE648" s="596" t="str">
        <f ca="1">IF(AND(AD648="",AC648=""),"",IF(OR(AD648&lt;&gt;"",O648="*CANCELADO"),"",NETWORKDAYS(AC648,TODAY(),#REF!)))</f>
        <v/>
      </c>
      <c r="AF648" s="597" t="str">
        <f>IFERROR(INDEX(produtos_escape2!M:M,MATCH(Controle!H648,produtos_escape2!A:A,0)),"")</f>
        <v>PONTEIRA DESCARTÁVEL P/PIPETA MICROVOLUMÉTRICA 5 A 200 MCL</v>
      </c>
    </row>
    <row r="649" spans="1:32" ht="14.25" customHeight="1">
      <c r="A649" s="176" t="s">
        <v>7890</v>
      </c>
      <c r="B649" s="176" t="s">
        <v>7207</v>
      </c>
      <c r="C649" s="177">
        <v>43992</v>
      </c>
      <c r="D649" s="176" t="s">
        <v>8921</v>
      </c>
      <c r="E649" s="176" t="s">
        <v>1867</v>
      </c>
      <c r="F649" s="259" t="s">
        <v>8874</v>
      </c>
      <c r="G649" s="176">
        <v>1</v>
      </c>
      <c r="H649" s="178">
        <v>63295</v>
      </c>
      <c r="I649" s="592">
        <f t="shared" si="22"/>
        <v>8</v>
      </c>
      <c r="J649" s="178" t="s">
        <v>816</v>
      </c>
      <c r="K649" s="178" t="s">
        <v>816</v>
      </c>
      <c r="L649" s="275"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649" s="593" t="str">
        <f>IF(H:H=0,"",IF(ISERROR(VLOOKUP(H:H,produtos_escape2!$A$2:$D$2794,2,FALSE)),"Código não cadastrado",(VLOOKUP(H:H,produtos_escape2!$A$2:$D$2794,4,FALSE))))</f>
        <v>UN</v>
      </c>
      <c r="N649" s="486">
        <v>40000</v>
      </c>
      <c r="O649" s="176" t="s">
        <v>1868</v>
      </c>
      <c r="P649" s="486"/>
      <c r="Q649" s="247"/>
      <c r="R649" s="246">
        <f t="shared" si="21"/>
        <v>0</v>
      </c>
      <c r="S649" s="177">
        <v>43994</v>
      </c>
      <c r="T649" s="182"/>
      <c r="U649" s="177"/>
      <c r="V649" s="177"/>
      <c r="W649" s="177"/>
      <c r="X649" s="176"/>
      <c r="Y649" s="177"/>
      <c r="Z649" s="415">
        <v>3</v>
      </c>
      <c r="AA649" s="488" t="s">
        <v>8925</v>
      </c>
      <c r="AB649" s="594"/>
      <c r="AC649" s="595"/>
      <c r="AD649" s="596" t="str">
        <f>IF(AND(AC649&lt;&gt;"",S649&lt;&gt;""),NETWORKDAYS(AC649,S649,#REF!),"")</f>
        <v/>
      </c>
      <c r="AE649" s="596" t="str">
        <f ca="1">IF(AND(AD649="",AC649=""),"",IF(OR(AD649&lt;&gt;"",O649="*CANCELADO"),"",NETWORKDAYS(AC649,TODAY(),#REF!)))</f>
        <v/>
      </c>
      <c r="AF649" s="597" t="str">
        <f>IFERROR(INDEX(produtos_escape2!M:M,MATCH(Controle!H649,produtos_escape2!A:A,0)),"")</f>
        <v>TOUCA HOSPITALAR</v>
      </c>
    </row>
    <row r="650" spans="1:32" ht="14.25" customHeight="1">
      <c r="A650" s="176" t="s">
        <v>7892</v>
      </c>
      <c r="B650" s="176" t="s">
        <v>7207</v>
      </c>
      <c r="C650" s="177">
        <v>43992</v>
      </c>
      <c r="D650" s="176" t="s">
        <v>8877</v>
      </c>
      <c r="E650" s="176" t="s">
        <v>1865</v>
      </c>
      <c r="F650" s="259" t="s">
        <v>8878</v>
      </c>
      <c r="G650" s="176">
        <v>1</v>
      </c>
      <c r="H650" s="178">
        <v>13530</v>
      </c>
      <c r="I650" s="592">
        <f t="shared" si="22"/>
        <v>2</v>
      </c>
      <c r="J650" s="178" t="s">
        <v>816</v>
      </c>
      <c r="K650" s="178" t="s">
        <v>816</v>
      </c>
      <c r="L650" s="275" t="str">
        <f>IF(H:H=0,"",IF(ISERROR(VLOOKUP(H:H,produtos_escape2!$A$2:$B$2794,2,FALSE)),"Código não cadastrado",(VLOOKUP(H:H,produtos_escape2!$A$2:$B$2794,2,FALSE))))</f>
        <v>LUVA DE LATÉX palma antiderrapante, punho longo, com virola que prende-se ao ante-braço  para proteção das mãos contra umidade, agentes químicos e biológicos.Tamanho: M</v>
      </c>
      <c r="M650" s="593" t="str">
        <f>IF(H:H=0,"",IF(ISERROR(VLOOKUP(H:H,produtos_escape2!$A$2:$D$2794,2,FALSE)),"Código não cadastrado",(VLOOKUP(H:H,produtos_escape2!$A$2:$D$2794,4,FALSE))))</f>
        <v>PAR</v>
      </c>
      <c r="N650" s="486">
        <v>50</v>
      </c>
      <c r="O650" s="176" t="s">
        <v>1868</v>
      </c>
      <c r="P650" s="486"/>
      <c r="Q650" s="247"/>
      <c r="R650" s="246">
        <f t="shared" si="21"/>
        <v>0</v>
      </c>
      <c r="S650" s="177">
        <v>43992</v>
      </c>
      <c r="T650" s="182"/>
      <c r="U650" s="177"/>
      <c r="V650" s="177"/>
      <c r="W650" s="177"/>
      <c r="X650" s="176"/>
      <c r="Y650" s="177"/>
      <c r="Z650" s="415">
        <v>3</v>
      </c>
      <c r="AA650" s="488" t="s">
        <v>9035</v>
      </c>
      <c r="AB650" s="594"/>
      <c r="AC650" s="595"/>
      <c r="AD650" s="596" t="str">
        <f>IF(AND(AC650&lt;&gt;"",S650&lt;&gt;""),NETWORKDAYS(AC650,S650,#REF!),"")</f>
        <v/>
      </c>
      <c r="AE650" s="596" t="str">
        <f ca="1">IF(AND(AD650="",AC650=""),"",IF(OR(AD650&lt;&gt;"",O650="*CANCELADO"),"",NETWORKDAYS(AC650,TODAY(),#REF!)))</f>
        <v/>
      </c>
      <c r="AF650" s="597" t="str">
        <f>IFERROR(INDEX(produtos_escape2!M:M,MATCH(Controle!H650,produtos_escape2!A:A,0)),"")</f>
        <v>LUVA DE LATÉX m</v>
      </c>
    </row>
    <row r="651" spans="1:32" ht="14.25" customHeight="1">
      <c r="A651" s="176" t="s">
        <v>7892</v>
      </c>
      <c r="B651" s="176" t="s">
        <v>7207</v>
      </c>
      <c r="C651" s="177">
        <v>43992</v>
      </c>
      <c r="D651" s="176" t="s">
        <v>8877</v>
      </c>
      <c r="E651" s="176" t="s">
        <v>1865</v>
      </c>
      <c r="F651" s="259" t="s">
        <v>8878</v>
      </c>
      <c r="G651" s="176">
        <v>2</v>
      </c>
      <c r="H651" s="178">
        <v>14375</v>
      </c>
      <c r="I651" s="592">
        <f t="shared" si="22"/>
        <v>1</v>
      </c>
      <c r="J651" s="178" t="s">
        <v>816</v>
      </c>
      <c r="K651" s="178" t="s">
        <v>816</v>
      </c>
      <c r="L651" s="275" t="str">
        <f>IF(H:H=0,"",IF(ISERROR(VLOOKUP(H:H,produtos_escape2!$A$2:$B$2794,2,FALSE)),"Código não cadastrado",(VLOOKUP(H:H,produtos_escape2!$A$2:$B$2794,2,FALSE))))</f>
        <v>LUVA DE SEGURANÇA,Características Técnicas Mínimas: Tamanho: P, Aplicação: contra agentes químicos. Material: em látex neoprene, interior flocado e palma anti-deslizante. Características adicionais: impermeável, com espessura de 0,55 mm e comprimento de 31 cm</v>
      </c>
      <c r="M651" s="593" t="str">
        <f>IF(H:H=0,"",IF(ISERROR(VLOOKUP(H:H,produtos_escape2!$A$2:$D$2794,2,FALSE)),"Código não cadastrado",(VLOOKUP(H:H,produtos_escape2!$A$2:$D$2794,4,FALSE))))</f>
        <v>PAR</v>
      </c>
      <c r="N651" s="486">
        <v>50</v>
      </c>
      <c r="O651" s="176" t="s">
        <v>1868</v>
      </c>
      <c r="P651" s="486"/>
      <c r="Q651" s="247"/>
      <c r="R651" s="246">
        <f t="shared" si="21"/>
        <v>0</v>
      </c>
      <c r="S651" s="177">
        <v>43992</v>
      </c>
      <c r="T651" s="182"/>
      <c r="U651" s="177"/>
      <c r="V651" s="177"/>
      <c r="W651" s="177"/>
      <c r="X651" s="176"/>
      <c r="Y651" s="177"/>
      <c r="Z651" s="415">
        <v>3</v>
      </c>
      <c r="AA651" s="488" t="s">
        <v>9035</v>
      </c>
      <c r="AB651" s="594"/>
      <c r="AC651" s="595"/>
      <c r="AD651" s="596" t="str">
        <f>IF(AND(AC651&lt;&gt;"",S651&lt;&gt;""),NETWORKDAYS(AC651,S651,#REF!),"")</f>
        <v/>
      </c>
      <c r="AE651" s="596" t="str">
        <f ca="1">IF(AND(AD651="",AC651=""),"",IF(OR(AD651&lt;&gt;"",O651="*CANCELADO"),"",NETWORKDAYS(AC651,TODAY(),#REF!)))</f>
        <v/>
      </c>
      <c r="AF651" s="597" t="str">
        <f>IFERROR(INDEX(produtos_escape2!M:M,MATCH(Controle!H651,produtos_escape2!A:A,0)),"")</f>
        <v>LUVA DE LATÉX p</v>
      </c>
    </row>
    <row r="652" spans="1:32" ht="14.25" customHeight="1">
      <c r="A652" s="176" t="s">
        <v>7892</v>
      </c>
      <c r="B652" s="176" t="s">
        <v>7207</v>
      </c>
      <c r="C652" s="177">
        <v>43992</v>
      </c>
      <c r="D652" s="176" t="s">
        <v>8877</v>
      </c>
      <c r="E652" s="176" t="s">
        <v>1865</v>
      </c>
      <c r="F652" s="259" t="s">
        <v>8878</v>
      </c>
      <c r="G652" s="176">
        <v>3</v>
      </c>
      <c r="H652" s="178">
        <v>221</v>
      </c>
      <c r="I652" s="592">
        <f t="shared" si="22"/>
        <v>1</v>
      </c>
      <c r="J652" s="178" t="s">
        <v>816</v>
      </c>
      <c r="K652" s="178" t="s">
        <v>816</v>
      </c>
      <c r="L652" s="275" t="str">
        <f>IF(H:H=0,"",IF(ISERROR(VLOOKUP(H:H,produtos_escape2!$A$2:$B$2794,2,FALSE)),"Código não cadastrado",(VLOOKUP(H:H,produtos_escape2!$A$2:$B$2794,2,FALSE))))</f>
        <v>LUVA BORRACHA,Material: látex natural, Tamanho Punho: longo , Acabamento Superficial: palmas e dedos antiderrapantes, Formato: anatômica, Cor: preta, Tamanho: G, Revestimento Interno: forrada, Características Adicionais: perfeita sensibilidade tátil, resistente e duráveis.</v>
      </c>
      <c r="M652" s="593" t="str">
        <f>IF(H:H=0,"",IF(ISERROR(VLOOKUP(H:H,produtos_escape2!$A$2:$D$2794,2,FALSE)),"Código não cadastrado",(VLOOKUP(H:H,produtos_escape2!$A$2:$D$2794,4,FALSE))))</f>
        <v>PAR</v>
      </c>
      <c r="N652" s="486">
        <v>30</v>
      </c>
      <c r="O652" s="176" t="s">
        <v>1868</v>
      </c>
      <c r="P652" s="486"/>
      <c r="Q652" s="247"/>
      <c r="R652" s="246">
        <f t="shared" si="21"/>
        <v>0</v>
      </c>
      <c r="S652" s="177">
        <v>43992</v>
      </c>
      <c r="T652" s="182"/>
      <c r="U652" s="177"/>
      <c r="V652" s="177"/>
      <c r="W652" s="177"/>
      <c r="X652" s="176"/>
      <c r="Y652" s="177"/>
      <c r="Z652" s="415">
        <v>3</v>
      </c>
      <c r="AA652" s="488" t="s">
        <v>9035</v>
      </c>
      <c r="AB652" s="594"/>
      <c r="AC652" s="595"/>
      <c r="AD652" s="596" t="str">
        <f>IF(AND(AC652&lt;&gt;"",S652&lt;&gt;""),NETWORKDAYS(AC652,S652,#REF!),"")</f>
        <v/>
      </c>
      <c r="AE652" s="596" t="str">
        <f ca="1">IF(AND(AD652="",AC652=""),"",IF(OR(AD652&lt;&gt;"",O652="*CANCELADO"),"",NETWORKDAYS(AC652,TODAY(),#REF!)))</f>
        <v/>
      </c>
      <c r="AF652" s="597" t="str">
        <f>IFERROR(INDEX(produtos_escape2!M:M,MATCH(Controle!H652,produtos_escape2!A:A,0)),"")</f>
        <v>LUVA DE LATÉX g</v>
      </c>
    </row>
    <row r="653" spans="1:32" ht="14.25" customHeight="1">
      <c r="A653" s="176" t="s">
        <v>7891</v>
      </c>
      <c r="B653" s="176" t="s">
        <v>7207</v>
      </c>
      <c r="C653" s="177">
        <v>43992</v>
      </c>
      <c r="D653" s="176" t="s">
        <v>8875</v>
      </c>
      <c r="E653" s="176" t="s">
        <v>1866</v>
      </c>
      <c r="F653" s="259" t="s">
        <v>8876</v>
      </c>
      <c r="G653" s="176">
        <v>2</v>
      </c>
      <c r="H653" s="178">
        <v>14383</v>
      </c>
      <c r="I653" s="592">
        <f t="shared" si="22"/>
        <v>3</v>
      </c>
      <c r="J653" s="178" t="s">
        <v>816</v>
      </c>
      <c r="K653" s="178" t="s">
        <v>816</v>
      </c>
      <c r="L653" s="275"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653" s="593" t="str">
        <f>IF(H:H=0,"",IF(ISERROR(VLOOKUP(H:H,produtos_escape2!$A$2:$D$2794,2,FALSE)),"Código não cadastrado",(VLOOKUP(H:H,produtos_escape2!$A$2:$D$2794,4,FALSE))))</f>
        <v>PR</v>
      </c>
      <c r="N653" s="486">
        <v>60</v>
      </c>
      <c r="O653" s="176" t="s">
        <v>5740</v>
      </c>
      <c r="P653" s="486">
        <v>6</v>
      </c>
      <c r="Q653" s="247">
        <v>28.9</v>
      </c>
      <c r="R653" s="246">
        <f t="shared" si="21"/>
        <v>173.39999999999998</v>
      </c>
      <c r="S653" s="177">
        <v>43999</v>
      </c>
      <c r="T653" s="182">
        <v>62447</v>
      </c>
      <c r="U653" s="177">
        <v>44050</v>
      </c>
      <c r="V653" s="177">
        <v>44092</v>
      </c>
      <c r="W653" s="177">
        <v>44095</v>
      </c>
      <c r="X653" s="176">
        <v>91230</v>
      </c>
      <c r="Y653" s="177">
        <v>44104</v>
      </c>
      <c r="Z653" s="415">
        <v>5</v>
      </c>
      <c r="AA653" s="488"/>
      <c r="AB653" s="594"/>
      <c r="AC653" s="595"/>
      <c r="AD653" s="596" t="str">
        <f>IF(AND(AC653&lt;&gt;"",S653&lt;&gt;""),NETWORKDAYS(AC653,S653,#REF!),"")</f>
        <v/>
      </c>
      <c r="AE653" s="596" t="str">
        <f ca="1">IF(AND(AD653="",AC653=""),"",IF(OR(AD653&lt;&gt;"",O653="*CANCELADO"),"",NETWORKDAYS(AC653,TODAY(),#REF!)))</f>
        <v/>
      </c>
      <c r="AF653" s="597" t="str">
        <f>IFERROR(INDEX(produtos_escape2!M:M,MATCH(Controle!H653,produtos_escape2!A:A,0)),"")</f>
        <v>BOTA BORRACHA 36</v>
      </c>
    </row>
    <row r="654" spans="1:32" ht="14.25" customHeight="1">
      <c r="A654" s="176" t="s">
        <v>7891</v>
      </c>
      <c r="B654" s="176" t="s">
        <v>7207</v>
      </c>
      <c r="C654" s="177">
        <v>43992</v>
      </c>
      <c r="D654" s="176" t="s">
        <v>8875</v>
      </c>
      <c r="E654" s="176" t="s">
        <v>1866</v>
      </c>
      <c r="F654" s="259" t="s">
        <v>8876</v>
      </c>
      <c r="G654" s="176">
        <v>2</v>
      </c>
      <c r="H654" s="178">
        <v>14383</v>
      </c>
      <c r="I654" s="592">
        <f t="shared" si="22"/>
        <v>3</v>
      </c>
      <c r="J654" s="178" t="s">
        <v>816</v>
      </c>
      <c r="K654" s="178" t="s">
        <v>816</v>
      </c>
      <c r="L654" s="275" t="str">
        <f>IF(H:H=0,"",IF(ISERROR(VLOOKUP(H:H,produtos_escape2!$A$2:$B$2794,2,FALSE)),"Código não cadastrado",(VLOOKUP(H:H,produtos_escape2!$A$2:$B$2794,2,FALSE))))</f>
        <v>BOTA DE BORRACHA CANO LONGO TAMANHO:36, FORRADA POR DENTRO COM MEIA DE POLIESTER OU NYLON, NA COR BRANCA, SOLADO ANITERRAPANTE, CONTENDO C.A (Certificado de Aprovação) INSCRITO NO EPI.</v>
      </c>
      <c r="M654" s="593" t="str">
        <f>IF(H:H=0,"",IF(ISERROR(VLOOKUP(H:H,produtos_escape2!$A$2:$D$2794,2,FALSE)),"Código não cadastrado",(VLOOKUP(H:H,produtos_escape2!$A$2:$D$2794,4,FALSE))))</f>
        <v>PR</v>
      </c>
      <c r="N654" s="486">
        <v>60</v>
      </c>
      <c r="O654" s="176" t="s">
        <v>5740</v>
      </c>
      <c r="P654" s="486">
        <v>29</v>
      </c>
      <c r="Q654" s="247">
        <v>28.9</v>
      </c>
      <c r="R654" s="246">
        <f t="shared" si="21"/>
        <v>838.09999999999991</v>
      </c>
      <c r="S654" s="177">
        <v>43999</v>
      </c>
      <c r="T654" s="182">
        <v>62537</v>
      </c>
      <c r="U654" s="177">
        <v>44055</v>
      </c>
      <c r="V654" s="177">
        <v>44055</v>
      </c>
      <c r="W654" s="177">
        <v>44061</v>
      </c>
      <c r="X654" s="176">
        <v>71351</v>
      </c>
      <c r="Y654" s="177">
        <v>44075</v>
      </c>
      <c r="Z654" s="415">
        <v>5</v>
      </c>
      <c r="AA654" s="488"/>
      <c r="AB654" s="594"/>
      <c r="AC654" s="595"/>
      <c r="AD654" s="596" t="str">
        <f>IF(AND(AC654&lt;&gt;"",S654&lt;&gt;""),NETWORKDAYS(AC654,S654,#REF!),"")</f>
        <v/>
      </c>
      <c r="AE654" s="596" t="str">
        <f ca="1">IF(AND(AD654="",AC654=""),"",IF(OR(AD654&lt;&gt;"",O654="*CANCELADO"),"",NETWORKDAYS(AC654,TODAY(),#REF!)))</f>
        <v/>
      </c>
      <c r="AF654" s="597" t="str">
        <f>IFERROR(INDEX(produtos_escape2!M:M,MATCH(Controle!H654,produtos_escape2!A:A,0)),"")</f>
        <v>BOTA BORRACHA 36</v>
      </c>
    </row>
    <row r="655" spans="1:32" ht="14.25" customHeight="1">
      <c r="A655" s="176" t="s">
        <v>7891</v>
      </c>
      <c r="B655" s="176" t="s">
        <v>7207</v>
      </c>
      <c r="C655" s="177">
        <v>43992</v>
      </c>
      <c r="D655" s="176" t="s">
        <v>8875</v>
      </c>
      <c r="E655" s="176" t="s">
        <v>1866</v>
      </c>
      <c r="F655" s="259" t="s">
        <v>8876</v>
      </c>
      <c r="G655" s="176">
        <v>3</v>
      </c>
      <c r="H655" s="178">
        <v>14386</v>
      </c>
      <c r="I655" s="592">
        <f t="shared" si="22"/>
        <v>2</v>
      </c>
      <c r="J655" s="178" t="s">
        <v>816</v>
      </c>
      <c r="K655" s="178" t="s">
        <v>816</v>
      </c>
      <c r="L655" s="275" t="str">
        <f>IF(H:H=0,"",IF(ISERROR(VLOOKUP(H:H,produtos_escape2!$A$2:$B$2794,2,FALSE)),"Código não cadastrado",(VLOOKUP(H:H,produtos_escape2!$A$2:$B$2794,2,FALSE))))</f>
        <v>BOTA DE BORRACHA CANO LONGO TAMANHO:38, FORRADA POR DENTRO COM MEIA DE POLIESTER OU NYLON, NA COR BRANCA, SOLADO ANITERRAPANTE, CONTENDO C.A (Certificado de Aprovação) INSCRITO NO EPI.</v>
      </c>
      <c r="M655" s="593" t="str">
        <f>IF(H:H=0,"",IF(ISERROR(VLOOKUP(H:H,produtos_escape2!$A$2:$D$2794,2,FALSE)),"Código não cadastrado",(VLOOKUP(H:H,produtos_escape2!$A$2:$D$2794,4,FALSE))))</f>
        <v>PR</v>
      </c>
      <c r="N655" s="486">
        <v>40</v>
      </c>
      <c r="O655" s="176" t="s">
        <v>5740</v>
      </c>
      <c r="P655" s="486">
        <v>30</v>
      </c>
      <c r="Q655" s="247">
        <v>28.9</v>
      </c>
      <c r="R655" s="246">
        <f t="shared" si="21"/>
        <v>867</v>
      </c>
      <c r="S655" s="177">
        <v>43999</v>
      </c>
      <c r="T655" s="182">
        <v>61531</v>
      </c>
      <c r="U655" s="177">
        <v>44011</v>
      </c>
      <c r="V655" s="177">
        <v>44011</v>
      </c>
      <c r="W655" s="177">
        <v>44029</v>
      </c>
      <c r="X655" s="176">
        <v>54242</v>
      </c>
      <c r="Y655" s="177">
        <v>44046</v>
      </c>
      <c r="Z655" s="415">
        <v>4</v>
      </c>
      <c r="AA655" s="488"/>
      <c r="AB655" s="594"/>
      <c r="AC655" s="595"/>
      <c r="AD655" s="596" t="str">
        <f>IF(AND(AC655&lt;&gt;"",S655&lt;&gt;""),NETWORKDAYS(AC655,S655,#REF!),"")</f>
        <v/>
      </c>
      <c r="AE655" s="596" t="str">
        <f ca="1">IF(AND(AD655="",AC655=""),"",IF(OR(AD655&lt;&gt;"",O655="*CANCELADO"),"",NETWORKDAYS(AC655,TODAY(),#REF!)))</f>
        <v/>
      </c>
      <c r="AF655" s="597" t="str">
        <f>IFERROR(INDEX(produtos_escape2!M:M,MATCH(Controle!H655,produtos_escape2!A:A,0)),"")</f>
        <v>BOTA BORRACHA 38</v>
      </c>
    </row>
    <row r="656" spans="1:32" ht="14.25" customHeight="1">
      <c r="A656" s="176" t="s">
        <v>7891</v>
      </c>
      <c r="B656" s="176" t="s">
        <v>7207</v>
      </c>
      <c r="C656" s="177">
        <v>43992</v>
      </c>
      <c r="D656" s="176" t="s">
        <v>8875</v>
      </c>
      <c r="E656" s="176" t="s">
        <v>1866</v>
      </c>
      <c r="F656" s="259" t="s">
        <v>8876</v>
      </c>
      <c r="G656" s="176">
        <v>4</v>
      </c>
      <c r="H656" s="178">
        <v>14388</v>
      </c>
      <c r="I656" s="592">
        <f t="shared" si="22"/>
        <v>2</v>
      </c>
      <c r="J656" s="178" t="s">
        <v>816</v>
      </c>
      <c r="K656" s="178" t="s">
        <v>816</v>
      </c>
      <c r="L656" s="275" t="str">
        <f>IF(H:H=0,"",IF(ISERROR(VLOOKUP(H:H,produtos_escape2!$A$2:$B$2794,2,FALSE)),"Código não cadastrado",(VLOOKUP(H:H,produtos_escape2!$A$2:$B$2794,2,FALSE))))</f>
        <v>BOTA DE BORRACHA CANO LONGO TAMANHO:39, FORRADA POR DENTRO COM MEIA DE POLIESTER OU NYLON, NA COR BRANCA, SOLADO ANITERRAPANTE, CONTENDO C.A (Certificado de Aprovação) INSCRITO NO EPI.</v>
      </c>
      <c r="M656" s="593" t="str">
        <f>IF(H:H=0,"",IF(ISERROR(VLOOKUP(H:H,produtos_escape2!$A$2:$D$2794,2,FALSE)),"Código não cadastrado",(VLOOKUP(H:H,produtos_escape2!$A$2:$D$2794,4,FALSE))))</f>
        <v>PR</v>
      </c>
      <c r="N656" s="486">
        <v>40</v>
      </c>
      <c r="O656" s="176" t="s">
        <v>5740</v>
      </c>
      <c r="P656" s="486">
        <v>15</v>
      </c>
      <c r="Q656" s="247">
        <v>28.9</v>
      </c>
      <c r="R656" s="246">
        <f t="shared" si="21"/>
        <v>433.5</v>
      </c>
      <c r="S656" s="177">
        <v>43999</v>
      </c>
      <c r="T656" s="182">
        <v>61531</v>
      </c>
      <c r="U656" s="177">
        <v>44011</v>
      </c>
      <c r="V656" s="177">
        <v>44011</v>
      </c>
      <c r="W656" s="177">
        <v>44029</v>
      </c>
      <c r="X656" s="176">
        <v>54242</v>
      </c>
      <c r="Y656" s="177">
        <v>44046</v>
      </c>
      <c r="Z656" s="415">
        <v>4</v>
      </c>
      <c r="AA656" s="488"/>
      <c r="AB656" s="594"/>
      <c r="AC656" s="595"/>
      <c r="AD656" s="596" t="str">
        <f>IF(AND(AC656&lt;&gt;"",S656&lt;&gt;""),NETWORKDAYS(AC656,S656,#REF!),"")</f>
        <v/>
      </c>
      <c r="AE656" s="596" t="str">
        <f ca="1">IF(AND(AD656="",AC656=""),"",IF(OR(AD656&lt;&gt;"",O656="*CANCELADO"),"",NETWORKDAYS(AC656,TODAY(),#REF!)))</f>
        <v/>
      </c>
      <c r="AF656" s="597" t="str">
        <f>IFERROR(INDEX(produtos_escape2!M:M,MATCH(Controle!H656,produtos_escape2!A:A,0)),"")</f>
        <v>BOTA BORRACHA 39</v>
      </c>
    </row>
    <row r="657" spans="1:32" ht="14.25" customHeight="1">
      <c r="A657" s="176" t="s">
        <v>7891</v>
      </c>
      <c r="B657" s="176" t="s">
        <v>7207</v>
      </c>
      <c r="C657" s="177">
        <v>43992</v>
      </c>
      <c r="D657" s="176" t="s">
        <v>8875</v>
      </c>
      <c r="E657" s="176" t="s">
        <v>1866</v>
      </c>
      <c r="F657" s="259" t="s">
        <v>8876</v>
      </c>
      <c r="G657" s="176">
        <v>5</v>
      </c>
      <c r="H657" s="178">
        <v>14401</v>
      </c>
      <c r="I657" s="592">
        <f t="shared" si="22"/>
        <v>2</v>
      </c>
      <c r="J657" s="178" t="s">
        <v>816</v>
      </c>
      <c r="K657" s="178" t="s">
        <v>816</v>
      </c>
      <c r="L657" s="275" t="str">
        <f>IF(H:H=0,"",IF(ISERROR(VLOOKUP(H:H,produtos_escape2!$A$2:$B$2794,2,FALSE)),"Código não cadastrado",(VLOOKUP(H:H,produtos_escape2!$A$2:$B$2794,2,FALSE))))</f>
        <v>BOTA DE BORRACHA CANO LONGO TAMANHO:40, FORRADA POR DENTRO COM MEIA DE POLIESTER OU NYLON, NA COR BRANCA, SOLADO ANITERRAPANTE, CONTENDO C.A (Certificado de Aprovação) INSCRITO NO EPI.</v>
      </c>
      <c r="M657" s="593" t="str">
        <f>IF(H:H=0,"",IF(ISERROR(VLOOKUP(H:H,produtos_escape2!$A$2:$D$2794,2,FALSE)),"Código não cadastrado",(VLOOKUP(H:H,produtos_escape2!$A$2:$D$2794,4,FALSE))))</f>
        <v>PR</v>
      </c>
      <c r="N657" s="486">
        <v>25</v>
      </c>
      <c r="O657" s="176" t="s">
        <v>5740</v>
      </c>
      <c r="P657" s="486">
        <v>10</v>
      </c>
      <c r="Q657" s="247">
        <v>28.9</v>
      </c>
      <c r="R657" s="246">
        <f t="shared" si="21"/>
        <v>289</v>
      </c>
      <c r="S657" s="177">
        <v>43999</v>
      </c>
      <c r="T657" s="182">
        <v>61531</v>
      </c>
      <c r="U657" s="177">
        <v>44011</v>
      </c>
      <c r="V657" s="177">
        <v>44011</v>
      </c>
      <c r="W657" s="177">
        <v>44029</v>
      </c>
      <c r="X657" s="176">
        <v>54242</v>
      </c>
      <c r="Y657" s="177">
        <v>44046</v>
      </c>
      <c r="Z657" s="415">
        <v>4</v>
      </c>
      <c r="AA657" s="488"/>
      <c r="AB657" s="594"/>
      <c r="AC657" s="595"/>
      <c r="AD657" s="596" t="str">
        <f>IF(AND(AC657&lt;&gt;"",S657&lt;&gt;""),NETWORKDAYS(AC657,S657,#REF!),"")</f>
        <v/>
      </c>
      <c r="AE657" s="596" t="str">
        <f ca="1">IF(AND(AD657="",AC657=""),"",IF(OR(AD657&lt;&gt;"",O657="*CANCELADO"),"",NETWORKDAYS(AC657,TODAY(),#REF!)))</f>
        <v/>
      </c>
      <c r="AF657" s="597" t="str">
        <f>IFERROR(INDEX(produtos_escape2!M:M,MATCH(Controle!H657,produtos_escape2!A:A,0)),"")</f>
        <v>BOTA BORRACHA 40</v>
      </c>
    </row>
    <row r="658" spans="1:32" ht="14.25" customHeight="1">
      <c r="A658" s="176" t="s">
        <v>7891</v>
      </c>
      <c r="B658" s="176" t="s">
        <v>7207</v>
      </c>
      <c r="C658" s="177">
        <v>43992</v>
      </c>
      <c r="D658" s="176" t="s">
        <v>8875</v>
      </c>
      <c r="E658" s="176" t="s">
        <v>1866</v>
      </c>
      <c r="F658" s="259" t="s">
        <v>8876</v>
      </c>
      <c r="G658" s="176">
        <v>6</v>
      </c>
      <c r="H658" s="178">
        <v>14402</v>
      </c>
      <c r="I658" s="592">
        <f t="shared" si="22"/>
        <v>2</v>
      </c>
      <c r="J658" s="178" t="s">
        <v>816</v>
      </c>
      <c r="K658" s="178" t="s">
        <v>816</v>
      </c>
      <c r="L658" s="275" t="str">
        <f>IF(H:H=0,"",IF(ISERROR(VLOOKUP(H:H,produtos_escape2!$A$2:$B$2794,2,FALSE)),"Código não cadastrado",(VLOOKUP(H:H,produtos_escape2!$A$2:$B$2794,2,FALSE))))</f>
        <v>BOTA DE BORRACHA CANO LONGO TAMANHO:41, FORRADA POR DENTRO COM MEIA DE POLIESTER OU NYLON, NA COR BRANCA, SOLADO ANITERRAPANTE, CONTENDO C.A (Certificado de Aprovação) INSCRITO NO EPI.</v>
      </c>
      <c r="M658" s="593" t="str">
        <f>IF(H:H=0,"",IF(ISERROR(VLOOKUP(H:H,produtos_escape2!$A$2:$D$2794,2,FALSE)),"Código não cadastrado",(VLOOKUP(H:H,produtos_escape2!$A$2:$D$2794,4,FALSE))))</f>
        <v>PR</v>
      </c>
      <c r="N658" s="486">
        <v>10</v>
      </c>
      <c r="O658" s="176" t="s">
        <v>5740</v>
      </c>
      <c r="P658" s="486">
        <v>4</v>
      </c>
      <c r="Q658" s="247">
        <v>28.9</v>
      </c>
      <c r="R658" s="246">
        <f t="shared" si="21"/>
        <v>115.6</v>
      </c>
      <c r="S658" s="177">
        <v>43999</v>
      </c>
      <c r="T658" s="182">
        <v>61531</v>
      </c>
      <c r="U658" s="177">
        <v>44011</v>
      </c>
      <c r="V658" s="177">
        <v>44011</v>
      </c>
      <c r="W658" s="177">
        <v>44029</v>
      </c>
      <c r="X658" s="176">
        <v>54242</v>
      </c>
      <c r="Y658" s="177">
        <v>44046</v>
      </c>
      <c r="Z658" s="415">
        <v>4</v>
      </c>
      <c r="AA658" s="488"/>
      <c r="AB658" s="594"/>
      <c r="AC658" s="595"/>
      <c r="AD658" s="596" t="str">
        <f>IF(AND(AC658&lt;&gt;"",S658&lt;&gt;""),NETWORKDAYS(AC658,S658,#REF!),"")</f>
        <v/>
      </c>
      <c r="AE658" s="596" t="str">
        <f ca="1">IF(AND(AD658="",AC658=""),"",IF(OR(AD658&lt;&gt;"",O658="*CANCELADO"),"",NETWORKDAYS(AC658,TODAY(),#REF!)))</f>
        <v/>
      </c>
      <c r="AF658" s="597" t="str">
        <f>IFERROR(INDEX(produtos_escape2!M:M,MATCH(Controle!H658,produtos_escape2!A:A,0)),"")</f>
        <v>BOTA BORRACHA 41</v>
      </c>
    </row>
    <row r="659" spans="1:32" ht="14.25" customHeight="1">
      <c r="A659" s="176" t="s">
        <v>7891</v>
      </c>
      <c r="B659" s="176" t="s">
        <v>7207</v>
      </c>
      <c r="C659" s="177">
        <v>43992</v>
      </c>
      <c r="D659" s="176" t="s">
        <v>8875</v>
      </c>
      <c r="E659" s="176" t="s">
        <v>1866</v>
      </c>
      <c r="F659" s="259" t="s">
        <v>8876</v>
      </c>
      <c r="G659" s="176">
        <v>8</v>
      </c>
      <c r="H659" s="178">
        <v>15933</v>
      </c>
      <c r="I659" s="592">
        <f t="shared" si="22"/>
        <v>2</v>
      </c>
      <c r="J659" s="178" t="s">
        <v>816</v>
      </c>
      <c r="K659" s="178" t="s">
        <v>816</v>
      </c>
      <c r="L659" s="275"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43, Normas técnicas: certificado de aprovação do ministério do trabalho Código do Item: 3.3.90.30.28.01.0037.000008-01</v>
      </c>
      <c r="M659" s="593" t="str">
        <f>IF(H:H=0,"",IF(ISERROR(VLOOKUP(H:H,produtos_escape2!$A$2:$D$2794,2,FALSE)),"Código não cadastrado",(VLOOKUP(H:H,produtos_escape2!$A$2:$D$2794,4,FALSE))))</f>
        <v>PR</v>
      </c>
      <c r="N659" s="486">
        <v>10</v>
      </c>
      <c r="O659" s="176" t="s">
        <v>5740</v>
      </c>
      <c r="P659" s="486">
        <v>3</v>
      </c>
      <c r="Q659" s="247">
        <v>42.38</v>
      </c>
      <c r="R659" s="246">
        <f t="shared" si="21"/>
        <v>127.14000000000001</v>
      </c>
      <c r="S659" s="177">
        <v>43999</v>
      </c>
      <c r="T659" s="182">
        <v>61531</v>
      </c>
      <c r="U659" s="177">
        <v>44011</v>
      </c>
      <c r="V659" s="177">
        <v>44011</v>
      </c>
      <c r="W659" s="177">
        <v>44029</v>
      </c>
      <c r="X659" s="176">
        <v>54242</v>
      </c>
      <c r="Y659" s="177">
        <v>44046</v>
      </c>
      <c r="Z659" s="415">
        <v>4</v>
      </c>
      <c r="AA659" s="488"/>
      <c r="AB659" s="594"/>
      <c r="AC659" s="595"/>
      <c r="AD659" s="596" t="str">
        <f>IF(AND(AC659&lt;&gt;"",S659&lt;&gt;""),NETWORKDAYS(AC659,S659,#REF!),"")</f>
        <v/>
      </c>
      <c r="AE659" s="596" t="str">
        <f ca="1">IF(AND(AD659="",AC659=""),"",IF(OR(AD659&lt;&gt;"",O659="*CANCELADO"),"",NETWORKDAYS(AC659,TODAY(),#REF!)))</f>
        <v/>
      </c>
      <c r="AF659" s="597" t="str">
        <f>IFERROR(INDEX(produtos_escape2!M:M,MATCH(Controle!H659,produtos_escape2!A:A,0)),"")</f>
        <v>BOTA SEGURANÇA 43</v>
      </c>
    </row>
    <row r="660" spans="1:32" ht="14.25" customHeight="1">
      <c r="A660" s="176" t="s">
        <v>7891</v>
      </c>
      <c r="B660" s="176" t="s">
        <v>7207</v>
      </c>
      <c r="C660" s="177">
        <v>43992</v>
      </c>
      <c r="D660" s="176" t="s">
        <v>8875</v>
      </c>
      <c r="E660" s="176" t="s">
        <v>1866</v>
      </c>
      <c r="F660" s="259" t="s">
        <v>8876</v>
      </c>
      <c r="G660" s="176">
        <v>7</v>
      </c>
      <c r="H660" s="178">
        <v>15921</v>
      </c>
      <c r="I660" s="592">
        <f t="shared" si="22"/>
        <v>2</v>
      </c>
      <c r="J660" s="178" t="s">
        <v>816</v>
      </c>
      <c r="K660" s="178" t="s">
        <v>816</v>
      </c>
      <c r="L660" s="275" t="str">
        <f>IF(H:H=0,"",IF(ISERROR(VLOOKUP(H:H,produtos_escape2!$A$2:$B$2794,2,FALSE)),"Código não cadastrado",(VLOOKUP(H:H,produtos_escape2!$A$2:$B$2794,2,FALSE))))</f>
        <v>BOTA DE SEGURANÇA,Material Bota: PVC em uma única peça, Modelo: capataz, Tipo Cano : longo, Material Cano : PVC, Material Forro: meia de poliéster ou nylon, Altura Cano: 45 cm, Tratamento Superficial: solado antiderrapante, Tamanho: 42, Normas técnicas: certificado de aprovação do ministério do trabalho. Código do Item: 3.3.90.30.28.01.0037.000007-01</v>
      </c>
      <c r="M660" s="593" t="str">
        <f>IF(H:H=0,"",IF(ISERROR(VLOOKUP(H:H,produtos_escape2!$A$2:$D$2794,2,FALSE)),"Código não cadastrado",(VLOOKUP(H:H,produtos_escape2!$A$2:$D$2794,4,FALSE))))</f>
        <v>PR</v>
      </c>
      <c r="N660" s="486">
        <v>10</v>
      </c>
      <c r="O660" s="176" t="s">
        <v>5740</v>
      </c>
      <c r="P660" s="486">
        <v>3</v>
      </c>
      <c r="Q660" s="247">
        <v>42.38</v>
      </c>
      <c r="R660" s="246">
        <f t="shared" si="21"/>
        <v>127.14000000000001</v>
      </c>
      <c r="S660" s="177">
        <v>43999</v>
      </c>
      <c r="T660" s="182">
        <v>61531</v>
      </c>
      <c r="U660" s="177">
        <v>44011</v>
      </c>
      <c r="V660" s="177">
        <v>44011</v>
      </c>
      <c r="W660" s="177">
        <v>44029</v>
      </c>
      <c r="X660" s="176">
        <v>54242</v>
      </c>
      <c r="Y660" s="177">
        <v>44046</v>
      </c>
      <c r="Z660" s="415">
        <v>4</v>
      </c>
      <c r="AA660" s="488"/>
      <c r="AB660" s="594"/>
      <c r="AC660" s="595"/>
      <c r="AD660" s="596" t="str">
        <f>IF(AND(AC660&lt;&gt;"",S660&lt;&gt;""),NETWORKDAYS(AC660,S660,#REF!),"")</f>
        <v/>
      </c>
      <c r="AE660" s="596" t="str">
        <f ca="1">IF(AND(AD660="",AC660=""),"",IF(OR(AD660&lt;&gt;"",O660="*CANCELADO"),"",NETWORKDAYS(AC660,TODAY(),#REF!)))</f>
        <v/>
      </c>
      <c r="AF660" s="597" t="str">
        <f>IFERROR(INDEX(produtos_escape2!M:M,MATCH(Controle!H660,produtos_escape2!A:A,0)),"")</f>
        <v>BOTA SEGURANÇA 42</v>
      </c>
    </row>
    <row r="661" spans="1:32" ht="15.75" customHeight="1">
      <c r="A661" s="176" t="s">
        <v>7891</v>
      </c>
      <c r="B661" s="176" t="s">
        <v>7207</v>
      </c>
      <c r="C661" s="177">
        <v>43992</v>
      </c>
      <c r="D661" s="176" t="s">
        <v>8875</v>
      </c>
      <c r="E661" s="176" t="s">
        <v>1866</v>
      </c>
      <c r="F661" s="259" t="s">
        <v>8876</v>
      </c>
      <c r="G661" s="176">
        <v>1</v>
      </c>
      <c r="H661" s="178">
        <v>24934</v>
      </c>
      <c r="I661" s="592">
        <f t="shared" si="22"/>
        <v>2</v>
      </c>
      <c r="J661" s="178" t="s">
        <v>816</v>
      </c>
      <c r="K661" s="178" t="s">
        <v>816</v>
      </c>
      <c r="L661" s="275" t="str">
        <f>IF(H:H=0,"",IF(ISERROR(VLOOKUP(H:H,produtos_escape2!$A$2:$B$2794,2,FALSE)),"Código não cadastrado",(VLOOKUP(H:H,produtos_escape2!$A$2:$B$2794,2,FALSE))))</f>
        <v>BOTA DE SEGURANÇA: Aplicação: Lavanderia, Anatomia Patológica, Sala de Queimados, Sala de Gesso, Hemodiálise, Laboratório ou a critério do NSHMT. Tamanho: 34. Material: Policloreto de Vinila (PVC); Características: Policloreto de Vinila (PVC) injetado em uma só peça, impermeável, flexível, cano médio, cor branca. Deverá ter o certificado de aprovação (CA) do MTE. Processo de esterilização: não estéril; Forma de apresentação: Par; Prazo de validade: indeterminado; Unidade de estoque: Par;</v>
      </c>
      <c r="M661" s="593" t="str">
        <f>IF(H:H=0,"",IF(ISERROR(VLOOKUP(H:H,produtos_escape2!$A$2:$D$2794,2,FALSE)),"Código não cadastrado",(VLOOKUP(H:H,produtos_escape2!$A$2:$D$2794,4,FALSE))))</f>
        <v>PR</v>
      </c>
      <c r="N661" s="486">
        <v>30</v>
      </c>
      <c r="O661" s="176" t="s">
        <v>5740</v>
      </c>
      <c r="P661" s="486">
        <v>20</v>
      </c>
      <c r="Q661" s="247">
        <v>22.5</v>
      </c>
      <c r="R661" s="246">
        <f t="shared" si="21"/>
        <v>450</v>
      </c>
      <c r="S661" s="177">
        <v>43999</v>
      </c>
      <c r="T661" s="182">
        <v>61531</v>
      </c>
      <c r="U661" s="177">
        <v>44011</v>
      </c>
      <c r="V661" s="177">
        <v>44011</v>
      </c>
      <c r="W661" s="177">
        <v>44029</v>
      </c>
      <c r="X661" s="176">
        <v>54242</v>
      </c>
      <c r="Y661" s="177">
        <v>44046</v>
      </c>
      <c r="Z661" s="415">
        <v>4</v>
      </c>
      <c r="AA661" s="488"/>
      <c r="AB661" s="594"/>
      <c r="AC661" s="595"/>
      <c r="AD661" s="596" t="str">
        <f>IF(AND(AC661&lt;&gt;"",S661&lt;&gt;""),NETWORKDAYS(AC661,S661,#REF!),"")</f>
        <v/>
      </c>
      <c r="AE661" s="596" t="str">
        <f ca="1">IF(AND(AD661="",AC661=""),"",IF(OR(AD661&lt;&gt;"",O661="*CANCELADO"),"",NETWORKDAYS(AC661,TODAY(),#REF!)))</f>
        <v/>
      </c>
      <c r="AF661" s="597" t="str">
        <f>IFERROR(INDEX(produtos_escape2!M:M,MATCH(Controle!H661,produtos_escape2!A:A,0)),"")</f>
        <v>BOTA SEGURANÇA 34</v>
      </c>
    </row>
    <row r="662" spans="1:32" ht="14.25" customHeight="1">
      <c r="A662" s="176" t="s">
        <v>7893</v>
      </c>
      <c r="B662" s="176" t="s">
        <v>7207</v>
      </c>
      <c r="C662" s="177">
        <v>43992</v>
      </c>
      <c r="D662" s="176" t="s">
        <v>8885</v>
      </c>
      <c r="E662" s="176" t="s">
        <v>3009</v>
      </c>
      <c r="F662" s="259" t="s">
        <v>8886</v>
      </c>
      <c r="G662" s="176">
        <v>1</v>
      </c>
      <c r="H662" s="178">
        <v>24933</v>
      </c>
      <c r="I662" s="592">
        <f t="shared" si="22"/>
        <v>1</v>
      </c>
      <c r="J662" s="178" t="s">
        <v>816</v>
      </c>
      <c r="K662" s="178" t="s">
        <v>816</v>
      </c>
      <c r="L662" s="275" t="str">
        <f>IF(H:H=0,"",IF(ISERROR(VLOOKUP(H:H,produtos_escape2!$A$2:$B$2794,2,FALSE)),"Código não cadastrado",(VLOOKUP(H:H,produtos_escape2!$A$2:$B$2794,2,FALSE))))</f>
        <v>AVENTAL DESCARTÁVEL MANGA LONGA; Aplicação: Banho no leito, lavagem de instrumental, equipamentos, máquinas na Lavanderia, Laboratório, CME, Uti?s, CC, CO, Serviço de Emergência ou a critério do NSHMT. Tamanho: 1,20 x 0,70 cm. Material: confeccionado em filme de polietileno, Características: Avental de proteção sem costuras e emendas, fechamento total em solda eletrônica, com mangas compridas, elástico no punho, tiras para regulagem na cintura, espessura mínima de 25 microns. 100% Impermeável</v>
      </c>
      <c r="M662" s="593" t="str">
        <f>IF(H:H=0,"",IF(ISERROR(VLOOKUP(H:H,produtos_escape2!$A$2:$D$2794,2,FALSE)),"Código não cadastrado",(VLOOKUP(H:H,produtos_escape2!$A$2:$D$2794,4,FALSE))))</f>
        <v>UN</v>
      </c>
      <c r="N662" s="486">
        <v>100</v>
      </c>
      <c r="O662" s="176" t="s">
        <v>3407</v>
      </c>
      <c r="P662" s="486">
        <v>100</v>
      </c>
      <c r="Q662" s="247">
        <v>8.9</v>
      </c>
      <c r="R662" s="246">
        <f t="shared" si="21"/>
        <v>890</v>
      </c>
      <c r="S662" s="177">
        <v>43999</v>
      </c>
      <c r="T662" s="182">
        <v>886</v>
      </c>
      <c r="U662" s="177">
        <v>44011</v>
      </c>
      <c r="V662" s="177">
        <v>44012</v>
      </c>
      <c r="W662" s="177">
        <v>44013</v>
      </c>
      <c r="X662" s="176">
        <v>46011</v>
      </c>
      <c r="Y662" s="177">
        <v>44032</v>
      </c>
      <c r="Z662" s="415">
        <v>4</v>
      </c>
      <c r="AA662" s="488"/>
      <c r="AB662" s="594"/>
      <c r="AC662" s="595"/>
      <c r="AD662" s="596" t="str">
        <f>IF(AND(AC662&lt;&gt;"",S662&lt;&gt;""),NETWORKDAYS(AC662,S662,#REF!),"")</f>
        <v/>
      </c>
      <c r="AE662" s="596" t="str">
        <f ca="1">IF(AND(AD662="",AC662=""),"",IF(OR(AD662&lt;&gt;"",O662="*CANCELADO"),"",NETWORKDAYS(AC662,TODAY(),#REF!)))</f>
        <v/>
      </c>
      <c r="AF662" s="597" t="str">
        <f>IFERROR(INDEX(produtos_escape2!M:M,MATCH(Controle!H662,produtos_escape2!A:A,0)),"")</f>
        <v>AVENTAL DESCARTÁVEL MANGA LONGA</v>
      </c>
    </row>
    <row r="663" spans="1:32" ht="14.25" customHeight="1">
      <c r="A663" s="176" t="s">
        <v>7403</v>
      </c>
      <c r="B663" s="176" t="s">
        <v>1687</v>
      </c>
      <c r="C663" s="177">
        <v>43992</v>
      </c>
      <c r="D663" s="176" t="s">
        <v>8906</v>
      </c>
      <c r="E663" s="176" t="s">
        <v>1867</v>
      </c>
      <c r="F663" s="259" t="s">
        <v>8907</v>
      </c>
      <c r="G663" s="176">
        <v>1</v>
      </c>
      <c r="H663" s="178">
        <v>51384</v>
      </c>
      <c r="I663" s="592">
        <f t="shared" si="22"/>
        <v>2</v>
      </c>
      <c r="J663" s="178" t="s">
        <v>816</v>
      </c>
      <c r="K663" s="178" t="s">
        <v>816</v>
      </c>
      <c r="L663" s="275" t="str">
        <f>IF(H:H=0,"",IF(ISERROR(VLOOKUP(H:H,produtos_escape2!$A$2:$B$2794,2,FALSE)),"Código não cadastrado",(VLOOKUP(H:H,produtos_escape2!$A$2:$B$2794,2,FALSE))))</f>
        <v>RESISTENCIA AQUEC.AGUA EMERSAO "U" 1000WX220V 1</v>
      </c>
      <c r="M663" s="593" t="str">
        <f>IF(H:H=0,"",IF(ISERROR(VLOOKUP(H:H,produtos_escape2!$A$2:$D$2794,2,FALSE)),"Código não cadastrado",(VLOOKUP(H:H,produtos_escape2!$A$2:$D$2794,4,FALSE))))</f>
        <v>UN</v>
      </c>
      <c r="N663" s="486">
        <v>1</v>
      </c>
      <c r="O663" s="176" t="s">
        <v>4433</v>
      </c>
      <c r="P663" s="486">
        <v>1</v>
      </c>
      <c r="Q663" s="247">
        <v>110</v>
      </c>
      <c r="R663" s="246">
        <f t="shared" si="21"/>
        <v>110</v>
      </c>
      <c r="S663" s="177">
        <v>43998</v>
      </c>
      <c r="T663" s="182">
        <v>476</v>
      </c>
      <c r="U663" s="177">
        <v>44039</v>
      </c>
      <c r="V663" s="177">
        <v>44041</v>
      </c>
      <c r="W663" s="177">
        <v>44043</v>
      </c>
      <c r="X663" s="176">
        <v>63297</v>
      </c>
      <c r="Y663" s="177">
        <v>44061</v>
      </c>
      <c r="Z663" s="415">
        <v>4</v>
      </c>
      <c r="AA663" s="488"/>
      <c r="AB663" s="594"/>
      <c r="AC663" s="595"/>
      <c r="AD663" s="596" t="str">
        <f>IF(AND(AC663&lt;&gt;"",S663&lt;&gt;""),NETWORKDAYS(AC663,S663,#REF!),"")</f>
        <v/>
      </c>
      <c r="AE663" s="596" t="str">
        <f ca="1">IF(AND(AD663="",AC663=""),"",IF(OR(AD663&lt;&gt;"",O663="*CANCELADO"),"",NETWORKDAYS(AC663,TODAY(),#REF!)))</f>
        <v/>
      </c>
      <c r="AF663" s="597" t="str">
        <f>IFERROR(INDEX(produtos_escape2!M:M,MATCH(Controle!H663,produtos_escape2!A:A,0)),"")</f>
        <v>RESISTENCIA</v>
      </c>
    </row>
    <row r="664" spans="1:32" ht="14.25" customHeight="1">
      <c r="A664" s="176" t="s">
        <v>8429</v>
      </c>
      <c r="B664" s="176" t="s">
        <v>3608</v>
      </c>
      <c r="C664" s="177">
        <v>43998</v>
      </c>
      <c r="D664" s="176" t="s">
        <v>8935</v>
      </c>
      <c r="E664" s="176" t="s">
        <v>1866</v>
      </c>
      <c r="F664" s="259" t="s">
        <v>8936</v>
      </c>
      <c r="G664" s="176">
        <v>1</v>
      </c>
      <c r="H664" s="178">
        <v>90354</v>
      </c>
      <c r="I664" s="592">
        <f t="shared" si="22"/>
        <v>9</v>
      </c>
      <c r="J664" s="178" t="s">
        <v>816</v>
      </c>
      <c r="K664" s="178" t="s">
        <v>816</v>
      </c>
      <c r="L664" s="275" t="str">
        <f>IF(H:H=0,"",IF(ISERROR(VLOOKUP(H:H,produtos_escape2!$A$2:$B$2794,2,FALSE)),"Código não cadastrado",(VLOOKUP(H:H,produtos_escape2!$A$2:$B$2794,2,FALSE))))</f>
        <v>LACTULOSE XAROPE 667 MG/ML FRASCO 120 ML
NÂO pode ser a Lactulife da Naturelife.</v>
      </c>
      <c r="M664" s="593" t="str">
        <f>IF(H:H=0,"",IF(ISERROR(VLOOKUP(H:H,produtos_escape2!$A$2:$D$2794,2,FALSE)),"Código não cadastrado",(VLOOKUP(H:H,produtos_escape2!$A$2:$D$2794,4,FALSE))))</f>
        <v>FR</v>
      </c>
      <c r="N664" s="486">
        <v>200</v>
      </c>
      <c r="O664" s="176" t="s">
        <v>4379</v>
      </c>
      <c r="P664" s="486">
        <v>198</v>
      </c>
      <c r="Q664" s="247">
        <v>6.3</v>
      </c>
      <c r="R664" s="246">
        <f t="shared" si="21"/>
        <v>1247.3999999999999</v>
      </c>
      <c r="S664" s="177">
        <v>43999</v>
      </c>
      <c r="T664" s="182">
        <v>12624</v>
      </c>
      <c r="U664" s="177">
        <v>43999</v>
      </c>
      <c r="V664" s="177">
        <v>44000</v>
      </c>
      <c r="W664" s="177">
        <v>44004</v>
      </c>
      <c r="X664" s="176">
        <v>32388</v>
      </c>
      <c r="Y664" s="177">
        <v>44011</v>
      </c>
      <c r="Z664" s="415">
        <v>3</v>
      </c>
      <c r="AA664" s="488"/>
      <c r="AB664" s="594"/>
      <c r="AC664" s="595"/>
      <c r="AD664" s="596" t="str">
        <f>IF(AND(AC664&lt;&gt;"",S664&lt;&gt;""),NETWORKDAYS(AC664,S664,#REF!),"")</f>
        <v/>
      </c>
      <c r="AE664" s="596" t="str">
        <f ca="1">IF(AND(AD664="",AC664=""),"",IF(OR(AD664&lt;&gt;"",O664="*CANCELADO"),"",NETWORKDAYS(AC664,TODAY(),#REF!)))</f>
        <v/>
      </c>
      <c r="AF664" s="597" t="str">
        <f>IFERROR(INDEX(produtos_escape2!M:M,MATCH(Controle!H664,produtos_escape2!A:A,0)),"")</f>
        <v>LACTULOSE XAROPE 667 MG/ML FRASCO 120 ML</v>
      </c>
    </row>
    <row r="665" spans="1:32" ht="14.25" customHeight="1">
      <c r="A665" s="176" t="s">
        <v>8427</v>
      </c>
      <c r="B665" s="176" t="s">
        <v>3608</v>
      </c>
      <c r="C665" s="177">
        <v>43998</v>
      </c>
      <c r="D665" s="176" t="s">
        <v>8937</v>
      </c>
      <c r="E665" s="176" t="s">
        <v>3009</v>
      </c>
      <c r="F665" s="259" t="s">
        <v>8958</v>
      </c>
      <c r="G665" s="176">
        <v>1</v>
      </c>
      <c r="H665" s="178">
        <v>90330</v>
      </c>
      <c r="I665" s="592">
        <f t="shared" si="22"/>
        <v>1</v>
      </c>
      <c r="J665" s="178" t="s">
        <v>816</v>
      </c>
      <c r="K665" s="178" t="s">
        <v>816</v>
      </c>
      <c r="L665" s="275" t="str">
        <f>IF(H:H=0,"",IF(ISERROR(VLOOKUP(H:H,produtos_escape2!$A$2:$B$2794,2,FALSE)),"Código não cadastrado",(VLOOKUP(H:H,produtos_escape2!$A$2:$B$2794,2,FALSE))))</f>
        <v>NIFEDIPINO COMPRIMIDO OU CAPSULA 10 MG</v>
      </c>
      <c r="M665" s="593" t="str">
        <f>IF(H:H=0,"",IF(ISERROR(VLOOKUP(H:H,produtos_escape2!$A$2:$D$2794,2,FALSE)),"Código não cadastrado",(VLOOKUP(H:H,produtos_escape2!$A$2:$D$2794,4,FALSE))))</f>
        <v>CS</v>
      </c>
      <c r="N665" s="486">
        <v>100</v>
      </c>
      <c r="O665" s="176" t="s">
        <v>1868</v>
      </c>
      <c r="P665" s="486"/>
      <c r="Q665" s="247"/>
      <c r="R665" s="246">
        <f t="shared" si="21"/>
        <v>0</v>
      </c>
      <c r="S665" s="177"/>
      <c r="T665" s="182"/>
      <c r="U665" s="177"/>
      <c r="V665" s="177"/>
      <c r="W665" s="177"/>
      <c r="X665" s="176"/>
      <c r="Y665" s="177"/>
      <c r="Z665" s="415">
        <v>3</v>
      </c>
      <c r="AA665" s="488" t="s">
        <v>9108</v>
      </c>
      <c r="AB665" s="594"/>
      <c r="AC665" s="595"/>
      <c r="AD665" s="596" t="str">
        <f>IF(AND(AC665&lt;&gt;"",S665&lt;&gt;""),NETWORKDAYS(AC665,S665,#REF!),"")</f>
        <v/>
      </c>
      <c r="AE665" s="596" t="str">
        <f ca="1">IF(AND(AD665="",AC665=""),"",IF(OR(AD665&lt;&gt;"",O665="*CANCELADO"),"",NETWORKDAYS(AC665,TODAY(),#REF!)))</f>
        <v/>
      </c>
      <c r="AF665" s="597" t="str">
        <f>IFERROR(INDEX(produtos_escape2!M:M,MATCH(Controle!H665,produtos_escape2!A:A,0)),"")</f>
        <v>NIFEDIPINA CAPSULA GELATINOSA MOLE 10 MG</v>
      </c>
    </row>
    <row r="666" spans="1:32" ht="14.25" customHeight="1">
      <c r="A666" s="176" t="s">
        <v>8425</v>
      </c>
      <c r="B666" s="176" t="s">
        <v>3608</v>
      </c>
      <c r="C666" s="177">
        <v>43998</v>
      </c>
      <c r="D666" s="176" t="s">
        <v>8939</v>
      </c>
      <c r="E666" s="176" t="s">
        <v>1867</v>
      </c>
      <c r="F666" s="259" t="s">
        <v>8959</v>
      </c>
      <c r="G666" s="176">
        <v>1</v>
      </c>
      <c r="H666" s="178">
        <v>90251</v>
      </c>
      <c r="I666" s="592">
        <f t="shared" si="22"/>
        <v>2</v>
      </c>
      <c r="J666" s="178" t="s">
        <v>816</v>
      </c>
      <c r="K666" s="178" t="s">
        <v>816</v>
      </c>
      <c r="L666" s="275" t="str">
        <f>IF(H:H=0,"",IF(ISERROR(VLOOKUP(H:H,produtos_escape2!$A$2:$B$2794,2,FALSE)),"Código não cadastrado",(VLOOKUP(H:H,produtos_escape2!$A$2:$B$2794,2,FALSE))))</f>
        <v>DIGOXINA COMPRIMIDO 0,25MG</v>
      </c>
      <c r="M666" s="593" t="str">
        <f>IF(H:H=0,"",IF(ISERROR(VLOOKUP(H:H,produtos_escape2!$A$2:$D$2794,2,FALSE)),"Código não cadastrado",(VLOOKUP(H:H,produtos_escape2!$A$2:$D$2794,4,FALSE))))</f>
        <v>CP</v>
      </c>
      <c r="N666" s="486">
        <v>200</v>
      </c>
      <c r="O666" s="176" t="s">
        <v>1868</v>
      </c>
      <c r="P666" s="486"/>
      <c r="Q666" s="247">
        <v>1.19</v>
      </c>
      <c r="R666" s="246">
        <f t="shared" si="21"/>
        <v>0</v>
      </c>
      <c r="S666" s="177">
        <v>44001</v>
      </c>
      <c r="T666" s="182"/>
      <c r="U666" s="177"/>
      <c r="V666" s="177"/>
      <c r="W666" s="177"/>
      <c r="X666" s="176"/>
      <c r="Y666" s="177"/>
      <c r="Z666" s="415">
        <v>4</v>
      </c>
      <c r="AA666" s="488" t="s">
        <v>9472</v>
      </c>
      <c r="AB666" s="594"/>
      <c r="AC666" s="595"/>
      <c r="AD666" s="596" t="str">
        <f>IF(AND(AC666&lt;&gt;"",S666&lt;&gt;""),NETWORKDAYS(AC666,S666,#REF!),"")</f>
        <v/>
      </c>
      <c r="AE666" s="596" t="str">
        <f ca="1">IF(AND(AD666="",AC666=""),"",IF(OR(AD666&lt;&gt;"",O666="*CANCELADO"),"",NETWORKDAYS(AC666,TODAY(),#REF!)))</f>
        <v/>
      </c>
      <c r="AF666" s="597" t="str">
        <f>IFERROR(INDEX(produtos_escape2!M:M,MATCH(Controle!H666,produtos_escape2!A:A,0)),"")</f>
        <v>DIGOXINA COMPRIMIDO 0</v>
      </c>
    </row>
    <row r="667" spans="1:32" ht="14.25" customHeight="1">
      <c r="A667" s="176" t="s">
        <v>8423</v>
      </c>
      <c r="B667" s="176" t="s">
        <v>3608</v>
      </c>
      <c r="C667" s="177">
        <v>43998</v>
      </c>
      <c r="D667" s="176" t="s">
        <v>8940</v>
      </c>
      <c r="E667" s="176" t="s">
        <v>1865</v>
      </c>
      <c r="F667" s="259" t="s">
        <v>8960</v>
      </c>
      <c r="G667" s="176">
        <v>1</v>
      </c>
      <c r="H667" s="178">
        <v>8757</v>
      </c>
      <c r="I667" s="592">
        <f t="shared" si="22"/>
        <v>1</v>
      </c>
      <c r="J667" s="178" t="s">
        <v>816</v>
      </c>
      <c r="K667" s="178" t="s">
        <v>816</v>
      </c>
      <c r="L667" s="275" t="str">
        <f>IF(H:H=0,"",IF(ISERROR(VLOOKUP(H:H,produtos_escape2!$A$2:$B$2794,2,FALSE)),"Código não cadastrado",(VLOOKUP(H:H,produtos_escape2!$A$2:$B$2794,2,FALSE))))</f>
        <v>RETINOL (ACETATO) + AMINOACIDOS + DL-METIONINA + CLORANFENICOL POMADA OFTALMICA (10000 UI + 25 MG + 5 MG + 5 MG)/G BISNAGA 3,5 G</v>
      </c>
      <c r="M667" s="593" t="str">
        <f>IF(H:H=0,"",IF(ISERROR(VLOOKUP(H:H,produtos_escape2!$A$2:$D$2794,2,FALSE)),"Código não cadastrado",(VLOOKUP(H:H,produtos_escape2!$A$2:$D$2794,4,FALSE))))</f>
        <v>BS</v>
      </c>
      <c r="N667" s="486">
        <v>10</v>
      </c>
      <c r="O667" s="176" t="s">
        <v>2989</v>
      </c>
      <c r="P667" s="486">
        <v>10</v>
      </c>
      <c r="Q667" s="247">
        <v>11</v>
      </c>
      <c r="R667" s="246">
        <f t="shared" si="21"/>
        <v>110</v>
      </c>
      <c r="S667" s="177">
        <v>44001</v>
      </c>
      <c r="T667" s="182">
        <v>122972</v>
      </c>
      <c r="U667" s="177">
        <v>44005</v>
      </c>
      <c r="V667" s="177">
        <v>44006</v>
      </c>
      <c r="W667" s="177">
        <v>44007</v>
      </c>
      <c r="X667" s="176">
        <v>45690</v>
      </c>
      <c r="Y667" s="177">
        <v>44032</v>
      </c>
      <c r="Z667" s="415">
        <v>4</v>
      </c>
      <c r="AA667" s="488"/>
      <c r="AB667" s="594"/>
      <c r="AC667" s="595"/>
      <c r="AD667" s="596" t="str">
        <f>IF(AND(AC667&lt;&gt;"",S667&lt;&gt;""),NETWORKDAYS(AC667,S667,#REF!),"")</f>
        <v/>
      </c>
      <c r="AE667" s="596" t="str">
        <f ca="1">IF(AND(AD667="",AC667=""),"",IF(OR(AD667&lt;&gt;"",O667="*CANCELADO"),"",NETWORKDAYS(AC667,TODAY(),#REF!)))</f>
        <v/>
      </c>
      <c r="AF667" s="597" t="str">
        <f>IFERROR(INDEX(produtos_escape2!M:M,MATCH(Controle!H667,produtos_escape2!A:A,0)),"")</f>
        <v>RETINOL (ACETATO) + AMINOACIDOS + DL-METIONINA + CLORANFENICOL POMADA OFTALMICA (10000 UI + 25 MG + 5 MG + 5 MG)/G BISNAGA 3</v>
      </c>
    </row>
    <row r="668" spans="1:32" ht="14.25" customHeight="1">
      <c r="A668" s="176" t="s">
        <v>8454</v>
      </c>
      <c r="B668" s="176" t="s">
        <v>3608</v>
      </c>
      <c r="C668" s="177">
        <v>43998</v>
      </c>
      <c r="D668" s="176" t="s">
        <v>8941</v>
      </c>
      <c r="E668" s="176" t="s">
        <v>1866</v>
      </c>
      <c r="F668" s="259" t="s">
        <v>8961</v>
      </c>
      <c r="G668" s="176">
        <v>1</v>
      </c>
      <c r="H668" s="178">
        <v>95131</v>
      </c>
      <c r="I668" s="592">
        <f t="shared" si="22"/>
        <v>5</v>
      </c>
      <c r="J668" s="178" t="s">
        <v>816</v>
      </c>
      <c r="K668" s="178" t="s">
        <v>816</v>
      </c>
      <c r="L668" s="275"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668" s="593" t="str">
        <f>IF(H:H=0,"",IF(ISERROR(VLOOKUP(H:H,produtos_escape2!$A$2:$D$2794,2,FALSE)),"Código não cadastrado",(VLOOKUP(H:H,produtos_escape2!$A$2:$D$2794,4,FALSE))))</f>
        <v>KG</v>
      </c>
      <c r="N668" s="486">
        <v>30</v>
      </c>
      <c r="O668" s="176" t="s">
        <v>7371</v>
      </c>
      <c r="P668" s="486">
        <v>27</v>
      </c>
      <c r="Q668" s="247">
        <v>25.98</v>
      </c>
      <c r="R668" s="246">
        <f t="shared" si="21"/>
        <v>701.46</v>
      </c>
      <c r="S668" s="177">
        <v>43999</v>
      </c>
      <c r="T668" s="182">
        <v>342616</v>
      </c>
      <c r="U668" s="177">
        <v>44000</v>
      </c>
      <c r="V668" s="177">
        <v>44000</v>
      </c>
      <c r="W668" s="177">
        <v>44004</v>
      </c>
      <c r="X668" s="176">
        <v>32450</v>
      </c>
      <c r="Y668" s="177">
        <v>44011</v>
      </c>
      <c r="Z668" s="415">
        <v>3</v>
      </c>
      <c r="AA668" s="488"/>
      <c r="AB668" s="594"/>
      <c r="AC668" s="595"/>
      <c r="AD668" s="596" t="str">
        <f>IF(AND(AC668&lt;&gt;"",S668&lt;&gt;""),NETWORKDAYS(AC668,S668,#REF!),"")</f>
        <v/>
      </c>
      <c r="AE668" s="596" t="str">
        <f ca="1">IF(AND(AD668="",AC668=""),"",IF(OR(AD668&lt;&gt;"",O668="*CANCELADO"),"",NETWORKDAYS(AC668,TODAY(),#REF!)))</f>
        <v/>
      </c>
      <c r="AF668" s="597" t="str">
        <f>IFERROR(INDEX(produtos_escape2!M:M,MATCH(Controle!H668,produtos_escape2!A:A,0)),"")</f>
        <v>CAL SODADA</v>
      </c>
    </row>
    <row r="669" spans="1:32" ht="14.25" customHeight="1">
      <c r="A669" s="176" t="s">
        <v>8419</v>
      </c>
      <c r="B669" s="176" t="s">
        <v>3608</v>
      </c>
      <c r="C669" s="177">
        <v>43998</v>
      </c>
      <c r="D669" s="176" t="s">
        <v>8943</v>
      </c>
      <c r="E669" s="176" t="s">
        <v>3009</v>
      </c>
      <c r="F669" s="259" t="s">
        <v>8962</v>
      </c>
      <c r="G669" s="176">
        <v>1</v>
      </c>
      <c r="H669" s="178">
        <v>90342</v>
      </c>
      <c r="I669" s="592">
        <f t="shared" si="22"/>
        <v>4</v>
      </c>
      <c r="J669" s="178" t="s">
        <v>816</v>
      </c>
      <c r="K669" s="178" t="s">
        <v>816</v>
      </c>
      <c r="L669" s="275" t="str">
        <f>IF(H:H=0,"",IF(ISERROR(VLOOKUP(H:H,produtos_escape2!$A$2:$B$2794,2,FALSE)),"Código não cadastrado",(VLOOKUP(H:H,produtos_escape2!$A$2:$B$2794,2,FALSE))))</f>
        <v>ACIDO POLIACRILICO GEL LIQUIDO OFTALMICO 2 MG/G BISNAGA 10 G</v>
      </c>
      <c r="M669" s="593" t="str">
        <f>IF(H:H=0,"",IF(ISERROR(VLOOKUP(H:H,produtos_escape2!$A$2:$D$2794,2,FALSE)),"Código não cadastrado",(VLOOKUP(H:H,produtos_escape2!$A$2:$D$2794,4,FALSE))))</f>
        <v>BS</v>
      </c>
      <c r="N669" s="486">
        <v>10</v>
      </c>
      <c r="O669" s="176" t="s">
        <v>1868</v>
      </c>
      <c r="P669" s="486"/>
      <c r="Q669" s="247"/>
      <c r="R669" s="246">
        <f t="shared" si="21"/>
        <v>0</v>
      </c>
      <c r="S669" s="177"/>
      <c r="T669" s="182"/>
      <c r="U669" s="177"/>
      <c r="V669" s="177"/>
      <c r="W669" s="177"/>
      <c r="X669" s="176"/>
      <c r="Y669" s="177"/>
      <c r="Z669" s="415">
        <v>3</v>
      </c>
      <c r="AA669" s="488" t="s">
        <v>8117</v>
      </c>
      <c r="AB669" s="594"/>
      <c r="AC669" s="595"/>
      <c r="AD669" s="596" t="str">
        <f>IF(AND(AC669&lt;&gt;"",S669&lt;&gt;""),NETWORKDAYS(AC669,S669,#REF!),"")</f>
        <v/>
      </c>
      <c r="AE669" s="596" t="str">
        <f ca="1">IF(AND(AD669="",AC669=""),"",IF(OR(AD669&lt;&gt;"",O669="*CANCELADO"),"",NETWORKDAYS(AC669,TODAY(),#REF!)))</f>
        <v/>
      </c>
      <c r="AF669" s="597" t="str">
        <f>IFERROR(INDEX(produtos_escape2!M:M,MATCH(Controle!H669,produtos_escape2!A:A,0)),"")</f>
        <v>ACIDO POLIACRILICO GEL LIQUIDO OFTALMICO 2 MG/G BISNAGA 10 G</v>
      </c>
    </row>
    <row r="670" spans="1:32" ht="14.25" customHeight="1">
      <c r="A670" s="176" t="s">
        <v>8433</v>
      </c>
      <c r="B670" s="176" t="s">
        <v>3608</v>
      </c>
      <c r="C670" s="177">
        <v>43998</v>
      </c>
      <c r="D670" s="176" t="s">
        <v>8944</v>
      </c>
      <c r="E670" s="176" t="s">
        <v>1867</v>
      </c>
      <c r="F670" s="259" t="s">
        <v>8963</v>
      </c>
      <c r="G670" s="176">
        <v>1</v>
      </c>
      <c r="H670" s="178">
        <v>30972</v>
      </c>
      <c r="I670" s="592">
        <f t="shared" si="22"/>
        <v>7</v>
      </c>
      <c r="J670" s="178" t="s">
        <v>816</v>
      </c>
      <c r="K670" s="178" t="s">
        <v>816</v>
      </c>
      <c r="L670" s="275"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670" s="593" t="str">
        <f>IF(H:H=0,"",IF(ISERROR(VLOOKUP(H:H,produtos_escape2!$A$2:$D$2794,2,FALSE)),"Código não cadastrado",(VLOOKUP(H:H,produtos_escape2!$A$2:$D$2794,4,FALSE))))</f>
        <v>UN</v>
      </c>
      <c r="N670" s="486">
        <v>1000</v>
      </c>
      <c r="O670" s="176" t="s">
        <v>7485</v>
      </c>
      <c r="P670" s="486">
        <v>1000</v>
      </c>
      <c r="Q670" s="247">
        <v>0.8</v>
      </c>
      <c r="R670" s="246">
        <f t="shared" si="21"/>
        <v>800</v>
      </c>
      <c r="S670" s="177">
        <v>44000</v>
      </c>
      <c r="T670" s="182">
        <v>43543</v>
      </c>
      <c r="U670" s="177">
        <v>44004</v>
      </c>
      <c r="V670" s="177">
        <v>44011</v>
      </c>
      <c r="W670" s="177">
        <v>44012</v>
      </c>
      <c r="X670" s="176">
        <v>46003</v>
      </c>
      <c r="Y670" s="177">
        <v>44032</v>
      </c>
      <c r="Z670" s="415">
        <v>4</v>
      </c>
      <c r="AA670" s="488"/>
      <c r="AB670" s="594"/>
      <c r="AC670" s="595"/>
      <c r="AD670" s="596" t="str">
        <f>IF(AND(AC670&lt;&gt;"",S670&lt;&gt;""),NETWORKDAYS(AC670,S670,#REF!),"")</f>
        <v/>
      </c>
      <c r="AE670" s="596" t="str">
        <f ca="1">IF(AND(AD670="",AC670=""),"",IF(OR(AD670&lt;&gt;"",O670="*CANCELADO"),"",NETWORKDAYS(AC670,TODAY(),#REF!)))</f>
        <v/>
      </c>
      <c r="AF670" s="597" t="str">
        <f>IFERROR(INDEX(produtos_escape2!M:M,MATCH(Controle!H670,produtos_escape2!A:A,0)),"")</f>
        <v>CATETER NASAL ADULTO</v>
      </c>
    </row>
    <row r="671" spans="1:32" ht="14.25" customHeight="1">
      <c r="A671" s="176" t="s">
        <v>8421</v>
      </c>
      <c r="B671" s="176" t="s">
        <v>3608</v>
      </c>
      <c r="C671" s="177">
        <v>43998</v>
      </c>
      <c r="D671" s="176" t="s">
        <v>8942</v>
      </c>
      <c r="E671" s="176" t="s">
        <v>1866</v>
      </c>
      <c r="F671" s="259" t="s">
        <v>8964</v>
      </c>
      <c r="G671" s="176">
        <v>1</v>
      </c>
      <c r="H671" s="178">
        <v>90153</v>
      </c>
      <c r="I671" s="592">
        <f t="shared" si="22"/>
        <v>2</v>
      </c>
      <c r="J671" s="178" t="s">
        <v>816</v>
      </c>
      <c r="K671" s="178" t="s">
        <v>816</v>
      </c>
      <c r="L671" s="275" t="str">
        <f>IF(H:H=0,"",IF(ISERROR(VLOOKUP(H:H,produtos_escape2!$A$2:$B$2794,2,FALSE)),"Código não cadastrado",(VLOOKUP(H:H,produtos_escape2!$A$2:$B$2794,2,FALSE))))</f>
        <v>EFEDRINA (SULFATO) SOLUCAO INJETAVEL 50 MG/ML AMPOLA 1 ML</v>
      </c>
      <c r="M671" s="593" t="str">
        <f>IF(H:H=0,"",IF(ISERROR(VLOOKUP(H:H,produtos_escape2!$A$2:$D$2794,2,FALSE)),"Código não cadastrado",(VLOOKUP(H:H,produtos_escape2!$A$2:$D$2794,4,FALSE))))</f>
        <v>AMP</v>
      </c>
      <c r="N671" s="486">
        <v>500</v>
      </c>
      <c r="O671" s="176" t="s">
        <v>7549</v>
      </c>
      <c r="P671" s="486">
        <v>500</v>
      </c>
      <c r="Q671" s="247">
        <v>1.96</v>
      </c>
      <c r="R671" s="246">
        <f t="shared" si="21"/>
        <v>980</v>
      </c>
      <c r="S671" s="177">
        <v>43999</v>
      </c>
      <c r="T671" s="182">
        <v>106294</v>
      </c>
      <c r="U671" s="177">
        <v>44001</v>
      </c>
      <c r="V671" s="177">
        <v>44004</v>
      </c>
      <c r="W671" s="177">
        <v>44006</v>
      </c>
      <c r="X671" s="176">
        <v>32414</v>
      </c>
      <c r="Y671" s="177">
        <v>44011</v>
      </c>
      <c r="Z671" s="415">
        <v>3</v>
      </c>
      <c r="AA671" s="488"/>
      <c r="AB671" s="594"/>
      <c r="AC671" s="595"/>
      <c r="AD671" s="596" t="str">
        <f>IF(AND(AC671&lt;&gt;"",S671&lt;&gt;""),NETWORKDAYS(AC671,S671,#REF!),"")</f>
        <v/>
      </c>
      <c r="AE671" s="596" t="str">
        <f ca="1">IF(AND(AD671="",AC671=""),"",IF(OR(AD671&lt;&gt;"",O671="*CANCELADO"),"",NETWORKDAYS(AC671,TODAY(),#REF!)))</f>
        <v/>
      </c>
      <c r="AF671" s="597" t="str">
        <f>IFERROR(INDEX(produtos_escape2!M:M,MATCH(Controle!H671,produtos_escape2!A:A,0)),"")</f>
        <v>EFEDRINA (SULFATO) SOLUCAO INJETAVEL 50 MG/ML AMPOLA 1 ML</v>
      </c>
    </row>
    <row r="672" spans="1:32" ht="14.25" customHeight="1">
      <c r="A672" s="176" t="s">
        <v>8439</v>
      </c>
      <c r="B672" s="176" t="s">
        <v>3608</v>
      </c>
      <c r="C672" s="177">
        <v>43998</v>
      </c>
      <c r="D672" s="176" t="s">
        <v>8945</v>
      </c>
      <c r="E672" s="176" t="s">
        <v>3009</v>
      </c>
      <c r="F672" s="259" t="s">
        <v>8965</v>
      </c>
      <c r="G672" s="176">
        <v>1</v>
      </c>
      <c r="H672" s="178">
        <v>90005</v>
      </c>
      <c r="I672" s="592">
        <f t="shared" si="22"/>
        <v>1</v>
      </c>
      <c r="J672" s="178" t="s">
        <v>816</v>
      </c>
      <c r="K672" s="178" t="s">
        <v>816</v>
      </c>
      <c r="L672" s="275" t="str">
        <f>IF(H:H=0,"",IF(ISERROR(VLOOKUP(H:H,produtos_escape2!$A$2:$B$2794,2,FALSE)),"Código não cadastrado",(VLOOKUP(H:H,produtos_escape2!$A$2:$B$2794,2,FALSE))))</f>
        <v>VALPROATO DE SODIO COMPRIMIDO OU CAPSULA (EQUIVALENTE 250 MG ACIDO VALPROICO)</v>
      </c>
      <c r="M672" s="593" t="str">
        <f>IF(H:H=0,"",IF(ISERROR(VLOOKUP(H:H,produtos_escape2!$A$2:$D$2794,2,FALSE)),"Código não cadastrado",(VLOOKUP(H:H,produtos_escape2!$A$2:$D$2794,4,FALSE))))</f>
        <v>UN</v>
      </c>
      <c r="N672" s="486">
        <v>100</v>
      </c>
      <c r="O672" s="176" t="s">
        <v>7371</v>
      </c>
      <c r="P672" s="486">
        <v>100</v>
      </c>
      <c r="Q672" s="247">
        <v>0.54</v>
      </c>
      <c r="R672" s="246">
        <f t="shared" si="21"/>
        <v>54</v>
      </c>
      <c r="S672" s="177">
        <v>44001</v>
      </c>
      <c r="T672" s="182">
        <v>343452</v>
      </c>
      <c r="U672" s="177">
        <v>44004</v>
      </c>
      <c r="V672" s="177">
        <v>44004</v>
      </c>
      <c r="W672" s="177">
        <v>44006</v>
      </c>
      <c r="X672" s="176">
        <v>32515</v>
      </c>
      <c r="Y672" s="177">
        <v>44011</v>
      </c>
      <c r="Z672" s="415">
        <v>3</v>
      </c>
      <c r="AA672" s="488"/>
      <c r="AB672" s="594"/>
      <c r="AC672" s="595"/>
      <c r="AD672" s="596" t="str">
        <f>IF(AND(AC672&lt;&gt;"",S672&lt;&gt;""),NETWORKDAYS(AC672,S672,#REF!),"")</f>
        <v/>
      </c>
      <c r="AE672" s="596" t="str">
        <f ca="1">IF(AND(AD672="",AC672=""),"",IF(OR(AD672&lt;&gt;"",O672="*CANCELADO"),"",NETWORKDAYS(AC672,TODAY(),#REF!)))</f>
        <v/>
      </c>
      <c r="AF672" s="597" t="str">
        <f>IFERROR(INDEX(produtos_escape2!M:M,MATCH(Controle!H672,produtos_escape2!A:A,0)),"")</f>
        <v>VALPROATO DE SODIO COMPRIMIDO OU CAPSULA (EQUIVALENTE 250 MG ACIDO VALPROICO)</v>
      </c>
    </row>
    <row r="673" spans="1:32" ht="14.25" customHeight="1">
      <c r="A673" s="176" t="s">
        <v>8441</v>
      </c>
      <c r="B673" s="176" t="s">
        <v>3608</v>
      </c>
      <c r="C673" s="177">
        <v>43998</v>
      </c>
      <c r="D673" s="176" t="s">
        <v>8946</v>
      </c>
      <c r="E673" s="176" t="s">
        <v>1867</v>
      </c>
      <c r="F673" s="259" t="s">
        <v>8966</v>
      </c>
      <c r="G673" s="176">
        <v>1</v>
      </c>
      <c r="H673" s="178">
        <v>91092</v>
      </c>
      <c r="I673" s="592">
        <f t="shared" si="22"/>
        <v>4</v>
      </c>
      <c r="J673" s="178" t="s">
        <v>816</v>
      </c>
      <c r="K673" s="178" t="s">
        <v>816</v>
      </c>
      <c r="L673" s="275"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673" s="593" t="str">
        <f>IF(H:H=0,"",IF(ISERROR(VLOOKUP(H:H,produtos_escape2!$A$2:$D$2794,2,FALSE)),"Código não cadastrado",(VLOOKUP(H:H,produtos_escape2!$A$2:$D$2794,4,FALSE))))</f>
        <v>UN</v>
      </c>
      <c r="N673" s="486">
        <v>400</v>
      </c>
      <c r="O673" s="176" t="s">
        <v>4379</v>
      </c>
      <c r="P673" s="486">
        <v>400</v>
      </c>
      <c r="Q673" s="247">
        <v>2.95</v>
      </c>
      <c r="R673" s="246">
        <f t="shared" si="21"/>
        <v>1180</v>
      </c>
      <c r="S673" s="177">
        <v>44000</v>
      </c>
      <c r="T673" s="182">
        <v>12655</v>
      </c>
      <c r="U673" s="177">
        <v>44000</v>
      </c>
      <c r="V673" s="177">
        <v>44000</v>
      </c>
      <c r="W673" s="177">
        <v>44004</v>
      </c>
      <c r="X673" s="176">
        <v>32408</v>
      </c>
      <c r="Y673" s="177">
        <v>44011</v>
      </c>
      <c r="Z673" s="415">
        <v>3</v>
      </c>
      <c r="AA673" s="488"/>
      <c r="AB673" s="594"/>
      <c r="AC673" s="595"/>
      <c r="AD673" s="596" t="str">
        <f>IF(AND(AC673&lt;&gt;"",S673&lt;&gt;""),NETWORKDAYS(AC673,S673,#REF!),"")</f>
        <v/>
      </c>
      <c r="AE673" s="596" t="str">
        <f ca="1">IF(AND(AD673="",AC673=""),"",IF(OR(AD673&lt;&gt;"",O673="*CANCELADO"),"",NETWORKDAYS(AC673,TODAY(),#REF!)))</f>
        <v/>
      </c>
      <c r="AF673" s="597" t="str">
        <f>IFERROR(INDEX(produtos_escape2!M:M,MATCH(Controle!H673,produtos_escape2!A:A,0)),"")</f>
        <v>COLETOR DE URINA SISTEMA FECHADO</v>
      </c>
    </row>
    <row r="674" spans="1:32" ht="14.25" customHeight="1">
      <c r="A674" s="176" t="s">
        <v>7897</v>
      </c>
      <c r="B674" s="176" t="s">
        <v>7207</v>
      </c>
      <c r="C674" s="177">
        <v>43998</v>
      </c>
      <c r="D674" s="176" t="s">
        <v>8953</v>
      </c>
      <c r="E674" s="176" t="s">
        <v>1865</v>
      </c>
      <c r="F674" s="259" t="s">
        <v>8967</v>
      </c>
      <c r="G674" s="176">
        <v>1</v>
      </c>
      <c r="H674" s="178">
        <v>13529</v>
      </c>
      <c r="I674" s="592">
        <f t="shared" si="22"/>
        <v>1</v>
      </c>
      <c r="J674" s="178" t="s">
        <v>816</v>
      </c>
      <c r="K674" s="178" t="s">
        <v>816</v>
      </c>
      <c r="L674" s="275" t="str">
        <f>IF(H:H=0,"",IF(ISERROR(VLOOKUP(H:H,produtos_escape2!$A$2:$B$2794,2,FALSE)),"Código não cadastrado",(VLOOKUP(H:H,produtos_escape2!$A$2:$B$2794,2,FALSE))))</f>
        <v>LUVA DE LATÉX palma antiderrapante, punho longo, com virola que prende-se ao ante-braço  para proteção das mãos contra umidade, agentes químicos e biológicos.Tamanho: P</v>
      </c>
      <c r="M674" s="593" t="str">
        <f>IF(H:H=0,"",IF(ISERROR(VLOOKUP(H:H,produtos_escape2!$A$2:$D$2794,2,FALSE)),"Código não cadastrado",(VLOOKUP(H:H,produtos_escape2!$A$2:$D$2794,4,FALSE))))</f>
        <v>PAR</v>
      </c>
      <c r="N674" s="486">
        <v>50</v>
      </c>
      <c r="O674" s="176" t="s">
        <v>3530</v>
      </c>
      <c r="P674" s="486">
        <v>50</v>
      </c>
      <c r="Q674" s="247">
        <v>9.7899999999999991</v>
      </c>
      <c r="R674" s="246">
        <f t="shared" si="21"/>
        <v>489.49999999999994</v>
      </c>
      <c r="S674" s="177">
        <v>44007</v>
      </c>
      <c r="T674" s="182">
        <v>1058</v>
      </c>
      <c r="U674" s="177">
        <v>44014</v>
      </c>
      <c r="V674" s="177">
        <v>44018</v>
      </c>
      <c r="W674" s="177">
        <v>44025</v>
      </c>
      <c r="X674" s="176">
        <v>46047</v>
      </c>
      <c r="Y674" s="177">
        <v>44032</v>
      </c>
      <c r="Z674" s="415">
        <v>4</v>
      </c>
      <c r="AA674" s="488"/>
      <c r="AB674" s="594"/>
      <c r="AC674" s="595"/>
      <c r="AD674" s="596" t="str">
        <f>IF(AND(AC674&lt;&gt;"",S674&lt;&gt;""),NETWORKDAYS(AC674,S674,#REF!),"")</f>
        <v/>
      </c>
      <c r="AE674" s="596" t="str">
        <f ca="1">IF(AND(AD674="",AC674=""),"",IF(OR(AD674&lt;&gt;"",O674="*CANCELADO"),"",NETWORKDAYS(AC674,TODAY(),#REF!)))</f>
        <v/>
      </c>
      <c r="AF674" s="597" t="str">
        <f>IFERROR(INDEX(produtos_escape2!M:M,MATCH(Controle!H674,produtos_escape2!A:A,0)),"")</f>
        <v>LUVA DE LATÉX P</v>
      </c>
    </row>
    <row r="675" spans="1:32" ht="14.25" customHeight="1">
      <c r="A675" s="176" t="s">
        <v>7897</v>
      </c>
      <c r="B675" s="176" t="s">
        <v>7207</v>
      </c>
      <c r="C675" s="177">
        <v>43998</v>
      </c>
      <c r="D675" s="176" t="s">
        <v>8953</v>
      </c>
      <c r="E675" s="176" t="s">
        <v>1865</v>
      </c>
      <c r="F675" s="259" t="s">
        <v>8967</v>
      </c>
      <c r="G675" s="176">
        <v>2</v>
      </c>
      <c r="H675" s="178">
        <v>13530</v>
      </c>
      <c r="I675" s="592">
        <f t="shared" si="22"/>
        <v>2</v>
      </c>
      <c r="J675" s="178" t="s">
        <v>816</v>
      </c>
      <c r="K675" s="178" t="s">
        <v>816</v>
      </c>
      <c r="L675" s="275" t="str">
        <f>IF(H:H=0,"",IF(ISERROR(VLOOKUP(H:H,produtos_escape2!$A$2:$B$2794,2,FALSE)),"Código não cadastrado",(VLOOKUP(H:H,produtos_escape2!$A$2:$B$2794,2,FALSE))))</f>
        <v>LUVA DE LATÉX palma antiderrapante, punho longo, com virola que prende-se ao ante-braço  para proteção das mãos contra umidade, agentes químicos e biológicos.Tamanho: M</v>
      </c>
      <c r="M675" s="593" t="str">
        <f>IF(H:H=0,"",IF(ISERROR(VLOOKUP(H:H,produtos_escape2!$A$2:$D$2794,2,FALSE)),"Código não cadastrado",(VLOOKUP(H:H,produtos_escape2!$A$2:$D$2794,4,FALSE))))</f>
        <v>PAR</v>
      </c>
      <c r="N675" s="486">
        <v>50</v>
      </c>
      <c r="O675" s="176" t="s">
        <v>3530</v>
      </c>
      <c r="P675" s="486">
        <v>50</v>
      </c>
      <c r="Q675" s="247">
        <v>9.7899999999999991</v>
      </c>
      <c r="R675" s="246">
        <f t="shared" si="21"/>
        <v>489.49999999999994</v>
      </c>
      <c r="S675" s="177">
        <v>44007</v>
      </c>
      <c r="T675" s="182">
        <v>1058</v>
      </c>
      <c r="U675" s="177">
        <v>44014</v>
      </c>
      <c r="V675" s="177">
        <v>44018</v>
      </c>
      <c r="W675" s="177">
        <v>44025</v>
      </c>
      <c r="X675" s="176">
        <v>46047</v>
      </c>
      <c r="Y675" s="177">
        <v>44032</v>
      </c>
      <c r="Z675" s="415">
        <v>4</v>
      </c>
      <c r="AA675" s="488"/>
      <c r="AB675" s="594"/>
      <c r="AC675" s="595"/>
      <c r="AD675" s="596" t="str">
        <f>IF(AND(AC675&lt;&gt;"",S675&lt;&gt;""),NETWORKDAYS(AC675,S675,#REF!),"")</f>
        <v/>
      </c>
      <c r="AE675" s="596" t="str">
        <f ca="1">IF(AND(AD675="",AC675=""),"",IF(OR(AD675&lt;&gt;"",O675="*CANCELADO"),"",NETWORKDAYS(AC675,TODAY(),#REF!)))</f>
        <v/>
      </c>
      <c r="AF675" s="597" t="str">
        <f>IFERROR(INDEX(produtos_escape2!M:M,MATCH(Controle!H675,produtos_escape2!A:A,0)),"")</f>
        <v>LUVA DE LATÉX m</v>
      </c>
    </row>
    <row r="676" spans="1:32" ht="14.25" customHeight="1">
      <c r="A676" s="176" t="s">
        <v>7897</v>
      </c>
      <c r="B676" s="176" t="s">
        <v>7207</v>
      </c>
      <c r="C676" s="177">
        <v>43998</v>
      </c>
      <c r="D676" s="176" t="s">
        <v>8953</v>
      </c>
      <c r="E676" s="176" t="s">
        <v>1865</v>
      </c>
      <c r="F676" s="259" t="s">
        <v>8967</v>
      </c>
      <c r="G676" s="176">
        <v>3</v>
      </c>
      <c r="H676" s="178">
        <v>35809</v>
      </c>
      <c r="I676" s="592">
        <f t="shared" si="22"/>
        <v>1</v>
      </c>
      <c r="J676" s="178" t="s">
        <v>816</v>
      </c>
      <c r="K676" s="178" t="s">
        <v>816</v>
      </c>
      <c r="L676" s="275" t="str">
        <f>IF(H:H=0,"",IF(ISERROR(VLOOKUP(H:H,produtos_escape2!$A$2:$B$2794,2,FALSE)),"Código não cadastrado",(VLOOKUP(H:H,produtos_escape2!$A$2:$B$2794,2,FALSE))))</f>
        <v>LUVA DE LÁTEX palma antiderrapante, punho longo, com virola que prende-se ao ante-braço  para proteção das mãos contra umidade, agentes químicos e biológicos. Tamanho: G</v>
      </c>
      <c r="M676" s="593" t="str">
        <f>IF(H:H=0,"",IF(ISERROR(VLOOKUP(H:H,produtos_escape2!$A$2:$D$2794,2,FALSE)),"Código não cadastrado",(VLOOKUP(H:H,produtos_escape2!$A$2:$D$2794,4,FALSE))))</f>
        <v>PAR</v>
      </c>
      <c r="N676" s="486">
        <v>30</v>
      </c>
      <c r="O676" s="176" t="s">
        <v>3530</v>
      </c>
      <c r="P676" s="486">
        <v>30</v>
      </c>
      <c r="Q676" s="247">
        <v>9.7899999999999991</v>
      </c>
      <c r="R676" s="246">
        <f t="shared" si="21"/>
        <v>293.7</v>
      </c>
      <c r="S676" s="177">
        <v>44007</v>
      </c>
      <c r="T676" s="182">
        <v>1058</v>
      </c>
      <c r="U676" s="177">
        <v>44014</v>
      </c>
      <c r="V676" s="177">
        <v>44018</v>
      </c>
      <c r="W676" s="177">
        <v>44025</v>
      </c>
      <c r="X676" s="176">
        <v>46047</v>
      </c>
      <c r="Y676" s="177">
        <v>44032</v>
      </c>
      <c r="Z676" s="415">
        <v>4</v>
      </c>
      <c r="AA676" s="488"/>
      <c r="AB676" s="594"/>
      <c r="AC676" s="595"/>
      <c r="AD676" s="596" t="str">
        <f>IF(AND(AC676&lt;&gt;"",S676&lt;&gt;""),NETWORKDAYS(AC676,S676,#REF!),"")</f>
        <v/>
      </c>
      <c r="AE676" s="596" t="str">
        <f ca="1">IF(AND(AD676="",AC676=""),"",IF(OR(AD676&lt;&gt;"",O676="*CANCELADO"),"",NETWORKDAYS(AC676,TODAY(),#REF!)))</f>
        <v/>
      </c>
      <c r="AF676" s="597" t="str">
        <f>IFERROR(INDEX(produtos_escape2!M:M,MATCH(Controle!H676,produtos_escape2!A:A,0)),"")</f>
        <v>LUVA LATEX G</v>
      </c>
    </row>
    <row r="677" spans="1:32" ht="14.25" customHeight="1">
      <c r="A677" s="176" t="s">
        <v>8431</v>
      </c>
      <c r="B677" s="176" t="s">
        <v>3608</v>
      </c>
      <c r="C677" s="177">
        <v>43998</v>
      </c>
      <c r="D677" s="176" t="s">
        <v>8948</v>
      </c>
      <c r="E677" s="176" t="s">
        <v>1866</v>
      </c>
      <c r="F677" s="259" t="s">
        <v>8968</v>
      </c>
      <c r="G677" s="176">
        <v>1</v>
      </c>
      <c r="H677" s="178">
        <v>20833</v>
      </c>
      <c r="I677" s="592">
        <f t="shared" si="22"/>
        <v>3</v>
      </c>
      <c r="J677" s="178" t="s">
        <v>816</v>
      </c>
      <c r="K677" s="178" t="s">
        <v>816</v>
      </c>
      <c r="L677" s="275" t="str">
        <f>IF(H:H=0,"",IF(ISERROR(VLOOKUP(H:H,produtos_escape2!$A$2:$B$2794,2,FALSE)),"Código não cadastrado",(VLOOKUP(H:H,produtos_escape2!$A$2:$B$2794,2,FALSE))))</f>
        <v>ACICLOVIR POMADA OFTALMICA 0,03 G/G BISNAGA 4,5 G</v>
      </c>
      <c r="M677" s="593" t="str">
        <f>IF(H:H=0,"",IF(ISERROR(VLOOKUP(H:H,produtos_escape2!$A$2:$D$2794,2,FALSE)),"Código não cadastrado",(VLOOKUP(H:H,produtos_escape2!$A$2:$D$2794,4,FALSE))))</f>
        <v>BS</v>
      </c>
      <c r="N677" s="486">
        <v>10</v>
      </c>
      <c r="O677" s="176" t="s">
        <v>8452</v>
      </c>
      <c r="P677" s="486">
        <v>10</v>
      </c>
      <c r="Q677" s="247">
        <v>61</v>
      </c>
      <c r="R677" s="246">
        <f t="shared" si="21"/>
        <v>610</v>
      </c>
      <c r="S677" s="177">
        <v>44001</v>
      </c>
      <c r="T677" s="182">
        <v>20387</v>
      </c>
      <c r="U677" s="177">
        <v>44012</v>
      </c>
      <c r="V677" s="177">
        <v>44013</v>
      </c>
      <c r="W677" s="177">
        <v>44015</v>
      </c>
      <c r="X677" s="176">
        <v>45815</v>
      </c>
      <c r="Y677" s="177">
        <v>44032</v>
      </c>
      <c r="Z677" s="415">
        <v>4</v>
      </c>
      <c r="AA677" s="488"/>
      <c r="AB677" s="594"/>
      <c r="AC677" s="595"/>
      <c r="AD677" s="596" t="str">
        <f>IF(AND(AC677&lt;&gt;"",S677&lt;&gt;""),NETWORKDAYS(AC677,S677,#REF!),"")</f>
        <v/>
      </c>
      <c r="AE677" s="596" t="str">
        <f ca="1">IF(AND(AD677="",AC677=""),"",IF(OR(AD677&lt;&gt;"",O677="*CANCELADO"),"",NETWORKDAYS(AC677,TODAY(),#REF!)))</f>
        <v/>
      </c>
      <c r="AF677" s="597" t="str">
        <f>IFERROR(INDEX(produtos_escape2!M:M,MATCH(Controle!H677,produtos_escape2!A:A,0)),"")</f>
        <v>ACICLOVIR POMADA OFTALMICA 0</v>
      </c>
    </row>
    <row r="678" spans="1:32" ht="14.25" customHeight="1">
      <c r="A678" s="176" t="s">
        <v>8448</v>
      </c>
      <c r="B678" s="176" t="s">
        <v>3608</v>
      </c>
      <c r="C678" s="177">
        <v>43998</v>
      </c>
      <c r="D678" s="176" t="s">
        <v>8951</v>
      </c>
      <c r="E678" s="176" t="s">
        <v>3009</v>
      </c>
      <c r="F678" s="259" t="s">
        <v>8969</v>
      </c>
      <c r="G678" s="176">
        <v>1</v>
      </c>
      <c r="H678" s="178">
        <v>28490</v>
      </c>
      <c r="I678" s="592">
        <f t="shared" si="22"/>
        <v>1</v>
      </c>
      <c r="J678" s="178" t="s">
        <v>816</v>
      </c>
      <c r="K678" s="178" t="s">
        <v>816</v>
      </c>
      <c r="L678" s="275">
        <f>IF(H:H=0,"",IF(ISERROR(VLOOKUP(H:H,produtos_escape2!$A$2:$B$2794,2,FALSE)),"Código não cadastrado",(VLOOKUP(H:H,produtos_escape2!$A$2:$B$2794,2,FALSE))))</f>
        <v>31334</v>
      </c>
      <c r="M678" s="593" t="str">
        <f>IF(H:H=0,"",IF(ISERROR(VLOOKUP(H:H,produtos_escape2!$A$2:$D$2794,2,FALSE)),"Código não cadastrado",(VLOOKUP(H:H,produtos_escape2!$A$2:$D$2794,4,FALSE))))</f>
        <v>PAR</v>
      </c>
      <c r="N678" s="486">
        <v>1000</v>
      </c>
      <c r="O678" s="176" t="s">
        <v>1868</v>
      </c>
      <c r="P678" s="486"/>
      <c r="Q678" s="247">
        <v>2.8</v>
      </c>
      <c r="R678" s="246">
        <f t="shared" si="21"/>
        <v>0</v>
      </c>
      <c r="S678" s="177">
        <v>44008</v>
      </c>
      <c r="T678" s="182"/>
      <c r="U678" s="177"/>
      <c r="V678" s="177"/>
      <c r="W678" s="177"/>
      <c r="X678" s="176"/>
      <c r="Y678" s="177"/>
      <c r="Z678" s="415">
        <v>4</v>
      </c>
      <c r="AA678" s="488" t="s">
        <v>9361</v>
      </c>
      <c r="AB678" s="594"/>
      <c r="AC678" s="595"/>
      <c r="AD678" s="596" t="str">
        <f>IF(AND(AC678&lt;&gt;"",S678&lt;&gt;""),NETWORKDAYS(AC678,S678,#REF!),"")</f>
        <v/>
      </c>
      <c r="AE678" s="596" t="str">
        <f ca="1">IF(AND(AD678="",AC678=""),"",IF(OR(AD678&lt;&gt;"",O678="*CANCELADO"),"",NETWORKDAYS(AC678,TODAY(),#REF!)))</f>
        <v/>
      </c>
      <c r="AF678" s="597" t="str">
        <f>IFERROR(INDEX(produtos_escape2!M:M,MATCH(Controle!H678,produtos_escape2!A:A,0)),"")</f>
        <v>LUVA CIRURGICA ESPECIAL</v>
      </c>
    </row>
    <row r="679" spans="1:32" ht="14.25" customHeight="1">
      <c r="A679" s="176" t="s">
        <v>8436</v>
      </c>
      <c r="B679" s="176" t="s">
        <v>3608</v>
      </c>
      <c r="C679" s="177">
        <v>43998</v>
      </c>
      <c r="D679" s="176" t="s">
        <v>8949</v>
      </c>
      <c r="E679" s="176" t="s">
        <v>1867</v>
      </c>
      <c r="F679" s="259" t="s">
        <v>8970</v>
      </c>
      <c r="G679" s="176">
        <v>1</v>
      </c>
      <c r="H679" s="178">
        <v>35116</v>
      </c>
      <c r="I679" s="592">
        <f t="shared" si="22"/>
        <v>2</v>
      </c>
      <c r="J679" s="178" t="s">
        <v>816</v>
      </c>
      <c r="K679" s="178" t="s">
        <v>816</v>
      </c>
      <c r="L679" s="275" t="str">
        <f>IF(H:H=0,"",IF(ISERROR(VLOOKUP(H:H,produtos_escape2!$A$2:$B$2794,2,FALSE)),"Código não cadastrado",(VLOOKUP(H:H,produtos_escape2!$A$2:$B$2794,2,FALSE))))</f>
        <v xml:space="preserve">Frasco coletor de secreção biológica , 50 a 120mL, transparente, rígido, graduado no máximo a cada 10 mL, descartável, com tampa de oclusão hermética em polipropileno, 2 vias. Frasco atóxico, em PVC cristal. Extensão em PVC atóxico ou silicone, de aproximadamente 20 cm. Alça para sustentação. Adaptador de polipropileno fixado na tampa. 2 vias, com entrada e saída para aspiração. Estéril; esterilizado em óxido de etileno. Prazo de validade mínimo de 12 meses. APLICAÇÃO: utilizado na coleta de secreção biológica e lavado brônquico. </v>
      </c>
      <c r="M679" s="593" t="str">
        <f>IF(H:H=0,"",IF(ISERROR(VLOOKUP(H:H,produtos_escape2!$A$2:$D$2794,2,FALSE)),"Código não cadastrado",(VLOOKUP(H:H,produtos_escape2!$A$2:$D$2794,4,FALSE))))</f>
        <v>UN</v>
      </c>
      <c r="N679" s="486">
        <v>100</v>
      </c>
      <c r="O679" s="176" t="s">
        <v>3530</v>
      </c>
      <c r="P679" s="486">
        <v>100</v>
      </c>
      <c r="Q679" s="247">
        <v>11.9</v>
      </c>
      <c r="R679" s="246">
        <f t="shared" si="21"/>
        <v>1190</v>
      </c>
      <c r="S679" s="177">
        <v>44001</v>
      </c>
      <c r="T679" s="182">
        <v>1060</v>
      </c>
      <c r="U679" s="177">
        <v>44019</v>
      </c>
      <c r="V679" s="177">
        <v>44020</v>
      </c>
      <c r="W679" s="177">
        <v>44029</v>
      </c>
      <c r="X679" s="176">
        <v>53997</v>
      </c>
      <c r="Y679" s="177">
        <v>44046</v>
      </c>
      <c r="Z679" s="415">
        <v>4</v>
      </c>
      <c r="AA679" s="488"/>
      <c r="AB679" s="594"/>
      <c r="AC679" s="595"/>
      <c r="AD679" s="596" t="str">
        <f>IF(AND(AC679&lt;&gt;"",S679&lt;&gt;""),NETWORKDAYS(AC679,S679,#REF!),"")</f>
        <v/>
      </c>
      <c r="AE679" s="596" t="str">
        <f ca="1">IF(AND(AD679="",AC679=""),"",IF(OR(AD679&lt;&gt;"",O679="*CANCELADO"),"",NETWORKDAYS(AC679,TODAY(),#REF!)))</f>
        <v/>
      </c>
      <c r="AF679" s="597" t="str">
        <f>IFERROR(INDEX(produtos_escape2!M:M,MATCH(Controle!H679,produtos_escape2!A:A,0)),"")</f>
        <v>Frasco coletor</v>
      </c>
    </row>
    <row r="680" spans="1:32" ht="14.25" customHeight="1">
      <c r="A680" s="176" t="s">
        <v>8443</v>
      </c>
      <c r="B680" s="176" t="s">
        <v>3608</v>
      </c>
      <c r="C680" s="177">
        <v>43998</v>
      </c>
      <c r="D680" s="176" t="s">
        <v>8947</v>
      </c>
      <c r="E680" s="176" t="s">
        <v>1866</v>
      </c>
      <c r="F680" s="259" t="s">
        <v>8971</v>
      </c>
      <c r="G680" s="176">
        <v>3</v>
      </c>
      <c r="H680" s="178">
        <v>95046</v>
      </c>
      <c r="I680" s="592">
        <f t="shared" si="22"/>
        <v>7</v>
      </c>
      <c r="J680" s="178" t="s">
        <v>816</v>
      </c>
      <c r="K680" s="178" t="s">
        <v>816</v>
      </c>
      <c r="L680" s="275"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680" s="593" t="str">
        <f>IF(H:H=0,"",IF(ISERROR(VLOOKUP(H:H,produtos_escape2!$A$2:$D$2794,2,FALSE)),"Código não cadastrado",(VLOOKUP(H:H,produtos_escape2!$A$2:$D$2794,4,FALSE))))</f>
        <v>FR</v>
      </c>
      <c r="N680" s="486">
        <v>120</v>
      </c>
      <c r="O680" s="176" t="s">
        <v>2989</v>
      </c>
      <c r="P680" s="486">
        <v>120</v>
      </c>
      <c r="Q680" s="247">
        <v>5.4</v>
      </c>
      <c r="R680" s="246">
        <f t="shared" si="21"/>
        <v>648</v>
      </c>
      <c r="S680" s="177">
        <v>43999</v>
      </c>
      <c r="T680" s="182">
        <v>122538</v>
      </c>
      <c r="U680" s="177">
        <v>44000</v>
      </c>
      <c r="V680" s="177">
        <v>44001</v>
      </c>
      <c r="W680" s="177">
        <v>44004</v>
      </c>
      <c r="X680" s="176">
        <v>32430</v>
      </c>
      <c r="Y680" s="177">
        <v>44011</v>
      </c>
      <c r="Z680" s="415">
        <v>3</v>
      </c>
      <c r="AA680" s="488"/>
      <c r="AB680" s="594"/>
      <c r="AC680" s="595"/>
      <c r="AD680" s="596" t="str">
        <f>IF(AND(AC680&lt;&gt;"",S680&lt;&gt;""),NETWORKDAYS(AC680,S680,#REF!),"")</f>
        <v/>
      </c>
      <c r="AE680" s="596" t="str">
        <f ca="1">IF(AND(AD680="",AC680=""),"",IF(OR(AD680&lt;&gt;"",O680="*CANCELADO"),"",NETWORKDAYS(AC680,TODAY(),#REF!)))</f>
        <v/>
      </c>
      <c r="AF680" s="597" t="str">
        <f>IFERROR(INDEX(produtos_escape2!M:M,MATCH(Controle!H680,produtos_escape2!A:A,0)),"")</f>
        <v>ALCOOL ETILICO ABSOLUTO 99</v>
      </c>
    </row>
    <row r="681" spans="1:32" ht="14.25" customHeight="1">
      <c r="A681" s="176" t="s">
        <v>8455</v>
      </c>
      <c r="B681" s="176" t="s">
        <v>3608</v>
      </c>
      <c r="C681" s="177">
        <v>43998</v>
      </c>
      <c r="D681" s="176" t="s">
        <v>8952</v>
      </c>
      <c r="E681" s="176" t="s">
        <v>3009</v>
      </c>
      <c r="F681" s="259" t="s">
        <v>8972</v>
      </c>
      <c r="G681" s="176">
        <v>1</v>
      </c>
      <c r="H681" s="178">
        <v>10272</v>
      </c>
      <c r="I681" s="592">
        <f t="shared" si="22"/>
        <v>2</v>
      </c>
      <c r="J681" s="178" t="s">
        <v>816</v>
      </c>
      <c r="K681" s="178" t="s">
        <v>816</v>
      </c>
      <c r="L681" s="275" t="str">
        <f>IF(H:H=0,"",IF(ISERROR(VLOOKUP(H:H,produtos_escape2!$A$2:$B$2794,2,FALSE)),"Código não cadastrado",(VLOOKUP(H:H,produtos_escape2!$A$2:$B$2794,2,FALSE))))</f>
        <v>GLICOSE 5 % SOLUÇAO INJETAVEL BOLSA OU FRASCO 500 ML SISTEMA FECHADO DE INFUSAO EMBALAGEM PRIMÁRIA ISENTA DE PVC. Características Adicionais: a bolsa ou o
frasco deve ter graduação volumétrica. A bolsa ou o frasco deve ter colapsabilidade a fim de pe...</v>
      </c>
      <c r="M681" s="593" t="str">
        <f>IF(H:H=0,"",IF(ISERROR(VLOOKUP(H:H,produtos_escape2!$A$2:$D$2794,2,FALSE)),"Código não cadastrado",(VLOOKUP(H:H,produtos_escape2!$A$2:$D$2794,4,FALSE))))</f>
        <v>UN</v>
      </c>
      <c r="N681" s="486">
        <v>1700</v>
      </c>
      <c r="O681" s="176" t="s">
        <v>4379</v>
      </c>
      <c r="P681" s="486">
        <v>1700</v>
      </c>
      <c r="Q681" s="247">
        <v>2.78</v>
      </c>
      <c r="R681" s="246">
        <f t="shared" si="21"/>
        <v>4726</v>
      </c>
      <c r="S681" s="177">
        <v>44001</v>
      </c>
      <c r="T681" s="182">
        <v>12696</v>
      </c>
      <c r="U681" s="177">
        <v>44004</v>
      </c>
      <c r="V681" s="177">
        <v>44004</v>
      </c>
      <c r="W681" s="177">
        <v>44006</v>
      </c>
      <c r="X681" s="176">
        <v>32385</v>
      </c>
      <c r="Y681" s="177">
        <v>44011</v>
      </c>
      <c r="Z681" s="415">
        <v>3</v>
      </c>
      <c r="AA681" s="488"/>
      <c r="AB681" s="594"/>
      <c r="AC681" s="595"/>
      <c r="AD681" s="596" t="str">
        <f>IF(AND(AC681&lt;&gt;"",S681&lt;&gt;""),NETWORKDAYS(AC681,S681,#REF!),"")</f>
        <v/>
      </c>
      <c r="AE681" s="596" t="str">
        <f ca="1">IF(AND(AD681="",AC681=""),"",IF(OR(AD681&lt;&gt;"",O681="*CANCELADO"),"",NETWORKDAYS(AC681,TODAY(),#REF!)))</f>
        <v/>
      </c>
      <c r="AF681" s="597" t="str">
        <f>IFERROR(INDEX(produtos_escape2!M:M,MATCH(Controle!H681,produtos_escape2!A:A,0)),"")</f>
        <v>GLICOSEE 5%</v>
      </c>
    </row>
    <row r="682" spans="1:32" ht="14.25" customHeight="1">
      <c r="A682" s="176" t="s">
        <v>8477</v>
      </c>
      <c r="B682" s="176" t="s">
        <v>3608</v>
      </c>
      <c r="C682" s="177">
        <v>43998</v>
      </c>
      <c r="D682" s="176" t="s">
        <v>8973</v>
      </c>
      <c r="E682" s="176" t="s">
        <v>1867</v>
      </c>
      <c r="F682" s="259" t="s">
        <v>8974</v>
      </c>
      <c r="G682" s="176">
        <v>1</v>
      </c>
      <c r="H682" s="178">
        <v>23384</v>
      </c>
      <c r="I682" s="592">
        <f t="shared" si="22"/>
        <v>3</v>
      </c>
      <c r="J682" s="178" t="s">
        <v>4381</v>
      </c>
      <c r="K682" s="178" t="s">
        <v>4381</v>
      </c>
      <c r="L682" s="275" t="str">
        <f>IF(H:H=0,"",IF(ISERROR(VLOOKUP(H:H,produtos_escape2!$A$2:$B$2794,2,FALSE)),"Código não cadastrado",(VLOOKUP(H:H,produtos_escape2!$A$2:$B$2794,2,FALSE))))</f>
        <v>HIDROXIDO DE ALUMINIO + HIDROXIDO DE MAGNESIO SUSPENSAO ORAL (60 MG + 40 MG)/ML FRASCO COM NO MINIMO 100 ML</v>
      </c>
      <c r="M682" s="593" t="str">
        <f>IF(H:H=0,"",IF(ISERROR(VLOOKUP(H:H,produtos_escape2!$A$2:$D$2794,2,FALSE)),"Código não cadastrado",(VLOOKUP(H:H,produtos_escape2!$A$2:$D$2794,4,FALSE))))</f>
        <v>FR</v>
      </c>
      <c r="N682" s="486">
        <v>150</v>
      </c>
      <c r="O682" s="176" t="s">
        <v>7825</v>
      </c>
      <c r="P682" s="486">
        <v>150</v>
      </c>
      <c r="Q682" s="247">
        <v>2.4500000000000002</v>
      </c>
      <c r="R682" s="246">
        <f t="shared" si="21"/>
        <v>367.5</v>
      </c>
      <c r="S682" s="177">
        <v>44001</v>
      </c>
      <c r="T682" s="182">
        <v>545914</v>
      </c>
      <c r="U682" s="177">
        <v>44004</v>
      </c>
      <c r="V682" s="177">
        <v>44012</v>
      </c>
      <c r="W682" s="177">
        <v>44013</v>
      </c>
      <c r="X682" s="176">
        <v>45733</v>
      </c>
      <c r="Y682" s="177">
        <v>44032</v>
      </c>
      <c r="Z682" s="415">
        <v>4</v>
      </c>
      <c r="AA682" s="488"/>
      <c r="AB682" s="594"/>
      <c r="AC682" s="595"/>
      <c r="AD682" s="596" t="str">
        <f>IF(AND(AC682&lt;&gt;"",S682&lt;&gt;""),NETWORKDAYS(AC682,S682,#REF!),"")</f>
        <v/>
      </c>
      <c r="AE682" s="596" t="str">
        <f ca="1">IF(AND(AD682="",AC682=""),"",IF(OR(AD682&lt;&gt;"",O682="*CANCELADO"),"",NETWORKDAYS(AC682,TODAY(),#REF!)))</f>
        <v/>
      </c>
      <c r="AF682" s="597" t="str">
        <f>IFERROR(INDEX(produtos_escape2!M:M,MATCH(Controle!H682,produtos_escape2!A:A,0)),"")</f>
        <v>HIDROXIDO DE ALUMINIO + HIDROXIDO DE MAGNESIO SUSPENSAO ORAL (60 MG + 40 MG)/ML FRASCO COM NO MINIMO 100 ML</v>
      </c>
    </row>
    <row r="683" spans="1:32" ht="14.25" customHeight="1">
      <c r="A683" s="176" t="s">
        <v>8460</v>
      </c>
      <c r="B683" s="176" t="s">
        <v>3608</v>
      </c>
      <c r="C683" s="177">
        <v>43998</v>
      </c>
      <c r="D683" s="176" t="s">
        <v>8975</v>
      </c>
      <c r="E683" s="176" t="s">
        <v>1865</v>
      </c>
      <c r="F683" s="259" t="s">
        <v>8976</v>
      </c>
      <c r="G683" s="176">
        <v>1</v>
      </c>
      <c r="H683" s="178">
        <v>90032</v>
      </c>
      <c r="I683" s="592">
        <f t="shared" si="22"/>
        <v>11</v>
      </c>
      <c r="J683" s="178" t="s">
        <v>816</v>
      </c>
      <c r="K683" s="178" t="s">
        <v>816</v>
      </c>
      <c r="L683" s="275" t="str">
        <f>IF(H:H=0,"",IF(ISERROR(VLOOKUP(H:H,produtos_escape2!$A$2:$B$2794,2,FALSE)),"Código não cadastrado",(VLOOKUP(H:H,produtos_escape2!$A$2:$B$2794,2,FALSE))))</f>
        <v>CISATRACURIO (BESILATO) SOLUCAO INJETAVEL 2 MG/ML AMPOLA 5 ML</v>
      </c>
      <c r="M683" s="593" t="str">
        <f>IF(H:H=0,"",IF(ISERROR(VLOOKUP(H:H,produtos_escape2!$A$2:$D$2794,2,FALSE)),"Código não cadastrado",(VLOOKUP(H:H,produtos_escape2!$A$2:$D$2794,4,FALSE))))</f>
        <v>AMP</v>
      </c>
      <c r="N683" s="486">
        <v>400</v>
      </c>
      <c r="O683" s="176" t="s">
        <v>1868</v>
      </c>
      <c r="P683" s="486"/>
      <c r="Q683" s="247"/>
      <c r="R683" s="246">
        <f t="shared" si="21"/>
        <v>0</v>
      </c>
      <c r="S683" s="177">
        <v>44007</v>
      </c>
      <c r="T683" s="182"/>
      <c r="U683" s="177"/>
      <c r="V683" s="177"/>
      <c r="W683" s="177"/>
      <c r="X683" s="176"/>
      <c r="Y683" s="177"/>
      <c r="Z683" s="415">
        <v>3</v>
      </c>
      <c r="AA683" s="488" t="s">
        <v>7988</v>
      </c>
      <c r="AB683" s="594"/>
      <c r="AC683" s="595"/>
      <c r="AD683" s="596" t="str">
        <f>IF(AND(AC683&lt;&gt;"",S683&lt;&gt;""),NETWORKDAYS(AC683,S683,#REF!),"")</f>
        <v/>
      </c>
      <c r="AE683" s="596" t="str">
        <f ca="1">IF(AND(AD683="",AC683=""),"",IF(OR(AD683&lt;&gt;"",O683="*CANCELADO"),"",NETWORKDAYS(AC683,TODAY(),#REF!)))</f>
        <v/>
      </c>
      <c r="AF683" s="597" t="str">
        <f>IFERROR(INDEX(produtos_escape2!M:M,MATCH(Controle!H683,produtos_escape2!A:A,0)),"")</f>
        <v>CISATRACURIO (BESILATO) SOLUCAO INJETAVEL 2 MG/ML AMPOLA 5 ML</v>
      </c>
    </row>
    <row r="684" spans="1:32" ht="14.25" customHeight="1">
      <c r="A684" s="176" t="s">
        <v>8456</v>
      </c>
      <c r="B684" s="176" t="s">
        <v>3608</v>
      </c>
      <c r="C684" s="177">
        <v>43998</v>
      </c>
      <c r="D684" s="176" t="s">
        <v>8977</v>
      </c>
      <c r="E684" s="176" t="s">
        <v>1866</v>
      </c>
      <c r="F684" s="259" t="s">
        <v>8978</v>
      </c>
      <c r="G684" s="176">
        <v>1</v>
      </c>
      <c r="H684" s="178">
        <v>90985</v>
      </c>
      <c r="I684" s="592">
        <f t="shared" si="22"/>
        <v>4</v>
      </c>
      <c r="J684" s="178" t="s">
        <v>816</v>
      </c>
      <c r="K684" s="178" t="s">
        <v>816</v>
      </c>
      <c r="L684" s="275" t="str">
        <f>IF(H:H=0,"",IF(ISERROR(VLOOKUP(H:H,produtos_escape2!$A$2:$B$2794,2,FALSE)),"Código não cadastrado",(VLOOKUP(H:H,produtos_escape2!$A$2:$B$2794,2,FALSE))))</f>
        <v>NITRATO DE PRATA SOLUCAO OFTALMICA 1 % FRASCO 2,5 A 5,0 ML</v>
      </c>
      <c r="M684" s="593" t="str">
        <f>IF(H:H=0,"",IF(ISERROR(VLOOKUP(H:H,produtos_escape2!$A$2:$D$2794,2,FALSE)),"Código não cadastrado",(VLOOKUP(H:H,produtos_escape2!$A$2:$D$2794,4,FALSE))))</f>
        <v>FR</v>
      </c>
      <c r="N684" s="486">
        <v>20</v>
      </c>
      <c r="O684" s="176" t="s">
        <v>8452</v>
      </c>
      <c r="P684" s="486">
        <v>20</v>
      </c>
      <c r="Q684" s="247">
        <v>17.5</v>
      </c>
      <c r="R684" s="246">
        <f t="shared" si="21"/>
        <v>350</v>
      </c>
      <c r="S684" s="177">
        <v>44001</v>
      </c>
      <c r="T684" s="182">
        <v>20325</v>
      </c>
      <c r="U684" s="177">
        <v>44011</v>
      </c>
      <c r="V684" s="177">
        <v>44012</v>
      </c>
      <c r="W684" s="177">
        <v>44013</v>
      </c>
      <c r="X684" s="176">
        <v>45718</v>
      </c>
      <c r="Y684" s="177">
        <v>44032</v>
      </c>
      <c r="Z684" s="415">
        <v>4</v>
      </c>
      <c r="AA684" s="488"/>
      <c r="AB684" s="594"/>
      <c r="AC684" s="595"/>
      <c r="AD684" s="596" t="str">
        <f>IF(AND(AC684&lt;&gt;"",S684&lt;&gt;""),NETWORKDAYS(AC684,S684,#REF!),"")</f>
        <v/>
      </c>
      <c r="AE684" s="596" t="str">
        <f ca="1">IF(AND(AD684="",AC684=""),"",IF(OR(AD684&lt;&gt;"",O684="*CANCELADO"),"",NETWORKDAYS(AC684,TODAY(),#REF!)))</f>
        <v/>
      </c>
      <c r="AF684" s="597" t="str">
        <f>IFERROR(INDEX(produtos_escape2!M:M,MATCH(Controle!H684,produtos_escape2!A:A,0)),"")</f>
        <v>NITRATO DE PRATA SOLUCAO OFTALMICA 1 % FRASCO 2</v>
      </c>
    </row>
    <row r="685" spans="1:32" ht="14.25" customHeight="1">
      <c r="A685" s="176" t="s">
        <v>8459</v>
      </c>
      <c r="B685" s="176" t="s">
        <v>3608</v>
      </c>
      <c r="C685" s="177">
        <v>43998</v>
      </c>
      <c r="D685" s="176" t="s">
        <v>8979</v>
      </c>
      <c r="E685" s="176" t="s">
        <v>3009</v>
      </c>
      <c r="F685" s="259" t="s">
        <v>8980</v>
      </c>
      <c r="G685" s="176">
        <v>1</v>
      </c>
      <c r="H685" s="178">
        <v>90220</v>
      </c>
      <c r="I685" s="592">
        <f t="shared" si="22"/>
        <v>7</v>
      </c>
      <c r="J685" s="178" t="s">
        <v>816</v>
      </c>
      <c r="K685" s="178" t="s">
        <v>816</v>
      </c>
      <c r="L685" s="275" t="str">
        <f>IF(H:H=0,"",IF(ISERROR(VLOOKUP(H:H,produtos_escape2!$A$2:$B$2794,2,FALSE)),"Código não cadastrado",(VLOOKUP(H:H,produtos_escape2!$A$2:$B$2794,2,FALSE))))</f>
        <v>ATRACURIO (BESILATO) SOLUCAO INJETAVEL 10 MG/ML AMPOLA 2,5 ML</v>
      </c>
      <c r="M685" s="593" t="str">
        <f>IF(H:H=0,"",IF(ISERROR(VLOOKUP(H:H,produtos_escape2!$A$2:$D$2794,2,FALSE)),"Código não cadastrado",(VLOOKUP(H:H,produtos_escape2!$A$2:$D$2794,4,FALSE))))</f>
        <v>AMP</v>
      </c>
      <c r="N685" s="486">
        <v>100</v>
      </c>
      <c r="O685" s="176" t="s">
        <v>1868</v>
      </c>
      <c r="P685" s="486"/>
      <c r="Q685" s="247"/>
      <c r="R685" s="246">
        <f t="shared" si="21"/>
        <v>0</v>
      </c>
      <c r="S685" s="177"/>
      <c r="T685" s="182"/>
      <c r="U685" s="177"/>
      <c r="V685" s="177"/>
      <c r="W685" s="177"/>
      <c r="X685" s="176"/>
      <c r="Y685" s="177"/>
      <c r="Z685" s="415">
        <v>3</v>
      </c>
      <c r="AA685" s="488" t="s">
        <v>8117</v>
      </c>
      <c r="AB685" s="594"/>
      <c r="AC685" s="595"/>
      <c r="AD685" s="596" t="str">
        <f>IF(AND(AC685&lt;&gt;"",S685&lt;&gt;""),NETWORKDAYS(AC685,S685,#REF!),"")</f>
        <v/>
      </c>
      <c r="AE685" s="596" t="str">
        <f ca="1">IF(AND(AD685="",AC685=""),"",IF(OR(AD685&lt;&gt;"",O685="*CANCELADO"),"",NETWORKDAYS(AC685,TODAY(),#REF!)))</f>
        <v/>
      </c>
      <c r="AF685" s="597" t="str">
        <f>IFERROR(INDEX(produtos_escape2!M:M,MATCH(Controle!H685,produtos_escape2!A:A,0)),"")</f>
        <v>ATRACURIO (BESILATO) SOLUCAO INJETAVEL 10 MG/ML AMPOLA 2</v>
      </c>
    </row>
    <row r="686" spans="1:32" ht="14.25" customHeight="1">
      <c r="A686" s="176" t="s">
        <v>8458</v>
      </c>
      <c r="B686" s="176" t="s">
        <v>3608</v>
      </c>
      <c r="C686" s="177">
        <v>43998</v>
      </c>
      <c r="D686" s="176" t="s">
        <v>8981</v>
      </c>
      <c r="E686" s="176" t="s">
        <v>1867</v>
      </c>
      <c r="F686" s="259" t="s">
        <v>8982</v>
      </c>
      <c r="G686" s="176">
        <v>1</v>
      </c>
      <c r="H686" s="178">
        <v>90914</v>
      </c>
      <c r="I686" s="592">
        <f t="shared" si="22"/>
        <v>5</v>
      </c>
      <c r="J686" s="178" t="s">
        <v>816</v>
      </c>
      <c r="K686" s="178" t="s">
        <v>816</v>
      </c>
      <c r="L686" s="275" t="str">
        <f>IF(H:H=0,"",IF(ISERROR(VLOOKUP(H:H,produtos_escape2!$A$2:$B$2794,2,FALSE)),"Código não cadastrado",(VLOOKUP(H:H,produtos_escape2!$A$2:$B$2794,2,FALSE))))</f>
        <v>SULFAMETOXAZOL + TRIMETROPIMA SOLUCAO INJETAVEL (400 MG + 80 MG)/5 ML AMPOLA 5 ML.</v>
      </c>
      <c r="M686" s="593" t="str">
        <f>IF(H:H=0,"",IF(ISERROR(VLOOKUP(H:H,produtos_escape2!$A$2:$D$2794,2,FALSE)),"Código não cadastrado",(VLOOKUP(H:H,produtos_escape2!$A$2:$D$2794,4,FALSE))))</f>
        <v>AMP</v>
      </c>
      <c r="N686" s="486">
        <v>400</v>
      </c>
      <c r="O686" s="176" t="s">
        <v>1868</v>
      </c>
      <c r="P686" s="486"/>
      <c r="Q686" s="247"/>
      <c r="R686" s="246">
        <f t="shared" si="21"/>
        <v>0</v>
      </c>
      <c r="S686" s="177">
        <v>44006</v>
      </c>
      <c r="T686" s="182"/>
      <c r="U686" s="177"/>
      <c r="V686" s="177"/>
      <c r="W686" s="177"/>
      <c r="X686" s="176"/>
      <c r="Y686" s="177"/>
      <c r="Z686" s="415">
        <v>3</v>
      </c>
      <c r="AA686" s="488" t="s">
        <v>7988</v>
      </c>
      <c r="AB686" s="594"/>
      <c r="AC686" s="595"/>
      <c r="AD686" s="596" t="str">
        <f>IF(AND(AC686&lt;&gt;"",S686&lt;&gt;""),NETWORKDAYS(AC686,S686,#REF!),"")</f>
        <v/>
      </c>
      <c r="AE686" s="596" t="str">
        <f ca="1">IF(AND(AD686="",AC686=""),"",IF(OR(AD686&lt;&gt;"",O686="*CANCELADO"),"",NETWORKDAYS(AC686,TODAY(),#REF!)))</f>
        <v/>
      </c>
      <c r="AF686" s="597" t="str">
        <f>IFERROR(INDEX(produtos_escape2!M:M,MATCH(Controle!H686,produtos_escape2!A:A,0)),"")</f>
        <v>SULFAMETOXAZOL + TRIMETROPIMA SOLUCAO INJETAVEL (400 MG + 80 MG)/5 ML AMPOLA 5 ML</v>
      </c>
    </row>
    <row r="687" spans="1:32" ht="14.25" customHeight="1">
      <c r="A687" s="176" t="s">
        <v>8475</v>
      </c>
      <c r="B687" s="176" t="s">
        <v>3608</v>
      </c>
      <c r="C687" s="177">
        <v>43998</v>
      </c>
      <c r="D687" s="176" t="s">
        <v>8985</v>
      </c>
      <c r="E687" s="176" t="s">
        <v>1866</v>
      </c>
      <c r="F687" s="259" t="s">
        <v>8984</v>
      </c>
      <c r="G687" s="176">
        <v>1</v>
      </c>
      <c r="H687" s="178">
        <v>90458</v>
      </c>
      <c r="I687" s="592">
        <f t="shared" si="22"/>
        <v>7</v>
      </c>
      <c r="J687" s="178" t="s">
        <v>816</v>
      </c>
      <c r="K687" s="178" t="s">
        <v>816</v>
      </c>
      <c r="L687" s="275" t="str">
        <f>IF(H:H=0,"",IF(ISERROR(VLOOKUP(H:H,produtos_escape2!$A$2:$B$2794,2,FALSE)),"Código não cadastrado",(VLOOKUP(H:H,produtos_escape2!$A$2:$B$2794,2,FALSE))))</f>
        <v>ROCURÔNIO SOLUÇÃO INJETÁVEL 10 MG/ML FRASCO AMPOLA 5ML</v>
      </c>
      <c r="M687" s="593" t="str">
        <f>IF(H:H=0,"",IF(ISERROR(VLOOKUP(H:H,produtos_escape2!$A$2:$D$2794,2,FALSE)),"Código não cadastrado",(VLOOKUP(H:H,produtos_escape2!$A$2:$D$2794,4,FALSE))))</f>
        <v>FA</v>
      </c>
      <c r="N687" s="486">
        <v>200</v>
      </c>
      <c r="O687" s="176" t="s">
        <v>1868</v>
      </c>
      <c r="P687" s="486"/>
      <c r="Q687" s="247"/>
      <c r="R687" s="246">
        <f t="shared" si="21"/>
        <v>0</v>
      </c>
      <c r="S687" s="177">
        <v>44001</v>
      </c>
      <c r="T687" s="182"/>
      <c r="U687" s="177"/>
      <c r="V687" s="177"/>
      <c r="W687" s="177"/>
      <c r="X687" s="176"/>
      <c r="Y687" s="177"/>
      <c r="Z687" s="415">
        <v>3</v>
      </c>
      <c r="AA687" s="488" t="s">
        <v>9017</v>
      </c>
      <c r="AB687" s="594"/>
      <c r="AC687" s="595"/>
      <c r="AD687" s="596" t="str">
        <f>IF(AND(AC687&lt;&gt;"",S687&lt;&gt;""),NETWORKDAYS(AC687,S687,#REF!),"")</f>
        <v/>
      </c>
      <c r="AE687" s="596" t="str">
        <f ca="1">IF(AND(AD687="",AC687=""),"",IF(OR(AD687&lt;&gt;"",O687="*CANCELADO"),"",NETWORKDAYS(AC687,TODAY(),#REF!)))</f>
        <v/>
      </c>
      <c r="AF687" s="597" t="str">
        <f>IFERROR(INDEX(produtos_escape2!M:M,MATCH(Controle!H687,produtos_escape2!A:A,0)),"")</f>
        <v>ROCURÔNIO SOLUÇÃO INJETÁVEL 10 MG/ML FRASCO AMPOLA 5ML</v>
      </c>
    </row>
    <row r="688" spans="1:32" ht="14.25" customHeight="1">
      <c r="A688" s="176" t="s">
        <v>8457</v>
      </c>
      <c r="B688" s="176" t="s">
        <v>3608</v>
      </c>
      <c r="C688" s="177">
        <v>43998</v>
      </c>
      <c r="D688" s="176" t="s">
        <v>8983</v>
      </c>
      <c r="E688" s="176" t="s">
        <v>3009</v>
      </c>
      <c r="F688" s="259" t="s">
        <v>8986</v>
      </c>
      <c r="G688" s="176">
        <v>1</v>
      </c>
      <c r="H688" s="178">
        <v>90949</v>
      </c>
      <c r="I688" s="592">
        <f t="shared" si="22"/>
        <v>9</v>
      </c>
      <c r="J688" s="178" t="s">
        <v>816</v>
      </c>
      <c r="K688" s="178" t="s">
        <v>816</v>
      </c>
      <c r="L688" s="275" t="str">
        <f>IF(H:H=0,"",IF(ISERROR(VLOOKUP(H:H,produtos_escape2!$A$2:$B$2794,2,FALSE)),"Código não cadastrado",(VLOOKUP(H:H,produtos_escape2!$A$2:$B$2794,2,FALSE))))</f>
        <v>ONDANSETRONA SOLUÇAO INJETAVEL 2 MG/ML AMPOLA 4 ML</v>
      </c>
      <c r="M688" s="593" t="str">
        <f>IF(H:H=0,"",IF(ISERROR(VLOOKUP(H:H,produtos_escape2!$A$2:$D$2794,2,FALSE)),"Código não cadastrado",(VLOOKUP(H:H,produtos_escape2!$A$2:$D$2794,4,FALSE))))</f>
        <v>AMP</v>
      </c>
      <c r="N688" s="486">
        <v>3000</v>
      </c>
      <c r="O688" s="176" t="s">
        <v>7549</v>
      </c>
      <c r="P688" s="486">
        <v>3000</v>
      </c>
      <c r="Q688" s="247">
        <v>1.38</v>
      </c>
      <c r="R688" s="246">
        <f t="shared" si="21"/>
        <v>4140</v>
      </c>
      <c r="S688" s="177">
        <v>44001</v>
      </c>
      <c r="T688" s="182">
        <v>106341</v>
      </c>
      <c r="U688" s="177">
        <v>44004</v>
      </c>
      <c r="V688" s="177">
        <v>44005</v>
      </c>
      <c r="W688" s="177">
        <v>44006</v>
      </c>
      <c r="X688" s="176">
        <v>54299</v>
      </c>
      <c r="Y688" s="177">
        <v>44046</v>
      </c>
      <c r="Z688" s="415">
        <v>4</v>
      </c>
      <c r="AA688" s="488"/>
      <c r="AB688" s="594"/>
      <c r="AC688" s="595"/>
      <c r="AD688" s="596" t="str">
        <f>IF(AND(AC688&lt;&gt;"",S688&lt;&gt;""),NETWORKDAYS(AC688,S688,#REF!),"")</f>
        <v/>
      </c>
      <c r="AE688" s="596" t="str">
        <f ca="1">IF(AND(AD688="",AC688=""),"",IF(OR(AD688&lt;&gt;"",O688="*CANCELADO"),"",NETWORKDAYS(AC688,TODAY(),#REF!)))</f>
        <v/>
      </c>
      <c r="AF688" s="597" t="str">
        <f>IFERROR(INDEX(produtos_escape2!M:M,MATCH(Controle!H688,produtos_escape2!A:A,0)),"")</f>
        <v>ONDANSETRONA SOLUÇAO INJETAVEL 2 MG/ML AMPOLA 4 ML</v>
      </c>
    </row>
    <row r="689" spans="1:32" ht="14.25" customHeight="1">
      <c r="A689" s="176" t="s">
        <v>7908</v>
      </c>
      <c r="B689" s="176" t="s">
        <v>7207</v>
      </c>
      <c r="C689" s="177">
        <v>44000</v>
      </c>
      <c r="D689" s="176" t="s">
        <v>8993</v>
      </c>
      <c r="E689" s="176" t="s">
        <v>1867</v>
      </c>
      <c r="F689" s="259" t="s">
        <v>8994</v>
      </c>
      <c r="G689" s="176">
        <v>1</v>
      </c>
      <c r="H689" s="178">
        <v>2132</v>
      </c>
      <c r="I689" s="592">
        <f t="shared" si="22"/>
        <v>2</v>
      </c>
      <c r="J689" s="178" t="s">
        <v>816</v>
      </c>
      <c r="K689" s="178" t="s">
        <v>816</v>
      </c>
      <c r="L689" s="275" t="str">
        <f>IF(H:H=0,"",IF(ISERROR(VLOOKUP(H:H,produtos_escape2!$A$2:$B$2794,2,FALSE)),"Código não cadastrado",(VLOOKUP(H:H,produtos_escape2!$A$2:$B$2794,2,FALSE))))</f>
        <v>FERRO DE SOLDA 220VSX35W 1</v>
      </c>
      <c r="M689" s="593" t="str">
        <f>IF(H:H=0,"",IF(ISERROR(VLOOKUP(H:H,produtos_escape2!$A$2:$D$2794,2,FALSE)),"Código não cadastrado",(VLOOKUP(H:H,produtos_escape2!$A$2:$D$2794,4,FALSE))))</f>
        <v>UM</v>
      </c>
      <c r="N689" s="486">
        <v>1</v>
      </c>
      <c r="O689" s="176" t="s">
        <v>8395</v>
      </c>
      <c r="P689" s="486">
        <v>1</v>
      </c>
      <c r="Q689" s="247">
        <v>35</v>
      </c>
      <c r="R689" s="246">
        <f t="shared" si="21"/>
        <v>35</v>
      </c>
      <c r="S689" s="177">
        <v>44006</v>
      </c>
      <c r="T689" s="182">
        <v>3077</v>
      </c>
      <c r="U689" s="177">
        <v>44007</v>
      </c>
      <c r="V689" s="177">
        <v>44008</v>
      </c>
      <c r="W689" s="177">
        <v>44007</v>
      </c>
      <c r="X689" s="176">
        <v>45663</v>
      </c>
      <c r="Y689" s="177">
        <v>44032</v>
      </c>
      <c r="Z689" s="415">
        <v>4</v>
      </c>
      <c r="AA689" s="488"/>
      <c r="AB689" s="594"/>
      <c r="AC689" s="595"/>
      <c r="AD689" s="596" t="str">
        <f>IF(AND(AC689&lt;&gt;"",S689&lt;&gt;""),NETWORKDAYS(AC689,S689,#REF!),"")</f>
        <v/>
      </c>
      <c r="AE689" s="596" t="str">
        <f ca="1">IF(AND(AD689="",AC689=""),"",IF(OR(AD689&lt;&gt;"",O689="*CANCELADO"),"",NETWORKDAYS(AC689,TODAY(),#REF!)))</f>
        <v/>
      </c>
      <c r="AF689" s="597" t="str">
        <f>IFERROR(INDEX(produtos_escape2!M:M,MATCH(Controle!H689,produtos_escape2!A:A,0)),"")</f>
        <v>FERRO DE SOLDA 220VSX35W 1</v>
      </c>
    </row>
    <row r="690" spans="1:32" ht="14.25" customHeight="1">
      <c r="A690" s="176" t="s">
        <v>7905</v>
      </c>
      <c r="B690" s="176" t="s">
        <v>7207</v>
      </c>
      <c r="C690" s="177">
        <v>44000</v>
      </c>
      <c r="D690" s="176" t="s">
        <v>8995</v>
      </c>
      <c r="E690" s="176" t="s">
        <v>1865</v>
      </c>
      <c r="F690" s="259" t="s">
        <v>8996</v>
      </c>
      <c r="G690" s="176">
        <v>1</v>
      </c>
      <c r="H690" s="178">
        <v>13024</v>
      </c>
      <c r="I690" s="592">
        <f t="shared" si="22"/>
        <v>2</v>
      </c>
      <c r="J690" s="178" t="s">
        <v>816</v>
      </c>
      <c r="K690" s="178" t="s">
        <v>816</v>
      </c>
      <c r="L690" s="275" t="str">
        <f>IF(H:H=0,"",IF(ISERROR(VLOOKUP(H:H,produtos_escape2!$A$2:$B$2794,2,FALSE)),"Código não cadastrado",(VLOOKUP(H:H,produtos_escape2!$A$2:$B$2794,2,FALSE))))</f>
        <v>CONJUNTO CHAVE DE FENDA,Material: aço cromo vanádio, Material Haste: niquelada, Material Cabo: polipropileno, Quantidade Peças: 6, Dimensões: 4,50 x 80 mm; 4,50 x 100 mm; 6 x 150 mm; 8 x 150mm; 8 x 200 mm; 10 x 150 mm, Tipo: cruzada (philips), Unidade De Fornecimento: conjunto com 6 peças</v>
      </c>
      <c r="M690" s="593" t="str">
        <f>IF(H:H=0,"",IF(ISERROR(VLOOKUP(H:H,produtos_escape2!$A$2:$D$2794,2,FALSE)),"Código não cadastrado",(VLOOKUP(H:H,produtos_escape2!$A$2:$D$2794,4,FALSE))))</f>
        <v>UN</v>
      </c>
      <c r="N690" s="486">
        <v>2</v>
      </c>
      <c r="O690" s="176" t="s">
        <v>1868</v>
      </c>
      <c r="P690" s="486"/>
      <c r="Q690" s="247">
        <v>19.989999999999998</v>
      </c>
      <c r="R690" s="246">
        <f t="shared" si="21"/>
        <v>0</v>
      </c>
      <c r="S690" s="177">
        <v>44007</v>
      </c>
      <c r="T690" s="182"/>
      <c r="U690" s="177"/>
      <c r="V690" s="177"/>
      <c r="W690" s="177"/>
      <c r="X690" s="176"/>
      <c r="Y690" s="177"/>
      <c r="Z690" s="415">
        <v>5</v>
      </c>
      <c r="AA690" s="488"/>
      <c r="AB690" s="594"/>
      <c r="AC690" s="595"/>
      <c r="AD690" s="596" t="str">
        <f>IF(AND(AC690&lt;&gt;"",S690&lt;&gt;""),NETWORKDAYS(AC690,S690,#REF!),"")</f>
        <v/>
      </c>
      <c r="AE690" s="596" t="str">
        <f ca="1">IF(AND(AD690="",AC690=""),"",IF(OR(AD690&lt;&gt;"",O690="*CANCELADO"),"",NETWORKDAYS(AC690,TODAY(),#REF!)))</f>
        <v/>
      </c>
      <c r="AF690" s="597" t="str">
        <f>IFERROR(INDEX(produtos_escape2!M:M,MATCH(Controle!H690,produtos_escape2!A:A,0)),"")</f>
        <v>CONJUNTO DE CHAVE DE FENDA</v>
      </c>
    </row>
    <row r="691" spans="1:32" ht="14.25" customHeight="1">
      <c r="A691" s="176" t="s">
        <v>7941</v>
      </c>
      <c r="B691" s="176" t="s">
        <v>7207</v>
      </c>
      <c r="C691" s="177">
        <v>44000</v>
      </c>
      <c r="D691" s="176" t="s">
        <v>9000</v>
      </c>
      <c r="E691" s="176" t="s">
        <v>1866</v>
      </c>
      <c r="F691" s="259" t="s">
        <v>9001</v>
      </c>
      <c r="G691" s="176">
        <v>8</v>
      </c>
      <c r="H691" s="178">
        <v>32052</v>
      </c>
      <c r="I691" s="592">
        <f t="shared" si="22"/>
        <v>1</v>
      </c>
      <c r="J691" s="178" t="s">
        <v>816</v>
      </c>
      <c r="K691" s="178" t="s">
        <v>816</v>
      </c>
      <c r="L691" s="275" t="str">
        <f>IF(H:H=0,"",IF(ISERROR(VLOOKUP(H:H,produtos_escape2!$A$2:$B$2794,2,FALSE)),"Código não cadastrado",(VLOOKUP(H:H,produtos_escape2!$A$2:$B$2794,2,FALSE))))</f>
        <v>EXERCITADOR TUBING com especificações mínimas: Material: látex revestido com tecido; Acompanha 2 alças de mão com argola para encaixe dos exercitadores; Comprimento do tubing em repouso (sem esticar) 1,30m; com punhos antiderrapantes; intensidade Azul: Extra forte; Dimensões: 0.2 cm x 0.2 cm x 1.0 cm (C x L x A)Peso: 0.07 kg.</v>
      </c>
      <c r="M691" s="593" t="str">
        <f>IF(H:H=0,"",IF(ISERROR(VLOOKUP(H:H,produtos_escape2!$A$2:$D$2794,2,FALSE)),"Código não cadastrado",(VLOOKUP(H:H,produtos_escape2!$A$2:$D$2794,4,FALSE))))</f>
        <v>UN</v>
      </c>
      <c r="N691" s="486">
        <v>5</v>
      </c>
      <c r="O691" s="176" t="s">
        <v>1868</v>
      </c>
      <c r="P691" s="486"/>
      <c r="Q691" s="247"/>
      <c r="R691" s="246">
        <f t="shared" si="21"/>
        <v>0</v>
      </c>
      <c r="S691" s="177">
        <v>44097</v>
      </c>
      <c r="T691" s="182"/>
      <c r="U691" s="177"/>
      <c r="V691" s="177"/>
      <c r="W691" s="177"/>
      <c r="X691" s="176"/>
      <c r="Y691" s="177"/>
      <c r="Z691" s="415">
        <v>5</v>
      </c>
      <c r="AA691" s="489" t="s">
        <v>9987</v>
      </c>
      <c r="AB691" s="594"/>
      <c r="AC691" s="595"/>
      <c r="AD691" s="596" t="str">
        <f>IF(AND(AC691&lt;&gt;"",S691&lt;&gt;""),NETWORKDAYS(AC691,S691,#REF!),"")</f>
        <v/>
      </c>
      <c r="AE691" s="596" t="str">
        <f ca="1">IF(AND(AD691="",AC691=""),"",IF(OR(AD691&lt;&gt;"",O691="*CANCELADO"),"",NETWORKDAYS(AC691,TODAY(),#REF!)))</f>
        <v/>
      </c>
      <c r="AF691" s="597" t="str">
        <f>IFERROR(INDEX(produtos_escape2!M:M,MATCH(Controle!H691,produtos_escape2!A:A,0)),"")</f>
        <v>EXERCITADOR TUBING</v>
      </c>
    </row>
    <row r="692" spans="1:32" ht="14.25" customHeight="1">
      <c r="A692" s="176" t="s">
        <v>7941</v>
      </c>
      <c r="B692" s="176" t="s">
        <v>7207</v>
      </c>
      <c r="C692" s="177">
        <v>44000</v>
      </c>
      <c r="D692" s="176" t="s">
        <v>9000</v>
      </c>
      <c r="E692" s="176" t="s">
        <v>1866</v>
      </c>
      <c r="F692" s="259" t="s">
        <v>9001</v>
      </c>
      <c r="G692" s="176">
        <v>7</v>
      </c>
      <c r="H692" s="178">
        <v>32050</v>
      </c>
      <c r="I692" s="592">
        <f t="shared" si="22"/>
        <v>1</v>
      </c>
      <c r="J692" s="178" t="s">
        <v>816</v>
      </c>
      <c r="K692" s="178" t="s">
        <v>816</v>
      </c>
      <c r="L692" s="275" t="str">
        <f>IF(H:H=0,"",IF(ISERROR(VLOOKUP(H:H,produtos_escape2!$A$2:$B$2794,2,FALSE)),"Código não cadastrado",(VLOOKUP(H:H,produtos_escape2!$A$2:$B$2794,2,FALSE))))</f>
        <v>EXERCITADOR TUBING com especificações mínimas: Material: látex revestido com tecido; Acompanha 2 alças de mão com argola para encaixe dos exercitadores; Comprimento do tubing em repouso (sem esticar) 1,30m; com punhos antiderrapantes; intensidade Verde: médio; Dimensões: 0.2 cm x 0.2 cm x 1.0 cm (C x LxA) ;Peso: 0.05 kg.</v>
      </c>
      <c r="M692" s="593" t="str">
        <f>IF(H:H=0,"",IF(ISERROR(VLOOKUP(H:H,produtos_escape2!$A$2:$D$2794,2,FALSE)),"Código não cadastrado",(VLOOKUP(H:H,produtos_escape2!$A$2:$D$2794,4,FALSE))))</f>
        <v>UN</v>
      </c>
      <c r="N692" s="486">
        <v>5</v>
      </c>
      <c r="O692" s="176" t="s">
        <v>1868</v>
      </c>
      <c r="P692" s="486"/>
      <c r="Q692" s="247"/>
      <c r="R692" s="246">
        <f t="shared" ref="R692:R755" si="23">P692*Q692</f>
        <v>0</v>
      </c>
      <c r="S692" s="177">
        <v>44097</v>
      </c>
      <c r="T692" s="182"/>
      <c r="U692" s="177"/>
      <c r="V692" s="177"/>
      <c r="W692" s="177"/>
      <c r="X692" s="176"/>
      <c r="Y692" s="177"/>
      <c r="Z692" s="415">
        <v>5</v>
      </c>
      <c r="AA692" s="489" t="s">
        <v>9987</v>
      </c>
      <c r="AB692" s="594"/>
      <c r="AC692" s="595"/>
      <c r="AD692" s="596" t="str">
        <f>IF(AND(AC692&lt;&gt;"",S692&lt;&gt;""),NETWORKDAYS(AC692,S692,#REF!),"")</f>
        <v/>
      </c>
      <c r="AE692" s="596" t="str">
        <f ca="1">IF(AND(AD692="",AC692=""),"",IF(OR(AD692&lt;&gt;"",O692="*CANCELADO"),"",NETWORKDAYS(AC692,TODAY(),#REF!)))</f>
        <v/>
      </c>
      <c r="AF692" s="597" t="str">
        <f>IFERROR(INDEX(produtos_escape2!M:M,MATCH(Controle!H692,produtos_escape2!A:A,0)),"")</f>
        <v>EXERCITADOR TUBING</v>
      </c>
    </row>
    <row r="693" spans="1:32" ht="14.25" customHeight="1">
      <c r="A693" s="176" t="s">
        <v>7941</v>
      </c>
      <c r="B693" s="176" t="s">
        <v>7207</v>
      </c>
      <c r="C693" s="177">
        <v>44000</v>
      </c>
      <c r="D693" s="176" t="s">
        <v>9000</v>
      </c>
      <c r="E693" s="176" t="s">
        <v>1866</v>
      </c>
      <c r="F693" s="259" t="s">
        <v>9001</v>
      </c>
      <c r="G693" s="176">
        <v>6</v>
      </c>
      <c r="H693" s="178">
        <v>32044</v>
      </c>
      <c r="I693" s="592">
        <f t="shared" si="22"/>
        <v>1</v>
      </c>
      <c r="J693" s="178" t="s">
        <v>816</v>
      </c>
      <c r="K693" s="178" t="s">
        <v>816</v>
      </c>
      <c r="L693" s="275" t="str">
        <f>IF(H:H=0,"",IF(ISERROR(VLOOKUP(H:H,produtos_escape2!$A$2:$B$2794,2,FALSE)),"Código não cadastrado",(VLOOKUP(H:H,produtos_escape2!$A$2:$B$2794,2,FALSE))))</f>
        <v>Exercitador Tubing com especificações mínimas: Material: látex revestido com tecido; Acompanha 2 alças de mão com argola para encaixe dos exercitadores; Comprimento do tubing em repouso (sem esticar) 1,30m; com punhos anti-derrapantes; intensidade: preto avançado; Dimensões: 0.2 cm x 0.2 cm x 1.0 cm (C x L x A). Peso: 0.06 kg.</v>
      </c>
      <c r="M693" s="593" t="str">
        <f>IF(H:H=0,"",IF(ISERROR(VLOOKUP(H:H,produtos_escape2!$A$2:$D$2794,2,FALSE)),"Código não cadastrado",(VLOOKUP(H:H,produtos_escape2!$A$2:$D$2794,4,FALSE))))</f>
        <v>UN</v>
      </c>
      <c r="N693" s="486">
        <v>5</v>
      </c>
      <c r="O693" s="176" t="s">
        <v>1868</v>
      </c>
      <c r="P693" s="486"/>
      <c r="Q693" s="247"/>
      <c r="R693" s="246">
        <f t="shared" si="23"/>
        <v>0</v>
      </c>
      <c r="S693" s="177">
        <v>44097</v>
      </c>
      <c r="T693" s="182"/>
      <c r="U693" s="177"/>
      <c r="V693" s="177"/>
      <c r="W693" s="177"/>
      <c r="X693" s="176"/>
      <c r="Y693" s="177"/>
      <c r="Z693" s="415">
        <v>5</v>
      </c>
      <c r="AA693" s="489" t="s">
        <v>9987</v>
      </c>
      <c r="AB693" s="594"/>
      <c r="AC693" s="595"/>
      <c r="AD693" s="596" t="str">
        <f>IF(AND(AC693&lt;&gt;"",S693&lt;&gt;""),NETWORKDAYS(AC693,S693,#REF!),"")</f>
        <v/>
      </c>
      <c r="AE693" s="596" t="str">
        <f ca="1">IF(AND(AD693="",AC693=""),"",IF(OR(AD693&lt;&gt;"",O693="*CANCELADO"),"",NETWORKDAYS(AC693,TODAY(),#REF!)))</f>
        <v/>
      </c>
      <c r="AF693" s="597" t="str">
        <f>IFERROR(INDEX(produtos_escape2!M:M,MATCH(Controle!H693,produtos_escape2!A:A,0)),"")</f>
        <v>EXERCITADOR TUBING</v>
      </c>
    </row>
    <row r="694" spans="1:32" ht="14.25" customHeight="1">
      <c r="A694" s="176" t="s">
        <v>7941</v>
      </c>
      <c r="B694" s="176" t="s">
        <v>7207</v>
      </c>
      <c r="C694" s="177">
        <v>44000</v>
      </c>
      <c r="D694" s="176" t="s">
        <v>9000</v>
      </c>
      <c r="E694" s="176" t="s">
        <v>1866</v>
      </c>
      <c r="F694" s="259" t="s">
        <v>9001</v>
      </c>
      <c r="G694" s="176">
        <v>4</v>
      </c>
      <c r="H694" s="178">
        <v>31079</v>
      </c>
      <c r="I694" s="592">
        <f t="shared" si="22"/>
        <v>1</v>
      </c>
      <c r="J694" s="178" t="s">
        <v>816</v>
      </c>
      <c r="K694" s="178" t="s">
        <v>816</v>
      </c>
      <c r="L694" s="275" t="str">
        <f>IF(H:H=0,"",IF(ISERROR(VLOOKUP(H:H,produtos_escape2!$A$2:$B$2794,2,FALSE)),"Código não cadastrado",(VLOOKUP(H:H,produtos_escape2!$A$2:$B$2794,2,FALSE))))</f>
        <v>EXERCITADOR TUBING, exercitador musculatura, tipo 2 barras paralelas unidas por 1 mola de pressão, aplicação para exercícios da mão, características adicionais tipo de esforço: forte - em torno de 3,5 kg, tipo encaixe em formato de ´alicate´, com encaixes p/ os dedos, material em plástico de alta resistência.</v>
      </c>
      <c r="M694" s="593" t="str">
        <f>IF(H:H=0,"",IF(ISERROR(VLOOKUP(H:H,produtos_escape2!$A$2:$D$2794,2,FALSE)),"Código não cadastrado",(VLOOKUP(H:H,produtos_escape2!$A$2:$D$2794,4,FALSE))))</f>
        <v>UN</v>
      </c>
      <c r="N694" s="486">
        <v>5</v>
      </c>
      <c r="O694" s="176" t="s">
        <v>1868</v>
      </c>
      <c r="P694" s="486"/>
      <c r="Q694" s="247"/>
      <c r="R694" s="246">
        <f t="shared" si="23"/>
        <v>0</v>
      </c>
      <c r="S694" s="177">
        <v>44097</v>
      </c>
      <c r="T694" s="182"/>
      <c r="U694" s="177"/>
      <c r="V694" s="177"/>
      <c r="W694" s="177"/>
      <c r="X694" s="176"/>
      <c r="Y694" s="177"/>
      <c r="Z694" s="415">
        <v>5</v>
      </c>
      <c r="AA694" s="489" t="s">
        <v>9987</v>
      </c>
      <c r="AB694" s="594"/>
      <c r="AC694" s="595"/>
      <c r="AD694" s="596" t="str">
        <f>IF(AND(AC694&lt;&gt;"",S694&lt;&gt;""),NETWORKDAYS(AC694,S694,#REF!),"")</f>
        <v/>
      </c>
      <c r="AE694" s="596" t="str">
        <f ca="1">IF(AND(AD694="",AC694=""),"",IF(OR(AD694&lt;&gt;"",O694="*CANCELADO"),"",NETWORKDAYS(AC694,TODAY(),#REF!)))</f>
        <v/>
      </c>
      <c r="AF694" s="597" t="str">
        <f>IFERROR(INDEX(produtos_escape2!M:M,MATCH(Controle!H694,produtos_escape2!A:A,0)),"")</f>
        <v>EXERCITADOR TUBING</v>
      </c>
    </row>
    <row r="695" spans="1:32" ht="14.25" customHeight="1">
      <c r="A695" s="176" t="s">
        <v>7941</v>
      </c>
      <c r="B695" s="176" t="s">
        <v>7207</v>
      </c>
      <c r="C695" s="177">
        <v>44000</v>
      </c>
      <c r="D695" s="176" t="s">
        <v>9000</v>
      </c>
      <c r="E695" s="176" t="s">
        <v>1866</v>
      </c>
      <c r="F695" s="259" t="s">
        <v>9001</v>
      </c>
      <c r="G695" s="176">
        <v>5</v>
      </c>
      <c r="H695" s="178">
        <v>31116</v>
      </c>
      <c r="I695" s="592">
        <f t="shared" si="22"/>
        <v>1</v>
      </c>
      <c r="J695" s="178" t="s">
        <v>816</v>
      </c>
      <c r="K695" s="178" t="s">
        <v>816</v>
      </c>
      <c r="L695" s="275" t="str">
        <f>IF(H:H=0,"",IF(ISERROR(VLOOKUP(H:H,produtos_escape2!$A$2:$B$2794,2,FALSE)),"Código não cadastrado",(VLOOKUP(H:H,produtos_escape2!$A$2:$B$2794,2,FALSE))))</f>
        <v>EXERCITADOR TUBING, exercitador musculatura, tipo banda, anel sem emenda, aplicação pernas e quadris, características adicionais resistência extra forte, material borracha natural, largura cerca de 5, comprimento cerca de 30.</v>
      </c>
      <c r="M695" s="593" t="str">
        <f>IF(H:H=0,"",IF(ISERROR(VLOOKUP(H:H,produtos_escape2!$A$2:$D$2794,2,FALSE)),"Código não cadastrado",(VLOOKUP(H:H,produtos_escape2!$A$2:$D$2794,4,FALSE))))</f>
        <v>UN</v>
      </c>
      <c r="N695" s="486">
        <v>5</v>
      </c>
      <c r="O695" s="176" t="s">
        <v>1868</v>
      </c>
      <c r="P695" s="486"/>
      <c r="Q695" s="247"/>
      <c r="R695" s="246">
        <f t="shared" si="23"/>
        <v>0</v>
      </c>
      <c r="S695" s="177">
        <v>44097</v>
      </c>
      <c r="T695" s="182"/>
      <c r="U695" s="177"/>
      <c r="V695" s="177"/>
      <c r="W695" s="177"/>
      <c r="X695" s="176"/>
      <c r="Y695" s="177"/>
      <c r="Z695" s="415">
        <v>5</v>
      </c>
      <c r="AA695" s="489" t="s">
        <v>9987</v>
      </c>
      <c r="AB695" s="594"/>
      <c r="AC695" s="595"/>
      <c r="AD695" s="596" t="str">
        <f>IF(AND(AC695&lt;&gt;"",S695&lt;&gt;""),NETWORKDAYS(AC695,S695,#REF!),"")</f>
        <v/>
      </c>
      <c r="AE695" s="596" t="str">
        <f ca="1">IF(AND(AD695="",AC695=""),"",IF(OR(AD695&lt;&gt;"",O695="*CANCELADO"),"",NETWORKDAYS(AC695,TODAY(),#REF!)))</f>
        <v/>
      </c>
      <c r="AF695" s="597" t="str">
        <f>IFERROR(INDEX(produtos_escape2!M:M,MATCH(Controle!H695,produtos_escape2!A:A,0)),"")</f>
        <v>EXERCITADOR TUBING</v>
      </c>
    </row>
    <row r="696" spans="1:32" ht="14.25" customHeight="1">
      <c r="A696" s="176" t="s">
        <v>7941</v>
      </c>
      <c r="B696" s="176" t="s">
        <v>7207</v>
      </c>
      <c r="C696" s="177">
        <v>44000</v>
      </c>
      <c r="D696" s="176" t="s">
        <v>9000</v>
      </c>
      <c r="E696" s="176" t="s">
        <v>1866</v>
      </c>
      <c r="F696" s="259" t="s">
        <v>9001</v>
      </c>
      <c r="G696" s="176">
        <v>2</v>
      </c>
      <c r="H696" s="178">
        <v>17017</v>
      </c>
      <c r="I696" s="592">
        <f t="shared" si="22"/>
        <v>1</v>
      </c>
      <c r="J696" s="178" t="s">
        <v>816</v>
      </c>
      <c r="K696" s="178" t="s">
        <v>816</v>
      </c>
      <c r="L696" s="275" t="str">
        <f>IF(H:H=0,"",IF(ISERROR(VLOOKUP(H:H,produtos_escape2!$A$2:$B$2794,2,FALSE)),"Código não cadastrado",(VLOOKUP(H:H,produtos_escape2!$A$2:$B$2794,2,FALSE))))</f>
        <v>EXERCITADOR TUBING,Características Técnicas Mínimas: de borracha, com pegador em borracha, de resistência médio (verde).</v>
      </c>
      <c r="M696" s="593" t="str">
        <f>IF(H:H=0,"",IF(ISERROR(VLOOKUP(H:H,produtos_escape2!$A$2:$D$2794,2,FALSE)),"Código não cadastrado",(VLOOKUP(H:H,produtos_escape2!$A$2:$D$2794,4,FALSE))))</f>
        <v>UN</v>
      </c>
      <c r="N696" s="486">
        <v>5</v>
      </c>
      <c r="O696" s="176" t="s">
        <v>1868</v>
      </c>
      <c r="P696" s="486"/>
      <c r="Q696" s="247"/>
      <c r="R696" s="246">
        <f t="shared" si="23"/>
        <v>0</v>
      </c>
      <c r="S696" s="177">
        <v>44097</v>
      </c>
      <c r="T696" s="182"/>
      <c r="U696" s="177"/>
      <c r="V696" s="177"/>
      <c r="W696" s="177"/>
      <c r="X696" s="176"/>
      <c r="Y696" s="177"/>
      <c r="Z696" s="415">
        <v>5</v>
      </c>
      <c r="AA696" s="489" t="s">
        <v>9987</v>
      </c>
      <c r="AB696" s="594"/>
      <c r="AC696" s="595"/>
      <c r="AD696" s="596" t="str">
        <f>IF(AND(AC696&lt;&gt;"",S696&lt;&gt;""),NETWORKDAYS(AC696,S696,#REF!),"")</f>
        <v/>
      </c>
      <c r="AE696" s="596" t="str">
        <f ca="1">IF(AND(AD696="",AC696=""),"",IF(OR(AD696&lt;&gt;"",O696="*CANCELADO"),"",NETWORKDAYS(AC696,TODAY(),#REF!)))</f>
        <v/>
      </c>
      <c r="AF696" s="597" t="str">
        <f>IFERROR(INDEX(produtos_escape2!M:M,MATCH(Controle!H696,produtos_escape2!A:A,0)),"")</f>
        <v>EXERCITADOR TUBING</v>
      </c>
    </row>
    <row r="697" spans="1:32" ht="14.25" customHeight="1">
      <c r="A697" s="176" t="s">
        <v>7941</v>
      </c>
      <c r="B697" s="176" t="s">
        <v>7207</v>
      </c>
      <c r="C697" s="177">
        <v>44000</v>
      </c>
      <c r="D697" s="176" t="s">
        <v>9000</v>
      </c>
      <c r="E697" s="176" t="s">
        <v>1866</v>
      </c>
      <c r="F697" s="259" t="s">
        <v>9001</v>
      </c>
      <c r="G697" s="176">
        <v>3</v>
      </c>
      <c r="H697" s="178">
        <v>17020</v>
      </c>
      <c r="I697" s="592">
        <f t="shared" si="22"/>
        <v>1</v>
      </c>
      <c r="J697" s="178" t="s">
        <v>816</v>
      </c>
      <c r="K697" s="178" t="s">
        <v>816</v>
      </c>
      <c r="L697" s="275" t="str">
        <f>IF(H:H=0,"",IF(ISERROR(VLOOKUP(H:H,produtos_escape2!$A$2:$B$2794,2,FALSE)),"Código não cadastrado",(VLOOKUP(H:H,produtos_escape2!$A$2:$B$2794,2,FALSE))))</f>
        <v>EXERCITADOR TUBING,Características Técnicas Mínimas: de borracha, com pegador em borracha, de resistência médio forte (azul). Código do Item: 3.3.90.30.14.02.0093.000003-01</v>
      </c>
      <c r="M697" s="593" t="str">
        <f>IF(H:H=0,"",IF(ISERROR(VLOOKUP(H:H,produtos_escape2!$A$2:$D$2794,2,FALSE)),"Código não cadastrado",(VLOOKUP(H:H,produtos_escape2!$A$2:$D$2794,4,FALSE))))</f>
        <v>UN</v>
      </c>
      <c r="N697" s="486">
        <v>5</v>
      </c>
      <c r="O697" s="176" t="s">
        <v>1868</v>
      </c>
      <c r="P697" s="486"/>
      <c r="Q697" s="247"/>
      <c r="R697" s="246">
        <f t="shared" si="23"/>
        <v>0</v>
      </c>
      <c r="S697" s="177">
        <v>44097</v>
      </c>
      <c r="T697" s="182"/>
      <c r="U697" s="177"/>
      <c r="V697" s="177"/>
      <c r="W697" s="177"/>
      <c r="X697" s="176"/>
      <c r="Y697" s="177"/>
      <c r="Z697" s="415">
        <v>5</v>
      </c>
      <c r="AA697" s="489" t="s">
        <v>9987</v>
      </c>
      <c r="AB697" s="594"/>
      <c r="AC697" s="595"/>
      <c r="AD697" s="596" t="str">
        <f>IF(AND(AC697&lt;&gt;"",S697&lt;&gt;""),NETWORKDAYS(AC697,S697,#REF!),"")</f>
        <v/>
      </c>
      <c r="AE697" s="596" t="str">
        <f ca="1">IF(AND(AD697="",AC697=""),"",IF(OR(AD697&lt;&gt;"",O697="*CANCELADO"),"",NETWORKDAYS(AC697,TODAY(),#REF!)))</f>
        <v/>
      </c>
      <c r="AF697" s="597" t="str">
        <f>IFERROR(INDEX(produtos_escape2!M:M,MATCH(Controle!H697,produtos_escape2!A:A,0)),"")</f>
        <v>EXERCITADOR TUBING</v>
      </c>
    </row>
    <row r="698" spans="1:32" ht="14.25" customHeight="1">
      <c r="A698" s="176" t="s">
        <v>7941</v>
      </c>
      <c r="B698" s="176" t="s">
        <v>7207</v>
      </c>
      <c r="C698" s="177">
        <v>44000</v>
      </c>
      <c r="D698" s="176" t="s">
        <v>9000</v>
      </c>
      <c r="E698" s="176" t="s">
        <v>1866</v>
      </c>
      <c r="F698" s="259" t="s">
        <v>9001</v>
      </c>
      <c r="G698" s="176">
        <v>1</v>
      </c>
      <c r="H698" s="178">
        <v>17016</v>
      </c>
      <c r="I698" s="592">
        <f t="shared" si="22"/>
        <v>1</v>
      </c>
      <c r="J698" s="178" t="s">
        <v>816</v>
      </c>
      <c r="K698" s="178" t="s">
        <v>816</v>
      </c>
      <c r="L698" s="275" t="str">
        <f>IF(H:H=0,"",IF(ISERROR(VLOOKUP(H:H,produtos_escape2!$A$2:$B$2794,2,FALSE)),"Código não cadastrado",(VLOOKUP(H:H,produtos_escape2!$A$2:$B$2794,2,FALSE))))</f>
        <v>EXERCITADOR TUBING,Características Técnicas Mínimas: de borracha, com pegador em borracha, de resistência médio leve (vermelho).</v>
      </c>
      <c r="M698" s="593" t="str">
        <f>IF(H:H=0,"",IF(ISERROR(VLOOKUP(H:H,produtos_escape2!$A$2:$D$2794,2,FALSE)),"Código não cadastrado",(VLOOKUP(H:H,produtos_escape2!$A$2:$D$2794,4,FALSE))))</f>
        <v>UN</v>
      </c>
      <c r="N698" s="486">
        <v>5</v>
      </c>
      <c r="O698" s="176" t="s">
        <v>1868</v>
      </c>
      <c r="P698" s="486"/>
      <c r="Q698" s="247"/>
      <c r="R698" s="246">
        <f t="shared" si="23"/>
        <v>0</v>
      </c>
      <c r="S698" s="177">
        <v>44097</v>
      </c>
      <c r="T698" s="182"/>
      <c r="U698" s="177"/>
      <c r="V698" s="177"/>
      <c r="W698" s="177"/>
      <c r="X698" s="176"/>
      <c r="Y698" s="177"/>
      <c r="Z698" s="415">
        <v>5</v>
      </c>
      <c r="AA698" s="489" t="s">
        <v>9987</v>
      </c>
      <c r="AB698" s="594"/>
      <c r="AC698" s="595"/>
      <c r="AD698" s="596" t="str">
        <f>IF(AND(AC698&lt;&gt;"",S698&lt;&gt;""),NETWORKDAYS(AC698,S698,#REF!),"")</f>
        <v/>
      </c>
      <c r="AE698" s="596" t="str">
        <f ca="1">IF(AND(AD698="",AC698=""),"",IF(OR(AD698&lt;&gt;"",O698="*CANCELADO"),"",NETWORKDAYS(AC698,TODAY(),#REF!)))</f>
        <v/>
      </c>
      <c r="AF698" s="597" t="str">
        <f>IFERROR(INDEX(produtos_escape2!M:M,MATCH(Controle!H698,produtos_escape2!A:A,0)),"")</f>
        <v>EXERCITADOR TUBING,</v>
      </c>
    </row>
    <row r="699" spans="1:32" ht="14.25" customHeight="1">
      <c r="A699" s="176" t="s">
        <v>7943</v>
      </c>
      <c r="B699" s="176" t="s">
        <v>7207</v>
      </c>
      <c r="C699" s="177">
        <v>44000</v>
      </c>
      <c r="D699" s="176" t="s">
        <v>9006</v>
      </c>
      <c r="E699" s="176" t="s">
        <v>1866</v>
      </c>
      <c r="F699" s="259" t="s">
        <v>9007</v>
      </c>
      <c r="G699" s="176">
        <v>1</v>
      </c>
      <c r="H699" s="178">
        <v>17000</v>
      </c>
      <c r="I699" s="592">
        <f t="shared" si="22"/>
        <v>1</v>
      </c>
      <c r="J699" s="178" t="s">
        <v>816</v>
      </c>
      <c r="K699" s="178" t="s">
        <v>816</v>
      </c>
      <c r="L699" s="275" t="str">
        <f>IF(H:H=0,"",IF(ISERROR(VLOOKUP(H:H,produtos_escape2!$A$2:$B$2794,2,FALSE)),"Código não cadastrado",(VLOOKUP(H:H,produtos_escape2!$A$2:$B$2794,2,FALSE))))</f>
        <v>EXERCITADOR DE MÃO E DEDOS, Características Técnicas Mínimas: tela emborrachada com resistência forte (cor verde), tamanho grande</v>
      </c>
      <c r="M699" s="593" t="str">
        <f>IF(H:H=0,"",IF(ISERROR(VLOOKUP(H:H,produtos_escape2!$A$2:$D$2794,2,FALSE)),"Código não cadastrado",(VLOOKUP(H:H,produtos_escape2!$A$2:$D$2794,4,FALSE))))</f>
        <v>UN</v>
      </c>
      <c r="N699" s="486">
        <v>10</v>
      </c>
      <c r="O699" s="176" t="s">
        <v>1868</v>
      </c>
      <c r="P699" s="486"/>
      <c r="Q699" s="247">
        <v>55</v>
      </c>
      <c r="R699" s="246">
        <f t="shared" si="23"/>
        <v>0</v>
      </c>
      <c r="S699" s="177">
        <v>44097</v>
      </c>
      <c r="T699" s="182"/>
      <c r="U699" s="177"/>
      <c r="V699" s="177"/>
      <c r="W699" s="177"/>
      <c r="X699" s="176"/>
      <c r="Y699" s="177"/>
      <c r="Z699" s="415">
        <v>5</v>
      </c>
      <c r="AA699" s="489" t="s">
        <v>9987</v>
      </c>
      <c r="AB699" s="594"/>
      <c r="AC699" s="595"/>
      <c r="AD699" s="596" t="str">
        <f>IF(AND(AC699&lt;&gt;"",S699&lt;&gt;""),NETWORKDAYS(AC699,S699,#REF!),"")</f>
        <v/>
      </c>
      <c r="AE699" s="596" t="str">
        <f ca="1">IF(AND(AD699="",AC699=""),"",IF(OR(AD699&lt;&gt;"",O699="*CANCELADO"),"",NETWORKDAYS(AC699,TODAY(),#REF!)))</f>
        <v/>
      </c>
      <c r="AF699" s="597" t="str">
        <f>IFERROR(INDEX(produtos_escape2!M:M,MATCH(Controle!H699,produtos_escape2!A:A,0)),"")</f>
        <v>EXERCITADOR DE MÃO E DEDOS</v>
      </c>
    </row>
    <row r="700" spans="1:32" ht="14.25" customHeight="1">
      <c r="A700" s="176" t="s">
        <v>7943</v>
      </c>
      <c r="B700" s="176" t="s">
        <v>7207</v>
      </c>
      <c r="C700" s="177">
        <v>44000</v>
      </c>
      <c r="D700" s="176" t="s">
        <v>9006</v>
      </c>
      <c r="E700" s="176" t="s">
        <v>1866</v>
      </c>
      <c r="F700" s="259" t="s">
        <v>9007</v>
      </c>
      <c r="G700" s="176">
        <v>3</v>
      </c>
      <c r="H700" s="178">
        <v>202095</v>
      </c>
      <c r="I700" s="592">
        <f t="shared" si="22"/>
        <v>1</v>
      </c>
      <c r="J700" s="178" t="s">
        <v>816</v>
      </c>
      <c r="K700" s="178" t="s">
        <v>816</v>
      </c>
      <c r="L700" s="275" t="str">
        <f>IF(H:H=0,"",IF(ISERROR(VLOOKUP(H:H,produtos_escape2!$A$2:$B$2794,2,FALSE)),"Código não cadastrado",(VLOOKUP(H:H,produtos_escape2!$A$2:$B$2794,2,FALSE))))</f>
        <v>EXERCITADOR DE MÃO E DEDOS, Cor: vermelha, Aplicação: fortalecimento de mão e dedos, Tamanho: pequeno,  Material: tela emborrachada com resistência média.</v>
      </c>
      <c r="M700" s="593" t="str">
        <f>IF(H:H=0,"",IF(ISERROR(VLOOKUP(H:H,produtos_escape2!$A$2:$D$2794,2,FALSE)),"Código não cadastrado",(VLOOKUP(H:H,produtos_escape2!$A$2:$D$2794,4,FALSE))))</f>
        <v>UM</v>
      </c>
      <c r="N700" s="486">
        <v>10</v>
      </c>
      <c r="O700" s="176" t="s">
        <v>1868</v>
      </c>
      <c r="P700" s="486"/>
      <c r="Q700" s="247">
        <v>55</v>
      </c>
      <c r="R700" s="246">
        <f t="shared" si="23"/>
        <v>0</v>
      </c>
      <c r="S700" s="177">
        <v>44097</v>
      </c>
      <c r="T700" s="182"/>
      <c r="U700" s="177"/>
      <c r="V700" s="177"/>
      <c r="W700" s="177"/>
      <c r="X700" s="176"/>
      <c r="Y700" s="177"/>
      <c r="Z700" s="415">
        <v>5</v>
      </c>
      <c r="AA700" s="489" t="s">
        <v>9987</v>
      </c>
      <c r="AB700" s="594"/>
      <c r="AC700" s="595"/>
      <c r="AD700" s="596" t="str">
        <f>IF(AND(AC700&lt;&gt;"",S700&lt;&gt;""),NETWORKDAYS(AC700,S700,#REF!),"")</f>
        <v/>
      </c>
      <c r="AE700" s="596" t="str">
        <f ca="1">IF(AND(AD700="",AC700=""),"",IF(OR(AD700&lt;&gt;"",O700="*CANCELADO"),"",NETWORKDAYS(AC700,TODAY(),#REF!)))</f>
        <v/>
      </c>
      <c r="AF700" s="597" t="str">
        <f>IFERROR(INDEX(produtos_escape2!M:M,MATCH(Controle!H700,produtos_escape2!A:A,0)),"")</f>
        <v>EXERCITADOR MÃO</v>
      </c>
    </row>
    <row r="701" spans="1:32" ht="14.25" customHeight="1">
      <c r="A701" s="176" t="s">
        <v>7943</v>
      </c>
      <c r="B701" s="176" t="s">
        <v>7207</v>
      </c>
      <c r="C701" s="177">
        <v>44000</v>
      </c>
      <c r="D701" s="176" t="s">
        <v>9006</v>
      </c>
      <c r="E701" s="176" t="s">
        <v>1866</v>
      </c>
      <c r="F701" s="259" t="s">
        <v>9007</v>
      </c>
      <c r="G701" s="176">
        <v>2</v>
      </c>
      <c r="H701" s="178">
        <v>17003</v>
      </c>
      <c r="I701" s="592">
        <f t="shared" si="22"/>
        <v>1</v>
      </c>
      <c r="J701" s="178" t="s">
        <v>816</v>
      </c>
      <c r="K701" s="178" t="s">
        <v>816</v>
      </c>
      <c r="L701" s="275" t="str">
        <f>IF(H:H=0,"",IF(ISERROR(VLOOKUP(H:H,produtos_escape2!$A$2:$B$2794,2,FALSE)),"Código não cadastrado",(VLOOKUP(H:H,produtos_escape2!$A$2:$B$2794,2,FALSE))))</f>
        <v>EXERCITADOR DE MÃO E DEDOS,Características Técnicas Mínimas: tela emborrachada com resistência forte (cor preta), tamanho grande. Código do Item: 3.3.90.30.14.02.0103.000004-01</v>
      </c>
      <c r="M701" s="593" t="str">
        <f>IF(H:H=0,"",IF(ISERROR(VLOOKUP(H:H,produtos_escape2!$A$2:$D$2794,2,FALSE)),"Código não cadastrado",(VLOOKUP(H:H,produtos_escape2!$A$2:$D$2794,4,FALSE))))</f>
        <v>UN</v>
      </c>
      <c r="N701" s="486">
        <v>10</v>
      </c>
      <c r="O701" s="176" t="s">
        <v>1868</v>
      </c>
      <c r="P701" s="486"/>
      <c r="Q701" s="247">
        <v>65</v>
      </c>
      <c r="R701" s="246">
        <f t="shared" si="23"/>
        <v>0</v>
      </c>
      <c r="S701" s="177">
        <v>44097</v>
      </c>
      <c r="T701" s="182"/>
      <c r="U701" s="177"/>
      <c r="V701" s="177"/>
      <c r="W701" s="177"/>
      <c r="X701" s="176"/>
      <c r="Y701" s="177"/>
      <c r="Z701" s="415">
        <v>5</v>
      </c>
      <c r="AA701" s="489" t="s">
        <v>9987</v>
      </c>
      <c r="AB701" s="594"/>
      <c r="AC701" s="595"/>
      <c r="AD701" s="596" t="str">
        <f>IF(AND(AC701&lt;&gt;"",S701&lt;&gt;""),NETWORKDAYS(AC701,S701,#REF!),"")</f>
        <v/>
      </c>
      <c r="AE701" s="596" t="str">
        <f ca="1">IF(AND(AD701="",AC701=""),"",IF(OR(AD701&lt;&gt;"",O701="*CANCELADO"),"",NETWORKDAYS(AC701,TODAY(),#REF!)))</f>
        <v/>
      </c>
      <c r="AF701" s="597" t="str">
        <f>IFERROR(INDEX(produtos_escape2!M:M,MATCH(Controle!H701,produtos_escape2!A:A,0)),"")</f>
        <v>EXERCITADOR DE MÃO E DEDOS</v>
      </c>
    </row>
    <row r="702" spans="1:32" ht="14.25" customHeight="1">
      <c r="A702" s="176" t="s">
        <v>7942</v>
      </c>
      <c r="B702" s="176" t="s">
        <v>7207</v>
      </c>
      <c r="C702" s="177">
        <v>44000</v>
      </c>
      <c r="D702" s="176" t="s">
        <v>9011</v>
      </c>
      <c r="E702" s="176" t="s">
        <v>1866</v>
      </c>
      <c r="F702" s="259" t="s">
        <v>9012</v>
      </c>
      <c r="G702" s="176">
        <v>2</v>
      </c>
      <c r="H702" s="178">
        <v>27389</v>
      </c>
      <c r="I702" s="592">
        <f t="shared" si="22"/>
        <v>1</v>
      </c>
      <c r="J702" s="178" t="s">
        <v>816</v>
      </c>
      <c r="K702" s="178" t="s">
        <v>816</v>
      </c>
      <c r="L702" s="275" t="str">
        <f>IF(H:H=0,"",IF(ISERROR(VLOOKUP(H:H,produtos_escape2!$A$2:$B$2794,2,FALSE)),"Código não cadastrado",(VLOOKUP(H:H,produtos_escape2!$A$2:$B$2794,2,FALSE))))</f>
        <v xml:space="preserve">EXERCITADOR MUSCULATURA  - exercitador musculatura, tipo dedos, plástico resistente, intensidade leve (3 lbs), características adicionais 4 teclas apoio, molas ligadas ao lado oposto, tipo encaixe de metal e borracha p/apoio do polegar. Código BR: BR: 357544
</v>
      </c>
      <c r="M702" s="593" t="str">
        <f>IF(H:H=0,"",IF(ISERROR(VLOOKUP(H:H,produtos_escape2!$A$2:$D$2794,2,FALSE)),"Código não cadastrado",(VLOOKUP(H:H,produtos_escape2!$A$2:$D$2794,4,FALSE))))</f>
        <v>UN</v>
      </c>
      <c r="N702" s="486">
        <v>5</v>
      </c>
      <c r="O702" s="176" t="s">
        <v>1868</v>
      </c>
      <c r="P702" s="486"/>
      <c r="Q702" s="247">
        <v>190</v>
      </c>
      <c r="R702" s="246">
        <f t="shared" si="23"/>
        <v>0</v>
      </c>
      <c r="S702" s="177">
        <v>44097</v>
      </c>
      <c r="T702" s="182"/>
      <c r="U702" s="177"/>
      <c r="V702" s="177"/>
      <c r="W702" s="177"/>
      <c r="X702" s="176"/>
      <c r="Y702" s="177"/>
      <c r="Z702" s="415">
        <v>5</v>
      </c>
      <c r="AA702" s="489" t="s">
        <v>9987</v>
      </c>
      <c r="AB702" s="594"/>
      <c r="AC702" s="595"/>
      <c r="AD702" s="596" t="str">
        <f>IF(AND(AC702&lt;&gt;"",S702&lt;&gt;""),NETWORKDAYS(AC702,S702,#REF!),"")</f>
        <v/>
      </c>
      <c r="AE702" s="596" t="str">
        <f ca="1">IF(AND(AD702="",AC702=""),"",IF(OR(AD702&lt;&gt;"",O702="*CANCELADO"),"",NETWORKDAYS(AC702,TODAY(),#REF!)))</f>
        <v/>
      </c>
      <c r="AF702" s="597" t="str">
        <f>IFERROR(INDEX(produtos_escape2!M:M,MATCH(Controle!H702,produtos_escape2!A:A,0)),"")</f>
        <v>EXERCITADOR MUSCULATURA</v>
      </c>
    </row>
    <row r="703" spans="1:32" ht="14.25" customHeight="1">
      <c r="A703" s="176" t="s">
        <v>7942</v>
      </c>
      <c r="B703" s="176" t="s">
        <v>7207</v>
      </c>
      <c r="C703" s="177">
        <v>44000</v>
      </c>
      <c r="D703" s="176" t="s">
        <v>9011</v>
      </c>
      <c r="E703" s="176" t="s">
        <v>1866</v>
      </c>
      <c r="F703" s="259" t="s">
        <v>9012</v>
      </c>
      <c r="G703" s="176">
        <v>1</v>
      </c>
      <c r="H703" s="178">
        <v>27390</v>
      </c>
      <c r="I703" s="592">
        <f t="shared" si="22"/>
        <v>1</v>
      </c>
      <c r="J703" s="178" t="s">
        <v>816</v>
      </c>
      <c r="K703" s="178" t="s">
        <v>816</v>
      </c>
      <c r="L703" s="275" t="str">
        <f>IF(H:H=0,"",IF(ISERROR(VLOOKUP(H:H,produtos_escape2!$A$2:$B$2794,2,FALSE)),"Código não cadastrado",(VLOOKUP(H:H,produtos_escape2!$A$2:$B$2794,2,FALSE))))</f>
        <v>EXERCITADOR MUSCULATURA  - exercitador musculatura, tipo dedos, plástico, resistente,extra leve(1,5lbs), características adicionais 4 teclas apoio,molas ligadas ao lado oposto, tipo encaixe de metal e borracha p/apoio do polegar. Código BR: 357545</v>
      </c>
      <c r="M703" s="593" t="str">
        <f>IF(H:H=0,"",IF(ISERROR(VLOOKUP(H:H,produtos_escape2!$A$2:$D$2794,2,FALSE)),"Código não cadastrado",(VLOOKUP(H:H,produtos_escape2!$A$2:$D$2794,4,FALSE))))</f>
        <v>UN</v>
      </c>
      <c r="N703" s="486">
        <v>5</v>
      </c>
      <c r="O703" s="176" t="s">
        <v>1868</v>
      </c>
      <c r="P703" s="486"/>
      <c r="Q703" s="247">
        <v>190</v>
      </c>
      <c r="R703" s="246">
        <f t="shared" si="23"/>
        <v>0</v>
      </c>
      <c r="S703" s="177">
        <v>44097</v>
      </c>
      <c r="T703" s="182"/>
      <c r="U703" s="177"/>
      <c r="V703" s="177"/>
      <c r="W703" s="177"/>
      <c r="X703" s="176"/>
      <c r="Y703" s="177"/>
      <c r="Z703" s="415">
        <v>5</v>
      </c>
      <c r="AA703" s="489" t="s">
        <v>9987</v>
      </c>
      <c r="AB703" s="594"/>
      <c r="AC703" s="595"/>
      <c r="AD703" s="596" t="str">
        <f>IF(AND(AC703&lt;&gt;"",S703&lt;&gt;""),NETWORKDAYS(AC703,S703,#REF!),"")</f>
        <v/>
      </c>
      <c r="AE703" s="596" t="str">
        <f ca="1">IF(AND(AD703="",AC703=""),"",IF(OR(AD703&lt;&gt;"",O703="*CANCELADO"),"",NETWORKDAYS(AC703,TODAY(),#REF!)))</f>
        <v/>
      </c>
      <c r="AF703" s="597" t="str">
        <f>IFERROR(INDEX(produtos_escape2!M:M,MATCH(Controle!H703,produtos_escape2!A:A,0)),"")</f>
        <v>EXERCITADOR MUSCULATURA</v>
      </c>
    </row>
    <row r="704" spans="1:32" ht="14.25" customHeight="1">
      <c r="A704" s="176" t="s">
        <v>8574</v>
      </c>
      <c r="B704" s="176" t="s">
        <v>3608</v>
      </c>
      <c r="C704" s="177">
        <v>44000</v>
      </c>
      <c r="D704" s="176" t="s">
        <v>9002</v>
      </c>
      <c r="E704" s="176" t="s">
        <v>3009</v>
      </c>
      <c r="F704" s="259" t="s">
        <v>9003</v>
      </c>
      <c r="G704" s="176">
        <v>1</v>
      </c>
      <c r="H704" s="178">
        <v>19575</v>
      </c>
      <c r="I704" s="592">
        <f t="shared" si="22"/>
        <v>2</v>
      </c>
      <c r="J704" s="178" t="s">
        <v>816</v>
      </c>
      <c r="K704" s="178" t="s">
        <v>816</v>
      </c>
      <c r="L704" s="275" t="str">
        <f>IF(H:H=0,"",IF(ISERROR(VLOOKUP(H:H,produtos_escape2!$A$2:$B$2794,2,FALSE)),"Código não cadastrado",(VLOOKUP(H:H,produtos_escape2!$A$2:$B$2794,2,FALSE))))</f>
        <v>VARFARINA SODICA COMPRIMIDO 5 MG</v>
      </c>
      <c r="M704" s="593" t="str">
        <f>IF(H:H=0,"",IF(ISERROR(VLOOKUP(H:H,produtos_escape2!$A$2:$D$2794,2,FALSE)),"Código não cadastrado",(VLOOKUP(H:H,produtos_escape2!$A$2:$D$2794,4,FALSE))))</f>
        <v>CP</v>
      </c>
      <c r="N704" s="486">
        <v>400</v>
      </c>
      <c r="O704" s="176" t="s">
        <v>2989</v>
      </c>
      <c r="P704" s="486">
        <v>390</v>
      </c>
      <c r="Q704" s="247">
        <v>0.27500000000000002</v>
      </c>
      <c r="R704" s="246">
        <f t="shared" si="23"/>
        <v>107.25000000000001</v>
      </c>
      <c r="S704" s="177">
        <v>44008</v>
      </c>
      <c r="T704" s="182">
        <v>123468</v>
      </c>
      <c r="U704" s="177">
        <v>44008</v>
      </c>
      <c r="V704" s="177">
        <v>44011</v>
      </c>
      <c r="W704" s="177">
        <v>44012</v>
      </c>
      <c r="X704" s="176">
        <v>45685</v>
      </c>
      <c r="Y704" s="177">
        <v>44032</v>
      </c>
      <c r="Z704" s="415">
        <v>4</v>
      </c>
      <c r="AA704" s="488"/>
      <c r="AB704" s="594"/>
      <c r="AC704" s="595"/>
      <c r="AD704" s="596" t="str">
        <f>IF(AND(AC704&lt;&gt;"",S704&lt;&gt;""),NETWORKDAYS(AC704,S704,#REF!),"")</f>
        <v/>
      </c>
      <c r="AE704" s="596" t="str">
        <f ca="1">IF(AND(AD704="",AC704=""),"",IF(OR(AD704&lt;&gt;"",O704="*CANCELADO"),"",NETWORKDAYS(AC704,TODAY(),#REF!)))</f>
        <v/>
      </c>
      <c r="AF704" s="597" t="str">
        <f>IFERROR(INDEX(produtos_escape2!M:M,MATCH(Controle!H704,produtos_escape2!A:A,0)),"")</f>
        <v>VARFARINA SODICA COMPRIMIDO 5 MG</v>
      </c>
    </row>
    <row r="705" spans="1:32" ht="14.25" customHeight="1">
      <c r="A705" s="176" t="s">
        <v>8575</v>
      </c>
      <c r="B705" s="176" t="s">
        <v>3608</v>
      </c>
      <c r="C705" s="177">
        <v>44000</v>
      </c>
      <c r="D705" s="176" t="s">
        <v>9004</v>
      </c>
      <c r="E705" s="176" t="s">
        <v>1867</v>
      </c>
      <c r="F705" s="259" t="s">
        <v>9005</v>
      </c>
      <c r="G705" s="176">
        <v>1</v>
      </c>
      <c r="H705" s="178">
        <v>90550</v>
      </c>
      <c r="I705" s="592">
        <f t="shared" si="22"/>
        <v>9</v>
      </c>
      <c r="J705" s="178" t="s">
        <v>816</v>
      </c>
      <c r="K705" s="178" t="s">
        <v>816</v>
      </c>
      <c r="L705" s="275" t="str">
        <f>IF(H:H=0,"",IF(ISERROR(VLOOKUP(H:H,produtos_escape2!$A$2:$B$2794,2,FALSE)),"Código não cadastrado",(VLOOKUP(H:H,produtos_escape2!$A$2:$B$2794,2,FALSE))))</f>
        <v xml:space="preserve">BICARBONATO DE SODIO SOLUCAO INJETAVEL 8,4 % (1 MEQ/ML) AMPOLA 10 ML  </v>
      </c>
      <c r="M705" s="593" t="str">
        <f>IF(H:H=0,"",IF(ISERROR(VLOOKUP(H:H,produtos_escape2!$A$2:$D$2794,2,FALSE)),"Código não cadastrado",(VLOOKUP(H:H,produtos_escape2!$A$2:$D$2794,4,FALSE))))</f>
        <v>AMP</v>
      </c>
      <c r="N705" s="486">
        <v>600</v>
      </c>
      <c r="O705" s="176" t="s">
        <v>1868</v>
      </c>
      <c r="P705" s="486"/>
      <c r="Q705" s="247"/>
      <c r="R705" s="246">
        <f t="shared" si="23"/>
        <v>0</v>
      </c>
      <c r="S705" s="177">
        <v>44039</v>
      </c>
      <c r="T705" s="182"/>
      <c r="U705" s="177"/>
      <c r="V705" s="177"/>
      <c r="W705" s="177"/>
      <c r="X705" s="176"/>
      <c r="Y705" s="177"/>
      <c r="Z705" s="415">
        <v>4</v>
      </c>
      <c r="AA705" s="488" t="s">
        <v>9513</v>
      </c>
      <c r="AB705" s="594"/>
      <c r="AC705" s="595"/>
      <c r="AD705" s="596" t="str">
        <f>IF(AND(AC705&lt;&gt;"",S705&lt;&gt;""),NETWORKDAYS(AC705,S705,#REF!),"")</f>
        <v/>
      </c>
      <c r="AE705" s="596" t="str">
        <f ca="1">IF(AND(AD705="",AC705=""),"",IF(OR(AD705&lt;&gt;"",O705="*CANCELADO"),"",NETWORKDAYS(AC705,TODAY(),#REF!)))</f>
        <v/>
      </c>
      <c r="AF705" s="597" t="str">
        <f>IFERROR(INDEX(produtos_escape2!M:M,MATCH(Controle!H705,produtos_escape2!A:A,0)),"")</f>
        <v>BICARBONATO DE SODIO</v>
      </c>
    </row>
    <row r="706" spans="1:32" ht="14.25" customHeight="1">
      <c r="A706" s="176" t="s">
        <v>7910</v>
      </c>
      <c r="B706" s="176" t="s">
        <v>7207</v>
      </c>
      <c r="C706" s="177">
        <v>44000</v>
      </c>
      <c r="D706" s="176" t="s">
        <v>9008</v>
      </c>
      <c r="E706" s="176" t="s">
        <v>3009</v>
      </c>
      <c r="F706" s="259" t="s">
        <v>9009</v>
      </c>
      <c r="G706" s="176">
        <v>1</v>
      </c>
      <c r="H706" s="178">
        <v>27395</v>
      </c>
      <c r="I706" s="592">
        <f t="shared" si="22"/>
        <v>2</v>
      </c>
      <c r="J706" s="178" t="s">
        <v>816</v>
      </c>
      <c r="K706" s="178" t="s">
        <v>816</v>
      </c>
      <c r="L706" s="275" t="str">
        <f>IF(H:H=0,"",IF(ISERROR(VLOOKUP(H:H,produtos_escape2!$A$2:$B$2794,2,FALSE)),"Código não cadastrado",(VLOOKUP(H:H,produtos_escape2!$A$2:$B$2794,2,FALSE))))</f>
        <v>BANDAGEM - bandagem, material tecido 100% algodão, tipo uso adesiva, elástica, comprimento 500, largura 5, características adicionais isenta de latéx, hipoalergênica, com cor. Código BR: 404020. IMAGEM MODELO NO ANEXO.</v>
      </c>
      <c r="M706" s="593" t="str">
        <f>IF(H:H=0,"",IF(ISERROR(VLOOKUP(H:H,produtos_escape2!$A$2:$D$2794,2,FALSE)),"Código não cadastrado",(VLOOKUP(H:H,produtos_escape2!$A$2:$D$2794,4,FALSE))))</f>
        <v>UN</v>
      </c>
      <c r="N706" s="486">
        <v>100</v>
      </c>
      <c r="O706" s="176" t="s">
        <v>10360</v>
      </c>
      <c r="P706" s="486">
        <v>30</v>
      </c>
      <c r="Q706" s="247">
        <v>59</v>
      </c>
      <c r="R706" s="246">
        <f t="shared" si="23"/>
        <v>1770</v>
      </c>
      <c r="S706" s="177">
        <v>44022</v>
      </c>
      <c r="T706" s="182">
        <v>25398</v>
      </c>
      <c r="U706" s="177">
        <v>44022</v>
      </c>
      <c r="V706" s="177">
        <v>44025</v>
      </c>
      <c r="W706" s="177">
        <v>44029</v>
      </c>
      <c r="X706" s="176">
        <v>54271</v>
      </c>
      <c r="Y706" s="177">
        <v>44046</v>
      </c>
      <c r="Z706" s="415">
        <v>4</v>
      </c>
      <c r="AA706" s="488" t="s">
        <v>9010</v>
      </c>
      <c r="AB706" s="594"/>
      <c r="AC706" s="595"/>
      <c r="AD706" s="596" t="str">
        <f>IF(AND(AC706&lt;&gt;"",S706&lt;&gt;""),NETWORKDAYS(AC706,S706,#REF!),"")</f>
        <v/>
      </c>
      <c r="AE706" s="596" t="str">
        <f ca="1">IF(AND(AD706="",AC706=""),"",IF(OR(AD706&lt;&gt;"",O706="*CANCELADO"),"",NETWORKDAYS(AC706,TODAY(),#REF!)))</f>
        <v/>
      </c>
      <c r="AF706" s="597" t="str">
        <f>IFERROR(INDEX(produtos_escape2!M:M,MATCH(Controle!H706,produtos_escape2!A:A,0)),"")</f>
        <v>BANDAGEM - bandagem</v>
      </c>
    </row>
    <row r="707" spans="1:32" ht="14.25" customHeight="1">
      <c r="A707" s="176" t="s">
        <v>7910</v>
      </c>
      <c r="B707" s="176" t="s">
        <v>7207</v>
      </c>
      <c r="C707" s="177">
        <v>44000</v>
      </c>
      <c r="D707" s="176" t="s">
        <v>9008</v>
      </c>
      <c r="E707" s="176" t="s">
        <v>3009</v>
      </c>
      <c r="F707" s="259" t="s">
        <v>9009</v>
      </c>
      <c r="G707" s="176">
        <v>1</v>
      </c>
      <c r="H707" s="178">
        <v>27395</v>
      </c>
      <c r="I707" s="592">
        <f t="shared" ref="I707:I770" si="24">COUNTIF($H$3:$H$3041,H707)</f>
        <v>2</v>
      </c>
      <c r="J707" s="178" t="s">
        <v>816</v>
      </c>
      <c r="K707" s="178" t="s">
        <v>816</v>
      </c>
      <c r="L707" s="275" t="str">
        <f>IF(H:H=0,"",IF(ISERROR(VLOOKUP(H:H,produtos_escape2!$A$2:$B$2794,2,FALSE)),"Código não cadastrado",(VLOOKUP(H:H,produtos_escape2!$A$2:$B$2794,2,FALSE))))</f>
        <v>BANDAGEM - bandagem, material tecido 100% algodão, tipo uso adesiva, elástica, comprimento 500, largura 5, características adicionais isenta de latéx, hipoalergênica, com cor. Código BR: 404020. IMAGEM MODELO NO ANEXO.</v>
      </c>
      <c r="M707" s="593" t="str">
        <f>IF(H:H=0,"",IF(ISERROR(VLOOKUP(H:H,produtos_escape2!$A$2:$D$2794,2,FALSE)),"Código não cadastrado",(VLOOKUP(H:H,produtos_escape2!$A$2:$D$2794,4,FALSE))))</f>
        <v>UN</v>
      </c>
      <c r="N707" s="486">
        <v>100</v>
      </c>
      <c r="O707" s="176" t="s">
        <v>10360</v>
      </c>
      <c r="P707" s="486">
        <v>21</v>
      </c>
      <c r="Q707" s="247">
        <v>59</v>
      </c>
      <c r="R707" s="246">
        <f t="shared" si="23"/>
        <v>1239</v>
      </c>
      <c r="S707" s="177">
        <v>44022</v>
      </c>
      <c r="T707" s="182">
        <v>25398</v>
      </c>
      <c r="U707" s="177">
        <v>44022</v>
      </c>
      <c r="V707" s="177">
        <v>44025</v>
      </c>
      <c r="W707" s="177">
        <v>44029</v>
      </c>
      <c r="X707" s="176">
        <v>54271</v>
      </c>
      <c r="Y707" s="177">
        <v>44046</v>
      </c>
      <c r="Z707" s="415">
        <v>4</v>
      </c>
      <c r="AA707" s="488" t="s">
        <v>9010</v>
      </c>
      <c r="AB707" s="594"/>
      <c r="AC707" s="595"/>
      <c r="AD707" s="596" t="str">
        <f>IF(AND(AC707&lt;&gt;"",S707&lt;&gt;""),NETWORKDAYS(AC707,S707,#REF!),"")</f>
        <v/>
      </c>
      <c r="AE707" s="596" t="str">
        <f ca="1">IF(AND(AD707="",AC707=""),"",IF(OR(AD707&lt;&gt;"",O707="*CANCELADO"),"",NETWORKDAYS(AC707,TODAY(),#REF!)))</f>
        <v/>
      </c>
      <c r="AF707" s="597" t="str">
        <f>IFERROR(INDEX(produtos_escape2!M:M,MATCH(Controle!H707,produtos_escape2!A:A,0)),"")</f>
        <v>BANDAGEM - bandagem</v>
      </c>
    </row>
    <row r="708" spans="1:32" ht="14.25" customHeight="1">
      <c r="A708" s="176" t="s">
        <v>7947</v>
      </c>
      <c r="B708" s="176" t="s">
        <v>7207</v>
      </c>
      <c r="C708" s="177">
        <v>44001</v>
      </c>
      <c r="D708" s="176" t="s">
        <v>9038</v>
      </c>
      <c r="E708" s="176" t="s">
        <v>8773</v>
      </c>
      <c r="F708" s="259" t="s">
        <v>9039</v>
      </c>
      <c r="G708" s="176">
        <v>1</v>
      </c>
      <c r="H708" s="178">
        <v>17140</v>
      </c>
      <c r="I708" s="592">
        <f t="shared" si="24"/>
        <v>2</v>
      </c>
      <c r="J708" s="178" t="s">
        <v>816</v>
      </c>
      <c r="K708" s="178" t="s">
        <v>816</v>
      </c>
      <c r="L708" s="275" t="str">
        <f>IF(H:H=0,"",IF(ISERROR(VLOOKUP(H:H,produtos_escape2!$A$2:$B$2794,2,FALSE)),"Código não cadastrado",(VLOOKUP(H:H,produtos_escape2!$A$2:$B$2794,2,FALSE))))</f>
        <v>CABO DE BISTURI NR 04, LONGO 23 CM</v>
      </c>
      <c r="M708" s="593" t="str">
        <f>IF(H:H=0,"",IF(ISERROR(VLOOKUP(H:H,produtos_escape2!$A$2:$D$2794,2,FALSE)),"Código não cadastrado",(VLOOKUP(H:H,produtos_escape2!$A$2:$D$2794,4,FALSE))))</f>
        <v>UN</v>
      </c>
      <c r="N708" s="486">
        <v>100</v>
      </c>
      <c r="O708" s="176" t="s">
        <v>1868</v>
      </c>
      <c r="P708" s="486"/>
      <c r="Q708" s="247"/>
      <c r="R708" s="246">
        <f t="shared" si="23"/>
        <v>0</v>
      </c>
      <c r="S708" s="177"/>
      <c r="T708" s="182"/>
      <c r="U708" s="177"/>
      <c r="V708" s="177"/>
      <c r="W708" s="177"/>
      <c r="X708" s="176"/>
      <c r="Y708" s="177"/>
      <c r="Z708" s="415">
        <v>5</v>
      </c>
      <c r="AA708" s="488" t="s">
        <v>10216</v>
      </c>
      <c r="AB708" s="594"/>
      <c r="AC708" s="595"/>
      <c r="AD708" s="596" t="str">
        <f>IF(AND(AC708&lt;&gt;"",S708&lt;&gt;""),NETWORKDAYS(AC708,S708,#REF!),"")</f>
        <v/>
      </c>
      <c r="AE708" s="596" t="str">
        <f ca="1">IF(AND(AD708="",AC708=""),"",IF(OR(AD708&lt;&gt;"",O708="*CANCELADO"),"",NETWORKDAYS(AC708,TODAY(),#REF!)))</f>
        <v/>
      </c>
      <c r="AF708" s="597" t="str">
        <f>IFERROR(INDEX(produtos_escape2!M:M,MATCH(Controle!H708,produtos_escape2!A:A,0)),"")</f>
        <v>CABO BISTURI 4</v>
      </c>
    </row>
    <row r="709" spans="1:32" ht="14.25" customHeight="1">
      <c r="A709" s="176" t="s">
        <v>7947</v>
      </c>
      <c r="B709" s="176" t="s">
        <v>7207</v>
      </c>
      <c r="C709" s="177">
        <v>44001</v>
      </c>
      <c r="D709" s="176" t="s">
        <v>9038</v>
      </c>
      <c r="E709" s="176" t="s">
        <v>8773</v>
      </c>
      <c r="F709" s="259" t="s">
        <v>9039</v>
      </c>
      <c r="G709" s="176">
        <v>2</v>
      </c>
      <c r="H709" s="178">
        <v>18615</v>
      </c>
      <c r="I709" s="592">
        <f t="shared" si="24"/>
        <v>2</v>
      </c>
      <c r="J709" s="178" t="s">
        <v>816</v>
      </c>
      <c r="K709" s="178" t="s">
        <v>816</v>
      </c>
      <c r="L709" s="275" t="str">
        <f>IF(H:H=0,"",IF(ISERROR(VLOOKUP(H:H,produtos_escape2!$A$2:$B$2794,2,FALSE)),"Código não cadastrado",(VLOOKUP(H:H,produtos_escape2!$A$2:$B$2794,2,FALSE))))</f>
        <v>CABO DE BISTURI NUMERO 3 LONGO</v>
      </c>
      <c r="M709" s="593" t="str">
        <f>IF(H:H=0,"",IF(ISERROR(VLOOKUP(H:H,produtos_escape2!$A$2:$D$2794,2,FALSE)),"Código não cadastrado",(VLOOKUP(H:H,produtos_escape2!$A$2:$D$2794,4,FALSE))))</f>
        <v>UN</v>
      </c>
      <c r="N709" s="486">
        <v>100</v>
      </c>
      <c r="O709" s="176" t="s">
        <v>1868</v>
      </c>
      <c r="P709" s="486"/>
      <c r="Q709" s="247"/>
      <c r="R709" s="246">
        <f t="shared" si="23"/>
        <v>0</v>
      </c>
      <c r="S709" s="177"/>
      <c r="T709" s="182"/>
      <c r="U709" s="177"/>
      <c r="V709" s="177"/>
      <c r="W709" s="177"/>
      <c r="X709" s="176"/>
      <c r="Y709" s="177"/>
      <c r="Z709" s="415">
        <v>5</v>
      </c>
      <c r="AA709" s="488" t="s">
        <v>10216</v>
      </c>
      <c r="AB709" s="594"/>
      <c r="AC709" s="595"/>
      <c r="AD709" s="596" t="str">
        <f>IF(AND(AC709&lt;&gt;"",S709&lt;&gt;""),NETWORKDAYS(AC709,S709,#REF!),"")</f>
        <v/>
      </c>
      <c r="AE709" s="596" t="str">
        <f ca="1">IF(AND(AD709="",AC709=""),"",IF(OR(AD709&lt;&gt;"",O709="*CANCELADO"),"",NETWORKDAYS(AC709,TODAY(),#REF!)))</f>
        <v/>
      </c>
      <c r="AF709" s="597" t="str">
        <f>IFERROR(INDEX(produtos_escape2!M:M,MATCH(Controle!H709,produtos_escape2!A:A,0)),"")</f>
        <v>CABO BISTURI 3</v>
      </c>
    </row>
    <row r="710" spans="1:32" ht="14.25" customHeight="1">
      <c r="A710" s="176" t="s">
        <v>7950</v>
      </c>
      <c r="B710" s="176" t="s">
        <v>7207</v>
      </c>
      <c r="C710" s="177">
        <v>44001</v>
      </c>
      <c r="D710" s="176" t="s">
        <v>9044</v>
      </c>
      <c r="E710" s="176" t="s">
        <v>1867</v>
      </c>
      <c r="F710" s="259" t="s">
        <v>9045</v>
      </c>
      <c r="G710" s="176">
        <v>1</v>
      </c>
      <c r="H710" s="178">
        <v>202819</v>
      </c>
      <c r="I710" s="592">
        <f t="shared" si="24"/>
        <v>1</v>
      </c>
      <c r="J710" s="178" t="s">
        <v>816</v>
      </c>
      <c r="K710" s="178" t="s">
        <v>816</v>
      </c>
      <c r="L710" s="275" t="str">
        <f>IF(H:H=0,"",IF(ISERROR(VLOOKUP(H:H,produtos_escape2!$A$2:$B$2794,2,FALSE)),"Código não cadastrado",(VLOOKUP(H:H,produtos_escape2!$A$2:$B$2794,2,FALSE))))</f>
        <v>PINÇA MIXTER, Aplicação: Apreensão de tecidos, Material: Aço inoxidável AISI, Tamanho: 230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710" s="593" t="str">
        <f>IF(H:H=0,"",IF(ISERROR(VLOOKUP(H:H,produtos_escape2!$A$2:$D$2794,2,FALSE)),"Código não cadastrado",(VLOOKUP(H:H,produtos_escape2!$A$2:$D$2794,4,FALSE))))</f>
        <v>UN</v>
      </c>
      <c r="N710" s="486">
        <v>40</v>
      </c>
      <c r="O710" s="176" t="s">
        <v>9183</v>
      </c>
      <c r="P710" s="486">
        <v>39</v>
      </c>
      <c r="Q710" s="247">
        <v>54.15</v>
      </c>
      <c r="R710" s="246">
        <f t="shared" si="23"/>
        <v>2111.85</v>
      </c>
      <c r="S710" s="177">
        <v>44011</v>
      </c>
      <c r="T710" s="182">
        <v>431</v>
      </c>
      <c r="U710" s="177">
        <v>44015</v>
      </c>
      <c r="V710" s="177">
        <v>44026</v>
      </c>
      <c r="W710" s="177">
        <v>44026</v>
      </c>
      <c r="X710" s="176">
        <v>54218</v>
      </c>
      <c r="Y710" s="177">
        <v>44046</v>
      </c>
      <c r="Z710" s="415">
        <v>4</v>
      </c>
      <c r="AA710" s="488"/>
      <c r="AB710" s="594"/>
      <c r="AC710" s="595"/>
      <c r="AD710" s="596" t="str">
        <f>IF(AND(AC710&lt;&gt;"",S710&lt;&gt;""),NETWORKDAYS(AC710,S710,#REF!),"")</f>
        <v/>
      </c>
      <c r="AE710" s="596" t="str">
        <f ca="1">IF(AND(AD710="",AC710=""),"",IF(OR(AD710&lt;&gt;"",O710="*CANCELADO"),"",NETWORKDAYS(AC710,TODAY(),#REF!)))</f>
        <v/>
      </c>
      <c r="AF710" s="597" t="str">
        <f>IFERROR(INDEX(produtos_escape2!M:M,MATCH(Controle!H710,produtos_escape2!A:A,0)),"")</f>
        <v>PINÇA MIXTER</v>
      </c>
    </row>
    <row r="711" spans="1:32" ht="14.25" customHeight="1">
      <c r="A711" s="176" t="s">
        <v>7948</v>
      </c>
      <c r="B711" s="176" t="s">
        <v>7207</v>
      </c>
      <c r="C711" s="177">
        <v>44001</v>
      </c>
      <c r="D711" s="176" t="s">
        <v>9067</v>
      </c>
      <c r="E711" s="176" t="s">
        <v>1865</v>
      </c>
      <c r="F711" s="259" t="s">
        <v>9068</v>
      </c>
      <c r="G711" s="176">
        <v>2</v>
      </c>
      <c r="H711" s="178">
        <v>12973</v>
      </c>
      <c r="I711" s="592">
        <f t="shared" si="24"/>
        <v>2</v>
      </c>
      <c r="J711" s="178" t="s">
        <v>816</v>
      </c>
      <c r="K711" s="178" t="s">
        <v>816</v>
      </c>
      <c r="L711" s="275" t="str">
        <f>IF(H:H=0,"",IF(ISERROR(VLOOKUP(H:H,produtos_escape2!$A$2:$B$2794,2,FALSE)),"Código não cadastrado",(VLOOKUP(H:H,produtos_escape2!$A$2:$B$2794,2,FALSE))))</f>
        <v>PINÇA BACKAUS, Aplicação: pinça de campo, Material: Aço inoxidável AISI, Tamanho: 110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711" s="593" t="str">
        <f>IF(H:H=0,"",IF(ISERROR(VLOOKUP(H:H,produtos_escape2!$A$2:$D$2794,2,FALSE)),"Código não cadastrado",(VLOOKUP(H:H,produtos_escape2!$A$2:$D$2794,4,FALSE))))</f>
        <v>UN</v>
      </c>
      <c r="N711" s="486">
        <v>400</v>
      </c>
      <c r="O711" s="176" t="s">
        <v>1868</v>
      </c>
      <c r="P711" s="486"/>
      <c r="Q711" s="247"/>
      <c r="R711" s="246">
        <f t="shared" si="23"/>
        <v>0</v>
      </c>
      <c r="S711" s="177">
        <v>44076</v>
      </c>
      <c r="T711" s="182"/>
      <c r="U711" s="177"/>
      <c r="V711" s="177"/>
      <c r="W711" s="177"/>
      <c r="X711" s="176"/>
      <c r="Y711" s="177"/>
      <c r="Z711" s="415">
        <v>4</v>
      </c>
      <c r="AA711" s="488"/>
      <c r="AB711" s="594"/>
      <c r="AC711" s="595"/>
      <c r="AD711" s="596" t="str">
        <f>IF(AND(AC711&lt;&gt;"",S711&lt;&gt;""),NETWORKDAYS(AC711,S711,#REF!),"")</f>
        <v/>
      </c>
      <c r="AE711" s="596" t="str">
        <f ca="1">IF(AND(AD711="",AC711=""),"",IF(OR(AD711&lt;&gt;"",O711="*CANCELADO"),"",NETWORKDAYS(AC711,TODAY(),#REF!)))</f>
        <v/>
      </c>
      <c r="AF711" s="597" t="str">
        <f>IFERROR(INDEX(produtos_escape2!M:M,MATCH(Controle!H711,produtos_escape2!A:A,0)),"")</f>
        <v>PINÇA BACKAUS 110</v>
      </c>
    </row>
    <row r="712" spans="1:32" ht="14.25" customHeight="1">
      <c r="A712" s="176" t="s">
        <v>7948</v>
      </c>
      <c r="B712" s="176" t="s">
        <v>7207</v>
      </c>
      <c r="C712" s="177">
        <v>44001</v>
      </c>
      <c r="D712" s="176" t="s">
        <v>9067</v>
      </c>
      <c r="E712" s="176" t="s">
        <v>1865</v>
      </c>
      <c r="F712" s="259" t="s">
        <v>9068</v>
      </c>
      <c r="G712" s="176">
        <v>7</v>
      </c>
      <c r="H712" s="178">
        <v>15213</v>
      </c>
      <c r="I712" s="592">
        <f t="shared" si="24"/>
        <v>2</v>
      </c>
      <c r="J712" s="178" t="s">
        <v>816</v>
      </c>
      <c r="K712" s="178" t="s">
        <v>816</v>
      </c>
      <c r="L712" s="275" t="str">
        <f>IF(H:H=0,"",IF(ISERROR(VLOOKUP(H:H,produtos_escape2!$A$2:$B$2794,2,FALSE)),"Código não cadastrado",(VLOOKUP(H:H,produtos_escape2!$A$2:$B$2794,2,FALSE))))</f>
        <v>PINÇA BACKAUS, Aplicação: pinça de campo, Material: Aço inoxidável AISI, Tamanho: 130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712" s="593" t="str">
        <f>IF(H:H=0,"",IF(ISERROR(VLOOKUP(H:H,produtos_escape2!$A$2:$D$2794,2,FALSE)),"Código não cadastrado",(VLOOKUP(H:H,produtos_escape2!$A$2:$D$2794,4,FALSE))))</f>
        <v>UN</v>
      </c>
      <c r="N712" s="486">
        <v>200</v>
      </c>
      <c r="O712" s="176" t="s">
        <v>1868</v>
      </c>
      <c r="P712" s="486"/>
      <c r="Q712" s="247"/>
      <c r="R712" s="246">
        <f t="shared" si="23"/>
        <v>0</v>
      </c>
      <c r="S712" s="177">
        <v>44076</v>
      </c>
      <c r="T712" s="182"/>
      <c r="U712" s="177"/>
      <c r="V712" s="177"/>
      <c r="W712" s="177"/>
      <c r="X712" s="176"/>
      <c r="Y712" s="177"/>
      <c r="Z712" s="415">
        <v>4</v>
      </c>
      <c r="AA712" s="488"/>
      <c r="AB712" s="594"/>
      <c r="AC712" s="595"/>
      <c r="AD712" s="596" t="str">
        <f>IF(AND(AC712&lt;&gt;"",S712&lt;&gt;""),NETWORKDAYS(AC712,S712,#REF!),"")</f>
        <v/>
      </c>
      <c r="AE712" s="596" t="str">
        <f ca="1">IF(AND(AD712="",AC712=""),"",IF(OR(AD712&lt;&gt;"",O712="*CANCELADO"),"",NETWORKDAYS(AC712,TODAY(),#REF!)))</f>
        <v/>
      </c>
      <c r="AF712" s="597" t="str">
        <f>IFERROR(INDEX(produtos_escape2!M:M,MATCH(Controle!H712,produtos_escape2!A:A,0)),"")</f>
        <v>PINÇA BACKAUS</v>
      </c>
    </row>
    <row r="713" spans="1:32" ht="14.25" customHeight="1">
      <c r="A713" s="176" t="s">
        <v>7948</v>
      </c>
      <c r="B713" s="176" t="s">
        <v>7207</v>
      </c>
      <c r="C713" s="177">
        <v>44001</v>
      </c>
      <c r="D713" s="176" t="s">
        <v>9067</v>
      </c>
      <c r="E713" s="176" t="s">
        <v>1865</v>
      </c>
      <c r="F713" s="259" t="s">
        <v>9068</v>
      </c>
      <c r="G713" s="176">
        <v>1</v>
      </c>
      <c r="H713" s="178">
        <v>11618</v>
      </c>
      <c r="I713" s="592">
        <f t="shared" si="24"/>
        <v>1</v>
      </c>
      <c r="J713" s="178" t="s">
        <v>816</v>
      </c>
      <c r="K713" s="178" t="s">
        <v>816</v>
      </c>
      <c r="L713" s="275" t="str">
        <f>IF(H:H=0,"",IF(ISERROR(VLOOKUP(H:H,produtos_escape2!$A$2:$B$2794,2,FALSE)),"Código não cadastrado",(VLOOKUP(H:H,produtos_escape2!$A$2:$B$2794,2,FALSE))))</f>
        <v>PINÇA BULLDOG DE BAKEY, em aço inox 07cm reta.</v>
      </c>
      <c r="M713" s="593" t="str">
        <f>IF(H:H=0,"",IF(ISERROR(VLOOKUP(H:H,produtos_escape2!$A$2:$D$2794,2,FALSE)),"Código não cadastrado",(VLOOKUP(H:H,produtos_escape2!$A$2:$D$2794,4,FALSE))))</f>
        <v>UN</v>
      </c>
      <c r="N713" s="486">
        <v>10</v>
      </c>
      <c r="O713" s="176" t="s">
        <v>1868</v>
      </c>
      <c r="P713" s="486"/>
      <c r="Q713" s="247"/>
      <c r="R713" s="246">
        <f t="shared" si="23"/>
        <v>0</v>
      </c>
      <c r="S713" s="177">
        <v>44076</v>
      </c>
      <c r="T713" s="182"/>
      <c r="U713" s="177"/>
      <c r="V713" s="177"/>
      <c r="W713" s="177"/>
      <c r="X713" s="176"/>
      <c r="Y713" s="177"/>
      <c r="Z713" s="415">
        <v>4</v>
      </c>
      <c r="AA713" s="488"/>
      <c r="AB713" s="594"/>
      <c r="AC713" s="595"/>
      <c r="AD713" s="596" t="str">
        <f>IF(AND(AC713&lt;&gt;"",S713&lt;&gt;""),NETWORKDAYS(AC713,S713,#REF!),"")</f>
        <v/>
      </c>
      <c r="AE713" s="596" t="str">
        <f ca="1">IF(AND(AD713="",AC713=""),"",IF(OR(AD713&lt;&gt;"",O713="*CANCELADO"),"",NETWORKDAYS(AC713,TODAY(),#REF!)))</f>
        <v/>
      </c>
      <c r="AF713" s="597" t="str">
        <f>IFERROR(INDEX(produtos_escape2!M:M,MATCH(Controle!H713,produtos_escape2!A:A,0)),"")</f>
        <v>PINÇA BULLDOG 07</v>
      </c>
    </row>
    <row r="714" spans="1:32" ht="14.25" customHeight="1">
      <c r="A714" s="176" t="s">
        <v>7948</v>
      </c>
      <c r="B714" s="176" t="s">
        <v>7207</v>
      </c>
      <c r="C714" s="177">
        <v>44001</v>
      </c>
      <c r="D714" s="176" t="s">
        <v>9067</v>
      </c>
      <c r="E714" s="176" t="s">
        <v>1865</v>
      </c>
      <c r="F714" s="259" t="s">
        <v>9068</v>
      </c>
      <c r="G714" s="176">
        <v>8</v>
      </c>
      <c r="H714" s="178">
        <v>15247</v>
      </c>
      <c r="I714" s="592">
        <f t="shared" si="24"/>
        <v>2</v>
      </c>
      <c r="J714" s="178" t="s">
        <v>816</v>
      </c>
      <c r="K714" s="178" t="s">
        <v>816</v>
      </c>
      <c r="L714" s="275" t="str">
        <f>IF(H:H=0,"",IF(ISERROR(VLOOKUP(H:H,produtos_escape2!$A$2:$B$2794,2,FALSE)),"Código não cadastrado",(VLOOKUP(H:H,produtos_escape2!$A$2:$B$2794,2,FALSE))))</f>
        <v>Pinça Crile curva 14 cm</v>
      </c>
      <c r="M714" s="593" t="str">
        <f>IF(H:H=0,"",IF(ISERROR(VLOOKUP(H:H,produtos_escape2!$A$2:$D$2794,2,FALSE)),"Código não cadastrado",(VLOOKUP(H:H,produtos_escape2!$A$2:$D$2794,4,FALSE))))</f>
        <v>UN</v>
      </c>
      <c r="N714" s="486">
        <v>230</v>
      </c>
      <c r="O714" s="176" t="s">
        <v>1868</v>
      </c>
      <c r="P714" s="486"/>
      <c r="Q714" s="247"/>
      <c r="R714" s="246">
        <f t="shared" si="23"/>
        <v>0</v>
      </c>
      <c r="S714" s="177">
        <v>44076</v>
      </c>
      <c r="T714" s="182"/>
      <c r="U714" s="177"/>
      <c r="V714" s="177"/>
      <c r="W714" s="177"/>
      <c r="X714" s="176"/>
      <c r="Y714" s="177"/>
      <c r="Z714" s="415">
        <v>4</v>
      </c>
      <c r="AA714" s="488"/>
      <c r="AB714" s="594"/>
      <c r="AC714" s="595"/>
      <c r="AD714" s="596" t="str">
        <f>IF(AND(AC714&lt;&gt;"",S714&lt;&gt;""),NETWORKDAYS(AC714,S714,#REF!),"")</f>
        <v/>
      </c>
      <c r="AE714" s="596" t="str">
        <f ca="1">IF(AND(AD714="",AC714=""),"",IF(OR(AD714&lt;&gt;"",O714="*CANCELADO"),"",NETWORKDAYS(AC714,TODAY(),#REF!)))</f>
        <v/>
      </c>
      <c r="AF714" s="597" t="str">
        <f>IFERROR(INDEX(produtos_escape2!M:M,MATCH(Controle!H714,produtos_escape2!A:A,0)),"")</f>
        <v>Pinça Crile curva 14 cm</v>
      </c>
    </row>
    <row r="715" spans="1:32" ht="14.25" customHeight="1">
      <c r="A715" s="176" t="s">
        <v>7948</v>
      </c>
      <c r="B715" s="176" t="s">
        <v>7207</v>
      </c>
      <c r="C715" s="177">
        <v>44001</v>
      </c>
      <c r="D715" s="176" t="s">
        <v>9067</v>
      </c>
      <c r="E715" s="176" t="s">
        <v>1865</v>
      </c>
      <c r="F715" s="259" t="s">
        <v>9068</v>
      </c>
      <c r="G715" s="176">
        <v>9</v>
      </c>
      <c r="H715" s="178">
        <v>15248</v>
      </c>
      <c r="I715" s="592">
        <f t="shared" si="24"/>
        <v>1</v>
      </c>
      <c r="J715" s="178" t="s">
        <v>816</v>
      </c>
      <c r="K715" s="178" t="s">
        <v>816</v>
      </c>
      <c r="L715" s="275" t="str">
        <f>IF(H:H=0,"",IF(ISERROR(VLOOKUP(H:H,produtos_escape2!$A$2:$B$2794,2,FALSE)),"Código não cadastrado",(VLOOKUP(H:H,produtos_escape2!$A$2:$B$2794,2,FALSE))))</f>
        <v>PINCA CRILE RETA 21CM 1</v>
      </c>
      <c r="M715" s="593" t="str">
        <f>IF(H:H=0,"",IF(ISERROR(VLOOKUP(H:H,produtos_escape2!$A$2:$D$2794,2,FALSE)),"Código não cadastrado",(VLOOKUP(H:H,produtos_escape2!$A$2:$D$2794,4,FALSE))))</f>
        <v>UN</v>
      </c>
      <c r="N715" s="486">
        <v>130</v>
      </c>
      <c r="O715" s="176" t="s">
        <v>1868</v>
      </c>
      <c r="P715" s="486"/>
      <c r="Q715" s="247"/>
      <c r="R715" s="246">
        <f t="shared" si="23"/>
        <v>0</v>
      </c>
      <c r="S715" s="177">
        <v>44076</v>
      </c>
      <c r="T715" s="182"/>
      <c r="U715" s="177"/>
      <c r="V715" s="177"/>
      <c r="W715" s="177"/>
      <c r="X715" s="176"/>
      <c r="Y715" s="177"/>
      <c r="Z715" s="415">
        <v>4</v>
      </c>
      <c r="AA715" s="488"/>
      <c r="AB715" s="594"/>
      <c r="AC715" s="595"/>
      <c r="AD715" s="596" t="str">
        <f>IF(AND(AC715&lt;&gt;"",S715&lt;&gt;""),NETWORKDAYS(AC715,S715,#REF!),"")</f>
        <v/>
      </c>
      <c r="AE715" s="596" t="str">
        <f ca="1">IF(AND(AD715="",AC715=""),"",IF(OR(AD715&lt;&gt;"",O715="*CANCELADO"),"",NETWORKDAYS(AC715,TODAY(),#REF!)))</f>
        <v/>
      </c>
      <c r="AF715" s="597" t="str">
        <f>IFERROR(INDEX(produtos_escape2!M:M,MATCH(Controle!H715,produtos_escape2!A:A,0)),"")</f>
        <v>PINÇA CRILE 21</v>
      </c>
    </row>
    <row r="716" spans="1:32" ht="14.25" customHeight="1">
      <c r="A716" s="176" t="s">
        <v>7948</v>
      </c>
      <c r="B716" s="176" t="s">
        <v>7207</v>
      </c>
      <c r="C716" s="177">
        <v>44001</v>
      </c>
      <c r="D716" s="176" t="s">
        <v>9067</v>
      </c>
      <c r="E716" s="176" t="s">
        <v>1865</v>
      </c>
      <c r="F716" s="259" t="s">
        <v>9068</v>
      </c>
      <c r="G716" s="176">
        <v>11</v>
      </c>
      <c r="H716" s="178">
        <v>15303</v>
      </c>
      <c r="I716" s="592">
        <f t="shared" si="24"/>
        <v>2</v>
      </c>
      <c r="J716" s="178" t="s">
        <v>816</v>
      </c>
      <c r="K716" s="178" t="s">
        <v>816</v>
      </c>
      <c r="L716" s="275" t="str">
        <f>IF(H:H=0,"",IF(ISERROR(VLOOKUP(H:H,produtos_escape2!$A$2:$B$2794,2,FALSE)),"Código não cadastrado",(VLOOKUP(H:H,produtos_escape2!$A$2:$B$2794,2,FALSE))))</f>
        <v>PINCA HALSTEAD MOSQUITO CURVA 100MM 1</v>
      </c>
      <c r="M716" s="593" t="str">
        <f>IF(H:H=0,"",IF(ISERROR(VLOOKUP(H:H,produtos_escape2!$A$2:$D$2794,2,FALSE)),"Código não cadastrado",(VLOOKUP(H:H,produtos_escape2!$A$2:$D$2794,4,FALSE))))</f>
        <v>UN</v>
      </c>
      <c r="N716" s="486">
        <v>40</v>
      </c>
      <c r="O716" s="176" t="s">
        <v>1868</v>
      </c>
      <c r="P716" s="486"/>
      <c r="Q716" s="247"/>
      <c r="R716" s="246">
        <f t="shared" si="23"/>
        <v>0</v>
      </c>
      <c r="S716" s="177">
        <v>44076</v>
      </c>
      <c r="T716" s="182"/>
      <c r="U716" s="177"/>
      <c r="V716" s="177"/>
      <c r="W716" s="177"/>
      <c r="X716" s="176"/>
      <c r="Y716" s="177"/>
      <c r="Z716" s="415">
        <v>4</v>
      </c>
      <c r="AA716" s="488"/>
      <c r="AB716" s="594"/>
      <c r="AC716" s="595"/>
      <c r="AD716" s="596" t="str">
        <f>IF(AND(AC716&lt;&gt;"",S716&lt;&gt;""),NETWORKDAYS(AC716,S716,#REF!),"")</f>
        <v/>
      </c>
      <c r="AE716" s="596" t="str">
        <f ca="1">IF(AND(AD716="",AC716=""),"",IF(OR(AD716&lt;&gt;"",O716="*CANCELADO"),"",NETWORKDAYS(AC716,TODAY(),#REF!)))</f>
        <v/>
      </c>
      <c r="AF716" s="597" t="str">
        <f>IFERROR(INDEX(produtos_escape2!M:M,MATCH(Controle!H716,produtos_escape2!A:A,0)),"")</f>
        <v>PINÇA HALSTEAD 100</v>
      </c>
    </row>
    <row r="717" spans="1:32" ht="14.25" customHeight="1">
      <c r="A717" s="176" t="s">
        <v>7948</v>
      </c>
      <c r="B717" s="176" t="s">
        <v>7207</v>
      </c>
      <c r="C717" s="177">
        <v>44001</v>
      </c>
      <c r="D717" s="176" t="s">
        <v>9067</v>
      </c>
      <c r="E717" s="176" t="s">
        <v>1865</v>
      </c>
      <c r="F717" s="259" t="s">
        <v>9068</v>
      </c>
      <c r="G717" s="176">
        <v>3</v>
      </c>
      <c r="H717" s="178">
        <v>13890</v>
      </c>
      <c r="I717" s="592">
        <f t="shared" si="24"/>
        <v>2</v>
      </c>
      <c r="J717" s="178" t="s">
        <v>816</v>
      </c>
      <c r="K717" s="178" t="s">
        <v>816</v>
      </c>
      <c r="L717" s="275" t="str">
        <f>IF(H:H=0,"",IF(ISERROR(VLOOKUP(H:H,produtos_escape2!$A$2:$B$2794,2,FALSE)),"Código não cadastrado",(VLOOKUP(H:H,produtos_escape2!$A$2:$B$2794,2,FALSE))))</f>
        <v>PINCA HALSTEAD MOSQUITO CURVA 12CM</v>
      </c>
      <c r="M717" s="593" t="str">
        <f>IF(H:H=0,"",IF(ISERROR(VLOOKUP(H:H,produtos_escape2!$A$2:$D$2794,2,FALSE)),"Código não cadastrado",(VLOOKUP(H:H,produtos_escape2!$A$2:$D$2794,4,FALSE))))</f>
        <v>UN</v>
      </c>
      <c r="N717" s="486">
        <v>100</v>
      </c>
      <c r="O717" s="176" t="s">
        <v>1868</v>
      </c>
      <c r="P717" s="486"/>
      <c r="Q717" s="247"/>
      <c r="R717" s="246">
        <f t="shared" si="23"/>
        <v>0</v>
      </c>
      <c r="S717" s="177">
        <v>44076</v>
      </c>
      <c r="T717" s="182"/>
      <c r="U717" s="177"/>
      <c r="V717" s="177"/>
      <c r="W717" s="177"/>
      <c r="X717" s="176"/>
      <c r="Y717" s="177"/>
      <c r="Z717" s="415">
        <v>4</v>
      </c>
      <c r="AA717" s="488"/>
      <c r="AB717" s="594"/>
      <c r="AC717" s="595"/>
      <c r="AD717" s="596" t="str">
        <f>IF(AND(AC717&lt;&gt;"",S717&lt;&gt;""),NETWORKDAYS(AC717,S717,#REF!),"")</f>
        <v/>
      </c>
      <c r="AE717" s="596" t="str">
        <f ca="1">IF(AND(AD717="",AC717=""),"",IF(OR(AD717&lt;&gt;"",O717="*CANCELADO"),"",NETWORKDAYS(AC717,TODAY(),#REF!)))</f>
        <v/>
      </c>
      <c r="AF717" s="597" t="str">
        <f>IFERROR(INDEX(produtos_escape2!M:M,MATCH(Controle!H717,produtos_escape2!A:A,0)),"")</f>
        <v>PINCA HALSTEAD MOSQUITO CURVA 12CM</v>
      </c>
    </row>
    <row r="718" spans="1:32" ht="14.25" customHeight="1">
      <c r="A718" s="176" t="s">
        <v>7948</v>
      </c>
      <c r="B718" s="176" t="s">
        <v>7207</v>
      </c>
      <c r="C718" s="177">
        <v>44001</v>
      </c>
      <c r="D718" s="176" t="s">
        <v>9067</v>
      </c>
      <c r="E718" s="176" t="s">
        <v>1865</v>
      </c>
      <c r="F718" s="259" t="s">
        <v>9068</v>
      </c>
      <c r="G718" s="176">
        <v>10</v>
      </c>
      <c r="H718" s="178">
        <v>15302</v>
      </c>
      <c r="I718" s="592">
        <f t="shared" si="24"/>
        <v>2</v>
      </c>
      <c r="J718" s="178" t="s">
        <v>816</v>
      </c>
      <c r="K718" s="178" t="s">
        <v>816</v>
      </c>
      <c r="L718" s="275" t="str">
        <f>IF(H:H=0,"",IF(ISERROR(VLOOKUP(H:H,produtos_escape2!$A$2:$B$2794,2,FALSE)),"Código não cadastrado",(VLOOKUP(H:H,produtos_escape2!$A$2:$B$2794,2,FALSE))))</f>
        <v>PINCA HALSTEAD MOSQUITO RETA 10CM 1</v>
      </c>
      <c r="M718" s="593" t="str">
        <f>IF(H:H=0,"",IF(ISERROR(VLOOKUP(H:H,produtos_escape2!$A$2:$D$2794,2,FALSE)),"Código não cadastrado",(VLOOKUP(H:H,produtos_escape2!$A$2:$D$2794,4,FALSE))))</f>
        <v>UN</v>
      </c>
      <c r="N718" s="486">
        <v>40</v>
      </c>
      <c r="O718" s="176" t="s">
        <v>1868</v>
      </c>
      <c r="P718" s="486"/>
      <c r="Q718" s="247"/>
      <c r="R718" s="246">
        <f t="shared" si="23"/>
        <v>0</v>
      </c>
      <c r="S718" s="177">
        <v>44076</v>
      </c>
      <c r="T718" s="182"/>
      <c r="U718" s="177"/>
      <c r="V718" s="177"/>
      <c r="W718" s="177"/>
      <c r="X718" s="176"/>
      <c r="Y718" s="177"/>
      <c r="Z718" s="415">
        <v>4</v>
      </c>
      <c r="AA718" s="488"/>
      <c r="AB718" s="594"/>
      <c r="AC718" s="595"/>
      <c r="AD718" s="596" t="str">
        <f>IF(AND(AC718&lt;&gt;"",S718&lt;&gt;""),NETWORKDAYS(AC718,S718,#REF!),"")</f>
        <v/>
      </c>
      <c r="AE718" s="596" t="str">
        <f ca="1">IF(AND(AD718="",AC718=""),"",IF(OR(AD718&lt;&gt;"",O718="*CANCELADO"),"",NETWORKDAYS(AC718,TODAY(),#REF!)))</f>
        <v/>
      </c>
      <c r="AF718" s="597" t="str">
        <f>IFERROR(INDEX(produtos_escape2!M:M,MATCH(Controle!H718,produtos_escape2!A:A,0)),"")</f>
        <v>PINÇA HALSTEAD 10</v>
      </c>
    </row>
    <row r="719" spans="1:32" ht="14.25" customHeight="1">
      <c r="A719" s="176" t="s">
        <v>7948</v>
      </c>
      <c r="B719" s="176" t="s">
        <v>7207</v>
      </c>
      <c r="C719" s="177">
        <v>44001</v>
      </c>
      <c r="D719" s="176" t="s">
        <v>9067</v>
      </c>
      <c r="E719" s="176" t="s">
        <v>1865</v>
      </c>
      <c r="F719" s="259" t="s">
        <v>9068</v>
      </c>
      <c r="G719" s="176">
        <v>4</v>
      </c>
      <c r="H719" s="178">
        <v>14226</v>
      </c>
      <c r="I719" s="592">
        <f t="shared" si="24"/>
        <v>2</v>
      </c>
      <c r="J719" s="178" t="s">
        <v>816</v>
      </c>
      <c r="K719" s="178" t="s">
        <v>816</v>
      </c>
      <c r="L719" s="275" t="str">
        <f>IF(H:H=0,"",IF(ISERROR(VLOOKUP(H:H,produtos_escape2!$A$2:$B$2794,2,FALSE)),"Código não cadastrado",(VLOOKUP(H:H,produtos_escape2!$A$2:$B$2794,2,FALSE))))</f>
        <v>Pinça Halstead mosquito reta de 12 cm</v>
      </c>
      <c r="M719" s="593" t="str">
        <f>IF(H:H=0,"",IF(ISERROR(VLOOKUP(H:H,produtos_escape2!$A$2:$D$2794,2,FALSE)),"Código não cadastrado",(VLOOKUP(H:H,produtos_escape2!$A$2:$D$2794,4,FALSE))))</f>
        <v>UN</v>
      </c>
      <c r="N719" s="486">
        <v>100</v>
      </c>
      <c r="O719" s="176" t="s">
        <v>1868</v>
      </c>
      <c r="P719" s="486"/>
      <c r="Q719" s="247"/>
      <c r="R719" s="246">
        <f t="shared" si="23"/>
        <v>0</v>
      </c>
      <c r="S719" s="177">
        <v>44076</v>
      </c>
      <c r="T719" s="182"/>
      <c r="U719" s="177"/>
      <c r="V719" s="177"/>
      <c r="W719" s="177"/>
      <c r="X719" s="176"/>
      <c r="Y719" s="177"/>
      <c r="Z719" s="415">
        <v>4</v>
      </c>
      <c r="AA719" s="488"/>
      <c r="AB719" s="594"/>
      <c r="AC719" s="595"/>
      <c r="AD719" s="596" t="str">
        <f>IF(AND(AC719&lt;&gt;"",S719&lt;&gt;""),NETWORKDAYS(AC719,S719,#REF!),"")</f>
        <v/>
      </c>
      <c r="AE719" s="596" t="str">
        <f ca="1">IF(AND(AD719="",AC719=""),"",IF(OR(AD719&lt;&gt;"",O719="*CANCELADO"),"",NETWORKDAYS(AC719,TODAY(),#REF!)))</f>
        <v/>
      </c>
      <c r="AF719" s="597" t="str">
        <f>IFERROR(INDEX(produtos_escape2!M:M,MATCH(Controle!H719,produtos_escape2!A:A,0)),"")</f>
        <v>Pinça Halstead mosquito reta de 12 cm</v>
      </c>
    </row>
    <row r="720" spans="1:32" ht="14.25" customHeight="1">
      <c r="A720" s="176" t="s">
        <v>7948</v>
      </c>
      <c r="B720" s="176" t="s">
        <v>7207</v>
      </c>
      <c r="C720" s="177">
        <v>44001</v>
      </c>
      <c r="D720" s="176" t="s">
        <v>9067</v>
      </c>
      <c r="E720" s="176" t="s">
        <v>1865</v>
      </c>
      <c r="F720" s="259" t="s">
        <v>9068</v>
      </c>
      <c r="G720" s="176">
        <v>12</v>
      </c>
      <c r="H720" s="178">
        <v>15322</v>
      </c>
      <c r="I720" s="592">
        <f t="shared" si="24"/>
        <v>2</v>
      </c>
      <c r="J720" s="178" t="s">
        <v>816</v>
      </c>
      <c r="K720" s="178" t="s">
        <v>816</v>
      </c>
      <c r="L720" s="275" t="str">
        <f>IF(H:H=0,"",IF(ISERROR(VLOOKUP(H:H,produtos_escape2!$A$2:$B$2794,2,FALSE)),"Código não cadastrado",(VLOOKUP(H:H,produtos_escape2!$A$2:$B$2794,2,FALSE))))</f>
        <v>PINÇA KELLY CURVA, Aplicação: Apreensão e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v>
      </c>
      <c r="M720" s="593" t="str">
        <f>IF(H:H=0,"",IF(ISERROR(VLOOKUP(H:H,produtos_escape2!$A$2:$D$2794,2,FALSE)),"Código não cadastrado",(VLOOKUP(H:H,produtos_escape2!$A$2:$D$2794,4,FALSE))))</f>
        <v>UN</v>
      </c>
      <c r="N720" s="486">
        <v>230</v>
      </c>
      <c r="O720" s="176" t="s">
        <v>1868</v>
      </c>
      <c r="P720" s="486"/>
      <c r="Q720" s="247"/>
      <c r="R720" s="246">
        <f t="shared" si="23"/>
        <v>0</v>
      </c>
      <c r="S720" s="177">
        <v>44076</v>
      </c>
      <c r="T720" s="182"/>
      <c r="U720" s="177"/>
      <c r="V720" s="177"/>
      <c r="W720" s="177"/>
      <c r="X720" s="176"/>
      <c r="Y720" s="177"/>
      <c r="Z720" s="415">
        <v>4</v>
      </c>
      <c r="AA720" s="488"/>
      <c r="AB720" s="594"/>
      <c r="AC720" s="595"/>
      <c r="AD720" s="596" t="str">
        <f>IF(AND(AC720&lt;&gt;"",S720&lt;&gt;""),NETWORKDAYS(AC720,S720,#REF!),"")</f>
        <v/>
      </c>
      <c r="AE720" s="596" t="str">
        <f ca="1">IF(AND(AD720="",AC720=""),"",IF(OR(AD720&lt;&gt;"",O720="*CANCELADO"),"",NETWORKDAYS(AC720,TODAY(),#REF!)))</f>
        <v/>
      </c>
      <c r="AF720" s="597" t="str">
        <f>IFERROR(INDEX(produtos_escape2!M:M,MATCH(Controle!H720,produtos_escape2!A:A,0)),"")</f>
        <v>PINÇA KELLY CURVA</v>
      </c>
    </row>
    <row r="721" spans="1:32" ht="14.25" customHeight="1">
      <c r="A721" s="176" t="s">
        <v>7948</v>
      </c>
      <c r="B721" s="176" t="s">
        <v>7207</v>
      </c>
      <c r="C721" s="177">
        <v>44001</v>
      </c>
      <c r="D721" s="176" t="s">
        <v>9067</v>
      </c>
      <c r="E721" s="176" t="s">
        <v>1865</v>
      </c>
      <c r="F721" s="259" t="s">
        <v>9068</v>
      </c>
      <c r="G721" s="176">
        <v>5</v>
      </c>
      <c r="H721" s="178">
        <v>14227</v>
      </c>
      <c r="I721" s="592">
        <f t="shared" si="24"/>
        <v>2</v>
      </c>
      <c r="J721" s="178" t="s">
        <v>816</v>
      </c>
      <c r="K721" s="178" t="s">
        <v>816</v>
      </c>
      <c r="L721" s="275" t="str">
        <f>IF(H:H=0,"",IF(ISERROR(VLOOKUP(H:H,produtos_escape2!$A$2:$B$2794,2,FALSE)),"Código não cadastrado",(VLOOKUP(H:H,produtos_escape2!$A$2:$B$2794,2,FALSE))))</f>
        <v>PINÇA KOCHER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v>
      </c>
      <c r="M721" s="593" t="str">
        <f>IF(H:H=0,"",IF(ISERROR(VLOOKUP(H:H,produtos_escape2!$A$2:$D$2794,2,FALSE)),"Código não cadastrado",(VLOOKUP(H:H,produtos_escape2!$A$2:$D$2794,4,FALSE))))</f>
        <v>UN</v>
      </c>
      <c r="N721" s="486">
        <v>20</v>
      </c>
      <c r="O721" s="176" t="s">
        <v>1868</v>
      </c>
      <c r="P721" s="486"/>
      <c r="Q721" s="247"/>
      <c r="R721" s="246">
        <f t="shared" si="23"/>
        <v>0</v>
      </c>
      <c r="S721" s="177">
        <v>44076</v>
      </c>
      <c r="T721" s="182"/>
      <c r="U721" s="177"/>
      <c r="V721" s="177"/>
      <c r="W721" s="177"/>
      <c r="X721" s="176"/>
      <c r="Y721" s="177"/>
      <c r="Z721" s="415">
        <v>4</v>
      </c>
      <c r="AA721" s="488"/>
      <c r="AB721" s="594"/>
      <c r="AC721" s="595"/>
      <c r="AD721" s="596" t="str">
        <f>IF(AND(AC721&lt;&gt;"",S721&lt;&gt;""),NETWORKDAYS(AC721,S721,#REF!),"")</f>
        <v/>
      </c>
      <c r="AE721" s="596" t="str">
        <f ca="1">IF(AND(AD721="",AC721=""),"",IF(OR(AD721&lt;&gt;"",O721="*CANCELADO"),"",NETWORKDAYS(AC721,TODAY(),#REF!)))</f>
        <v/>
      </c>
      <c r="AF721" s="597" t="str">
        <f>IFERROR(INDEX(produtos_escape2!M:M,MATCH(Controle!H721,produtos_escape2!A:A,0)),"")</f>
        <v>PINÇA KOCHER CURVA</v>
      </c>
    </row>
    <row r="722" spans="1:32" ht="14.25" customHeight="1">
      <c r="A722" s="176" t="s">
        <v>7948</v>
      </c>
      <c r="B722" s="176" t="s">
        <v>7207</v>
      </c>
      <c r="C722" s="177">
        <v>44001</v>
      </c>
      <c r="D722" s="176" t="s">
        <v>9067</v>
      </c>
      <c r="E722" s="176" t="s">
        <v>1865</v>
      </c>
      <c r="F722" s="259" t="s">
        <v>9068</v>
      </c>
      <c r="G722" s="176">
        <v>6</v>
      </c>
      <c r="H722" s="178">
        <v>14228</v>
      </c>
      <c r="I722" s="592">
        <f t="shared" si="24"/>
        <v>2</v>
      </c>
      <c r="J722" s="178" t="s">
        <v>816</v>
      </c>
      <c r="K722" s="178" t="s">
        <v>816</v>
      </c>
      <c r="L722" s="275" t="str">
        <f>IF(H:H=0,"",IF(ISERROR(VLOOKUP(H:H,produtos_escape2!$A$2:$B$2794,2,FALSE)),"Código não cadastrado",(VLOOKUP(H:H,produtos_escape2!$A$2:$B$2794,2,FALSE))))</f>
        <v>PINÇA KOCHER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v>
      </c>
      <c r="M722" s="593" t="str">
        <f>IF(H:H=0,"",IF(ISERROR(VLOOKUP(H:H,produtos_escape2!$A$2:$D$2794,2,FALSE)),"Código não cadastrado",(VLOOKUP(H:H,produtos_escape2!$A$2:$D$2794,4,FALSE))))</f>
        <v>UN</v>
      </c>
      <c r="N722" s="486">
        <v>20</v>
      </c>
      <c r="O722" s="176" t="s">
        <v>1868</v>
      </c>
      <c r="P722" s="486"/>
      <c r="Q722" s="247"/>
      <c r="R722" s="246">
        <f t="shared" si="23"/>
        <v>0</v>
      </c>
      <c r="S722" s="177">
        <v>44076</v>
      </c>
      <c r="T722" s="182"/>
      <c r="U722" s="177"/>
      <c r="V722" s="177"/>
      <c r="W722" s="177"/>
      <c r="X722" s="176"/>
      <c r="Y722" s="177"/>
      <c r="Z722" s="415">
        <v>4</v>
      </c>
      <c r="AA722" s="488"/>
      <c r="AB722" s="594"/>
      <c r="AC722" s="595"/>
      <c r="AD722" s="596" t="str">
        <f>IF(AND(AC722&lt;&gt;"",S722&lt;&gt;""),NETWORKDAYS(AC722,S722,#REF!),"")</f>
        <v/>
      </c>
      <c r="AE722" s="596" t="str">
        <f ca="1">IF(AND(AD722="",AC722=""),"",IF(OR(AD722&lt;&gt;"",O722="*CANCELADO"),"",NETWORKDAYS(AC722,TODAY(),#REF!)))</f>
        <v/>
      </c>
      <c r="AF722" s="597" t="str">
        <f>IFERROR(INDEX(produtos_escape2!M:M,MATCH(Controle!H722,produtos_escape2!A:A,0)),"")</f>
        <v>PINÇA KOCHER RETA</v>
      </c>
    </row>
    <row r="723" spans="1:32" ht="14.25" customHeight="1">
      <c r="A723" s="176" t="s">
        <v>7945</v>
      </c>
      <c r="B723" s="176" t="s">
        <v>7207</v>
      </c>
      <c r="C723" s="177">
        <v>44001</v>
      </c>
      <c r="D723" s="176" t="s">
        <v>9093</v>
      </c>
      <c r="E723" s="176" t="s">
        <v>3009</v>
      </c>
      <c r="F723" s="259" t="s">
        <v>9090</v>
      </c>
      <c r="G723" s="176">
        <v>1</v>
      </c>
      <c r="H723" s="178">
        <v>203012</v>
      </c>
      <c r="I723" s="592">
        <f t="shared" si="24"/>
        <v>1</v>
      </c>
      <c r="J723" s="178" t="s">
        <v>816</v>
      </c>
      <c r="K723" s="178" t="s">
        <v>816</v>
      </c>
      <c r="L723" s="275" t="str">
        <f>IF(H:H=0,"",IF(ISERROR(VLOOKUP(H:H,produtos_escape2!$A$2:$B$2794,2,FALSE)),"Código não cadastrado",(VLOOKUP(H:H,produtos_escape2!$A$2:$B$2794,2,FALSE))))</f>
        <v>CUBA RIM,Aplicação: Utensíio hospitalar.Material: Aço inoxidável AISI,Tamanho:  260 x 120 mm; 700 ml Superfícies arredondadas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individual.Processo de esterilização: Não estéril, Forma de apresentação:  Unidade,Prazo de validade: Indeterminado.</v>
      </c>
      <c r="M723" s="593" t="str">
        <f>IF(H:H=0,"",IF(ISERROR(VLOOKUP(H:H,produtos_escape2!$A$2:$D$2794,2,FALSE)),"Código não cadastrado",(VLOOKUP(H:H,produtos_escape2!$A$2:$D$2794,4,FALSE))))</f>
        <v>UN</v>
      </c>
      <c r="N723" s="486">
        <v>100</v>
      </c>
      <c r="O723" s="176" t="s">
        <v>9183</v>
      </c>
      <c r="P723" s="486">
        <v>100</v>
      </c>
      <c r="Q723" s="247">
        <v>49.79</v>
      </c>
      <c r="R723" s="246">
        <f t="shared" si="23"/>
        <v>4979</v>
      </c>
      <c r="S723" s="177">
        <v>44008</v>
      </c>
      <c r="T723" s="182">
        <v>436</v>
      </c>
      <c r="U723" s="177">
        <v>44021</v>
      </c>
      <c r="V723" s="177">
        <v>44025</v>
      </c>
      <c r="W723" s="177">
        <v>44026</v>
      </c>
      <c r="X723" s="176">
        <v>54603</v>
      </c>
      <c r="Y723" s="177">
        <v>44046</v>
      </c>
      <c r="Z723" s="415">
        <v>4</v>
      </c>
      <c r="AA723" s="488"/>
      <c r="AB723" s="594"/>
      <c r="AC723" s="595"/>
      <c r="AD723" s="596" t="str">
        <f>IF(AND(AC723&lt;&gt;"",S723&lt;&gt;""),NETWORKDAYS(AC723,S723,#REF!),"")</f>
        <v/>
      </c>
      <c r="AE723" s="596" t="str">
        <f ca="1">IF(AND(AD723="",AC723=""),"",IF(OR(AD723&lt;&gt;"",O723="*CANCELADO"),"",NETWORKDAYS(AC723,TODAY(),#REF!)))</f>
        <v/>
      </c>
      <c r="AF723" s="597" t="str">
        <f>IFERROR(INDEX(produtos_escape2!M:M,MATCH(Controle!H723,produtos_escape2!A:A,0)),"")</f>
        <v>CUBA RIM</v>
      </c>
    </row>
    <row r="724" spans="1:32" ht="14.25" customHeight="1">
      <c r="A724" s="176" t="s">
        <v>7944</v>
      </c>
      <c r="B724" s="176" t="s">
        <v>7207</v>
      </c>
      <c r="C724" s="177">
        <v>44001</v>
      </c>
      <c r="D724" s="176" t="s">
        <v>9081</v>
      </c>
      <c r="E724" s="176" t="s">
        <v>1867</v>
      </c>
      <c r="F724" s="259" t="s">
        <v>9091</v>
      </c>
      <c r="G724" s="176">
        <v>1</v>
      </c>
      <c r="H724" s="178">
        <v>12085</v>
      </c>
      <c r="I724" s="592">
        <f t="shared" si="24"/>
        <v>1</v>
      </c>
      <c r="J724" s="178" t="s">
        <v>816</v>
      </c>
      <c r="K724" s="178" t="s">
        <v>816</v>
      </c>
      <c r="L724" s="275" t="str">
        <f>IF(H:H=0,"",IF(ISERROR(VLOOKUP(H:H,produtos_escape2!$A$2:$B$2794,2,FALSE)),"Código não cadastrado",(VLOOKUP(H:H,produtos_escape2!$A$2:$B$2794,2,FALSE))))</f>
        <v>PORTA AGULHA MAYO-HEGAR; Aplicação (finalidade): Fixação da agulha em sutura de tecidos; Material: Aço inoxidável AISI; Tamanho/capacidade: 300 mm; 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que se destina o instrumento. Cada peça deverá ter uma gravação eletroquímica com clara identificação do fabricante e código / lote de identificação da data de fabricação, iniciais da instituição (SES-DF). Embalagem individual; Processo de Esterilização: Não estéril; Forma de apresentação: Unidade; Prazo de Validade: Indeterminado; Unidade de estoque: Unidade (um); Código SES: 12085.</v>
      </c>
      <c r="M724" s="593" t="str">
        <f>IF(H:H=0,"",IF(ISERROR(VLOOKUP(H:H,produtos_escape2!$A$2:$D$2794,2,FALSE)),"Código não cadastrado",(VLOOKUP(H:H,produtos_escape2!$A$2:$D$2794,4,FALSE))))</f>
        <v>UN</v>
      </c>
      <c r="N724" s="486">
        <v>150</v>
      </c>
      <c r="O724" s="176" t="s">
        <v>8923</v>
      </c>
      <c r="P724" s="486">
        <v>100</v>
      </c>
      <c r="Q724" s="247">
        <v>135</v>
      </c>
      <c r="R724" s="246">
        <f t="shared" si="23"/>
        <v>13500</v>
      </c>
      <c r="S724" s="177">
        <v>44011</v>
      </c>
      <c r="T724" s="182">
        <v>3394</v>
      </c>
      <c r="U724" s="177">
        <v>44025</v>
      </c>
      <c r="V724" s="177">
        <v>44026</v>
      </c>
      <c r="W724" s="177">
        <v>44029</v>
      </c>
      <c r="X724" s="176">
        <v>54674</v>
      </c>
      <c r="Y724" s="177">
        <v>44046</v>
      </c>
      <c r="Z724" s="415">
        <v>4</v>
      </c>
      <c r="AA724" s="488"/>
      <c r="AB724" s="594"/>
      <c r="AC724" s="595"/>
      <c r="AD724" s="596" t="str">
        <f>IF(AND(AC724&lt;&gt;"",S724&lt;&gt;""),NETWORKDAYS(AC724,S724,#REF!),"")</f>
        <v/>
      </c>
      <c r="AE724" s="596" t="str">
        <f ca="1">IF(AND(AD724="",AC724=""),"",IF(OR(AD724&lt;&gt;"",O724="*CANCELADO"),"",NETWORKDAYS(AC724,TODAY(),#REF!)))</f>
        <v/>
      </c>
      <c r="AF724" s="597" t="str">
        <f>IFERROR(INDEX(produtos_escape2!M:M,MATCH(Controle!H724,produtos_escape2!A:A,0)),"")</f>
        <v>PORTA AGULHA 300</v>
      </c>
    </row>
    <row r="725" spans="1:32" ht="14.25" customHeight="1">
      <c r="A725" s="176" t="s">
        <v>7944</v>
      </c>
      <c r="B725" s="176" t="s">
        <v>7207</v>
      </c>
      <c r="C725" s="177">
        <v>44001</v>
      </c>
      <c r="D725" s="176" t="s">
        <v>9081</v>
      </c>
      <c r="E725" s="176" t="s">
        <v>1867</v>
      </c>
      <c r="F725" s="259" t="s">
        <v>9091</v>
      </c>
      <c r="G725" s="176">
        <v>2</v>
      </c>
      <c r="H725" s="178">
        <v>14389</v>
      </c>
      <c r="I725" s="592">
        <f t="shared" si="24"/>
        <v>1</v>
      </c>
      <c r="J725" s="178" t="s">
        <v>816</v>
      </c>
      <c r="K725" s="178" t="s">
        <v>816</v>
      </c>
      <c r="L725" s="275" t="str">
        <f>IF(H:H=0,"",IF(ISERROR(VLOOKUP(H:H,produtos_escape2!$A$2:$B$2794,2,FALSE)),"Código não cadastrado",(VLOOKUP(H:H,produtos_escape2!$A$2:$B$2794,2,FALSE))))</f>
        <v>PORTA AGULHA MAYO-HEGAR COM VÍDEA, Aplicação: Sutura, Material: Aço inoxidável AISI, Tamanho: 180 mm,  Características Adicionais: As pontas dos porta agulhas deverão ser delicadas e as serrilhas precisas a fim de que as agulhas não rodem. As pontas também não poderão ter cantos vivos que possam cortar os fios, ferir os pacientes, ou cortar as luvas dos cirurgiões. O tratamento térmico deverá ser integral a fim de conferir ao porta agulhas a dureza e a flexibilidade necessárias a um perfeito desempenho. As cremalheiras deverão funcionar suavemente sem trancos,  sem escapar com facilidade e sem machucar os dedos . Os encaixes não deverão ser muito justos, a ponto de dificultar a abertura e o fechamento das peças, mas também não poderão ser muito folgados, a ponto de não prenderem adequadamente as agulhas. Os encaixes não deverão ter buracos, ou frestas, que possam acumular detritos provocando manchas e/ou corrosão. Os porta agulhas deverão ser os mais leves possíveis, naturalmente adequados às funções que se destinam. Quando se tratar de porta-agulha com serrilha a mesma deverá apresentar uma serrilha que realize uma pega adequada da agulha. Quando se tratar de porta-agulha com pastilha de tungstênio a junção entre pastilha e o porta-agulha não deverá apresentar poros, nem falhas e a pastilha de tungstênio não poderá descolar do porta-agulha com facilidade. Deverão apresentar os anéis dourados para identificar que se tratam de porta-agulha com pastilha de tungstênio. A peça deverá ter uma gravação com clara identificação do fabricante, iniciais da instituição (SES-DF) e código/lote de identificação da data de fabricação, Processo de Esterilização: Não estéril, Forma de apresentação: Unidade, Prazo de Validade: Indeterminado.</v>
      </c>
      <c r="M725" s="593" t="str">
        <f>IF(H:H=0,"",IF(ISERROR(VLOOKUP(H:H,produtos_escape2!$A$2:$D$2794,2,FALSE)),"Código não cadastrado",(VLOOKUP(H:H,produtos_escape2!$A$2:$D$2794,4,FALSE))))</f>
        <v>UN</v>
      </c>
      <c r="N725" s="486">
        <v>60</v>
      </c>
      <c r="O725" s="176" t="s">
        <v>8923</v>
      </c>
      <c r="P725" s="486">
        <v>50</v>
      </c>
      <c r="Q725" s="247">
        <v>210</v>
      </c>
      <c r="R725" s="246">
        <f t="shared" si="23"/>
        <v>10500</v>
      </c>
      <c r="S725" s="177">
        <v>44011</v>
      </c>
      <c r="T725" s="182">
        <v>3394</v>
      </c>
      <c r="U725" s="177">
        <v>44025</v>
      </c>
      <c r="V725" s="177">
        <v>44026</v>
      </c>
      <c r="W725" s="177">
        <v>44029</v>
      </c>
      <c r="X725" s="176">
        <v>54674</v>
      </c>
      <c r="Y725" s="177">
        <v>44046</v>
      </c>
      <c r="Z725" s="415">
        <v>4</v>
      </c>
      <c r="AA725" s="488"/>
      <c r="AB725" s="594"/>
      <c r="AC725" s="595"/>
      <c r="AD725" s="596" t="str">
        <f>IF(AND(AC725&lt;&gt;"",S725&lt;&gt;""),NETWORKDAYS(AC725,S725,#REF!),"")</f>
        <v/>
      </c>
      <c r="AE725" s="596" t="str">
        <f ca="1">IF(AND(AD725="",AC725=""),"",IF(OR(AD725&lt;&gt;"",O725="*CANCELADO"),"",NETWORKDAYS(AC725,TODAY(),#REF!)))</f>
        <v/>
      </c>
      <c r="AF725" s="597" t="str">
        <f>IFERROR(INDEX(produtos_escape2!M:M,MATCH(Controle!H725,produtos_escape2!A:A,0)),"")</f>
        <v>PORTA AGULHA 180</v>
      </c>
    </row>
    <row r="726" spans="1:32" ht="14.25" customHeight="1">
      <c r="A726" s="176" t="s">
        <v>7944</v>
      </c>
      <c r="B726" s="176" t="s">
        <v>7207</v>
      </c>
      <c r="C726" s="177">
        <v>44001</v>
      </c>
      <c r="D726" s="176" t="s">
        <v>9081</v>
      </c>
      <c r="E726" s="176" t="s">
        <v>1867</v>
      </c>
      <c r="F726" s="259" t="s">
        <v>9091</v>
      </c>
      <c r="G726" s="176">
        <v>3</v>
      </c>
      <c r="H726" s="178">
        <v>15200</v>
      </c>
      <c r="I726" s="592">
        <f t="shared" si="24"/>
        <v>1</v>
      </c>
      <c r="J726" s="178" t="s">
        <v>816</v>
      </c>
      <c r="K726" s="178" t="s">
        <v>816</v>
      </c>
      <c r="L726" s="275" t="str">
        <f>IF(H:H=0,"",IF(ISERROR(VLOOKUP(H:H,produtos_escape2!$A$2:$B$2794,2,FALSE)),"Código não cadastrado",(VLOOKUP(H:H,produtos_escape2!$A$2:$B$2794,2,FALSE))))</f>
        <v>PORTA AGULHA MAYO HEGAR 20CM 1</v>
      </c>
      <c r="M726" s="593" t="str">
        <f>IF(H:H=0,"",IF(ISERROR(VLOOKUP(H:H,produtos_escape2!$A$2:$D$2794,2,FALSE)),"Código não cadastrado",(VLOOKUP(H:H,produtos_escape2!$A$2:$D$2794,4,FALSE))))</f>
        <v>UN</v>
      </c>
      <c r="N726" s="486">
        <v>100</v>
      </c>
      <c r="O726" s="176" t="s">
        <v>8923</v>
      </c>
      <c r="P726" s="486">
        <v>80</v>
      </c>
      <c r="Q726" s="247">
        <v>49</v>
      </c>
      <c r="R726" s="246">
        <f t="shared" si="23"/>
        <v>3920</v>
      </c>
      <c r="S726" s="177">
        <v>44011</v>
      </c>
      <c r="T726" s="182">
        <v>3394</v>
      </c>
      <c r="U726" s="177">
        <v>44025</v>
      </c>
      <c r="V726" s="177">
        <v>44026</v>
      </c>
      <c r="W726" s="177">
        <v>44029</v>
      </c>
      <c r="X726" s="176">
        <v>54674</v>
      </c>
      <c r="Y726" s="177">
        <v>44046</v>
      </c>
      <c r="Z726" s="415">
        <v>4</v>
      </c>
      <c r="AA726" s="488"/>
      <c r="AB726" s="594"/>
      <c r="AC726" s="595"/>
      <c r="AD726" s="596" t="str">
        <f>IF(AND(AC726&lt;&gt;"",S726&lt;&gt;""),NETWORKDAYS(AC726,S726,#REF!),"")</f>
        <v/>
      </c>
      <c r="AE726" s="596" t="str">
        <f ca="1">IF(AND(AD726="",AC726=""),"",IF(OR(AD726&lt;&gt;"",O726="*CANCELADO"),"",NETWORKDAYS(AC726,TODAY(),#REF!)))</f>
        <v/>
      </c>
      <c r="AF726" s="597" t="str">
        <f>IFERROR(INDEX(produtos_escape2!M:M,MATCH(Controle!H726,produtos_escape2!A:A,0)),"")</f>
        <v>PORTA AGULHA 20</v>
      </c>
    </row>
    <row r="727" spans="1:32" ht="14.25" customHeight="1">
      <c r="A727" s="176" t="s">
        <v>7944</v>
      </c>
      <c r="B727" s="176" t="s">
        <v>7207</v>
      </c>
      <c r="C727" s="177">
        <v>44001</v>
      </c>
      <c r="D727" s="176" t="s">
        <v>9081</v>
      </c>
      <c r="E727" s="176" t="s">
        <v>1867</v>
      </c>
      <c r="F727" s="259" t="s">
        <v>9091</v>
      </c>
      <c r="G727" s="176">
        <v>4</v>
      </c>
      <c r="H727" s="178">
        <v>27628</v>
      </c>
      <c r="I727" s="592">
        <f t="shared" si="24"/>
        <v>1</v>
      </c>
      <c r="J727" s="178" t="s">
        <v>816</v>
      </c>
      <c r="K727" s="178" t="s">
        <v>816</v>
      </c>
      <c r="L727" s="275" t="str">
        <f>IF(H:H=0,"",IF(ISERROR(VLOOKUP(H:H,produtos_escape2!$A$2:$B$2794,2,FALSE)),"Código não cadastrado",(VLOOKUP(H:H,produtos_escape2!$A$2:$B$2794,2,FALSE))))</f>
        <v>PORTA AGULHA MAYO HEGAR SEM VÍDEA 140 MM. Aplicação: Fixação da agulha em sutura de tecidos. Material: Aço inoxidável AISI 420, tamanho: 140 mm, modelo Mayo Hegar 14 cm.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 a junção entre a pastilha e o porta-agulha não deverá apresentar poros, nem falhas; -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material cirúrgico reutilizável, esterilizável em autoclave. Forma de apresentação: Unidade, Prazo de validade: Indeterminado.</v>
      </c>
      <c r="M727" s="593" t="str">
        <f>IF(H:H=0,"",IF(ISERROR(VLOOKUP(H:H,produtos_escape2!$A$2:$D$2794,2,FALSE)),"Código não cadastrado",(VLOOKUP(H:H,produtos_escape2!$A$2:$D$2794,4,FALSE))))</f>
        <v>UN</v>
      </c>
      <c r="N727" s="486">
        <v>100</v>
      </c>
      <c r="O727" s="176" t="s">
        <v>9183</v>
      </c>
      <c r="P727" s="486">
        <v>80</v>
      </c>
      <c r="Q727" s="247">
        <v>15.4</v>
      </c>
      <c r="R727" s="246">
        <f t="shared" si="23"/>
        <v>1232</v>
      </c>
      <c r="S727" s="177">
        <v>44011</v>
      </c>
      <c r="T727" s="182">
        <v>432</v>
      </c>
      <c r="U727" s="177">
        <v>44018</v>
      </c>
      <c r="V727" s="177">
        <v>44026</v>
      </c>
      <c r="W727" s="177">
        <v>44029</v>
      </c>
      <c r="X727" s="176">
        <v>54166</v>
      </c>
      <c r="Y727" s="177">
        <v>44046</v>
      </c>
      <c r="Z727" s="415">
        <v>4</v>
      </c>
      <c r="AA727" s="488"/>
      <c r="AB727" s="594"/>
      <c r="AC727" s="595"/>
      <c r="AD727" s="596" t="str">
        <f>IF(AND(AC727&lt;&gt;"",S727&lt;&gt;""),NETWORKDAYS(AC727,S727,#REF!),"")</f>
        <v/>
      </c>
      <c r="AE727" s="596" t="str">
        <f ca="1">IF(AND(AD727="",AC727=""),"",IF(OR(AD727&lt;&gt;"",O727="*CANCELADO"),"",NETWORKDAYS(AC727,TODAY(),#REF!)))</f>
        <v/>
      </c>
      <c r="AF727" s="597" t="str">
        <f>IFERROR(INDEX(produtos_escape2!M:M,MATCH(Controle!H727,produtos_escape2!A:A,0)),"")</f>
        <v>PORTA AGULHA 140</v>
      </c>
    </row>
    <row r="728" spans="1:32" ht="14.25" customHeight="1">
      <c r="A728" s="176" t="s">
        <v>7949</v>
      </c>
      <c r="B728" s="176" t="s">
        <v>7207</v>
      </c>
      <c r="C728" s="177">
        <v>44001</v>
      </c>
      <c r="D728" s="176" t="s">
        <v>9048</v>
      </c>
      <c r="E728" s="176" t="s">
        <v>1866</v>
      </c>
      <c r="F728" s="259" t="s">
        <v>9092</v>
      </c>
      <c r="G728" s="176">
        <v>1</v>
      </c>
      <c r="H728" s="178">
        <v>15759</v>
      </c>
      <c r="I728" s="592">
        <f t="shared" si="24"/>
        <v>1</v>
      </c>
      <c r="J728" s="178" t="s">
        <v>816</v>
      </c>
      <c r="K728" s="178" t="s">
        <v>816</v>
      </c>
      <c r="L728" s="275" t="str">
        <f>IF(H:H=0,"",IF(ISERROR(VLOOKUP(H:H,produtos_escape2!$A$2:$B$2794,2,FALSE)),"Código não cadastrado",(VLOOKUP(H:H,produtos_escape2!$A$2:$B$2794,2,FALSE))))</f>
        <v>PINCA MIXTER BABY DELICADA 140MM 1</v>
      </c>
      <c r="M728" s="593" t="str">
        <f>IF(H:H=0,"",IF(ISERROR(VLOOKUP(H:H,produtos_escape2!$A$2:$D$2794,2,FALSE)),"Código não cadastrado",(VLOOKUP(H:H,produtos_escape2!$A$2:$D$2794,4,FALSE))))</f>
        <v>UN</v>
      </c>
      <c r="N728" s="486">
        <v>30</v>
      </c>
      <c r="O728" s="176" t="s">
        <v>3663</v>
      </c>
      <c r="P728" s="486">
        <v>30</v>
      </c>
      <c r="Q728" s="247">
        <v>26.1</v>
      </c>
      <c r="R728" s="246">
        <f t="shared" si="23"/>
        <v>783</v>
      </c>
      <c r="S728" s="177">
        <v>44008</v>
      </c>
      <c r="T728" s="182">
        <v>1230053</v>
      </c>
      <c r="U728" s="177">
        <v>44008</v>
      </c>
      <c r="V728" s="177">
        <v>44014</v>
      </c>
      <c r="W728" s="177">
        <v>44025</v>
      </c>
      <c r="X728" s="176">
        <v>45986</v>
      </c>
      <c r="Y728" s="177">
        <v>44032</v>
      </c>
      <c r="Z728" s="415">
        <v>4</v>
      </c>
      <c r="AA728" s="488"/>
      <c r="AB728" s="594"/>
      <c r="AC728" s="595"/>
      <c r="AD728" s="596" t="str">
        <f>IF(AND(AC728&lt;&gt;"",S728&lt;&gt;""),NETWORKDAYS(AC728,S728,#REF!),"")</f>
        <v/>
      </c>
      <c r="AE728" s="596" t="str">
        <f ca="1">IF(AND(AD728="",AC728=""),"",IF(OR(AD728&lt;&gt;"",O728="*CANCELADO"),"",NETWORKDAYS(AC728,TODAY(),#REF!)))</f>
        <v/>
      </c>
      <c r="AF728" s="597" t="str">
        <f>IFERROR(INDEX(produtos_escape2!M:M,MATCH(Controle!H728,produtos_escape2!A:A,0)),"")</f>
        <v>PINÇA MIXTER 140</v>
      </c>
    </row>
    <row r="729" spans="1:32" ht="14.25" customHeight="1">
      <c r="A729" s="176" t="s">
        <v>7949</v>
      </c>
      <c r="B729" s="176" t="s">
        <v>7207</v>
      </c>
      <c r="C729" s="177">
        <v>44001</v>
      </c>
      <c r="D729" s="176" t="s">
        <v>9048</v>
      </c>
      <c r="E729" s="176" t="s">
        <v>1866</v>
      </c>
      <c r="F729" s="259" t="s">
        <v>9092</v>
      </c>
      <c r="G729" s="176">
        <v>2</v>
      </c>
      <c r="H729" s="178">
        <v>17169</v>
      </c>
      <c r="I729" s="592">
        <f t="shared" si="24"/>
        <v>1</v>
      </c>
      <c r="J729" s="178" t="s">
        <v>816</v>
      </c>
      <c r="K729" s="178" t="s">
        <v>816</v>
      </c>
      <c r="L729" s="275" t="str">
        <f>IF(H:H=0,"",IF(ISERROR(VLOOKUP(H:H,produtos_escape2!$A$2:$B$2794,2,FALSE)),"Código não cadastrado",(VLOOKUP(H:H,produtos_escape2!$A$2:$B$2794,2,FALSE))))</f>
        <v>PINÇA KELLY RETA, Aplicação: Apreensão e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v>
      </c>
      <c r="M729" s="593" t="str">
        <f>IF(H:H=0,"",IF(ISERROR(VLOOKUP(H:H,produtos_escape2!$A$2:$D$2794,2,FALSE)),"Código não cadastrado",(VLOOKUP(H:H,produtos_escape2!$A$2:$D$2794,4,FALSE))))</f>
        <v>UN</v>
      </c>
      <c r="N729" s="486">
        <v>210</v>
      </c>
      <c r="O729" s="176" t="s">
        <v>9183</v>
      </c>
      <c r="P729" s="486">
        <v>144</v>
      </c>
      <c r="Q729" s="247">
        <v>14.16</v>
      </c>
      <c r="R729" s="246">
        <f t="shared" si="23"/>
        <v>2039.04</v>
      </c>
      <c r="S729" s="177">
        <v>44008</v>
      </c>
      <c r="T729" s="182">
        <v>433</v>
      </c>
      <c r="U729" s="177">
        <v>44018</v>
      </c>
      <c r="V729" s="177">
        <v>44022</v>
      </c>
      <c r="W729" s="177">
        <v>44025</v>
      </c>
      <c r="X729" s="176">
        <v>47184</v>
      </c>
      <c r="Y729" s="177">
        <v>44033</v>
      </c>
      <c r="Z729" s="415">
        <v>4</v>
      </c>
      <c r="AA729" s="488"/>
      <c r="AB729" s="594"/>
      <c r="AC729" s="595"/>
      <c r="AD729" s="596" t="str">
        <f>IF(AND(AC729&lt;&gt;"",S729&lt;&gt;""),NETWORKDAYS(AC729,S729,#REF!),"")</f>
        <v/>
      </c>
      <c r="AE729" s="596" t="str">
        <f ca="1">IF(AND(AD729="",AC729=""),"",IF(OR(AD729&lt;&gt;"",O729="*CANCELADO"),"",NETWORKDAYS(AC729,TODAY(),#REF!)))</f>
        <v/>
      </c>
      <c r="AF729" s="597" t="str">
        <f>IFERROR(INDEX(produtos_escape2!M:M,MATCH(Controle!H729,produtos_escape2!A:A,0)),"")</f>
        <v>PINÇA KELLY RETA</v>
      </c>
    </row>
    <row r="730" spans="1:32" ht="14.25" customHeight="1">
      <c r="A730" s="176" t="s">
        <v>7949</v>
      </c>
      <c r="B730" s="176" t="s">
        <v>7207</v>
      </c>
      <c r="C730" s="177">
        <v>44001</v>
      </c>
      <c r="D730" s="176" t="s">
        <v>9048</v>
      </c>
      <c r="E730" s="176" t="s">
        <v>1866</v>
      </c>
      <c r="F730" s="259" t="s">
        <v>9092</v>
      </c>
      <c r="G730" s="176">
        <v>3</v>
      </c>
      <c r="H730" s="178">
        <v>17170</v>
      </c>
      <c r="I730" s="592">
        <f t="shared" si="24"/>
        <v>1</v>
      </c>
      <c r="J730" s="178" t="s">
        <v>816</v>
      </c>
      <c r="K730" s="178" t="s">
        <v>816</v>
      </c>
      <c r="L730" s="275" t="str">
        <f>IF(H:H=0,"",IF(ISERROR(VLOOKUP(H:H,produtos_escape2!$A$2:$B$2794,2,FALSE)),"Código não cadastrado",(VLOOKUP(H:H,produtos_escape2!$A$2:$B$2794,2,FALSE))))</f>
        <v xml:space="preserve">PINÇA KELLY CURVA 140MM. Aplicação (finalidade): Apreensão e Hemostasia; pinçamento e dissecção de tecidos e estruturas delicadas. Material/Composição: Aço inoxidável 420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Processo de Esterilização: não estéril, realizar esterilização em autoclave, material cirúrgico reutilizável. Prazo de validade: indeterminado. Embalagem individual. </v>
      </c>
      <c r="M730" s="593" t="str">
        <f>IF(H:H=0,"",IF(ISERROR(VLOOKUP(H:H,produtos_escape2!$A$2:$D$2794,2,FALSE)),"Código não cadastrado",(VLOOKUP(H:H,produtos_escape2!$A$2:$D$2794,4,FALSE))))</f>
        <v>UN</v>
      </c>
      <c r="N730" s="486">
        <v>210</v>
      </c>
      <c r="O730" s="176" t="s">
        <v>9183</v>
      </c>
      <c r="P730" s="486">
        <v>187</v>
      </c>
      <c r="Q730" s="247">
        <v>14.16</v>
      </c>
      <c r="R730" s="246">
        <f t="shared" si="23"/>
        <v>2647.92</v>
      </c>
      <c r="S730" s="177">
        <v>44008</v>
      </c>
      <c r="T730" s="182">
        <v>433</v>
      </c>
      <c r="U730" s="177">
        <v>44018</v>
      </c>
      <c r="V730" s="177">
        <v>44022</v>
      </c>
      <c r="W730" s="177">
        <v>44025</v>
      </c>
      <c r="X730" s="176">
        <v>47184</v>
      </c>
      <c r="Y730" s="177">
        <v>44033</v>
      </c>
      <c r="Z730" s="415">
        <v>4</v>
      </c>
      <c r="AA730" s="488"/>
      <c r="AB730" s="594"/>
      <c r="AC730" s="595"/>
      <c r="AD730" s="596" t="str">
        <f>IF(AND(AC730&lt;&gt;"",S730&lt;&gt;""),NETWORKDAYS(AC730,S730,#REF!),"")</f>
        <v/>
      </c>
      <c r="AE730" s="596" t="str">
        <f ca="1">IF(AND(AD730="",AC730=""),"",IF(OR(AD730&lt;&gt;"",O730="*CANCELADO"),"",NETWORKDAYS(AC730,TODAY(),#REF!)))</f>
        <v/>
      </c>
      <c r="AF730" s="597" t="str">
        <f>IFERROR(INDEX(produtos_escape2!M:M,MATCH(Controle!H730,produtos_escape2!A:A,0)),"")</f>
        <v>PINÇA KELLY 140</v>
      </c>
    </row>
    <row r="731" spans="1:32" ht="14.25" customHeight="1">
      <c r="A731" s="176" t="s">
        <v>7949</v>
      </c>
      <c r="B731" s="176" t="s">
        <v>7207</v>
      </c>
      <c r="C731" s="177">
        <v>44001</v>
      </c>
      <c r="D731" s="176" t="s">
        <v>9048</v>
      </c>
      <c r="E731" s="176" t="s">
        <v>1866</v>
      </c>
      <c r="F731" s="259" t="s">
        <v>9092</v>
      </c>
      <c r="G731" s="176">
        <v>4</v>
      </c>
      <c r="H731" s="178">
        <v>18618</v>
      </c>
      <c r="I731" s="592">
        <f t="shared" si="24"/>
        <v>1</v>
      </c>
      <c r="J731" s="178" t="s">
        <v>816</v>
      </c>
      <c r="K731" s="178" t="s">
        <v>816</v>
      </c>
      <c r="L731" s="275" t="str">
        <f>IF(H:H=0,"",IF(ISERROR(VLOOKUP(H:H,produtos_escape2!$A$2:$B$2794,2,FALSE)),"Código não cadastrado",(VLOOKUP(H:H,produtos_escape2!$A$2:$B$2794,2,FALSE))))</f>
        <v>PINÇA CRILLER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731" s="593" t="str">
        <f>IF(H:H=0,"",IF(ISERROR(VLOOKUP(H:H,produtos_escape2!$A$2:$D$2794,2,FALSE)),"Código não cadastrado",(VLOOKUP(H:H,produtos_escape2!$A$2:$D$2794,4,FALSE))))</f>
        <v>UN</v>
      </c>
      <c r="N731" s="486">
        <v>150</v>
      </c>
      <c r="O731" s="176" t="s">
        <v>9183</v>
      </c>
      <c r="P731" s="486">
        <v>115</v>
      </c>
      <c r="Q731" s="247">
        <v>17.72</v>
      </c>
      <c r="R731" s="246">
        <f t="shared" si="23"/>
        <v>2037.8</v>
      </c>
      <c r="S731" s="177">
        <v>44008</v>
      </c>
      <c r="T731" s="182">
        <v>433</v>
      </c>
      <c r="U731" s="177">
        <v>44018</v>
      </c>
      <c r="V731" s="177">
        <v>44022</v>
      </c>
      <c r="W731" s="177">
        <v>44025</v>
      </c>
      <c r="X731" s="176">
        <v>47184</v>
      </c>
      <c r="Y731" s="177">
        <v>44033</v>
      </c>
      <c r="Z731" s="415">
        <v>4</v>
      </c>
      <c r="AA731" s="488"/>
      <c r="AB731" s="594"/>
      <c r="AC731" s="595"/>
      <c r="AD731" s="596" t="str">
        <f>IF(AND(AC731&lt;&gt;"",S731&lt;&gt;""),NETWORKDAYS(AC731,S731,#REF!),"")</f>
        <v/>
      </c>
      <c r="AE731" s="596" t="str">
        <f ca="1">IF(AND(AD731="",AC731=""),"",IF(OR(AD731&lt;&gt;"",O731="*CANCELADO"),"",NETWORKDAYS(AC731,TODAY(),#REF!)))</f>
        <v/>
      </c>
      <c r="AF731" s="597" t="str">
        <f>IFERROR(INDEX(produtos_escape2!M:M,MATCH(Controle!H731,produtos_escape2!A:A,0)),"")</f>
        <v>PINÇA CRILLER 160</v>
      </c>
    </row>
    <row r="732" spans="1:32" ht="14.25" customHeight="1">
      <c r="A732" s="176" t="s">
        <v>7949</v>
      </c>
      <c r="B732" s="176" t="s">
        <v>7207</v>
      </c>
      <c r="C732" s="177">
        <v>44001</v>
      </c>
      <c r="D732" s="176" t="s">
        <v>9048</v>
      </c>
      <c r="E732" s="176" t="s">
        <v>1866</v>
      </c>
      <c r="F732" s="259" t="s">
        <v>9092</v>
      </c>
      <c r="G732" s="176">
        <v>5</v>
      </c>
      <c r="H732" s="178">
        <v>18619</v>
      </c>
      <c r="I732" s="592">
        <f t="shared" si="24"/>
        <v>1</v>
      </c>
      <c r="J732" s="178" t="s">
        <v>816</v>
      </c>
      <c r="K732" s="178" t="s">
        <v>816</v>
      </c>
      <c r="L732" s="275" t="str">
        <f>IF(H:H=0,"",IF(ISERROR(VLOOKUP(H:H,produtos_escape2!$A$2:$B$2794,2,FALSE)),"Código não cadastrado",(VLOOKUP(H:H,produtos_escape2!$A$2:$B$2794,2,FALSE))))</f>
        <v>PINÇA CRILLER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732" s="593" t="str">
        <f>IF(H:H=0,"",IF(ISERROR(VLOOKUP(H:H,produtos_escape2!$A$2:$D$2794,2,FALSE)),"Código não cadastrado",(VLOOKUP(H:H,produtos_escape2!$A$2:$D$2794,4,FALSE))))</f>
        <v>UN</v>
      </c>
      <c r="N732" s="486">
        <v>150</v>
      </c>
      <c r="O732" s="176" t="s">
        <v>9183</v>
      </c>
      <c r="P732" s="486">
        <v>109</v>
      </c>
      <c r="Q732" s="247">
        <v>17.72</v>
      </c>
      <c r="R732" s="246">
        <f t="shared" si="23"/>
        <v>1931.4799999999998</v>
      </c>
      <c r="S732" s="177">
        <v>44008</v>
      </c>
      <c r="T732" s="182">
        <v>433</v>
      </c>
      <c r="U732" s="177">
        <v>44018</v>
      </c>
      <c r="V732" s="177">
        <v>44022</v>
      </c>
      <c r="W732" s="177">
        <v>44025</v>
      </c>
      <c r="X732" s="176">
        <v>47184</v>
      </c>
      <c r="Y732" s="177">
        <v>44033</v>
      </c>
      <c r="Z732" s="415">
        <v>4</v>
      </c>
      <c r="AA732" s="488"/>
      <c r="AB732" s="594"/>
      <c r="AC732" s="595"/>
      <c r="AD732" s="596" t="str">
        <f>IF(AND(AC732&lt;&gt;"",S732&lt;&gt;""),NETWORKDAYS(AC732,S732,#REF!),"")</f>
        <v/>
      </c>
      <c r="AE732" s="596" t="str">
        <f ca="1">IF(AND(AD732="",AC732=""),"",IF(OR(AD732&lt;&gt;"",O732="*CANCELADO"),"",NETWORKDAYS(AC732,TODAY(),#REF!)))</f>
        <v/>
      </c>
      <c r="AF732" s="597" t="str">
        <f>IFERROR(INDEX(produtos_escape2!M:M,MATCH(Controle!H732,produtos_escape2!A:A,0)),"")</f>
        <v>PINÇA CRILLER 160</v>
      </c>
    </row>
    <row r="733" spans="1:32" ht="14.25" customHeight="1">
      <c r="A733" s="176" t="s">
        <v>7949</v>
      </c>
      <c r="B733" s="176" t="s">
        <v>7207</v>
      </c>
      <c r="C733" s="177">
        <v>44001</v>
      </c>
      <c r="D733" s="176" t="s">
        <v>9048</v>
      </c>
      <c r="E733" s="176" t="s">
        <v>1866</v>
      </c>
      <c r="F733" s="259" t="s">
        <v>9092</v>
      </c>
      <c r="G733" s="176">
        <v>6</v>
      </c>
      <c r="H733" s="178">
        <v>23382</v>
      </c>
      <c r="I733" s="592">
        <f t="shared" si="24"/>
        <v>1</v>
      </c>
      <c r="J733" s="178" t="s">
        <v>816</v>
      </c>
      <c r="K733" s="178" t="s">
        <v>816</v>
      </c>
      <c r="L733" s="275" t="str">
        <f>IF(H:H=0,"",IF(ISERROR(VLOOKUP(H:H,produtos_escape2!$A$2:$B$2794,2,FALSE)),"Código não cadastrado",(VLOOKUP(H:H,produtos_escape2!$A$2:$B$2794,2,FALSE))))</f>
        <v>PINÇA KELLY RETA 16cm; Aplicação: Instrumental cirúrgico; Material: PINÇA KELLY RETA confeccionada em aço inox de 1a. qualidade, medindo 16cm de comprimento, embalada individualmente em plástico, constando externamente os dados de identificação e procedência, Garantia de fabrica: 10 anos contra defeitos de fabricação. Registro Ministério da Saúde. Serve para uso cirúrgico geral, pinçar artérias e veias, interroper fluxo sanguíneo; Tamanho: 16cm; Processo de esterilização; não esteril; Forma de apresentação; embalagem individual; Prazo de validade; 10 anos contra defeito de fabricação, Unidade de estoque: unidade</v>
      </c>
      <c r="M733" s="593" t="str">
        <f>IF(H:H=0,"",IF(ISERROR(VLOOKUP(H:H,produtos_escape2!$A$2:$D$2794,2,FALSE)),"Código não cadastrado",(VLOOKUP(H:H,produtos_escape2!$A$2:$D$2794,4,FALSE))))</f>
        <v>UN</v>
      </c>
      <c r="N733" s="486">
        <v>80</v>
      </c>
      <c r="O733" s="176" t="s">
        <v>9183</v>
      </c>
      <c r="P733" s="486">
        <v>80</v>
      </c>
      <c r="Q733" s="247">
        <v>15.13</v>
      </c>
      <c r="R733" s="246">
        <f t="shared" si="23"/>
        <v>1210.4000000000001</v>
      </c>
      <c r="S733" s="177">
        <v>44008</v>
      </c>
      <c r="T733" s="182">
        <v>433</v>
      </c>
      <c r="U733" s="177">
        <v>44018</v>
      </c>
      <c r="V733" s="177">
        <v>44022</v>
      </c>
      <c r="W733" s="177">
        <v>44025</v>
      </c>
      <c r="X733" s="176">
        <v>47184</v>
      </c>
      <c r="Y733" s="177">
        <v>44033</v>
      </c>
      <c r="Z733" s="415">
        <v>4</v>
      </c>
      <c r="AA733" s="488"/>
      <c r="AB733" s="594"/>
      <c r="AC733" s="595"/>
      <c r="AD733" s="596" t="str">
        <f>IF(AND(AC733&lt;&gt;"",S733&lt;&gt;""),NETWORKDAYS(AC733,S733,#REF!),"")</f>
        <v/>
      </c>
      <c r="AE733" s="596" t="str">
        <f ca="1">IF(AND(AD733="",AC733=""),"",IF(OR(AD733&lt;&gt;"",O733="*CANCELADO"),"",NETWORKDAYS(AC733,TODAY(),#REF!)))</f>
        <v/>
      </c>
      <c r="AF733" s="597" t="str">
        <f>IFERROR(INDEX(produtos_escape2!M:M,MATCH(Controle!H733,produtos_escape2!A:A,0)),"")</f>
        <v>PINÇA KELLY RETA 16cm</v>
      </c>
    </row>
    <row r="734" spans="1:32" ht="14.25" customHeight="1">
      <c r="A734" s="176" t="s">
        <v>7949</v>
      </c>
      <c r="B734" s="176" t="s">
        <v>7207</v>
      </c>
      <c r="C734" s="177">
        <v>44001</v>
      </c>
      <c r="D734" s="176" t="s">
        <v>9048</v>
      </c>
      <c r="E734" s="176" t="s">
        <v>1866</v>
      </c>
      <c r="F734" s="259" t="s">
        <v>9092</v>
      </c>
      <c r="G734" s="176">
        <v>7</v>
      </c>
      <c r="H734" s="178">
        <v>23411</v>
      </c>
      <c r="I734" s="592">
        <f t="shared" si="24"/>
        <v>1</v>
      </c>
      <c r="J734" s="178" t="s">
        <v>816</v>
      </c>
      <c r="K734" s="178" t="s">
        <v>816</v>
      </c>
      <c r="L734" s="275" t="str">
        <f>IF(H:H=0,"",IF(ISERROR(VLOOKUP(H:H,produtos_escape2!$A$2:$B$2794,2,FALSE)),"Código não cadastrado",(VLOOKUP(H:H,produtos_escape2!$A$2:$B$2794,2,FALSE))))</f>
        <v>PINÇA MIXTER 25cm; Aplicação: Instrumental cirúrgico; Material: produto confeccionado em aço inoxidável AISI-420, tamanho 25cm, embalagem plástica individual, constando os dados de identificação, procedência e rastreabilidade, Garantia 10 anos contra defeitos de fabricação, fabricado de acordo com padrões internacionais de qualidade, normas da ABNT, CE. Registro Ministério da Saúde. Tamanho: 25cm; Processo de esterilização: não estéril; Forma de apresentação: embalagem individual: Prazo de validade: 10 anos contra defeitos de fabricação; Unidade de estoque: unidade</v>
      </c>
      <c r="M734" s="593" t="str">
        <f>IF(H:H=0,"",IF(ISERROR(VLOOKUP(H:H,produtos_escape2!$A$2:$D$2794,2,FALSE)),"Código não cadastrado",(VLOOKUP(H:H,produtos_escape2!$A$2:$D$2794,4,FALSE))))</f>
        <v>UN</v>
      </c>
      <c r="N734" s="486">
        <v>20</v>
      </c>
      <c r="O734" s="176" t="s">
        <v>8694</v>
      </c>
      <c r="P734" s="486">
        <v>20</v>
      </c>
      <c r="Q734" s="247">
        <v>86</v>
      </c>
      <c r="R734" s="246">
        <f t="shared" si="23"/>
        <v>1720</v>
      </c>
      <c r="S734" s="177">
        <v>44008</v>
      </c>
      <c r="T734" s="182">
        <v>34617</v>
      </c>
      <c r="U734" s="177">
        <v>44047</v>
      </c>
      <c r="V734" s="177">
        <v>44053</v>
      </c>
      <c r="W734" s="177">
        <v>44055</v>
      </c>
      <c r="X734" s="176">
        <v>63527</v>
      </c>
      <c r="Y734" s="177">
        <v>44061</v>
      </c>
      <c r="Z734" s="415">
        <v>4</v>
      </c>
      <c r="AA734" s="488"/>
      <c r="AB734" s="594"/>
      <c r="AC734" s="595"/>
      <c r="AD734" s="596" t="str">
        <f>IF(AND(AC734&lt;&gt;"",S734&lt;&gt;""),NETWORKDAYS(AC734,S734,#REF!),"")</f>
        <v/>
      </c>
      <c r="AE734" s="596" t="str">
        <f ca="1">IF(AND(AD734="",AC734=""),"",IF(OR(AD734&lt;&gt;"",O734="*CANCELADO"),"",NETWORKDAYS(AC734,TODAY(),#REF!)))</f>
        <v/>
      </c>
      <c r="AF734" s="597" t="str">
        <f>IFERROR(INDEX(produtos_escape2!M:M,MATCH(Controle!H734,produtos_escape2!A:A,0)),"")</f>
        <v>PINÇA MIXTER 25cm</v>
      </c>
    </row>
    <row r="735" spans="1:32" ht="14.25" customHeight="1">
      <c r="A735" s="176" t="s">
        <v>7949</v>
      </c>
      <c r="B735" s="176" t="s">
        <v>7207</v>
      </c>
      <c r="C735" s="177">
        <v>44001</v>
      </c>
      <c r="D735" s="176" t="s">
        <v>9048</v>
      </c>
      <c r="E735" s="176" t="s">
        <v>1866</v>
      </c>
      <c r="F735" s="259" t="s">
        <v>9092</v>
      </c>
      <c r="G735" s="176">
        <v>8</v>
      </c>
      <c r="H735" s="178">
        <v>28745</v>
      </c>
      <c r="I735" s="592">
        <f t="shared" si="24"/>
        <v>1</v>
      </c>
      <c r="J735" s="178" t="s">
        <v>816</v>
      </c>
      <c r="K735" s="178" t="s">
        <v>816</v>
      </c>
      <c r="L735" s="275" t="str">
        <f>IF(H:H=0,"",IF(ISERROR(VLOOKUP(H:H,produtos_escape2!$A$2:$B$2794,2,FALSE)),"Código não cadastrado",(VLOOKUP(H:H,produtos_escape2!$A$2:$B$2794,2,FALSE))))</f>
        <v>Pinça PARAMETRIAL CLAMP, 24cm, em semicurva</v>
      </c>
      <c r="M735" s="593" t="str">
        <f>IF(H:H=0,"",IF(ISERROR(VLOOKUP(H:H,produtos_escape2!$A$2:$D$2794,2,FALSE)),"Código não cadastrado",(VLOOKUP(H:H,produtos_escape2!$A$2:$D$2794,4,FALSE))))</f>
        <v>UN</v>
      </c>
      <c r="N735" s="486">
        <v>5</v>
      </c>
      <c r="O735" s="176" t="s">
        <v>9190</v>
      </c>
      <c r="P735" s="486">
        <v>5</v>
      </c>
      <c r="Q735" s="247">
        <v>440</v>
      </c>
      <c r="R735" s="246">
        <f t="shared" si="23"/>
        <v>2200</v>
      </c>
      <c r="S735" s="177">
        <v>44008</v>
      </c>
      <c r="T735" s="182">
        <v>88935</v>
      </c>
      <c r="U735" s="177">
        <v>44032</v>
      </c>
      <c r="V735" s="177">
        <v>44050</v>
      </c>
      <c r="W735" s="177">
        <v>44050</v>
      </c>
      <c r="X735" s="176">
        <v>63709</v>
      </c>
      <c r="Y735" s="177">
        <v>44061</v>
      </c>
      <c r="Z735" s="415">
        <v>4</v>
      </c>
      <c r="AA735" s="488"/>
      <c r="AB735" s="594"/>
      <c r="AC735" s="595"/>
      <c r="AD735" s="596" t="str">
        <f>IF(AND(AC735&lt;&gt;"",S735&lt;&gt;""),NETWORKDAYS(AC735,S735,#REF!),"")</f>
        <v/>
      </c>
      <c r="AE735" s="596" t="str">
        <f ca="1">IF(AND(AD735="",AC735=""),"",IF(OR(AD735&lt;&gt;"",O735="*CANCELADO"),"",NETWORKDAYS(AC735,TODAY(),#REF!)))</f>
        <v/>
      </c>
      <c r="AF735" s="597" t="str">
        <f>IFERROR(INDEX(produtos_escape2!M:M,MATCH(Controle!H735,produtos_escape2!A:A,0)),"")</f>
        <v>PINÇA PARAMETRIAL 24</v>
      </c>
    </row>
    <row r="736" spans="1:32" ht="14.25" customHeight="1">
      <c r="A736" s="176" t="s">
        <v>7949</v>
      </c>
      <c r="B736" s="176" t="s">
        <v>7207</v>
      </c>
      <c r="C736" s="177">
        <v>44001</v>
      </c>
      <c r="D736" s="176" t="s">
        <v>9048</v>
      </c>
      <c r="E736" s="176" t="s">
        <v>1866</v>
      </c>
      <c r="F736" s="259" t="s">
        <v>9092</v>
      </c>
      <c r="G736" s="176">
        <v>9</v>
      </c>
      <c r="H736" s="178">
        <v>28749</v>
      </c>
      <c r="I736" s="592">
        <f t="shared" si="24"/>
        <v>1</v>
      </c>
      <c r="J736" s="178" t="s">
        <v>816</v>
      </c>
      <c r="K736" s="178" t="s">
        <v>816</v>
      </c>
      <c r="L736" s="275" t="str">
        <f>IF(H:H=0,"",IF(ISERROR(VLOOKUP(H:H,produtos_escape2!$A$2:$B$2794,2,FALSE)),"Código não cadastrado",(VLOOKUP(H:H,produtos_escape2!$A$2:$B$2794,2,FALSE))))</f>
        <v>Pinça PARAMETRIAL CLAMP, 24cm, em curva</v>
      </c>
      <c r="M736" s="593" t="str">
        <f>IF(H:H=0,"",IF(ISERROR(VLOOKUP(H:H,produtos_escape2!$A$2:$D$2794,2,FALSE)),"Código não cadastrado",(VLOOKUP(H:H,produtos_escape2!$A$2:$D$2794,4,FALSE))))</f>
        <v>UN</v>
      </c>
      <c r="N736" s="486">
        <v>5</v>
      </c>
      <c r="O736" s="176" t="s">
        <v>9190</v>
      </c>
      <c r="P736" s="486">
        <v>5</v>
      </c>
      <c r="Q736" s="247">
        <v>440</v>
      </c>
      <c r="R736" s="246">
        <f t="shared" si="23"/>
        <v>2200</v>
      </c>
      <c r="S736" s="177">
        <v>44008</v>
      </c>
      <c r="T736" s="182">
        <v>88935</v>
      </c>
      <c r="U736" s="177">
        <v>44032</v>
      </c>
      <c r="V736" s="177">
        <v>44050</v>
      </c>
      <c r="W736" s="177">
        <v>44050</v>
      </c>
      <c r="X736" s="176">
        <v>63709</v>
      </c>
      <c r="Y736" s="177">
        <v>44061</v>
      </c>
      <c r="Z736" s="415">
        <v>4</v>
      </c>
      <c r="AA736" s="488"/>
      <c r="AB736" s="594"/>
      <c r="AC736" s="595"/>
      <c r="AD736" s="596" t="str">
        <f>IF(AND(AC736&lt;&gt;"",S736&lt;&gt;""),NETWORKDAYS(AC736,S736,#REF!),"")</f>
        <v/>
      </c>
      <c r="AE736" s="596" t="str">
        <f ca="1">IF(AND(AD736="",AC736=""),"",IF(OR(AD736&lt;&gt;"",O736="*CANCELADO"),"",NETWORKDAYS(AC736,TODAY(),#REF!)))</f>
        <v/>
      </c>
      <c r="AF736" s="597" t="str">
        <f>IFERROR(INDEX(produtos_escape2!M:M,MATCH(Controle!H736,produtos_escape2!A:A,0)),"")</f>
        <v>PINÇA PARAMETRIAL 24</v>
      </c>
    </row>
    <row r="737" spans="1:32" ht="14.25" customHeight="1">
      <c r="A737" s="176" t="s">
        <v>7949</v>
      </c>
      <c r="B737" s="176" t="s">
        <v>7207</v>
      </c>
      <c r="C737" s="177">
        <v>44001</v>
      </c>
      <c r="D737" s="176" t="s">
        <v>9048</v>
      </c>
      <c r="E737" s="176" t="s">
        <v>1866</v>
      </c>
      <c r="F737" s="259" t="s">
        <v>9092</v>
      </c>
      <c r="G737" s="176">
        <v>10</v>
      </c>
      <c r="H737" s="178">
        <v>29894</v>
      </c>
      <c r="I737" s="592">
        <f t="shared" si="24"/>
        <v>1</v>
      </c>
      <c r="J737" s="178" t="s">
        <v>816</v>
      </c>
      <c r="K737" s="178" t="s">
        <v>816</v>
      </c>
      <c r="L737" s="275" t="str">
        <f>IF(H:H=0,"",IF(ISERROR(VLOOKUP(H:H,produtos_escape2!$A$2:$B$2794,2,FALSE)),"Código não cadastrado",(VLOOKUP(H:H,produtos_escape2!$A$2:$B$2794,2,FALSE))))</f>
        <v>PINÇA DE SHERON ASSEPSIA 25 CM.</v>
      </c>
      <c r="M737" s="593" t="str">
        <f>IF(H:H=0,"",IF(ISERROR(VLOOKUP(H:H,produtos_escape2!$A$2:$D$2794,2,FALSE)),"Código não cadastrado",(VLOOKUP(H:H,produtos_escape2!$A$2:$D$2794,4,FALSE))))</f>
        <v>UN</v>
      </c>
      <c r="N737" s="486">
        <v>20</v>
      </c>
      <c r="O737" s="176" t="s">
        <v>9183</v>
      </c>
      <c r="P737" s="486">
        <v>20</v>
      </c>
      <c r="Q737" s="247">
        <v>32.1</v>
      </c>
      <c r="R737" s="246">
        <f t="shared" si="23"/>
        <v>642</v>
      </c>
      <c r="S737" s="177">
        <v>44008</v>
      </c>
      <c r="T737" s="182">
        <v>433</v>
      </c>
      <c r="U737" s="177">
        <v>44018</v>
      </c>
      <c r="V737" s="177">
        <v>44022</v>
      </c>
      <c r="W737" s="177">
        <v>44025</v>
      </c>
      <c r="X737" s="176">
        <v>47184</v>
      </c>
      <c r="Y737" s="177">
        <v>44033</v>
      </c>
      <c r="Z737" s="415">
        <v>4</v>
      </c>
      <c r="AA737" s="488"/>
      <c r="AB737" s="594"/>
      <c r="AC737" s="595"/>
      <c r="AD737" s="596" t="str">
        <f>IF(AND(AC737&lt;&gt;"",S737&lt;&gt;""),NETWORKDAYS(AC737,S737,#REF!),"")</f>
        <v/>
      </c>
      <c r="AE737" s="596" t="str">
        <f ca="1">IF(AND(AD737="",AC737=""),"",IF(OR(AD737&lt;&gt;"",O737="*CANCELADO"),"",NETWORKDAYS(AC737,TODAY(),#REF!)))</f>
        <v/>
      </c>
      <c r="AF737" s="597" t="str">
        <f>IFERROR(INDEX(produtos_escape2!M:M,MATCH(Controle!H737,produtos_escape2!A:A,0)),"")</f>
        <v>PINÇA SHERON 25</v>
      </c>
    </row>
    <row r="738" spans="1:32" ht="14.25" customHeight="1">
      <c r="A738" s="176" t="s">
        <v>7949</v>
      </c>
      <c r="B738" s="176" t="s">
        <v>7207</v>
      </c>
      <c r="C738" s="177">
        <v>44001</v>
      </c>
      <c r="D738" s="176" t="s">
        <v>9048</v>
      </c>
      <c r="E738" s="176" t="s">
        <v>1866</v>
      </c>
      <c r="F738" s="259" t="s">
        <v>9092</v>
      </c>
      <c r="G738" s="176">
        <v>11</v>
      </c>
      <c r="H738" s="178">
        <v>202794</v>
      </c>
      <c r="I738" s="592">
        <f t="shared" si="24"/>
        <v>1</v>
      </c>
      <c r="J738" s="178" t="s">
        <v>816</v>
      </c>
      <c r="K738" s="178" t="s">
        <v>816</v>
      </c>
      <c r="L738" s="275" t="str">
        <f>IF(H:H=0,"",IF(ISERROR(VLOOKUP(H:H,produtos_escape2!$A$2:$B$2794,2,FALSE)),"Código não cadastrado",(VLOOKUP(H:H,produtos_escape2!$A$2:$B$2794,2,FALSE))))</f>
        <v>PINÇA PARA CORDÃO UMBILICAL, Aplicação: Apreensão do cordão umbilical, Material: Aço inoxidável AISI, Tamanho 180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 Processo de Esterilização: Não estéril, Forma de apresentação: Unidade, Prazo de Validade: Indeterminado.</v>
      </c>
      <c r="M738" s="593" t="str">
        <f>IF(H:H=0,"",IF(ISERROR(VLOOKUP(H:H,produtos_escape2!$A$2:$D$2794,2,FALSE)),"Código não cadastrado",(VLOOKUP(H:H,produtos_escape2!$A$2:$D$2794,4,FALSE))))</f>
        <v>UN</v>
      </c>
      <c r="N738" s="486">
        <v>60</v>
      </c>
      <c r="O738" s="176" t="s">
        <v>9174</v>
      </c>
      <c r="P738" s="486">
        <v>60</v>
      </c>
      <c r="Q738" s="247">
        <v>45.36</v>
      </c>
      <c r="R738" s="246">
        <f t="shared" si="23"/>
        <v>2721.6</v>
      </c>
      <c r="S738" s="177">
        <v>44008</v>
      </c>
      <c r="T738" s="182">
        <v>10255</v>
      </c>
      <c r="U738" s="177">
        <v>44011</v>
      </c>
      <c r="V738" s="177">
        <v>44014</v>
      </c>
      <c r="W738" s="177">
        <v>44025</v>
      </c>
      <c r="X738" s="176">
        <v>46858</v>
      </c>
      <c r="Y738" s="177">
        <v>44033</v>
      </c>
      <c r="Z738" s="415">
        <v>4</v>
      </c>
      <c r="AA738" s="488"/>
      <c r="AB738" s="594"/>
      <c r="AC738" s="595"/>
      <c r="AD738" s="596" t="str">
        <f>IF(AND(AC738&lt;&gt;"",S738&lt;&gt;""),NETWORKDAYS(AC738,S738,#REF!),"")</f>
        <v/>
      </c>
      <c r="AE738" s="596" t="str">
        <f ca="1">IF(AND(AD738="",AC738=""),"",IF(OR(AD738&lt;&gt;"",O738="*CANCELADO"),"",NETWORKDAYS(AC738,TODAY(),#REF!)))</f>
        <v/>
      </c>
      <c r="AF738" s="597" t="str">
        <f>IFERROR(INDEX(produtos_escape2!M:M,MATCH(Controle!H738,produtos_escape2!A:A,0)),"")</f>
        <v>PINÇA PARA CORDÃO UMBILICAL</v>
      </c>
    </row>
    <row r="739" spans="1:32" ht="14.25" customHeight="1">
      <c r="A739" s="176" t="s">
        <v>7949</v>
      </c>
      <c r="B739" s="176" t="s">
        <v>7207</v>
      </c>
      <c r="C739" s="177">
        <v>44001</v>
      </c>
      <c r="D739" s="176" t="s">
        <v>9048</v>
      </c>
      <c r="E739" s="176" t="s">
        <v>1866</v>
      </c>
      <c r="F739" s="259" t="s">
        <v>9092</v>
      </c>
      <c r="G739" s="176">
        <v>12</v>
      </c>
      <c r="H739" s="178">
        <v>202814</v>
      </c>
      <c r="I739" s="592">
        <f t="shared" si="24"/>
        <v>1</v>
      </c>
      <c r="J739" s="178" t="s">
        <v>816</v>
      </c>
      <c r="K739" s="178" t="s">
        <v>816</v>
      </c>
      <c r="L739" s="275" t="str">
        <f>IF(H:H=0,"",IF(ISERROR(VLOOKUP(H:H,produtos_escape2!$A$2:$B$2794,2,FALSE)),"Código não cadastrado",(VLOOKUP(H:H,produtos_escape2!$A$2:$B$2794,2,FALSE))))</f>
        <v>PINÇA DUVAL COM VÍDEA, Aplicação: Apreensão de tecidos:, Material; Aço inoxidável AISI, Tamanho: 200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Por se tratar de pinça com pastilha de tungstênio:- a junção entre a pastilha e a pinça não deverá apresentar poros, nem falhas;- a pastilha de tungstênio não poderá descolar da pinça com facilidade; - apresentar os anéis dourados para identificar que se trata de pinça com pastilha de tungstênio.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739" s="593" t="str">
        <f>IF(H:H=0,"",IF(ISERROR(VLOOKUP(H:H,produtos_escape2!$A$2:$D$2794,2,FALSE)),"Código não cadastrado",(VLOOKUP(H:H,produtos_escape2!$A$2:$D$2794,4,FALSE))))</f>
        <v>UN</v>
      </c>
      <c r="N739" s="486">
        <v>10</v>
      </c>
      <c r="O739" s="176" t="s">
        <v>8694</v>
      </c>
      <c r="P739" s="486">
        <v>10</v>
      </c>
      <c r="Q739" s="247">
        <v>150</v>
      </c>
      <c r="R739" s="246">
        <f t="shared" si="23"/>
        <v>1500</v>
      </c>
      <c r="S739" s="177">
        <v>44008</v>
      </c>
      <c r="T739" s="182">
        <v>34617</v>
      </c>
      <c r="U739" s="177">
        <v>44047</v>
      </c>
      <c r="V739" s="177">
        <v>44053</v>
      </c>
      <c r="W739" s="177">
        <v>44055</v>
      </c>
      <c r="X739" s="176">
        <v>63527</v>
      </c>
      <c r="Y739" s="177">
        <v>44061</v>
      </c>
      <c r="Z739" s="415">
        <v>4</v>
      </c>
      <c r="AA739" s="488"/>
      <c r="AB739" s="594"/>
      <c r="AC739" s="595"/>
      <c r="AD739" s="596" t="str">
        <f>IF(AND(AC739&lt;&gt;"",S739&lt;&gt;""),NETWORKDAYS(AC739,S739,#REF!),"")</f>
        <v/>
      </c>
      <c r="AE739" s="596" t="str">
        <f ca="1">IF(AND(AD739="",AC739=""),"",IF(OR(AD739&lt;&gt;"",O739="*CANCELADO"),"",NETWORKDAYS(AC739,TODAY(),#REF!)))</f>
        <v/>
      </c>
      <c r="AF739" s="597" t="str">
        <f>IFERROR(INDEX(produtos_escape2!M:M,MATCH(Controle!H739,produtos_escape2!A:A,0)),"")</f>
        <v>PINÇA DUVAL COM VÍDEA</v>
      </c>
    </row>
    <row r="740" spans="1:32" ht="14.25" customHeight="1">
      <c r="A740" s="176" t="s">
        <v>8577</v>
      </c>
      <c r="B740" s="176" t="s">
        <v>3608</v>
      </c>
      <c r="C740" s="177">
        <v>44001</v>
      </c>
      <c r="D740" s="176" t="s">
        <v>9094</v>
      </c>
      <c r="E740" s="176" t="s">
        <v>3009</v>
      </c>
      <c r="F740" s="259" t="s">
        <v>9095</v>
      </c>
      <c r="G740" s="176">
        <v>1</v>
      </c>
      <c r="H740" s="178">
        <v>2809</v>
      </c>
      <c r="I740" s="592">
        <f t="shared" si="24"/>
        <v>1</v>
      </c>
      <c r="J740" s="178" t="s">
        <v>816</v>
      </c>
      <c r="K740" s="178" t="s">
        <v>816</v>
      </c>
      <c r="L740" s="275" t="str">
        <f>IF(H:H=0,"",IF(ISERROR(VLOOKUP(H:H,produtos_escape2!$A$2:$B$2794,2,FALSE)),"Código não cadastrado",(VLOOKUP(H:H,produtos_escape2!$A$2:$B$2794,2,FALSE))))</f>
        <v xml:space="preserve">VECURÔNIO (BROMETO) PÓ LIOFILIZADO INJETÁVEL 10 MG FRASCO AMPOLA </v>
      </c>
      <c r="M740" s="593" t="str">
        <f>IF(H:H=0,"",IF(ISERROR(VLOOKUP(H:H,produtos_escape2!$A$2:$D$2794,2,FALSE)),"Código não cadastrado",(VLOOKUP(H:H,produtos_escape2!$A$2:$D$2794,4,FALSE))))</f>
        <v>FA</v>
      </c>
      <c r="N740" s="486">
        <v>200</v>
      </c>
      <c r="O740" s="176" t="s">
        <v>1868</v>
      </c>
      <c r="P740" s="486"/>
      <c r="Q740" s="247"/>
      <c r="R740" s="246">
        <f t="shared" si="23"/>
        <v>0</v>
      </c>
      <c r="S740" s="177">
        <v>44018</v>
      </c>
      <c r="T740" s="182"/>
      <c r="U740" s="177"/>
      <c r="V740" s="177"/>
      <c r="W740" s="177"/>
      <c r="X740" s="176"/>
      <c r="Y740" s="177"/>
      <c r="Z740" s="415">
        <v>4</v>
      </c>
      <c r="AA740" s="488" t="s">
        <v>7474</v>
      </c>
      <c r="AB740" s="594"/>
      <c r="AC740" s="595"/>
      <c r="AD740" s="596" t="str">
        <f>IF(AND(AC740&lt;&gt;"",S740&lt;&gt;""),NETWORKDAYS(AC740,S740,#REF!),"")</f>
        <v/>
      </c>
      <c r="AE740" s="596" t="str">
        <f ca="1">IF(AND(AD740="",AC740=""),"",IF(OR(AD740&lt;&gt;"",O740="*CANCELADO"),"",NETWORKDAYS(AC740,TODAY(),#REF!)))</f>
        <v/>
      </c>
      <c r="AF740" s="597" t="str">
        <f>IFERROR(INDEX(produtos_escape2!M:M,MATCH(Controle!H740,produtos_escape2!A:A,0)),"")</f>
        <v>VECURONIO 10MG</v>
      </c>
    </row>
    <row r="741" spans="1:32" ht="14.25" customHeight="1">
      <c r="A741" s="176" t="s">
        <v>8576</v>
      </c>
      <c r="B741" s="176" t="s">
        <v>3608</v>
      </c>
      <c r="C741" s="177">
        <v>44001</v>
      </c>
      <c r="D741" s="176" t="s">
        <v>9098</v>
      </c>
      <c r="E741" s="176" t="s">
        <v>1867</v>
      </c>
      <c r="F741" s="259" t="s">
        <v>9099</v>
      </c>
      <c r="G741" s="176">
        <v>1</v>
      </c>
      <c r="H741" s="178">
        <v>92400</v>
      </c>
      <c r="I741" s="592">
        <f t="shared" si="24"/>
        <v>5</v>
      </c>
      <c r="J741" s="178" t="s">
        <v>816</v>
      </c>
      <c r="K741" s="178" t="s">
        <v>816</v>
      </c>
      <c r="L741" s="275"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41" s="593" t="str">
        <f>IF(H:H=0,"",IF(ISERROR(VLOOKUP(H:H,produtos_escape2!$A$2:$D$2794,2,FALSE)),"Código não cadastrado",(VLOOKUP(H:H,produtos_escape2!$A$2:$D$2794,4,FALSE))))</f>
        <v>PAR</v>
      </c>
      <c r="N741" s="486">
        <v>3000</v>
      </c>
      <c r="O741" s="176" t="s">
        <v>7825</v>
      </c>
      <c r="P741" s="486">
        <v>3000</v>
      </c>
      <c r="Q741" s="247">
        <v>1.48</v>
      </c>
      <c r="R741" s="246">
        <f t="shared" si="23"/>
        <v>4440</v>
      </c>
      <c r="S741" s="177">
        <v>44011</v>
      </c>
      <c r="T741" s="182">
        <v>547886</v>
      </c>
      <c r="U741" s="177">
        <v>44011</v>
      </c>
      <c r="V741" s="177">
        <v>44018</v>
      </c>
      <c r="W741" s="177">
        <v>44025</v>
      </c>
      <c r="X741" s="176">
        <v>46929</v>
      </c>
      <c r="Y741" s="177">
        <v>44033</v>
      </c>
      <c r="Z741" s="415">
        <v>4</v>
      </c>
      <c r="AA741" s="488"/>
      <c r="AB741" s="594"/>
      <c r="AC741" s="595"/>
      <c r="AD741" s="596" t="str">
        <f>IF(AND(AC741&lt;&gt;"",S741&lt;&gt;""),NETWORKDAYS(AC741,S741,#REF!),"")</f>
        <v/>
      </c>
      <c r="AE741" s="596" t="str">
        <f ca="1">IF(AND(AD741="",AC741=""),"",IF(OR(AD741&lt;&gt;"",O741="*CANCELADO"),"",NETWORKDAYS(AC741,TODAY(),#REF!)))</f>
        <v/>
      </c>
      <c r="AF741" s="597" t="str">
        <f>IFERROR(INDEX(produtos_escape2!M:M,MATCH(Controle!H741,produtos_escape2!A:A,0)),"")</f>
        <v>LUVA CIRURGICA CONVENCIONAL Nº 8,5</v>
      </c>
    </row>
    <row r="742" spans="1:32" ht="14.25" customHeight="1">
      <c r="A742" s="176" t="s">
        <v>8576</v>
      </c>
      <c r="B742" s="176" t="s">
        <v>3608</v>
      </c>
      <c r="C742" s="177">
        <v>44001</v>
      </c>
      <c r="D742" s="176" t="s">
        <v>9098</v>
      </c>
      <c r="E742" s="176" t="s">
        <v>1867</v>
      </c>
      <c r="F742" s="259" t="s">
        <v>9099</v>
      </c>
      <c r="G742" s="176">
        <v>2</v>
      </c>
      <c r="H742" s="178">
        <v>92410</v>
      </c>
      <c r="I742" s="592">
        <f t="shared" si="24"/>
        <v>7</v>
      </c>
      <c r="J742" s="178" t="s">
        <v>816</v>
      </c>
      <c r="K742" s="178" t="s">
        <v>816</v>
      </c>
      <c r="L742" s="275"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742" s="593" t="str">
        <f>IF(H:H=0,"",IF(ISERROR(VLOOKUP(H:H,produtos_escape2!$A$2:$D$2794,2,FALSE)),"Código não cadastrado",(VLOOKUP(H:H,produtos_escape2!$A$2:$D$2794,4,FALSE))))</f>
        <v>PAR</v>
      </c>
      <c r="N742" s="486">
        <v>3000</v>
      </c>
      <c r="O742" s="176" t="s">
        <v>8923</v>
      </c>
      <c r="P742" s="486">
        <v>3000</v>
      </c>
      <c r="Q742" s="247">
        <v>1.29</v>
      </c>
      <c r="R742" s="246">
        <f t="shared" si="23"/>
        <v>3870</v>
      </c>
      <c r="S742" s="177">
        <v>44011</v>
      </c>
      <c r="T742" s="182">
        <v>3388</v>
      </c>
      <c r="U742" s="177">
        <v>44013</v>
      </c>
      <c r="V742" s="177">
        <v>44014</v>
      </c>
      <c r="W742" s="177">
        <v>44025</v>
      </c>
      <c r="X742" s="176">
        <v>46913</v>
      </c>
      <c r="Y742" s="177">
        <v>44033</v>
      </c>
      <c r="Z742" s="415">
        <v>4</v>
      </c>
      <c r="AA742" s="488"/>
      <c r="AB742" s="594"/>
      <c r="AC742" s="595"/>
      <c r="AD742" s="596" t="str">
        <f>IF(AND(AC742&lt;&gt;"",S742&lt;&gt;""),NETWORKDAYS(AC742,S742,#REF!),"")</f>
        <v/>
      </c>
      <c r="AE742" s="596" t="str">
        <f ca="1">IF(AND(AD742="",AC742=""),"",IF(OR(AD742&lt;&gt;"",O742="*CANCELADO"),"",NETWORKDAYS(AC742,TODAY(),#REF!)))</f>
        <v/>
      </c>
      <c r="AF742" s="597" t="str">
        <f>IFERROR(INDEX(produtos_escape2!M:M,MATCH(Controle!H742,produtos_escape2!A:A,0)),"")</f>
        <v>LUVA CIRURGICA CONVENCIONAL Nº 6,5</v>
      </c>
    </row>
    <row r="743" spans="1:32" ht="14.25" customHeight="1">
      <c r="A743" s="176" t="s">
        <v>7946</v>
      </c>
      <c r="B743" s="176" t="s">
        <v>7207</v>
      </c>
      <c r="C743" s="177">
        <v>44001</v>
      </c>
      <c r="D743" s="176" t="s">
        <v>9100</v>
      </c>
      <c r="E743" s="176" t="s">
        <v>1865</v>
      </c>
      <c r="F743" s="259" t="s">
        <v>9101</v>
      </c>
      <c r="G743" s="176">
        <v>3</v>
      </c>
      <c r="H743" s="178">
        <v>202456</v>
      </c>
      <c r="I743" s="592">
        <f t="shared" si="24"/>
        <v>2</v>
      </c>
      <c r="J743" s="178" t="s">
        <v>816</v>
      </c>
      <c r="K743" s="178" t="s">
        <v>816</v>
      </c>
      <c r="L743" s="275" t="str">
        <f>IF(H:H=0,"",IF(ISERROR(VLOOKUP(H:H,produtos_escape2!$A$2:$B$2794,2,FALSE)),"Código não cadastrado",(VLOOKUP(H:H,produtos_escape2!$A$2:$B$2794,2,FALSE))))</f>
        <v>TESOURA  DE MAYO RETA, Aplicação: Cirurgia Vascular, Material: Aço inoxidável AISI, Tamanho: 220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v>
      </c>
      <c r="M743" s="593" t="str">
        <f>IF(H:H=0,"",IF(ISERROR(VLOOKUP(H:H,produtos_escape2!$A$2:$D$2794,2,FALSE)),"Código não cadastrado",(VLOOKUP(H:H,produtos_escape2!$A$2:$D$2794,4,FALSE))))</f>
        <v>UM</v>
      </c>
      <c r="N743" s="486">
        <v>105</v>
      </c>
      <c r="O743" s="176" t="s">
        <v>1868</v>
      </c>
      <c r="P743" s="486"/>
      <c r="Q743" s="247"/>
      <c r="R743" s="246">
        <f t="shared" si="23"/>
        <v>0</v>
      </c>
      <c r="S743" s="177">
        <v>44076</v>
      </c>
      <c r="T743" s="182"/>
      <c r="U743" s="177"/>
      <c r="V743" s="177"/>
      <c r="W743" s="177"/>
      <c r="X743" s="176"/>
      <c r="Y743" s="177"/>
      <c r="Z743" s="415">
        <v>4</v>
      </c>
      <c r="AA743" s="488"/>
      <c r="AB743" s="594"/>
      <c r="AC743" s="595"/>
      <c r="AD743" s="596" t="str">
        <f>IF(AND(AC743&lt;&gt;"",S743&lt;&gt;""),NETWORKDAYS(AC743,S743,#REF!),"")</f>
        <v/>
      </c>
      <c r="AE743" s="596" t="str">
        <f ca="1">IF(AND(AD743="",AC743=""),"",IF(OR(AD743&lt;&gt;"",O743="*CANCELADO"),"",NETWORKDAYS(AC743,TODAY(),#REF!)))</f>
        <v/>
      </c>
      <c r="AF743" s="597" t="str">
        <f>IFERROR(INDEX(produtos_escape2!M:M,MATCH(Controle!H743,produtos_escape2!A:A,0)),"")</f>
        <v>TESOURA DE MAYO 220</v>
      </c>
    </row>
    <row r="744" spans="1:32" ht="14.25" customHeight="1">
      <c r="A744" s="176" t="s">
        <v>7946</v>
      </c>
      <c r="B744" s="176" t="s">
        <v>7207</v>
      </c>
      <c r="C744" s="177">
        <v>44001</v>
      </c>
      <c r="D744" s="176" t="s">
        <v>9100</v>
      </c>
      <c r="E744" s="176" t="s">
        <v>1865</v>
      </c>
      <c r="F744" s="259" t="s">
        <v>9101</v>
      </c>
      <c r="G744" s="176">
        <v>2</v>
      </c>
      <c r="H744" s="178">
        <v>23391</v>
      </c>
      <c r="I744" s="592">
        <f t="shared" si="24"/>
        <v>2</v>
      </c>
      <c r="J744" s="178" t="s">
        <v>816</v>
      </c>
      <c r="K744" s="178" t="s">
        <v>816</v>
      </c>
      <c r="L744" s="275" t="str">
        <f>IF(H:H=0,"",IF(ISERROR(VLOOKUP(H:H,produtos_escape2!$A$2:$B$2794,2,FALSE)),"Código não cadastrado",(VLOOKUP(H:H,produtos_escape2!$A$2:$B$2794,2,FALSE))))</f>
        <v>TESOURA DE MAYO CURVA 26cm; Aplicação: Instrumental Cirúrgico; Material: Produto confeccionado em aço inoxidável AISI-420, tamanho 16,5 cm, embalagem plástica individual, constando os dados de identificação, procedência e rastreabilidade, Garantia 10 anos contra defeitos de fabricação, fabricado de acordo com padrões internacionais e qualidade, normas da ABNT, CE. Registro Ministério da Saúde; Tamanho: 26cm; Processo de esterelização: não estéril; Forma de apresentação: embalagem individual; Prazo de validade: 10 anos contra defeito de fabricação; Unidade de estoque: unidade</v>
      </c>
      <c r="M744" s="593" t="str">
        <f>IF(H:H=0,"",IF(ISERROR(VLOOKUP(H:H,produtos_escape2!$A$2:$D$2794,2,FALSE)),"Código não cadastrado",(VLOOKUP(H:H,produtos_escape2!$A$2:$D$2794,4,FALSE))))</f>
        <v>UN</v>
      </c>
      <c r="N744" s="486">
        <v>110</v>
      </c>
      <c r="O744" s="176" t="s">
        <v>1868</v>
      </c>
      <c r="P744" s="486"/>
      <c r="Q744" s="247"/>
      <c r="R744" s="246">
        <f t="shared" si="23"/>
        <v>0</v>
      </c>
      <c r="S744" s="177">
        <v>44076</v>
      </c>
      <c r="T744" s="182"/>
      <c r="U744" s="177"/>
      <c r="V744" s="177"/>
      <c r="W744" s="177"/>
      <c r="X744" s="176"/>
      <c r="Y744" s="177"/>
      <c r="Z744" s="415">
        <v>4</v>
      </c>
      <c r="AA744" s="488"/>
      <c r="AB744" s="594"/>
      <c r="AC744" s="595"/>
      <c r="AD744" s="596" t="str">
        <f>IF(AND(AC744&lt;&gt;"",S744&lt;&gt;""),NETWORKDAYS(AC744,S744,#REF!),"")</f>
        <v/>
      </c>
      <c r="AE744" s="596" t="str">
        <f ca="1">IF(AND(AD744="",AC744=""),"",IF(OR(AD744&lt;&gt;"",O744="*CANCELADO"),"",NETWORKDAYS(AC744,TODAY(),#REF!)))</f>
        <v/>
      </c>
      <c r="AF744" s="597" t="str">
        <f>IFERROR(INDEX(produtos_escape2!M:M,MATCH(Controle!H744,produtos_escape2!A:A,0)),"")</f>
        <v>TESOURA DE MAYO 26</v>
      </c>
    </row>
    <row r="745" spans="1:32" ht="14.25" customHeight="1">
      <c r="A745" s="176" t="s">
        <v>7946</v>
      </c>
      <c r="B745" s="176" t="s">
        <v>7207</v>
      </c>
      <c r="C745" s="177">
        <v>44001</v>
      </c>
      <c r="D745" s="176" t="s">
        <v>9100</v>
      </c>
      <c r="E745" s="176" t="s">
        <v>1865</v>
      </c>
      <c r="F745" s="259" t="s">
        <v>9101</v>
      </c>
      <c r="G745" s="176">
        <v>1</v>
      </c>
      <c r="H745" s="178">
        <v>14289</v>
      </c>
      <c r="I745" s="592">
        <f t="shared" si="24"/>
        <v>2</v>
      </c>
      <c r="J745" s="178" t="s">
        <v>816</v>
      </c>
      <c r="K745" s="178" t="s">
        <v>816</v>
      </c>
      <c r="L745" s="275" t="str">
        <f>IF(H:H=0,"",IF(ISERROR(VLOOKUP(H:H,produtos_escape2!$A$2:$B$2794,2,FALSE)),"Código não cadastrado",(VLOOKUP(H:H,produtos_escape2!$A$2:$B$2794,2,FALSE))))</f>
        <v>TESOURA METZEMBAUM RETA, APLICAÇÃO: CIRURGIA VASCULAR, MATERIAL: AÇO INOXIDÁVEL AISI , TAMANHO: 180 MM</v>
      </c>
      <c r="M745" s="593" t="str">
        <f>IF(H:H=0,"",IF(ISERROR(VLOOKUP(H:H,produtos_escape2!$A$2:$D$2794,2,FALSE)),"Código não cadastrado",(VLOOKUP(H:H,produtos_escape2!$A$2:$D$2794,4,FALSE))))</f>
        <v>UN</v>
      </c>
      <c r="N745" s="486">
        <v>40</v>
      </c>
      <c r="O745" s="176" t="s">
        <v>1868</v>
      </c>
      <c r="P745" s="486"/>
      <c r="Q745" s="247"/>
      <c r="R745" s="246">
        <f t="shared" si="23"/>
        <v>0</v>
      </c>
      <c r="S745" s="177">
        <v>44076</v>
      </c>
      <c r="T745" s="182"/>
      <c r="U745" s="177"/>
      <c r="V745" s="177"/>
      <c r="W745" s="177"/>
      <c r="X745" s="176"/>
      <c r="Y745" s="177"/>
      <c r="Z745" s="415">
        <v>4</v>
      </c>
      <c r="AA745" s="488"/>
      <c r="AB745" s="594"/>
      <c r="AC745" s="595"/>
      <c r="AD745" s="596" t="str">
        <f>IF(AND(AC745&lt;&gt;"",S745&lt;&gt;""),NETWORKDAYS(AC745,S745,#REF!),"")</f>
        <v/>
      </c>
      <c r="AE745" s="596" t="str">
        <f ca="1">IF(AND(AD745="",AC745=""),"",IF(OR(AD745&lt;&gt;"",O745="*CANCELADO"),"",NETWORKDAYS(AC745,TODAY(),#REF!)))</f>
        <v/>
      </c>
      <c r="AF745" s="597" t="str">
        <f>IFERROR(INDEX(produtos_escape2!M:M,MATCH(Controle!H745,produtos_escape2!A:A,0)),"")</f>
        <v>TESOURA METZEMBAUM RETA</v>
      </c>
    </row>
    <row r="746" spans="1:32" ht="14.25" customHeight="1">
      <c r="A746" s="176" t="s">
        <v>7946</v>
      </c>
      <c r="B746" s="176" t="s">
        <v>7207</v>
      </c>
      <c r="C746" s="177">
        <v>44001</v>
      </c>
      <c r="D746" s="176" t="s">
        <v>9100</v>
      </c>
      <c r="E746" s="176" t="s">
        <v>1865</v>
      </c>
      <c r="F746" s="259" t="s">
        <v>9101</v>
      </c>
      <c r="G746" s="176">
        <v>4</v>
      </c>
      <c r="H746" s="178">
        <v>202871</v>
      </c>
      <c r="I746" s="592">
        <f t="shared" si="24"/>
        <v>2</v>
      </c>
      <c r="J746" s="178" t="s">
        <v>816</v>
      </c>
      <c r="K746" s="178" t="s">
        <v>816</v>
      </c>
      <c r="L746" s="275" t="str">
        <f>IF(H:H=0,"",IF(ISERROR(VLOOKUP(H:H,produtos_escape2!$A$2:$B$2794,2,FALSE)),"Código não cadastrado",(VLOOKUP(H:H,produtos_escape2!$A$2:$B$2794,2,FALSE))))</f>
        <v>TESOURA METZEMBAUM RETA, Material: Aço inoxidável AISI, Tamanho: 200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746" s="593" t="str">
        <f>IF(H:H=0,"",IF(ISERROR(VLOOKUP(H:H,produtos_escape2!$A$2:$D$2794,2,FALSE)),"Código não cadastrado",(VLOOKUP(H:H,produtos_escape2!$A$2:$D$2794,4,FALSE))))</f>
        <v>UN</v>
      </c>
      <c r="N746" s="486">
        <v>150</v>
      </c>
      <c r="O746" s="176" t="s">
        <v>1868</v>
      </c>
      <c r="P746" s="486"/>
      <c r="Q746" s="247"/>
      <c r="R746" s="246">
        <f t="shared" si="23"/>
        <v>0</v>
      </c>
      <c r="S746" s="177">
        <v>44076</v>
      </c>
      <c r="T746" s="182"/>
      <c r="U746" s="177"/>
      <c r="V746" s="177"/>
      <c r="W746" s="177"/>
      <c r="X746" s="176"/>
      <c r="Y746" s="177"/>
      <c r="Z746" s="415">
        <v>4</v>
      </c>
      <c r="AA746" s="488"/>
      <c r="AB746" s="594"/>
      <c r="AC746" s="595"/>
      <c r="AD746" s="596" t="str">
        <f>IF(AND(AC746&lt;&gt;"",S746&lt;&gt;""),NETWORKDAYS(AC746,S746,#REF!),"")</f>
        <v/>
      </c>
      <c r="AE746" s="596" t="str">
        <f ca="1">IF(AND(AD746="",AC746=""),"",IF(OR(AD746&lt;&gt;"",O746="*CANCELADO"),"",NETWORKDAYS(AC746,TODAY(),#REF!)))</f>
        <v/>
      </c>
      <c r="AF746" s="597" t="str">
        <f>IFERROR(INDEX(produtos_escape2!M:M,MATCH(Controle!H746,produtos_escape2!A:A,0)),"")</f>
        <v>TESOURA METZEMBAUM 200</v>
      </c>
    </row>
    <row r="747" spans="1:32" ht="14.25" customHeight="1">
      <c r="A747" s="176" t="s">
        <v>8580</v>
      </c>
      <c r="B747" s="176" t="s">
        <v>3608</v>
      </c>
      <c r="C747" s="177">
        <v>44004</v>
      </c>
      <c r="D747" s="176" t="s">
        <v>9109</v>
      </c>
      <c r="E747" s="176" t="s">
        <v>3009</v>
      </c>
      <c r="F747" s="259" t="s">
        <v>9110</v>
      </c>
      <c r="G747" s="176">
        <v>1</v>
      </c>
      <c r="H747" s="178">
        <v>25174</v>
      </c>
      <c r="I747" s="592">
        <f t="shared" si="24"/>
        <v>1</v>
      </c>
      <c r="J747" s="178" t="s">
        <v>4381</v>
      </c>
      <c r="K747" s="178" t="s">
        <v>4381</v>
      </c>
      <c r="L747" s="275" t="str">
        <f>IF(H:H=0,"",IF(ISERROR(VLOOKUP(H:H,produtos_escape2!$A$2:$B$2794,2,FALSE)),"Código não cadastrado",(VLOOKUP(H:H,produtos_escape2!$A$2:$B$2794,2,FALSE))))</f>
        <v>CONJUNTO PARA DRENAGEM MEDIASTINAL Nº 38</v>
      </c>
      <c r="M747" s="593" t="str">
        <f>IF(H:H=0,"",IF(ISERROR(VLOOKUP(H:H,produtos_escape2!$A$2:$D$2794,2,FALSE)),"Código não cadastrado",(VLOOKUP(H:H,produtos_escape2!$A$2:$D$2794,4,FALSE))))</f>
        <v>UN</v>
      </c>
      <c r="N747" s="486">
        <v>20</v>
      </c>
      <c r="O747" s="176" t="s">
        <v>7483</v>
      </c>
      <c r="P747" s="486">
        <v>18</v>
      </c>
      <c r="Q747" s="247">
        <v>21.65</v>
      </c>
      <c r="R747" s="246">
        <f t="shared" si="23"/>
        <v>389.7</v>
      </c>
      <c r="S747" s="177">
        <v>44008</v>
      </c>
      <c r="T747" s="182">
        <v>89691</v>
      </c>
      <c r="U747" s="177">
        <v>44012</v>
      </c>
      <c r="V747" s="177">
        <v>44015</v>
      </c>
      <c r="W747" s="177">
        <v>44025</v>
      </c>
      <c r="X747" s="176">
        <v>45845</v>
      </c>
      <c r="Y747" s="177">
        <v>44032</v>
      </c>
      <c r="Z747" s="415">
        <v>4</v>
      </c>
      <c r="AA747" s="488"/>
      <c r="AB747" s="594"/>
      <c r="AC747" s="595"/>
      <c r="AD747" s="596" t="str">
        <f>IF(AND(AC747&lt;&gt;"",S747&lt;&gt;""),NETWORKDAYS(AC747,S747,#REF!),"")</f>
        <v/>
      </c>
      <c r="AE747" s="596" t="str">
        <f ca="1">IF(AND(AD747="",AC747=""),"",IF(OR(AD747&lt;&gt;"",O747="*CANCELADO"),"",NETWORKDAYS(AC747,TODAY(),#REF!)))</f>
        <v/>
      </c>
      <c r="AF747" s="597" t="str">
        <f>IFERROR(INDEX(produtos_escape2!M:M,MATCH(Controle!H747,produtos_escape2!A:A,0)),"")</f>
        <v>CONJUNTO PARA DRENAGEM MEDIASTINAL Nº 38</v>
      </c>
    </row>
    <row r="748" spans="1:32" ht="14.25" customHeight="1">
      <c r="A748" s="176" t="s">
        <v>8580</v>
      </c>
      <c r="B748" s="176" t="s">
        <v>3608</v>
      </c>
      <c r="C748" s="177">
        <v>44004</v>
      </c>
      <c r="D748" s="176" t="s">
        <v>9109</v>
      </c>
      <c r="E748" s="176" t="s">
        <v>3009</v>
      </c>
      <c r="F748" s="259" t="s">
        <v>9110</v>
      </c>
      <c r="G748" s="176">
        <v>2</v>
      </c>
      <c r="H748" s="178">
        <v>25181</v>
      </c>
      <c r="I748" s="592">
        <f t="shared" si="24"/>
        <v>1</v>
      </c>
      <c r="J748" s="178" t="s">
        <v>4381</v>
      </c>
      <c r="K748" s="178" t="s">
        <v>4381</v>
      </c>
      <c r="L748" s="275" t="str">
        <f>IF(H:H=0,"",IF(ISERROR(VLOOKUP(H:H,produtos_escape2!$A$2:$B$2794,2,FALSE)),"Código não cadastrado",(VLOOKUP(H:H,produtos_escape2!$A$2:$B$2794,2,FALSE))))</f>
        <v>CONJUNTO PARA DRENAGEM MEDIASTINAL Nº 40; CAPACIDADE DO FRASCO RESERVATÓRIO 2.000 ML; CONTENDO: 1 DRENO DE TORAX EM PVC ATÓXICO, TRANSPARENTE, FLEXÍVEL, MULTIPERFURADO, RADIOPACO, GRADUAÇÃO CENTIMETRADA E IDENTIFICAÇÃO DO CALIBRE; 1 CONECTOR DE COR T...</v>
      </c>
      <c r="M748" s="593" t="str">
        <f>IF(H:H=0,"",IF(ISERROR(VLOOKUP(H:H,produtos_escape2!$A$2:$D$2794,2,FALSE)),"Código não cadastrado",(VLOOKUP(H:H,produtos_escape2!$A$2:$D$2794,4,FALSE))))</f>
        <v>UN</v>
      </c>
      <c r="N748" s="486">
        <v>20</v>
      </c>
      <c r="O748" s="176" t="s">
        <v>7483</v>
      </c>
      <c r="P748" s="486">
        <v>18</v>
      </c>
      <c r="Q748" s="247">
        <v>21.65</v>
      </c>
      <c r="R748" s="246">
        <f t="shared" si="23"/>
        <v>389.7</v>
      </c>
      <c r="S748" s="177">
        <v>44008</v>
      </c>
      <c r="T748" s="182">
        <v>89691</v>
      </c>
      <c r="U748" s="177">
        <v>44012</v>
      </c>
      <c r="V748" s="177">
        <v>44015</v>
      </c>
      <c r="W748" s="177">
        <v>44025</v>
      </c>
      <c r="X748" s="176">
        <v>45845</v>
      </c>
      <c r="Y748" s="177">
        <v>44032</v>
      </c>
      <c r="Z748" s="415">
        <v>4</v>
      </c>
      <c r="AA748" s="488"/>
      <c r="AB748" s="594"/>
      <c r="AC748" s="595"/>
      <c r="AD748" s="596" t="str">
        <f>IF(AND(AC748&lt;&gt;"",S748&lt;&gt;""),NETWORKDAYS(AC748,S748,#REF!),"")</f>
        <v/>
      </c>
      <c r="AE748" s="596" t="str">
        <f ca="1">IF(AND(AD748="",AC748=""),"",IF(OR(AD748&lt;&gt;"",O748="*CANCELADO"),"",NETWORKDAYS(AC748,TODAY(),#REF!)))</f>
        <v/>
      </c>
      <c r="AF748" s="597" t="str">
        <f>IFERROR(INDEX(produtos_escape2!M:M,MATCH(Controle!H748,produtos_escape2!A:A,0)),"")</f>
        <v>CONJUNTO PARA DERENAGEM MEDIASTINAL N 40</v>
      </c>
    </row>
    <row r="749" spans="1:32" ht="14.25" customHeight="1">
      <c r="A749" s="176" t="s">
        <v>8581</v>
      </c>
      <c r="B749" s="176" t="s">
        <v>3608</v>
      </c>
      <c r="C749" s="177">
        <v>44004</v>
      </c>
      <c r="D749" s="176" t="s">
        <v>9113</v>
      </c>
      <c r="E749" s="176" t="s">
        <v>3009</v>
      </c>
      <c r="F749" s="259" t="s">
        <v>9114</v>
      </c>
      <c r="G749" s="176">
        <v>1</v>
      </c>
      <c r="H749" s="178">
        <v>95774</v>
      </c>
      <c r="I749" s="592">
        <f t="shared" si="24"/>
        <v>4</v>
      </c>
      <c r="J749" s="178" t="s">
        <v>816</v>
      </c>
      <c r="K749" s="178" t="s">
        <v>816</v>
      </c>
      <c r="L749" s="275"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749" s="593" t="str">
        <f>IF(H:H=0,"",IF(ISERROR(VLOOKUP(H:H,produtos_escape2!$A$2:$D$2794,2,FALSE)),"Código não cadastrado",(VLOOKUP(H:H,produtos_escape2!$A$2:$D$2794,4,FALSE))))</f>
        <v>TE</v>
      </c>
      <c r="N749" s="486">
        <v>3500</v>
      </c>
      <c r="O749" s="176" t="s">
        <v>9278</v>
      </c>
      <c r="P749" s="486">
        <v>3015</v>
      </c>
      <c r="Q749" s="247">
        <v>2.33</v>
      </c>
      <c r="R749" s="246">
        <f t="shared" si="23"/>
        <v>7024.95</v>
      </c>
      <c r="S749" s="177">
        <v>44008</v>
      </c>
      <c r="T749" s="182">
        <v>153036</v>
      </c>
      <c r="U749" s="177">
        <v>44012</v>
      </c>
      <c r="V749" s="177">
        <v>44019</v>
      </c>
      <c r="W749" s="177">
        <v>44025</v>
      </c>
      <c r="X749" s="176">
        <v>47270</v>
      </c>
      <c r="Y749" s="177">
        <v>44033</v>
      </c>
      <c r="Z749" s="415">
        <v>4</v>
      </c>
      <c r="AA749" s="488" t="s">
        <v>9119</v>
      </c>
      <c r="AB749" s="594"/>
      <c r="AC749" s="595"/>
      <c r="AD749" s="596" t="str">
        <f>IF(AND(AC749&lt;&gt;"",S749&lt;&gt;""),NETWORKDAYS(AC749,S749,#REF!),"")</f>
        <v/>
      </c>
      <c r="AE749" s="596" t="str">
        <f ca="1">IF(AND(AD749="",AC749=""),"",IF(OR(AD749&lt;&gt;"",O749="*CANCELADO"),"",NETWORKDAYS(AC749,TODAY(),#REF!)))</f>
        <v/>
      </c>
      <c r="AF749" s="597" t="str">
        <f>IFERROR(INDEX(produtos_escape2!M:M,MATCH(Controle!H749,produtos_escape2!A:A,0)),"")</f>
        <v>CONJUNTO PARA DETERMINAÇAO DE AMILASE CINETICO</v>
      </c>
    </row>
    <row r="750" spans="1:32" ht="14.25" customHeight="1">
      <c r="A750" s="176" t="s">
        <v>8581</v>
      </c>
      <c r="B750" s="176" t="s">
        <v>3608</v>
      </c>
      <c r="C750" s="177">
        <v>44004</v>
      </c>
      <c r="D750" s="176" t="s">
        <v>9113</v>
      </c>
      <c r="E750" s="176" t="s">
        <v>3009</v>
      </c>
      <c r="F750" s="259" t="s">
        <v>9114</v>
      </c>
      <c r="G750" s="176">
        <v>2</v>
      </c>
      <c r="H750" s="178">
        <v>95758</v>
      </c>
      <c r="I750" s="592">
        <f t="shared" si="24"/>
        <v>4</v>
      </c>
      <c r="J750" s="178" t="s">
        <v>816</v>
      </c>
      <c r="K750" s="178" t="s">
        <v>816</v>
      </c>
      <c r="L750" s="275"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750" s="593" t="str">
        <f>IF(H:H=0,"",IF(ISERROR(VLOOKUP(H:H,produtos_escape2!$A$2:$D$2794,2,FALSE)),"Código não cadastrado",(VLOOKUP(H:H,produtos_escape2!$A$2:$D$2794,4,FALSE))))</f>
        <v>TE</v>
      </c>
      <c r="N750" s="486">
        <v>3500</v>
      </c>
      <c r="O750" s="176" t="s">
        <v>9278</v>
      </c>
      <c r="P750" s="486">
        <v>2786</v>
      </c>
      <c r="Q750" s="247">
        <v>1.59</v>
      </c>
      <c r="R750" s="246">
        <f t="shared" si="23"/>
        <v>4429.74</v>
      </c>
      <c r="S750" s="177">
        <v>44008</v>
      </c>
      <c r="T750" s="182">
        <v>153036</v>
      </c>
      <c r="U750" s="177">
        <v>44012</v>
      </c>
      <c r="V750" s="177">
        <v>44019</v>
      </c>
      <c r="W750" s="177">
        <v>44025</v>
      </c>
      <c r="X750" s="176">
        <v>47270</v>
      </c>
      <c r="Y750" s="177">
        <v>44033</v>
      </c>
      <c r="Z750" s="415">
        <v>4</v>
      </c>
      <c r="AA750" s="488" t="s">
        <v>9119</v>
      </c>
      <c r="AB750" s="594"/>
      <c r="AC750" s="595"/>
      <c r="AD750" s="596" t="str">
        <f>IF(AND(AC750&lt;&gt;"",S750&lt;&gt;""),NETWORKDAYS(AC750,S750,#REF!),"")</f>
        <v/>
      </c>
      <c r="AE750" s="596" t="str">
        <f ca="1">IF(AND(AD750="",AC750=""),"",IF(OR(AD750&lt;&gt;"",O750="*CANCELADO"),"",NETWORKDAYS(AC750,TODAY(),#REF!)))</f>
        <v/>
      </c>
      <c r="AF750" s="597" t="str">
        <f>IFERROR(INDEX(produtos_escape2!M:M,MATCH(Controle!H750,produtos_escape2!A:A,0)),"")</f>
        <v>CONJUNTO PARA DETERMINAÇÃO DE GAMA GLUTAMIL TRANSFERASE</v>
      </c>
    </row>
    <row r="751" spans="1:32" ht="14.25" customHeight="1">
      <c r="A751" s="176" t="s">
        <v>8581</v>
      </c>
      <c r="B751" s="176" t="s">
        <v>3608</v>
      </c>
      <c r="C751" s="177">
        <v>44004</v>
      </c>
      <c r="D751" s="176" t="s">
        <v>9113</v>
      </c>
      <c r="E751" s="176" t="s">
        <v>3009</v>
      </c>
      <c r="F751" s="259" t="s">
        <v>9114</v>
      </c>
      <c r="G751" s="176">
        <v>3</v>
      </c>
      <c r="H751" s="178">
        <v>95776</v>
      </c>
      <c r="I751" s="592">
        <f t="shared" si="24"/>
        <v>3</v>
      </c>
      <c r="J751" s="178" t="s">
        <v>816</v>
      </c>
      <c r="K751" s="178" t="s">
        <v>816</v>
      </c>
      <c r="L751" s="275"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751" s="593" t="str">
        <f>IF(H:H=0,"",IF(ISERROR(VLOOKUP(H:H,produtos_escape2!$A$2:$D$2794,2,FALSE)),"Código não cadastrado",(VLOOKUP(H:H,produtos_escape2!$A$2:$D$2794,4,FALSE))))</f>
        <v>TE</v>
      </c>
      <c r="N751" s="486">
        <v>4500</v>
      </c>
      <c r="O751" s="176" t="s">
        <v>9278</v>
      </c>
      <c r="P751" s="486">
        <v>3357</v>
      </c>
      <c r="Q751" s="247">
        <v>2.7</v>
      </c>
      <c r="R751" s="246">
        <f t="shared" si="23"/>
        <v>9063.9000000000015</v>
      </c>
      <c r="S751" s="177">
        <v>44008</v>
      </c>
      <c r="T751" s="182">
        <v>153036</v>
      </c>
      <c r="U751" s="177">
        <v>44012</v>
      </c>
      <c r="V751" s="177">
        <v>44019</v>
      </c>
      <c r="W751" s="177">
        <v>44025</v>
      </c>
      <c r="X751" s="176">
        <v>47270</v>
      </c>
      <c r="Y751" s="177">
        <v>44033</v>
      </c>
      <c r="Z751" s="415">
        <v>4</v>
      </c>
      <c r="AA751" s="488" t="s">
        <v>9119</v>
      </c>
      <c r="AB751" s="594"/>
      <c r="AC751" s="595"/>
      <c r="AD751" s="596" t="str">
        <f>IF(AND(AC751&lt;&gt;"",S751&lt;&gt;""),NETWORKDAYS(AC751,S751,#REF!),"")</f>
        <v/>
      </c>
      <c r="AE751" s="596" t="str">
        <f ca="1">IF(AND(AD751="",AC751=""),"",IF(OR(AD751&lt;&gt;"",O751="*CANCELADO"),"",NETWORKDAYS(AC751,TODAY(),#REF!)))</f>
        <v/>
      </c>
      <c r="AF751" s="597" t="str">
        <f>IFERROR(INDEX(produtos_escape2!M:M,MATCH(Controle!H751,produtos_escape2!A:A,0)),"")</f>
        <v>CONJUNTO PARA DETERMINAÇAO DE CK</v>
      </c>
    </row>
    <row r="752" spans="1:32" ht="14.25" customHeight="1">
      <c r="A752" s="176" t="s">
        <v>8581</v>
      </c>
      <c r="B752" s="176" t="s">
        <v>3608</v>
      </c>
      <c r="C752" s="177">
        <v>44004</v>
      </c>
      <c r="D752" s="176" t="s">
        <v>9113</v>
      </c>
      <c r="E752" s="176" t="s">
        <v>3009</v>
      </c>
      <c r="F752" s="259" t="s">
        <v>9114</v>
      </c>
      <c r="G752" s="176">
        <v>4</v>
      </c>
      <c r="H752" s="178">
        <v>95242</v>
      </c>
      <c r="I752" s="592">
        <f t="shared" si="24"/>
        <v>2</v>
      </c>
      <c r="J752" s="178" t="s">
        <v>816</v>
      </c>
      <c r="K752" s="178" t="s">
        <v>816</v>
      </c>
      <c r="L752" s="275" t="str">
        <f>IF(H:H=0,"",IF(ISERROR(VLOOKUP(H:H,produtos_escape2!$A$2:$B$2794,2,FALSE)),"Código não cadastrado",(VLOOKUP(H:H,produtos_escape2!$A$2:$B$2794,2,FALSE))))</f>
        <v xml:space="preserve">CONJUNTO PARA DETERMINAÇAO DE LIPASE. Aplicação:analise bioquimica. |Características adicionais: equipamento automatizado. Forma de Apresentação:conjunto (kit). |Prazo de Validade: 75% do prazo de validade do produto.
</v>
      </c>
      <c r="M752" s="593" t="str">
        <f>IF(H:H=0,"",IF(ISERROR(VLOOKUP(H:H,produtos_escape2!$A$2:$D$2794,2,FALSE)),"Código não cadastrado",(VLOOKUP(H:H,produtos_escape2!$A$2:$D$2794,4,FALSE))))</f>
        <v>TE</v>
      </c>
      <c r="N752" s="486">
        <v>2500</v>
      </c>
      <c r="O752" s="176" t="s">
        <v>9278</v>
      </c>
      <c r="P752" s="486">
        <v>2200</v>
      </c>
      <c r="Q752" s="247">
        <v>4.25</v>
      </c>
      <c r="R752" s="246">
        <f t="shared" si="23"/>
        <v>9350</v>
      </c>
      <c r="S752" s="177">
        <v>44008</v>
      </c>
      <c r="T752" s="182">
        <v>153036</v>
      </c>
      <c r="U752" s="177">
        <v>44012</v>
      </c>
      <c r="V752" s="177">
        <v>44019</v>
      </c>
      <c r="W752" s="177">
        <v>44025</v>
      </c>
      <c r="X752" s="176">
        <v>47270</v>
      </c>
      <c r="Y752" s="177">
        <v>44033</v>
      </c>
      <c r="Z752" s="415">
        <v>4</v>
      </c>
      <c r="AA752" s="488" t="s">
        <v>9119</v>
      </c>
      <c r="AB752" s="594"/>
      <c r="AC752" s="595"/>
      <c r="AD752" s="596" t="str">
        <f>IF(AND(AC752&lt;&gt;"",S752&lt;&gt;""),NETWORKDAYS(AC752,S752,#REF!),"")</f>
        <v/>
      </c>
      <c r="AE752" s="596" t="str">
        <f ca="1">IF(AND(AD752="",AC752=""),"",IF(OR(AD752&lt;&gt;"",O752="*CANCELADO"),"",NETWORKDAYS(AC752,TODAY(),#REF!)))</f>
        <v/>
      </c>
      <c r="AF752" s="597" t="str">
        <f>IFERROR(INDEX(produtos_escape2!M:M,MATCH(Controle!H752,produtos_escape2!A:A,0)),"")</f>
        <v>CONJUNTO PARA DETERMINAÇAO DE LIPASE</v>
      </c>
    </row>
    <row r="753" spans="1:32" ht="14.25" customHeight="1">
      <c r="A753" s="176" t="s">
        <v>8581</v>
      </c>
      <c r="B753" s="176" t="s">
        <v>3608</v>
      </c>
      <c r="C753" s="177">
        <v>44004</v>
      </c>
      <c r="D753" s="176" t="s">
        <v>9113</v>
      </c>
      <c r="E753" s="176" t="s">
        <v>3009</v>
      </c>
      <c r="F753" s="259" t="s">
        <v>9114</v>
      </c>
      <c r="G753" s="176">
        <v>5</v>
      </c>
      <c r="H753" s="178">
        <v>95781</v>
      </c>
      <c r="I753" s="592">
        <f t="shared" si="24"/>
        <v>4</v>
      </c>
      <c r="J753" s="178" t="s">
        <v>816</v>
      </c>
      <c r="K753" s="178" t="s">
        <v>816</v>
      </c>
      <c r="L753" s="275"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753" s="593" t="str">
        <f>IF(H:H=0,"",IF(ISERROR(VLOOKUP(H:H,produtos_escape2!$A$2:$D$2794,2,FALSE)),"Código não cadastrado",(VLOOKUP(H:H,produtos_escape2!$A$2:$D$2794,4,FALSE))))</f>
        <v>TE</v>
      </c>
      <c r="N753" s="486">
        <v>3500</v>
      </c>
      <c r="O753" s="176" t="s">
        <v>9278</v>
      </c>
      <c r="P753" s="486">
        <v>2894</v>
      </c>
      <c r="Q753" s="247">
        <v>1.66</v>
      </c>
      <c r="R753" s="246">
        <f t="shared" si="23"/>
        <v>4804.04</v>
      </c>
      <c r="S753" s="177">
        <v>44008</v>
      </c>
      <c r="T753" s="182">
        <v>153036</v>
      </c>
      <c r="U753" s="177">
        <v>44012</v>
      </c>
      <c r="V753" s="177">
        <v>44019</v>
      </c>
      <c r="W753" s="177">
        <v>44025</v>
      </c>
      <c r="X753" s="176">
        <v>47270</v>
      </c>
      <c r="Y753" s="177">
        <v>44033</v>
      </c>
      <c r="Z753" s="415">
        <v>4</v>
      </c>
      <c r="AA753" s="488" t="s">
        <v>9119</v>
      </c>
      <c r="AB753" s="594"/>
      <c r="AC753" s="595"/>
      <c r="AD753" s="596" t="str">
        <f>IF(AND(AC753&lt;&gt;"",S753&lt;&gt;""),NETWORKDAYS(AC753,S753,#REF!),"")</f>
        <v/>
      </c>
      <c r="AE753" s="596" t="str">
        <f ca="1">IF(AND(AD753="",AC753=""),"",IF(OR(AD753&lt;&gt;"",O753="*CANCELADO"),"",NETWORKDAYS(AC753,TODAY(),#REF!)))</f>
        <v/>
      </c>
      <c r="AF753" s="597" t="str">
        <f>IFERROR(INDEX(produtos_escape2!M:M,MATCH(Controle!H753,produtos_escape2!A:A,0)),"")</f>
        <v>CONJUNTO PARA DETERMINAÇAO DE MAGNESIO</v>
      </c>
    </row>
    <row r="754" spans="1:32" ht="14.25" customHeight="1">
      <c r="A754" s="176" t="s">
        <v>8579</v>
      </c>
      <c r="B754" s="176" t="s">
        <v>3608</v>
      </c>
      <c r="C754" s="177">
        <v>44004</v>
      </c>
      <c r="D754" s="176" t="s">
        <v>9115</v>
      </c>
      <c r="E754" s="176" t="s">
        <v>3009</v>
      </c>
      <c r="F754" s="259" t="s">
        <v>9116</v>
      </c>
      <c r="G754" s="176">
        <v>1</v>
      </c>
      <c r="H754" s="178">
        <v>90551</v>
      </c>
      <c r="I754" s="592">
        <f t="shared" si="24"/>
        <v>5</v>
      </c>
      <c r="J754" s="178" t="s">
        <v>816</v>
      </c>
      <c r="K754" s="178" t="s">
        <v>816</v>
      </c>
      <c r="L754" s="275" t="str">
        <f>IF(H:H=0,"",IF(ISERROR(VLOOKUP(H:H,produtos_escape2!$A$2:$B$2794,2,FALSE)),"Código não cadastrado",(VLOOKUP(H:H,produtos_escape2!$A$2:$B$2794,2,FALSE))))</f>
        <v>BICARBONATO DE SODIO SOLUCAO INJETAVEL 8,4 %        (1 MEQ/ML) FRASCO 250 ML</v>
      </c>
      <c r="M754" s="593" t="str">
        <f>IF(H:H=0,"",IF(ISERROR(VLOOKUP(H:H,produtos_escape2!$A$2:$D$2794,2,FALSE)),"Código não cadastrado",(VLOOKUP(H:H,produtos_escape2!$A$2:$D$2794,4,FALSE))))</f>
        <v>FR</v>
      </c>
      <c r="N754" s="486">
        <v>200</v>
      </c>
      <c r="O754" s="176" t="s">
        <v>1868</v>
      </c>
      <c r="P754" s="486"/>
      <c r="Q754" s="247"/>
      <c r="R754" s="246">
        <f t="shared" si="23"/>
        <v>0</v>
      </c>
      <c r="S754" s="177">
        <v>44018</v>
      </c>
      <c r="T754" s="182"/>
      <c r="U754" s="177"/>
      <c r="V754" s="177"/>
      <c r="W754" s="177"/>
      <c r="X754" s="176"/>
      <c r="Y754" s="177"/>
      <c r="Z754" s="415">
        <v>3</v>
      </c>
      <c r="AA754" s="488" t="s">
        <v>7474</v>
      </c>
      <c r="AB754" s="594"/>
      <c r="AC754" s="595"/>
      <c r="AD754" s="596" t="str">
        <f>IF(AND(AC754&lt;&gt;"",S754&lt;&gt;""),NETWORKDAYS(AC754,S754,#REF!),"")</f>
        <v/>
      </c>
      <c r="AE754" s="596" t="str">
        <f ca="1">IF(AND(AD754="",AC754=""),"",IF(OR(AD754&lt;&gt;"",O754="*CANCELADO"),"",NETWORKDAYS(AC754,TODAY(),#REF!)))</f>
        <v/>
      </c>
      <c r="AF754" s="597" t="str">
        <f>IFERROR(INDEX(produtos_escape2!M:M,MATCH(Controle!H754,produtos_escape2!A:A,0)),"")</f>
        <v>BICARBONATO DE SODIO SOLUCAO INJETAVEL 8</v>
      </c>
    </row>
    <row r="755" spans="1:32" ht="14.25" customHeight="1">
      <c r="A755" s="176" t="s">
        <v>7953</v>
      </c>
      <c r="B755" s="176" t="s">
        <v>7207</v>
      </c>
      <c r="C755" s="177">
        <v>44004</v>
      </c>
      <c r="D755" s="176" t="s">
        <v>9117</v>
      </c>
      <c r="E755" s="176" t="s">
        <v>3009</v>
      </c>
      <c r="F755" s="259" t="s">
        <v>9118</v>
      </c>
      <c r="G755" s="176">
        <v>1</v>
      </c>
      <c r="H755" s="178">
        <v>5221</v>
      </c>
      <c r="I755" s="592">
        <f t="shared" si="24"/>
        <v>4</v>
      </c>
      <c r="J755" s="178" t="s">
        <v>816</v>
      </c>
      <c r="K755" s="178" t="s">
        <v>816</v>
      </c>
      <c r="L755" s="275"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755" s="593" t="str">
        <f>IF(H:H=0,"",IF(ISERROR(VLOOKUP(H:H,produtos_escape2!$A$2:$D$2794,2,FALSE)),"Código não cadastrado",(VLOOKUP(H:H,produtos_escape2!$A$2:$D$2794,4,FALSE))))</f>
        <v>KG</v>
      </c>
      <c r="N755" s="486">
        <v>400</v>
      </c>
      <c r="O755" s="176" t="s">
        <v>9279</v>
      </c>
      <c r="P755" s="486">
        <v>384</v>
      </c>
      <c r="Q755" s="247">
        <v>12</v>
      </c>
      <c r="R755" s="246">
        <f t="shared" si="23"/>
        <v>4608</v>
      </c>
      <c r="S755" s="177">
        <v>44008</v>
      </c>
      <c r="T755" s="182">
        <v>5346</v>
      </c>
      <c r="U755" s="177">
        <v>44034</v>
      </c>
      <c r="V755" s="177">
        <v>44042</v>
      </c>
      <c r="W755" s="177">
        <v>44043</v>
      </c>
      <c r="X755" s="176">
        <v>63718</v>
      </c>
      <c r="Y755" s="177">
        <v>44061</v>
      </c>
      <c r="Z755" s="415">
        <v>4</v>
      </c>
      <c r="AA755" s="488"/>
      <c r="AB755" s="594"/>
      <c r="AC755" s="595"/>
      <c r="AD755" s="596" t="str">
        <f>IF(AND(AC755&lt;&gt;"",S755&lt;&gt;""),NETWORKDAYS(AC755,S755,#REF!),"")</f>
        <v/>
      </c>
      <c r="AE755" s="596" t="str">
        <f ca="1">IF(AND(AD755="",AC755=""),"",IF(OR(AD755&lt;&gt;"",O755="*CANCELADO"),"",NETWORKDAYS(AC755,TODAY(),#REF!)))</f>
        <v/>
      </c>
      <c r="AF755" s="597" t="str">
        <f>IFERROR(INDEX(produtos_escape2!M:M,MATCH(Controle!H755,produtos_escape2!A:A,0)),"")</f>
        <v>SACO PLÁSTICO</v>
      </c>
    </row>
    <row r="756" spans="1:32" ht="14.25" customHeight="1">
      <c r="A756" s="176" t="s">
        <v>8508</v>
      </c>
      <c r="B756" s="176" t="s">
        <v>3608</v>
      </c>
      <c r="C756" s="177">
        <v>44006</v>
      </c>
      <c r="D756" s="176" t="s">
        <v>9121</v>
      </c>
      <c r="E756" s="176" t="s">
        <v>1866</v>
      </c>
      <c r="F756" s="259" t="s">
        <v>9122</v>
      </c>
      <c r="G756" s="176">
        <v>1</v>
      </c>
      <c r="H756" s="178">
        <v>12290</v>
      </c>
      <c r="I756" s="592">
        <f t="shared" si="24"/>
        <v>8</v>
      </c>
      <c r="J756" s="178" t="s">
        <v>816</v>
      </c>
      <c r="K756" s="178" t="s">
        <v>816</v>
      </c>
      <c r="L756" s="275"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756" s="593" t="str">
        <f>IF(H:H=0,"",IF(ISERROR(VLOOKUP(H:H,produtos_escape2!$A$2:$D$2794,2,FALSE)),"Código não cadastrado",(VLOOKUP(H:H,produtos_escape2!$A$2:$D$2794,4,FALSE))))</f>
        <v>UN</v>
      </c>
      <c r="N756" s="486">
        <v>150</v>
      </c>
      <c r="O756" s="176" t="s">
        <v>8556</v>
      </c>
      <c r="P756" s="486">
        <v>29</v>
      </c>
      <c r="Q756" s="247">
        <v>59.9</v>
      </c>
      <c r="R756" s="246">
        <f t="shared" ref="R756:R784" si="25">P756*Q756</f>
        <v>1737.1</v>
      </c>
      <c r="S756" s="177">
        <v>44011</v>
      </c>
      <c r="T756" s="182">
        <v>99269</v>
      </c>
      <c r="U756" s="177">
        <v>44020</v>
      </c>
      <c r="V756" s="177">
        <v>44021</v>
      </c>
      <c r="W756" s="177">
        <v>44029</v>
      </c>
      <c r="X756" s="176">
        <v>54195</v>
      </c>
      <c r="Y756" s="177">
        <v>44046</v>
      </c>
      <c r="Z756" s="415">
        <v>4</v>
      </c>
      <c r="AA756" s="488"/>
      <c r="AB756" s="594"/>
      <c r="AC756" s="595"/>
      <c r="AD756" s="596" t="str">
        <f>IF(AND(AC756&lt;&gt;"",S756&lt;&gt;""),NETWORKDAYS(AC756,S756,#REF!),"")</f>
        <v/>
      </c>
      <c r="AE756" s="596" t="str">
        <f ca="1">IF(AND(AD756="",AC756=""),"",IF(OR(AD756&lt;&gt;"",O756="*CANCELADO"),"",NETWORKDAYS(AC756,TODAY(),#REF!)))</f>
        <v/>
      </c>
      <c r="AF756" s="597" t="str">
        <f>IFERROR(INDEX(produtos_escape2!M:M,MATCH(Controle!H756,produtos_escape2!A:A,0)),"")</f>
        <v>SISTEMA FECHADO DE ASPIRAÇÃO TRAQUEAL VIA TUBO OROTRAQUEAL ADULTO 16 FR</v>
      </c>
    </row>
    <row r="757" spans="1:32" ht="14.25" customHeight="1">
      <c r="A757" s="176" t="s">
        <v>8508</v>
      </c>
      <c r="B757" s="176" t="s">
        <v>3608</v>
      </c>
      <c r="C757" s="177">
        <v>44006</v>
      </c>
      <c r="D757" s="176" t="s">
        <v>9121</v>
      </c>
      <c r="E757" s="176" t="s">
        <v>1866</v>
      </c>
      <c r="F757" s="259" t="s">
        <v>9122</v>
      </c>
      <c r="G757" s="176">
        <v>1</v>
      </c>
      <c r="H757" s="178">
        <v>12290</v>
      </c>
      <c r="I757" s="592">
        <f t="shared" si="24"/>
        <v>8</v>
      </c>
      <c r="J757" s="178" t="s">
        <v>816</v>
      </c>
      <c r="K757" s="178" t="s">
        <v>816</v>
      </c>
      <c r="L757" s="275"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757" s="593" t="str">
        <f>IF(H:H=0,"",IF(ISERROR(VLOOKUP(H:H,produtos_escape2!$A$2:$D$2794,2,FALSE)),"Código não cadastrado",(VLOOKUP(H:H,produtos_escape2!$A$2:$D$2794,4,FALSE))))</f>
        <v>UN</v>
      </c>
      <c r="N757" s="486">
        <v>150</v>
      </c>
      <c r="O757" s="176" t="s">
        <v>8556</v>
      </c>
      <c r="P757" s="486">
        <v>50</v>
      </c>
      <c r="Q757" s="247">
        <v>59.9</v>
      </c>
      <c r="R757" s="246">
        <f t="shared" si="25"/>
        <v>2995</v>
      </c>
      <c r="S757" s="177">
        <v>44011</v>
      </c>
      <c r="T757" s="182">
        <v>100492</v>
      </c>
      <c r="U757" s="177">
        <v>44053</v>
      </c>
      <c r="V757" s="177">
        <v>44054</v>
      </c>
      <c r="W757" s="177">
        <v>44055</v>
      </c>
      <c r="X757" s="176">
        <v>63522</v>
      </c>
      <c r="Y757" s="177">
        <v>44061</v>
      </c>
      <c r="Z757" s="415">
        <v>4</v>
      </c>
      <c r="AA757" s="488"/>
      <c r="AB757" s="594"/>
      <c r="AC757" s="595"/>
      <c r="AD757" s="596" t="str">
        <f>IF(AND(AC757&lt;&gt;"",S757&lt;&gt;""),NETWORKDAYS(AC757,S757,#REF!),"")</f>
        <v/>
      </c>
      <c r="AE757" s="596" t="str">
        <f ca="1">IF(AND(AD757="",AC757=""),"",IF(OR(AD757&lt;&gt;"",O757="*CANCELADO"),"",NETWORKDAYS(AC757,TODAY(),#REF!)))</f>
        <v/>
      </c>
      <c r="AF757" s="597" t="str">
        <f>IFERROR(INDEX(produtos_escape2!M:M,MATCH(Controle!H757,produtos_escape2!A:A,0)),"")</f>
        <v>SISTEMA FECHADO DE ASPIRAÇÃO TRAQUEAL VIA TUBO OROTRAQUEAL ADULTO 16 FR</v>
      </c>
    </row>
    <row r="758" spans="1:32" ht="14.25" customHeight="1">
      <c r="A758" s="176" t="s">
        <v>8508</v>
      </c>
      <c r="B758" s="176" t="s">
        <v>3608</v>
      </c>
      <c r="C758" s="177">
        <v>44006</v>
      </c>
      <c r="D758" s="176" t="s">
        <v>9121</v>
      </c>
      <c r="E758" s="176" t="s">
        <v>1866</v>
      </c>
      <c r="F758" s="259" t="s">
        <v>9122</v>
      </c>
      <c r="G758" s="176">
        <v>1</v>
      </c>
      <c r="H758" s="178">
        <v>12290</v>
      </c>
      <c r="I758" s="592">
        <f t="shared" si="24"/>
        <v>8</v>
      </c>
      <c r="J758" s="178" t="s">
        <v>816</v>
      </c>
      <c r="K758" s="178" t="s">
        <v>816</v>
      </c>
      <c r="L758" s="275"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758" s="593" t="str">
        <f>IF(H:H=0,"",IF(ISERROR(VLOOKUP(H:H,produtos_escape2!$A$2:$D$2794,2,FALSE)),"Código não cadastrado",(VLOOKUP(H:H,produtos_escape2!$A$2:$D$2794,4,FALSE))))</f>
        <v>UN</v>
      </c>
      <c r="N758" s="486">
        <v>150</v>
      </c>
      <c r="O758" s="176" t="s">
        <v>8556</v>
      </c>
      <c r="P758" s="486">
        <f>150-P756-P757</f>
        <v>71</v>
      </c>
      <c r="Q758" s="247">
        <v>59.9</v>
      </c>
      <c r="R758" s="246">
        <f t="shared" si="25"/>
        <v>4252.8999999999996</v>
      </c>
      <c r="S758" s="177">
        <v>44011</v>
      </c>
      <c r="T758" s="182">
        <v>101120</v>
      </c>
      <c r="U758" s="177">
        <v>44070</v>
      </c>
      <c r="V758" s="177">
        <v>44074</v>
      </c>
      <c r="W758" s="177">
        <v>44077</v>
      </c>
      <c r="X758" s="176">
        <v>91497</v>
      </c>
      <c r="Y758" s="177">
        <v>44104</v>
      </c>
      <c r="Z758" s="415">
        <v>5</v>
      </c>
      <c r="AA758" s="488"/>
      <c r="AB758" s="594"/>
      <c r="AC758" s="595"/>
      <c r="AD758" s="596" t="str">
        <f>IF(AND(AC758&lt;&gt;"",S758&lt;&gt;""),NETWORKDAYS(AC758,S758,#REF!),"")</f>
        <v/>
      </c>
      <c r="AE758" s="596" t="str">
        <f ca="1">IF(AND(AD758="",AC758=""),"",IF(OR(AD758&lt;&gt;"",O758="*CANCELADO"),"",NETWORKDAYS(AC758,TODAY(),#REF!)))</f>
        <v/>
      </c>
      <c r="AF758" s="597" t="str">
        <f>IFERROR(INDEX(produtos_escape2!M:M,MATCH(Controle!H758,produtos_escape2!A:A,0)),"")</f>
        <v>SISTEMA FECHADO DE ASPIRAÇÃO TRAQUEAL VIA TUBO OROTRAQUEAL ADULTO 16 FR</v>
      </c>
    </row>
    <row r="759" spans="1:32" ht="14.25" customHeight="1">
      <c r="A759" s="176" t="s">
        <v>8582</v>
      </c>
      <c r="B759" s="176" t="s">
        <v>3608</v>
      </c>
      <c r="C759" s="177">
        <v>44006</v>
      </c>
      <c r="D759" s="176" t="s">
        <v>9123</v>
      </c>
      <c r="E759" s="176" t="s">
        <v>3009</v>
      </c>
      <c r="F759" s="259" t="s">
        <v>9124</v>
      </c>
      <c r="G759" s="176">
        <v>1</v>
      </c>
      <c r="H759" s="178">
        <v>25945</v>
      </c>
      <c r="I759" s="592">
        <f t="shared" si="24"/>
        <v>2</v>
      </c>
      <c r="J759" s="178" t="s">
        <v>816</v>
      </c>
      <c r="K759" s="178" t="s">
        <v>816</v>
      </c>
      <c r="L759" s="275" t="str">
        <f>IF(H:H=0,"",IF(ISERROR(VLOOKUP(H:H,produtos_escape2!$A$2:$B$2794,2,FALSE)),"Código não cadastrado",(VLOOKUP(H:H,produtos_escape2!$A$2:$B$2794,2,FALSE))))</f>
        <v>GRAMPEADOR LINEAR CORTANTE 75-80MM - Grampeador linear cortante 75-80 mm, descartável, carregado, que dispare 4 linhas de grampos para tecidos normais cortando simultaneamente entre a segunda e a terceira linha de grampo. Grampos de titânio aberto com altura entre 3,8 - 4,4 mm e fechado... (COMPATÍVEL COM A CARGA DA MARCA COVIDIEN - devido constar estoque regular).</v>
      </c>
      <c r="M759" s="593" t="str">
        <f>IF(H:H=0,"",IF(ISERROR(VLOOKUP(H:H,produtos_escape2!$A$2:$D$2794,2,FALSE)),"Código não cadastrado",(VLOOKUP(H:H,produtos_escape2!$A$2:$D$2794,4,FALSE))))</f>
        <v>UN</v>
      </c>
      <c r="N759" s="486">
        <v>5</v>
      </c>
      <c r="O759" s="176" t="s">
        <v>7984</v>
      </c>
      <c r="P759" s="486">
        <v>5</v>
      </c>
      <c r="Q759" s="247">
        <v>524</v>
      </c>
      <c r="R759" s="246">
        <f t="shared" si="25"/>
        <v>2620</v>
      </c>
      <c r="S759" s="177">
        <v>44018</v>
      </c>
      <c r="T759" s="182">
        <v>157627</v>
      </c>
      <c r="U759" s="177">
        <v>44020</v>
      </c>
      <c r="V759" s="177">
        <v>44020</v>
      </c>
      <c r="W759" s="177">
        <v>44029</v>
      </c>
      <c r="X759" s="176">
        <v>54250</v>
      </c>
      <c r="Y759" s="177">
        <v>44046</v>
      </c>
      <c r="Z759" s="415">
        <v>4</v>
      </c>
      <c r="AA759" s="612" t="s">
        <v>9125</v>
      </c>
      <c r="AB759" s="594"/>
      <c r="AC759" s="595"/>
      <c r="AD759" s="596" t="str">
        <f>IF(AND(AC759&lt;&gt;"",S759&lt;&gt;""),NETWORKDAYS(AC759,S759,#REF!),"")</f>
        <v/>
      </c>
      <c r="AE759" s="596" t="str">
        <f ca="1">IF(AND(AD759="",AC759=""),"",IF(OR(AD759&lt;&gt;"",O759="*CANCELADO"),"",NETWORKDAYS(AC759,TODAY(),#REF!)))</f>
        <v/>
      </c>
      <c r="AF759" s="597" t="str">
        <f>IFERROR(INDEX(produtos_escape2!M:M,MATCH(Controle!H759,produtos_escape2!A:A,0)),"")</f>
        <v>GRAMPEADOR LINEAR</v>
      </c>
    </row>
    <row r="760" spans="1:32" ht="14.25" customHeight="1">
      <c r="A760" s="176" t="s">
        <v>8509</v>
      </c>
      <c r="B760" s="176" t="s">
        <v>3608</v>
      </c>
      <c r="C760" s="177">
        <v>44006</v>
      </c>
      <c r="D760" s="176" t="s">
        <v>9126</v>
      </c>
      <c r="E760" s="176" t="s">
        <v>1867</v>
      </c>
      <c r="F760" s="259" t="s">
        <v>9127</v>
      </c>
      <c r="G760" s="176">
        <v>1</v>
      </c>
      <c r="H760" s="178">
        <v>5312</v>
      </c>
      <c r="I760" s="592">
        <f t="shared" si="24"/>
        <v>3</v>
      </c>
      <c r="J760" s="178" t="s">
        <v>816</v>
      </c>
      <c r="K760" s="178" t="s">
        <v>816</v>
      </c>
      <c r="L760" s="275" t="str">
        <f>IF(H:H=0,"",IF(ISERROR(VLOOKUP(H:H,produtos_escape2!$A$2:$B$2794,2,FALSE)),"Código não cadastrado",(VLOOKUP(H:H,produtos_escape2!$A$2:$B$2794,2,FALSE))))</f>
        <v>GABAPENTINA CAPSULA 300MG</v>
      </c>
      <c r="M760" s="593" t="str">
        <f>IF(H:H=0,"",IF(ISERROR(VLOOKUP(H:H,produtos_escape2!$A$2:$D$2794,2,FALSE)),"Código não cadastrado",(VLOOKUP(H:H,produtos_escape2!$A$2:$D$2794,4,FALSE))))</f>
        <v>CS</v>
      </c>
      <c r="N760" s="486">
        <v>300</v>
      </c>
      <c r="O760" s="176" t="s">
        <v>7371</v>
      </c>
      <c r="P760" s="486">
        <v>300</v>
      </c>
      <c r="Q760" s="247">
        <v>1.39</v>
      </c>
      <c r="R760" s="246">
        <f t="shared" si="25"/>
        <v>416.99999999999994</v>
      </c>
      <c r="S760" s="177">
        <v>44011</v>
      </c>
      <c r="T760" s="182">
        <v>346122</v>
      </c>
      <c r="U760" s="177">
        <v>44011</v>
      </c>
      <c r="V760" s="177">
        <v>44012</v>
      </c>
      <c r="W760" s="177">
        <v>44042</v>
      </c>
      <c r="X760" s="176">
        <v>45761</v>
      </c>
      <c r="Y760" s="177">
        <v>44032</v>
      </c>
      <c r="Z760" s="415">
        <v>4</v>
      </c>
      <c r="AA760" s="488"/>
      <c r="AB760" s="594"/>
      <c r="AC760" s="595"/>
      <c r="AD760" s="596" t="str">
        <f>IF(AND(AC760&lt;&gt;"",S760&lt;&gt;""),NETWORKDAYS(AC760,S760,#REF!),"")</f>
        <v/>
      </c>
      <c r="AE760" s="596" t="str">
        <f ca="1">IF(AND(AD760="",AC760=""),"",IF(OR(AD760&lt;&gt;"",O760="*CANCELADO"),"",NETWORKDAYS(AC760,TODAY(),#REF!)))</f>
        <v/>
      </c>
      <c r="AF760" s="597" t="str">
        <f>IFERROR(INDEX(produtos_escape2!M:M,MATCH(Controle!H760,produtos_escape2!A:A,0)),"")</f>
        <v>GABAPENTINA CAPSULA 300MG</v>
      </c>
    </row>
    <row r="761" spans="1:32" ht="14.25" customHeight="1">
      <c r="A761" s="176" t="s">
        <v>8510</v>
      </c>
      <c r="B761" s="176" t="s">
        <v>3608</v>
      </c>
      <c r="C761" s="177">
        <v>44006</v>
      </c>
      <c r="D761" s="176" t="s">
        <v>9128</v>
      </c>
      <c r="E761" s="176" t="s">
        <v>1865</v>
      </c>
      <c r="F761" s="259" t="s">
        <v>9129</v>
      </c>
      <c r="G761" s="176">
        <v>1</v>
      </c>
      <c r="H761" s="178">
        <v>90124</v>
      </c>
      <c r="I761" s="592">
        <f t="shared" si="24"/>
        <v>2</v>
      </c>
      <c r="J761" s="178" t="s">
        <v>816</v>
      </c>
      <c r="K761" s="178" t="s">
        <v>816</v>
      </c>
      <c r="L761" s="275" t="str">
        <f>IF(H:H=0,"",IF(ISERROR(VLOOKUP(H:H,produtos_escape2!$A$2:$B$2794,2,FALSE)),"Código não cadastrado",(VLOOKUP(H:H,produtos_escape2!$A$2:$B$2794,2,FALSE))))</f>
        <v xml:space="preserve">HALOPERIDOL COMPRIMIDO 5 MG </v>
      </c>
      <c r="M761" s="593" t="str">
        <f>IF(H:H=0,"",IF(ISERROR(VLOOKUP(H:H,produtos_escape2!$A$2:$D$2794,2,FALSE)),"Código não cadastrado",(VLOOKUP(H:H,produtos_escape2!$A$2:$D$2794,4,FALSE))))</f>
        <v>CP</v>
      </c>
      <c r="N761" s="486">
        <v>400</v>
      </c>
      <c r="O761" s="176" t="s">
        <v>4401</v>
      </c>
      <c r="P761" s="486">
        <v>400</v>
      </c>
      <c r="Q761" s="247">
        <v>0.19900000000000001</v>
      </c>
      <c r="R761" s="246">
        <f t="shared" si="25"/>
        <v>79.600000000000009</v>
      </c>
      <c r="S761" s="177">
        <v>44013</v>
      </c>
      <c r="T761" s="182">
        <v>2668838</v>
      </c>
      <c r="U761" s="177">
        <v>44027</v>
      </c>
      <c r="V761" s="177">
        <v>44032</v>
      </c>
      <c r="W761" s="177">
        <v>44033</v>
      </c>
      <c r="X761" s="176">
        <v>53880</v>
      </c>
      <c r="Y761" s="177">
        <v>44046</v>
      </c>
      <c r="Z761" s="415">
        <v>4</v>
      </c>
      <c r="AA761" s="488"/>
      <c r="AB761" s="594"/>
      <c r="AC761" s="595"/>
      <c r="AD761" s="596" t="str">
        <f>IF(AND(AC761&lt;&gt;"",S761&lt;&gt;""),NETWORKDAYS(AC761,S761,#REF!),"")</f>
        <v/>
      </c>
      <c r="AE761" s="596" t="str">
        <f ca="1">IF(AND(AD761="",AC761=""),"",IF(OR(AD761&lt;&gt;"",O761="*CANCELADO"),"",NETWORKDAYS(AC761,TODAY(),#REF!)))</f>
        <v/>
      </c>
      <c r="AF761" s="597" t="str">
        <f>IFERROR(INDEX(produtos_escape2!M:M,MATCH(Controle!H761,produtos_escape2!A:A,0)),"")</f>
        <v xml:space="preserve">HALOPERIDOL COMPRIMIDO 5 MG </v>
      </c>
    </row>
    <row r="762" spans="1:32" ht="14.25" customHeight="1">
      <c r="A762" s="176" t="s">
        <v>8524</v>
      </c>
      <c r="B762" s="176" t="s">
        <v>3608</v>
      </c>
      <c r="C762" s="177">
        <v>44006</v>
      </c>
      <c r="D762" s="176" t="s">
        <v>9130</v>
      </c>
      <c r="E762" s="176" t="s">
        <v>1866</v>
      </c>
      <c r="F762" s="259" t="s">
        <v>9131</v>
      </c>
      <c r="G762" s="176">
        <v>1</v>
      </c>
      <c r="H762" s="178">
        <v>90861</v>
      </c>
      <c r="I762" s="592">
        <f t="shared" si="24"/>
        <v>4</v>
      </c>
      <c r="J762" s="178" t="s">
        <v>816</v>
      </c>
      <c r="K762" s="178" t="s">
        <v>816</v>
      </c>
      <c r="L762" s="275" t="str">
        <f>IF(H:H=0,"",IF(ISERROR(VLOOKUP(H:H,produtos_escape2!$A$2:$B$2794,2,FALSE)),"Código não cadastrado",(VLOOKUP(H:H,produtos_escape2!$A$2:$B$2794,2,FALSE))))</f>
        <v xml:space="preserve">NALOXONA (CLORIDRAT0) SOLUÇÃO INJETÁVEL 0,4 MG/ML AMPOLA 1 ML </v>
      </c>
      <c r="M762" s="593" t="str">
        <f>IF(H:H=0,"",IF(ISERROR(VLOOKUP(H:H,produtos_escape2!$A$2:$D$2794,2,FALSE)),"Código não cadastrado",(VLOOKUP(H:H,produtos_escape2!$A$2:$D$2794,4,FALSE))))</f>
        <v>AMP</v>
      </c>
      <c r="N762" s="486">
        <v>60</v>
      </c>
      <c r="O762" s="176" t="s">
        <v>2989</v>
      </c>
      <c r="P762" s="486">
        <v>60</v>
      </c>
      <c r="Q762" s="247">
        <v>6.35</v>
      </c>
      <c r="R762" s="246">
        <f t="shared" si="25"/>
        <v>381</v>
      </c>
      <c r="S762" s="177">
        <v>44008</v>
      </c>
      <c r="T762" s="182">
        <v>123600</v>
      </c>
      <c r="U762" s="177">
        <v>44011</v>
      </c>
      <c r="V762" s="177">
        <v>44013</v>
      </c>
      <c r="W762" s="177">
        <v>44013</v>
      </c>
      <c r="X762" s="176">
        <v>45753</v>
      </c>
      <c r="Y762" s="177">
        <v>44032</v>
      </c>
      <c r="Z762" s="415">
        <v>4</v>
      </c>
      <c r="AA762" s="488"/>
      <c r="AB762" s="594"/>
      <c r="AC762" s="595"/>
      <c r="AD762" s="596" t="str">
        <f>IF(AND(AC762&lt;&gt;"",S762&lt;&gt;""),NETWORKDAYS(AC762,S762,#REF!),"")</f>
        <v/>
      </c>
      <c r="AE762" s="596" t="str">
        <f ca="1">IF(AND(AD762="",AC762=""),"",IF(OR(AD762&lt;&gt;"",O762="*CANCELADO"),"",NETWORKDAYS(AC762,TODAY(),#REF!)))</f>
        <v/>
      </c>
      <c r="AF762" s="597" t="str">
        <f>IFERROR(INDEX(produtos_escape2!M:M,MATCH(Controle!H762,produtos_escape2!A:A,0)),"")</f>
        <v>NALOXONA (CLORIDRAT0) SOLUÇÃO INJETÁVEL 0</v>
      </c>
    </row>
    <row r="763" spans="1:32" ht="14.25" customHeight="1">
      <c r="A763" s="176" t="s">
        <v>8525</v>
      </c>
      <c r="B763" s="176" t="s">
        <v>3608</v>
      </c>
      <c r="C763" s="177">
        <v>44006</v>
      </c>
      <c r="D763" s="176" t="s">
        <v>9132</v>
      </c>
      <c r="E763" s="176" t="s">
        <v>3009</v>
      </c>
      <c r="F763" s="259" t="s">
        <v>9133</v>
      </c>
      <c r="G763" s="176">
        <v>1</v>
      </c>
      <c r="H763" s="178">
        <v>10960</v>
      </c>
      <c r="I763" s="592">
        <f t="shared" si="24"/>
        <v>5</v>
      </c>
      <c r="J763" s="178" t="s">
        <v>816</v>
      </c>
      <c r="K763" s="178" t="s">
        <v>816</v>
      </c>
      <c r="L763" s="275" t="str">
        <f>IF(H:H=0,"",IF(ISERROR(VLOOKUP(H:H,produtos_escape2!$A$2:$B$2794,2,FALSE)),"Código não cadastrado",(VLOOKUP(H:H,produtos_escape2!$A$2:$B$2794,2,FALSE))))</f>
        <v>HIPOCLORITO DE SODIO A 1% FRASCO PLASTICO ESCURO 5000 ML</v>
      </c>
      <c r="M763" s="593" t="str">
        <f>IF(H:H=0,"",IF(ISERROR(VLOOKUP(H:H,produtos_escape2!$A$2:$D$2794,2,FALSE)),"Código não cadastrado",(VLOOKUP(H:H,produtos_escape2!$A$2:$D$2794,4,FALSE))))</f>
        <v>FR</v>
      </c>
      <c r="N763" s="486">
        <v>120</v>
      </c>
      <c r="O763" s="176" t="s">
        <v>7826</v>
      </c>
      <c r="P763" s="486">
        <v>120</v>
      </c>
      <c r="Q763" s="247">
        <v>8.4700000000000006</v>
      </c>
      <c r="R763" s="246">
        <f t="shared" si="25"/>
        <v>1016.4000000000001</v>
      </c>
      <c r="S763" s="177">
        <v>44008</v>
      </c>
      <c r="T763" s="182">
        <v>2982</v>
      </c>
      <c r="U763" s="177">
        <v>44020</v>
      </c>
      <c r="V763" s="177">
        <v>44022</v>
      </c>
      <c r="W763" s="177">
        <v>44029</v>
      </c>
      <c r="X763" s="176">
        <v>53963</v>
      </c>
      <c r="Y763" s="177">
        <v>44046</v>
      </c>
      <c r="Z763" s="415">
        <v>4</v>
      </c>
      <c r="AA763" s="488"/>
      <c r="AB763" s="594"/>
      <c r="AC763" s="595"/>
      <c r="AD763" s="596" t="str">
        <f>IF(AND(AC763&lt;&gt;"",S763&lt;&gt;""),NETWORKDAYS(AC763,S763,#REF!),"")</f>
        <v/>
      </c>
      <c r="AE763" s="596" t="str">
        <f ca="1">IF(AND(AD763="",AC763=""),"",IF(OR(AD763&lt;&gt;"",O763="*CANCELADO"),"",NETWORKDAYS(AC763,TODAY(),#REF!)))</f>
        <v/>
      </c>
      <c r="AF763" s="597" t="str">
        <f>IFERROR(INDEX(produtos_escape2!M:M,MATCH(Controle!H763,produtos_escape2!A:A,0)),"")</f>
        <v>HIPOCLORITO DE SODIO A 1% FRASCO PLASTICO ESCURO 5000 ML</v>
      </c>
    </row>
    <row r="764" spans="1:32" ht="14.25" customHeight="1">
      <c r="A764" s="176" t="s">
        <v>7959</v>
      </c>
      <c r="B764" s="176" t="s">
        <v>7207</v>
      </c>
      <c r="C764" s="177">
        <v>44006</v>
      </c>
      <c r="D764" s="176" t="s">
        <v>9134</v>
      </c>
      <c r="E764" s="176" t="s">
        <v>1867</v>
      </c>
      <c r="F764" s="259" t="s">
        <v>9135</v>
      </c>
      <c r="G764" s="176">
        <v>1</v>
      </c>
      <c r="H764" s="178">
        <v>65666</v>
      </c>
      <c r="I764" s="592">
        <f t="shared" si="24"/>
        <v>3</v>
      </c>
      <c r="J764" s="178" t="s">
        <v>816</v>
      </c>
      <c r="K764" s="178" t="s">
        <v>816</v>
      </c>
      <c r="L764" s="275"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764" s="593" t="str">
        <f>IF(H:H=0,"",IF(ISERROR(VLOOKUP(H:H,produtos_escape2!$A$2:$D$2794,2,FALSE)),"Código não cadastrado",(VLOOKUP(H:H,produtos_escape2!$A$2:$D$2794,4,FALSE))))</f>
        <v>MH</v>
      </c>
      <c r="N764" s="486">
        <v>300</v>
      </c>
      <c r="O764" s="176" t="s">
        <v>3671</v>
      </c>
      <c r="P764" s="486">
        <v>300</v>
      </c>
      <c r="Q764" s="247">
        <v>14.8</v>
      </c>
      <c r="R764" s="246">
        <f t="shared" si="25"/>
        <v>4440</v>
      </c>
      <c r="S764" s="177">
        <v>44011</v>
      </c>
      <c r="T764" s="182">
        <v>725</v>
      </c>
      <c r="U764" s="177">
        <v>44012</v>
      </c>
      <c r="V764" s="177">
        <v>44014</v>
      </c>
      <c r="W764" s="177">
        <v>44014</v>
      </c>
      <c r="X764" s="176">
        <v>46929</v>
      </c>
      <c r="Y764" s="177">
        <v>44033</v>
      </c>
      <c r="Z764" s="415">
        <v>4</v>
      </c>
      <c r="AA764" s="488"/>
      <c r="AB764" s="594"/>
      <c r="AC764" s="595"/>
      <c r="AD764" s="596" t="str">
        <f>IF(AND(AC764&lt;&gt;"",S764&lt;&gt;""),NETWORKDAYS(AC764,S764,#REF!),"")</f>
        <v/>
      </c>
      <c r="AE764" s="596" t="str">
        <f ca="1">IF(AND(AD764="",AC764=""),"",IF(OR(AD764&lt;&gt;"",O764="*CANCELADO"),"",NETWORKDAYS(AC764,TODAY(),#REF!)))</f>
        <v/>
      </c>
      <c r="AF764" s="597" t="str">
        <f>IFERROR(INDEX(produtos_escape2!M:M,MATCH(Controle!H764,produtos_escape2!A:A,0)),"")</f>
        <v>ETIQUETA AUTO-ADESIVA para FARMÁCIA</v>
      </c>
    </row>
    <row r="765" spans="1:32" ht="14.25" customHeight="1">
      <c r="A765" s="176" t="s">
        <v>7957</v>
      </c>
      <c r="B765" s="176" t="s">
        <v>7207</v>
      </c>
      <c r="C765" s="177">
        <v>44006</v>
      </c>
      <c r="D765" s="176" t="s">
        <v>9136</v>
      </c>
      <c r="E765" s="176" t="s">
        <v>1866</v>
      </c>
      <c r="F765" s="259" t="s">
        <v>9137</v>
      </c>
      <c r="G765" s="176">
        <v>1</v>
      </c>
      <c r="H765" s="178">
        <v>12176</v>
      </c>
      <c r="I765" s="592">
        <f t="shared" si="24"/>
        <v>1</v>
      </c>
      <c r="J765" s="178" t="s">
        <v>816</v>
      </c>
      <c r="K765" s="178" t="s">
        <v>816</v>
      </c>
      <c r="L765" s="275" t="str">
        <f>IF(H:H=0,"",IF(ISERROR(VLOOKUP(H:H,produtos_escape2!$A$2:$B$2794,2,FALSE)),"Código não cadastrado",(VLOOKUP(H:H,produtos_escape2!$A$2:$B$2794,2,FALSE))))</f>
        <v>Reanimador/Ressuscitador manual adulto em silicone (tipo Ambú - BMV) - Aplicação: ventilação pulmonar manual; Composição: máscara facial, balão de ventilação, reservatório para oxigênio, conectores e válvulas. Material: máscara facial - sendo o coxim em silicone e o bojo em policarbonato ou material similar de alta resistência a impacto; balão de ventilação - em silicone resistente com capacidade para + ou - 1500ml; reservatório para oxigênio - confeccionado em material maleável e resistente com capacidade compatível com o tamanho adulto; válvulas/conectores - em policarbonato transparente ou material similar de alta resistência a impacto. Características adicionais: o produto deverá oferecer fácil manuseio; ser totalmente desmontável e lavável; AUTOCLAVÁVEL; apresentar balão maleável com válvulas/conectores que garanta segurança na assistência ventilatória manual ao paciente; válvula de segurança da pressão do ar insuflável que ofereça perfeito ajuste a máscara ou ao tubo orotraqueal , com fluxo uniderecional que impeça a reinalação de gases; válvula de admissão de oxigênio ajustável a fonte com disposito que impeça o escape de ar no momento da insuflação. Apresentação: acondicionado em bolsa individual. Código SES: 12176
**ENVIAR IMAGENS E DESCRITIVO DETELHADO DO ITEM COTADO.**</v>
      </c>
      <c r="M765" s="593" t="str">
        <f>IF(H:H=0,"",IF(ISERROR(VLOOKUP(H:H,produtos_escape2!$A$2:$D$2794,2,FALSE)),"Código não cadastrado",(VLOOKUP(H:H,produtos_escape2!$A$2:$D$2794,4,FALSE))))</f>
        <v>UN</v>
      </c>
      <c r="N765" s="486">
        <v>40</v>
      </c>
      <c r="O765" s="176" t="s">
        <v>8252</v>
      </c>
      <c r="P765" s="486">
        <v>30</v>
      </c>
      <c r="Q765" s="247">
        <v>213.25</v>
      </c>
      <c r="R765" s="246">
        <f t="shared" si="25"/>
        <v>6397.5</v>
      </c>
      <c r="S765" s="177">
        <v>44011</v>
      </c>
      <c r="T765" s="182">
        <v>5647</v>
      </c>
      <c r="U765" s="177">
        <v>44012</v>
      </c>
      <c r="V765" s="177">
        <v>44013</v>
      </c>
      <c r="W765" s="177">
        <v>44025</v>
      </c>
      <c r="X765" s="176">
        <v>46998</v>
      </c>
      <c r="Y765" s="177">
        <v>44033</v>
      </c>
      <c r="Z765" s="415">
        <v>4</v>
      </c>
      <c r="AA765" s="488"/>
      <c r="AB765" s="594"/>
      <c r="AC765" s="595"/>
      <c r="AD765" s="596" t="str">
        <f>IF(AND(AC765&lt;&gt;"",S765&lt;&gt;""),NETWORKDAYS(AC765,S765,#REF!),"")</f>
        <v/>
      </c>
      <c r="AE765" s="596" t="str">
        <f ca="1">IF(AND(AD765="",AC765=""),"",IF(OR(AD765&lt;&gt;"",O765="*CANCELADO"),"",NETWORKDAYS(AC765,TODAY(),#REF!)))</f>
        <v/>
      </c>
      <c r="AF765" s="597" t="str">
        <f>IFERROR(INDEX(produtos_escape2!M:M,MATCH(Controle!H765,produtos_escape2!A:A,0)),"")</f>
        <v>Reanimador/Ressuscitador manual adulto em silicone (tipo Ambú - BMV) - Aplicação</v>
      </c>
    </row>
    <row r="766" spans="1:32" ht="14.25" customHeight="1">
      <c r="A766" s="176" t="s">
        <v>7903</v>
      </c>
      <c r="B766" s="176" t="s">
        <v>7207</v>
      </c>
      <c r="C766" s="177">
        <v>44006</v>
      </c>
      <c r="D766" s="176" t="s">
        <v>9138</v>
      </c>
      <c r="E766" s="176" t="s">
        <v>3009</v>
      </c>
      <c r="F766" s="259" t="s">
        <v>9139</v>
      </c>
      <c r="G766" s="176">
        <v>1</v>
      </c>
      <c r="H766" s="178">
        <v>2219</v>
      </c>
      <c r="I766" s="592">
        <f t="shared" si="24"/>
        <v>1</v>
      </c>
      <c r="J766" s="178" t="s">
        <v>816</v>
      </c>
      <c r="K766" s="178" t="s">
        <v>816</v>
      </c>
      <c r="L766" s="275" t="str">
        <f>IF(H:H=0,"",IF(ISERROR(VLOOKUP(H:H,produtos_escape2!$A$2:$B$2794,2,FALSE)),"Código não cadastrado",(VLOOKUP(H:H,produtos_escape2!$A$2:$B$2794,2,FALSE))))</f>
        <v>JOGO DE CHAVES DE FENDA,Haste: em aço cromo vanadio, temperado, Acabamento: niquelado, Ponta: fosfatizada, Cabo :  em PVC Características Adicionais: 01 de 03 x 125 mm (1/8 x 5 pol);  01 de 05 x 125 mm ( 3/16 x 5 pol ) e 01 de 06 x 100 mm ( 1/4 x 4 pol).</v>
      </c>
      <c r="M766" s="593" t="str">
        <f>IF(H:H=0,"",IF(ISERROR(VLOOKUP(H:H,produtos_escape2!$A$2:$D$2794,2,FALSE)),"Código não cadastrado",(VLOOKUP(H:H,produtos_escape2!$A$2:$D$2794,4,FALSE))))</f>
        <v>JG</v>
      </c>
      <c r="N766" s="486">
        <v>2</v>
      </c>
      <c r="O766" s="176" t="s">
        <v>7202</v>
      </c>
      <c r="P766" s="486">
        <v>2</v>
      </c>
      <c r="Q766" s="247">
        <v>49.99</v>
      </c>
      <c r="R766" s="246">
        <f t="shared" si="25"/>
        <v>99.98</v>
      </c>
      <c r="S766" s="177">
        <v>44018</v>
      </c>
      <c r="T766" s="182">
        <v>126</v>
      </c>
      <c r="U766" s="177">
        <v>44025</v>
      </c>
      <c r="V766" s="177">
        <v>44026</v>
      </c>
      <c r="W766" s="177">
        <v>44029</v>
      </c>
      <c r="X766" s="176">
        <v>53882</v>
      </c>
      <c r="Y766" s="177">
        <v>44046</v>
      </c>
      <c r="Z766" s="415">
        <v>4</v>
      </c>
      <c r="AA766" s="488"/>
      <c r="AB766" s="594"/>
      <c r="AC766" s="595"/>
      <c r="AD766" s="596" t="str">
        <f>IF(AND(AC766&lt;&gt;"",S766&lt;&gt;""),NETWORKDAYS(AC766,S766,#REF!),"")</f>
        <v/>
      </c>
      <c r="AE766" s="596" t="str">
        <f ca="1">IF(AND(AD766="",AC766=""),"",IF(OR(AD766&lt;&gt;"",O766="*CANCELADO"),"",NETWORKDAYS(AC766,TODAY(),#REF!)))</f>
        <v/>
      </c>
      <c r="AF766" s="597" t="str">
        <f>IFERROR(INDEX(produtos_escape2!M:M,MATCH(Controle!H766,produtos_escape2!A:A,0)),"")</f>
        <v>JOGO CHAVE FENDA</v>
      </c>
    </row>
    <row r="767" spans="1:32" ht="14.25" customHeight="1">
      <c r="A767" s="176" t="s">
        <v>8526</v>
      </c>
      <c r="B767" s="176" t="s">
        <v>3608</v>
      </c>
      <c r="C767" s="177">
        <v>44006</v>
      </c>
      <c r="D767" s="176" t="s">
        <v>9144</v>
      </c>
      <c r="E767" s="176" t="s">
        <v>1867</v>
      </c>
      <c r="F767" s="259" t="s">
        <v>9145</v>
      </c>
      <c r="G767" s="176">
        <v>1</v>
      </c>
      <c r="H767" s="178">
        <v>90261</v>
      </c>
      <c r="I767" s="592">
        <f t="shared" si="24"/>
        <v>5</v>
      </c>
      <c r="J767" s="178" t="s">
        <v>816</v>
      </c>
      <c r="K767" s="178" t="s">
        <v>816</v>
      </c>
      <c r="L767" s="275" t="str">
        <f>IF(H:H=0,"",IF(ISERROR(VLOOKUP(H:H,produtos_escape2!$A$2:$B$2794,2,FALSE)),"Código não cadastrado",(VLOOKUP(H:H,produtos_escape2!$A$2:$B$2794,2,FALSE))))</f>
        <v>DOPAMINA (CLORIDRATO) SOLUCAO INJETAVEL 5 MG/ML AMPOLA 10 ML</v>
      </c>
      <c r="M767" s="593" t="str">
        <f>IF(H:H=0,"",IF(ISERROR(VLOOKUP(H:H,produtos_escape2!$A$2:$D$2794,2,FALSE)),"Código não cadastrado",(VLOOKUP(H:H,produtos_escape2!$A$2:$D$2794,4,FALSE))))</f>
        <v>AMP</v>
      </c>
      <c r="N767" s="486">
        <v>100</v>
      </c>
      <c r="O767" s="176" t="s">
        <v>4401</v>
      </c>
      <c r="P767" s="486">
        <v>100</v>
      </c>
      <c r="Q767" s="247">
        <v>2.39</v>
      </c>
      <c r="R767" s="246">
        <f t="shared" si="25"/>
        <v>239</v>
      </c>
      <c r="S767" s="177">
        <v>44012</v>
      </c>
      <c r="T767" s="182">
        <v>2697002</v>
      </c>
      <c r="U767" s="177">
        <v>44053</v>
      </c>
      <c r="V767" s="177">
        <v>44055</v>
      </c>
      <c r="W767" s="177">
        <v>44057</v>
      </c>
      <c r="X767" s="176">
        <v>71346</v>
      </c>
      <c r="Y767" s="177">
        <v>44075</v>
      </c>
      <c r="Z767" s="415">
        <v>5</v>
      </c>
      <c r="AA767" s="488"/>
      <c r="AB767" s="594"/>
      <c r="AC767" s="595"/>
      <c r="AD767" s="596" t="str">
        <f>IF(AND(AC767&lt;&gt;"",S767&lt;&gt;""),NETWORKDAYS(AC767,S767,#REF!),"")</f>
        <v/>
      </c>
      <c r="AE767" s="596" t="str">
        <f ca="1">IF(AND(AD767="",AC767=""),"",IF(OR(AD767&lt;&gt;"",O767="*CANCELADO"),"",NETWORKDAYS(AC767,TODAY(),#REF!)))</f>
        <v/>
      </c>
      <c r="AF767" s="597" t="str">
        <f>IFERROR(INDEX(produtos_escape2!M:M,MATCH(Controle!H767,produtos_escape2!A:A,0)),"")</f>
        <v>DOPAMINA (CLORIDRATO) SOLUCAO INJETAVEL 5 MG/ML AMPOLA 10 ML</v>
      </c>
    </row>
    <row r="768" spans="1:32" ht="14.25" customHeight="1">
      <c r="A768" s="176" t="s">
        <v>8527</v>
      </c>
      <c r="B768" s="176" t="s">
        <v>3608</v>
      </c>
      <c r="C768" s="177">
        <v>44006</v>
      </c>
      <c r="D768" s="176" t="s">
        <v>9146</v>
      </c>
      <c r="E768" s="176" t="s">
        <v>1865</v>
      </c>
      <c r="F768" s="259" t="s">
        <v>9147</v>
      </c>
      <c r="G768" s="176">
        <v>1</v>
      </c>
      <c r="H768" s="178">
        <v>90259</v>
      </c>
      <c r="I768" s="592">
        <f t="shared" si="24"/>
        <v>5</v>
      </c>
      <c r="J768" s="178" t="s">
        <v>816</v>
      </c>
      <c r="K768" s="178" t="s">
        <v>816</v>
      </c>
      <c r="L768" s="275" t="str">
        <f>IF(H:H=0,"",IF(ISERROR(VLOOKUP(H:H,produtos_escape2!$A$2:$B$2794,2,FALSE)),"Código não cadastrado",(VLOOKUP(H:H,produtos_escape2!$A$2:$B$2794,2,FALSE))))</f>
        <v>AZITROMICINA PO PARA SOLUCAO INJETAVEL 500 MG FRASCO AMPOLA</v>
      </c>
      <c r="M768" s="593" t="str">
        <f>IF(H:H=0,"",IF(ISERROR(VLOOKUP(H:H,produtos_escape2!$A$2:$D$2794,2,FALSE)),"Código não cadastrado",(VLOOKUP(H:H,produtos_escape2!$A$2:$D$2794,4,FALSE))))</f>
        <v>AMP</v>
      </c>
      <c r="N768" s="486">
        <v>250</v>
      </c>
      <c r="O768" s="176" t="s">
        <v>4401</v>
      </c>
      <c r="P768" s="486">
        <v>250</v>
      </c>
      <c r="Q768" s="247">
        <v>75.5</v>
      </c>
      <c r="R768" s="246">
        <f t="shared" si="25"/>
        <v>18875</v>
      </c>
      <c r="S768" s="177">
        <v>44013</v>
      </c>
      <c r="T768" s="182">
        <v>2667786</v>
      </c>
      <c r="U768" s="177">
        <v>44026</v>
      </c>
      <c r="V768" s="177">
        <v>44028</v>
      </c>
      <c r="W768" s="177">
        <v>44029</v>
      </c>
      <c r="X768" s="176">
        <v>54650</v>
      </c>
      <c r="Y768" s="177">
        <v>44046</v>
      </c>
      <c r="Z768" s="415">
        <v>4</v>
      </c>
      <c r="AA768" s="488"/>
      <c r="AB768" s="594"/>
      <c r="AC768" s="595"/>
      <c r="AD768" s="596" t="str">
        <f>IF(AND(AC768&lt;&gt;"",S768&lt;&gt;""),NETWORKDAYS(AC768,S768,#REF!),"")</f>
        <v/>
      </c>
      <c r="AE768" s="596" t="str">
        <f ca="1">IF(AND(AD768="",AC768=""),"",IF(OR(AD768&lt;&gt;"",O768="*CANCELADO"),"",NETWORKDAYS(AC768,TODAY(),#REF!)))</f>
        <v/>
      </c>
      <c r="AF768" s="597" t="str">
        <f>IFERROR(INDEX(produtos_escape2!M:M,MATCH(Controle!H768,produtos_escape2!A:A,0)),"")</f>
        <v>AZITROMICINA PO PARA SOLUCAO INJETAVEL 500 MG FRASCO AMPOLA</v>
      </c>
    </row>
    <row r="769" spans="1:32" ht="14.25" customHeight="1">
      <c r="A769" s="176" t="s">
        <v>8528</v>
      </c>
      <c r="B769" s="176" t="s">
        <v>3608</v>
      </c>
      <c r="C769" s="177">
        <v>44006</v>
      </c>
      <c r="D769" s="176" t="s">
        <v>9148</v>
      </c>
      <c r="E769" s="176" t="s">
        <v>1866</v>
      </c>
      <c r="F769" s="259" t="s">
        <v>9149</v>
      </c>
      <c r="G769" s="176">
        <v>1</v>
      </c>
      <c r="H769" s="178">
        <v>90315</v>
      </c>
      <c r="I769" s="592">
        <f t="shared" si="24"/>
        <v>5</v>
      </c>
      <c r="J769" s="178" t="s">
        <v>816</v>
      </c>
      <c r="K769" s="178" t="s">
        <v>816</v>
      </c>
      <c r="L769" s="275" t="str">
        <f>IF(H:H=0,"",IF(ISERROR(VLOOKUP(H:H,produtos_escape2!$A$2:$B$2794,2,FALSE)),"Código não cadastrado",(VLOOKUP(H:H,produtos_escape2!$A$2:$B$2794,2,FALSE))))</f>
        <v>CEFEPIMA PO PARA SOLUCAO INJETAVEL 1 G FRASCO-AMPOLA</v>
      </c>
      <c r="M769" s="593" t="str">
        <f>IF(H:H=0,"",IF(ISERROR(VLOOKUP(H:H,produtos_escape2!$A$2:$D$2794,2,FALSE)),"Código não cadastrado",(VLOOKUP(H:H,produtos_escape2!$A$2:$D$2794,4,FALSE))))</f>
        <v>AMP</v>
      </c>
      <c r="N769" s="486">
        <v>1000</v>
      </c>
      <c r="O769" s="176" t="s">
        <v>7371</v>
      </c>
      <c r="P769" s="486">
        <v>400</v>
      </c>
      <c r="Q769" s="247">
        <v>40</v>
      </c>
      <c r="R769" s="246">
        <f t="shared" si="25"/>
        <v>16000</v>
      </c>
      <c r="S769" s="177">
        <v>44011</v>
      </c>
      <c r="T769" s="182">
        <v>345789</v>
      </c>
      <c r="U769" s="177">
        <v>44011</v>
      </c>
      <c r="V769" s="177">
        <v>44011</v>
      </c>
      <c r="W769" s="177">
        <v>44012</v>
      </c>
      <c r="X769" s="176">
        <v>47224</v>
      </c>
      <c r="Y769" s="177">
        <v>44033</v>
      </c>
      <c r="Z769" s="415">
        <v>4</v>
      </c>
      <c r="AA769" s="488"/>
      <c r="AB769" s="594"/>
      <c r="AC769" s="595"/>
      <c r="AD769" s="596" t="str">
        <f>IF(AND(AC769&lt;&gt;"",S769&lt;&gt;""),NETWORKDAYS(AC769,S769,#REF!),"")</f>
        <v/>
      </c>
      <c r="AE769" s="596" t="str">
        <f ca="1">IF(AND(AD769="",AC769=""),"",IF(OR(AD769&lt;&gt;"",O769="*CANCELADO"),"",NETWORKDAYS(AC769,TODAY(),#REF!)))</f>
        <v/>
      </c>
      <c r="AF769" s="597" t="str">
        <f>IFERROR(INDEX(produtos_escape2!M:M,MATCH(Controle!H769,produtos_escape2!A:A,0)),"")</f>
        <v>CEFEPIMA PO PARA SOLUCAO INJETAVEL 1 G FRASCO-AMPOLA</v>
      </c>
    </row>
    <row r="770" spans="1:32" ht="14.25" customHeight="1">
      <c r="A770" s="176" t="s">
        <v>8529</v>
      </c>
      <c r="B770" s="176" t="s">
        <v>3608</v>
      </c>
      <c r="C770" s="177">
        <v>44006</v>
      </c>
      <c r="D770" s="176" t="s">
        <v>9150</v>
      </c>
      <c r="E770" s="176" t="s">
        <v>3009</v>
      </c>
      <c r="F770" s="259" t="s">
        <v>9151</v>
      </c>
      <c r="G770" s="176">
        <v>1</v>
      </c>
      <c r="H770" s="178">
        <v>90424</v>
      </c>
      <c r="I770" s="592">
        <f t="shared" si="24"/>
        <v>2</v>
      </c>
      <c r="J770" s="178" t="s">
        <v>816</v>
      </c>
      <c r="K770" s="178" t="s">
        <v>816</v>
      </c>
      <c r="L770" s="275" t="str">
        <f>IF(H:H=0,"",IF(ISERROR(VLOOKUP(H:H,produtos_escape2!$A$2:$B$2794,2,FALSE)),"Código não cadastrado",(VLOOKUP(H:H,produtos_escape2!$A$2:$B$2794,2,FALSE))))</f>
        <v>ENOXAPARINA SODICA SOLUCAO INJETAVEL 100 MG SERINGA PREENCHIDA 1 ML</v>
      </c>
      <c r="M770" s="593" t="str">
        <f>IF(H:H=0,"",IF(ISERROR(VLOOKUP(H:H,produtos_escape2!$A$2:$D$2794,2,FALSE)),"Código não cadastrado",(VLOOKUP(H:H,produtos_escape2!$A$2:$D$2794,4,FALSE))))</f>
        <v>UN</v>
      </c>
      <c r="N770" s="486">
        <v>70</v>
      </c>
      <c r="O770" s="176" t="s">
        <v>1868</v>
      </c>
      <c r="P770" s="486"/>
      <c r="Q770" s="247"/>
      <c r="R770" s="246">
        <f t="shared" si="25"/>
        <v>0</v>
      </c>
      <c r="S770" s="177">
        <v>44018</v>
      </c>
      <c r="T770" s="182"/>
      <c r="U770" s="177"/>
      <c r="V770" s="177"/>
      <c r="W770" s="177"/>
      <c r="X770" s="176"/>
      <c r="Y770" s="177"/>
      <c r="Z770" s="415">
        <v>4</v>
      </c>
      <c r="AA770" s="488" t="s">
        <v>7474</v>
      </c>
      <c r="AB770" s="594"/>
      <c r="AC770" s="595"/>
      <c r="AD770" s="596" t="str">
        <f>IF(AND(AC770&lt;&gt;"",S770&lt;&gt;""),NETWORKDAYS(AC770,S770,#REF!),"")</f>
        <v/>
      </c>
      <c r="AE770" s="596" t="str">
        <f ca="1">IF(AND(AD770="",AC770=""),"",IF(OR(AD770&lt;&gt;"",O770="*CANCELADO"),"",NETWORKDAYS(AC770,TODAY(),#REF!)))</f>
        <v/>
      </c>
      <c r="AF770" s="597" t="str">
        <f>IFERROR(INDEX(produtos_escape2!M:M,MATCH(Controle!H770,produtos_escape2!A:A,0)),"")</f>
        <v>ENOXAPARINA SODICA SOLUCAO INJETAVEL 100 MG SERINGA PREENCHIDA 1 ML</v>
      </c>
    </row>
    <row r="771" spans="1:32" ht="14.25" customHeight="1">
      <c r="A771" s="176" t="s">
        <v>8530</v>
      </c>
      <c r="B771" s="176" t="s">
        <v>3608</v>
      </c>
      <c r="C771" s="177">
        <v>44006</v>
      </c>
      <c r="D771" s="176" t="s">
        <v>9152</v>
      </c>
      <c r="E771" s="176" t="s">
        <v>1867</v>
      </c>
      <c r="F771" s="259" t="s">
        <v>9153</v>
      </c>
      <c r="G771" s="176">
        <v>1</v>
      </c>
      <c r="H771" s="178">
        <v>90203</v>
      </c>
      <c r="I771" s="592">
        <f t="shared" ref="I771:I834" si="26">COUNTIF($H$3:$H$3041,H771)</f>
        <v>5</v>
      </c>
      <c r="J771" s="178" t="s">
        <v>816</v>
      </c>
      <c r="K771" s="178" t="s">
        <v>816</v>
      </c>
      <c r="L771" s="275" t="str">
        <f>IF(H:H=0,"",IF(ISERROR(VLOOKUP(H:H,produtos_escape2!$A$2:$B$2794,2,FALSE)),"Código não cadastrado",(VLOOKUP(H:H,produtos_escape2!$A$2:$B$2794,2,FALSE))))</f>
        <v>OMEPRAZOL PO LIOFILIZADO PARA SOLUCAO INJETAVEL 40 MG FRASCO AMPOLA + SOLUCAO DILUENTE (AMPOLA 10 ML)</v>
      </c>
      <c r="M771" s="593" t="str">
        <f>IF(H:H=0,"",IF(ISERROR(VLOOKUP(H:H,produtos_escape2!$A$2:$D$2794,2,FALSE)),"Código não cadastrado",(VLOOKUP(H:H,produtos_escape2!$A$2:$D$2794,4,FALSE))))</f>
        <v>AMP</v>
      </c>
      <c r="N771" s="486">
        <v>500</v>
      </c>
      <c r="O771" s="176" t="s">
        <v>7825</v>
      </c>
      <c r="P771" s="486">
        <v>500</v>
      </c>
      <c r="Q771" s="247">
        <v>23.95</v>
      </c>
      <c r="R771" s="246">
        <f t="shared" si="25"/>
        <v>11975</v>
      </c>
      <c r="S771" s="177">
        <v>44011</v>
      </c>
      <c r="T771" s="182">
        <v>548030</v>
      </c>
      <c r="U771" s="177">
        <v>44012</v>
      </c>
      <c r="V771" s="177">
        <v>44018</v>
      </c>
      <c r="W771" s="177">
        <v>44025</v>
      </c>
      <c r="X771" s="176">
        <v>47195</v>
      </c>
      <c r="Y771" s="177">
        <v>44033</v>
      </c>
      <c r="Z771" s="415">
        <v>4</v>
      </c>
      <c r="AA771" s="488"/>
      <c r="AB771" s="594"/>
      <c r="AC771" s="595"/>
      <c r="AD771" s="596" t="str">
        <f>IF(AND(AC771&lt;&gt;"",S771&lt;&gt;""),NETWORKDAYS(AC771,S771,#REF!),"")</f>
        <v/>
      </c>
      <c r="AE771" s="596" t="str">
        <f ca="1">IF(AND(AD771="",AC771=""),"",IF(OR(AD771&lt;&gt;"",O771="*CANCELADO"),"",NETWORKDAYS(AC771,TODAY(),#REF!)))</f>
        <v/>
      </c>
      <c r="AF771" s="597" t="str">
        <f>IFERROR(INDEX(produtos_escape2!M:M,MATCH(Controle!H771,produtos_escape2!A:A,0)),"")</f>
        <v>OMEPRAZOL PO LIOFILIZADO PARA SOLUCAO INJETAVEL 40 MG FRASCO AMPOLA + SOLUCAO DILUENTE (AMPOLA 10 ML)</v>
      </c>
    </row>
    <row r="772" spans="1:32" ht="14.25" customHeight="1">
      <c r="A772" s="176" t="s">
        <v>8531</v>
      </c>
      <c r="B772" s="176" t="s">
        <v>3608</v>
      </c>
      <c r="C772" s="177">
        <v>44006</v>
      </c>
      <c r="D772" s="176" t="s">
        <v>9154</v>
      </c>
      <c r="E772" s="176" t="s">
        <v>1865</v>
      </c>
      <c r="F772" s="259" t="s">
        <v>9155</v>
      </c>
      <c r="G772" s="176">
        <v>1</v>
      </c>
      <c r="H772" s="178">
        <v>90255</v>
      </c>
      <c r="I772" s="592">
        <f t="shared" si="26"/>
        <v>8</v>
      </c>
      <c r="J772" s="178" t="s">
        <v>816</v>
      </c>
      <c r="K772" s="178" t="s">
        <v>816</v>
      </c>
      <c r="L772" s="275" t="str">
        <f>IF(H:H=0,"",IF(ISERROR(VLOOKUP(H:H,produtos_escape2!$A$2:$B$2794,2,FALSE)),"Código não cadastrado",(VLOOKUP(H:H,produtos_escape2!$A$2:$B$2794,2,FALSE))))</f>
        <v>BROMOPRIDA SOLUCAO INJETAVEL 5MG/ML AMPOLA 2ML</v>
      </c>
      <c r="M772" s="593" t="str">
        <f>IF(H:H=0,"",IF(ISERROR(VLOOKUP(H:H,produtos_escape2!$A$2:$D$2794,2,FALSE)),"Código não cadastrado",(VLOOKUP(H:H,produtos_escape2!$A$2:$D$2794,4,FALSE))))</f>
        <v>AMP</v>
      </c>
      <c r="N772" s="486">
        <v>800</v>
      </c>
      <c r="O772" s="176" t="s">
        <v>7371</v>
      </c>
      <c r="P772" s="486">
        <v>800</v>
      </c>
      <c r="Q772" s="247">
        <v>1.23</v>
      </c>
      <c r="R772" s="246">
        <f t="shared" si="25"/>
        <v>984</v>
      </c>
      <c r="S772" s="177">
        <v>44011</v>
      </c>
      <c r="T772" s="182">
        <v>347135</v>
      </c>
      <c r="U772" s="177">
        <v>44013</v>
      </c>
      <c r="V772" s="177">
        <v>44014</v>
      </c>
      <c r="W772" s="177">
        <v>44015</v>
      </c>
      <c r="X772" s="176">
        <v>46030</v>
      </c>
      <c r="Y772" s="177">
        <v>44032</v>
      </c>
      <c r="Z772" s="415">
        <v>4</v>
      </c>
      <c r="AA772" s="488"/>
      <c r="AB772" s="594"/>
      <c r="AC772" s="595"/>
      <c r="AD772" s="596" t="str">
        <f>IF(AND(AC772&lt;&gt;"",S772&lt;&gt;""),NETWORKDAYS(AC772,S772,#REF!),"")</f>
        <v/>
      </c>
      <c r="AE772" s="596" t="str">
        <f ca="1">IF(AND(AD772="",AC772=""),"",IF(OR(AD772&lt;&gt;"",O772="*CANCELADO"),"",NETWORKDAYS(AC772,TODAY(),#REF!)))</f>
        <v/>
      </c>
      <c r="AF772" s="597" t="str">
        <f>IFERROR(INDEX(produtos_escape2!M:M,MATCH(Controle!H772,produtos_escape2!A:A,0)),"")</f>
        <v>BROMOPRIDA</v>
      </c>
    </row>
    <row r="773" spans="1:32" ht="14.25" customHeight="1">
      <c r="A773" s="176" t="s">
        <v>7960</v>
      </c>
      <c r="B773" s="176" t="s">
        <v>7207</v>
      </c>
      <c r="C773" s="177">
        <v>44006</v>
      </c>
      <c r="D773" s="176" t="s">
        <v>9156</v>
      </c>
      <c r="E773" s="176" t="s">
        <v>1866</v>
      </c>
      <c r="F773" s="259" t="s">
        <v>9157</v>
      </c>
      <c r="G773" s="176">
        <v>1</v>
      </c>
      <c r="H773" s="178">
        <v>200724</v>
      </c>
      <c r="I773" s="592">
        <f t="shared" si="26"/>
        <v>4</v>
      </c>
      <c r="J773" s="178" t="s">
        <v>816</v>
      </c>
      <c r="K773" s="178" t="s">
        <v>816</v>
      </c>
      <c r="L773" s="275" t="str">
        <f>IF(H:H=0,"",IF(ISERROR(VLOOKUP(H:H,produtos_escape2!$A$2:$B$2794,2,FALSE)),"Código não cadastrado",(VLOOKUP(H:H,produtos_escape2!$A$2:$B$2794,2,FALSE))))</f>
        <v>MÁSCARA DE OXIGÊNIO NÃO REINALANTE: em plástico siliconizado no tamanho médio.</v>
      </c>
      <c r="M773" s="593" t="str">
        <f>IF(H:H=0,"",IF(ISERROR(VLOOKUP(H:H,produtos_escape2!$A$2:$D$2794,2,FALSE)),"Código não cadastrado",(VLOOKUP(H:H,produtos_escape2!$A$2:$D$2794,4,FALSE))))</f>
        <v>UM</v>
      </c>
      <c r="N773" s="486">
        <v>100</v>
      </c>
      <c r="O773" s="176" t="s">
        <v>9299</v>
      </c>
      <c r="P773" s="486">
        <v>100</v>
      </c>
      <c r="Q773" s="247">
        <v>24.48</v>
      </c>
      <c r="R773" s="246">
        <f t="shared" si="25"/>
        <v>2448</v>
      </c>
      <c r="S773" s="177">
        <v>44012</v>
      </c>
      <c r="T773" s="182">
        <v>48754</v>
      </c>
      <c r="U773" s="177">
        <v>44012</v>
      </c>
      <c r="V773" s="177">
        <v>44018</v>
      </c>
      <c r="W773" s="177">
        <v>44025</v>
      </c>
      <c r="X773" s="176">
        <v>46109</v>
      </c>
      <c r="Y773" s="177">
        <v>44032</v>
      </c>
      <c r="Z773" s="415">
        <v>4</v>
      </c>
      <c r="AA773" s="488"/>
      <c r="AB773" s="594"/>
      <c r="AC773" s="595"/>
      <c r="AD773" s="596" t="str">
        <f>IF(AND(AC773&lt;&gt;"",S773&lt;&gt;""),NETWORKDAYS(AC773,S773,#REF!),"")</f>
        <v/>
      </c>
      <c r="AE773" s="596" t="str">
        <f ca="1">IF(AND(AD773="",AC773=""),"",IF(OR(AD773&lt;&gt;"",O773="*CANCELADO"),"",NETWORKDAYS(AC773,TODAY(),#REF!)))</f>
        <v/>
      </c>
      <c r="AF773" s="597" t="str">
        <f>IFERROR(INDEX(produtos_escape2!M:M,MATCH(Controle!H773,produtos_escape2!A:A,0)),"")</f>
        <v>MASCARA DE OXIGENIO</v>
      </c>
    </row>
    <row r="774" spans="1:32" ht="14.25" customHeight="1">
      <c r="A774" s="176" t="s">
        <v>8532</v>
      </c>
      <c r="B774" s="176" t="s">
        <v>3608</v>
      </c>
      <c r="C774" s="177">
        <v>44007</v>
      </c>
      <c r="D774" s="176" t="s">
        <v>9218</v>
      </c>
      <c r="E774" s="176" t="s">
        <v>3009</v>
      </c>
      <c r="F774" s="259" t="s">
        <v>9219</v>
      </c>
      <c r="G774" s="176">
        <v>1</v>
      </c>
      <c r="H774" s="178">
        <v>90185</v>
      </c>
      <c r="I774" s="592">
        <f t="shared" si="26"/>
        <v>2</v>
      </c>
      <c r="J774" s="178" t="s">
        <v>816</v>
      </c>
      <c r="K774" s="178" t="s">
        <v>816</v>
      </c>
      <c r="L774" s="275" t="str">
        <f>IF(H:H=0,"",IF(ISERROR(VLOOKUP(H:H,produtos_escape2!$A$2:$B$2794,2,FALSE)),"Código não cadastrado",(VLOOKUP(H:H,produtos_escape2!$A$2:$B$2794,2,FALSE))))</f>
        <v xml:space="preserve">IVERMECTINA COMPRIMIDO 6 MG </v>
      </c>
      <c r="M774" s="593" t="str">
        <f>IF(H:H=0,"",IF(ISERROR(VLOOKUP(H:H,produtos_escape2!$A$2:$D$2794,2,FALSE)),"Código não cadastrado",(VLOOKUP(H:H,produtos_escape2!$A$2:$D$2794,4,FALSE))))</f>
        <v>CP</v>
      </c>
      <c r="N774" s="486">
        <v>150</v>
      </c>
      <c r="O774" s="176" t="s">
        <v>1868</v>
      </c>
      <c r="P774" s="486"/>
      <c r="Q774" s="247">
        <v>4.5</v>
      </c>
      <c r="R774" s="246">
        <f t="shared" si="25"/>
        <v>0</v>
      </c>
      <c r="S774" s="177">
        <v>44019</v>
      </c>
      <c r="T774" s="182"/>
      <c r="U774" s="177"/>
      <c r="V774" s="177"/>
      <c r="W774" s="177"/>
      <c r="X774" s="176"/>
      <c r="Y774" s="177"/>
      <c r="Z774" s="415">
        <v>4</v>
      </c>
      <c r="AA774" s="488" t="s">
        <v>9354</v>
      </c>
      <c r="AB774" s="594"/>
      <c r="AC774" s="595"/>
      <c r="AD774" s="596" t="str">
        <f>IF(AND(AC774&lt;&gt;"",S774&lt;&gt;""),NETWORKDAYS(AC774,S774,#REF!),"")</f>
        <v/>
      </c>
      <c r="AE774" s="596" t="str">
        <f ca="1">IF(AND(AD774="",AC774=""),"",IF(OR(AD774&lt;&gt;"",O774="*CANCELADO"),"",NETWORKDAYS(AC774,TODAY(),#REF!)))</f>
        <v/>
      </c>
      <c r="AF774" s="597" t="str">
        <f>IFERROR(INDEX(produtos_escape2!M:M,MATCH(Controle!H774,produtos_escape2!A:A,0)),"")</f>
        <v xml:space="preserve">IVERMECTINA COMPRIMIDO 6 MG </v>
      </c>
    </row>
    <row r="775" spans="1:32" ht="14.25" customHeight="1">
      <c r="A775" s="176" t="s">
        <v>8533</v>
      </c>
      <c r="B775" s="176" t="s">
        <v>3608</v>
      </c>
      <c r="C775" s="177">
        <v>44007</v>
      </c>
      <c r="D775" s="176" t="s">
        <v>9220</v>
      </c>
      <c r="E775" s="176" t="s">
        <v>1867</v>
      </c>
      <c r="F775" s="259" t="s">
        <v>9221</v>
      </c>
      <c r="G775" s="176">
        <v>1</v>
      </c>
      <c r="H775" s="178">
        <v>90524</v>
      </c>
      <c r="I775" s="592">
        <f t="shared" si="26"/>
        <v>1</v>
      </c>
      <c r="J775" s="178" t="s">
        <v>816</v>
      </c>
      <c r="K775" s="178" t="s">
        <v>816</v>
      </c>
      <c r="L775" s="275" t="str">
        <f>IF(H:H=0,"",IF(ISERROR(VLOOKUP(H:H,produtos_escape2!$A$2:$B$2794,2,FALSE)),"Código não cadastrado",(VLOOKUP(H:H,produtos_escape2!$A$2:$B$2794,2,FALSE))))</f>
        <v>TIAMINA (VITAMINA B1) COMPRIMIDO 300 MG</v>
      </c>
      <c r="M775" s="593" t="str">
        <f>IF(H:H=0,"",IF(ISERROR(VLOOKUP(H:H,produtos_escape2!$A$2:$D$2794,2,FALSE)),"Código não cadastrado",(VLOOKUP(H:H,produtos_escape2!$A$2:$D$2794,4,FALSE))))</f>
        <v>CP</v>
      </c>
      <c r="N775" s="486">
        <v>900</v>
      </c>
      <c r="O775" s="176" t="s">
        <v>4379</v>
      </c>
      <c r="P775" s="486">
        <v>500</v>
      </c>
      <c r="Q775" s="247">
        <v>0.28999999999999998</v>
      </c>
      <c r="R775" s="246">
        <f t="shared" si="25"/>
        <v>145</v>
      </c>
      <c r="S775" s="177">
        <v>44012</v>
      </c>
      <c r="T775" s="182">
        <v>12927</v>
      </c>
      <c r="U775" s="177">
        <v>44012</v>
      </c>
      <c r="V775" s="177">
        <v>44012</v>
      </c>
      <c r="W775" s="177">
        <v>44013</v>
      </c>
      <c r="X775" s="176">
        <v>45709</v>
      </c>
      <c r="Y775" s="177">
        <v>44032</v>
      </c>
      <c r="Z775" s="415">
        <v>4</v>
      </c>
      <c r="AA775" s="488"/>
      <c r="AB775" s="594"/>
      <c r="AC775" s="595"/>
      <c r="AD775" s="596" t="str">
        <f>IF(AND(AC775&lt;&gt;"",S775&lt;&gt;""),NETWORKDAYS(AC775,S775,#REF!),"")</f>
        <v/>
      </c>
      <c r="AE775" s="596" t="str">
        <f ca="1">IF(AND(AD775="",AC775=""),"",IF(OR(AD775&lt;&gt;"",O775="*CANCELADO"),"",NETWORKDAYS(AC775,TODAY(),#REF!)))</f>
        <v/>
      </c>
      <c r="AF775" s="597" t="str">
        <f>IFERROR(INDEX(produtos_escape2!M:M,MATCH(Controle!H775,produtos_escape2!A:A,0)),"")</f>
        <v>TIAMINA (VITAMINA B1) COMPRIMIDO 300 MG</v>
      </c>
    </row>
    <row r="776" spans="1:32" ht="14.25" customHeight="1">
      <c r="A776" s="176" t="s">
        <v>8534</v>
      </c>
      <c r="B776" s="176" t="s">
        <v>3608</v>
      </c>
      <c r="C776" s="177">
        <v>44007</v>
      </c>
      <c r="D776" s="176" t="s">
        <v>9222</v>
      </c>
      <c r="E776" s="176" t="s">
        <v>3009</v>
      </c>
      <c r="F776" s="259" t="s">
        <v>9223</v>
      </c>
      <c r="G776" s="176">
        <v>1</v>
      </c>
      <c r="H776" s="178">
        <v>90342</v>
      </c>
      <c r="I776" s="592">
        <f t="shared" si="26"/>
        <v>4</v>
      </c>
      <c r="J776" s="178" t="s">
        <v>816</v>
      </c>
      <c r="K776" s="178" t="s">
        <v>816</v>
      </c>
      <c r="L776" s="275" t="str">
        <f>IF(H:H=0,"",IF(ISERROR(VLOOKUP(H:H,produtos_escape2!$A$2:$B$2794,2,FALSE)),"Código não cadastrado",(VLOOKUP(H:H,produtos_escape2!$A$2:$B$2794,2,FALSE))))</f>
        <v>ACIDO POLIACRILICO GEL LIQUIDO OFTALMICO 2 MG/G BISNAGA 10 G</v>
      </c>
      <c r="M776" s="593" t="str">
        <f>IF(H:H=0,"",IF(ISERROR(VLOOKUP(H:H,produtos_escape2!$A$2:$D$2794,2,FALSE)),"Código não cadastrado",(VLOOKUP(H:H,produtos_escape2!$A$2:$D$2794,4,FALSE))))</f>
        <v>BS</v>
      </c>
      <c r="N776" s="486">
        <v>10</v>
      </c>
      <c r="O776" s="176" t="s">
        <v>1868</v>
      </c>
      <c r="P776" s="486"/>
      <c r="Q776" s="247"/>
      <c r="R776" s="246">
        <f t="shared" si="25"/>
        <v>0</v>
      </c>
      <c r="S776" s="177">
        <v>44019</v>
      </c>
      <c r="T776" s="182"/>
      <c r="U776" s="177"/>
      <c r="V776" s="177"/>
      <c r="W776" s="177"/>
      <c r="X776" s="176"/>
      <c r="Y776" s="177"/>
      <c r="Z776" s="415">
        <v>4</v>
      </c>
      <c r="AA776" s="488" t="s">
        <v>7474</v>
      </c>
      <c r="AB776" s="594"/>
      <c r="AC776" s="595"/>
      <c r="AD776" s="596" t="str">
        <f>IF(AND(AC776&lt;&gt;"",S776&lt;&gt;""),NETWORKDAYS(AC776,S776,#REF!),"")</f>
        <v/>
      </c>
      <c r="AE776" s="596" t="str">
        <f ca="1">IF(AND(AD776="",AC776=""),"",IF(OR(AD776&lt;&gt;"",O776="*CANCELADO"),"",NETWORKDAYS(AC776,TODAY(),#REF!)))</f>
        <v/>
      </c>
      <c r="AF776" s="597" t="str">
        <f>IFERROR(INDEX(produtos_escape2!M:M,MATCH(Controle!H776,produtos_escape2!A:A,0)),"")</f>
        <v>ACIDO POLIACRILICO GEL LIQUIDO OFTALMICO 2 MG/G BISNAGA 10 G</v>
      </c>
    </row>
    <row r="777" spans="1:32" ht="14.25" customHeight="1">
      <c r="A777" s="176" t="s">
        <v>8535</v>
      </c>
      <c r="B777" s="176" t="s">
        <v>3608</v>
      </c>
      <c r="C777" s="177">
        <v>44007</v>
      </c>
      <c r="D777" s="176" t="s">
        <v>9224</v>
      </c>
      <c r="E777" s="176" t="s">
        <v>1867</v>
      </c>
      <c r="F777" s="259" t="s">
        <v>9225</v>
      </c>
      <c r="G777" s="176">
        <v>1</v>
      </c>
      <c r="H777" s="178">
        <v>90841</v>
      </c>
      <c r="I777" s="592">
        <f t="shared" si="26"/>
        <v>8</v>
      </c>
      <c r="J777" s="178" t="s">
        <v>816</v>
      </c>
      <c r="K777" s="178" t="s">
        <v>816</v>
      </c>
      <c r="L777" s="275" t="str">
        <f>IF(H:H=0,"",IF(ISERROR(VLOOKUP(H:H,produtos_escape2!$A$2:$B$2794,2,FALSE)),"Código não cadastrado",(VLOOKUP(H:H,produtos_escape2!$A$2:$B$2794,2,FALSE))))</f>
        <v>ATROPINA (SULFATO) SOLUÇAO OFTALMICA 1 % FRASCO 5 ML</v>
      </c>
      <c r="M777" s="593" t="str">
        <f>IF(H:H=0,"",IF(ISERROR(VLOOKUP(H:H,produtos_escape2!$A$2:$D$2794,2,FALSE)),"Código não cadastrado",(VLOOKUP(H:H,produtos_escape2!$A$2:$D$2794,4,FALSE))))</f>
        <v>FR</v>
      </c>
      <c r="N777" s="486">
        <v>10</v>
      </c>
      <c r="O777" s="176" t="s">
        <v>1868</v>
      </c>
      <c r="P777" s="486"/>
      <c r="Q777" s="247">
        <v>25.89</v>
      </c>
      <c r="R777" s="246">
        <f t="shared" si="25"/>
        <v>0</v>
      </c>
      <c r="S777" s="177">
        <v>44012</v>
      </c>
      <c r="T777" s="182"/>
      <c r="U777" s="177"/>
      <c r="V777" s="177"/>
      <c r="W777" s="177"/>
      <c r="X777" s="176"/>
      <c r="Y777" s="177"/>
      <c r="Z777" s="415">
        <v>4</v>
      </c>
      <c r="AA777" s="488" t="s">
        <v>9473</v>
      </c>
      <c r="AB777" s="594"/>
      <c r="AC777" s="595"/>
      <c r="AD777" s="596" t="str">
        <f>IF(AND(AC777&lt;&gt;"",S777&lt;&gt;""),NETWORKDAYS(AC777,S777,#REF!),"")</f>
        <v/>
      </c>
      <c r="AE777" s="596" t="str">
        <f ca="1">IF(AND(AD777="",AC777=""),"",IF(OR(AD777&lt;&gt;"",O777="*CANCELADO"),"",NETWORKDAYS(AC777,TODAY(),#REF!)))</f>
        <v/>
      </c>
      <c r="AF777" s="597" t="str">
        <f>IFERROR(INDEX(produtos_escape2!M:M,MATCH(Controle!H777,produtos_escape2!A:A,0)),"")</f>
        <v>ATROPINA (SULFATO) SOLUÇAO OFTALMICA 1 % FRASCO 5 ML</v>
      </c>
    </row>
    <row r="778" spans="1:32" ht="14.25" customHeight="1">
      <c r="A778" s="176" t="s">
        <v>8536</v>
      </c>
      <c r="B778" s="176" t="s">
        <v>3608</v>
      </c>
      <c r="C778" s="177">
        <v>44007</v>
      </c>
      <c r="D778" s="176" t="s">
        <v>9226</v>
      </c>
      <c r="E778" s="176" t="s">
        <v>1865</v>
      </c>
      <c r="F778" s="259" t="s">
        <v>9227</v>
      </c>
      <c r="G778" s="176">
        <v>1</v>
      </c>
      <c r="H778" s="178">
        <v>90251</v>
      </c>
      <c r="I778" s="592">
        <f t="shared" si="26"/>
        <v>2</v>
      </c>
      <c r="J778" s="178" t="s">
        <v>816</v>
      </c>
      <c r="K778" s="178" t="s">
        <v>816</v>
      </c>
      <c r="L778" s="275" t="str">
        <f>IF(H:H=0,"",IF(ISERROR(VLOOKUP(H:H,produtos_escape2!$A$2:$B$2794,2,FALSE)),"Código não cadastrado",(VLOOKUP(H:H,produtos_escape2!$A$2:$B$2794,2,FALSE))))</f>
        <v>DIGOXINA COMPRIMIDO 0,25MG</v>
      </c>
      <c r="M778" s="593" t="str">
        <f>IF(H:H=0,"",IF(ISERROR(VLOOKUP(H:H,produtos_escape2!$A$2:$D$2794,2,FALSE)),"Código não cadastrado",(VLOOKUP(H:H,produtos_escape2!$A$2:$D$2794,4,FALSE))))</f>
        <v>CP</v>
      </c>
      <c r="N778" s="486">
        <v>200</v>
      </c>
      <c r="O778" s="176" t="s">
        <v>9330</v>
      </c>
      <c r="P778" s="486">
        <v>200</v>
      </c>
      <c r="Q778" s="247">
        <v>0.64</v>
      </c>
      <c r="R778" s="246">
        <f t="shared" si="25"/>
        <v>128</v>
      </c>
      <c r="S778" s="177">
        <v>44013</v>
      </c>
      <c r="T778" s="182">
        <v>5080</v>
      </c>
      <c r="U778" s="177">
        <v>44020</v>
      </c>
      <c r="V778" s="177">
        <v>44021</v>
      </c>
      <c r="W778" s="177">
        <v>44026</v>
      </c>
      <c r="X778" s="176">
        <v>53952</v>
      </c>
      <c r="Y778" s="177">
        <v>44046</v>
      </c>
      <c r="Z778" s="415">
        <v>4</v>
      </c>
      <c r="AA778" s="488"/>
      <c r="AB778" s="594"/>
      <c r="AC778" s="595"/>
      <c r="AD778" s="596" t="str">
        <f>IF(AND(AC778&lt;&gt;"",S778&lt;&gt;""),NETWORKDAYS(AC778,S778,#REF!),"")</f>
        <v/>
      </c>
      <c r="AE778" s="596" t="str">
        <f ca="1">IF(AND(AD778="",AC778=""),"",IF(OR(AD778&lt;&gt;"",O778="*CANCELADO"),"",NETWORKDAYS(AC778,TODAY(),#REF!)))</f>
        <v/>
      </c>
      <c r="AF778" s="597" t="str">
        <f>IFERROR(INDEX(produtos_escape2!M:M,MATCH(Controle!H778,produtos_escape2!A:A,0)),"")</f>
        <v>DIGOXINA COMPRIMIDO 0</v>
      </c>
    </row>
    <row r="779" spans="1:32" ht="14.25" customHeight="1">
      <c r="A779" s="176" t="s">
        <v>8537</v>
      </c>
      <c r="B779" s="176" t="s">
        <v>3608</v>
      </c>
      <c r="C779" s="177">
        <v>44007</v>
      </c>
      <c r="D779" s="176" t="s">
        <v>9228</v>
      </c>
      <c r="E779" s="176" t="s">
        <v>1867</v>
      </c>
      <c r="F779" s="259" t="s">
        <v>9229</v>
      </c>
      <c r="G779" s="176">
        <v>1</v>
      </c>
      <c r="H779" s="178">
        <v>19772</v>
      </c>
      <c r="I779" s="592">
        <f t="shared" si="26"/>
        <v>2</v>
      </c>
      <c r="J779" s="178" t="s">
        <v>816</v>
      </c>
      <c r="K779" s="178" t="s">
        <v>816</v>
      </c>
      <c r="L779" s="275" t="str">
        <f>IF(H:H=0,"",IF(ISERROR(VLOOKUP(H:H,produtos_escape2!$A$2:$B$2794,2,FALSE)),"Código não cadastrado",(VLOOKUP(H:H,produtos_escape2!$A$2:$B$2794,2,FALSE))))</f>
        <v>FITOMENADIONA (VITAMINA K) SOLUCAO INJETAVEL 2 MG /0,2 ML  AMPOLA 0,2 ML</v>
      </c>
      <c r="M779" s="593" t="str">
        <f>IF(H:H=0,"",IF(ISERROR(VLOOKUP(H:H,produtos_escape2!$A$2:$D$2794,2,FALSE)),"Código não cadastrado",(VLOOKUP(H:H,produtos_escape2!$A$2:$D$2794,4,FALSE))))</f>
        <v>AMP</v>
      </c>
      <c r="N779" s="486">
        <v>100</v>
      </c>
      <c r="O779" s="176" t="s">
        <v>1868</v>
      </c>
      <c r="P779" s="486"/>
      <c r="Q779" s="247">
        <v>2.7924000000000002</v>
      </c>
      <c r="R779" s="246">
        <f t="shared" si="25"/>
        <v>0</v>
      </c>
      <c r="S779" s="177">
        <v>44019</v>
      </c>
      <c r="T779" s="182"/>
      <c r="U779" s="177"/>
      <c r="V779" s="177"/>
      <c r="W779" s="177"/>
      <c r="X779" s="176"/>
      <c r="Y779" s="177"/>
      <c r="Z779" s="415">
        <v>5</v>
      </c>
      <c r="AA779" s="488" t="s">
        <v>10221</v>
      </c>
      <c r="AB779" s="594"/>
      <c r="AC779" s="595"/>
      <c r="AD779" s="596" t="str">
        <f>IF(AND(AC779&lt;&gt;"",S779&lt;&gt;""),NETWORKDAYS(AC779,S779,#REF!),"")</f>
        <v/>
      </c>
      <c r="AE779" s="596" t="str">
        <f ca="1">IF(AND(AD779="",AC779=""),"",IF(OR(AD779&lt;&gt;"",O779="*CANCELADO"),"",NETWORKDAYS(AC779,TODAY(),#REF!)))</f>
        <v/>
      </c>
      <c r="AF779" s="597" t="str">
        <f>IFERROR(INDEX(produtos_escape2!M:M,MATCH(Controle!H779,produtos_escape2!A:A,0)),"")</f>
        <v>FITOMENADIONA (VITAMINA K) SOLUCAO INJETAVEL 2 MG /0</v>
      </c>
    </row>
    <row r="780" spans="1:32" ht="14.25" customHeight="1">
      <c r="A780" s="176" t="s">
        <v>8007</v>
      </c>
      <c r="B780" s="176" t="s">
        <v>7207</v>
      </c>
      <c r="C780" s="177">
        <v>44007</v>
      </c>
      <c r="D780" s="176" t="s">
        <v>9241</v>
      </c>
      <c r="E780" s="176" t="s">
        <v>3009</v>
      </c>
      <c r="F780" s="259" t="s">
        <v>9232</v>
      </c>
      <c r="G780" s="176">
        <v>1</v>
      </c>
      <c r="H780" s="178">
        <v>2393</v>
      </c>
      <c r="I780" s="592">
        <f t="shared" si="26"/>
        <v>2</v>
      </c>
      <c r="J780" s="178" t="s">
        <v>816</v>
      </c>
      <c r="K780" s="178" t="s">
        <v>816</v>
      </c>
      <c r="L780" s="275" t="str">
        <f>IF(H:H=0,"",IF(ISERROR(VLOOKUP(H:H,produtos_escape2!$A$2:$B$2794,2,FALSE)),"Código não cadastrado",(VLOOKUP(H:H,produtos_escape2!$A$2:$B$2794,2,FALSE))))</f>
        <v>COLA abrasiva Epoxi c/ 2 Bisnagas, 01 c/ resina epóxi p/ mistura c/ 01 endurecedor a base de polimercaptona c/ secagem rápida.</v>
      </c>
      <c r="M780" s="593" t="str">
        <f>IF(H:H=0,"",IF(ISERROR(VLOOKUP(H:H,produtos_escape2!$A$2:$D$2794,2,FALSE)),"Código não cadastrado",(VLOOKUP(H:H,produtos_escape2!$A$2:$D$2794,4,FALSE))))</f>
        <v>CX</v>
      </c>
      <c r="N780" s="486">
        <v>5</v>
      </c>
      <c r="O780" s="176" t="s">
        <v>4358</v>
      </c>
      <c r="P780" s="486">
        <v>5</v>
      </c>
      <c r="Q780" s="247">
        <v>14.12</v>
      </c>
      <c r="R780" s="246">
        <f t="shared" si="25"/>
        <v>70.599999999999994</v>
      </c>
      <c r="S780" s="177">
        <v>44018</v>
      </c>
      <c r="T780" s="182">
        <v>1032</v>
      </c>
      <c r="U780" s="177">
        <v>44020</v>
      </c>
      <c r="V780" s="177">
        <v>44021</v>
      </c>
      <c r="W780" s="177">
        <v>44025</v>
      </c>
      <c r="X780" s="176">
        <v>45678</v>
      </c>
      <c r="Y780" s="177">
        <v>44032</v>
      </c>
      <c r="Z780" s="415">
        <v>4</v>
      </c>
      <c r="AA780" s="488"/>
      <c r="AB780" s="594"/>
      <c r="AC780" s="595"/>
      <c r="AD780" s="596" t="str">
        <f>IF(AND(AC780&lt;&gt;"",S780&lt;&gt;""),NETWORKDAYS(AC780,S780,#REF!),"")</f>
        <v/>
      </c>
      <c r="AE780" s="596" t="str">
        <f ca="1">IF(AND(AD780="",AC780=""),"",IF(OR(AD780&lt;&gt;"",O780="*CANCELADO"),"",NETWORKDAYS(AC780,TODAY(),#REF!)))</f>
        <v/>
      </c>
      <c r="AF780" s="597" t="str">
        <f>IFERROR(INDEX(produtos_escape2!M:M,MATCH(Controle!H780,produtos_escape2!A:A,0)),"")</f>
        <v>COLA abrasiva Epoxi c/ 2 Bisnagas</v>
      </c>
    </row>
    <row r="781" spans="1:32" ht="14.25" customHeight="1">
      <c r="A781" s="176" t="s">
        <v>8009</v>
      </c>
      <c r="B781" s="176" t="s">
        <v>7207</v>
      </c>
      <c r="C781" s="177">
        <v>44007</v>
      </c>
      <c r="D781" s="176" t="s">
        <v>9240</v>
      </c>
      <c r="E781" s="176" t="s">
        <v>1867</v>
      </c>
      <c r="F781" s="259" t="s">
        <v>9233</v>
      </c>
      <c r="G781" s="176">
        <v>1</v>
      </c>
      <c r="H781" s="178">
        <v>5182</v>
      </c>
      <c r="I781" s="592">
        <f t="shared" si="26"/>
        <v>2</v>
      </c>
      <c r="J781" s="178" t="s">
        <v>816</v>
      </c>
      <c r="K781" s="178" t="s">
        <v>816</v>
      </c>
      <c r="L781" s="275" t="str">
        <f>IF(H:H=0,"",IF(ISERROR(VLOOKUP(H:H,produtos_escape2!$A$2:$B$2794,2,FALSE)),"Código não cadastrado",(VLOOKUP(H:H,produtos_escape2!$A$2:$B$2794,2,FALSE))))</f>
        <v>LIMPA CONTATOS FREON 250G</v>
      </c>
      <c r="M781" s="593" t="str">
        <f>IF(H:H=0,"",IF(ISERROR(VLOOKUP(H:H,produtos_escape2!$A$2:$D$2794,2,FALSE)),"Código não cadastrado",(VLOOKUP(H:H,produtos_escape2!$A$2:$D$2794,4,FALSE))))</f>
        <v>UN</v>
      </c>
      <c r="N781" s="486">
        <v>3</v>
      </c>
      <c r="O781" s="176" t="s">
        <v>4358</v>
      </c>
      <c r="P781" s="486">
        <v>3</v>
      </c>
      <c r="Q781" s="247">
        <v>15.6</v>
      </c>
      <c r="R781" s="246">
        <f t="shared" si="25"/>
        <v>46.8</v>
      </c>
      <c r="S781" s="177">
        <v>44012</v>
      </c>
      <c r="T781" s="182">
        <v>1024</v>
      </c>
      <c r="U781" s="177">
        <v>44013</v>
      </c>
      <c r="V781" s="177">
        <v>44014</v>
      </c>
      <c r="W781" s="177">
        <v>44032</v>
      </c>
      <c r="X781" s="176">
        <v>53857</v>
      </c>
      <c r="Y781" s="177">
        <v>44046</v>
      </c>
      <c r="Z781" s="415">
        <v>4</v>
      </c>
      <c r="AA781" s="488"/>
      <c r="AB781" s="594"/>
      <c r="AC781" s="595"/>
      <c r="AD781" s="596" t="str">
        <f>IF(AND(AC781&lt;&gt;"",S781&lt;&gt;""),NETWORKDAYS(AC781,S781,#REF!),"")</f>
        <v/>
      </c>
      <c r="AE781" s="596" t="str">
        <f ca="1">IF(AND(AD781="",AC781=""),"",IF(OR(AD781&lt;&gt;"",O781="*CANCELADO"),"",NETWORKDAYS(AC781,TODAY(),#REF!)))</f>
        <v/>
      </c>
      <c r="AF781" s="597" t="str">
        <f>IFERROR(INDEX(produtos_escape2!M:M,MATCH(Controle!H781,produtos_escape2!A:A,0)),"")</f>
        <v>LIMPA CONTATOS</v>
      </c>
    </row>
    <row r="782" spans="1:32" ht="14.25" customHeight="1">
      <c r="A782" s="176" t="s">
        <v>8001</v>
      </c>
      <c r="B782" s="176" t="s">
        <v>7207</v>
      </c>
      <c r="C782" s="177">
        <v>44007</v>
      </c>
      <c r="D782" s="176" t="s">
        <v>9231</v>
      </c>
      <c r="E782" s="176" t="s">
        <v>1865</v>
      </c>
      <c r="F782" s="259" t="s">
        <v>9234</v>
      </c>
      <c r="G782" s="176">
        <v>1</v>
      </c>
      <c r="H782" s="178">
        <v>200831</v>
      </c>
      <c r="I782" s="592">
        <f t="shared" si="26"/>
        <v>2</v>
      </c>
      <c r="J782" s="178" t="s">
        <v>816</v>
      </c>
      <c r="K782" s="178" t="s">
        <v>816</v>
      </c>
      <c r="L782" s="275" t="str">
        <f>IF(H:H=0,"",IF(ISERROR(VLOOKUP(H:H,produtos_escape2!$A$2:$B$2794,2,FALSE)),"Código não cadastrado",(VLOOKUP(H:H,produtos_escape2!$A$2:$B$2794,2,FALSE))))</f>
        <v>VALVULA DE DOYEN, Aplicação: sub-pubiana, Tamanho: pequena</v>
      </c>
      <c r="M782" s="593" t="str">
        <f>IF(H:H=0,"",IF(ISERROR(VLOOKUP(H:H,produtos_escape2!$A$2:$D$2794,2,FALSE)),"Código não cadastrado",(VLOOKUP(H:H,produtos_escape2!$A$2:$D$2794,4,FALSE))))</f>
        <v>UN</v>
      </c>
      <c r="N782" s="486">
        <v>4</v>
      </c>
      <c r="O782" s="176" t="s">
        <v>1868</v>
      </c>
      <c r="P782" s="486"/>
      <c r="Q782" s="247"/>
      <c r="R782" s="246">
        <f t="shared" si="25"/>
        <v>0</v>
      </c>
      <c r="S782" s="177">
        <v>44041</v>
      </c>
      <c r="T782" s="182"/>
      <c r="U782" s="177"/>
      <c r="V782" s="177"/>
      <c r="W782" s="177"/>
      <c r="X782" s="176"/>
      <c r="Y782" s="177"/>
      <c r="Z782" s="415">
        <v>4</v>
      </c>
      <c r="AA782" s="488" t="s">
        <v>9615</v>
      </c>
      <c r="AB782" s="594"/>
      <c r="AC782" s="595"/>
      <c r="AD782" s="596" t="str">
        <f>IF(AND(AC782&lt;&gt;"",S782&lt;&gt;""),NETWORKDAYS(AC782,S782,#REF!),"")</f>
        <v/>
      </c>
      <c r="AE782" s="596" t="str">
        <f ca="1">IF(AND(AD782="",AC782=""),"",IF(OR(AD782&lt;&gt;"",O782="*CANCELADO"),"",NETWORKDAYS(AC782,TODAY(),#REF!)))</f>
        <v/>
      </c>
      <c r="AF782" s="597" t="str">
        <f>IFERROR(INDEX(produtos_escape2!M:M,MATCH(Controle!H782,produtos_escape2!A:A,0)),"")</f>
        <v>VALVULA DE DOYEN</v>
      </c>
    </row>
    <row r="783" spans="1:32" ht="14.25" customHeight="1">
      <c r="A783" s="176" t="s">
        <v>8005</v>
      </c>
      <c r="B783" s="176" t="s">
        <v>7207</v>
      </c>
      <c r="C783" s="177">
        <v>44007</v>
      </c>
      <c r="D783" s="176" t="s">
        <v>9237</v>
      </c>
      <c r="E783" s="176" t="s">
        <v>8773</v>
      </c>
      <c r="F783" s="259" t="s">
        <v>9238</v>
      </c>
      <c r="G783" s="176">
        <v>1</v>
      </c>
      <c r="H783" s="178">
        <v>15144</v>
      </c>
      <c r="I783" s="592">
        <f t="shared" si="26"/>
        <v>2</v>
      </c>
      <c r="J783" s="178" t="s">
        <v>816</v>
      </c>
      <c r="K783" s="178" t="s">
        <v>816</v>
      </c>
      <c r="L783" s="275" t="str">
        <f>IF(H:H=0,"",IF(ISERROR(VLOOKUP(H:H,produtos_escape2!$A$2:$B$2794,2,FALSE)),"Código não cadastrado",(VLOOKUP(H:H,produtos_escape2!$A$2:$B$2794,2,FALSE))))</f>
        <v>CABO DE BISTURI N.07 EM ACO INOX</v>
      </c>
      <c r="M783" s="593" t="str">
        <f>IF(H:H=0,"",IF(ISERROR(VLOOKUP(H:H,produtos_escape2!$A$2:$D$2794,2,FALSE)),"Código não cadastrado",(VLOOKUP(H:H,produtos_escape2!$A$2:$D$2794,4,FALSE))))</f>
        <v>UN</v>
      </c>
      <c r="N783" s="486">
        <v>100</v>
      </c>
      <c r="O783" s="176" t="s">
        <v>1868</v>
      </c>
      <c r="P783" s="486"/>
      <c r="Q783" s="247"/>
      <c r="R783" s="246">
        <f t="shared" si="25"/>
        <v>0</v>
      </c>
      <c r="S783" s="177"/>
      <c r="T783" s="182"/>
      <c r="U783" s="177"/>
      <c r="V783" s="177"/>
      <c r="W783" s="177"/>
      <c r="X783" s="176"/>
      <c r="Y783" s="177"/>
      <c r="Z783" s="415">
        <v>5</v>
      </c>
      <c r="AA783" s="488" t="s">
        <v>10216</v>
      </c>
      <c r="AB783" s="594"/>
      <c r="AC783" s="595"/>
      <c r="AD783" s="596" t="str">
        <f>IF(AND(AC783&lt;&gt;"",S783&lt;&gt;""),NETWORKDAYS(AC783,S783,#REF!),"")</f>
        <v/>
      </c>
      <c r="AE783" s="596" t="str">
        <f ca="1">IF(AND(AD783="",AC783=""),"",IF(OR(AD783&lt;&gt;"",O783="*CANCELADO"),"",NETWORKDAYS(AC783,TODAY(),#REF!)))</f>
        <v/>
      </c>
      <c r="AF783" s="597" t="str">
        <f>IFERROR(INDEX(produtos_escape2!M:M,MATCH(Controle!H783,produtos_escape2!A:A,0)),"")</f>
        <v>CABO DE BISTURI N.07 EM ACO INOX</v>
      </c>
    </row>
    <row r="784" spans="1:32" ht="14.25" customHeight="1">
      <c r="A784" s="176" t="s">
        <v>7404</v>
      </c>
      <c r="B784" s="176" t="s">
        <v>1687</v>
      </c>
      <c r="C784" s="177">
        <v>44007</v>
      </c>
      <c r="D784" s="176" t="s">
        <v>9243</v>
      </c>
      <c r="E784" s="176" t="s">
        <v>3008</v>
      </c>
      <c r="F784" s="259" t="s">
        <v>9242</v>
      </c>
      <c r="G784" s="176">
        <v>1</v>
      </c>
      <c r="H784" s="178" t="s">
        <v>8444</v>
      </c>
      <c r="I784" s="592">
        <f t="shared" si="26"/>
        <v>2</v>
      </c>
      <c r="J784" s="178"/>
      <c r="K784" s="178"/>
      <c r="L784" s="275" t="str">
        <f>IF(H:H=0,"",IF(ISERROR(VLOOKUP(H:H,produtos_escape2!$A$2:$B$2794,2,FALSE)),"Código não cadastrado",(VLOOKUP(H:H,produtos_escape2!$A$2:$B$2794,2,FALSE))))</f>
        <v xml:space="preserve">Conserto de Impressora, Marca DRY STAR, Modelo Blue DRY VIEW 6850, Nº Patrimônio 1301048, Nº de Série 68508166 .
</v>
      </c>
      <c r="M784" s="593" t="str">
        <f>IF(H:H=0,"",IF(ISERROR(VLOOKUP(H:H,produtos_escape2!$A$2:$D$2794,2,FALSE)),"Código não cadastrado",(VLOOKUP(H:H,produtos_escape2!$A$2:$D$2794,4,FALSE))))</f>
        <v>Serviço</v>
      </c>
      <c r="N784" s="486">
        <v>1</v>
      </c>
      <c r="O784" s="176" t="s">
        <v>8596</v>
      </c>
      <c r="P784" s="486">
        <v>1</v>
      </c>
      <c r="Q784" s="247">
        <v>5905</v>
      </c>
      <c r="R784" s="246">
        <f t="shared" si="25"/>
        <v>5905</v>
      </c>
      <c r="S784" s="177">
        <v>44014</v>
      </c>
      <c r="T784" s="182">
        <v>1316</v>
      </c>
      <c r="U784" s="177">
        <v>44057</v>
      </c>
      <c r="V784" s="177">
        <v>44125</v>
      </c>
      <c r="W784" s="177">
        <v>44125</v>
      </c>
      <c r="X784" s="176">
        <v>18110</v>
      </c>
      <c r="Y784" s="177">
        <v>44146</v>
      </c>
      <c r="Z784" s="415">
        <v>6</v>
      </c>
      <c r="AA784" s="488"/>
      <c r="AB784" s="594"/>
      <c r="AC784" s="595"/>
      <c r="AD784" s="596" t="str">
        <f>IF(AND(AC784&lt;&gt;"",S784&lt;&gt;""),NETWORKDAYS(AC784,S784,#REF!),"")</f>
        <v/>
      </c>
      <c r="AE784" s="596" t="str">
        <f ca="1">IF(AND(AD784="",AC784=""),"",IF(OR(AD784&lt;&gt;"",O784="*CANCELADO"),"",NETWORKDAYS(AC784,TODAY(),#REF!)))</f>
        <v/>
      </c>
      <c r="AF784" s="597">
        <f>IFERROR(INDEX(produtos_escape2!M:M,MATCH(Controle!H784,produtos_escape2!A:A,0)),"")</f>
        <v>0</v>
      </c>
    </row>
    <row r="785" spans="1:32" ht="14.25" customHeight="1">
      <c r="A785" s="176" t="s">
        <v>7951</v>
      </c>
      <c r="B785" s="176" t="s">
        <v>7207</v>
      </c>
      <c r="C785" s="177">
        <v>44007</v>
      </c>
      <c r="D785" s="176" t="s">
        <v>9213</v>
      </c>
      <c r="E785" s="176" t="s">
        <v>1866</v>
      </c>
      <c r="F785" s="259" t="s">
        <v>9244</v>
      </c>
      <c r="G785" s="176">
        <v>2</v>
      </c>
      <c r="H785" s="178">
        <v>15204</v>
      </c>
      <c r="I785" s="592">
        <f t="shared" si="26"/>
        <v>1</v>
      </c>
      <c r="J785" s="178" t="s">
        <v>816</v>
      </c>
      <c r="K785" s="178" t="s">
        <v>816</v>
      </c>
      <c r="L785" s="275" t="str">
        <f>IF(H:H=0,"",IF(ISERROR(VLOOKUP(H:H,produtos_escape2!$A$2:$B$2794,2,FALSE)),"Código não cadastrado",(VLOOKUP(H:H,produtos_escape2!$A$2:$B$2794,2,FALSE))))</f>
        <v>PINÇA ALLIS, Aplicação: Apreensão e Hemostasia, Material: Aço inoxidável AISI, Tamanho: 150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785" s="593" t="str">
        <f>IF(H:H=0,"",IF(ISERROR(VLOOKUP(H:H,produtos_escape2!$A$2:$D$2794,2,FALSE)),"Código não cadastrado",(VLOOKUP(H:H,produtos_escape2!$A$2:$D$2794,4,FALSE))))</f>
        <v>UN</v>
      </c>
      <c r="N785" s="486">
        <v>40</v>
      </c>
      <c r="O785" s="176" t="s">
        <v>1868</v>
      </c>
      <c r="P785" s="486"/>
      <c r="Q785" s="247"/>
      <c r="R785" s="246">
        <v>0</v>
      </c>
      <c r="S785" s="177">
        <v>44180</v>
      </c>
      <c r="T785" s="182"/>
      <c r="U785" s="177"/>
      <c r="V785" s="177"/>
      <c r="W785" s="177"/>
      <c r="X785" s="176"/>
      <c r="Y785" s="177"/>
      <c r="Z785" s="415">
        <v>6</v>
      </c>
      <c r="AA785" s="488" t="s">
        <v>10621</v>
      </c>
      <c r="AB785" s="594"/>
      <c r="AC785" s="595"/>
      <c r="AD785" s="596" t="str">
        <f>IF(AND(AC785&lt;&gt;"",S785&lt;&gt;""),NETWORKDAYS(AC785,S785,#REF!),"")</f>
        <v/>
      </c>
      <c r="AE785" s="596" t="str">
        <f ca="1">IF(AND(AD785="",AC785=""),"",IF(OR(AD785&lt;&gt;"",O785="*CANCELADO"),"",NETWORKDAYS(AC785,TODAY(),#REF!)))</f>
        <v/>
      </c>
      <c r="AF785" s="597">
        <f>IFERROR(INDEX(produtos_escape2!M:M,MATCH(Controle!H785,produtos_escape2!A:A,0)),"")</f>
        <v>0</v>
      </c>
    </row>
    <row r="786" spans="1:32" ht="14.25" customHeight="1">
      <c r="A786" s="176" t="s">
        <v>7951</v>
      </c>
      <c r="B786" s="176" t="s">
        <v>7207</v>
      </c>
      <c r="C786" s="177">
        <v>44007</v>
      </c>
      <c r="D786" s="176" t="s">
        <v>9213</v>
      </c>
      <c r="E786" s="176" t="s">
        <v>1866</v>
      </c>
      <c r="F786" s="259" t="s">
        <v>9244</v>
      </c>
      <c r="G786" s="176">
        <v>3</v>
      </c>
      <c r="H786" s="178">
        <v>15205</v>
      </c>
      <c r="I786" s="592">
        <f t="shared" si="26"/>
        <v>2</v>
      </c>
      <c r="J786" s="178" t="s">
        <v>816</v>
      </c>
      <c r="K786" s="178" t="s">
        <v>816</v>
      </c>
      <c r="L786" s="275" t="str">
        <f>IF(H:H=0,"",IF(ISERROR(VLOOKUP(H:H,produtos_escape2!$A$2:$B$2794,2,FALSE)),"Código não cadastrado",(VLOOKUP(H:H,produtos_escape2!$A$2:$B$2794,2,FALSE))))</f>
        <v>PINÇA ALLIS, Aplicação: Apreensão e Hemostasia, Material: Aço inoxidável AISI, Tamanho: 200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786" s="593" t="str">
        <f>IF(H:H=0,"",IF(ISERROR(VLOOKUP(H:H,produtos_escape2!$A$2:$D$2794,2,FALSE)),"Código não cadastrado",(VLOOKUP(H:H,produtos_escape2!$A$2:$D$2794,4,FALSE))))</f>
        <v>UN</v>
      </c>
      <c r="N786" s="486">
        <v>40</v>
      </c>
      <c r="O786" s="176" t="s">
        <v>1868</v>
      </c>
      <c r="P786" s="486"/>
      <c r="Q786" s="247"/>
      <c r="R786" s="246">
        <v>0</v>
      </c>
      <c r="S786" s="177">
        <v>44180</v>
      </c>
      <c r="T786" s="182"/>
      <c r="U786" s="177"/>
      <c r="V786" s="177"/>
      <c r="W786" s="177"/>
      <c r="X786" s="176"/>
      <c r="Y786" s="177"/>
      <c r="Z786" s="415">
        <v>6</v>
      </c>
      <c r="AA786" s="488" t="s">
        <v>10621</v>
      </c>
      <c r="AB786" s="594"/>
      <c r="AC786" s="595"/>
      <c r="AD786" s="596" t="s">
        <v>5888</v>
      </c>
      <c r="AE786" s="596" t="s">
        <v>5888</v>
      </c>
      <c r="AF786" s="597">
        <f>IFERROR(INDEX(produtos_escape2!M:M,MATCH(Controle!H786,produtos_escape2!A:A,0)),"")</f>
        <v>0</v>
      </c>
    </row>
    <row r="787" spans="1:32" ht="14.25" customHeight="1">
      <c r="A787" s="176" t="s">
        <v>7951</v>
      </c>
      <c r="B787" s="176" t="s">
        <v>7207</v>
      </c>
      <c r="C787" s="177">
        <v>44007</v>
      </c>
      <c r="D787" s="176" t="s">
        <v>9213</v>
      </c>
      <c r="E787" s="176" t="s">
        <v>1866</v>
      </c>
      <c r="F787" s="259" t="s">
        <v>9244</v>
      </c>
      <c r="G787" s="176">
        <v>4</v>
      </c>
      <c r="H787" s="178">
        <v>15215</v>
      </c>
      <c r="I787" s="592">
        <f t="shared" si="26"/>
        <v>2</v>
      </c>
      <c r="J787" s="178" t="s">
        <v>816</v>
      </c>
      <c r="K787" s="178" t="s">
        <v>816</v>
      </c>
      <c r="L787" s="275" t="str">
        <f>IF(H:H=0,"",IF(ISERROR(VLOOKUP(H:H,produtos_escape2!$A$2:$B$2794,2,FALSE)),"Código não cadastrado",(VLOOKUP(H:H,produtos_escape2!$A$2:$B$2794,2,FALSE))))</f>
        <v>Pinça Baby cock de 25 mm</v>
      </c>
      <c r="M787" s="593" t="str">
        <f>IF(H:H=0,"",IF(ISERROR(VLOOKUP(H:H,produtos_escape2!$A$2:$D$2794,2,FALSE)),"Código não cadastrado",(VLOOKUP(H:H,produtos_escape2!$A$2:$D$2794,4,FALSE))))</f>
        <v>UN</v>
      </c>
      <c r="N787" s="486">
        <v>20</v>
      </c>
      <c r="O787" s="176" t="s">
        <v>1868</v>
      </c>
      <c r="P787" s="486"/>
      <c r="Q787" s="247"/>
      <c r="R787" s="246">
        <v>0</v>
      </c>
      <c r="S787" s="177">
        <v>44180</v>
      </c>
      <c r="T787" s="182"/>
      <c r="U787" s="177"/>
      <c r="V787" s="177"/>
      <c r="W787" s="177"/>
      <c r="X787" s="176"/>
      <c r="Y787" s="177"/>
      <c r="Z787" s="415">
        <v>6</v>
      </c>
      <c r="AA787" s="488" t="s">
        <v>10621</v>
      </c>
      <c r="AB787" s="594"/>
      <c r="AC787" s="595"/>
      <c r="AD787" s="596" t="s">
        <v>5888</v>
      </c>
      <c r="AE787" s="596" t="s">
        <v>5888</v>
      </c>
      <c r="AF787" s="597" t="str">
        <f>IFERROR(INDEX(produtos_escape2!M:M,MATCH(Controle!H787,produtos_escape2!A:A,0)),"")</f>
        <v>Pinça Baby cock de 25 mm</v>
      </c>
    </row>
    <row r="788" spans="1:32" ht="14.25" customHeight="1">
      <c r="A788" s="176" t="s">
        <v>7951</v>
      </c>
      <c r="B788" s="176" t="s">
        <v>7207</v>
      </c>
      <c r="C788" s="177">
        <v>44007</v>
      </c>
      <c r="D788" s="176" t="s">
        <v>9213</v>
      </c>
      <c r="E788" s="176" t="s">
        <v>1866</v>
      </c>
      <c r="F788" s="259" t="s">
        <v>9244</v>
      </c>
      <c r="G788" s="176">
        <v>6</v>
      </c>
      <c r="H788" s="178">
        <v>15257</v>
      </c>
      <c r="I788" s="592">
        <f t="shared" si="26"/>
        <v>2</v>
      </c>
      <c r="J788" s="178" t="s">
        <v>816</v>
      </c>
      <c r="K788" s="178" t="s">
        <v>816</v>
      </c>
      <c r="L788" s="275" t="str">
        <f>IF(H:H=0,"",IF(ISERROR(VLOOKUP(H:H,produtos_escape2!$A$2:$B$2794,2,FALSE)),"Código não cadastrado",(VLOOKUP(H:H,produtos_escape2!$A$2:$B$2794,2,FALSE))))</f>
        <v xml:space="preserve">PINCA DISSECCAO COM DENTE DE RATO 160MM </v>
      </c>
      <c r="M788" s="593" t="str">
        <f>IF(H:H=0,"",IF(ISERROR(VLOOKUP(H:H,produtos_escape2!$A$2:$D$2794,2,FALSE)),"Código não cadastrado",(VLOOKUP(H:H,produtos_escape2!$A$2:$D$2794,4,FALSE))))</f>
        <v>UN</v>
      </c>
      <c r="N788" s="486">
        <v>80</v>
      </c>
      <c r="O788" s="176" t="s">
        <v>1868</v>
      </c>
      <c r="P788" s="486"/>
      <c r="Q788" s="247"/>
      <c r="R788" s="246">
        <v>0</v>
      </c>
      <c r="S788" s="177">
        <v>44180</v>
      </c>
      <c r="T788" s="182"/>
      <c r="U788" s="177"/>
      <c r="V788" s="177"/>
      <c r="W788" s="177"/>
      <c r="X788" s="176"/>
      <c r="Y788" s="177"/>
      <c r="Z788" s="415">
        <v>6</v>
      </c>
      <c r="AA788" s="488" t="s">
        <v>10621</v>
      </c>
      <c r="AB788" s="594"/>
      <c r="AC788" s="595"/>
      <c r="AD788" s="596" t="s">
        <v>5888</v>
      </c>
      <c r="AE788" s="596" t="s">
        <v>5888</v>
      </c>
      <c r="AF788" s="597" t="str">
        <f>IFERROR(INDEX(produtos_escape2!M:M,MATCH(Controle!H788,produtos_escape2!A:A,0)),"")</f>
        <v xml:space="preserve">PINCA DISSECCAO COM DENTE DE RATO 160MM </v>
      </c>
    </row>
    <row r="789" spans="1:32" ht="14.25" customHeight="1">
      <c r="A789" s="176" t="s">
        <v>7951</v>
      </c>
      <c r="B789" s="176" t="s">
        <v>7207</v>
      </c>
      <c r="C789" s="177">
        <v>44007</v>
      </c>
      <c r="D789" s="176" t="s">
        <v>9213</v>
      </c>
      <c r="E789" s="176" t="s">
        <v>1866</v>
      </c>
      <c r="F789" s="259" t="s">
        <v>9244</v>
      </c>
      <c r="G789" s="176">
        <v>7</v>
      </c>
      <c r="H789" s="178">
        <v>15258</v>
      </c>
      <c r="I789" s="592">
        <f t="shared" si="26"/>
        <v>2</v>
      </c>
      <c r="J789" s="178" t="s">
        <v>816</v>
      </c>
      <c r="K789" s="178" t="s">
        <v>816</v>
      </c>
      <c r="L789" s="275" t="str">
        <f>IF(H:H=0,"",IF(ISERROR(VLOOKUP(H:H,produtos_escape2!$A$2:$B$2794,2,FALSE)),"Código não cadastrado",(VLOOKUP(H:H,produtos_escape2!$A$2:$B$2794,2,FALSE))))</f>
        <v>PINCA DISSECCAO COM DENTE DE RATO 180MM</v>
      </c>
      <c r="M789" s="593" t="str">
        <f>IF(H:H=0,"",IF(ISERROR(VLOOKUP(H:H,produtos_escape2!$A$2:$D$2794,2,FALSE)),"Código não cadastrado",(VLOOKUP(H:H,produtos_escape2!$A$2:$D$2794,4,FALSE))))</f>
        <v>UN</v>
      </c>
      <c r="N789" s="486">
        <v>60</v>
      </c>
      <c r="O789" s="176" t="s">
        <v>1868</v>
      </c>
      <c r="P789" s="486"/>
      <c r="Q789" s="247"/>
      <c r="R789" s="246">
        <v>0</v>
      </c>
      <c r="S789" s="177">
        <v>44180</v>
      </c>
      <c r="T789" s="182"/>
      <c r="U789" s="177"/>
      <c r="V789" s="177"/>
      <c r="W789" s="177"/>
      <c r="X789" s="176"/>
      <c r="Y789" s="177"/>
      <c r="Z789" s="415">
        <v>6</v>
      </c>
      <c r="AA789" s="488" t="s">
        <v>10621</v>
      </c>
      <c r="AB789" s="594"/>
      <c r="AC789" s="595"/>
      <c r="AD789" s="596" t="s">
        <v>5888</v>
      </c>
      <c r="AE789" s="596" t="s">
        <v>5888</v>
      </c>
      <c r="AF789" s="597">
        <f>IFERROR(INDEX(produtos_escape2!M:M,MATCH(Controle!H789,produtos_escape2!A:A,0)),"")</f>
        <v>0</v>
      </c>
    </row>
    <row r="790" spans="1:32" ht="14.25" customHeight="1">
      <c r="A790" s="176" t="s">
        <v>7951</v>
      </c>
      <c r="B790" s="176" t="s">
        <v>7207</v>
      </c>
      <c r="C790" s="177">
        <v>44007</v>
      </c>
      <c r="D790" s="176" t="s">
        <v>9213</v>
      </c>
      <c r="E790" s="176" t="s">
        <v>1866</v>
      </c>
      <c r="F790" s="259" t="s">
        <v>9244</v>
      </c>
      <c r="G790" s="176">
        <v>8</v>
      </c>
      <c r="H790" s="178">
        <v>15259</v>
      </c>
      <c r="I790" s="592">
        <f t="shared" si="26"/>
        <v>2</v>
      </c>
      <c r="J790" s="178" t="s">
        <v>816</v>
      </c>
      <c r="K790" s="178" t="s">
        <v>816</v>
      </c>
      <c r="L790" s="275" t="str">
        <f>IF(H:H=0,"",IF(ISERROR(VLOOKUP(H:H,produtos_escape2!$A$2:$B$2794,2,FALSE)),"Código não cadastrado",(VLOOKUP(H:H,produtos_escape2!$A$2:$B$2794,2,FALSE))))</f>
        <v>PINCA DISSECCAO COM DENTE DE RATO 200MM</v>
      </c>
      <c r="M790" s="593" t="str">
        <f>IF(H:H=0,"",IF(ISERROR(VLOOKUP(H:H,produtos_escape2!$A$2:$D$2794,2,FALSE)),"Código não cadastrado",(VLOOKUP(H:H,produtos_escape2!$A$2:$D$2794,4,FALSE))))</f>
        <v>UN</v>
      </c>
      <c r="N790" s="486">
        <v>10</v>
      </c>
      <c r="O790" s="176" t="s">
        <v>1868</v>
      </c>
      <c r="P790" s="486"/>
      <c r="Q790" s="247"/>
      <c r="R790" s="246">
        <v>0</v>
      </c>
      <c r="S790" s="177">
        <v>44180</v>
      </c>
      <c r="T790" s="182"/>
      <c r="U790" s="177"/>
      <c r="V790" s="177"/>
      <c r="W790" s="177"/>
      <c r="X790" s="176"/>
      <c r="Y790" s="177"/>
      <c r="Z790" s="415">
        <v>6</v>
      </c>
      <c r="AA790" s="488" t="s">
        <v>10621</v>
      </c>
      <c r="AB790" s="594"/>
      <c r="AC790" s="595"/>
      <c r="AD790" s="596" t="s">
        <v>5888</v>
      </c>
      <c r="AE790" s="596" t="s">
        <v>5888</v>
      </c>
      <c r="AF790" s="597">
        <f>IFERROR(INDEX(produtos_escape2!M:M,MATCH(Controle!H790,produtos_escape2!A:A,0)),"")</f>
        <v>0</v>
      </c>
    </row>
    <row r="791" spans="1:32" ht="14.25" customHeight="1">
      <c r="A791" s="176" t="s">
        <v>7951</v>
      </c>
      <c r="B791" s="176" t="s">
        <v>7207</v>
      </c>
      <c r="C791" s="177">
        <v>44007</v>
      </c>
      <c r="D791" s="176" t="s">
        <v>9213</v>
      </c>
      <c r="E791" s="176" t="s">
        <v>1866</v>
      </c>
      <c r="F791" s="259" t="s">
        <v>9244</v>
      </c>
      <c r="G791" s="176">
        <v>5</v>
      </c>
      <c r="H791" s="178">
        <v>15256</v>
      </c>
      <c r="I791" s="592">
        <f t="shared" si="26"/>
        <v>2</v>
      </c>
      <c r="J791" s="178" t="s">
        <v>816</v>
      </c>
      <c r="K791" s="178" t="s">
        <v>816</v>
      </c>
      <c r="L791" s="275" t="str">
        <f>IF(H:H=0,"",IF(ISERROR(VLOOKUP(H:H,produtos_escape2!$A$2:$B$2794,2,FALSE)),"Código não cadastrado",(VLOOKUP(H:H,produtos_escape2!$A$2:$B$2794,2,FALSE))))</f>
        <v xml:space="preserve">PINÇA DISSECÇÃO DENTE DE RATO 140MM. Aplicação (finalidade): apreensão/fixação dos tecidos durante sutura ou divulsão. Composição: Aço inoxidável 420 AISI. Tamanho: 140mm. Características adicionais: A pinça deverá ter as pontas delicadas, com bom acabamento a fim de evitar cantos vivos cortantes. Os dentes de rato deverão ter encaixes adequados. A pressão da mola da peça deverá estar de acordo com sua finalidade de uso, não podendo ser muito dura dificultando a pressão nem muito mole de modo que não se consiga a pega adequada. O peso deverá ser o menor possível e  o polímero isento de buracos ou defeitos superficiais que possam provocar manchas ou corrosão. A solda na parte traseira deverá ter acabamento perfeito liso, sem buracos para acúmulo de detritos. A qualidade da solda deverá ser adequada para que as duas partes não soltem durante os processos usuais de esterilização. O tratamento térmico deverá ser integral a fim de conferir as peças a dureza e flexibilidade necessárias ao seu desempenho. Cada peça deverá ter uma gravação a laser com clara identificação do fabricante e código/lote de identificação da data de fabricação, iniciais da instituição (SES-DF). Embalagem individual. </v>
      </c>
      <c r="M791" s="593" t="str">
        <f>IF(H:H=0,"",IF(ISERROR(VLOOKUP(H:H,produtos_escape2!$A$2:$D$2794,2,FALSE)),"Código não cadastrado",(VLOOKUP(H:H,produtos_escape2!$A$2:$D$2794,4,FALSE))))</f>
        <v>UN</v>
      </c>
      <c r="N791" s="486">
        <v>15</v>
      </c>
      <c r="O791" s="176" t="s">
        <v>1868</v>
      </c>
      <c r="P791" s="486"/>
      <c r="Q791" s="247"/>
      <c r="R791" s="246">
        <v>0</v>
      </c>
      <c r="S791" s="177">
        <v>44180</v>
      </c>
      <c r="T791" s="182"/>
      <c r="U791" s="177"/>
      <c r="V791" s="177"/>
      <c r="W791" s="177"/>
      <c r="X791" s="176"/>
      <c r="Y791" s="177"/>
      <c r="Z791" s="415">
        <v>6</v>
      </c>
      <c r="AA791" s="488" t="s">
        <v>10621</v>
      </c>
      <c r="AB791" s="594"/>
      <c r="AC791" s="595"/>
      <c r="AD791" s="596" t="s">
        <v>5888</v>
      </c>
      <c r="AE791" s="596" t="s">
        <v>5888</v>
      </c>
      <c r="AF791" s="597">
        <f>IFERROR(INDEX(produtos_escape2!M:M,MATCH(Controle!H791,produtos_escape2!A:A,0)),"")</f>
        <v>0</v>
      </c>
    </row>
    <row r="792" spans="1:32" ht="14.25" customHeight="1">
      <c r="A792" s="176" t="s">
        <v>7951</v>
      </c>
      <c r="B792" s="176" t="s">
        <v>7207</v>
      </c>
      <c r="C792" s="177">
        <v>44007</v>
      </c>
      <c r="D792" s="176" t="s">
        <v>9213</v>
      </c>
      <c r="E792" s="176" t="s">
        <v>1866</v>
      </c>
      <c r="F792" s="259" t="s">
        <v>9244</v>
      </c>
      <c r="G792" s="176">
        <v>1</v>
      </c>
      <c r="H792" s="178">
        <v>11616</v>
      </c>
      <c r="I792" s="592">
        <f t="shared" si="26"/>
        <v>1</v>
      </c>
      <c r="J792" s="178" t="s">
        <v>816</v>
      </c>
      <c r="K792" s="178" t="s">
        <v>816</v>
      </c>
      <c r="L792" s="275" t="str">
        <f>IF(H:H=0,"",IF(ISERROR(VLOOKUP(H:H,produtos_escape2!$A$2:$B$2794,2,FALSE)),"Código não cadastrado",(VLOOKUP(H:H,produtos_escape2!$A$2:$B$2794,2,FALSE))))</f>
        <v>PINÇA DISSECÇÃO, Características: anatômica com serrilha, Tamanho: 12 cm, Unidade de Fornecimento: unidade</v>
      </c>
      <c r="M792" s="593" t="str">
        <f>IF(H:H=0,"",IF(ISERROR(VLOOKUP(H:H,produtos_escape2!$A$2:$D$2794,2,FALSE)),"Código não cadastrado",(VLOOKUP(H:H,produtos_escape2!$A$2:$D$2794,4,FALSE))))</f>
        <v>UN</v>
      </c>
      <c r="N792" s="486">
        <v>10</v>
      </c>
      <c r="O792" s="176" t="s">
        <v>1868</v>
      </c>
      <c r="P792" s="486"/>
      <c r="Q792" s="247"/>
      <c r="R792" s="246">
        <v>0</v>
      </c>
      <c r="S792" s="177">
        <v>44180</v>
      </c>
      <c r="T792" s="182"/>
      <c r="U792" s="177"/>
      <c r="V792" s="177"/>
      <c r="W792" s="177"/>
      <c r="X792" s="176"/>
      <c r="Y792" s="177"/>
      <c r="Z792" s="415">
        <v>6</v>
      </c>
      <c r="AA792" s="488" t="s">
        <v>10621</v>
      </c>
      <c r="AB792" s="594"/>
      <c r="AC792" s="595"/>
      <c r="AD792" s="596" t="s">
        <v>5888</v>
      </c>
      <c r="AE792" s="596" t="s">
        <v>5888</v>
      </c>
      <c r="AF792" s="597">
        <f>IFERROR(INDEX(produtos_escape2!M:M,MATCH(Controle!H792,produtos_escape2!A:A,0)),"")</f>
        <v>0</v>
      </c>
    </row>
    <row r="793" spans="1:32" ht="14.25" customHeight="1">
      <c r="A793" s="176" t="s">
        <v>7951</v>
      </c>
      <c r="B793" s="176" t="s">
        <v>7207</v>
      </c>
      <c r="C793" s="177">
        <v>44007</v>
      </c>
      <c r="D793" s="176" t="s">
        <v>9213</v>
      </c>
      <c r="E793" s="176" t="s">
        <v>1866</v>
      </c>
      <c r="F793" s="259" t="s">
        <v>9244</v>
      </c>
      <c r="G793" s="176">
        <v>9</v>
      </c>
      <c r="H793" s="178">
        <v>15277</v>
      </c>
      <c r="I793" s="592">
        <f t="shared" si="26"/>
        <v>1</v>
      </c>
      <c r="J793" s="178" t="s">
        <v>816</v>
      </c>
      <c r="K793" s="178" t="s">
        <v>816</v>
      </c>
      <c r="L793" s="275" t="str">
        <f>IF(H:H=0,"",IF(ISERROR(VLOOKUP(H:H,produtos_escape2!$A$2:$B$2794,2,FALSE)),"Código não cadastrado",(VLOOKUP(H:H,produtos_escape2!$A$2:$B$2794,2,FALSE))))</f>
        <v>PINCA FAURE CURVA P/ARTERIA UTERINA 22CM 1</v>
      </c>
      <c r="M793" s="593" t="str">
        <f>IF(H:H=0,"",IF(ISERROR(VLOOKUP(H:H,produtos_escape2!$A$2:$D$2794,2,FALSE)),"Código não cadastrado",(VLOOKUP(H:H,produtos_escape2!$A$2:$D$2794,4,FALSE))))</f>
        <v>UN</v>
      </c>
      <c r="N793" s="486">
        <v>20</v>
      </c>
      <c r="O793" s="176" t="s">
        <v>1868</v>
      </c>
      <c r="P793" s="486"/>
      <c r="Q793" s="247"/>
      <c r="R793" s="246">
        <v>0</v>
      </c>
      <c r="S793" s="177">
        <v>44180</v>
      </c>
      <c r="T793" s="182"/>
      <c r="U793" s="177"/>
      <c r="V793" s="177"/>
      <c r="W793" s="177"/>
      <c r="X793" s="176"/>
      <c r="Y793" s="177"/>
      <c r="Z793" s="415">
        <v>6</v>
      </c>
      <c r="AA793" s="488" t="s">
        <v>10621</v>
      </c>
      <c r="AB793" s="594"/>
      <c r="AC793" s="595"/>
      <c r="AD793" s="596" t="s">
        <v>5888</v>
      </c>
      <c r="AE793" s="596" t="s">
        <v>5888</v>
      </c>
      <c r="AF793" s="597" t="str">
        <f>IFERROR(INDEX(produtos_escape2!M:M,MATCH(Controle!H793,produtos_escape2!A:A,0)),"")</f>
        <v>PINCA FAURE CURVA P/ARTERIA UTERINA 22CM 1</v>
      </c>
    </row>
    <row r="794" spans="1:32" ht="14.25" customHeight="1">
      <c r="A794" s="176" t="s">
        <v>7951</v>
      </c>
      <c r="B794" s="176" t="s">
        <v>7207</v>
      </c>
      <c r="C794" s="177">
        <v>44007</v>
      </c>
      <c r="D794" s="176" t="s">
        <v>9213</v>
      </c>
      <c r="E794" s="176" t="s">
        <v>1866</v>
      </c>
      <c r="F794" s="259" t="s">
        <v>9244</v>
      </c>
      <c r="G794" s="176">
        <v>11</v>
      </c>
      <c r="H794" s="178">
        <v>15293</v>
      </c>
      <c r="I794" s="592">
        <f t="shared" si="26"/>
        <v>2</v>
      </c>
      <c r="J794" s="178" t="s">
        <v>816</v>
      </c>
      <c r="K794" s="178" t="s">
        <v>816</v>
      </c>
      <c r="L794" s="275" t="str">
        <f>IF(H:H=0,"",IF(ISERROR(VLOOKUP(H:H,produtos_escape2!$A$2:$B$2794,2,FALSE)),"Código não cadastrado",(VLOOKUP(H:H,produtos_escape2!$A$2:$B$2794,2,FALSE))))</f>
        <v>PINCA GOIVA RUSKIN-RETA 180MM</v>
      </c>
      <c r="M794" s="593" t="str">
        <f>IF(H:H=0,"",IF(ISERROR(VLOOKUP(H:H,produtos_escape2!$A$2:$D$2794,2,FALSE)),"Código não cadastrado",(VLOOKUP(H:H,produtos_escape2!$A$2:$D$2794,4,FALSE))))</f>
        <v>UN</v>
      </c>
      <c r="N794" s="486">
        <v>10</v>
      </c>
      <c r="O794" s="176" t="s">
        <v>1868</v>
      </c>
      <c r="P794" s="486"/>
      <c r="Q794" s="247"/>
      <c r="R794" s="246">
        <v>0</v>
      </c>
      <c r="S794" s="177">
        <v>44180</v>
      </c>
      <c r="T794" s="182"/>
      <c r="U794" s="177"/>
      <c r="V794" s="177"/>
      <c r="W794" s="177"/>
      <c r="X794" s="176"/>
      <c r="Y794" s="177"/>
      <c r="Z794" s="415">
        <v>6</v>
      </c>
      <c r="AA794" s="488" t="s">
        <v>10621</v>
      </c>
      <c r="AB794" s="594"/>
      <c r="AC794" s="595"/>
      <c r="AD794" s="596" t="s">
        <v>5888</v>
      </c>
      <c r="AE794" s="596" t="s">
        <v>5888</v>
      </c>
      <c r="AF794" s="597" t="str">
        <f>IFERROR(INDEX(produtos_escape2!M:M,MATCH(Controle!H794,produtos_escape2!A:A,0)),"")</f>
        <v>PINCA GOIVA RUSKIN-RETA 180MM</v>
      </c>
    </row>
    <row r="795" spans="1:32" ht="14.25" customHeight="1">
      <c r="A795" s="176" t="s">
        <v>7951</v>
      </c>
      <c r="B795" s="176" t="s">
        <v>7207</v>
      </c>
      <c r="C795" s="177">
        <v>44007</v>
      </c>
      <c r="D795" s="176" t="s">
        <v>9213</v>
      </c>
      <c r="E795" s="176" t="s">
        <v>1866</v>
      </c>
      <c r="F795" s="259" t="s">
        <v>9244</v>
      </c>
      <c r="G795" s="176">
        <v>12</v>
      </c>
      <c r="H795" s="178">
        <v>15294</v>
      </c>
      <c r="I795" s="592">
        <f t="shared" si="26"/>
        <v>2</v>
      </c>
      <c r="J795" s="178" t="s">
        <v>816</v>
      </c>
      <c r="K795" s="178" t="s">
        <v>816</v>
      </c>
      <c r="L795" s="275" t="str">
        <f>IF(H:H=0,"",IF(ISERROR(VLOOKUP(H:H,produtos_escape2!$A$2:$B$2794,2,FALSE)),"Código não cadastrado",(VLOOKUP(H:H,produtos_escape2!$A$2:$B$2794,2,FALSE))))</f>
        <v>PINCA GOIVA STILLE LISTEN RETA 24CM</v>
      </c>
      <c r="M795" s="593" t="str">
        <f>IF(H:H=0,"",IF(ISERROR(VLOOKUP(H:H,produtos_escape2!$A$2:$D$2794,2,FALSE)),"Código não cadastrado",(VLOOKUP(H:H,produtos_escape2!$A$2:$D$2794,4,FALSE))))</f>
        <v>UN</v>
      </c>
      <c r="N795" s="486">
        <v>10</v>
      </c>
      <c r="O795" s="176" t="s">
        <v>1868</v>
      </c>
      <c r="P795" s="486"/>
      <c r="Q795" s="247"/>
      <c r="R795" s="246">
        <v>0</v>
      </c>
      <c r="S795" s="177">
        <v>44180</v>
      </c>
      <c r="T795" s="182"/>
      <c r="U795" s="177"/>
      <c r="V795" s="177"/>
      <c r="W795" s="177"/>
      <c r="X795" s="176"/>
      <c r="Y795" s="177"/>
      <c r="Z795" s="415">
        <v>6</v>
      </c>
      <c r="AA795" s="488" t="s">
        <v>10621</v>
      </c>
      <c r="AB795" s="594"/>
      <c r="AC795" s="595"/>
      <c r="AD795" s="596" t="s">
        <v>5888</v>
      </c>
      <c r="AE795" s="596" t="s">
        <v>5888</v>
      </c>
      <c r="AF795" s="597">
        <f>IFERROR(INDEX(produtos_escape2!M:M,MATCH(Controle!H795,produtos_escape2!A:A,0)),"")</f>
        <v>0</v>
      </c>
    </row>
    <row r="796" spans="1:32" ht="14.25" customHeight="1">
      <c r="A796" s="176" t="s">
        <v>7951</v>
      </c>
      <c r="B796" s="176" t="s">
        <v>7207</v>
      </c>
      <c r="C796" s="177">
        <v>44007</v>
      </c>
      <c r="D796" s="176" t="s">
        <v>9213</v>
      </c>
      <c r="E796" s="176" t="s">
        <v>1866</v>
      </c>
      <c r="F796" s="259" t="s">
        <v>9244</v>
      </c>
      <c r="G796" s="176">
        <v>10</v>
      </c>
      <c r="H796" s="178">
        <v>15292</v>
      </c>
      <c r="I796" s="592">
        <f t="shared" si="26"/>
        <v>2</v>
      </c>
      <c r="J796" s="178" t="s">
        <v>816</v>
      </c>
      <c r="K796" s="178" t="s">
        <v>816</v>
      </c>
      <c r="L796" s="275" t="str">
        <f>IF(H:H=0,"",IF(ISERROR(VLOOKUP(H:H,produtos_escape2!$A$2:$B$2794,2,FALSE)),"Código não cadastrado",(VLOOKUP(H:H,produtos_escape2!$A$2:$B$2794,2,FALSE))))</f>
        <v>PINÇA GOIVA STILLE-LUER RETA, Aplicação: Cortar Osso, Material: Aço Inoxidável Cirúrgico AISI, Tamanho: 270 mm, boca de 7 mm, 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v>
      </c>
      <c r="M796" s="593" t="str">
        <f>IF(H:H=0,"",IF(ISERROR(VLOOKUP(H:H,produtos_escape2!$A$2:$D$2794,2,FALSE)),"Código não cadastrado",(VLOOKUP(H:H,produtos_escape2!$A$2:$D$2794,4,FALSE))))</f>
        <v>UN</v>
      </c>
      <c r="N796" s="486">
        <v>10</v>
      </c>
      <c r="O796" s="176" t="s">
        <v>1868</v>
      </c>
      <c r="P796" s="486"/>
      <c r="Q796" s="247"/>
      <c r="R796" s="246">
        <v>0</v>
      </c>
      <c r="S796" s="177">
        <v>44180</v>
      </c>
      <c r="T796" s="182"/>
      <c r="U796" s="177"/>
      <c r="V796" s="177"/>
      <c r="W796" s="177"/>
      <c r="X796" s="176"/>
      <c r="Y796" s="177"/>
      <c r="Z796" s="415">
        <v>6</v>
      </c>
      <c r="AA796" s="488" t="s">
        <v>10621</v>
      </c>
      <c r="AB796" s="594"/>
      <c r="AC796" s="595"/>
      <c r="AD796" s="596" t="s">
        <v>5888</v>
      </c>
      <c r="AE796" s="596" t="s">
        <v>5888</v>
      </c>
      <c r="AF796" s="597">
        <f>IFERROR(INDEX(produtos_escape2!M:M,MATCH(Controle!H796,produtos_escape2!A:A,0)),"")</f>
        <v>0</v>
      </c>
    </row>
    <row r="797" spans="1:32" ht="14.25" customHeight="1">
      <c r="A797" s="176" t="s">
        <v>7965</v>
      </c>
      <c r="B797" s="176" t="s">
        <v>7207</v>
      </c>
      <c r="C797" s="177">
        <v>44007</v>
      </c>
      <c r="D797" s="176" t="s">
        <v>9214</v>
      </c>
      <c r="E797" s="176" t="s">
        <v>1866</v>
      </c>
      <c r="F797" s="259" t="s">
        <v>9253</v>
      </c>
      <c r="G797" s="176">
        <v>10</v>
      </c>
      <c r="H797" s="178">
        <v>23405</v>
      </c>
      <c r="I797" s="592">
        <f t="shared" si="26"/>
        <v>2</v>
      </c>
      <c r="J797" s="178" t="s">
        <v>816</v>
      </c>
      <c r="K797" s="178" t="s">
        <v>816</v>
      </c>
      <c r="L797" s="275" t="str">
        <f>IF(H:H=0,"",IF(ISERROR(VLOOKUP(H:H,produtos_escape2!$A$2:$B$2794,2,FALSE)),"Código não cadastrado",(VLOOKUP(H:H,produtos_escape2!$A$2:$B$2794,2,FALSE))))</f>
        <v>PINÇA DENTE DE RATO 21 cm; Aplicação: Instrumental cirúrgico; Material: Pinça dente rato, produto confeccionado em aço inoxidável AISI-420, tamano 21cm, embalagem plástica individual, constando os dados de identificação, procedência e rastreabilidade, Garantia 10 anos contra defeitos de fabricação, fabricado de acordo com padrões internacionais de qualidade, normas da ABNT, CE. Registro Ministério da Saúde; Tamanho: 21cm; Processo de esterilização: não estéril; Forma de apresentação: embalagem individual: Prazo de validade: 10 anos contra defeitos de fabricação; Unidade de estoque: unidade</v>
      </c>
      <c r="M797" s="593" t="str">
        <f>IF(H:H=0,"",IF(ISERROR(VLOOKUP(H:H,produtos_escape2!$A$2:$D$2794,2,FALSE)),"Código não cadastrado",(VLOOKUP(H:H,produtos_escape2!$A$2:$D$2794,4,FALSE))))</f>
        <v>UN</v>
      </c>
      <c r="N797" s="486">
        <v>10</v>
      </c>
      <c r="O797" s="176" t="s">
        <v>1868</v>
      </c>
      <c r="P797" s="486"/>
      <c r="Q797" s="247"/>
      <c r="R797" s="246">
        <v>0</v>
      </c>
      <c r="S797" s="177">
        <v>44180</v>
      </c>
      <c r="T797" s="182"/>
      <c r="U797" s="177"/>
      <c r="V797" s="177"/>
      <c r="W797" s="177"/>
      <c r="X797" s="176"/>
      <c r="Y797" s="177"/>
      <c r="Z797" s="415">
        <v>6</v>
      </c>
      <c r="AA797" s="488" t="s">
        <v>10621</v>
      </c>
      <c r="AB797" s="594"/>
      <c r="AC797" s="595"/>
      <c r="AD797" s="596" t="s">
        <v>5888</v>
      </c>
      <c r="AE797" s="596" t="s">
        <v>5888</v>
      </c>
      <c r="AF797" s="597">
        <f>IFERROR(INDEX(produtos_escape2!M:M,MATCH(Controle!H797,produtos_escape2!A:A,0)),"")</f>
        <v>0</v>
      </c>
    </row>
    <row r="798" spans="1:32" ht="14.25" customHeight="1">
      <c r="A798" s="176" t="s">
        <v>7965</v>
      </c>
      <c r="B798" s="176" t="s">
        <v>7207</v>
      </c>
      <c r="C798" s="177">
        <v>44007</v>
      </c>
      <c r="D798" s="176" t="s">
        <v>9214</v>
      </c>
      <c r="E798" s="176" t="s">
        <v>1866</v>
      </c>
      <c r="F798" s="259" t="s">
        <v>9253</v>
      </c>
      <c r="G798" s="176">
        <v>8</v>
      </c>
      <c r="H798" s="178">
        <v>23386</v>
      </c>
      <c r="I798" s="592">
        <f t="shared" si="26"/>
        <v>1</v>
      </c>
      <c r="J798" s="178" t="s">
        <v>816</v>
      </c>
      <c r="K798" s="178" t="s">
        <v>816</v>
      </c>
      <c r="L798" s="275" t="str">
        <f>IF(H:H=0,"",IF(ISERROR(VLOOKUP(H:H,produtos_escape2!$A$2:$B$2794,2,FALSE)),"Código não cadastrado",(VLOOKUP(H:H,produtos_escape2!$A$2:$B$2794,2,FALSE))))</f>
        <v>PINÇA DENTE DE RATO 25cm; Aplicação: Instrumental Cirúrgico; Material: Pinça Dente de Rato, produto confeccionado em aço inoxidável AISI-420, tamanho 25cm, embalagem individual, constando os dados de identificação, procedência e rastreabilidade, Garantia 10 anos contra defeitos de fabricação, fabricado de acordo com padrões internacionais e qualidade, normas da ABNT, CE. Registro Ministério da Saúde; Tamanho: 25cm; Processo de esterelização: não estéril; Forma de apresentação: embalagem individual; Prazo de validade: 10 anos contra defeito de fabricação; Unidade de estoque: unidade</v>
      </c>
      <c r="M798" s="593" t="str">
        <f>IF(H:H=0,"",IF(ISERROR(VLOOKUP(H:H,produtos_escape2!$A$2:$D$2794,2,FALSE)),"Código não cadastrado",(VLOOKUP(H:H,produtos_escape2!$A$2:$D$2794,4,FALSE))))</f>
        <v>UN</v>
      </c>
      <c r="N798" s="486">
        <v>10</v>
      </c>
      <c r="O798" s="176" t="s">
        <v>1868</v>
      </c>
      <c r="P798" s="486"/>
      <c r="Q798" s="247"/>
      <c r="R798" s="246">
        <v>0</v>
      </c>
      <c r="S798" s="177">
        <v>44180</v>
      </c>
      <c r="T798" s="182"/>
      <c r="U798" s="177"/>
      <c r="V798" s="177"/>
      <c r="W798" s="177"/>
      <c r="X798" s="176"/>
      <c r="Y798" s="177"/>
      <c r="Z798" s="415">
        <v>6</v>
      </c>
      <c r="AA798" s="488" t="s">
        <v>10621</v>
      </c>
      <c r="AB798" s="594"/>
      <c r="AC798" s="595"/>
      <c r="AD798" s="596" t="s">
        <v>5888</v>
      </c>
      <c r="AE798" s="596" t="s">
        <v>5888</v>
      </c>
      <c r="AF798" s="597">
        <f>IFERROR(INDEX(produtos_escape2!M:M,MATCH(Controle!H798,produtos_escape2!A:A,0)),"")</f>
        <v>0</v>
      </c>
    </row>
    <row r="799" spans="1:32" ht="14.25" customHeight="1">
      <c r="A799" s="176" t="s">
        <v>7965</v>
      </c>
      <c r="B799" s="176" t="s">
        <v>7207</v>
      </c>
      <c r="C799" s="177">
        <v>44007</v>
      </c>
      <c r="D799" s="176" t="s">
        <v>9214</v>
      </c>
      <c r="E799" s="176" t="s">
        <v>1866</v>
      </c>
      <c r="F799" s="259" t="s">
        <v>9253</v>
      </c>
      <c r="G799" s="176">
        <v>6</v>
      </c>
      <c r="H799" s="178">
        <v>23213</v>
      </c>
      <c r="I799" s="592">
        <f t="shared" si="26"/>
        <v>2</v>
      </c>
      <c r="J799" s="178" t="s">
        <v>816</v>
      </c>
      <c r="K799" s="178" t="s">
        <v>816</v>
      </c>
      <c r="L799" s="275" t="str">
        <f>IF(H:H=0,"",IF(ISERROR(VLOOKUP(H:H,produtos_escape2!$A$2:$B$2794,2,FALSE)),"Código não cadastrado",(VLOOKUP(H:H,produtos_escape2!$A$2:$B$2794,2,FALSE))))</f>
        <v>PINÇA DE DISSECÇÃO Anatômica COM DENTE 16cm: Aplicação: uso médico. Tipo: instrumental para dissecção anatômica; Material: em aço inoxidável.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799" s="593" t="str">
        <f>IF(H:H=0,"",IF(ISERROR(VLOOKUP(H:H,produtos_escape2!$A$2:$D$2794,2,FALSE)),"Código não cadastrado",(VLOOKUP(H:H,produtos_escape2!$A$2:$D$2794,4,FALSE))))</f>
        <v>UN</v>
      </c>
      <c r="N799" s="486">
        <v>10</v>
      </c>
      <c r="O799" s="176" t="s">
        <v>1868</v>
      </c>
      <c r="P799" s="486"/>
      <c r="Q799" s="247"/>
      <c r="R799" s="246">
        <v>0</v>
      </c>
      <c r="S799" s="177">
        <v>44180</v>
      </c>
      <c r="T799" s="182"/>
      <c r="U799" s="177"/>
      <c r="V799" s="177"/>
      <c r="W799" s="177"/>
      <c r="X799" s="176"/>
      <c r="Y799" s="177"/>
      <c r="Z799" s="415">
        <v>6</v>
      </c>
      <c r="AA799" s="488" t="s">
        <v>10621</v>
      </c>
      <c r="AB799" s="594"/>
      <c r="AC799" s="595"/>
      <c r="AD799" s="596" t="s">
        <v>5888</v>
      </c>
      <c r="AE799" s="596" t="s">
        <v>5888</v>
      </c>
      <c r="AF799" s="597" t="str">
        <f>IFERROR(INDEX(produtos_escape2!M:M,MATCH(Controle!H799,produtos_escape2!A:A,0)),"")</f>
        <v>Pinça dissecção com dente de 16 cm</v>
      </c>
    </row>
    <row r="800" spans="1:32" ht="14.25" customHeight="1">
      <c r="A800" s="176" t="s">
        <v>7965</v>
      </c>
      <c r="B800" s="176" t="s">
        <v>7207</v>
      </c>
      <c r="C800" s="177">
        <v>44007</v>
      </c>
      <c r="D800" s="176" t="s">
        <v>9214</v>
      </c>
      <c r="E800" s="176" t="s">
        <v>1866</v>
      </c>
      <c r="F800" s="259" t="s">
        <v>9253</v>
      </c>
      <c r="G800" s="176">
        <v>5</v>
      </c>
      <c r="H800" s="178">
        <v>23211</v>
      </c>
      <c r="I800" s="592">
        <f t="shared" si="26"/>
        <v>2</v>
      </c>
      <c r="J800" s="178" t="s">
        <v>816</v>
      </c>
      <c r="K800" s="178" t="s">
        <v>816</v>
      </c>
      <c r="L800" s="275" t="str">
        <f>IF(H:H=0,"",IF(ISERROR(VLOOKUP(H:H,produtos_escape2!$A$2:$B$2794,2,FALSE)),"Código não cadastrado",(VLOOKUP(H:H,produtos_escape2!$A$2:$B$2794,2,FALSE))))</f>
        <v>PINÇA DE DISSECÇÃO Anatômica SEM DENTE 16cm: Aplicação: uso médico - Tipo: instrumental para dissecção anatômica; Material: em aço inoxidável -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800" s="593" t="str">
        <f>IF(H:H=0,"",IF(ISERROR(VLOOKUP(H:H,produtos_escape2!$A$2:$D$2794,2,FALSE)),"Código não cadastrado",(VLOOKUP(H:H,produtos_escape2!$A$2:$D$2794,4,FALSE))))</f>
        <v>UN</v>
      </c>
      <c r="N800" s="486">
        <v>10</v>
      </c>
      <c r="O800" s="176" t="s">
        <v>1868</v>
      </c>
      <c r="P800" s="486"/>
      <c r="Q800" s="247"/>
      <c r="R800" s="246">
        <v>0</v>
      </c>
      <c r="S800" s="177">
        <v>44180</v>
      </c>
      <c r="T800" s="182"/>
      <c r="U800" s="177"/>
      <c r="V800" s="177"/>
      <c r="W800" s="177"/>
      <c r="X800" s="176"/>
      <c r="Y800" s="177"/>
      <c r="Z800" s="415">
        <v>6</v>
      </c>
      <c r="AA800" s="488" t="s">
        <v>10621</v>
      </c>
      <c r="AB800" s="594"/>
      <c r="AC800" s="595"/>
      <c r="AD800" s="596" t="s">
        <v>5888</v>
      </c>
      <c r="AE800" s="596" t="s">
        <v>5888</v>
      </c>
      <c r="AF800" s="597" t="str">
        <f>IFERROR(INDEX(produtos_escape2!M:M,MATCH(Controle!H800,produtos_escape2!A:A,0)),"")</f>
        <v>Pinça dissecção sem dente de rato 16 cm</v>
      </c>
    </row>
    <row r="801" spans="1:32" ht="14.25" customHeight="1">
      <c r="A801" s="176" t="s">
        <v>7965</v>
      </c>
      <c r="B801" s="176" t="s">
        <v>7207</v>
      </c>
      <c r="C801" s="177">
        <v>44007</v>
      </c>
      <c r="D801" s="176" t="s">
        <v>9214</v>
      </c>
      <c r="E801" s="176" t="s">
        <v>1866</v>
      </c>
      <c r="F801" s="259" t="s">
        <v>9253</v>
      </c>
      <c r="G801" s="176">
        <v>7</v>
      </c>
      <c r="H801" s="178">
        <v>23383</v>
      </c>
      <c r="I801" s="592">
        <f t="shared" si="26"/>
        <v>2</v>
      </c>
      <c r="J801" s="178" t="s">
        <v>816</v>
      </c>
      <c r="K801" s="178" t="s">
        <v>816</v>
      </c>
      <c r="L801" s="275" t="str">
        <f>IF(H:H=0,"",IF(ISERROR(VLOOKUP(H:H,produtos_escape2!$A$2:$B$2794,2,FALSE)),"Código não cadastrado",(VLOOKUP(H:H,produtos_escape2!$A$2:$B$2794,2,FALSE))))</f>
        <v>PINÇA FOERSTER RETA 24,5cm; Aplicação: Instrumental cirúrgico; Material: produto confeccionado em aço inoxidável AISI-420, tamanho 24,5, plástica individual, constando os dados de identificação, procedência e rastreabilidade, Garantia 10 anos contra defeitos de fabricação, fabricado de acordo com padrões internacionais de qualidade, normas da ABNT, CE. Registro Ministério da Saúde; Tamanho: 24cm; Processo de esterilização: não estéril; Forma de apresentação: embalagem individual; Prazo de validade: 10 anos contra defeito de fabricação; Unidade de estoque: unidade</v>
      </c>
      <c r="M801" s="593" t="str">
        <f>IF(H:H=0,"",IF(ISERROR(VLOOKUP(H:H,produtos_escape2!$A$2:$D$2794,2,FALSE)),"Código não cadastrado",(VLOOKUP(H:H,produtos_escape2!$A$2:$D$2794,4,FALSE))))</f>
        <v>UN</v>
      </c>
      <c r="N801" s="486">
        <v>80</v>
      </c>
      <c r="O801" s="176" t="s">
        <v>1868</v>
      </c>
      <c r="P801" s="486"/>
      <c r="Q801" s="247"/>
      <c r="R801" s="246">
        <v>0</v>
      </c>
      <c r="S801" s="177">
        <v>44180</v>
      </c>
      <c r="T801" s="182"/>
      <c r="U801" s="177"/>
      <c r="V801" s="177"/>
      <c r="W801" s="177"/>
      <c r="X801" s="176"/>
      <c r="Y801" s="177"/>
      <c r="Z801" s="415">
        <v>6</v>
      </c>
      <c r="AA801" s="488" t="s">
        <v>10621</v>
      </c>
      <c r="AB801" s="594"/>
      <c r="AC801" s="595"/>
      <c r="AD801" s="596" t="s">
        <v>5888</v>
      </c>
      <c r="AE801" s="596" t="s">
        <v>5888</v>
      </c>
      <c r="AF801" s="597" t="str">
        <f>IFERROR(INDEX(produtos_escape2!M:M,MATCH(Controle!H801,produtos_escape2!A:A,0)),"")</f>
        <v>PINÇA FOERSTER RETA 24</v>
      </c>
    </row>
    <row r="802" spans="1:32" ht="14.25" customHeight="1">
      <c r="A802" s="176" t="s">
        <v>7965</v>
      </c>
      <c r="B802" s="176" t="s">
        <v>7207</v>
      </c>
      <c r="C802" s="177">
        <v>44007</v>
      </c>
      <c r="D802" s="176" t="s">
        <v>9214</v>
      </c>
      <c r="E802" s="176" t="s">
        <v>1866</v>
      </c>
      <c r="F802" s="259" t="s">
        <v>9253</v>
      </c>
      <c r="G802" s="176">
        <v>1</v>
      </c>
      <c r="H802" s="178">
        <v>15297</v>
      </c>
      <c r="I802" s="592">
        <f t="shared" si="26"/>
        <v>2</v>
      </c>
      <c r="J802" s="178" t="s">
        <v>816</v>
      </c>
      <c r="K802" s="178" t="s">
        <v>816</v>
      </c>
      <c r="L802" s="275" t="str">
        <f>IF(H:H=0,"",IF(ISERROR(VLOOKUP(H:H,produtos_escape2!$A$2:$B$2794,2,FALSE)),"Código não cadastrado",(VLOOKUP(H:H,produtos_escape2!$A$2:$B$2794,2,FALSE))))</f>
        <v>PINCA GOIVA STILLE LUER 17CM P/OSSO</v>
      </c>
      <c r="M802" s="593" t="str">
        <f>IF(H:H=0,"",IF(ISERROR(VLOOKUP(H:H,produtos_escape2!$A$2:$D$2794,2,FALSE)),"Código não cadastrado",(VLOOKUP(H:H,produtos_escape2!$A$2:$D$2794,4,FALSE))))</f>
        <v>UN</v>
      </c>
      <c r="N802" s="486">
        <v>10</v>
      </c>
      <c r="O802" s="176" t="s">
        <v>1868</v>
      </c>
      <c r="P802" s="486"/>
      <c r="Q802" s="247"/>
      <c r="R802" s="246">
        <v>0</v>
      </c>
      <c r="S802" s="177">
        <v>44180</v>
      </c>
      <c r="T802" s="182"/>
      <c r="U802" s="177"/>
      <c r="V802" s="177"/>
      <c r="W802" s="177"/>
      <c r="X802" s="176"/>
      <c r="Y802" s="177"/>
      <c r="Z802" s="415">
        <v>6</v>
      </c>
      <c r="AA802" s="488" t="s">
        <v>10621</v>
      </c>
      <c r="AB802" s="594"/>
      <c r="AC802" s="595"/>
      <c r="AD802" s="596" t="s">
        <v>5888</v>
      </c>
      <c r="AE802" s="596" t="s">
        <v>5888</v>
      </c>
      <c r="AF802" s="597">
        <f>IFERROR(INDEX(produtos_escape2!M:M,MATCH(Controle!H802,produtos_escape2!A:A,0)),"")</f>
        <v>0</v>
      </c>
    </row>
    <row r="803" spans="1:32" ht="14.25" customHeight="1">
      <c r="A803" s="176" t="s">
        <v>7965</v>
      </c>
      <c r="B803" s="176" t="s">
        <v>7207</v>
      </c>
      <c r="C803" s="177">
        <v>44007</v>
      </c>
      <c r="D803" s="176" t="s">
        <v>9214</v>
      </c>
      <c r="E803" s="176" t="s">
        <v>1866</v>
      </c>
      <c r="F803" s="259" t="s">
        <v>9253</v>
      </c>
      <c r="G803" s="176">
        <v>2</v>
      </c>
      <c r="H803" s="178">
        <v>15298</v>
      </c>
      <c r="I803" s="592">
        <f t="shared" si="26"/>
        <v>2</v>
      </c>
      <c r="J803" s="178" t="s">
        <v>816</v>
      </c>
      <c r="K803" s="178" t="s">
        <v>816</v>
      </c>
      <c r="L803" s="275" t="str">
        <f>IF(H:H=0,"",IF(ISERROR(VLOOKUP(H:H,produtos_escape2!$A$2:$B$2794,2,FALSE)),"Código não cadastrado",(VLOOKUP(H:H,produtos_escape2!$A$2:$B$2794,2,FALSE))))</f>
        <v>PINÇA GOIVA STILLE-LUER ANGULADA PARA LADO, Aplicação: Cortar osso, Material: Aço Inoxidável Cirúrgico AISI, Tamanho: 235 mm, boca de 3mm(múltipla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v>
      </c>
      <c r="M803" s="593" t="str">
        <f>IF(H:H=0,"",IF(ISERROR(VLOOKUP(H:H,produtos_escape2!$A$2:$D$2794,2,FALSE)),"Código não cadastrado",(VLOOKUP(H:H,produtos_escape2!$A$2:$D$2794,4,FALSE))))</f>
        <v>UN</v>
      </c>
      <c r="N803" s="486">
        <v>5</v>
      </c>
      <c r="O803" s="176" t="s">
        <v>1868</v>
      </c>
      <c r="P803" s="486"/>
      <c r="Q803" s="247"/>
      <c r="R803" s="246">
        <v>0</v>
      </c>
      <c r="S803" s="177">
        <v>44180</v>
      </c>
      <c r="T803" s="182"/>
      <c r="U803" s="177"/>
      <c r="V803" s="177"/>
      <c r="W803" s="177"/>
      <c r="X803" s="176"/>
      <c r="Y803" s="177"/>
      <c r="Z803" s="415">
        <v>6</v>
      </c>
      <c r="AA803" s="488" t="s">
        <v>10621</v>
      </c>
      <c r="AB803" s="594"/>
      <c r="AC803" s="595"/>
      <c r="AD803" s="596" t="s">
        <v>5888</v>
      </c>
      <c r="AE803" s="596" t="s">
        <v>5888</v>
      </c>
      <c r="AF803" s="597">
        <f>IFERROR(INDEX(produtos_escape2!M:M,MATCH(Controle!H803,produtos_escape2!A:A,0)),"")</f>
        <v>0</v>
      </c>
    </row>
    <row r="804" spans="1:32" ht="14.25" customHeight="1">
      <c r="A804" s="176" t="s">
        <v>7965</v>
      </c>
      <c r="B804" s="176" t="s">
        <v>7207</v>
      </c>
      <c r="C804" s="177">
        <v>44007</v>
      </c>
      <c r="D804" s="176" t="s">
        <v>9214</v>
      </c>
      <c r="E804" s="176" t="s">
        <v>1866</v>
      </c>
      <c r="F804" s="259" t="s">
        <v>9253</v>
      </c>
      <c r="G804" s="176">
        <v>9</v>
      </c>
      <c r="H804" s="178">
        <v>23400</v>
      </c>
      <c r="I804" s="592">
        <f t="shared" si="26"/>
        <v>2</v>
      </c>
      <c r="J804" s="178" t="s">
        <v>816</v>
      </c>
      <c r="K804" s="178" t="s">
        <v>816</v>
      </c>
      <c r="L804" s="275" t="str">
        <f>IF(H:H=0,"",IF(ISERROR(VLOOKUP(H:H,produtos_escape2!$A$2:$B$2794,2,FALSE)),"Código não cadastrado",(VLOOKUP(H:H,produtos_escape2!$A$2:$B$2794,2,FALSE))))</f>
        <v>PINÇA KELLY 14cm; Aplicação: Instrumental Cirúrgico; Material: Tamanho/Capacidade 140mm, Características Adcionais: A pinça deverá  ter as pontas delicadas e as serrilhas precisas para fazer adequadamente as hemostasias. A cremalheira deverá ter um funcionamento suave e progressivo, sem troncos e sem escapar com facilidade. O encaixe não deverá ser muito justo, a ponto de dificultar a abertura e o fechamento da peça, mas também não poderá ser folgado, a ponto de dificultar a apreensão dos tecidos. Os encaixes não deverão ter buracos ou frestas que possam acumular detritos provocando manhcas e/ou corrosão. As pinças não deverão ter cantos vivos, que possam ferir os pacientes ou cortar as luvas dos cirurgiões. O funcionamento geral da peça deverá ser suave, sem raspar no encaixe, sem machucar os dedos e o polimento deverá  ser o mais perfeito posssível. O tratamento térmico deverá ser integral a fim de conferir às peças  a dureza  e flexibilidades necessárias ao seu desempenho. As pinças deverão ser as mais leves possíves. Cada peça deverá ter uma gravação eletroquímica com clara identificação  do fabricante e código/lote de identificação da data de fabricação , iniciais da instituição  (SES-DF), Processo de Esterilização: não estéril, Unidade de Estoque: unidade; Tamanho: 14cm; Forma de apresentação: embalagem inidvidual; Prazo de validade: 10 anos contra defeito de fabricação,</v>
      </c>
      <c r="M804" s="593" t="str">
        <f>IF(H:H=0,"",IF(ISERROR(VLOOKUP(H:H,produtos_escape2!$A$2:$D$2794,2,FALSE)),"Código não cadastrado",(VLOOKUP(H:H,produtos_escape2!$A$2:$D$2794,4,FALSE))))</f>
        <v>UN</v>
      </c>
      <c r="N804" s="486">
        <v>60</v>
      </c>
      <c r="O804" s="176" t="s">
        <v>1868</v>
      </c>
      <c r="P804" s="486"/>
      <c r="Q804" s="247"/>
      <c r="R804" s="246">
        <v>0</v>
      </c>
      <c r="S804" s="177">
        <v>44180</v>
      </c>
      <c r="T804" s="182"/>
      <c r="U804" s="177"/>
      <c r="V804" s="177"/>
      <c r="W804" s="177"/>
      <c r="X804" s="176"/>
      <c r="Y804" s="177"/>
      <c r="Z804" s="415">
        <v>6</v>
      </c>
      <c r="AA804" s="488" t="s">
        <v>10621</v>
      </c>
      <c r="AB804" s="594"/>
      <c r="AC804" s="595"/>
      <c r="AD804" s="596" t="s">
        <v>5888</v>
      </c>
      <c r="AE804" s="596" t="s">
        <v>5888</v>
      </c>
      <c r="AF804" s="597">
        <f>IFERROR(INDEX(produtos_escape2!M:M,MATCH(Controle!H804,produtos_escape2!A:A,0)),"")</f>
        <v>0</v>
      </c>
    </row>
    <row r="805" spans="1:32" ht="14.25" customHeight="1">
      <c r="A805" s="176" t="s">
        <v>7965</v>
      </c>
      <c r="B805" s="176" t="s">
        <v>7207</v>
      </c>
      <c r="C805" s="177">
        <v>44007</v>
      </c>
      <c r="D805" s="176" t="s">
        <v>9214</v>
      </c>
      <c r="E805" s="176" t="s">
        <v>1866</v>
      </c>
      <c r="F805" s="259" t="s">
        <v>9253</v>
      </c>
      <c r="G805" s="176">
        <v>11</v>
      </c>
      <c r="H805" s="178">
        <v>23408</v>
      </c>
      <c r="I805" s="592">
        <f t="shared" si="26"/>
        <v>2</v>
      </c>
      <c r="J805" s="178" t="s">
        <v>816</v>
      </c>
      <c r="K805" s="178" t="s">
        <v>816</v>
      </c>
      <c r="L805" s="275" t="str">
        <f>IF(H:H=0,"",IF(ISERROR(VLOOKUP(H:H,produtos_escape2!$A$2:$B$2794,2,FALSE)),"Código não cadastrado",(VLOOKUP(H:H,produtos_escape2!$A$2:$B$2794,2,FALSE))))</f>
        <v>PINÇA KELLY CURVA 16cm; Aplicação: Instrumental cirúrgico; Material: Produto Kelly Curva,confeccionada em aço inox de 1a. qualidade (ASI 420) medindo 16cm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16cm; Processo de esterilização: não estéril; Forma de apresentação: embalagem individual: Prazo de validade: 10 anos contra defeitos de fabricação; Unidade de estoque: unidade</v>
      </c>
      <c r="M805" s="593" t="str">
        <f>IF(H:H=0,"",IF(ISERROR(VLOOKUP(H:H,produtos_escape2!$A$2:$D$2794,2,FALSE)),"Código não cadastrado",(VLOOKUP(H:H,produtos_escape2!$A$2:$D$2794,4,FALSE))))</f>
        <v>UN</v>
      </c>
      <c r="N805" s="486">
        <v>60</v>
      </c>
      <c r="O805" s="176" t="s">
        <v>1868</v>
      </c>
      <c r="P805" s="486"/>
      <c r="Q805" s="247"/>
      <c r="R805" s="246">
        <v>0</v>
      </c>
      <c r="S805" s="177">
        <v>44180</v>
      </c>
      <c r="T805" s="182"/>
      <c r="U805" s="177"/>
      <c r="V805" s="177"/>
      <c r="W805" s="177"/>
      <c r="X805" s="176"/>
      <c r="Y805" s="177"/>
      <c r="Z805" s="415">
        <v>6</v>
      </c>
      <c r="AA805" s="488" t="s">
        <v>10621</v>
      </c>
      <c r="AB805" s="594"/>
      <c r="AC805" s="595"/>
      <c r="AD805" s="596" t="s">
        <v>5888</v>
      </c>
      <c r="AE805" s="596" t="s">
        <v>5888</v>
      </c>
      <c r="AF805" s="597">
        <f>IFERROR(INDEX(produtos_escape2!M:M,MATCH(Controle!H805,produtos_escape2!A:A,0)),"")</f>
        <v>0</v>
      </c>
    </row>
    <row r="806" spans="1:32" ht="14.25" customHeight="1">
      <c r="A806" s="176" t="s">
        <v>7965</v>
      </c>
      <c r="B806" s="176" t="s">
        <v>7207</v>
      </c>
      <c r="C806" s="177">
        <v>44007</v>
      </c>
      <c r="D806" s="176" t="s">
        <v>9214</v>
      </c>
      <c r="E806" s="176" t="s">
        <v>1866</v>
      </c>
      <c r="F806" s="259" t="s">
        <v>9253</v>
      </c>
      <c r="G806" s="176">
        <v>12</v>
      </c>
      <c r="H806" s="178">
        <v>23410</v>
      </c>
      <c r="I806" s="592">
        <f t="shared" si="26"/>
        <v>2</v>
      </c>
      <c r="J806" s="178" t="s">
        <v>816</v>
      </c>
      <c r="K806" s="178" t="s">
        <v>816</v>
      </c>
      <c r="L806" s="275" t="str">
        <f>IF(H:H=0,"",IF(ISERROR(VLOOKUP(H:H,produtos_escape2!$A$2:$B$2794,2,FALSE)),"Código não cadastrado",(VLOOKUP(H:H,produtos_escape2!$A$2:$B$2794,2,FALSE))))</f>
        <v>PINÇA KOCHER RETO 18cm; Aplicação: Instrumental cirúrgico; Material: Pinça Kocher Reta,confeccionada em aço inox de 1a. qualidade, medindo 18cm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18cm; Processo de esterilização: não estéril; Forma de apresentação: embalagem individual: Prazo de validade: 10 anos contra defeitos de fabricação; Unidade de estoque: unidade</v>
      </c>
      <c r="M806" s="593" t="str">
        <f>IF(H:H=0,"",IF(ISERROR(VLOOKUP(H:H,produtos_escape2!$A$2:$D$2794,2,FALSE)),"Código não cadastrado",(VLOOKUP(H:H,produtos_escape2!$A$2:$D$2794,4,FALSE))))</f>
        <v>UN</v>
      </c>
      <c r="N806" s="486">
        <v>30</v>
      </c>
      <c r="O806" s="176" t="s">
        <v>1868</v>
      </c>
      <c r="P806" s="486"/>
      <c r="Q806" s="247"/>
      <c r="R806" s="246">
        <v>0</v>
      </c>
      <c r="S806" s="177">
        <v>44180</v>
      </c>
      <c r="T806" s="182"/>
      <c r="U806" s="177"/>
      <c r="V806" s="177"/>
      <c r="W806" s="177"/>
      <c r="X806" s="176"/>
      <c r="Y806" s="177"/>
      <c r="Z806" s="415">
        <v>6</v>
      </c>
      <c r="AA806" s="488" t="s">
        <v>10621</v>
      </c>
      <c r="AB806" s="594"/>
      <c r="AC806" s="595"/>
      <c r="AD806" s="596" t="s">
        <v>5888</v>
      </c>
      <c r="AE806" s="596" t="s">
        <v>5888</v>
      </c>
      <c r="AF806" s="597" t="str">
        <f>IFERROR(INDEX(produtos_escape2!M:M,MATCH(Controle!H806,produtos_escape2!A:A,0)),"")</f>
        <v>PINÇA KOCHER RETO 18cm</v>
      </c>
    </row>
    <row r="807" spans="1:32" ht="14.25" customHeight="1">
      <c r="A807" s="176" t="s">
        <v>7965</v>
      </c>
      <c r="B807" s="176" t="s">
        <v>7207</v>
      </c>
      <c r="C807" s="177">
        <v>44007</v>
      </c>
      <c r="D807" s="176" t="s">
        <v>9214</v>
      </c>
      <c r="E807" s="176" t="s">
        <v>1866</v>
      </c>
      <c r="F807" s="259" t="s">
        <v>9253</v>
      </c>
      <c r="G807" s="176">
        <v>4</v>
      </c>
      <c r="H807" s="178">
        <v>18622</v>
      </c>
      <c r="I807" s="592">
        <f t="shared" si="26"/>
        <v>2</v>
      </c>
      <c r="J807" s="178" t="s">
        <v>816</v>
      </c>
      <c r="K807" s="178" t="s">
        <v>816</v>
      </c>
      <c r="L807" s="275" t="str">
        <f>IF(H:H=0,"",IF(ISERROR(VLOOKUP(H:H,produtos_escape2!$A$2:$B$2794,2,FALSE)),"Código não cadastrado",(VLOOKUP(H:H,produtos_escape2!$A$2:$B$2794,2,FALSE))))</f>
        <v>PINÇA ROCHESTER PEAN RETA, Aplicação: Hemostasia, Material: Aço inoxidável AISI, Tamanho: 180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807" s="593" t="str">
        <f>IF(H:H=0,"",IF(ISERROR(VLOOKUP(H:H,produtos_escape2!$A$2:$D$2794,2,FALSE)),"Código não cadastrado",(VLOOKUP(H:H,produtos_escape2!$A$2:$D$2794,4,FALSE))))</f>
        <v>UN</v>
      </c>
      <c r="N807" s="486">
        <v>30</v>
      </c>
      <c r="O807" s="176" t="s">
        <v>1868</v>
      </c>
      <c r="P807" s="486"/>
      <c r="Q807" s="247"/>
      <c r="R807" s="246">
        <v>0</v>
      </c>
      <c r="S807" s="177">
        <v>44180</v>
      </c>
      <c r="T807" s="182"/>
      <c r="U807" s="177"/>
      <c r="V807" s="177"/>
      <c r="W807" s="177"/>
      <c r="X807" s="176"/>
      <c r="Y807" s="177"/>
      <c r="Z807" s="415">
        <v>6</v>
      </c>
      <c r="AA807" s="488" t="s">
        <v>10621</v>
      </c>
      <c r="AB807" s="594"/>
      <c r="AC807" s="595"/>
      <c r="AD807" s="596" t="s">
        <v>5888</v>
      </c>
      <c r="AE807" s="596" t="s">
        <v>5888</v>
      </c>
      <c r="AF807" s="597" t="str">
        <f>IFERROR(INDEX(produtos_escape2!M:M,MATCH(Controle!H807,produtos_escape2!A:A,0)),"")</f>
        <v>PINÇA ROCHESTER PEAN RETA</v>
      </c>
    </row>
    <row r="808" spans="1:32" ht="14.25" customHeight="1">
      <c r="A808" s="176" t="s">
        <v>7965</v>
      </c>
      <c r="B808" s="176" t="s">
        <v>7207</v>
      </c>
      <c r="C808" s="177">
        <v>44007</v>
      </c>
      <c r="D808" s="176" t="s">
        <v>9214</v>
      </c>
      <c r="E808" s="176" t="s">
        <v>1866</v>
      </c>
      <c r="F808" s="259" t="s">
        <v>9253</v>
      </c>
      <c r="G808" s="176">
        <v>3</v>
      </c>
      <c r="H808" s="178">
        <v>17117</v>
      </c>
      <c r="I808" s="592">
        <f t="shared" si="26"/>
        <v>2</v>
      </c>
      <c r="J808" s="178" t="s">
        <v>816</v>
      </c>
      <c r="K808" s="178" t="s">
        <v>816</v>
      </c>
      <c r="L808" s="275" t="str">
        <f>IF(H:H=0,"",IF(ISERROR(VLOOKUP(H:H,produtos_escape2!$A$2:$B$2794,2,FALSE)),"Código não cadastrado",(VLOOKUP(H:H,produtos_escape2!$A$2:$B$2794,2,FALSE))))</f>
        <v>PINCA ROCHESTER-PEAN,RETA,200MM</v>
      </c>
      <c r="M808" s="593" t="str">
        <f>IF(H:H=0,"",IF(ISERROR(VLOOKUP(H:H,produtos_escape2!$A$2:$D$2794,2,FALSE)),"Código não cadastrado",(VLOOKUP(H:H,produtos_escape2!$A$2:$D$2794,4,FALSE))))</f>
        <v>UN</v>
      </c>
      <c r="N808" s="486">
        <v>20</v>
      </c>
      <c r="O808" s="176" t="s">
        <v>1868</v>
      </c>
      <c r="P808" s="486"/>
      <c r="Q808" s="247"/>
      <c r="R808" s="246">
        <v>0</v>
      </c>
      <c r="S808" s="177">
        <v>44180</v>
      </c>
      <c r="T808" s="182"/>
      <c r="U808" s="177"/>
      <c r="V808" s="177"/>
      <c r="W808" s="177"/>
      <c r="X808" s="176"/>
      <c r="Y808" s="177"/>
      <c r="Z808" s="415">
        <v>6</v>
      </c>
      <c r="AA808" s="488" t="s">
        <v>10621</v>
      </c>
      <c r="AB808" s="594"/>
      <c r="AC808" s="595"/>
      <c r="AD808" s="596" t="s">
        <v>5888</v>
      </c>
      <c r="AE808" s="596" t="s">
        <v>5888</v>
      </c>
      <c r="AF808" s="597">
        <f>IFERROR(INDEX(produtos_escape2!M:M,MATCH(Controle!H808,produtos_escape2!A:A,0)),"")</f>
        <v>0</v>
      </c>
    </row>
    <row r="809" spans="1:32" ht="14.25" customHeight="1">
      <c r="A809" s="176" t="s">
        <v>7967</v>
      </c>
      <c r="B809" s="176" t="s">
        <v>7207</v>
      </c>
      <c r="C809" s="177">
        <v>44007</v>
      </c>
      <c r="D809" s="176" t="s">
        <v>9215</v>
      </c>
      <c r="E809" s="176" t="s">
        <v>1866</v>
      </c>
      <c r="F809" s="259" t="s">
        <v>9261</v>
      </c>
      <c r="G809" s="176">
        <v>7</v>
      </c>
      <c r="H809" s="178">
        <v>203296</v>
      </c>
      <c r="I809" s="592">
        <f t="shared" si="26"/>
        <v>2</v>
      </c>
      <c r="J809" s="178" t="s">
        <v>816</v>
      </c>
      <c r="K809" s="178" t="s">
        <v>816</v>
      </c>
      <c r="L809" s="275" t="str">
        <f>IF(H:H=0,"",IF(ISERROR(VLOOKUP(H:H,produtos_escape2!$A$2:$B$2794,2,FALSE)),"Código não cadastrado",(VLOOKUP(H:H,produtos_escape2!$A$2:$B$2794,2,FALSE))))</f>
        <v>PINÇA CRILLER RETA, Aplicação: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809" s="593" t="str">
        <f>IF(H:H=0,"",IF(ISERROR(VLOOKUP(H:H,produtos_escape2!$A$2:$D$2794,2,FALSE)),"Código não cadastrado",(VLOOKUP(H:H,produtos_escape2!$A$2:$D$2794,4,FALSE))))</f>
        <v>UN</v>
      </c>
      <c r="N809" s="486">
        <v>50</v>
      </c>
      <c r="O809" s="176" t="s">
        <v>1868</v>
      </c>
      <c r="P809" s="486"/>
      <c r="Q809" s="247"/>
      <c r="R809" s="246">
        <v>0</v>
      </c>
      <c r="S809" s="177">
        <v>44180</v>
      </c>
      <c r="T809" s="182"/>
      <c r="U809" s="177"/>
      <c r="V809" s="177"/>
      <c r="W809" s="177"/>
      <c r="X809" s="176"/>
      <c r="Y809" s="177"/>
      <c r="Z809" s="415">
        <v>6</v>
      </c>
      <c r="AA809" s="488" t="s">
        <v>10621</v>
      </c>
      <c r="AB809" s="594"/>
      <c r="AC809" s="595"/>
      <c r="AD809" s="596" t="s">
        <v>5888</v>
      </c>
      <c r="AE809" s="596" t="s">
        <v>5888</v>
      </c>
      <c r="AF809" s="597">
        <f>IFERROR(INDEX(produtos_escape2!M:M,MATCH(Controle!H809,produtos_escape2!A:A,0)),"")</f>
        <v>0</v>
      </c>
    </row>
    <row r="810" spans="1:32" ht="14.25" customHeight="1">
      <c r="A810" s="176" t="s">
        <v>7967</v>
      </c>
      <c r="B810" s="176" t="s">
        <v>7207</v>
      </c>
      <c r="C810" s="177">
        <v>44007</v>
      </c>
      <c r="D810" s="176" t="s">
        <v>9215</v>
      </c>
      <c r="E810" s="176" t="s">
        <v>1866</v>
      </c>
      <c r="F810" s="259" t="s">
        <v>9261</v>
      </c>
      <c r="G810" s="176">
        <v>1</v>
      </c>
      <c r="H810" s="178">
        <v>203216</v>
      </c>
      <c r="I810" s="592">
        <f t="shared" si="26"/>
        <v>2</v>
      </c>
      <c r="J810" s="178" t="s">
        <v>816</v>
      </c>
      <c r="K810" s="178" t="s">
        <v>816</v>
      </c>
      <c r="L810" s="275" t="str">
        <f>IF(H:H=0,"",IF(ISERROR(VLOOKUP(H:H,produtos_escape2!$A$2:$B$2794,2,FALSE)),"Código não cadastrado",(VLOOKUP(H:H,produtos_escape2!$A$2:$B$2794,2,FALSE))))</f>
        <v>PINÇA ÓSSEA LANE SEM CREMALHEIRA, Aplicação: Cirurgia Ortopédica Material: Aço inoxidável AISI, Tamanho:220 mm ,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810" s="593" t="str">
        <f>IF(H:H=0,"",IF(ISERROR(VLOOKUP(H:H,produtos_escape2!$A$2:$D$2794,2,FALSE)),"Código não cadastrado",(VLOOKUP(H:H,produtos_escape2!$A$2:$D$2794,4,FALSE))))</f>
        <v>UN</v>
      </c>
      <c r="N810" s="486">
        <v>5</v>
      </c>
      <c r="O810" s="176" t="s">
        <v>1868</v>
      </c>
      <c r="P810" s="486"/>
      <c r="Q810" s="247"/>
      <c r="R810" s="246">
        <v>0</v>
      </c>
      <c r="S810" s="177">
        <v>44180</v>
      </c>
      <c r="T810" s="182"/>
      <c r="U810" s="177"/>
      <c r="V810" s="177"/>
      <c r="W810" s="177"/>
      <c r="X810" s="176"/>
      <c r="Y810" s="177"/>
      <c r="Z810" s="415">
        <v>6</v>
      </c>
      <c r="AA810" s="488" t="s">
        <v>10621</v>
      </c>
      <c r="AB810" s="594"/>
      <c r="AC810" s="595"/>
      <c r="AD810" s="596" t="s">
        <v>5888</v>
      </c>
      <c r="AE810" s="596" t="s">
        <v>5888</v>
      </c>
      <c r="AF810" s="597">
        <f>IFERROR(INDEX(produtos_escape2!M:M,MATCH(Controle!H810,produtos_escape2!A:A,0)),"")</f>
        <v>0</v>
      </c>
    </row>
    <row r="811" spans="1:32" ht="14.25" customHeight="1">
      <c r="A811" s="176" t="s">
        <v>7967</v>
      </c>
      <c r="B811" s="176" t="s">
        <v>7207</v>
      </c>
      <c r="C811" s="177">
        <v>44007</v>
      </c>
      <c r="D811" s="176" t="s">
        <v>9215</v>
      </c>
      <c r="E811" s="176" t="s">
        <v>1866</v>
      </c>
      <c r="F811" s="259" t="s">
        <v>9261</v>
      </c>
      <c r="G811" s="176">
        <v>4</v>
      </c>
      <c r="H811" s="178">
        <v>203219</v>
      </c>
      <c r="I811" s="592">
        <f t="shared" si="26"/>
        <v>2</v>
      </c>
      <c r="J811" s="178" t="s">
        <v>816</v>
      </c>
      <c r="K811" s="178" t="s">
        <v>816</v>
      </c>
      <c r="L811" s="275" t="str">
        <f>IF(H:H=0,"",IF(ISERROR(VLOOKUP(H:H,produtos_escape2!$A$2:$B$2794,2,FALSE)),"Código não cadastrado",(VLOOKUP(H:H,produtos_escape2!$A$2:$B$2794,2,FALSE))))</f>
        <v>PINÇA ÓSSEA LOWMANN 1 X 2 DENTES, Aplicação: Cirurgia Ortopédica Material: Aço inoxidável AISI, Tamanho:185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validade:.Indeterminado.</v>
      </c>
      <c r="M811" s="593" t="str">
        <f>IF(H:H=0,"",IF(ISERROR(VLOOKUP(H:H,produtos_escape2!$A$2:$D$2794,2,FALSE)),"Código não cadastrado",(VLOOKUP(H:H,produtos_escape2!$A$2:$D$2794,4,FALSE))))</f>
        <v>UN</v>
      </c>
      <c r="N811" s="486">
        <v>8</v>
      </c>
      <c r="O811" s="176" t="s">
        <v>1868</v>
      </c>
      <c r="P811" s="486"/>
      <c r="Q811" s="247"/>
      <c r="R811" s="246">
        <v>0</v>
      </c>
      <c r="S811" s="177">
        <v>44180</v>
      </c>
      <c r="T811" s="182"/>
      <c r="U811" s="177"/>
      <c r="V811" s="177"/>
      <c r="W811" s="177"/>
      <c r="X811" s="176"/>
      <c r="Y811" s="177"/>
      <c r="Z811" s="415">
        <v>6</v>
      </c>
      <c r="AA811" s="488" t="s">
        <v>10621</v>
      </c>
      <c r="AB811" s="594"/>
      <c r="AC811" s="595"/>
      <c r="AD811" s="596" t="s">
        <v>5888</v>
      </c>
      <c r="AE811" s="596" t="s">
        <v>5888</v>
      </c>
      <c r="AF811" s="597" t="str">
        <f>IFERROR(INDEX(produtos_escape2!M:M,MATCH(Controle!H811,produtos_escape2!A:A,0)),"")</f>
        <v>PINÇA ÓSSEA LOWMANN 1 X 2 DENTES</v>
      </c>
    </row>
    <row r="812" spans="1:32" ht="14.25" customHeight="1">
      <c r="A812" s="176" t="s">
        <v>7967</v>
      </c>
      <c r="B812" s="176" t="s">
        <v>7207</v>
      </c>
      <c r="C812" s="177">
        <v>44007</v>
      </c>
      <c r="D812" s="176" t="s">
        <v>9215</v>
      </c>
      <c r="E812" s="176" t="s">
        <v>1866</v>
      </c>
      <c r="F812" s="259" t="s">
        <v>9261</v>
      </c>
      <c r="G812" s="176">
        <v>2</v>
      </c>
      <c r="H812" s="178">
        <v>203217</v>
      </c>
      <c r="I812" s="592">
        <f t="shared" si="26"/>
        <v>2</v>
      </c>
      <c r="J812" s="178" t="s">
        <v>816</v>
      </c>
      <c r="K812" s="178" t="s">
        <v>816</v>
      </c>
      <c r="L812" s="275" t="str">
        <f>IF(H:H=0,"",IF(ISERROR(VLOOKUP(H:H,produtos_escape2!$A$2:$B$2794,2,FALSE)),"Código não cadastrado",(VLOOKUP(H:H,produtos_escape2!$A$2:$B$2794,2,FALSE))))</f>
        <v>PINÇA ÓSSEA LOWMANN 1 X 2 DENTES,Aplicação: Cirurgia Ortopédica Material: Aço inoxidável AISI,Tamanho:120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812" s="593" t="str">
        <f>IF(H:H=0,"",IF(ISERROR(VLOOKUP(H:H,produtos_escape2!$A$2:$D$2794,2,FALSE)),"Código não cadastrado",(VLOOKUP(H:H,produtos_escape2!$A$2:$D$2794,4,FALSE))))</f>
        <v>UN</v>
      </c>
      <c r="N812" s="486">
        <v>8</v>
      </c>
      <c r="O812" s="176" t="s">
        <v>1868</v>
      </c>
      <c r="P812" s="486"/>
      <c r="Q812" s="247"/>
      <c r="R812" s="246">
        <v>0</v>
      </c>
      <c r="S812" s="177">
        <v>44180</v>
      </c>
      <c r="T812" s="182"/>
      <c r="U812" s="177"/>
      <c r="V812" s="177"/>
      <c r="W812" s="177"/>
      <c r="X812" s="176"/>
      <c r="Y812" s="177"/>
      <c r="Z812" s="415">
        <v>6</v>
      </c>
      <c r="AA812" s="488" t="s">
        <v>10621</v>
      </c>
      <c r="AB812" s="594"/>
      <c r="AC812" s="595"/>
      <c r="AD812" s="596" t="s">
        <v>5888</v>
      </c>
      <c r="AE812" s="596" t="s">
        <v>5888</v>
      </c>
      <c r="AF812" s="597">
        <f>IFERROR(INDEX(produtos_escape2!M:M,MATCH(Controle!H812,produtos_escape2!A:A,0)),"")</f>
        <v>0</v>
      </c>
    </row>
    <row r="813" spans="1:32" ht="14.25" customHeight="1">
      <c r="A813" s="176" t="s">
        <v>7967</v>
      </c>
      <c r="B813" s="176" t="s">
        <v>7207</v>
      </c>
      <c r="C813" s="177">
        <v>44007</v>
      </c>
      <c r="D813" s="176" t="s">
        <v>9215</v>
      </c>
      <c r="E813" s="176" t="s">
        <v>1866</v>
      </c>
      <c r="F813" s="259" t="s">
        <v>9261</v>
      </c>
      <c r="G813" s="176">
        <v>3</v>
      </c>
      <c r="H813" s="178">
        <v>203218</v>
      </c>
      <c r="I813" s="592">
        <f t="shared" si="26"/>
        <v>2</v>
      </c>
      <c r="J813" s="178" t="s">
        <v>816</v>
      </c>
      <c r="K813" s="178" t="s">
        <v>816</v>
      </c>
      <c r="L813" s="275" t="str">
        <f>IF(H:H=0,"",IF(ISERROR(VLOOKUP(H:H,produtos_escape2!$A$2:$B$2794,2,FALSE)),"Código não cadastrado",(VLOOKUP(H:H,produtos_escape2!$A$2:$B$2794,2,FALSE))))</f>
        <v>PINÇA ÓSSEA LOWMANN 1 X 2 DENTES,Aplicação: Cirurgia Ortopédica Material: Aço inoxidável AISI,Tamanho:200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v>
      </c>
      <c r="M813" s="593" t="str">
        <f>IF(H:H=0,"",IF(ISERROR(VLOOKUP(H:H,produtos_escape2!$A$2:$D$2794,2,FALSE)),"Código não cadastrado",(VLOOKUP(H:H,produtos_escape2!$A$2:$D$2794,4,FALSE))))</f>
        <v>UN</v>
      </c>
      <c r="N813" s="486">
        <v>8</v>
      </c>
      <c r="O813" s="176" t="s">
        <v>1868</v>
      </c>
      <c r="P813" s="486"/>
      <c r="Q813" s="247"/>
      <c r="R813" s="246">
        <v>0</v>
      </c>
      <c r="S813" s="177">
        <v>44180</v>
      </c>
      <c r="T813" s="182"/>
      <c r="U813" s="177"/>
      <c r="V813" s="177"/>
      <c r="W813" s="177"/>
      <c r="X813" s="176"/>
      <c r="Y813" s="177"/>
      <c r="Z813" s="415">
        <v>6</v>
      </c>
      <c r="AA813" s="488" t="s">
        <v>10621</v>
      </c>
      <c r="AB813" s="594"/>
      <c r="AC813" s="595"/>
      <c r="AD813" s="596" t="s">
        <v>5888</v>
      </c>
      <c r="AE813" s="596" t="s">
        <v>5888</v>
      </c>
      <c r="AF813" s="597" t="str">
        <f>IFERROR(INDEX(produtos_escape2!M:M,MATCH(Controle!H813,produtos_escape2!A:A,0)),"")</f>
        <v>PINÇA ÓSSEA LOWMANN 1 X 2 DENTES</v>
      </c>
    </row>
    <row r="814" spans="1:32" ht="14.25" customHeight="1">
      <c r="A814" s="176" t="s">
        <v>7967</v>
      </c>
      <c r="B814" s="176" t="s">
        <v>7207</v>
      </c>
      <c r="C814" s="177">
        <v>44007</v>
      </c>
      <c r="D814" s="176" t="s">
        <v>9215</v>
      </c>
      <c r="E814" s="176" t="s">
        <v>1866</v>
      </c>
      <c r="F814" s="259" t="s">
        <v>9261</v>
      </c>
      <c r="G814" s="176">
        <v>5</v>
      </c>
      <c r="H814" s="178">
        <v>203221</v>
      </c>
      <c r="I814" s="592">
        <f t="shared" si="26"/>
        <v>2</v>
      </c>
      <c r="J814" s="178" t="s">
        <v>816</v>
      </c>
      <c r="K814" s="178" t="s">
        <v>816</v>
      </c>
      <c r="L814" s="275" t="str">
        <f>IF(H:H=0,"",IF(ISERROR(VLOOKUP(H:H,produtos_escape2!$A$2:$B$2794,2,FALSE)),"Código não cadastrado",(VLOOKUP(H:H,produtos_escape2!$A$2:$B$2794,2,FALSE))))</f>
        <v>PINÇA PARA REDUÇÃO ÓSSEA COM PONTA FINA E CREMALHEIRA, Aplicação: Cirurgia Ortopédica Material: Aço inoxidável AISI, Tamanho:200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v>
      </c>
      <c r="M814" s="593" t="str">
        <f>IF(H:H=0,"",IF(ISERROR(VLOOKUP(H:H,produtos_escape2!$A$2:$D$2794,2,FALSE)),"Código não cadastrado",(VLOOKUP(H:H,produtos_escape2!$A$2:$D$2794,4,FALSE))))</f>
        <v>UN</v>
      </c>
      <c r="N814" s="486">
        <v>5</v>
      </c>
      <c r="O814" s="176" t="s">
        <v>1868</v>
      </c>
      <c r="P814" s="486"/>
      <c r="Q814" s="247"/>
      <c r="R814" s="246">
        <v>0</v>
      </c>
      <c r="S814" s="177">
        <v>44180</v>
      </c>
      <c r="T814" s="182"/>
      <c r="U814" s="177"/>
      <c r="V814" s="177"/>
      <c r="W814" s="177"/>
      <c r="X814" s="176"/>
      <c r="Y814" s="177"/>
      <c r="Z814" s="415">
        <v>6</v>
      </c>
      <c r="AA814" s="488" t="s">
        <v>10621</v>
      </c>
      <c r="AB814" s="594"/>
      <c r="AC814" s="595"/>
      <c r="AD814" s="596" t="s">
        <v>5888</v>
      </c>
      <c r="AE814" s="596" t="s">
        <v>5888</v>
      </c>
      <c r="AF814" s="597">
        <f>IFERROR(INDEX(produtos_escape2!M:M,MATCH(Controle!H814,produtos_escape2!A:A,0)),"")</f>
        <v>0</v>
      </c>
    </row>
    <row r="815" spans="1:32" ht="14.25" customHeight="1">
      <c r="A815" s="176" t="s">
        <v>7967</v>
      </c>
      <c r="B815" s="176" t="s">
        <v>7207</v>
      </c>
      <c r="C815" s="177">
        <v>44007</v>
      </c>
      <c r="D815" s="176" t="s">
        <v>9215</v>
      </c>
      <c r="E815" s="176" t="s">
        <v>1866</v>
      </c>
      <c r="F815" s="259" t="s">
        <v>9261</v>
      </c>
      <c r="G815" s="176">
        <v>6</v>
      </c>
      <c r="H815" s="178">
        <v>203222</v>
      </c>
      <c r="I815" s="592">
        <f t="shared" si="26"/>
        <v>2</v>
      </c>
      <c r="J815" s="178" t="s">
        <v>816</v>
      </c>
      <c r="K815" s="178" t="s">
        <v>816</v>
      </c>
      <c r="L815" s="275" t="str">
        <f>IF(H:H=0,"",IF(ISERROR(VLOOKUP(H:H,produtos_escape2!$A$2:$B$2794,2,FALSE)),"Código não cadastrado",(VLOOKUP(H:H,produtos_escape2!$A$2:$B$2794,2,FALSE))))</f>
        <v>PINÇA PARA REDUÇÃO ÓSSEA COM PONTAS,Aplicação: Cirurgia Ortopédica Material: Aço inoxidável AISI,  Tamanho: 160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 Forma de apresentação:Unidade Prazo de validade: Indeterminado</v>
      </c>
      <c r="M815" s="593" t="str">
        <f>IF(H:H=0,"",IF(ISERROR(VLOOKUP(H:H,produtos_escape2!$A$2:$D$2794,2,FALSE)),"Código não cadastrado",(VLOOKUP(H:H,produtos_escape2!$A$2:$D$2794,4,FALSE))))</f>
        <v>UN</v>
      </c>
      <c r="N815" s="486">
        <v>5</v>
      </c>
      <c r="O815" s="176" t="s">
        <v>1868</v>
      </c>
      <c r="P815" s="486"/>
      <c r="Q815" s="247"/>
      <c r="R815" s="246">
        <v>0</v>
      </c>
      <c r="S815" s="177">
        <v>44180</v>
      </c>
      <c r="T815" s="182"/>
      <c r="U815" s="177"/>
      <c r="V815" s="177"/>
      <c r="W815" s="177"/>
      <c r="X815" s="176"/>
      <c r="Y815" s="177"/>
      <c r="Z815" s="415">
        <v>6</v>
      </c>
      <c r="AA815" s="488" t="s">
        <v>10621</v>
      </c>
      <c r="AB815" s="594"/>
      <c r="AC815" s="595"/>
      <c r="AD815" s="596" t="s">
        <v>5888</v>
      </c>
      <c r="AE815" s="596" t="s">
        <v>5888</v>
      </c>
      <c r="AF815" s="597">
        <f>IFERROR(INDEX(produtos_escape2!M:M,MATCH(Controle!H815,produtos_escape2!A:A,0)),"")</f>
        <v>0</v>
      </c>
    </row>
    <row r="816" spans="1:32" ht="14.25" customHeight="1">
      <c r="A816" s="176" t="s">
        <v>7990</v>
      </c>
      <c r="B816" s="176" t="s">
        <v>7207</v>
      </c>
      <c r="C816" s="177">
        <v>44007</v>
      </c>
      <c r="D816" s="176" t="s">
        <v>9216</v>
      </c>
      <c r="E816" s="176" t="s">
        <v>1866</v>
      </c>
      <c r="F816" s="259" t="s">
        <v>9267</v>
      </c>
      <c r="G816" s="176">
        <v>1</v>
      </c>
      <c r="H816" s="178">
        <v>31528</v>
      </c>
      <c r="I816" s="592">
        <f t="shared" si="26"/>
        <v>2</v>
      </c>
      <c r="J816" s="178" t="s">
        <v>816</v>
      </c>
      <c r="K816" s="178" t="s">
        <v>816</v>
      </c>
      <c r="L816" s="275" t="str">
        <f>IF(H:H=0,"",IF(ISERROR(VLOOKUP(H:H,produtos_escape2!$A$2:$B$2794,2,FALSE)),"Código não cadastrado",(VLOOKUP(H:H,produtos_escape2!$A$2:$B$2794,2,FALSE))))</f>
        <v>PORTA AGULHA MAYO HEGAR SEM VÍDEA, Aplicação: Fixação da agulha em sutura de tecidos, Material: Aço inoxidável AISI, Tamanho: 200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v>
      </c>
      <c r="M816" s="593" t="str">
        <f>IF(H:H=0,"",IF(ISERROR(VLOOKUP(H:H,produtos_escape2!$A$2:$D$2794,2,FALSE)),"Código não cadastrado",(VLOOKUP(H:H,produtos_escape2!$A$2:$D$2794,4,FALSE))))</f>
        <v>UN</v>
      </c>
      <c r="N816" s="486">
        <v>50</v>
      </c>
      <c r="O816" s="176" t="s">
        <v>1868</v>
      </c>
      <c r="P816" s="486"/>
      <c r="Q816" s="247"/>
      <c r="R816" s="246">
        <f t="shared" ref="R816:R847" si="27">P816*Q816</f>
        <v>0</v>
      </c>
      <c r="S816" s="177">
        <v>44180</v>
      </c>
      <c r="T816" s="182"/>
      <c r="U816" s="177"/>
      <c r="V816" s="177"/>
      <c r="W816" s="177"/>
      <c r="X816" s="176"/>
      <c r="Y816" s="177"/>
      <c r="Z816" s="415">
        <v>6</v>
      </c>
      <c r="AA816" s="488" t="s">
        <v>10621</v>
      </c>
      <c r="AB816" s="594"/>
      <c r="AC816" s="595"/>
      <c r="AD816" s="596" t="str">
        <f>IF(AND(AC816&lt;&gt;"",S816&lt;&gt;""),NETWORKDAYS(AC816,S816,#REF!),"")</f>
        <v/>
      </c>
      <c r="AE816" s="596" t="str">
        <f ca="1">IF(AND(AD816="",AC816=""),"",IF(OR(AD816&lt;&gt;"",O816="*CANCELADO"),"",NETWORKDAYS(AC816,TODAY(),#REF!)))</f>
        <v/>
      </c>
      <c r="AF816" s="597">
        <f>IFERROR(INDEX(produtos_escape2!M:M,MATCH(Controle!H816,produtos_escape2!A:A,0)),"")</f>
        <v>0</v>
      </c>
    </row>
    <row r="817" spans="1:32" ht="14.25" customHeight="1">
      <c r="A817" s="176" t="s">
        <v>7990</v>
      </c>
      <c r="B817" s="176" t="s">
        <v>7207</v>
      </c>
      <c r="C817" s="177">
        <v>44007</v>
      </c>
      <c r="D817" s="176" t="s">
        <v>9216</v>
      </c>
      <c r="E817" s="176" t="s">
        <v>1866</v>
      </c>
      <c r="F817" s="259" t="s">
        <v>9267</v>
      </c>
      <c r="G817" s="176">
        <v>3</v>
      </c>
      <c r="H817" s="178">
        <v>203104</v>
      </c>
      <c r="I817" s="592">
        <f t="shared" si="26"/>
        <v>2</v>
      </c>
      <c r="J817" s="178" t="s">
        <v>816</v>
      </c>
      <c r="K817" s="178" t="s">
        <v>816</v>
      </c>
      <c r="L817" s="275" t="str">
        <f>IF(H:H=0,"",IF(ISERROR(VLOOKUP(H:H,produtos_escape2!$A$2:$B$2794,2,FALSE)),"Código não cadastrado",(VLOOKUP(H:H,produtos_escape2!$A$2:$B$2794,2,FALSE))))</f>
        <v>PORTA AGULHA MAYO HEGAR, Aplicação: Sutura.Material:aço inoxidável AISI,Tamanho: 140 mm mmCaracterísticas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Apresentar uma serrilha que realize uma pega adequada da agulha. Cada peça deverá ter uma gravação eletroquímica com clara identificação do fabricante e código/lote de identificação da data de fabricação, iniciais da instituição (SES-DF). Embalagem individual.Processo de esterilização: Não estéril, Forma de apresentação: Unidade.Prazo de validade: Indeterminado.</v>
      </c>
      <c r="M817" s="593" t="str">
        <f>IF(H:H=0,"",IF(ISERROR(VLOOKUP(H:H,produtos_escape2!$A$2:$D$2794,2,FALSE)),"Código não cadastrado",(VLOOKUP(H:H,produtos_escape2!$A$2:$D$2794,4,FALSE))))</f>
        <v>UN</v>
      </c>
      <c r="N817" s="486">
        <v>30</v>
      </c>
      <c r="O817" s="176" t="s">
        <v>1868</v>
      </c>
      <c r="P817" s="486"/>
      <c r="Q817" s="247"/>
      <c r="R817" s="246">
        <f t="shared" si="27"/>
        <v>0</v>
      </c>
      <c r="S817" s="177">
        <v>44180</v>
      </c>
      <c r="T817" s="182"/>
      <c r="U817" s="177"/>
      <c r="V817" s="177"/>
      <c r="W817" s="177"/>
      <c r="X817" s="176"/>
      <c r="Y817" s="177"/>
      <c r="Z817" s="415">
        <v>6</v>
      </c>
      <c r="AA817" s="488" t="s">
        <v>10621</v>
      </c>
      <c r="AB817" s="594"/>
      <c r="AC817" s="595"/>
      <c r="AD817" s="596" t="str">
        <f>IF(AND(AC817&lt;&gt;"",S817&lt;&gt;""),NETWORKDAYS(AC817,S817,#REF!),"")</f>
        <v/>
      </c>
      <c r="AE817" s="596" t="str">
        <f ca="1">IF(AND(AD817="",AC817=""),"",IF(OR(AD817&lt;&gt;"",O817="*CANCELADO"),"",NETWORKDAYS(AC817,TODAY(),#REF!)))</f>
        <v/>
      </c>
      <c r="AF817" s="597">
        <f>IFERROR(INDEX(produtos_escape2!M:M,MATCH(Controle!H817,produtos_escape2!A:A,0)),"")</f>
        <v>0</v>
      </c>
    </row>
    <row r="818" spans="1:32" ht="14.25" customHeight="1">
      <c r="A818" s="176" t="s">
        <v>7990</v>
      </c>
      <c r="B818" s="176" t="s">
        <v>7207</v>
      </c>
      <c r="C818" s="177">
        <v>44007</v>
      </c>
      <c r="D818" s="176" t="s">
        <v>9216</v>
      </c>
      <c r="E818" s="176" t="s">
        <v>1866</v>
      </c>
      <c r="F818" s="259" t="s">
        <v>9267</v>
      </c>
      <c r="G818" s="176">
        <v>2</v>
      </c>
      <c r="H818" s="178">
        <v>31532</v>
      </c>
      <c r="I818" s="592">
        <f t="shared" si="26"/>
        <v>2</v>
      </c>
      <c r="J818" s="178" t="s">
        <v>816</v>
      </c>
      <c r="K818" s="178" t="s">
        <v>816</v>
      </c>
      <c r="L818" s="275" t="str">
        <f>IF(H:H=0,"",IF(ISERROR(VLOOKUP(H:H,produtos_escape2!$A$2:$B$2794,2,FALSE)),"Código não cadastrado",(VLOOKUP(H:H,produtos_escape2!$A$2:$B$2794,2,FALSE))))</f>
        <v>PORTA AGULHA RYDER, Aplicação: Sutura microvascular, Material: Aço inoxidável AISI, Tamanho: 180 mm,  Características Adicionais  :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v>
      </c>
      <c r="M818" s="593" t="str">
        <f>IF(H:H=0,"",IF(ISERROR(VLOOKUP(H:H,produtos_escape2!$A$2:$D$2794,2,FALSE)),"Código não cadastrado",(VLOOKUP(H:H,produtos_escape2!$A$2:$D$2794,4,FALSE))))</f>
        <v>UN</v>
      </c>
      <c r="N818" s="486">
        <v>20</v>
      </c>
      <c r="O818" s="176" t="s">
        <v>1868</v>
      </c>
      <c r="P818" s="486"/>
      <c r="Q818" s="247"/>
      <c r="R818" s="246">
        <f t="shared" si="27"/>
        <v>0</v>
      </c>
      <c r="S818" s="177">
        <v>44180</v>
      </c>
      <c r="T818" s="182"/>
      <c r="U818" s="177"/>
      <c r="V818" s="177"/>
      <c r="W818" s="177"/>
      <c r="X818" s="176"/>
      <c r="Y818" s="177"/>
      <c r="Z818" s="415">
        <v>6</v>
      </c>
      <c r="AA818" s="488" t="s">
        <v>10621</v>
      </c>
      <c r="AB818" s="594"/>
      <c r="AC818" s="595"/>
      <c r="AD818" s="596" t="str">
        <f>IF(AND(AC818&lt;&gt;"",S818&lt;&gt;""),NETWORKDAYS(AC818,S818,#REF!),"")</f>
        <v/>
      </c>
      <c r="AE818" s="596" t="str">
        <f ca="1">IF(AND(AD818="",AC818=""),"",IF(OR(AD818&lt;&gt;"",O818="*CANCELADO"),"",NETWORKDAYS(AC818,TODAY(),#REF!)))</f>
        <v/>
      </c>
      <c r="AF818" s="597">
        <f>IFERROR(INDEX(produtos_escape2!M:M,MATCH(Controle!H818,produtos_escape2!A:A,0)),"")</f>
        <v>0</v>
      </c>
    </row>
    <row r="819" spans="1:32" ht="14.25" customHeight="1">
      <c r="A819" s="176" t="s">
        <v>7992</v>
      </c>
      <c r="B819" s="176" t="s">
        <v>7207</v>
      </c>
      <c r="C819" s="177">
        <v>44007</v>
      </c>
      <c r="D819" s="176" t="s">
        <v>9217</v>
      </c>
      <c r="E819" s="176" t="s">
        <v>1866</v>
      </c>
      <c r="F819" s="259" t="s">
        <v>9271</v>
      </c>
      <c r="G819" s="176">
        <v>2</v>
      </c>
      <c r="H819" s="178">
        <v>15154</v>
      </c>
      <c r="I819" s="592">
        <f t="shared" si="26"/>
        <v>1</v>
      </c>
      <c r="J819" s="178" t="s">
        <v>816</v>
      </c>
      <c r="K819" s="178" t="s">
        <v>816</v>
      </c>
      <c r="L819" s="275" t="str">
        <f>IF(H:H=0,"",IF(ISERROR(VLOOKUP(H:H,produtos_escape2!$A$2:$B$2794,2,FALSE)),"Código não cadastrado",(VLOOKUP(H:H,produtos_escape2!$A$2:$B$2794,2,FALSE))))</f>
        <v>CUBA REDONDA, Aplicação: Utilizada para colocação de líquidos utilizados em cirurgia (soro fisiológico ou soluções), Material: Aço Inoxidável Cirúrgico AISI, Tamanho: 250 ml,  Característica: O material deverá ter um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 .</v>
      </c>
      <c r="M819" s="593" t="str">
        <f>IF(H:H=0,"",IF(ISERROR(VLOOKUP(H:H,produtos_escape2!$A$2:$D$2794,2,FALSE)),"Código não cadastrado",(VLOOKUP(H:H,produtos_escape2!$A$2:$D$2794,4,FALSE))))</f>
        <v>UN</v>
      </c>
      <c r="N819" s="486">
        <v>80</v>
      </c>
      <c r="O819" s="176" t="s">
        <v>1868</v>
      </c>
      <c r="P819" s="486"/>
      <c r="Q819" s="247"/>
      <c r="R819" s="246">
        <f t="shared" si="27"/>
        <v>0</v>
      </c>
      <c r="S819" s="177">
        <v>44180</v>
      </c>
      <c r="T819" s="182"/>
      <c r="U819" s="177"/>
      <c r="V819" s="177"/>
      <c r="W819" s="177"/>
      <c r="X819" s="176"/>
      <c r="Y819" s="177"/>
      <c r="Z819" s="415">
        <v>6</v>
      </c>
      <c r="AA819" s="488" t="s">
        <v>10621</v>
      </c>
      <c r="AB819" s="594"/>
      <c r="AC819" s="595"/>
      <c r="AD819" s="596" t="str">
        <f>IF(AND(AC819&lt;&gt;"",S819&lt;&gt;""),NETWORKDAYS(AC819,S819,#REF!),"")</f>
        <v/>
      </c>
      <c r="AE819" s="596" t="str">
        <f ca="1">IF(AND(AD819="",AC819=""),"",IF(OR(AD819&lt;&gt;"",O819="*CANCELADO"),"",NETWORKDAYS(AC819,TODAY(),#REF!)))</f>
        <v/>
      </c>
      <c r="AF819" s="597">
        <f>IFERROR(INDEX(produtos_escape2!M:M,MATCH(Controle!H819,produtos_escape2!A:A,0)),"")</f>
        <v>0</v>
      </c>
    </row>
    <row r="820" spans="1:32" ht="14.25" customHeight="1">
      <c r="A820" s="176" t="s">
        <v>7992</v>
      </c>
      <c r="B820" s="176" t="s">
        <v>7207</v>
      </c>
      <c r="C820" s="177">
        <v>44007</v>
      </c>
      <c r="D820" s="176" t="s">
        <v>9217</v>
      </c>
      <c r="E820" s="176" t="s">
        <v>1866</v>
      </c>
      <c r="F820" s="259" t="s">
        <v>9271</v>
      </c>
      <c r="G820" s="176">
        <v>4</v>
      </c>
      <c r="H820" s="178">
        <v>203010</v>
      </c>
      <c r="I820" s="592">
        <f t="shared" si="26"/>
        <v>2</v>
      </c>
      <c r="J820" s="178" t="s">
        <v>816</v>
      </c>
      <c r="K820" s="178" t="s">
        <v>816</v>
      </c>
      <c r="L820" s="275" t="str">
        <f>IF(H:H=0,"",IF(ISERROR(VLOOKUP(H:H,produtos_escape2!$A$2:$B$2794,2,FALSE)),"Código não cadastrado",(VLOOKUP(H:H,produtos_escape2!$A$2:$B$2794,2,FALSE))))</f>
        <v>CUBA REDONDA, Aplicação:Recipiente para soluções.Material: Aço inoxidável AISI,Tamanho: 150 ml,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individual.Não estéril, Forma de apresentação:  Unidade, Prazo de validade: Indeterminado.</v>
      </c>
      <c r="M820" s="593" t="str">
        <f>IF(H:H=0,"",IF(ISERROR(VLOOKUP(H:H,produtos_escape2!$A$2:$D$2794,2,FALSE)),"Código não cadastrado",(VLOOKUP(H:H,produtos_escape2!$A$2:$D$2794,4,FALSE))))</f>
        <v>UN</v>
      </c>
      <c r="N820" s="486">
        <v>20</v>
      </c>
      <c r="O820" s="176" t="s">
        <v>1868</v>
      </c>
      <c r="P820" s="486"/>
      <c r="Q820" s="247"/>
      <c r="R820" s="246">
        <f t="shared" si="27"/>
        <v>0</v>
      </c>
      <c r="S820" s="177">
        <v>44180</v>
      </c>
      <c r="T820" s="182"/>
      <c r="U820" s="177"/>
      <c r="V820" s="177"/>
      <c r="W820" s="177"/>
      <c r="X820" s="176"/>
      <c r="Y820" s="177"/>
      <c r="Z820" s="415">
        <v>6</v>
      </c>
      <c r="AA820" s="488" t="s">
        <v>10621</v>
      </c>
      <c r="AB820" s="594"/>
      <c r="AC820" s="595"/>
      <c r="AD820" s="596" t="str">
        <f>IF(AND(AC820&lt;&gt;"",S820&lt;&gt;""),NETWORKDAYS(AC820,S820,#REF!),"")</f>
        <v/>
      </c>
      <c r="AE820" s="596" t="str">
        <f ca="1">IF(AND(AD820="",AC820=""),"",IF(OR(AD820&lt;&gt;"",O820="*CANCELADO"),"",NETWORKDAYS(AC820,TODAY(),#REF!)))</f>
        <v/>
      </c>
      <c r="AF820" s="597">
        <f>IFERROR(INDEX(produtos_escape2!M:M,MATCH(Controle!H820,produtos_escape2!A:A,0)),"")</f>
        <v>0</v>
      </c>
    </row>
    <row r="821" spans="1:32" ht="14.25" customHeight="1">
      <c r="A821" s="176" t="s">
        <v>7992</v>
      </c>
      <c r="B821" s="176" t="s">
        <v>7207</v>
      </c>
      <c r="C821" s="177">
        <v>44007</v>
      </c>
      <c r="D821" s="176" t="s">
        <v>9217</v>
      </c>
      <c r="E821" s="176" t="s">
        <v>1866</v>
      </c>
      <c r="F821" s="259" t="s">
        <v>9271</v>
      </c>
      <c r="G821" s="176">
        <v>1</v>
      </c>
      <c r="H821" s="178">
        <v>14522</v>
      </c>
      <c r="I821" s="592">
        <f t="shared" si="26"/>
        <v>1</v>
      </c>
      <c r="J821" s="178" t="s">
        <v>816</v>
      </c>
      <c r="K821" s="178" t="s">
        <v>816</v>
      </c>
      <c r="L821" s="275" t="str">
        <f>IF(H:H=0,"",IF(ISERROR(VLOOKUP(H:H,produtos_escape2!$A$2:$B$2794,2,FALSE)),"Código não cadastrado",(VLOOKUP(H:H,produtos_escape2!$A$2:$B$2794,2,FALSE))))</f>
        <v>CUBA RETANGULAR EM AÇO INOX MED.20X30X1,5CM (USO ODONTÓLOGICO).</v>
      </c>
      <c r="M821" s="593" t="str">
        <f>IF(H:H=0,"",IF(ISERROR(VLOOKUP(H:H,produtos_escape2!$A$2:$D$2794,2,FALSE)),"Código não cadastrado",(VLOOKUP(H:H,produtos_escape2!$A$2:$D$2794,4,FALSE))))</f>
        <v>UN</v>
      </c>
      <c r="N821" s="486">
        <v>50</v>
      </c>
      <c r="O821" s="176" t="s">
        <v>1868</v>
      </c>
      <c r="P821" s="486"/>
      <c r="Q821" s="247"/>
      <c r="R821" s="246">
        <f t="shared" si="27"/>
        <v>0</v>
      </c>
      <c r="S821" s="177">
        <v>44180</v>
      </c>
      <c r="T821" s="182"/>
      <c r="U821" s="177"/>
      <c r="V821" s="177"/>
      <c r="W821" s="177"/>
      <c r="X821" s="176"/>
      <c r="Y821" s="177"/>
      <c r="Z821" s="415">
        <v>6</v>
      </c>
      <c r="AA821" s="488" t="s">
        <v>10621</v>
      </c>
      <c r="AB821" s="594"/>
      <c r="AC821" s="595"/>
      <c r="AD821" s="596" t="str">
        <f>IF(AND(AC821&lt;&gt;"",S821&lt;&gt;""),NETWORKDAYS(AC821,S821,#REF!),"")</f>
        <v/>
      </c>
      <c r="AE821" s="596" t="str">
        <f ca="1">IF(AND(AD821="",AC821=""),"",IF(OR(AD821&lt;&gt;"",O821="*CANCELADO"),"",NETWORKDAYS(AC821,TODAY(),#REF!)))</f>
        <v/>
      </c>
      <c r="AF821" s="597">
        <f>IFERROR(INDEX(produtos_escape2!M:M,MATCH(Controle!H821,produtos_escape2!A:A,0)),"")</f>
        <v>0</v>
      </c>
    </row>
    <row r="822" spans="1:32" ht="14.25" customHeight="1">
      <c r="A822" s="176" t="s">
        <v>7992</v>
      </c>
      <c r="B822" s="176" t="s">
        <v>7207</v>
      </c>
      <c r="C822" s="177">
        <v>44007</v>
      </c>
      <c r="D822" s="176" t="s">
        <v>9217</v>
      </c>
      <c r="E822" s="176" t="s">
        <v>1866</v>
      </c>
      <c r="F822" s="259" t="s">
        <v>9271</v>
      </c>
      <c r="G822" s="176">
        <v>3</v>
      </c>
      <c r="H822" s="178">
        <v>202937</v>
      </c>
      <c r="I822" s="592">
        <f t="shared" si="26"/>
        <v>1</v>
      </c>
      <c r="J822" s="178" t="s">
        <v>816</v>
      </c>
      <c r="K822" s="178" t="s">
        <v>816</v>
      </c>
      <c r="L822" s="275" t="str">
        <f>IF(H:H=0,"",IF(ISERROR(VLOOKUP(H:H,produtos_escape2!$A$2:$B$2794,2,FALSE)),"Código não cadastrado",(VLOOKUP(H:H,produtos_escape2!$A$2:$B$2794,2,FALSE))))</f>
        <v>CUBA RETANGULAR, Aplicação: Acondicionar instrumental para esterilização, Material: Aço inoxidável AISI, Tamanho: 320 x 230 x 40 mm,  Características: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v>
      </c>
      <c r="M822" s="593" t="str">
        <f>IF(H:H=0,"",IF(ISERROR(VLOOKUP(H:H,produtos_escape2!$A$2:$D$2794,2,FALSE)),"Código não cadastrado",(VLOOKUP(H:H,produtos_escape2!$A$2:$D$2794,4,FALSE))))</f>
        <v>UN</v>
      </c>
      <c r="N822" s="486">
        <v>30</v>
      </c>
      <c r="O822" s="176" t="s">
        <v>1868</v>
      </c>
      <c r="P822" s="486"/>
      <c r="Q822" s="247"/>
      <c r="R822" s="246">
        <f t="shared" si="27"/>
        <v>0</v>
      </c>
      <c r="S822" s="177">
        <v>44180</v>
      </c>
      <c r="T822" s="182"/>
      <c r="U822" s="177"/>
      <c r="V822" s="177"/>
      <c r="W822" s="177"/>
      <c r="X822" s="176"/>
      <c r="Y822" s="177"/>
      <c r="Z822" s="415">
        <v>6</v>
      </c>
      <c r="AA822" s="488" t="s">
        <v>10621</v>
      </c>
      <c r="AB822" s="594"/>
      <c r="AC822" s="595"/>
      <c r="AD822" s="596" t="str">
        <f>IF(AND(AC822&lt;&gt;"",S822&lt;&gt;""),NETWORKDAYS(AC822,S822,#REF!),"")</f>
        <v/>
      </c>
      <c r="AE822" s="596" t="str">
        <f ca="1">IF(AND(AD822="",AC822=""),"",IF(OR(AD822&lt;&gt;"",O822="*CANCELADO"),"",NETWORKDAYS(AC822,TODAY(),#REF!)))</f>
        <v/>
      </c>
      <c r="AF822" s="597">
        <f>IFERROR(INDEX(produtos_escape2!M:M,MATCH(Controle!H822,produtos_escape2!A:A,0)),"")</f>
        <v>0</v>
      </c>
    </row>
    <row r="823" spans="1:32" ht="14.25" customHeight="1">
      <c r="A823" s="176" t="s">
        <v>7994</v>
      </c>
      <c r="B823" s="176" t="s">
        <v>7207</v>
      </c>
      <c r="C823" s="177">
        <v>44007</v>
      </c>
      <c r="D823" s="176" t="s">
        <v>9230</v>
      </c>
      <c r="E823" s="176" t="s">
        <v>1866</v>
      </c>
      <c r="F823" s="259" t="s">
        <v>9275</v>
      </c>
      <c r="G823" s="176">
        <v>1</v>
      </c>
      <c r="H823" s="178">
        <v>13280</v>
      </c>
      <c r="I823" s="592">
        <f t="shared" si="26"/>
        <v>1</v>
      </c>
      <c r="J823" s="178" t="s">
        <v>816</v>
      </c>
      <c r="K823" s="178" t="s">
        <v>816</v>
      </c>
      <c r="L823" s="275" t="str">
        <f>IF(H:H=0,"",IF(ISERROR(VLOOKUP(H:H,produtos_escape2!$A$2:$B$2794,2,FALSE)),"Código não cadastrado",(VLOOKUP(H:H,produtos_escape2!$A$2:$B$2794,2,FALSE))))</f>
        <v>TESOURA  DE MAYO-STILLE RETA, Aplicação: Cirurgia Vascular, Material: Aço inoxidável Composição Química, Tamanho: 170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v>
      </c>
      <c r="M823" s="593" t="str">
        <f>IF(H:H=0,"",IF(ISERROR(VLOOKUP(H:H,produtos_escape2!$A$2:$D$2794,2,FALSE)),"Código não cadastrado",(VLOOKUP(H:H,produtos_escape2!$A$2:$D$2794,4,FALSE))))</f>
        <v>UN</v>
      </c>
      <c r="N823" s="486">
        <v>50</v>
      </c>
      <c r="O823" s="176" t="s">
        <v>1868</v>
      </c>
      <c r="P823" s="486"/>
      <c r="Q823" s="247"/>
      <c r="R823" s="246">
        <f t="shared" si="27"/>
        <v>0</v>
      </c>
      <c r="S823" s="177">
        <v>44180</v>
      </c>
      <c r="T823" s="182"/>
      <c r="U823" s="177"/>
      <c r="V823" s="177"/>
      <c r="W823" s="177"/>
      <c r="X823" s="176"/>
      <c r="Y823" s="177"/>
      <c r="Z823" s="415">
        <v>6</v>
      </c>
      <c r="AA823" s="488" t="s">
        <v>10621</v>
      </c>
      <c r="AB823" s="594"/>
      <c r="AC823" s="595"/>
      <c r="AD823" s="596" t="str">
        <f>IF(AND(AC823&lt;&gt;"",S823&lt;&gt;""),NETWORKDAYS(AC823,S823,#REF!),"")</f>
        <v/>
      </c>
      <c r="AE823" s="596" t="str">
        <f ca="1">IF(AND(AD823="",AC823=""),"",IF(OR(AD823&lt;&gt;"",O823="*CANCELADO"),"",NETWORKDAYS(AC823,TODAY(),#REF!)))</f>
        <v/>
      </c>
      <c r="AF823" s="597">
        <f>IFERROR(INDEX(produtos_escape2!M:M,MATCH(Controle!H823,produtos_escape2!A:A,0)),"")</f>
        <v>0</v>
      </c>
    </row>
    <row r="824" spans="1:32" ht="14.25" customHeight="1">
      <c r="A824" s="176" t="s">
        <v>7994</v>
      </c>
      <c r="B824" s="176" t="s">
        <v>7207</v>
      </c>
      <c r="C824" s="177">
        <v>44007</v>
      </c>
      <c r="D824" s="176" t="s">
        <v>9230</v>
      </c>
      <c r="E824" s="176" t="s">
        <v>1866</v>
      </c>
      <c r="F824" s="259" t="s">
        <v>9275</v>
      </c>
      <c r="G824" s="176">
        <v>2</v>
      </c>
      <c r="H824" s="178">
        <v>29735</v>
      </c>
      <c r="I824" s="592">
        <f t="shared" si="26"/>
        <v>1</v>
      </c>
      <c r="J824" s="178" t="s">
        <v>816</v>
      </c>
      <c r="K824" s="178" t="s">
        <v>816</v>
      </c>
      <c r="L824" s="275" t="str">
        <f>IF(H:H=0,"",IF(ISERROR(VLOOKUP(H:H,produtos_escape2!$A$2:$B$2794,2,FALSE)),"Código não cadastrado",(VLOOKUP(H:H,produtos_escape2!$A$2:$B$2794,2,FALSE))))</f>
        <v>TESOURA JOSEPH  CURVA, Aplicação: Microcirurgia para Secção de tecidos. Material: Aço inoxidável AISI ; Tamanho: 14 cm, Características adicionais: A tesoura deverá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Deve ter registro no Ministério da Saúde.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v>
      </c>
      <c r="M824" s="593" t="str">
        <f>IF(H:H=0,"",IF(ISERROR(VLOOKUP(H:H,produtos_escape2!$A$2:$D$2794,2,FALSE)),"Código não cadastrado",(VLOOKUP(H:H,produtos_escape2!$A$2:$D$2794,4,FALSE))))</f>
        <v>UN</v>
      </c>
      <c r="N824" s="486">
        <v>5</v>
      </c>
      <c r="O824" s="176" t="s">
        <v>1868</v>
      </c>
      <c r="P824" s="486"/>
      <c r="Q824" s="247"/>
      <c r="R824" s="246">
        <f t="shared" si="27"/>
        <v>0</v>
      </c>
      <c r="S824" s="177">
        <v>44180</v>
      </c>
      <c r="T824" s="182"/>
      <c r="U824" s="177"/>
      <c r="V824" s="177"/>
      <c r="W824" s="177"/>
      <c r="X824" s="176"/>
      <c r="Y824" s="177"/>
      <c r="Z824" s="415">
        <v>6</v>
      </c>
      <c r="AA824" s="488" t="s">
        <v>10621</v>
      </c>
      <c r="AB824" s="594"/>
      <c r="AC824" s="595"/>
      <c r="AD824" s="596" t="str">
        <f>IF(AND(AC824&lt;&gt;"",S824&lt;&gt;""),NETWORKDAYS(AC824,S824,#REF!),"")</f>
        <v/>
      </c>
      <c r="AE824" s="596" t="str">
        <f ca="1">IF(AND(AD824="",AC824=""),"",IF(OR(AD824&lt;&gt;"",O824="*CANCELADO"),"",NETWORKDAYS(AC824,TODAY(),#REF!)))</f>
        <v/>
      </c>
      <c r="AF824" s="597">
        <f>IFERROR(INDEX(produtos_escape2!M:M,MATCH(Controle!H824,produtos_escape2!A:A,0)),"")</f>
        <v>0</v>
      </c>
    </row>
    <row r="825" spans="1:32" ht="14.25" customHeight="1">
      <c r="A825" s="176" t="s">
        <v>8011</v>
      </c>
      <c r="B825" s="176" t="s">
        <v>7207</v>
      </c>
      <c r="C825" s="177">
        <v>44008</v>
      </c>
      <c r="D825" s="176" t="s">
        <v>9280</v>
      </c>
      <c r="E825" s="176" t="s">
        <v>3009</v>
      </c>
      <c r="F825" s="259" t="s">
        <v>9281</v>
      </c>
      <c r="G825" s="176">
        <v>1</v>
      </c>
      <c r="H825" s="178">
        <v>51453</v>
      </c>
      <c r="I825" s="592">
        <f t="shared" si="26"/>
        <v>6</v>
      </c>
      <c r="J825" s="178" t="s">
        <v>4381</v>
      </c>
      <c r="K825" s="178" t="s">
        <v>4381</v>
      </c>
      <c r="L825" s="275"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825" s="593" t="str">
        <f>IF(H:H=0,"",IF(ISERROR(VLOOKUP(H:H,produtos_escape2!$A$2:$D$2794,2,FALSE)),"Código não cadastrado",(VLOOKUP(H:H,produtos_escape2!$A$2:$D$2794,4,FALSE))))</f>
        <v>UN</v>
      </c>
      <c r="N825" s="486">
        <v>10000</v>
      </c>
      <c r="O825" s="176" t="s">
        <v>7825</v>
      </c>
      <c r="P825" s="486">
        <v>10000</v>
      </c>
      <c r="Q825" s="247">
        <v>0.21</v>
      </c>
      <c r="R825" s="246">
        <f t="shared" si="27"/>
        <v>2100</v>
      </c>
      <c r="S825" s="177">
        <v>44018</v>
      </c>
      <c r="T825" s="182">
        <v>549493</v>
      </c>
      <c r="U825" s="177">
        <v>44018</v>
      </c>
      <c r="V825" s="177">
        <v>44022</v>
      </c>
      <c r="W825" s="177">
        <v>44025</v>
      </c>
      <c r="X825" s="176">
        <v>46084</v>
      </c>
      <c r="Y825" s="177">
        <v>44032</v>
      </c>
      <c r="Z825" s="415">
        <v>4</v>
      </c>
      <c r="AA825" s="488"/>
      <c r="AB825" s="594"/>
      <c r="AC825" s="595"/>
      <c r="AD825" s="596" t="str">
        <f>IF(AND(AC825&lt;&gt;"",S825&lt;&gt;""),NETWORKDAYS(AC825,S825,#REF!),"")</f>
        <v/>
      </c>
      <c r="AE825" s="596" t="str">
        <f ca="1">IF(AND(AD825="",AC825=""),"",IF(OR(AD825&lt;&gt;"",O825="*CANCELADO"),"",NETWORKDAYS(AC825,TODAY(),#REF!)))</f>
        <v/>
      </c>
      <c r="AF825" s="597" t="str">
        <f>IFERROR(INDEX(produtos_escape2!M:M,MATCH(Controle!H825,produtos_escape2!A:A,0)),"")</f>
        <v>GORRO DESCARTÁVEL</v>
      </c>
    </row>
    <row r="826" spans="1:32" ht="14.25" customHeight="1">
      <c r="A826" s="176" t="s">
        <v>8539</v>
      </c>
      <c r="B826" s="176" t="s">
        <v>3608</v>
      </c>
      <c r="C826" s="177">
        <v>44011</v>
      </c>
      <c r="D826" s="176" t="s">
        <v>9287</v>
      </c>
      <c r="E826" s="176" t="s">
        <v>1867</v>
      </c>
      <c r="F826" s="259" t="s">
        <v>9288</v>
      </c>
      <c r="G826" s="176">
        <v>1</v>
      </c>
      <c r="H826" s="178">
        <v>90458</v>
      </c>
      <c r="I826" s="592">
        <f t="shared" si="26"/>
        <v>7</v>
      </c>
      <c r="J826" s="178" t="s">
        <v>816</v>
      </c>
      <c r="K826" s="178" t="s">
        <v>816</v>
      </c>
      <c r="L826" s="275" t="str">
        <f>IF(H:H=0,"",IF(ISERROR(VLOOKUP(H:H,produtos_escape2!$A$2:$B$2794,2,FALSE)),"Código não cadastrado",(VLOOKUP(H:H,produtos_escape2!$A$2:$B$2794,2,FALSE))))</f>
        <v>ROCURÔNIO SOLUÇÃO INJETÁVEL 10 MG/ML FRASCO AMPOLA 5ML</v>
      </c>
      <c r="M826" s="593" t="str">
        <f>IF(H:H=0,"",IF(ISERROR(VLOOKUP(H:H,produtos_escape2!$A$2:$D$2794,2,FALSE)),"Código não cadastrado",(VLOOKUP(H:H,produtos_escape2!$A$2:$D$2794,4,FALSE))))</f>
        <v>FA</v>
      </c>
      <c r="N826" s="486">
        <v>200</v>
      </c>
      <c r="O826" s="176" t="s">
        <v>8931</v>
      </c>
      <c r="P826" s="486">
        <v>200</v>
      </c>
      <c r="Q826" s="247">
        <v>10.49</v>
      </c>
      <c r="R826" s="246">
        <f t="shared" si="27"/>
        <v>2098</v>
      </c>
      <c r="S826" s="177">
        <v>44015</v>
      </c>
      <c r="T826" s="182">
        <v>6382</v>
      </c>
      <c r="U826" s="177">
        <v>44029</v>
      </c>
      <c r="V826" s="177">
        <v>44032</v>
      </c>
      <c r="W826" s="177">
        <v>44033</v>
      </c>
      <c r="X826" s="176">
        <v>54215</v>
      </c>
      <c r="Y826" s="177">
        <v>44046</v>
      </c>
      <c r="Z826" s="415">
        <v>4</v>
      </c>
      <c r="AA826" s="488"/>
      <c r="AB826" s="594"/>
      <c r="AC826" s="595"/>
      <c r="AD826" s="596" t="str">
        <f>IF(AND(AC826&lt;&gt;"",S826&lt;&gt;""),NETWORKDAYS(AC826,S826,#REF!),"")</f>
        <v/>
      </c>
      <c r="AE826" s="596" t="str">
        <f ca="1">IF(AND(AD826="",AC826=""),"",IF(OR(AD826&lt;&gt;"",O826="*CANCELADO"),"",NETWORKDAYS(AC826,TODAY(),#REF!)))</f>
        <v/>
      </c>
      <c r="AF826" s="597" t="str">
        <f>IFERROR(INDEX(produtos_escape2!M:M,MATCH(Controle!H826,produtos_escape2!A:A,0)),"")</f>
        <v>ROCURÔNIO SOLUÇÃO INJETÁVEL 10 MG/ML FRASCO AMPOLA 5ML</v>
      </c>
    </row>
    <row r="827" spans="1:32" ht="14.25" customHeight="1">
      <c r="A827" s="176" t="s">
        <v>8538</v>
      </c>
      <c r="B827" s="176" t="s">
        <v>3608</v>
      </c>
      <c r="C827" s="177">
        <v>44011</v>
      </c>
      <c r="D827" s="176" t="s">
        <v>9289</v>
      </c>
      <c r="E827" s="176" t="s">
        <v>1867</v>
      </c>
      <c r="F827" s="259" t="s">
        <v>9290</v>
      </c>
      <c r="G827" s="176">
        <v>1</v>
      </c>
      <c r="H827" s="178">
        <v>90555</v>
      </c>
      <c r="I827" s="592">
        <f t="shared" si="26"/>
        <v>4</v>
      </c>
      <c r="J827" s="178" t="s">
        <v>816</v>
      </c>
      <c r="K827" s="178" t="s">
        <v>816</v>
      </c>
      <c r="L827" s="275" t="str">
        <f>IF(H:H=0,"",IF(ISERROR(VLOOKUP(H:H,produtos_escape2!$A$2:$B$2794,2,FALSE)),"Código não cadastrado",(VLOOKUP(H:H,produtos_escape2!$A$2:$B$2794,2,FALSE))))</f>
        <v>CLORETO DE SODIO SOLUÇAO INJETAVEL 20 % (3,4 MEQ/ML) AMPOLA 10 ML</v>
      </c>
      <c r="M827" s="593" t="str">
        <f>IF(H:H=0,"",IF(ISERROR(VLOOKUP(H:H,produtos_escape2!$A$2:$D$2794,2,FALSE)),"Código não cadastrado",(VLOOKUP(H:H,produtos_escape2!$A$2:$D$2794,4,FALSE))))</f>
        <v>AMP</v>
      </c>
      <c r="N827" s="486">
        <v>1000</v>
      </c>
      <c r="O827" s="176" t="s">
        <v>7461</v>
      </c>
      <c r="P827" s="486">
        <v>1000</v>
      </c>
      <c r="Q827" s="247">
        <v>0.27</v>
      </c>
      <c r="R827" s="246">
        <f t="shared" si="27"/>
        <v>270</v>
      </c>
      <c r="S827" s="177">
        <v>44019</v>
      </c>
      <c r="T827" s="182">
        <v>250581</v>
      </c>
      <c r="U827" s="177">
        <v>44022</v>
      </c>
      <c r="V827" s="177">
        <v>44039</v>
      </c>
      <c r="W827" s="177">
        <v>44033</v>
      </c>
      <c r="X827" s="176">
        <v>53926</v>
      </c>
      <c r="Y827" s="177">
        <v>44046</v>
      </c>
      <c r="Z827" s="415">
        <v>4</v>
      </c>
      <c r="AA827" s="488"/>
      <c r="AB827" s="594"/>
      <c r="AC827" s="595"/>
      <c r="AD827" s="596" t="str">
        <f>IF(AND(AC827&lt;&gt;"",S827&lt;&gt;""),NETWORKDAYS(AC827,S827,#REF!),"")</f>
        <v/>
      </c>
      <c r="AE827" s="596" t="str">
        <f ca="1">IF(AND(AD827="",AC827=""),"",IF(OR(AD827&lt;&gt;"",O827="*CANCELADO"),"",NETWORKDAYS(AC827,TODAY(),#REF!)))</f>
        <v/>
      </c>
      <c r="AF827" s="597" t="str">
        <f>IFERROR(INDEX(produtos_escape2!M:M,MATCH(Controle!H827,produtos_escape2!A:A,0)),"")</f>
        <v>CLORETO DE SODIO SOLUÇAO INJETAVEL 20 % (3</v>
      </c>
    </row>
    <row r="828" spans="1:32" ht="14.25" customHeight="1">
      <c r="A828" s="176" t="s">
        <v>8540</v>
      </c>
      <c r="B828" s="176" t="s">
        <v>3608</v>
      </c>
      <c r="C828" s="177">
        <v>44011</v>
      </c>
      <c r="D828" s="176" t="s">
        <v>9291</v>
      </c>
      <c r="E828" s="176" t="s">
        <v>1867</v>
      </c>
      <c r="F828" s="259" t="s">
        <v>9292</v>
      </c>
      <c r="G828" s="176">
        <v>1</v>
      </c>
      <c r="H828" s="178">
        <v>36552</v>
      </c>
      <c r="I828" s="592">
        <f t="shared" si="26"/>
        <v>3</v>
      </c>
      <c r="J828" s="178" t="s">
        <v>816</v>
      </c>
      <c r="K828" s="178" t="s">
        <v>816</v>
      </c>
      <c r="L828" s="275" t="str">
        <f>IF(H:H=0,"",IF(ISERROR(VLOOKUP(H:H,produtos_escape2!$A$2:$B$2794,2,FALSE)),"Código não cadastrado",(VLOOKUP(H:H,produtos_escape2!$A$2:$B$2794,2,FALSE))))</f>
        <v xml:space="preserve">CURATIVO ANTISSÉPTICO CIRCULAR PRONTO PARA USO, ESTÉRIL. Aplicação: curativo para finalização do procedimento de punção venosa ou injeções. Composição: poliéster com algodão natural e papel siliconado. Características adicionais: a embalagem do produto deverá conter o número do lote, data de fabricação, prazo de validade, composição, forma de armazenamento e procedência. Processo de esterilização: estéril. Unidade de estoque: unidade. Apresentação: caixa com 500 unidades.  </v>
      </c>
      <c r="M828" s="593" t="str">
        <f>IF(H:H=0,"",IF(ISERROR(VLOOKUP(H:H,produtos_escape2!$A$2:$D$2794,2,FALSE)),"Código não cadastrado",(VLOOKUP(H:H,produtos_escape2!$A$2:$D$2794,4,FALSE))))</f>
        <v>UN</v>
      </c>
      <c r="N828" s="486">
        <v>20000</v>
      </c>
      <c r="O828" s="176" t="s">
        <v>4109</v>
      </c>
      <c r="P828" s="486">
        <v>20000</v>
      </c>
      <c r="Q828" s="247">
        <v>0.03</v>
      </c>
      <c r="R828" s="246">
        <f t="shared" si="27"/>
        <v>600</v>
      </c>
      <c r="S828" s="177">
        <v>44015</v>
      </c>
      <c r="T828" s="182">
        <v>87300</v>
      </c>
      <c r="U828" s="177">
        <v>44018</v>
      </c>
      <c r="V828" s="177">
        <v>44019</v>
      </c>
      <c r="W828" s="177">
        <v>44025</v>
      </c>
      <c r="X828" s="176">
        <v>45780</v>
      </c>
      <c r="Y828" s="177">
        <v>44032</v>
      </c>
      <c r="Z828" s="415">
        <v>4</v>
      </c>
      <c r="AA828" s="488"/>
      <c r="AB828" s="594"/>
      <c r="AC828" s="595"/>
      <c r="AD828" s="596" t="str">
        <f>IF(AND(AC828&lt;&gt;"",S828&lt;&gt;""),NETWORKDAYS(AC828,S828,#REF!),"")</f>
        <v/>
      </c>
      <c r="AE828" s="596" t="str">
        <f ca="1">IF(AND(AD828="",AC828=""),"",IF(OR(AD828&lt;&gt;"",O828="*CANCELADO"),"",NETWORKDAYS(AC828,TODAY(),#REF!)))</f>
        <v/>
      </c>
      <c r="AF828" s="597" t="str">
        <f>IFERROR(INDEX(produtos_escape2!M:M,MATCH(Controle!H828,produtos_escape2!A:A,0)),"")</f>
        <v>CURATIVO ANTISSEPTICO</v>
      </c>
    </row>
    <row r="829" spans="1:32" ht="14.25" customHeight="1">
      <c r="A829" s="176" t="s">
        <v>8541</v>
      </c>
      <c r="B829" s="176" t="s">
        <v>3608</v>
      </c>
      <c r="C829" s="177">
        <v>44011</v>
      </c>
      <c r="D829" s="176" t="s">
        <v>9293</v>
      </c>
      <c r="E829" s="176" t="s">
        <v>1865</v>
      </c>
      <c r="F829" s="259" t="s">
        <v>9294</v>
      </c>
      <c r="G829" s="176">
        <v>1</v>
      </c>
      <c r="H829" s="178">
        <v>5310</v>
      </c>
      <c r="I829" s="592">
        <f t="shared" si="26"/>
        <v>2</v>
      </c>
      <c r="J829" s="178" t="s">
        <v>816</v>
      </c>
      <c r="K829" s="178" t="s">
        <v>816</v>
      </c>
      <c r="L829" s="275" t="str">
        <f>IF(H:H=0,"",IF(ISERROR(VLOOKUP(H:H,produtos_escape2!$A$2:$B$2794,2,FALSE)),"Código não cadastrado",(VLOOKUP(H:H,produtos_escape2!$A$2:$B$2794,2,FALSE))))</f>
        <v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v>
      </c>
      <c r="M829" s="593" t="str">
        <f>IF(H:H=0,"",IF(ISERROR(VLOOKUP(H:H,produtos_escape2!$A$2:$D$2794,2,FALSE)),"Código não cadastrado",(VLOOKUP(H:H,produtos_escape2!$A$2:$D$2794,4,FALSE))))</f>
        <v>UN</v>
      </c>
      <c r="N829" s="486">
        <v>30000</v>
      </c>
      <c r="O829" s="176" t="s">
        <v>4379</v>
      </c>
      <c r="P829" s="486">
        <v>3000</v>
      </c>
      <c r="Q829" s="499">
        <v>0.1</v>
      </c>
      <c r="R829" s="246">
        <f t="shared" si="27"/>
        <v>300</v>
      </c>
      <c r="S829" s="177">
        <v>44039</v>
      </c>
      <c r="T829" s="182">
        <v>13731</v>
      </c>
      <c r="U829" s="177">
        <v>44042</v>
      </c>
      <c r="V829" s="177">
        <v>44042</v>
      </c>
      <c r="W829" s="177">
        <v>44043</v>
      </c>
      <c r="X829" s="176">
        <v>63310</v>
      </c>
      <c r="Y829" s="177">
        <v>44061</v>
      </c>
      <c r="Z829" s="415">
        <v>4</v>
      </c>
      <c r="AA829" s="488"/>
      <c r="AB829" s="594"/>
      <c r="AC829" s="595"/>
      <c r="AD829" s="596" t="str">
        <f>IF(AND(AC829&lt;&gt;"",S829&lt;&gt;""),NETWORKDAYS(AC829,S829,#REF!),"")</f>
        <v/>
      </c>
      <c r="AE829" s="596" t="str">
        <f ca="1">IF(AND(AD829="",AC829=""),"",IF(OR(AD829&lt;&gt;"",O829="*CANCELADO"),"",NETWORKDAYS(AC829,TODAY(),#REF!)))</f>
        <v/>
      </c>
      <c r="AF829" s="597">
        <f>IFERROR(INDEX(produtos_escape2!M:M,MATCH(Controle!H829,produtos_escape2!A:A,0)),"")</f>
        <v>0</v>
      </c>
    </row>
    <row r="830" spans="1:32" ht="14.25" customHeight="1">
      <c r="A830" s="176" t="s">
        <v>8542</v>
      </c>
      <c r="B830" s="176" t="s">
        <v>3608</v>
      </c>
      <c r="C830" s="177">
        <v>44011</v>
      </c>
      <c r="D830" s="176" t="s">
        <v>9295</v>
      </c>
      <c r="E830" s="176" t="s">
        <v>1867</v>
      </c>
      <c r="F830" s="259" t="s">
        <v>9296</v>
      </c>
      <c r="G830" s="176">
        <v>1</v>
      </c>
      <c r="H830" s="178">
        <v>90580</v>
      </c>
      <c r="I830" s="592">
        <f t="shared" si="26"/>
        <v>7</v>
      </c>
      <c r="J830" s="178" t="s">
        <v>816</v>
      </c>
      <c r="K830" s="178" t="s">
        <v>816</v>
      </c>
      <c r="L830" s="275" t="str">
        <f>IF(H:H=0,"",IF(ISERROR(VLOOKUP(H:H,produtos_escape2!$A$2:$B$2794,2,FALSE)),"Código não cadastrado",(VLOOKUP(H:H,produtos_escape2!$A$2:$B$2794,2,FALSE))))</f>
        <v>AGUA PARA INJETAVEIS AMPOLA 10 ML</v>
      </c>
      <c r="M830" s="593" t="str">
        <f>IF(H:H=0,"",IF(ISERROR(VLOOKUP(H:H,produtos_escape2!$A$2:$D$2794,2,FALSE)),"Código não cadastrado",(VLOOKUP(H:H,produtos_escape2!$A$2:$D$2794,4,FALSE))))</f>
        <v>AMP</v>
      </c>
      <c r="N830" s="486">
        <v>16000</v>
      </c>
      <c r="O830" s="176" t="s">
        <v>7461</v>
      </c>
      <c r="P830" s="486">
        <v>16000</v>
      </c>
      <c r="Q830" s="247">
        <v>0.18</v>
      </c>
      <c r="R830" s="246">
        <f t="shared" si="27"/>
        <v>2880</v>
      </c>
      <c r="S830" s="177">
        <v>44019</v>
      </c>
      <c r="T830" s="182">
        <v>250580</v>
      </c>
      <c r="U830" s="177">
        <v>44022</v>
      </c>
      <c r="V830" s="177">
        <v>44029</v>
      </c>
      <c r="W830" s="177">
        <v>44033</v>
      </c>
      <c r="X830" s="176">
        <v>54255</v>
      </c>
      <c r="Y830" s="177">
        <v>44046</v>
      </c>
      <c r="Z830" s="415">
        <v>4</v>
      </c>
      <c r="AA830" s="488"/>
      <c r="AB830" s="594"/>
      <c r="AC830" s="595"/>
      <c r="AD830" s="596" t="str">
        <f>IF(AND(AC830&lt;&gt;"",S830&lt;&gt;""),NETWORKDAYS(AC830,S830,#REF!),"")</f>
        <v/>
      </c>
      <c r="AE830" s="596" t="str">
        <f ca="1">IF(AND(AD830="",AC830=""),"",IF(OR(AD830&lt;&gt;"",O830="*CANCELADO"),"",NETWORKDAYS(AC830,TODAY(),#REF!)))</f>
        <v/>
      </c>
      <c r="AF830" s="597" t="str">
        <f>IFERROR(INDEX(produtos_escape2!M:M,MATCH(Controle!H830,produtos_escape2!A:A,0)),"")</f>
        <v xml:space="preserve"> AGUA PARA INJETAVEIS AMPOLA 10 ML</v>
      </c>
    </row>
    <row r="831" spans="1:32" ht="14.25" customHeight="1">
      <c r="A831" s="176" t="s">
        <v>8015</v>
      </c>
      <c r="B831" s="176" t="s">
        <v>7207</v>
      </c>
      <c r="C831" s="177">
        <v>44012</v>
      </c>
      <c r="D831" s="176" t="s">
        <v>9304</v>
      </c>
      <c r="E831" s="176" t="s">
        <v>1865</v>
      </c>
      <c r="F831" s="259" t="s">
        <v>9305</v>
      </c>
      <c r="G831" s="176">
        <v>1</v>
      </c>
      <c r="H831" s="178">
        <v>63295</v>
      </c>
      <c r="I831" s="592">
        <f t="shared" si="26"/>
        <v>8</v>
      </c>
      <c r="J831" s="178" t="s">
        <v>816</v>
      </c>
      <c r="K831" s="178" t="s">
        <v>816</v>
      </c>
      <c r="L831" s="275"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831" s="593" t="str">
        <f>IF(H:H=0,"",IF(ISERROR(VLOOKUP(H:H,produtos_escape2!$A$2:$D$2794,2,FALSE)),"Código não cadastrado",(VLOOKUP(H:H,produtos_escape2!$A$2:$D$2794,4,FALSE))))</f>
        <v>UN</v>
      </c>
      <c r="N831" s="486">
        <v>40000</v>
      </c>
      <c r="O831" s="176" t="s">
        <v>10360</v>
      </c>
      <c r="P831" s="486">
        <v>40000</v>
      </c>
      <c r="Q831" s="247">
        <v>0.12</v>
      </c>
      <c r="R831" s="246">
        <f t="shared" si="27"/>
        <v>4800</v>
      </c>
      <c r="S831" s="177">
        <v>44020</v>
      </c>
      <c r="T831" s="182">
        <v>25337</v>
      </c>
      <c r="U831" s="177">
        <v>44021</v>
      </c>
      <c r="V831" s="177">
        <v>44022</v>
      </c>
      <c r="W831" s="177">
        <v>44025</v>
      </c>
      <c r="X831" s="176">
        <v>46952</v>
      </c>
      <c r="Y831" s="177">
        <v>44033</v>
      </c>
      <c r="Z831" s="415">
        <v>4</v>
      </c>
      <c r="AA831" s="488"/>
      <c r="AB831" s="594"/>
      <c r="AC831" s="595"/>
      <c r="AD831" s="596" t="str">
        <f>IF(AND(AC831&lt;&gt;"",S831&lt;&gt;""),NETWORKDAYS(AC831,S831,#REF!),"")</f>
        <v/>
      </c>
      <c r="AE831" s="596" t="str">
        <f ca="1">IF(AND(AD831="",AC831=""),"",IF(OR(AD831&lt;&gt;"",O831="*CANCELADO"),"",NETWORKDAYS(AC831,TODAY(),#REF!)))</f>
        <v/>
      </c>
      <c r="AF831" s="597" t="str">
        <f>IFERROR(INDEX(produtos_escape2!M:M,MATCH(Controle!H831,produtos_escape2!A:A,0)),"")</f>
        <v>TOUCA HOSPITALAR</v>
      </c>
    </row>
    <row r="832" spans="1:32" ht="14.25" customHeight="1">
      <c r="A832" s="176" t="s">
        <v>8019</v>
      </c>
      <c r="B832" s="176" t="s">
        <v>7207</v>
      </c>
      <c r="C832" s="177">
        <v>44012</v>
      </c>
      <c r="D832" s="176" t="s">
        <v>9313</v>
      </c>
      <c r="E832" s="176" t="s">
        <v>3008</v>
      </c>
      <c r="F832" s="259" t="s">
        <v>9306</v>
      </c>
      <c r="G832" s="176">
        <v>1</v>
      </c>
      <c r="H832" s="178">
        <v>201158</v>
      </c>
      <c r="I832" s="592">
        <f t="shared" si="26"/>
        <v>7</v>
      </c>
      <c r="J832" s="178" t="s">
        <v>816</v>
      </c>
      <c r="K832" s="178" t="s">
        <v>816</v>
      </c>
      <c r="L832" s="275"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832" s="593" t="str">
        <f>IF(H:H=0,"",IF(ISERROR(VLOOKUP(H:H,produtos_escape2!$A$2:$D$2794,2,FALSE)),"Código não cadastrado",(VLOOKUP(H:H,produtos_escape2!$A$2:$D$2794,4,FALSE))))</f>
        <v>PR</v>
      </c>
      <c r="N832" s="613">
        <v>20000</v>
      </c>
      <c r="O832" s="176" t="s">
        <v>9344</v>
      </c>
      <c r="P832" s="613">
        <v>10000</v>
      </c>
      <c r="Q832" s="413">
        <v>0.28000000000000003</v>
      </c>
      <c r="R832" s="414">
        <f t="shared" si="27"/>
        <v>2800.0000000000005</v>
      </c>
      <c r="S832" s="351">
        <v>44015</v>
      </c>
      <c r="T832" s="206">
        <v>6</v>
      </c>
      <c r="U832" s="351">
        <v>44046</v>
      </c>
      <c r="V832" s="351">
        <v>44046</v>
      </c>
      <c r="W832" s="351">
        <v>44046</v>
      </c>
      <c r="X832" s="176">
        <v>91189</v>
      </c>
      <c r="Y832" s="177">
        <v>44104</v>
      </c>
      <c r="Z832" s="415">
        <v>5</v>
      </c>
      <c r="AA832" s="488" t="s">
        <v>8270</v>
      </c>
      <c r="AB832" s="594"/>
      <c r="AC832" s="595"/>
      <c r="AD832" s="596" t="str">
        <f>IF(AND(AC832&lt;&gt;"",S832&lt;&gt;""),NETWORKDAYS(AC832,S832,#REF!),"")</f>
        <v/>
      </c>
      <c r="AE832" s="596" t="str">
        <f ca="1">IF(AND(AD832="",AC832=""),"",IF(OR(AD832&lt;&gt;"",O832="*CANCELADO"),"",NETWORKDAYS(AC832,TODAY(),#REF!)))</f>
        <v/>
      </c>
      <c r="AF832" s="597" t="str">
        <f>IFERROR(INDEX(produtos_escape2!M:M,MATCH(Controle!H832,produtos_escape2!A:A,0)),"")</f>
        <v>SAPATILHA DESCARTÁVEL</v>
      </c>
    </row>
    <row r="833" spans="1:32" ht="14.25" customHeight="1">
      <c r="A833" s="176" t="s">
        <v>8544</v>
      </c>
      <c r="B833" s="176" t="s">
        <v>3608</v>
      </c>
      <c r="C833" s="177">
        <v>44012</v>
      </c>
      <c r="D833" s="176" t="s">
        <v>9314</v>
      </c>
      <c r="E833" s="176" t="s">
        <v>1867</v>
      </c>
      <c r="F833" s="259" t="s">
        <v>9307</v>
      </c>
      <c r="G833" s="176">
        <v>1</v>
      </c>
      <c r="H833" s="178">
        <v>91118</v>
      </c>
      <c r="I833" s="592">
        <f t="shared" si="26"/>
        <v>2</v>
      </c>
      <c r="J833" s="178" t="s">
        <v>816</v>
      </c>
      <c r="K833" s="178" t="s">
        <v>816</v>
      </c>
      <c r="L833" s="275" t="str">
        <f>IF(H:H=0,"",IF(ISERROR(VLOOKUP(H:H,produtos_escape2!$A$2:$B$2794,2,FALSE)),"Código não cadastrado",(VLOOKUP(H:H,produtos_escape2!$A$2:$B$2794,2,FALSE))))</f>
        <v>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v>
      </c>
      <c r="M833" s="593" t="str">
        <f>IF(H:H=0,"",IF(ISERROR(VLOOKUP(H:H,produtos_escape2!$A$2:$D$2794,2,FALSE)),"Código não cadastrado",(VLOOKUP(H:H,produtos_escape2!$A$2:$D$2794,4,FALSE))))</f>
        <v>UN</v>
      </c>
      <c r="N833" s="486">
        <v>250</v>
      </c>
      <c r="O833" s="176" t="s">
        <v>7461</v>
      </c>
      <c r="P833" s="486">
        <v>240</v>
      </c>
      <c r="Q833" s="247">
        <v>5.8</v>
      </c>
      <c r="R833" s="246">
        <f t="shared" si="27"/>
        <v>1392</v>
      </c>
      <c r="S833" s="177">
        <v>44019</v>
      </c>
      <c r="T833" s="182">
        <v>250583</v>
      </c>
      <c r="U833" s="177">
        <v>44022</v>
      </c>
      <c r="V833" s="177">
        <v>44029</v>
      </c>
      <c r="W833" s="177">
        <v>44033</v>
      </c>
      <c r="X833" s="176">
        <v>54189</v>
      </c>
      <c r="Y833" s="177">
        <v>44046</v>
      </c>
      <c r="Z833" s="415">
        <v>4</v>
      </c>
      <c r="AA833" s="488"/>
      <c r="AB833" s="594"/>
      <c r="AC833" s="595"/>
      <c r="AD833" s="596" t="str">
        <f>IF(AND(AC833&lt;&gt;"",S833&lt;&gt;""),NETWORKDAYS(AC833,S833,#REF!),"")</f>
        <v/>
      </c>
      <c r="AE833" s="596" t="str">
        <f ca="1">IF(AND(AD833="",AC833=""),"",IF(OR(AD833&lt;&gt;"",O833="*CANCELADO"),"",NETWORKDAYS(AC833,TODAY(),#REF!)))</f>
        <v/>
      </c>
      <c r="AF833" s="597" t="str">
        <f>IFERROR(INDEX(produtos_escape2!M:M,MATCH(Controle!H833,produtos_escape2!A:A,0)),"")</f>
        <v>EQUIPO DE SAÍDA - LINHA VENOSA</v>
      </c>
    </row>
    <row r="834" spans="1:32" ht="14.25" customHeight="1">
      <c r="A834" s="176" t="s">
        <v>8018</v>
      </c>
      <c r="B834" s="176" t="s">
        <v>7207</v>
      </c>
      <c r="C834" s="177">
        <v>44012</v>
      </c>
      <c r="D834" s="176" t="s">
        <v>9311</v>
      </c>
      <c r="E834" s="176" t="s">
        <v>1865</v>
      </c>
      <c r="F834" s="259" t="s">
        <v>9308</v>
      </c>
      <c r="G834" s="176">
        <v>1</v>
      </c>
      <c r="H834" s="178">
        <v>34084</v>
      </c>
      <c r="I834" s="592">
        <f t="shared" si="26"/>
        <v>3</v>
      </c>
      <c r="J834" s="178" t="s">
        <v>816</v>
      </c>
      <c r="K834" s="178" t="s">
        <v>816</v>
      </c>
      <c r="L834" s="275" t="str">
        <f>IF(H:H=0,"",IF(ISERROR(VLOOKUP(H:H,produtos_escape2!$A$2:$B$2794,2,FALSE)),"Código não cadastrado",(VLOOKUP(H:H,produtos_escape2!$A$2:$B$2794,2,FALSE))))</f>
        <v xml:space="preserve">VERIFICAR CÓDIGO 10823 (MESMA DESCRIÇÃO COM ALTERAÇÃO DE ORDEM DE ELEMENTOS)AVENTAL DE PROCEDIMENTO NÃO ESTÉRIL,  Aplicação: biosegurança, EPI - barreira protetora aos profissionais de saúde nos procedimentos com exposição de fluídos e/ou contaminação por contato; Características Adicionais: com comprimento abaixo do joelho (com no mínimo 1,20 m), manga longa e punho sonfonado em algodão, confeccionado em polietileno trilaminado SMS com camadas de proteção resistente a penetração de fluídos (hidrorrepelente), não inflamável, faixa presa na cintura para fechamento nas costas, decote redondo próximo ao pescoço com tiras para amarrar, conferindo total proteção a roupa individual, que não cause nenhuma irritação ao usuário, fácil uso e que não proporcione liberação de partículas; Tamanho: ÚNICO; Forma de Apresentação: Unidade. Apresentar CA - Registro no Ministério do Trabalho- PORTARIA Nº 452, DE 20 DE NOVEMBRO DE 2014 e ANVISA. </v>
      </c>
      <c r="M834" s="593" t="str">
        <f>IF(H:H=0,"",IF(ISERROR(VLOOKUP(H:H,produtos_escape2!$A$2:$D$2794,2,FALSE)),"Código não cadastrado",(VLOOKUP(H:H,produtos_escape2!$A$2:$D$2794,4,FALSE))))</f>
        <v>UN</v>
      </c>
      <c r="N834" s="486">
        <v>10000</v>
      </c>
      <c r="O834" s="176" t="s">
        <v>7336</v>
      </c>
      <c r="P834" s="486">
        <v>4320</v>
      </c>
      <c r="Q834" s="247">
        <v>7.5</v>
      </c>
      <c r="R834" s="246">
        <f t="shared" si="27"/>
        <v>32400</v>
      </c>
      <c r="S834" s="177">
        <v>44020</v>
      </c>
      <c r="T834" s="182">
        <v>23056</v>
      </c>
      <c r="U834" s="177">
        <v>44032</v>
      </c>
      <c r="V834" s="177">
        <v>44032</v>
      </c>
      <c r="W834" s="177">
        <v>44032</v>
      </c>
      <c r="X834" s="176">
        <v>54678</v>
      </c>
      <c r="Y834" s="177">
        <v>44046</v>
      </c>
      <c r="Z834" s="415">
        <v>4</v>
      </c>
      <c r="AA834" s="488" t="s">
        <v>9312</v>
      </c>
      <c r="AB834" s="594"/>
      <c r="AC834" s="595"/>
      <c r="AD834" s="596" t="str">
        <f>IF(AND(AC834&lt;&gt;"",S834&lt;&gt;""),NETWORKDAYS(AC834,S834,#REF!),"")</f>
        <v/>
      </c>
      <c r="AE834" s="596" t="str">
        <f ca="1">IF(AND(AD834="",AC834=""),"",IF(OR(AD834&lt;&gt;"",O834="*CANCELADO"),"",NETWORKDAYS(AC834,TODAY(),#REF!)))</f>
        <v/>
      </c>
      <c r="AF834" s="597" t="str">
        <f>IFERROR(INDEX(produtos_escape2!M:M,MATCH(Controle!H834,produtos_escape2!A:A,0)),"")</f>
        <v>AVENTAL DE PROCEDIMENTO NÃO ESTÉRIL</v>
      </c>
    </row>
    <row r="835" spans="1:32" ht="14.25" customHeight="1">
      <c r="A835" s="176" t="s">
        <v>8589</v>
      </c>
      <c r="B835" s="176" t="s">
        <v>3608</v>
      </c>
      <c r="C835" s="177">
        <v>44012</v>
      </c>
      <c r="D835" s="176" t="s">
        <v>9322</v>
      </c>
      <c r="E835" s="176" t="s">
        <v>1867</v>
      </c>
      <c r="F835" s="259" t="s">
        <v>9316</v>
      </c>
      <c r="G835" s="176">
        <v>1</v>
      </c>
      <c r="H835" s="178">
        <v>31158</v>
      </c>
      <c r="I835" s="592">
        <f t="shared" ref="I835:I898" si="28">COUNTIF($H$3:$H$3041,H835)</f>
        <v>1</v>
      </c>
      <c r="J835" s="178" t="s">
        <v>816</v>
      </c>
      <c r="K835" s="178" t="s">
        <v>816</v>
      </c>
      <c r="L835" s="275" t="str">
        <f>IF(H:H=0,"",IF(ISERROR(VLOOKUP(H:H,produtos_escape2!$A$2:$B$2794,2,FALSE)),"Código não cadastrado",(VLOOKUP(H:H,produtos_escape2!$A$2:$B$2794,2,FALSE))))</f>
        <v xml:space="preserve">Equipo para uso exclusivo em bombas de infusão da marca SAMTRONIC ST1000 SET, com comprimento mínimo de 240cm, câmara gotejadora flexível com filtro de retenção de partículas de 15 microns, entrada de ar lateral com filtro bacteriológico de 0,2 microns e tampa. Segmento em silicone, injetor lateral em Y com membrana autocicatrizante, pinça rolete, conector luer lock com tampa oclusora com filtro. Fabricado com material atóxico, embalagem individual em papel grau cirúrgico. Estéril, invólucro resistente ao manuseio, lacre capaz de manter sua integridade e esterilidade. Apresentação: embalagem individual. </v>
      </c>
      <c r="M835" s="593" t="str">
        <f>IF(H:H=0,"",IF(ISERROR(VLOOKUP(H:H,produtos_escape2!$A$2:$D$2794,2,FALSE)),"Código não cadastrado",(VLOOKUP(H:H,produtos_escape2!$A$2:$D$2794,4,FALSE))))</f>
        <v>UN</v>
      </c>
      <c r="N835" s="486">
        <v>250</v>
      </c>
      <c r="O835" s="176" t="s">
        <v>9353</v>
      </c>
      <c r="P835" s="486">
        <v>250</v>
      </c>
      <c r="Q835" s="247">
        <v>25.5</v>
      </c>
      <c r="R835" s="246">
        <f t="shared" si="27"/>
        <v>6375</v>
      </c>
      <c r="S835" s="177">
        <v>44019</v>
      </c>
      <c r="T835" s="182">
        <v>13078</v>
      </c>
      <c r="U835" s="177">
        <v>44020</v>
      </c>
      <c r="V835" s="177">
        <v>44020</v>
      </c>
      <c r="W835" s="177">
        <v>44026</v>
      </c>
      <c r="X835" s="176">
        <v>3296</v>
      </c>
      <c r="Y835" s="177">
        <v>44046</v>
      </c>
      <c r="Z835" s="415">
        <v>4</v>
      </c>
      <c r="AA835" s="488"/>
      <c r="AB835" s="594"/>
      <c r="AC835" s="595"/>
      <c r="AD835" s="596" t="str">
        <f>IF(AND(AC835&lt;&gt;"",S835&lt;&gt;""),NETWORKDAYS(AC835,S835,#REF!),"")</f>
        <v/>
      </c>
      <c r="AE835" s="596" t="str">
        <f ca="1">IF(AND(AD835="",AC835=""),"",IF(OR(AD835&lt;&gt;"",O835="*CANCELADO"),"",NETWORKDAYS(AC835,TODAY(),#REF!)))</f>
        <v/>
      </c>
      <c r="AF835" s="597" t="str">
        <f>IFERROR(INDEX(produtos_escape2!M:M,MATCH(Controle!H835,produtos_escape2!A:A,0)),"")</f>
        <v>EQUIPO PARA BOMBA DE INFUSÃO</v>
      </c>
    </row>
    <row r="836" spans="1:32" ht="14.25" customHeight="1">
      <c r="A836" s="176" t="s">
        <v>8555</v>
      </c>
      <c r="B836" s="176" t="s">
        <v>3608</v>
      </c>
      <c r="C836" s="177">
        <v>44012</v>
      </c>
      <c r="D836" s="176" t="s">
        <v>9315</v>
      </c>
      <c r="E836" s="176" t="s">
        <v>1865</v>
      </c>
      <c r="F836" s="259" t="s">
        <v>9317</v>
      </c>
      <c r="G836" s="176">
        <v>2</v>
      </c>
      <c r="H836" s="178">
        <v>35774</v>
      </c>
      <c r="I836" s="592">
        <f t="shared" si="28"/>
        <v>2</v>
      </c>
      <c r="J836" s="178" t="s">
        <v>816</v>
      </c>
      <c r="K836" s="178" t="s">
        <v>816</v>
      </c>
      <c r="L836" s="275" t="str">
        <f>IF(H:H=0,"",IF(ISERROR(VLOOKUP(H:H,produtos_escape2!$A$2:$B$2794,2,FALSE)),"Código não cadastrado",(VLOOKUP(H:H,produtos_escape2!$A$2:$B$2794,2,FALSE))))</f>
        <v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v>
      </c>
      <c r="M836" s="593" t="str">
        <f>IF(H:H=0,"",IF(ISERROR(VLOOKUP(H:H,produtos_escape2!$A$2:$D$2794,2,FALSE)),"Código não cadastrado",(VLOOKUP(H:H,produtos_escape2!$A$2:$D$2794,4,FALSE))))</f>
        <v>UN</v>
      </c>
      <c r="N836" s="486">
        <v>400</v>
      </c>
      <c r="O836" s="176" t="s">
        <v>9013</v>
      </c>
      <c r="P836" s="486">
        <v>250</v>
      </c>
      <c r="Q836" s="247">
        <v>24.5</v>
      </c>
      <c r="R836" s="246">
        <f t="shared" si="27"/>
        <v>6125</v>
      </c>
      <c r="S836" s="177">
        <v>44027</v>
      </c>
      <c r="T836" s="182">
        <v>20222</v>
      </c>
      <c r="U836" s="177">
        <v>44076</v>
      </c>
      <c r="V836" s="177">
        <v>44082</v>
      </c>
      <c r="W836" s="177">
        <v>44085</v>
      </c>
      <c r="X836" s="176">
        <v>91677</v>
      </c>
      <c r="Y836" s="177">
        <v>44104</v>
      </c>
      <c r="Z836" s="415">
        <v>5</v>
      </c>
      <c r="AA836" s="488"/>
      <c r="AB836" s="594"/>
      <c r="AC836" s="595"/>
      <c r="AD836" s="596" t="str">
        <f>IF(AND(AC836&lt;&gt;"",S836&lt;&gt;""),NETWORKDAYS(AC836,S836,#REF!),"")</f>
        <v/>
      </c>
      <c r="AE836" s="596" t="str">
        <f ca="1">IF(AND(AD836="",AC836=""),"",IF(OR(AD836&lt;&gt;"",O836="*CANCELADO"),"",NETWORKDAYS(AC836,TODAY(),#REF!)))</f>
        <v/>
      </c>
      <c r="AF836" s="597" t="str">
        <f>IFERROR(INDEX(produtos_escape2!M:M,MATCH(Controle!H836,produtos_escape2!A:A,0)),"")</f>
        <v>AVENTAL CAPOTE CIRURGICO</v>
      </c>
    </row>
    <row r="837" spans="1:32" ht="14.25" customHeight="1">
      <c r="A837" s="176" t="s">
        <v>8555</v>
      </c>
      <c r="B837" s="176" t="s">
        <v>3608</v>
      </c>
      <c r="C837" s="177">
        <v>44012</v>
      </c>
      <c r="D837" s="176" t="s">
        <v>9315</v>
      </c>
      <c r="E837" s="176" t="s">
        <v>1865</v>
      </c>
      <c r="F837" s="259" t="s">
        <v>9317</v>
      </c>
      <c r="G837" s="176">
        <v>2</v>
      </c>
      <c r="H837" s="178">
        <v>35774</v>
      </c>
      <c r="I837" s="592">
        <f t="shared" si="28"/>
        <v>2</v>
      </c>
      <c r="J837" s="178" t="s">
        <v>816</v>
      </c>
      <c r="K837" s="178" t="s">
        <v>816</v>
      </c>
      <c r="L837" s="275" t="str">
        <f>IF(H:H=0,"",IF(ISERROR(VLOOKUP(H:H,produtos_escape2!$A$2:$B$2794,2,FALSE)),"Código não cadastrado",(VLOOKUP(H:H,produtos_escape2!$A$2:$B$2794,2,FALSE))))</f>
        <v xml:space="preserve">AVENTAL/CAPOTE CIRÚRGICO ESTÉRIL, DESCARTÁVEL, TAMANHO ´M´. Avental cirúrgico estéril, descartável, tamanho médio (comprimento mínimo 110cm e largura mínima 140cm), fabricado em SMS, composto de não tecido 100% polipropileno, permitindo ventilação adequada durante o uso, garantindo maciez e resistência; hidro-repelente,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 e externa com fechamento cruzados nas costas, cartão para transferência asséptica. Dobrado em forma de livro para abertura e colocação de forma asséptica, acompanhado de toalha para secagem das mãos de alta absorção. Embalado individualmente em dupla embalagem - interna de SMS e externa de papel grau cirúrgico. O produto deverá obedecer ás normas brasileiras vigentes (da NBR 16064 da ABNT).  </v>
      </c>
      <c r="M837" s="593" t="str">
        <f>IF(H:H=0,"",IF(ISERROR(VLOOKUP(H:H,produtos_escape2!$A$2:$D$2794,2,FALSE)),"Código não cadastrado",(VLOOKUP(H:H,produtos_escape2!$A$2:$D$2794,4,FALSE))))</f>
        <v>UN</v>
      </c>
      <c r="N837" s="486">
        <v>400</v>
      </c>
      <c r="O837" s="176" t="s">
        <v>9013</v>
      </c>
      <c r="P837" s="486">
        <v>50</v>
      </c>
      <c r="Q837" s="247">
        <v>24.5</v>
      </c>
      <c r="R837" s="246">
        <f t="shared" si="27"/>
        <v>1225</v>
      </c>
      <c r="S837" s="177">
        <v>44027</v>
      </c>
      <c r="T837" s="182">
        <v>20045</v>
      </c>
      <c r="U837" s="177">
        <v>44074</v>
      </c>
      <c r="V837" s="177">
        <v>44075</v>
      </c>
      <c r="W837" s="177">
        <v>44077</v>
      </c>
      <c r="X837" s="176">
        <v>91693</v>
      </c>
      <c r="Y837" s="177">
        <v>44104</v>
      </c>
      <c r="Z837" s="415">
        <v>5</v>
      </c>
      <c r="AA837" s="488"/>
      <c r="AB837" s="594"/>
      <c r="AC837" s="595"/>
      <c r="AD837" s="596" t="str">
        <f>IF(AND(AC837&lt;&gt;"",S837&lt;&gt;""),NETWORKDAYS(AC837,S837,#REF!),"")</f>
        <v/>
      </c>
      <c r="AE837" s="596" t="str">
        <f ca="1">IF(AND(AD837="",AC837=""),"",IF(OR(AD837&lt;&gt;"",O837="*CANCELADO"),"",NETWORKDAYS(AC837,TODAY(),#REF!)))</f>
        <v/>
      </c>
      <c r="AF837" s="597" t="str">
        <f>IFERROR(INDEX(produtos_escape2!M:M,MATCH(Controle!H837,produtos_escape2!A:A,0)),"")</f>
        <v>AVENTAL CAPOTE CIRURGICO</v>
      </c>
    </row>
    <row r="838" spans="1:32" ht="14.25" customHeight="1">
      <c r="A838" s="176" t="s">
        <v>8555</v>
      </c>
      <c r="B838" s="176" t="s">
        <v>3608</v>
      </c>
      <c r="C838" s="177">
        <v>44012</v>
      </c>
      <c r="D838" s="176" t="s">
        <v>9315</v>
      </c>
      <c r="E838" s="176" t="s">
        <v>1865</v>
      </c>
      <c r="F838" s="259" t="s">
        <v>9317</v>
      </c>
      <c r="G838" s="176">
        <v>1</v>
      </c>
      <c r="H838" s="178">
        <v>35938</v>
      </c>
      <c r="I838" s="592">
        <f t="shared" si="28"/>
        <v>2</v>
      </c>
      <c r="J838" s="178" t="s">
        <v>816</v>
      </c>
      <c r="K838" s="178" t="s">
        <v>816</v>
      </c>
      <c r="L838" s="275" t="str">
        <f>IF(H:H=0,"",IF(ISERROR(VLOOKUP(H:H,produtos_escape2!$A$2:$B$2794,2,FALSE)),"Código não cadastrado",(VLOOKUP(H:H,produtos_escape2!$A$2:$B$2794,2,FALSE))))</f>
        <v>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v>
      </c>
      <c r="M838" s="593" t="str">
        <f>IF(H:H=0,"",IF(ISERROR(VLOOKUP(H:H,produtos_escape2!$A$2:$D$2794,2,FALSE)),"Código não cadastrado",(VLOOKUP(H:H,produtos_escape2!$A$2:$D$2794,4,FALSE))))</f>
        <v>UN</v>
      </c>
      <c r="N838" s="486">
        <v>1600</v>
      </c>
      <c r="O838" s="176" t="s">
        <v>9013</v>
      </c>
      <c r="P838" s="486">
        <v>625</v>
      </c>
      <c r="Q838" s="247">
        <v>24.5</v>
      </c>
      <c r="R838" s="246">
        <f t="shared" si="27"/>
        <v>15312.5</v>
      </c>
      <c r="S838" s="177">
        <v>44027</v>
      </c>
      <c r="T838" s="182">
        <v>20045</v>
      </c>
      <c r="U838" s="177">
        <v>44074</v>
      </c>
      <c r="V838" s="177">
        <v>44075</v>
      </c>
      <c r="W838" s="177">
        <v>44077</v>
      </c>
      <c r="X838" s="176">
        <v>91693</v>
      </c>
      <c r="Y838" s="177">
        <v>44104</v>
      </c>
      <c r="Z838" s="415">
        <v>5</v>
      </c>
      <c r="AA838" s="488"/>
      <c r="AB838" s="594"/>
      <c r="AC838" s="595"/>
      <c r="AD838" s="596" t="str">
        <f>IF(AND(AC838&lt;&gt;"",S838&lt;&gt;""),NETWORKDAYS(AC838,S838,#REF!),"")</f>
        <v/>
      </c>
      <c r="AE838" s="596" t="str">
        <f ca="1">IF(AND(AD838="",AC838=""),"",IF(OR(AD838&lt;&gt;"",O838="*CANCELADO"),"",NETWORKDAYS(AC838,TODAY(),#REF!)))</f>
        <v/>
      </c>
      <c r="AF838" s="597" t="str">
        <f>IFERROR(INDEX(produtos_escape2!M:M,MATCH(Controle!H838,produtos_escape2!A:A,0)),"")</f>
        <v>AVENTAL CAPOTE CIRURGICO</v>
      </c>
    </row>
    <row r="839" spans="1:32" ht="14.25" customHeight="1">
      <c r="A839" s="176" t="s">
        <v>8601</v>
      </c>
      <c r="B839" s="176" t="s">
        <v>3608</v>
      </c>
      <c r="C839" s="177">
        <v>44012</v>
      </c>
      <c r="D839" s="176" t="s">
        <v>9325</v>
      </c>
      <c r="E839" s="176" t="s">
        <v>3008</v>
      </c>
      <c r="F839" s="259" t="s">
        <v>9318</v>
      </c>
      <c r="G839" s="176">
        <v>1</v>
      </c>
      <c r="H839" s="178">
        <v>95323</v>
      </c>
      <c r="I839" s="592">
        <f t="shared" si="28"/>
        <v>4</v>
      </c>
      <c r="J839" s="178" t="s">
        <v>816</v>
      </c>
      <c r="K839" s="178" t="s">
        <v>816</v>
      </c>
      <c r="L839" s="275"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839" s="593" t="str">
        <f>IF(H:H=0,"",IF(ISERROR(VLOOKUP(H:H,produtos_escape2!$A$2:$D$2794,2,FALSE)),"Código não cadastrado",(VLOOKUP(H:H,produtos_escape2!$A$2:$D$2794,4,FALSE))))</f>
        <v>FR</v>
      </c>
      <c r="N839" s="486">
        <v>100</v>
      </c>
      <c r="O839" s="176" t="s">
        <v>4109</v>
      </c>
      <c r="P839" s="486">
        <v>100</v>
      </c>
      <c r="Q839" s="247">
        <v>12</v>
      </c>
      <c r="R839" s="246">
        <f t="shared" si="27"/>
        <v>1200</v>
      </c>
      <c r="S839" s="177">
        <v>44015</v>
      </c>
      <c r="T839" s="182">
        <v>88302</v>
      </c>
      <c r="U839" s="177">
        <v>44027</v>
      </c>
      <c r="V839" s="177">
        <v>44028</v>
      </c>
      <c r="W839" s="177">
        <v>44029</v>
      </c>
      <c r="X839" s="176">
        <v>54156</v>
      </c>
      <c r="Y839" s="177">
        <v>44046</v>
      </c>
      <c r="Z839" s="415">
        <v>4</v>
      </c>
      <c r="AA839" s="488"/>
      <c r="AB839" s="594"/>
      <c r="AC839" s="595"/>
      <c r="AD839" s="596" t="str">
        <f>IF(AND(AC839&lt;&gt;"",S839&lt;&gt;""),NETWORKDAYS(AC839,S839,#REF!),"")</f>
        <v/>
      </c>
      <c r="AE839" s="596" t="str">
        <f ca="1">IF(AND(AD839="",AC839=""),"",IF(OR(AD839&lt;&gt;"",O839="*CANCELADO"),"",NETWORKDAYS(AC839,TODAY(),#REF!)))</f>
        <v/>
      </c>
      <c r="AF839" s="597" t="str">
        <f>IFERROR(INDEX(produtos_escape2!M:M,MATCH(Controle!H839,produtos_escape2!A:A,0)),"")</f>
        <v>FORMOL COMERCIAL 37/40% 1000 ML - FORMALDEÍDO (FORMOL)</v>
      </c>
    </row>
    <row r="840" spans="1:32" ht="14.25" customHeight="1">
      <c r="A840" s="176" t="s">
        <v>8590</v>
      </c>
      <c r="B840" s="176" t="s">
        <v>3608</v>
      </c>
      <c r="C840" s="177">
        <v>44012</v>
      </c>
      <c r="D840" s="176" t="s">
        <v>9326</v>
      </c>
      <c r="E840" s="176" t="s">
        <v>1867</v>
      </c>
      <c r="F840" s="259" t="s">
        <v>9327</v>
      </c>
      <c r="G840" s="176">
        <v>1</v>
      </c>
      <c r="H840" s="178">
        <v>92445</v>
      </c>
      <c r="I840" s="592">
        <f t="shared" si="28"/>
        <v>8</v>
      </c>
      <c r="J840" s="178" t="s">
        <v>816</v>
      </c>
      <c r="K840" s="178" t="s">
        <v>816</v>
      </c>
      <c r="L840" s="275"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840" s="593" t="str">
        <f>IF(H:H=0,"",IF(ISERROR(VLOOKUP(H:H,produtos_escape2!$A$2:$D$2794,2,FALSE)),"Código não cadastrado",(VLOOKUP(H:H,produtos_escape2!$A$2:$D$2794,4,FALSE))))</f>
        <v>UN</v>
      </c>
      <c r="N840" s="486">
        <v>150</v>
      </c>
      <c r="O840" s="176" t="s">
        <v>3663</v>
      </c>
      <c r="P840" s="486">
        <v>150</v>
      </c>
      <c r="Q840" s="247">
        <v>3.4849999999999999</v>
      </c>
      <c r="R840" s="246">
        <f t="shared" si="27"/>
        <v>522.75</v>
      </c>
      <c r="S840" s="177">
        <v>44019</v>
      </c>
      <c r="T840" s="182">
        <v>1233726</v>
      </c>
      <c r="U840" s="177">
        <v>44020</v>
      </c>
      <c r="V840" s="177">
        <v>44025</v>
      </c>
      <c r="W840" s="177">
        <v>44026</v>
      </c>
      <c r="X840" s="176">
        <v>53959</v>
      </c>
      <c r="Y840" s="177">
        <v>44046</v>
      </c>
      <c r="Z840" s="415">
        <v>4</v>
      </c>
      <c r="AA840" s="488"/>
      <c r="AB840" s="594"/>
      <c r="AC840" s="595"/>
      <c r="AD840" s="596" t="str">
        <f>IF(AND(AC840&lt;&gt;"",S840&lt;&gt;""),NETWORKDAYS(AC840,S840,#REF!),"")</f>
        <v/>
      </c>
      <c r="AE840" s="596" t="str">
        <f ca="1">IF(AND(AD840="",AC840=""),"",IF(OR(AD840&lt;&gt;"",O840="*CANCELADO"),"",NETWORKDAYS(AC840,TODAY(),#REF!)))</f>
        <v/>
      </c>
      <c r="AF840" s="597" t="str">
        <f>IFERROR(INDEX(produtos_escape2!M:M,MATCH(Controle!H840,produtos_escape2!A:A,0)),"")</f>
        <v>SONDA DE FOLEY 2 VIAS LÁTEX Nº 14</v>
      </c>
    </row>
    <row r="841" spans="1:32" ht="14.25" customHeight="1">
      <c r="A841" s="176" t="s">
        <v>8605</v>
      </c>
      <c r="B841" s="176" t="s">
        <v>3608</v>
      </c>
      <c r="C841" s="177">
        <v>44012</v>
      </c>
      <c r="D841" s="176" t="s">
        <v>9328</v>
      </c>
      <c r="E841" s="176" t="s">
        <v>1865</v>
      </c>
      <c r="F841" s="259" t="s">
        <v>9329</v>
      </c>
      <c r="G841" s="176">
        <v>1</v>
      </c>
      <c r="H841" s="178">
        <v>90039</v>
      </c>
      <c r="I841" s="592">
        <f t="shared" si="28"/>
        <v>5</v>
      </c>
      <c r="J841" s="178" t="s">
        <v>816</v>
      </c>
      <c r="K841" s="178" t="s">
        <v>816</v>
      </c>
      <c r="L841" s="275" t="str">
        <f>IF(H:H=0,"",IF(ISERROR(VLOOKUP(H:H,produtos_escape2!$A$2:$B$2794,2,FALSE)),"Código não cadastrado",(VLOOKUP(H:H,produtos_escape2!$A$2:$B$2794,2,FALSE))))</f>
        <v>MIDAZOLAM SOLUCAO INJETAVEL 5 MG/ML AMPOLA 10 ML</v>
      </c>
      <c r="M841" s="593" t="str">
        <f>IF(H:H=0,"",IF(ISERROR(VLOOKUP(H:H,produtos_escape2!$A$2:$D$2794,2,FALSE)),"Código não cadastrado",(VLOOKUP(H:H,produtos_escape2!$A$2:$D$2794,4,FALSE))))</f>
        <v>AMP</v>
      </c>
      <c r="N841" s="486">
        <v>1600</v>
      </c>
      <c r="O841" s="176" t="s">
        <v>4401</v>
      </c>
      <c r="P841" s="486">
        <v>1600</v>
      </c>
      <c r="Q841" s="247">
        <v>6.9</v>
      </c>
      <c r="R841" s="246">
        <f t="shared" si="27"/>
        <v>11040</v>
      </c>
      <c r="S841" s="177">
        <v>44020</v>
      </c>
      <c r="T841" s="182">
        <v>2681394</v>
      </c>
      <c r="U841" s="177">
        <v>44039</v>
      </c>
      <c r="V841" s="177">
        <v>44041</v>
      </c>
      <c r="W841" s="177">
        <v>44043</v>
      </c>
      <c r="X841" s="176">
        <v>63793</v>
      </c>
      <c r="Y841" s="177">
        <v>44061</v>
      </c>
      <c r="Z841" s="415">
        <v>4</v>
      </c>
      <c r="AA841" s="488"/>
      <c r="AB841" s="594"/>
      <c r="AC841" s="595"/>
      <c r="AD841" s="596" t="str">
        <f>IF(AND(AC841&lt;&gt;"",S841&lt;&gt;""),NETWORKDAYS(AC841,S841,#REF!),"")</f>
        <v/>
      </c>
      <c r="AE841" s="596" t="str">
        <f ca="1">IF(AND(AD841="",AC841=""),"",IF(OR(AD841&lt;&gt;"",O841="*CANCELADO"),"",NETWORKDAYS(AC841,TODAY(),#REF!)))</f>
        <v/>
      </c>
      <c r="AF841" s="597" t="str">
        <f>IFERROR(INDEX(produtos_escape2!M:M,MATCH(Controle!H841,produtos_escape2!A:A,0)),"")</f>
        <v>MIDAZOLAM SOLUCAO INJETAVEL 5 MG/ML AMPOLA 10 ML</v>
      </c>
    </row>
    <row r="842" spans="1:32" ht="14.25" customHeight="1">
      <c r="A842" s="176" t="s">
        <v>8543</v>
      </c>
      <c r="B842" s="176" t="s">
        <v>3608</v>
      </c>
      <c r="C842" s="177">
        <v>44015</v>
      </c>
      <c r="D842" s="176" t="s">
        <v>9331</v>
      </c>
      <c r="E842" s="176" t="s">
        <v>3008</v>
      </c>
      <c r="F842" s="259" t="s">
        <v>9335</v>
      </c>
      <c r="G842" s="176">
        <v>1</v>
      </c>
      <c r="H842" s="178">
        <v>90070</v>
      </c>
      <c r="I842" s="592">
        <f t="shared" si="28"/>
        <v>4</v>
      </c>
      <c r="J842" s="178" t="s">
        <v>816</v>
      </c>
      <c r="K842" s="178" t="s">
        <v>816</v>
      </c>
      <c r="L842" s="275" t="str">
        <f>IF(H:H=0,"",IF(ISERROR(VLOOKUP(H:H,produtos_escape2!$A$2:$B$2794,2,FALSE)),"Código não cadastrado",(VLOOKUP(H:H,produtos_escape2!$A$2:$B$2794,2,FALSE))))</f>
        <v>VALPROATO DE SODIO XAROPE (EQUIVALENTE 250 MG/5 ML ACIDO VALPROICO) FRASCO 100 ML</v>
      </c>
      <c r="M842" s="593" t="str">
        <f>IF(H:H=0,"",IF(ISERROR(VLOOKUP(H:H,produtos_escape2!$A$2:$D$2794,2,FALSE)),"Código não cadastrado",(VLOOKUP(H:H,produtos_escape2!$A$2:$D$2794,4,FALSE))))</f>
        <v>FR</v>
      </c>
      <c r="N842" s="486">
        <v>15</v>
      </c>
      <c r="O842" s="176" t="s">
        <v>7371</v>
      </c>
      <c r="P842" s="486">
        <v>15</v>
      </c>
      <c r="Q842" s="247">
        <v>12</v>
      </c>
      <c r="R842" s="246">
        <f t="shared" si="27"/>
        <v>180</v>
      </c>
      <c r="S842" s="177">
        <v>44026</v>
      </c>
      <c r="T842" s="182">
        <v>353683</v>
      </c>
      <c r="U842" s="177">
        <v>44033</v>
      </c>
      <c r="V842" s="177">
        <v>44034</v>
      </c>
      <c r="W842" s="177">
        <v>44035</v>
      </c>
      <c r="X842" s="176">
        <v>53923</v>
      </c>
      <c r="Y842" s="177">
        <v>44046</v>
      </c>
      <c r="Z842" s="415">
        <v>4</v>
      </c>
      <c r="AA842" s="488"/>
      <c r="AB842" s="594"/>
      <c r="AC842" s="595"/>
      <c r="AD842" s="596" t="str">
        <f>IF(AND(AC842&lt;&gt;"",S842&lt;&gt;""),NETWORKDAYS(AC842,S842,#REF!),"")</f>
        <v/>
      </c>
      <c r="AE842" s="596" t="str">
        <f ca="1">IF(AND(AD842="",AC842=""),"",IF(OR(AD842&lt;&gt;"",O842="*CANCELADO"),"",NETWORKDAYS(AC842,TODAY(),#REF!)))</f>
        <v/>
      </c>
      <c r="AF842" s="597" t="str">
        <f>IFERROR(INDEX(produtos_escape2!M:M,MATCH(Controle!H842,produtos_escape2!A:A,0)),"")</f>
        <v>VALPROATO DE SODIO XAROPE (EQUIVALENTE 250 MG/5 ML ACIDO VALPROICO) FRASCO 100 ML</v>
      </c>
    </row>
    <row r="843" spans="1:32" ht="14.25" customHeight="1">
      <c r="A843" s="176" t="s">
        <v>8613</v>
      </c>
      <c r="B843" s="176" t="s">
        <v>3608</v>
      </c>
      <c r="C843" s="177">
        <v>44015</v>
      </c>
      <c r="D843" s="176" t="s">
        <v>9332</v>
      </c>
      <c r="E843" s="176" t="s">
        <v>1867</v>
      </c>
      <c r="F843" s="259" t="s">
        <v>9336</v>
      </c>
      <c r="G843" s="176">
        <v>1</v>
      </c>
      <c r="H843" s="178">
        <v>90500</v>
      </c>
      <c r="I843" s="592">
        <f t="shared" si="28"/>
        <v>3</v>
      </c>
      <c r="J843" s="178" t="s">
        <v>816</v>
      </c>
      <c r="K843" s="178" t="s">
        <v>816</v>
      </c>
      <c r="L843" s="275" t="str">
        <f>IF(H:H=0,"",IF(ISERROR(VLOOKUP(H:H,produtos_escape2!$A$2:$B$2794,2,FALSE)),"Código não cadastrado",(VLOOKUP(H:H,produtos_escape2!$A$2:$B$2794,2,FALSE))))</f>
        <v xml:space="preserve">BISACODIL DRAGEA 5 MG </v>
      </c>
      <c r="M843" s="593" t="str">
        <f>IF(H:H=0,"",IF(ISERROR(VLOOKUP(H:H,produtos_escape2!$A$2:$D$2794,2,FALSE)),"Código não cadastrado",(VLOOKUP(H:H,produtos_escape2!$A$2:$D$2794,4,FALSE))))</f>
        <v>DG</v>
      </c>
      <c r="N843" s="486">
        <v>400</v>
      </c>
      <c r="O843" s="176" t="s">
        <v>4379</v>
      </c>
      <c r="P843" s="486">
        <v>400</v>
      </c>
      <c r="Q843" s="247">
        <v>0.15</v>
      </c>
      <c r="R843" s="246">
        <f t="shared" si="27"/>
        <v>60</v>
      </c>
      <c r="S843" s="177">
        <v>44027</v>
      </c>
      <c r="T843" s="182">
        <v>13330</v>
      </c>
      <c r="U843" s="177">
        <v>44027</v>
      </c>
      <c r="V843" s="177">
        <v>44028</v>
      </c>
      <c r="W843" s="177">
        <v>44029</v>
      </c>
      <c r="X843" s="176">
        <v>53871</v>
      </c>
      <c r="Y843" s="177">
        <v>44046</v>
      </c>
      <c r="Z843" s="415">
        <v>4</v>
      </c>
      <c r="AA843" s="488"/>
      <c r="AB843" s="594"/>
      <c r="AC843" s="595"/>
      <c r="AD843" s="596" t="str">
        <f>IF(AND(AC843&lt;&gt;"",S843&lt;&gt;""),NETWORKDAYS(AC843,S843,#REF!),"")</f>
        <v/>
      </c>
      <c r="AE843" s="596" t="str">
        <f ca="1">IF(AND(AD843="",AC843=""),"",IF(OR(AD843&lt;&gt;"",O843="*CANCELADO"),"",NETWORKDAYS(AC843,TODAY(),#REF!)))</f>
        <v/>
      </c>
      <c r="AF843" s="597" t="str">
        <f>IFERROR(INDEX(produtos_escape2!M:M,MATCH(Controle!H843,produtos_escape2!A:A,0)),"")</f>
        <v xml:space="preserve">BISACODIL DRAGEA 5 MG </v>
      </c>
    </row>
    <row r="844" spans="1:32" ht="14.25" customHeight="1">
      <c r="A844" s="176" t="s">
        <v>8617</v>
      </c>
      <c r="B844" s="176" t="s">
        <v>3608</v>
      </c>
      <c r="C844" s="177">
        <v>44015</v>
      </c>
      <c r="D844" s="176" t="s">
        <v>9333</v>
      </c>
      <c r="E844" s="176" t="s">
        <v>1867</v>
      </c>
      <c r="F844" s="259" t="s">
        <v>9337</v>
      </c>
      <c r="G844" s="176">
        <v>1</v>
      </c>
      <c r="H844" s="178">
        <v>90610</v>
      </c>
      <c r="I844" s="592">
        <f t="shared" si="28"/>
        <v>11</v>
      </c>
      <c r="J844" s="178" t="s">
        <v>816</v>
      </c>
      <c r="K844" s="178" t="s">
        <v>816</v>
      </c>
      <c r="L844" s="275" t="str">
        <f>IF(H:H=0,"",IF(ISERROR(VLOOKUP(H:H,produtos_escape2!$A$2:$B$2794,2,FALSE)),"Código não cadastrado",(VLOOKUP(H:H,produtos_escape2!$A$2:$B$2794,2,FALSE))))</f>
        <v>HEPARINA SODICA SOLUÇAO INJETAVEL 5000 UI/ML FRASCO AMPOLA 5 ML</v>
      </c>
      <c r="M844" s="593" t="str">
        <f>IF(H:H=0,"",IF(ISERROR(VLOOKUP(H:H,produtos_escape2!$A$2:$D$2794,2,FALSE)),"Código não cadastrado",(VLOOKUP(H:H,produtos_escape2!$A$2:$D$2794,4,FALSE))))</f>
        <v>FA</v>
      </c>
      <c r="N844" s="486">
        <v>300</v>
      </c>
      <c r="O844" s="176" t="s">
        <v>4401</v>
      </c>
      <c r="P844" s="486">
        <v>300</v>
      </c>
      <c r="Q844" s="247">
        <v>21.12</v>
      </c>
      <c r="R844" s="246">
        <f t="shared" si="27"/>
        <v>6336</v>
      </c>
      <c r="S844" s="177">
        <v>44019</v>
      </c>
      <c r="T844" s="182">
        <v>2665646</v>
      </c>
      <c r="U844" s="177">
        <v>44025</v>
      </c>
      <c r="V844" s="177">
        <v>44027</v>
      </c>
      <c r="W844" s="177">
        <v>44029</v>
      </c>
      <c r="X844" s="176">
        <v>54631</v>
      </c>
      <c r="Y844" s="177">
        <v>44046</v>
      </c>
      <c r="Z844" s="415">
        <v>4</v>
      </c>
      <c r="AA844" s="488"/>
      <c r="AB844" s="594"/>
      <c r="AC844" s="595"/>
      <c r="AD844" s="596" t="str">
        <f>IF(AND(AC844&lt;&gt;"",S844&lt;&gt;""),NETWORKDAYS(AC844,S844,#REF!),"")</f>
        <v/>
      </c>
      <c r="AE844" s="596" t="str">
        <f ca="1">IF(AND(AD844="",AC844=""),"",IF(OR(AD844&lt;&gt;"",O844="*CANCELADO"),"",NETWORKDAYS(AC844,TODAY(),#REF!)))</f>
        <v/>
      </c>
      <c r="AF844" s="597" t="str">
        <f>IFERROR(INDEX(produtos_escape2!M:M,MATCH(Controle!H844,produtos_escape2!A:A,0)),"")</f>
        <v>HEPARINA SODICA SOLUÇAO INJETAVEL 5000 UI/ML FRASCO AMPOLA 5 ML</v>
      </c>
    </row>
    <row r="845" spans="1:32" ht="14.25" customHeight="1">
      <c r="A845" s="176" t="s">
        <v>8617</v>
      </c>
      <c r="B845" s="176" t="s">
        <v>3608</v>
      </c>
      <c r="C845" s="177">
        <v>44015</v>
      </c>
      <c r="D845" s="176" t="s">
        <v>9333</v>
      </c>
      <c r="E845" s="176" t="s">
        <v>1867</v>
      </c>
      <c r="F845" s="259" t="s">
        <v>9337</v>
      </c>
      <c r="G845" s="176">
        <v>1</v>
      </c>
      <c r="H845" s="178">
        <v>90610</v>
      </c>
      <c r="I845" s="592">
        <f t="shared" si="28"/>
        <v>11</v>
      </c>
      <c r="J845" s="178" t="s">
        <v>816</v>
      </c>
      <c r="K845" s="178" t="s">
        <v>816</v>
      </c>
      <c r="L845" s="275" t="str">
        <f>IF(H:H=0,"",IF(ISERROR(VLOOKUP(H:H,produtos_escape2!$A$2:$B$2794,2,FALSE)),"Código não cadastrado",(VLOOKUP(H:H,produtos_escape2!$A$2:$B$2794,2,FALSE))))</f>
        <v>HEPARINA SODICA SOLUÇAO INJETAVEL 5000 UI/ML FRASCO AMPOLA 5 ML</v>
      </c>
      <c r="M845" s="593" t="str">
        <f>IF(H:H=0,"",IF(ISERROR(VLOOKUP(H:H,produtos_escape2!$A$2:$D$2794,2,FALSE)),"Código não cadastrado",(VLOOKUP(H:H,produtos_escape2!$A$2:$D$2794,4,FALSE))))</f>
        <v>FA</v>
      </c>
      <c r="N845" s="486">
        <v>300</v>
      </c>
      <c r="O845" s="176" t="s">
        <v>4401</v>
      </c>
      <c r="P845" s="486">
        <v>300</v>
      </c>
      <c r="Q845" s="247">
        <f>22.12-Q844</f>
        <v>1</v>
      </c>
      <c r="R845" s="246">
        <f t="shared" si="27"/>
        <v>300</v>
      </c>
      <c r="S845" s="177">
        <v>44019</v>
      </c>
      <c r="T845" s="182">
        <v>2665646</v>
      </c>
      <c r="U845" s="177">
        <v>44025</v>
      </c>
      <c r="V845" s="177">
        <v>44027</v>
      </c>
      <c r="W845" s="177">
        <v>44029</v>
      </c>
      <c r="X845" s="176">
        <v>91259</v>
      </c>
      <c r="Y845" s="177">
        <v>44104</v>
      </c>
      <c r="Z845" s="415">
        <v>5</v>
      </c>
      <c r="AA845" s="488" t="s">
        <v>9939</v>
      </c>
      <c r="AB845" s="594"/>
      <c r="AC845" s="595"/>
      <c r="AD845" s="596" t="str">
        <f>IF(AND(AC845&lt;&gt;"",S845&lt;&gt;""),NETWORKDAYS(AC845,S845,#REF!),"")</f>
        <v/>
      </c>
      <c r="AE845" s="596" t="str">
        <f ca="1">IF(AND(AD845="",AC845=""),"",IF(OR(AD845&lt;&gt;"",O845="*CANCELADO"),"",NETWORKDAYS(AC845,TODAY(),#REF!)))</f>
        <v/>
      </c>
      <c r="AF845" s="597" t="str">
        <f>IFERROR(INDEX(produtos_escape2!M:M,MATCH(Controle!H845,produtos_escape2!A:A,0)),"")</f>
        <v>HEPARINA SODICA SOLUÇAO INJETAVEL 5000 UI/ML FRASCO AMPOLA 5 ML</v>
      </c>
    </row>
    <row r="846" spans="1:32" ht="14.25" customHeight="1">
      <c r="A846" s="176" t="s">
        <v>8619</v>
      </c>
      <c r="B846" s="176" t="s">
        <v>3608</v>
      </c>
      <c r="C846" s="177">
        <v>44015</v>
      </c>
      <c r="D846" s="176" t="s">
        <v>9334</v>
      </c>
      <c r="E846" s="176" t="s">
        <v>1865</v>
      </c>
      <c r="F846" s="259" t="s">
        <v>9338</v>
      </c>
      <c r="G846" s="176">
        <v>1</v>
      </c>
      <c r="H846" s="178">
        <v>90841</v>
      </c>
      <c r="I846" s="592">
        <f t="shared" si="28"/>
        <v>8</v>
      </c>
      <c r="J846" s="178" t="s">
        <v>816</v>
      </c>
      <c r="K846" s="178" t="s">
        <v>816</v>
      </c>
      <c r="L846" s="275" t="str">
        <f>IF(H:H=0,"",IF(ISERROR(VLOOKUP(H:H,produtos_escape2!$A$2:$B$2794,2,FALSE)),"Código não cadastrado",(VLOOKUP(H:H,produtos_escape2!$A$2:$B$2794,2,FALSE))))</f>
        <v>ATROPINA (SULFATO) SOLUÇAO OFTALMICA 1 % FRASCO 5 ML</v>
      </c>
      <c r="M846" s="593" t="str">
        <f>IF(H:H=0,"",IF(ISERROR(VLOOKUP(H:H,produtos_escape2!$A$2:$D$2794,2,FALSE)),"Código não cadastrado",(VLOOKUP(H:H,produtos_escape2!$A$2:$D$2794,4,FALSE))))</f>
        <v>FR</v>
      </c>
      <c r="N846" s="486">
        <v>10</v>
      </c>
      <c r="O846" s="176" t="s">
        <v>5754</v>
      </c>
      <c r="P846" s="486">
        <v>10</v>
      </c>
      <c r="Q846" s="247">
        <v>34.85</v>
      </c>
      <c r="R846" s="246">
        <f t="shared" si="27"/>
        <v>348.5</v>
      </c>
      <c r="S846" s="177">
        <v>44027</v>
      </c>
      <c r="T846" s="182">
        <v>148747</v>
      </c>
      <c r="U846" s="177">
        <v>44029</v>
      </c>
      <c r="V846" s="177">
        <v>44033</v>
      </c>
      <c r="W846" s="177">
        <v>44033</v>
      </c>
      <c r="X846" s="176">
        <v>53942</v>
      </c>
      <c r="Y846" s="177">
        <v>44046</v>
      </c>
      <c r="Z846" s="415">
        <v>4</v>
      </c>
      <c r="AA846" s="488"/>
      <c r="AB846" s="594"/>
      <c r="AC846" s="595"/>
      <c r="AD846" s="596" t="str">
        <f>IF(AND(AC846&lt;&gt;"",S846&lt;&gt;""),NETWORKDAYS(AC846,S846,#REF!),"")</f>
        <v/>
      </c>
      <c r="AE846" s="596" t="str">
        <f ca="1">IF(AND(AD846="",AC846=""),"",IF(OR(AD846&lt;&gt;"",O846="*CANCELADO"),"",NETWORKDAYS(AC846,TODAY(),#REF!)))</f>
        <v/>
      </c>
      <c r="AF846" s="597" t="str">
        <f>IFERROR(INDEX(produtos_escape2!M:M,MATCH(Controle!H846,produtos_escape2!A:A,0)),"")</f>
        <v>ATROPINA (SULFATO) SOLUÇAO OFTALMICA 1 % FRASCO 5 ML</v>
      </c>
    </row>
    <row r="847" spans="1:32" ht="14.25" customHeight="1">
      <c r="A847" s="176" t="s">
        <v>8554</v>
      </c>
      <c r="B847" s="176" t="s">
        <v>3608</v>
      </c>
      <c r="C847" s="177">
        <v>44018</v>
      </c>
      <c r="D847" s="176" t="s">
        <v>9345</v>
      </c>
      <c r="E847" s="176" t="s">
        <v>1866</v>
      </c>
      <c r="F847" s="259" t="s">
        <v>9346</v>
      </c>
      <c r="G847" s="176">
        <v>1</v>
      </c>
      <c r="H847" s="178">
        <v>92407</v>
      </c>
      <c r="I847" s="592">
        <f t="shared" si="28"/>
        <v>3</v>
      </c>
      <c r="J847" s="178" t="s">
        <v>816</v>
      </c>
      <c r="K847" s="178" t="s">
        <v>816</v>
      </c>
      <c r="L847" s="275"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847" s="593" t="str">
        <f>IF(H:H=0,"",IF(ISERROR(VLOOKUP(H:H,produtos_escape2!$A$2:$D$2794,2,FALSE)),"Código não cadastrado",(VLOOKUP(H:H,produtos_escape2!$A$2:$D$2794,4,FALSE))))</f>
        <v>UN</v>
      </c>
      <c r="N847" s="486">
        <v>120000</v>
      </c>
      <c r="O847" s="176" t="s">
        <v>7825</v>
      </c>
      <c r="P847" s="486">
        <v>60000</v>
      </c>
      <c r="Q847" s="247">
        <v>0.41449999999999998</v>
      </c>
      <c r="R847" s="246">
        <f t="shared" si="27"/>
        <v>24870</v>
      </c>
      <c r="S847" s="177">
        <v>44019</v>
      </c>
      <c r="T847" s="182">
        <v>550034</v>
      </c>
      <c r="U847" s="177">
        <v>44020</v>
      </c>
      <c r="V847" s="177">
        <v>44026</v>
      </c>
      <c r="W847" s="177">
        <v>44029</v>
      </c>
      <c r="X847" s="176">
        <v>54664</v>
      </c>
      <c r="Y847" s="177">
        <v>44046</v>
      </c>
      <c r="Z847" s="415">
        <v>4</v>
      </c>
      <c r="AA847" s="488"/>
      <c r="AB847" s="594"/>
      <c r="AC847" s="595"/>
      <c r="AD847" s="596" t="str">
        <f>IF(AND(AC847&lt;&gt;"",S847&lt;&gt;""),NETWORKDAYS(AC847,S847,#REF!),"")</f>
        <v/>
      </c>
      <c r="AE847" s="596" t="str">
        <f ca="1">IF(AND(AD847="",AC847=""),"",IF(OR(AD847&lt;&gt;"",O847="*CANCELADO"),"",NETWORKDAYS(AC847,TODAY(),#REF!)))</f>
        <v/>
      </c>
      <c r="AF847" s="597" t="str">
        <f>IFERROR(INDEX(produtos_escape2!M:M,MATCH(Controle!H847,produtos_escape2!A:A,0)),"")</f>
        <v>LUVA DE PROCEDIMENTO NÃO ESTÉRIL DE LÁTEX TAMANHO "P"</v>
      </c>
    </row>
    <row r="848" spans="1:32" ht="14.25" customHeight="1">
      <c r="A848" s="176" t="s">
        <v>8021</v>
      </c>
      <c r="B848" s="176" t="s">
        <v>7207</v>
      </c>
      <c r="C848" s="177">
        <v>44018</v>
      </c>
      <c r="D848" s="176" t="s">
        <v>9347</v>
      </c>
      <c r="E848" s="176" t="s">
        <v>1867</v>
      </c>
      <c r="F848" s="259" t="s">
        <v>9348</v>
      </c>
      <c r="G848" s="176">
        <v>1</v>
      </c>
      <c r="H848" s="178">
        <v>27358</v>
      </c>
      <c r="I848" s="592">
        <f t="shared" si="28"/>
        <v>2</v>
      </c>
      <c r="J848" s="178" t="s">
        <v>816</v>
      </c>
      <c r="K848" s="178" t="s">
        <v>816</v>
      </c>
      <c r="L848" s="275" t="str">
        <f>IF(H:H=0,"",IF(ISERROR(VLOOKUP(H:H,produtos_escape2!$A$2:$B$2794,2,FALSE)),"Código não cadastrado",(VLOOKUP(H:H,produtos_escape2!$A$2:$B$2794,2,FALSE))))</f>
        <v>ETIQUETA AUTOADESIVA, Cor: Cinza, Tamanho: 4cm x 5cm com os dizeres:
 “HRG, VISITANTE, Nome, Setor, Data” Conforme anexo.</v>
      </c>
      <c r="M848" s="593" t="str">
        <f>IF(H:H=0,"",IF(ISERROR(VLOOKUP(H:H,produtos_escape2!$A$2:$D$2794,2,FALSE)),"Código não cadastrado",(VLOOKUP(H:H,produtos_escape2!$A$2:$D$2794,4,FALSE))))</f>
        <v>UN</v>
      </c>
      <c r="N848" s="486">
        <v>60000</v>
      </c>
      <c r="O848" s="176" t="s">
        <v>3671</v>
      </c>
      <c r="P848" s="486">
        <v>60000</v>
      </c>
      <c r="Q848" s="510">
        <v>1.9666599999999999E-2</v>
      </c>
      <c r="R848" s="246">
        <f t="shared" ref="R848:R879" si="29">P848*Q848</f>
        <v>1179.9959999999999</v>
      </c>
      <c r="S848" s="177">
        <v>44019</v>
      </c>
      <c r="T848" s="182">
        <v>742</v>
      </c>
      <c r="U848" s="177">
        <v>44034</v>
      </c>
      <c r="V848" s="177">
        <v>44035</v>
      </c>
      <c r="W848" s="177">
        <v>44035</v>
      </c>
      <c r="X848" s="176">
        <v>53994</v>
      </c>
      <c r="Y848" s="177">
        <v>44046</v>
      </c>
      <c r="Z848" s="415">
        <v>4</v>
      </c>
      <c r="AA848" s="488"/>
      <c r="AB848" s="594"/>
      <c r="AC848" s="595"/>
      <c r="AD848" s="596" t="str">
        <f>IF(AND(AC848&lt;&gt;"",S848&lt;&gt;""),NETWORKDAYS(AC848,S848,#REF!),"")</f>
        <v/>
      </c>
      <c r="AE848" s="596" t="str">
        <f ca="1">IF(AND(AD848="",AC848=""),"",IF(OR(AD848&lt;&gt;"",O848="*CANCELADO"),"",NETWORKDAYS(AC848,TODAY(),#REF!)))</f>
        <v/>
      </c>
      <c r="AF848" s="597" t="str">
        <f>IFERROR(INDEX(produtos_escape2!M:M,MATCH(Controle!H848,produtos_escape2!A:A,0)),"")</f>
        <v>ETIQUETA AUTOADESIVA</v>
      </c>
    </row>
    <row r="849" spans="1:32" ht="14.25" customHeight="1">
      <c r="A849" s="176" t="s">
        <v>8027</v>
      </c>
      <c r="B849" s="176" t="s">
        <v>7207</v>
      </c>
      <c r="C849" s="177">
        <v>44019</v>
      </c>
      <c r="D849" s="176" t="s">
        <v>9349</v>
      </c>
      <c r="E849" s="176" t="s">
        <v>1866</v>
      </c>
      <c r="F849" s="259" t="s">
        <v>9350</v>
      </c>
      <c r="G849" s="176">
        <v>1</v>
      </c>
      <c r="H849" s="178">
        <v>35477</v>
      </c>
      <c r="I849" s="592">
        <f t="shared" si="28"/>
        <v>3</v>
      </c>
      <c r="J849" s="178" t="s">
        <v>816</v>
      </c>
      <c r="K849" s="178" t="s">
        <v>816</v>
      </c>
      <c r="L849" s="275" t="str">
        <f>IF(H:H=0,"",IF(ISERROR(VLOOKUP(H:H,produtos_escape2!$A$2:$B$2794,2,FALSE)),"Código não cadastrado",(VLOOKUP(H:H,produtos_escape2!$A$2:$B$2794,2,FALSE))))</f>
        <v>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v>
      </c>
      <c r="M849" s="593" t="str">
        <f>IF(H:H=0,"",IF(ISERROR(VLOOKUP(H:H,produtos_escape2!$A$2:$D$2794,2,FALSE)),"Código não cadastrado",(VLOOKUP(H:H,produtos_escape2!$A$2:$D$2794,4,FALSE))))</f>
        <v>UN</v>
      </c>
      <c r="N849" s="486">
        <v>4</v>
      </c>
      <c r="O849" s="176" t="s">
        <v>1868</v>
      </c>
      <c r="P849" s="486"/>
      <c r="Q849" s="247"/>
      <c r="R849" s="246">
        <f t="shared" si="29"/>
        <v>0</v>
      </c>
      <c r="S849" s="177">
        <v>44099</v>
      </c>
      <c r="T849" s="182"/>
      <c r="U849" s="177"/>
      <c r="V849" s="177"/>
      <c r="W849" s="177"/>
      <c r="X849" s="176"/>
      <c r="Y849" s="177"/>
      <c r="Z849" s="415">
        <v>5</v>
      </c>
      <c r="AA849" s="488" t="s">
        <v>9988</v>
      </c>
      <c r="AB849" s="594"/>
      <c r="AC849" s="595"/>
      <c r="AD849" s="596" t="str">
        <f>IF(AND(AC849&lt;&gt;"",S849&lt;&gt;""),NETWORKDAYS(AC849,S849,#REF!),"")</f>
        <v/>
      </c>
      <c r="AE849" s="596" t="str">
        <f ca="1">IF(AND(AD849="",AC849=""),"",IF(OR(AD849&lt;&gt;"",O849="*CANCELADO"),"",NETWORKDAYS(AC849,TODAY(),#REF!)))</f>
        <v/>
      </c>
      <c r="AF849" s="597" t="str">
        <f>IFERROR(INDEX(produtos_escape2!M:M,MATCH(Controle!H849,produtos_escape2!A:A,0)),"")</f>
        <v>CAIXA ORGANIZADORA</v>
      </c>
    </row>
    <row r="850" spans="1:32" ht="14.25" customHeight="1">
      <c r="A850" s="176" t="s">
        <v>8025</v>
      </c>
      <c r="B850" s="176" t="s">
        <v>7207</v>
      </c>
      <c r="C850" s="177">
        <v>44019</v>
      </c>
      <c r="D850" s="176" t="s">
        <v>9351</v>
      </c>
      <c r="E850" s="203" t="s">
        <v>1867</v>
      </c>
      <c r="F850" s="259" t="s">
        <v>9352</v>
      </c>
      <c r="G850" s="176">
        <v>1</v>
      </c>
      <c r="H850" s="178">
        <v>31635</v>
      </c>
      <c r="I850" s="592">
        <f t="shared" si="28"/>
        <v>5</v>
      </c>
      <c r="J850" s="178" t="s">
        <v>816</v>
      </c>
      <c r="K850" s="178" t="s">
        <v>816</v>
      </c>
      <c r="L850" s="275" t="str">
        <f>IF(H:H=0,"",IF(ISERROR(VLOOKUP(H:H,produtos_escape2!$A$2:$B$2794,2,FALSE)),"Código não cadastrado",(VLOOKUP(H:H,produtos_escape2!$A$2:$B$2794,2,FALSE))))</f>
        <v>ETIQUETA AUTOADESIVA, Cor: Vermelho, Tamanho: 2cm x 1cm com os dizeres: ATENÇÃO! MEDICAMENTO DE ALTA VIGILÂNCIA.</v>
      </c>
      <c r="M850" s="593" t="str">
        <f>IF(H:H=0,"",IF(ISERROR(VLOOKUP(H:H,produtos_escape2!$A$2:$D$2794,2,FALSE)),"Código não cadastrado",(VLOOKUP(H:H,produtos_escape2!$A$2:$D$2794,4,FALSE))))</f>
        <v>UN</v>
      </c>
      <c r="N850" s="486">
        <v>25000</v>
      </c>
      <c r="O850" s="176" t="s">
        <v>3671</v>
      </c>
      <c r="P850" s="486">
        <v>25000</v>
      </c>
      <c r="Q850" s="247">
        <v>1.6E-2</v>
      </c>
      <c r="R850" s="246">
        <f t="shared" si="29"/>
        <v>400</v>
      </c>
      <c r="S850" s="177">
        <v>44019</v>
      </c>
      <c r="T850" s="182">
        <v>737</v>
      </c>
      <c r="U850" s="177">
        <v>44033</v>
      </c>
      <c r="V850" s="177">
        <v>44033</v>
      </c>
      <c r="W850" s="177">
        <v>44033</v>
      </c>
      <c r="X850" s="176">
        <v>53948</v>
      </c>
      <c r="Y850" s="177">
        <v>44046</v>
      </c>
      <c r="Z850" s="415">
        <v>4</v>
      </c>
      <c r="AA850" s="488"/>
      <c r="AB850" s="594"/>
      <c r="AC850" s="595"/>
      <c r="AD850" s="596" t="str">
        <f>IF(AND(AC850&lt;&gt;"",S850&lt;&gt;""),NETWORKDAYS(AC850,S850,#REF!),"")</f>
        <v/>
      </c>
      <c r="AE850" s="596" t="str">
        <f ca="1">IF(AND(AD850="",AC850=""),"",IF(OR(AD850&lt;&gt;"",O850="*CANCELADO"),"",NETWORKDAYS(AC850,TODAY(),#REF!)))</f>
        <v/>
      </c>
      <c r="AF850" s="597" t="str">
        <f>IFERROR(INDEX(produtos_escape2!M:M,MATCH(Controle!H850,produtos_escape2!A:A,0)),"")</f>
        <v>ETIQUETA AUTOADESIVA</v>
      </c>
    </row>
    <row r="851" spans="1:32" ht="14.25" customHeight="1">
      <c r="A851" s="176" t="s">
        <v>8629</v>
      </c>
      <c r="B851" s="176" t="s">
        <v>3608</v>
      </c>
      <c r="C851" s="177">
        <v>44019</v>
      </c>
      <c r="D851" s="176" t="s">
        <v>9378</v>
      </c>
      <c r="E851" s="176" t="s">
        <v>1865</v>
      </c>
      <c r="F851" s="259" t="s">
        <v>9379</v>
      </c>
      <c r="G851" s="176">
        <v>1</v>
      </c>
      <c r="H851" s="178">
        <v>90230</v>
      </c>
      <c r="I851" s="592">
        <f t="shared" si="28"/>
        <v>2</v>
      </c>
      <c r="J851" s="178" t="s">
        <v>816</v>
      </c>
      <c r="K851" s="178" t="s">
        <v>816</v>
      </c>
      <c r="L851" s="275" t="str">
        <f>IF(H:H=0,"",IF(ISERROR(VLOOKUP(H:H,produtos_escape2!$A$2:$B$2794,2,FALSE)),"Código não cadastrado",(VLOOKUP(H:H,produtos_escape2!$A$2:$B$2794,2,FALSE))))</f>
        <v>SUXAMETONIO (CLORETO) PO PARA SOLUCAO INJETAVEL 100 MG FRASCO-AMPOLA</v>
      </c>
      <c r="M851" s="593" t="str">
        <f>IF(H:H=0,"",IF(ISERROR(VLOOKUP(H:H,produtos_escape2!$A$2:$D$2794,2,FALSE)),"Código não cadastrado",(VLOOKUP(H:H,produtos_escape2!$A$2:$D$2794,4,FALSE))))</f>
        <v>FA</v>
      </c>
      <c r="N851" s="486">
        <v>100</v>
      </c>
      <c r="O851" s="176" t="s">
        <v>1868</v>
      </c>
      <c r="P851" s="486"/>
      <c r="Q851" s="247"/>
      <c r="R851" s="246">
        <f t="shared" si="29"/>
        <v>0</v>
      </c>
      <c r="S851" s="177">
        <v>44027</v>
      </c>
      <c r="T851" s="182"/>
      <c r="U851" s="177"/>
      <c r="V851" s="177"/>
      <c r="W851" s="177"/>
      <c r="X851" s="176"/>
      <c r="Y851" s="177"/>
      <c r="Z851" s="415">
        <v>4</v>
      </c>
      <c r="AA851" s="488" t="s">
        <v>7474</v>
      </c>
      <c r="AB851" s="594"/>
      <c r="AC851" s="595"/>
      <c r="AD851" s="596" t="str">
        <f>IF(AND(AC851&lt;&gt;"",S851&lt;&gt;""),NETWORKDAYS(AC851,S851,#REF!),"")</f>
        <v/>
      </c>
      <c r="AE851" s="596" t="str">
        <f ca="1">IF(AND(AD851="",AC851=""),"",IF(OR(AD851&lt;&gt;"",O851="*CANCELADO"),"",NETWORKDAYS(AC851,TODAY(),#REF!)))</f>
        <v/>
      </c>
      <c r="AF851" s="597" t="str">
        <f>IFERROR(INDEX(produtos_escape2!M:M,MATCH(Controle!H851,produtos_escape2!A:A,0)),"")</f>
        <v>SUXAMETONIO (CLORETO) PO PARA SOLUCAO INJETAVEL 100 MG FRASCO-AMPOLA</v>
      </c>
    </row>
    <row r="852" spans="1:32" ht="14.25" customHeight="1">
      <c r="A852" s="176" t="s">
        <v>8631</v>
      </c>
      <c r="B852" s="176" t="s">
        <v>3608</v>
      </c>
      <c r="C852" s="177">
        <v>44019</v>
      </c>
      <c r="D852" s="176" t="s">
        <v>9380</v>
      </c>
      <c r="E852" s="176" t="s">
        <v>1866</v>
      </c>
      <c r="F852" s="259" t="s">
        <v>9381</v>
      </c>
      <c r="G852" s="176">
        <v>1</v>
      </c>
      <c r="H852" s="178">
        <v>90295</v>
      </c>
      <c r="I852" s="592">
        <f t="shared" si="28"/>
        <v>4</v>
      </c>
      <c r="J852" s="178" t="s">
        <v>816</v>
      </c>
      <c r="K852" s="178" t="s">
        <v>816</v>
      </c>
      <c r="L852" s="275" t="str">
        <f>IF(H:H=0,"",IF(ISERROR(VLOOKUP(H:H,produtos_escape2!$A$2:$B$2794,2,FALSE)),"Código não cadastrado",(VLOOKUP(H:H,produtos_escape2!$A$2:$B$2794,2,FALSE))))</f>
        <v>METILDOPA COMPRIMIDO REVESTIDO 250 MG</v>
      </c>
      <c r="M852" s="593" t="str">
        <f>IF(H:H=0,"",IF(ISERROR(VLOOKUP(H:H,produtos_escape2!$A$2:$D$2794,2,FALSE)),"Código não cadastrado",(VLOOKUP(H:H,produtos_escape2!$A$2:$D$2794,4,FALSE))))</f>
        <v>CP</v>
      </c>
      <c r="N852" s="486">
        <v>350</v>
      </c>
      <c r="O852" s="176" t="s">
        <v>1868</v>
      </c>
      <c r="P852" s="486"/>
      <c r="Q852" s="247"/>
      <c r="R852" s="246">
        <f t="shared" si="29"/>
        <v>0</v>
      </c>
      <c r="S852" s="177">
        <v>44022</v>
      </c>
      <c r="T852" s="182"/>
      <c r="U852" s="177"/>
      <c r="V852" s="177"/>
      <c r="W852" s="177"/>
      <c r="X852" s="176"/>
      <c r="Y852" s="177"/>
      <c r="Z852" s="415">
        <v>4</v>
      </c>
      <c r="AA852" s="488" t="s">
        <v>9408</v>
      </c>
      <c r="AB852" s="594"/>
      <c r="AC852" s="595"/>
      <c r="AD852" s="596" t="str">
        <f>IF(AND(AC852&lt;&gt;"",S852&lt;&gt;""),NETWORKDAYS(AC852,S852,#REF!),"")</f>
        <v/>
      </c>
      <c r="AE852" s="596" t="str">
        <f ca="1">IF(AND(AD852="",AC852=""),"",IF(OR(AD852&lt;&gt;"",O852="*CANCELADO"),"",NETWORKDAYS(AC852,TODAY(),#REF!)))</f>
        <v/>
      </c>
      <c r="AF852" s="597" t="str">
        <f>IFERROR(INDEX(produtos_escape2!M:M,MATCH(Controle!H852,produtos_escape2!A:A,0)),"")</f>
        <v>METILDOPA COMPRIMIDO REVESTIDO 250 MG</v>
      </c>
    </row>
    <row r="853" spans="1:32" ht="14.25" customHeight="1">
      <c r="A853" s="176" t="s">
        <v>8635</v>
      </c>
      <c r="B853" s="176" t="s">
        <v>3608</v>
      </c>
      <c r="C853" s="177">
        <v>44019</v>
      </c>
      <c r="D853" s="176" t="s">
        <v>9382</v>
      </c>
      <c r="E853" s="176" t="s">
        <v>1867</v>
      </c>
      <c r="F853" s="259" t="s">
        <v>9383</v>
      </c>
      <c r="G853" s="176">
        <v>1</v>
      </c>
      <c r="H853" s="178">
        <v>92133</v>
      </c>
      <c r="I853" s="592">
        <f t="shared" si="28"/>
        <v>3</v>
      </c>
      <c r="J853" s="178" t="s">
        <v>816</v>
      </c>
      <c r="K853" s="178" t="s">
        <v>816</v>
      </c>
      <c r="L853" s="275"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853" s="593" t="str">
        <f>IF(H:H=0,"",IF(ISERROR(VLOOKUP(H:H,produtos_escape2!$A$2:$D$2794,2,FALSE)),"Código não cadastrado",(VLOOKUP(H:H,produtos_escape2!$A$2:$D$2794,4,FALSE))))</f>
        <v>UN</v>
      </c>
      <c r="N853" s="486">
        <v>40</v>
      </c>
      <c r="O853" s="176" t="s">
        <v>7283</v>
      </c>
      <c r="P853" s="486">
        <v>30</v>
      </c>
      <c r="Q853" s="247">
        <v>110</v>
      </c>
      <c r="R853" s="246">
        <f t="shared" si="29"/>
        <v>3300</v>
      </c>
      <c r="S853" s="177">
        <v>44019</v>
      </c>
      <c r="T853" s="182">
        <v>1690</v>
      </c>
      <c r="U853" s="177">
        <v>44027</v>
      </c>
      <c r="V853" s="177">
        <v>44027</v>
      </c>
      <c r="W853" s="177">
        <v>44029</v>
      </c>
      <c r="X853" s="176">
        <v>54280</v>
      </c>
      <c r="Y853" s="177">
        <v>44046</v>
      </c>
      <c r="Z853" s="415">
        <v>4</v>
      </c>
      <c r="AA853" s="488"/>
      <c r="AB853" s="594"/>
      <c r="AC853" s="595"/>
      <c r="AD853" s="596" t="str">
        <f>IF(AND(AC853&lt;&gt;"",S853&lt;&gt;""),NETWORKDAYS(AC853,S853,#REF!),"")</f>
        <v/>
      </c>
      <c r="AE853" s="596" t="str">
        <f ca="1">IF(AND(AD853="",AC853=""),"",IF(OR(AD853&lt;&gt;"",O853="*CANCELADO"),"",NETWORKDAYS(AC853,TODAY(),#REF!)))</f>
        <v/>
      </c>
      <c r="AF853" s="597" t="str">
        <f>IFERROR(INDEX(produtos_escape2!M:M,MATCH(Controle!H853,produtos_escape2!A:A,0)),"")</f>
        <v>CATETER DUPLO LUMEN PARA HEMODIALISE</v>
      </c>
    </row>
    <row r="854" spans="1:32" ht="14.25" customHeight="1">
      <c r="A854" s="176" t="s">
        <v>8636</v>
      </c>
      <c r="B854" s="176" t="s">
        <v>3608</v>
      </c>
      <c r="C854" s="177">
        <v>44019</v>
      </c>
      <c r="D854" s="176" t="s">
        <v>9384</v>
      </c>
      <c r="E854" s="176" t="s">
        <v>1865</v>
      </c>
      <c r="F854" s="259" t="s">
        <v>9385</v>
      </c>
      <c r="G854" s="176">
        <v>1</v>
      </c>
      <c r="H854" s="178">
        <v>6156</v>
      </c>
      <c r="I854" s="592">
        <f t="shared" si="28"/>
        <v>1</v>
      </c>
      <c r="J854" s="178" t="s">
        <v>816</v>
      </c>
      <c r="K854" s="178" t="s">
        <v>816</v>
      </c>
      <c r="L854" s="275" t="str">
        <f>IF(H:H=0,"",IF(ISERROR(VLOOKUP(H:H,produtos_escape2!$A$2:$B$2794,2,FALSE)),"Código não cadastrado",(VLOOKUP(H:H,produtos_escape2!$A$2:$B$2794,2,FALSE))))</f>
        <v>FRAGMENTADOR/EXTRATOR PERCUTA NEO MED. 1.8X2.0 C/ MECANISMO</v>
      </c>
      <c r="M854" s="593" t="str">
        <f>IF(H:H=0,"",IF(ISERROR(VLOOKUP(H:H,produtos_escape2!$A$2:$D$2794,2,FALSE)),"Código não cadastrado",(VLOOKUP(H:H,produtos_escape2!$A$2:$D$2794,4,FALSE))))</f>
        <v>UN</v>
      </c>
      <c r="N854" s="486">
        <v>3</v>
      </c>
      <c r="O854" s="176" t="s">
        <v>9471</v>
      </c>
      <c r="P854" s="486">
        <v>3</v>
      </c>
      <c r="Q854" s="247">
        <v>189</v>
      </c>
      <c r="R854" s="246">
        <f t="shared" si="29"/>
        <v>567</v>
      </c>
      <c r="S854" s="177">
        <v>44027</v>
      </c>
      <c r="T854" s="182">
        <v>155385</v>
      </c>
      <c r="U854" s="177">
        <v>44035</v>
      </c>
      <c r="V854" s="177">
        <v>44040</v>
      </c>
      <c r="W854" s="177">
        <v>44043</v>
      </c>
      <c r="X854" s="176">
        <v>63333</v>
      </c>
      <c r="Y854" s="177">
        <v>44061</v>
      </c>
      <c r="Z854" s="415">
        <v>4</v>
      </c>
      <c r="AA854" s="488"/>
      <c r="AB854" s="594"/>
      <c r="AC854" s="595"/>
      <c r="AD854" s="596" t="str">
        <f>IF(AND(AC854&lt;&gt;"",S854&lt;&gt;""),NETWORKDAYS(AC854,S854,#REF!),"")</f>
        <v/>
      </c>
      <c r="AE854" s="596" t="str">
        <f ca="1">IF(AND(AD854="",AC854=""),"",IF(OR(AD854&lt;&gt;"",O854="*CANCELADO"),"",NETWORKDAYS(AC854,TODAY(),#REF!)))</f>
        <v/>
      </c>
      <c r="AF854" s="597" t="str">
        <f>IFERROR(INDEX(produtos_escape2!M:M,MATCH(Controle!H854,produtos_escape2!A:A,0)),"")</f>
        <v>FRAGMENTADOR/EXTRATOR PERCUTA NEO MED</v>
      </c>
    </row>
    <row r="855" spans="1:32" ht="14.25" customHeight="1">
      <c r="A855" s="176" t="s">
        <v>7408</v>
      </c>
      <c r="B855" s="176" t="s">
        <v>1687</v>
      </c>
      <c r="C855" s="177">
        <v>44020</v>
      </c>
      <c r="D855" s="176" t="s">
        <v>9386</v>
      </c>
      <c r="E855" s="176" t="s">
        <v>3008</v>
      </c>
      <c r="F855" s="259" t="s">
        <v>9396</v>
      </c>
      <c r="G855" s="176">
        <v>2</v>
      </c>
      <c r="H855" s="178">
        <v>28476</v>
      </c>
      <c r="I855" s="592">
        <f t="shared" si="28"/>
        <v>2</v>
      </c>
      <c r="J855" s="178" t="s">
        <v>816</v>
      </c>
      <c r="K855" s="178" t="s">
        <v>816</v>
      </c>
      <c r="L855" s="275" t="str">
        <f>IF(H:H=0,"",IF(ISERROR(VLOOKUP(H:H,produtos_escape2!$A$2:$B$2794,2,FALSE)),"Código não cadastrado",(VLOOKUP(H:H,produtos_escape2!$A$2:$B$2794,2,FALSE))))</f>
        <v>CIRCUITO ADULTO DE VENTILAÇÃO MECÂNICA Aplicação/finalidade: VENTILAÇÃO MECÂNICA INVASIVA Material/composição: 05 TUBOS CORRUGADOS DE SILICONE + 02 DRENOS (COLETORES DE ÁGUA DE POLISSULFONA) + 01 CONECTOR ?Y? DE POLISSULFONA, SEM FUROS + 01 CONEXÃO ?COTOVELO? EM 90° DE POLISSULFONA + 01 CONEXÃO RETA DE POLISSULFONA Tamanho/capacidade:TRAQUÉIAS: 04 tubos corrugados de silicone de 750mm de comprimento e 19 mm de diâmetro interno. 01 tubo corrugado de silicone de 450 mm de comprimento por 19 mm de diâmetro interno para interligação do ventilador ao umidificador. CONECTORES: ? Conexão reta de 22MM (diâmetro externo e 19MM diâmetro interno) x 22MM (diâmetro externo e 19MM diâmetro interno) ? Conexão cotovelo 90° 22F X 22MM X 15F Forma de apresentação:KIT COM TODAS AS PEÇAS</v>
      </c>
      <c r="M855" s="593" t="str">
        <f>IF(H:H=0,"",IF(ISERROR(VLOOKUP(H:H,produtos_escape2!$A$2:$D$2794,2,FALSE)),"Código não cadastrado",(VLOOKUP(H:H,produtos_escape2!$A$2:$D$2794,4,FALSE))))</f>
        <v>UN</v>
      </c>
      <c r="N855" s="486">
        <v>35</v>
      </c>
      <c r="O855" s="176" t="s">
        <v>1868</v>
      </c>
      <c r="P855" s="486"/>
      <c r="Q855" s="247"/>
      <c r="R855" s="246">
        <f t="shared" si="29"/>
        <v>0</v>
      </c>
      <c r="S855" s="177"/>
      <c r="T855" s="182"/>
      <c r="U855" s="177"/>
      <c r="V855" s="177"/>
      <c r="W855" s="177"/>
      <c r="X855" s="176"/>
      <c r="Y855" s="177"/>
      <c r="Z855" s="415">
        <v>5</v>
      </c>
      <c r="AA855" s="488"/>
      <c r="AB855" s="594"/>
      <c r="AC855" s="595"/>
      <c r="AD855" s="596" t="str">
        <f>IF(AND(AC855&lt;&gt;"",S855&lt;&gt;""),NETWORKDAYS(AC855,S855,#REF!),"")</f>
        <v/>
      </c>
      <c r="AE855" s="596" t="str">
        <f ca="1">IF(AND(AD855="",AC855=""),"",IF(OR(AD855&lt;&gt;"",O855="*CANCELADO"),"",NETWORKDAYS(AC855,TODAY(),#REF!)))</f>
        <v/>
      </c>
      <c r="AF855" s="597" t="str">
        <f>IFERROR(INDEX(produtos_escape2!M:M,MATCH(Controle!H855,produtos_escape2!A:A,0)),"")</f>
        <v>CIRCUITO ADULTO VENTILAÇÃO</v>
      </c>
    </row>
    <row r="856" spans="1:32" ht="14.25" customHeight="1">
      <c r="A856" s="176" t="s">
        <v>7408</v>
      </c>
      <c r="B856" s="176" t="s">
        <v>1687</v>
      </c>
      <c r="C856" s="177">
        <v>44020</v>
      </c>
      <c r="D856" s="176" t="s">
        <v>9386</v>
      </c>
      <c r="E856" s="176" t="s">
        <v>3008</v>
      </c>
      <c r="F856" s="259" t="s">
        <v>9396</v>
      </c>
      <c r="G856" s="176">
        <v>1</v>
      </c>
      <c r="H856" s="178">
        <v>75217</v>
      </c>
      <c r="I856" s="592">
        <f t="shared" si="28"/>
        <v>1</v>
      </c>
      <c r="J856" s="178" t="s">
        <v>816</v>
      </c>
      <c r="K856" s="178" t="s">
        <v>816</v>
      </c>
      <c r="L856" s="275" t="str">
        <f>IF(H:H=0,"",IF(ISERROR(VLOOKUP(H:H,produtos_escape2!$A$2:$B$2794,2,FALSE)),"Código não cadastrado",(VLOOKUP(H:H,produtos_escape2!$A$2:$B$2794,2,FALSE))))</f>
        <v>DIAFRAGMA REF. 2704 1</v>
      </c>
      <c r="M856" s="593" t="str">
        <f>IF(H:H=0,"",IF(ISERROR(VLOOKUP(H:H,produtos_escape2!$A$2:$D$2794,2,FALSE)),"Código não cadastrado",(VLOOKUP(H:H,produtos_escape2!$A$2:$D$2794,4,FALSE))))</f>
        <v>UN</v>
      </c>
      <c r="N856" s="486">
        <v>22</v>
      </c>
      <c r="O856" s="176" t="s">
        <v>9711</v>
      </c>
      <c r="P856" s="486">
        <v>22</v>
      </c>
      <c r="Q856" s="247">
        <v>60</v>
      </c>
      <c r="R856" s="246">
        <f t="shared" si="29"/>
        <v>1320</v>
      </c>
      <c r="S856" s="177">
        <v>44097</v>
      </c>
      <c r="T856" s="182">
        <v>84</v>
      </c>
      <c r="U856" s="177">
        <v>44144</v>
      </c>
      <c r="V856" s="177">
        <v>44145</v>
      </c>
      <c r="W856" s="177">
        <v>44147</v>
      </c>
      <c r="X856" s="176">
        <v>31333</v>
      </c>
      <c r="Y856" s="177">
        <v>44167</v>
      </c>
      <c r="Z856" s="415">
        <v>6</v>
      </c>
      <c r="AA856" s="488"/>
      <c r="AB856" s="594"/>
      <c r="AC856" s="595"/>
      <c r="AD856" s="596" t="str">
        <f>IF(AND(AC856&lt;&gt;"",S856&lt;&gt;""),NETWORKDAYS(AC856,S856,#REF!),"")</f>
        <v/>
      </c>
      <c r="AE856" s="596" t="str">
        <f ca="1">IF(AND(AD856="",AC856=""),"",IF(OR(AD856&lt;&gt;"",O856="*CANCELADO"),"",NETWORKDAYS(AC856,TODAY(),#REF!)))</f>
        <v/>
      </c>
      <c r="AF856" s="597" t="str">
        <f>IFERROR(INDEX(produtos_escape2!M:M,MATCH(Controle!H856,produtos_escape2!A:A,0)),"")</f>
        <v>DIAFRAGMA</v>
      </c>
    </row>
    <row r="857" spans="1:32" ht="14.25" customHeight="1">
      <c r="A857" s="176" t="s">
        <v>7405</v>
      </c>
      <c r="B857" s="176" t="s">
        <v>1687</v>
      </c>
      <c r="C857" s="177">
        <v>44020</v>
      </c>
      <c r="D857" s="176" t="s">
        <v>9387</v>
      </c>
      <c r="E857" s="176" t="s">
        <v>3008</v>
      </c>
      <c r="F857" s="259" t="s">
        <v>9397</v>
      </c>
      <c r="G857" s="176">
        <v>1</v>
      </c>
      <c r="H857" s="178">
        <v>24326</v>
      </c>
      <c r="I857" s="592">
        <f t="shared" si="28"/>
        <v>1</v>
      </c>
      <c r="J857" s="178" t="s">
        <v>816</v>
      </c>
      <c r="K857" s="178" t="s">
        <v>816</v>
      </c>
      <c r="L857" s="275" t="str">
        <f>IF(H:H=0,"",IF(ISERROR(VLOOKUP(H:H,produtos_escape2!$A$2:$B$2794,2,FALSE)),"Código não cadastrado",(VLOOKUP(H:H,produtos_escape2!$A$2:$B$2794,2,FALSE))))</f>
        <v>FILTRO EXPIRATÓRIO NEO DX 800 USO ÚNICO P/ VENTILADOR PULMONAR(Mallinckrodt - PURITAN-BENNETT 840TM0) Filtro expiração neonatal viral/ coletor de água, eficiência de filtração de 99,99%, resistência do fluxo 0.1 - 3.0 cm de H20 a 30 l/m, volume de 142ml.</v>
      </c>
      <c r="M857" s="593" t="str">
        <f>IF(H:H=0,"",IF(ISERROR(VLOOKUP(H:H,produtos_escape2!$A$2:$D$2794,2,FALSE)),"Código não cadastrado",(VLOOKUP(H:H,produtos_escape2!$A$2:$D$2794,4,FALSE))))</f>
        <v>UN</v>
      </c>
      <c r="N857" s="486">
        <v>16</v>
      </c>
      <c r="O857" s="176" t="s">
        <v>8894</v>
      </c>
      <c r="P857" s="486">
        <v>16</v>
      </c>
      <c r="Q857" s="247">
        <v>135</v>
      </c>
      <c r="R857" s="246">
        <f t="shared" si="29"/>
        <v>2160</v>
      </c>
      <c r="S857" s="177">
        <v>44041</v>
      </c>
      <c r="T857" s="182">
        <v>49557</v>
      </c>
      <c r="U857" s="177">
        <v>44046</v>
      </c>
      <c r="V857" s="177">
        <v>44047</v>
      </c>
      <c r="W857" s="177">
        <v>44055</v>
      </c>
      <c r="X857" s="176">
        <v>63517</v>
      </c>
      <c r="Y857" s="177">
        <v>44061</v>
      </c>
      <c r="Z857" s="415">
        <v>4</v>
      </c>
      <c r="AA857" s="488"/>
      <c r="AB857" s="594"/>
      <c r="AC857" s="595"/>
      <c r="AD857" s="596" t="str">
        <f>IF(AND(AC857&lt;&gt;"",S857&lt;&gt;""),NETWORKDAYS(AC857,S857,#REF!),"")</f>
        <v/>
      </c>
      <c r="AE857" s="596" t="str">
        <f ca="1">IF(AND(AD857="",AC857=""),"",IF(OR(AD857&lt;&gt;"",O857="*CANCELADO"),"",NETWORKDAYS(AC857,TODAY(),#REF!)))</f>
        <v/>
      </c>
      <c r="AF857" s="597" t="str">
        <f>IFERROR(INDEX(produtos_escape2!M:M,MATCH(Controle!H857,produtos_escape2!A:A,0)),"")</f>
        <v>FILTRO EXPIRATORIO NEO</v>
      </c>
    </row>
    <row r="858" spans="1:32" ht="14.25" customHeight="1">
      <c r="A858" s="176" t="s">
        <v>7405</v>
      </c>
      <c r="B858" s="176" t="s">
        <v>1687</v>
      </c>
      <c r="C858" s="177">
        <v>44020</v>
      </c>
      <c r="D858" s="176" t="s">
        <v>9387</v>
      </c>
      <c r="E858" s="176" t="s">
        <v>3008</v>
      </c>
      <c r="F858" s="259" t="s">
        <v>9397</v>
      </c>
      <c r="G858" s="176">
        <v>2</v>
      </c>
      <c r="H858" s="178">
        <v>39267</v>
      </c>
      <c r="I858" s="592">
        <f t="shared" si="28"/>
        <v>2</v>
      </c>
      <c r="J858" s="178" t="s">
        <v>816</v>
      </c>
      <c r="K858" s="178" t="s">
        <v>816</v>
      </c>
      <c r="L858" s="275" t="str">
        <f>IF(H:H=0,"",IF(ISERROR(VLOOKUP(H:H,produtos_escape2!$A$2:$B$2794,2,FALSE)),"Código não cadastrado",(VLOOKUP(H:H,produtos_escape2!$A$2:$B$2794,2,FALSE))))</f>
        <v>FILTRO P/RESPIRADOR REF.626 1</v>
      </c>
      <c r="M858" s="593" t="str">
        <f>IF(H:H=0,"",IF(ISERROR(VLOOKUP(H:H,produtos_escape2!$A$2:$D$2794,2,FALSE)),"Código não cadastrado",(VLOOKUP(H:H,produtos_escape2!$A$2:$D$2794,4,FALSE))))</f>
        <v>UN</v>
      </c>
      <c r="N858" s="486">
        <v>16</v>
      </c>
      <c r="O858" s="176" t="s">
        <v>8894</v>
      </c>
      <c r="P858" s="486">
        <v>16</v>
      </c>
      <c r="Q858" s="247">
        <v>21.6</v>
      </c>
      <c r="R858" s="246">
        <f t="shared" si="29"/>
        <v>345.6</v>
      </c>
      <c r="S858" s="177">
        <v>44041</v>
      </c>
      <c r="T858" s="182">
        <v>49557</v>
      </c>
      <c r="U858" s="177">
        <v>44046</v>
      </c>
      <c r="V858" s="177">
        <v>44047</v>
      </c>
      <c r="W858" s="177">
        <v>44055</v>
      </c>
      <c r="X858" s="176">
        <v>63517</v>
      </c>
      <c r="Y858" s="177">
        <v>44061</v>
      </c>
      <c r="Z858" s="415">
        <v>4</v>
      </c>
      <c r="AA858" s="488"/>
      <c r="AB858" s="594"/>
      <c r="AC858" s="595"/>
      <c r="AD858" s="596" t="str">
        <f>IF(AND(AC858&lt;&gt;"",S858&lt;&gt;""),NETWORKDAYS(AC858,S858,#REF!),"")</f>
        <v/>
      </c>
      <c r="AE858" s="596" t="str">
        <f ca="1">IF(AND(AD858="",AC858=""),"",IF(OR(AD858&lt;&gt;"",O858="*CANCELADO"),"",NETWORKDAYS(AC858,TODAY(),#REF!)))</f>
        <v/>
      </c>
      <c r="AF858" s="597" t="str">
        <f>IFERROR(INDEX(produtos_escape2!M:M,MATCH(Controle!H858,produtos_escape2!A:A,0)),"")</f>
        <v>FILTRO PARA RESPIRADOR</v>
      </c>
    </row>
    <row r="859" spans="1:32" ht="14.25" customHeight="1">
      <c r="A859" s="176" t="s">
        <v>8029</v>
      </c>
      <c r="B859" s="176" t="s">
        <v>7207</v>
      </c>
      <c r="C859" s="177">
        <v>44021</v>
      </c>
      <c r="D859" s="176" t="s">
        <v>9398</v>
      </c>
      <c r="E859" s="176" t="s">
        <v>1867</v>
      </c>
      <c r="F859" s="259" t="s">
        <v>9399</v>
      </c>
      <c r="G859" s="176">
        <v>1</v>
      </c>
      <c r="H859" s="178">
        <v>200724</v>
      </c>
      <c r="I859" s="592">
        <f t="shared" si="28"/>
        <v>4</v>
      </c>
      <c r="J859" s="178" t="s">
        <v>816</v>
      </c>
      <c r="K859" s="178" t="s">
        <v>816</v>
      </c>
      <c r="L859" s="275" t="str">
        <f>IF(H:H=0,"",IF(ISERROR(VLOOKUP(H:H,produtos_escape2!$A$2:$B$2794,2,FALSE)),"Código não cadastrado",(VLOOKUP(H:H,produtos_escape2!$A$2:$B$2794,2,FALSE))))</f>
        <v>MÁSCARA DE OXIGÊNIO NÃO REINALANTE: em plástico siliconizado no tamanho médio.</v>
      </c>
      <c r="M859" s="593" t="str">
        <f>IF(H:H=0,"",IF(ISERROR(VLOOKUP(H:H,produtos_escape2!$A$2:$D$2794,2,FALSE)),"Código não cadastrado",(VLOOKUP(H:H,produtos_escape2!$A$2:$D$2794,4,FALSE))))</f>
        <v>UM</v>
      </c>
      <c r="N859" s="486">
        <v>400</v>
      </c>
      <c r="O859" s="176" t="s">
        <v>8252</v>
      </c>
      <c r="P859" s="486">
        <v>50</v>
      </c>
      <c r="Q859" s="247">
        <v>23.55</v>
      </c>
      <c r="R859" s="246">
        <f t="shared" si="29"/>
        <v>1177.5</v>
      </c>
      <c r="S859" s="177">
        <v>44019</v>
      </c>
      <c r="T859" s="182">
        <v>5728</v>
      </c>
      <c r="U859" s="177">
        <v>44034</v>
      </c>
      <c r="V859" s="177">
        <v>44035</v>
      </c>
      <c r="W859" s="177">
        <v>44035</v>
      </c>
      <c r="X859" s="176">
        <v>53973</v>
      </c>
      <c r="Y859" s="177">
        <v>44046</v>
      </c>
      <c r="Z859" s="415">
        <v>4</v>
      </c>
      <c r="AA859" s="488"/>
      <c r="AB859" s="594"/>
      <c r="AC859" s="595"/>
      <c r="AD859" s="596" t="str">
        <f>IF(AND(AC859&lt;&gt;"",S859&lt;&gt;""),NETWORKDAYS(AC859,S859,#REF!),"")</f>
        <v/>
      </c>
      <c r="AE859" s="596" t="str">
        <f ca="1">IF(AND(AD859="",AC859=""),"",IF(OR(AD859&lt;&gt;"",O859="*CANCELADO"),"",NETWORKDAYS(AC859,TODAY(),#REF!)))</f>
        <v/>
      </c>
      <c r="AF859" s="597" t="str">
        <f>IFERROR(INDEX(produtos_escape2!M:M,MATCH(Controle!H859,produtos_escape2!A:A,0)),"")</f>
        <v>MASCARA DE OXIGENIO</v>
      </c>
    </row>
    <row r="860" spans="1:32" ht="14.25" customHeight="1">
      <c r="A860" s="176" t="s">
        <v>8029</v>
      </c>
      <c r="B860" s="176" t="s">
        <v>7207</v>
      </c>
      <c r="C860" s="177">
        <v>44021</v>
      </c>
      <c r="D860" s="176" t="s">
        <v>9398</v>
      </c>
      <c r="E860" s="176" t="s">
        <v>1867</v>
      </c>
      <c r="F860" s="259" t="s">
        <v>9399</v>
      </c>
      <c r="G860" s="176">
        <v>1</v>
      </c>
      <c r="H860" s="178">
        <v>200724</v>
      </c>
      <c r="I860" s="592">
        <f t="shared" si="28"/>
        <v>4</v>
      </c>
      <c r="J860" s="178" t="s">
        <v>816</v>
      </c>
      <c r="K860" s="178" t="s">
        <v>816</v>
      </c>
      <c r="L860" s="275" t="str">
        <f>IF(H:H=0,"",IF(ISERROR(VLOOKUP(H:H,produtos_escape2!$A$2:$B$2794,2,FALSE)),"Código não cadastrado",(VLOOKUP(H:H,produtos_escape2!$A$2:$B$2794,2,FALSE))))</f>
        <v>MÁSCARA DE OXIGÊNIO NÃO REINALANTE: em plástico siliconizado no tamanho médio.</v>
      </c>
      <c r="M860" s="593" t="str">
        <f>IF(H:H=0,"",IF(ISERROR(VLOOKUP(H:H,produtos_escape2!$A$2:$D$2794,2,FALSE)),"Código não cadastrado",(VLOOKUP(H:H,produtos_escape2!$A$2:$D$2794,4,FALSE))))</f>
        <v>UM</v>
      </c>
      <c r="N860" s="486">
        <v>400</v>
      </c>
      <c r="O860" s="176" t="s">
        <v>8252</v>
      </c>
      <c r="P860" s="486">
        <v>50</v>
      </c>
      <c r="Q860" s="247">
        <v>23.55</v>
      </c>
      <c r="R860" s="246">
        <f t="shared" si="29"/>
        <v>1177.5</v>
      </c>
      <c r="S860" s="177">
        <v>44019</v>
      </c>
      <c r="T860" s="182">
        <v>6037</v>
      </c>
      <c r="U860" s="177">
        <v>44102</v>
      </c>
      <c r="V860" s="177">
        <v>44103</v>
      </c>
      <c r="W860" s="177">
        <v>44105</v>
      </c>
      <c r="X860" s="176">
        <v>18111</v>
      </c>
      <c r="Y860" s="177">
        <v>44146</v>
      </c>
      <c r="Z860" s="415">
        <v>6</v>
      </c>
      <c r="AA860" s="488"/>
      <c r="AB860" s="594"/>
      <c r="AC860" s="595"/>
      <c r="AD860" s="596" t="str">
        <f>IF(AND(AC860&lt;&gt;"",S860&lt;&gt;""),NETWORKDAYS(AC860,S860,#REF!),"")</f>
        <v/>
      </c>
      <c r="AE860" s="596" t="str">
        <f ca="1">IF(AND(AD860="",AC860=""),"",IF(OR(AD860&lt;&gt;"",O860="*CANCELADO"),"",NETWORKDAYS(AC860,TODAY(),#REF!)))</f>
        <v/>
      </c>
      <c r="AF860" s="597" t="str">
        <f>IFERROR(INDEX(produtos_escape2!M:M,MATCH(Controle!H860,produtos_escape2!A:A,0)),"")</f>
        <v>MASCARA DE OXIGENIO</v>
      </c>
    </row>
    <row r="861" spans="1:32" ht="14.25" customHeight="1">
      <c r="A861" s="176" t="s">
        <v>8641</v>
      </c>
      <c r="B861" s="176" t="s">
        <v>3608</v>
      </c>
      <c r="C861" s="177">
        <v>44021</v>
      </c>
      <c r="D861" s="176" t="s">
        <v>9402</v>
      </c>
      <c r="E861" s="176" t="s">
        <v>1866</v>
      </c>
      <c r="F861" s="259" t="s">
        <v>9403</v>
      </c>
      <c r="G861" s="176">
        <v>1</v>
      </c>
      <c r="H861" s="178">
        <v>7643</v>
      </c>
      <c r="I861" s="592">
        <f t="shared" si="28"/>
        <v>4</v>
      </c>
      <c r="J861" s="178" t="s">
        <v>816</v>
      </c>
      <c r="K861" s="178" t="s">
        <v>816</v>
      </c>
      <c r="L861" s="275" t="str">
        <f>IF(H:H=0,"",IF(ISERROR(VLOOKUP(H:H,produtos_escape2!$A$2:$B$2794,2,FALSE)),"Código não cadastrado",(VLOOKUP(H:H,produtos_escape2!$A$2:$B$2794,2,FALSE))))</f>
        <v>ISOLADOR DE PRESSAO DO MANOMETRO P/MAQUINA DE HEMODIALISE</v>
      </c>
      <c r="M861" s="593" t="str">
        <f>IF(H:H=0,"",IF(ISERROR(VLOOKUP(H:H,produtos_escape2!$A$2:$D$2794,2,FALSE)),"Código não cadastrado",(VLOOKUP(H:H,produtos_escape2!$A$2:$D$2794,4,FALSE))))</f>
        <v>UN</v>
      </c>
      <c r="N861" s="486">
        <v>300</v>
      </c>
      <c r="O861" s="176" t="s">
        <v>2989</v>
      </c>
      <c r="P861" s="486">
        <v>300</v>
      </c>
      <c r="Q861" s="247">
        <v>0.5</v>
      </c>
      <c r="R861" s="246">
        <f t="shared" si="29"/>
        <v>150</v>
      </c>
      <c r="S861" s="177">
        <v>44027</v>
      </c>
      <c r="T861" s="182">
        <v>125363</v>
      </c>
      <c r="U861" s="177">
        <v>44027</v>
      </c>
      <c r="V861" s="177">
        <v>44028</v>
      </c>
      <c r="W861" s="177">
        <v>44029</v>
      </c>
      <c r="X861" s="176">
        <v>53921</v>
      </c>
      <c r="Y861" s="177">
        <v>44046</v>
      </c>
      <c r="Z861" s="415">
        <v>4</v>
      </c>
      <c r="AA861" s="488"/>
      <c r="AB861" s="594"/>
      <c r="AC861" s="595"/>
      <c r="AD861" s="596" t="str">
        <f>IF(AND(AC861&lt;&gt;"",S861&lt;&gt;""),NETWORKDAYS(AC861,S861,#REF!),"")</f>
        <v/>
      </c>
      <c r="AE861" s="596" t="str">
        <f ca="1">IF(AND(AD861="",AC861=""),"",IF(OR(AD861&lt;&gt;"",O861="*CANCELADO"),"",NETWORKDAYS(AC861,TODAY(),#REF!)))</f>
        <v/>
      </c>
      <c r="AF861" s="597" t="str">
        <f>IFERROR(INDEX(produtos_escape2!M:M,MATCH(Controle!H861,produtos_escape2!A:A,0)),"")</f>
        <v>ISOLADOR DE PRESSAO DO MANOMETRO P/MAQUINA DE HEMODIALISE</v>
      </c>
    </row>
    <row r="862" spans="1:32" ht="14.25" customHeight="1">
      <c r="A862" s="176" t="s">
        <v>8639</v>
      </c>
      <c r="B862" s="176" t="s">
        <v>3608</v>
      </c>
      <c r="C862" s="177">
        <v>44021</v>
      </c>
      <c r="D862" s="176" t="s">
        <v>9404</v>
      </c>
      <c r="E862" s="203" t="s">
        <v>1867</v>
      </c>
      <c r="F862" s="259" t="s">
        <v>9405</v>
      </c>
      <c r="G862" s="176">
        <v>1</v>
      </c>
      <c r="H862" s="178">
        <v>24558</v>
      </c>
      <c r="I862" s="592">
        <f t="shared" si="28"/>
        <v>2</v>
      </c>
      <c r="J862" s="178" t="s">
        <v>816</v>
      </c>
      <c r="K862" s="178" t="s">
        <v>816</v>
      </c>
      <c r="L862" s="275" t="str">
        <f>IF(H:H=0,"",IF(ISERROR(VLOOKUP(H:H,produtos_escape2!$A$2:$B$2794,2,FALSE)),"Código não cadastrado",(VLOOKUP(H:H,produtos_escape2!$A$2:$B$2794,2,FALSE))))</f>
        <v>LINHA ARTERIAL DE ENTRADA SIMPLES PARA HEMODIÁLISE 8 MM</v>
      </c>
      <c r="M862" s="593" t="str">
        <f>IF(H:H=0,"",IF(ISERROR(VLOOKUP(H:H,produtos_escape2!$A$2:$D$2794,2,FALSE)),"Código não cadastrado",(VLOOKUP(H:H,produtos_escape2!$A$2:$D$2794,4,FALSE))))</f>
        <v>UN</v>
      </c>
      <c r="N862" s="486">
        <v>300</v>
      </c>
      <c r="O862" s="176" t="s">
        <v>7461</v>
      </c>
      <c r="P862" s="486">
        <v>200</v>
      </c>
      <c r="Q862" s="247">
        <v>5.8</v>
      </c>
      <c r="R862" s="246">
        <f t="shared" si="29"/>
        <v>1160</v>
      </c>
      <c r="S862" s="177">
        <v>44019</v>
      </c>
      <c r="T862" s="182">
        <v>251266</v>
      </c>
      <c r="U862" s="177">
        <v>44029</v>
      </c>
      <c r="V862" s="177">
        <v>44033</v>
      </c>
      <c r="W862" s="177">
        <v>44035</v>
      </c>
      <c r="X862" s="176">
        <v>53969</v>
      </c>
      <c r="Y862" s="177">
        <v>44046</v>
      </c>
      <c r="Z862" s="415">
        <v>4</v>
      </c>
      <c r="AA862" s="488"/>
      <c r="AB862" s="594"/>
      <c r="AC862" s="595"/>
      <c r="AD862" s="596" t="str">
        <f>IF(AND(AC862&lt;&gt;"",S862&lt;&gt;""),NETWORKDAYS(AC862,S862,#REF!),"")</f>
        <v/>
      </c>
      <c r="AE862" s="596" t="str">
        <f ca="1">IF(AND(AD862="",AC862=""),"",IF(OR(AD862&lt;&gt;"",O862="*CANCELADO"),"",NETWORKDAYS(AC862,TODAY(),#REF!)))</f>
        <v/>
      </c>
      <c r="AF862" s="597" t="str">
        <f>IFERROR(INDEX(produtos_escape2!M:M,MATCH(Controle!H862,produtos_escape2!A:A,0)),"")</f>
        <v>LINHA ARTERIAL DE ENTRADA SIMPLES PARA HEMODIÁLISE 8 MM</v>
      </c>
    </row>
    <row r="863" spans="1:32" ht="14.25" customHeight="1">
      <c r="A863" s="176" t="s">
        <v>8649</v>
      </c>
      <c r="B863" s="176" t="s">
        <v>3608</v>
      </c>
      <c r="C863" s="177">
        <v>44022</v>
      </c>
      <c r="D863" s="176" t="s">
        <v>9406</v>
      </c>
      <c r="E863" s="176" t="s">
        <v>1866</v>
      </c>
      <c r="F863" s="259" t="s">
        <v>9407</v>
      </c>
      <c r="G863" s="176">
        <v>1</v>
      </c>
      <c r="H863" s="178">
        <v>90580</v>
      </c>
      <c r="I863" s="592">
        <f t="shared" si="28"/>
        <v>7</v>
      </c>
      <c r="J863" s="178" t="s">
        <v>816</v>
      </c>
      <c r="K863" s="178" t="s">
        <v>816</v>
      </c>
      <c r="L863" s="275" t="str">
        <f>IF(H:H=0,"",IF(ISERROR(VLOOKUP(H:H,produtos_escape2!$A$2:$B$2794,2,FALSE)),"Código não cadastrado",(VLOOKUP(H:H,produtos_escape2!$A$2:$B$2794,2,FALSE))))</f>
        <v>AGUA PARA INJETAVEIS AMPOLA 10 ML</v>
      </c>
      <c r="M863" s="593" t="str">
        <f>IF(H:H=0,"",IF(ISERROR(VLOOKUP(H:H,produtos_escape2!$A$2:$D$2794,2,FALSE)),"Código não cadastrado",(VLOOKUP(H:H,produtos_escape2!$A$2:$D$2794,4,FALSE))))</f>
        <v>AMP</v>
      </c>
      <c r="N863" s="486">
        <v>8000</v>
      </c>
      <c r="O863" s="176" t="s">
        <v>2989</v>
      </c>
      <c r="P863" s="486">
        <v>8000</v>
      </c>
      <c r="Q863" s="247">
        <v>0.3</v>
      </c>
      <c r="R863" s="246">
        <f t="shared" si="29"/>
        <v>2400</v>
      </c>
      <c r="S863" s="177">
        <v>44022</v>
      </c>
      <c r="T863" s="182">
        <v>124948</v>
      </c>
      <c r="U863" s="177">
        <v>44022</v>
      </c>
      <c r="V863" s="177">
        <v>44025</v>
      </c>
      <c r="W863" s="177">
        <v>44026</v>
      </c>
      <c r="X863" s="176">
        <v>54235</v>
      </c>
      <c r="Y863" s="177">
        <v>44046</v>
      </c>
      <c r="Z863" s="415">
        <v>4</v>
      </c>
      <c r="AA863" s="488"/>
      <c r="AB863" s="594"/>
      <c r="AC863" s="595"/>
      <c r="AD863" s="596" t="str">
        <f>IF(AND(AC863&lt;&gt;"",S863&lt;&gt;""),NETWORKDAYS(AC863,S863,#REF!),"")</f>
        <v/>
      </c>
      <c r="AE863" s="596" t="str">
        <f ca="1">IF(AND(AD863="",AC863=""),"",IF(OR(AD863&lt;&gt;"",O863="*CANCELADO"),"",NETWORKDAYS(AC863,TODAY(),#REF!)))</f>
        <v/>
      </c>
      <c r="AF863" s="597" t="str">
        <f>IFERROR(INDEX(produtos_escape2!M:M,MATCH(Controle!H863,produtos_escape2!A:A,0)),"")</f>
        <v xml:space="preserve"> AGUA PARA INJETAVEIS AMPOLA 10 ML</v>
      </c>
    </row>
    <row r="864" spans="1:32" ht="14.25" customHeight="1">
      <c r="A864" s="176" t="s">
        <v>8031</v>
      </c>
      <c r="B864" s="176" t="s">
        <v>7207</v>
      </c>
      <c r="C864" s="177">
        <v>44025</v>
      </c>
      <c r="D864" s="176" t="s">
        <v>9409</v>
      </c>
      <c r="E864" s="176" t="s">
        <v>1865</v>
      </c>
      <c r="F864" s="259" t="s">
        <v>9410</v>
      </c>
      <c r="G864" s="176">
        <v>1</v>
      </c>
      <c r="H864" s="178">
        <v>20879</v>
      </c>
      <c r="I864" s="592">
        <f t="shared" si="28"/>
        <v>6</v>
      </c>
      <c r="J864" s="178" t="s">
        <v>816</v>
      </c>
      <c r="K864" s="178" t="s">
        <v>816</v>
      </c>
      <c r="L864" s="275"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864" s="593" t="str">
        <f>IF(H:H=0,"",IF(ISERROR(VLOOKUP(H:H,produtos_escape2!$A$2:$D$2794,2,FALSE)),"Código não cadastrado",(VLOOKUP(H:H,produtos_escape2!$A$2:$D$2794,4,FALSE))))</f>
        <v>MH</v>
      </c>
      <c r="N864" s="486">
        <v>200</v>
      </c>
      <c r="O864" s="176" t="s">
        <v>3530</v>
      </c>
      <c r="P864" s="486">
        <v>200</v>
      </c>
      <c r="Q864" s="247">
        <v>6.3</v>
      </c>
      <c r="R864" s="246">
        <f t="shared" si="29"/>
        <v>1260</v>
      </c>
      <c r="S864" s="177">
        <v>44040</v>
      </c>
      <c r="T864" s="182">
        <v>1098</v>
      </c>
      <c r="U864" s="177">
        <v>44042</v>
      </c>
      <c r="V864" s="177">
        <v>44043</v>
      </c>
      <c r="W864" s="177">
        <v>44043</v>
      </c>
      <c r="X864" s="176">
        <v>63435</v>
      </c>
      <c r="Y864" s="177">
        <v>44061</v>
      </c>
      <c r="Z864" s="415">
        <v>4</v>
      </c>
      <c r="AA864" s="488"/>
      <c r="AB864" s="594"/>
      <c r="AC864" s="595"/>
      <c r="AD864" s="596" t="str">
        <f>IF(AND(AC864&lt;&gt;"",S864&lt;&gt;""),NETWORKDAYS(AC864,S864,#REF!),"")</f>
        <v/>
      </c>
      <c r="AE864" s="596" t="str">
        <f ca="1">IF(AND(AD864="",AC864=""),"",IF(OR(AD864&lt;&gt;"",O864="*CANCELADO"),"",NETWORKDAYS(AC864,TODAY(),#REF!)))</f>
        <v/>
      </c>
      <c r="AF864" s="597" t="str">
        <f>IFERROR(INDEX(produtos_escape2!M:M,MATCH(Controle!H864,produtos_escape2!A:A,0)),"")</f>
        <v>ETIQUETA AUTO-ADESIVApara LABORATÓRIO</v>
      </c>
    </row>
    <row r="865" spans="1:32" ht="14.25" customHeight="1">
      <c r="A865" s="176" t="s">
        <v>8651</v>
      </c>
      <c r="B865" s="176" t="s">
        <v>3608</v>
      </c>
      <c r="C865" s="177">
        <v>44026</v>
      </c>
      <c r="D865" s="176" t="s">
        <v>9424</v>
      </c>
      <c r="E865" s="176" t="s">
        <v>1867</v>
      </c>
      <c r="F865" s="259" t="s">
        <v>9425</v>
      </c>
      <c r="G865" s="176">
        <v>1</v>
      </c>
      <c r="H865" s="178">
        <v>90262</v>
      </c>
      <c r="I865" s="592">
        <f t="shared" si="28"/>
        <v>4</v>
      </c>
      <c r="J865" s="178" t="s">
        <v>816</v>
      </c>
      <c r="K865" s="178" t="s">
        <v>816</v>
      </c>
      <c r="L865" s="275" t="str">
        <f>IF(H:H=0,"",IF(ISERROR(VLOOKUP(H:H,produtos_escape2!$A$2:$B$2794,2,FALSE)),"Código não cadastrado",(VLOOKUP(H:H,produtos_escape2!$A$2:$B$2794,2,FALSE))))</f>
        <v>NOREPINEFRINA (HEMITARTARATO) SOLUCAO INJETAVEL 2 MG/ML (EQUIVALENTE A 1MG/ML DE NOREPINEFRINA BASE) AMPOLA 4 ML</v>
      </c>
      <c r="M865" s="593" t="str">
        <f>IF(H:H=0,"",IF(ISERROR(VLOOKUP(H:H,produtos_escape2!$A$2:$D$2794,2,FALSE)),"Código não cadastrado",(VLOOKUP(H:H,produtos_escape2!$A$2:$D$2794,4,FALSE))))</f>
        <v>AMP</v>
      </c>
      <c r="N865" s="486">
        <v>2500</v>
      </c>
      <c r="O865" s="176" t="s">
        <v>4398</v>
      </c>
      <c r="P865" s="486">
        <v>200</v>
      </c>
      <c r="Q865" s="247">
        <v>9.99</v>
      </c>
      <c r="R865" s="246">
        <f t="shared" si="29"/>
        <v>1998</v>
      </c>
      <c r="S865" s="177">
        <v>44028</v>
      </c>
      <c r="T865" s="182">
        <v>1322931</v>
      </c>
      <c r="U865" s="177">
        <v>44028</v>
      </c>
      <c r="V865" s="177">
        <v>44032</v>
      </c>
      <c r="W865" s="177">
        <v>44033</v>
      </c>
      <c r="X865" s="176">
        <v>54202</v>
      </c>
      <c r="Y865" s="177">
        <v>44046</v>
      </c>
      <c r="Z865" s="415">
        <v>4</v>
      </c>
      <c r="AA865" s="488"/>
      <c r="AB865" s="594"/>
      <c r="AC865" s="595"/>
      <c r="AD865" s="596" t="str">
        <f>IF(AND(AC865&lt;&gt;"",S865&lt;&gt;""),NETWORKDAYS(AC865,S865,#REF!),"")</f>
        <v/>
      </c>
      <c r="AE865" s="596" t="str">
        <f ca="1">IF(AND(AD865="",AC865=""),"",IF(OR(AD865&lt;&gt;"",O865="*CANCELADO"),"",NETWORKDAYS(AC865,TODAY(),#REF!)))</f>
        <v/>
      </c>
      <c r="AF865" s="597" t="str">
        <f>IFERROR(INDEX(produtos_escape2!M:M,MATCH(Controle!H865,produtos_escape2!A:A,0)),"")</f>
        <v>NOREPINEFRINA (HEMITARTARATO</v>
      </c>
    </row>
    <row r="866" spans="1:32" ht="14.25" customHeight="1">
      <c r="A866" s="176" t="s">
        <v>7965</v>
      </c>
      <c r="B866" s="176" t="s">
        <v>7207</v>
      </c>
      <c r="C866" s="177">
        <v>44026</v>
      </c>
      <c r="D866" s="176" t="s">
        <v>9426</v>
      </c>
      <c r="E866" s="176" t="s">
        <v>1866</v>
      </c>
      <c r="F866" s="259" t="s">
        <v>9427</v>
      </c>
      <c r="G866" s="176">
        <v>4</v>
      </c>
      <c r="H866" s="178">
        <v>202686</v>
      </c>
      <c r="I866" s="592">
        <f t="shared" si="28"/>
        <v>1</v>
      </c>
      <c r="J866" s="178" t="s">
        <v>816</v>
      </c>
      <c r="K866" s="178" t="s">
        <v>816</v>
      </c>
      <c r="L866" s="275" t="str">
        <f>IF(H:H=0,"",IF(ISERROR(VLOOKUP(H:H,produtos_escape2!$A$2:$B$2794,2,FALSE)),"Código não cadastrado",(VLOOKUP(H:H,produtos_escape2!$A$2:$B$2794,2,FALSE))))</f>
        <v>PINÇA ALLIS, Aplicação: Apreensão e Hemostasia, Material: Aço inoxidável AISI, Tamanho: 250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866" s="593" t="str">
        <f>IF(H:H=0,"",IF(ISERROR(VLOOKUP(H:H,produtos_escape2!$A$2:$D$2794,2,FALSE)),"Código não cadastrado",(VLOOKUP(H:H,produtos_escape2!$A$2:$D$2794,4,FALSE))))</f>
        <v>UN</v>
      </c>
      <c r="N866" s="486">
        <v>20</v>
      </c>
      <c r="O866" s="176" t="s">
        <v>1868</v>
      </c>
      <c r="P866" s="486"/>
      <c r="Q866" s="247"/>
      <c r="R866" s="246">
        <f t="shared" si="29"/>
        <v>0</v>
      </c>
      <c r="S866" s="177">
        <v>44180</v>
      </c>
      <c r="T866" s="182"/>
      <c r="U866" s="177"/>
      <c r="V866" s="177"/>
      <c r="W866" s="177"/>
      <c r="X866" s="176"/>
      <c r="Y866" s="177"/>
      <c r="Z866" s="415">
        <v>6</v>
      </c>
      <c r="AA866" s="488" t="s">
        <v>10621</v>
      </c>
      <c r="AB866" s="594"/>
      <c r="AC866" s="595"/>
      <c r="AD866" s="596" t="str">
        <f>IF(AND(AC866&lt;&gt;"",S866&lt;&gt;""),NETWORKDAYS(AC866,S866,#REF!),"")</f>
        <v/>
      </c>
      <c r="AE866" s="596" t="str">
        <f ca="1">IF(AND(AD866="",AC866=""),"",IF(OR(AD866&lt;&gt;"",O866="*CANCELADO"),"",NETWORKDAYS(AC866,TODAY(),#REF!)))</f>
        <v/>
      </c>
      <c r="AF866" s="597" t="str">
        <f>IFERROR(INDEX(produtos_escape2!M:M,MATCH(Controle!H866,produtos_escape2!A:A,0)),"")</f>
        <v>PINÇA ALLIS</v>
      </c>
    </row>
    <row r="867" spans="1:32" ht="14.25" customHeight="1">
      <c r="A867" s="176" t="s">
        <v>7965</v>
      </c>
      <c r="B867" s="176" t="s">
        <v>7207</v>
      </c>
      <c r="C867" s="177">
        <v>44026</v>
      </c>
      <c r="D867" s="176" t="s">
        <v>9426</v>
      </c>
      <c r="E867" s="176" t="s">
        <v>1866</v>
      </c>
      <c r="F867" s="259" t="s">
        <v>9427</v>
      </c>
      <c r="G867" s="176">
        <v>3</v>
      </c>
      <c r="H867" s="178">
        <v>31527</v>
      </c>
      <c r="I867" s="592">
        <f t="shared" si="28"/>
        <v>1</v>
      </c>
      <c r="J867" s="178" t="s">
        <v>816</v>
      </c>
      <c r="K867" s="178" t="s">
        <v>816</v>
      </c>
      <c r="L867" s="275" t="str">
        <f>IF(H:H=0,"",IF(ISERROR(VLOOKUP(H:H,produtos_escape2!$A$2:$B$2794,2,FALSE)),"Código não cadastrado",(VLOOKUP(H:H,produtos_escape2!$A$2:$B$2794,2,FALSE))))</f>
        <v>PINÇA BABCOCK, Aplicação: Apreensão de tecidos.Material: Aço inoxidável AISI Tamanho: 240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esterilização:Não estéril, Forma de apresentação:  Unidade,Prazo de validade: Indeterminado.</v>
      </c>
      <c r="M867" s="593" t="str">
        <f>IF(H:H=0,"",IF(ISERROR(VLOOKUP(H:H,produtos_escape2!$A$2:$D$2794,2,FALSE)),"Código não cadastrado",(VLOOKUP(H:H,produtos_escape2!$A$2:$D$2794,4,FALSE))))</f>
        <v>UN</v>
      </c>
      <c r="N867" s="486">
        <v>10</v>
      </c>
      <c r="O867" s="176" t="s">
        <v>1868</v>
      </c>
      <c r="P867" s="486"/>
      <c r="Q867" s="247"/>
      <c r="R867" s="246">
        <f t="shared" si="29"/>
        <v>0</v>
      </c>
      <c r="S867" s="177">
        <v>44180</v>
      </c>
      <c r="T867" s="182"/>
      <c r="U867" s="177"/>
      <c r="V867" s="177"/>
      <c r="W867" s="177"/>
      <c r="X867" s="176"/>
      <c r="Y867" s="177"/>
      <c r="Z867" s="415">
        <v>6</v>
      </c>
      <c r="AA867" s="488" t="s">
        <v>10621</v>
      </c>
      <c r="AB867" s="594"/>
      <c r="AC867" s="595"/>
      <c r="AD867" s="596" t="str">
        <f>IF(AND(AC867&lt;&gt;"",S867&lt;&gt;""),NETWORKDAYS(AC867,S867,#REF!),"")</f>
        <v/>
      </c>
      <c r="AE867" s="596" t="str">
        <f ca="1">IF(AND(AD867="",AC867=""),"",IF(OR(AD867&lt;&gt;"",O867="*CANCELADO"),"",NETWORKDAYS(AC867,TODAY(),#REF!)))</f>
        <v/>
      </c>
      <c r="AF867" s="597" t="str">
        <f>IFERROR(INDEX(produtos_escape2!M:M,MATCH(Controle!H867,produtos_escape2!A:A,0)),"")</f>
        <v>PINÇA BABCOCK</v>
      </c>
    </row>
    <row r="868" spans="1:32" ht="14.25" customHeight="1">
      <c r="A868" s="176" t="s">
        <v>7965</v>
      </c>
      <c r="B868" s="176" t="s">
        <v>7207</v>
      </c>
      <c r="C868" s="177">
        <v>44026</v>
      </c>
      <c r="D868" s="176" t="s">
        <v>9426</v>
      </c>
      <c r="E868" s="176" t="s">
        <v>1866</v>
      </c>
      <c r="F868" s="259" t="s">
        <v>9427</v>
      </c>
      <c r="G868" s="176">
        <v>1</v>
      </c>
      <c r="H868" s="178">
        <v>23433</v>
      </c>
      <c r="I868" s="592">
        <f t="shared" si="28"/>
        <v>2</v>
      </c>
      <c r="J868" s="178" t="s">
        <v>816</v>
      </c>
      <c r="K868" s="178" t="s">
        <v>816</v>
      </c>
      <c r="L868" s="275" t="str">
        <f>IF(H:H=0,"",IF(ISERROR(VLOOKUP(H:H,produtos_escape2!$A$2:$B$2794,2,FALSE)),"Código não cadastrado",(VLOOKUP(H:H,produtos_escape2!$A$2:$B$2794,2,FALSE))))</f>
        <v>PINÇA BULDOG CURVO 11cm; Aplicação: instrumental cirúrgico; Material: Produto confeccionado em aço inoxidável AISI-420, tamanho 11cm, embalagem plástica individual, constando os dados de identificação, procedência e rastreabilidade, Garantia de 10 anos contra defeitos de fabricação, fabricado de acordo com padrões internacionais de qualidade, normas da ABNT, CE. Registro Ministério da Saúde; Tamanho: 11 cm ; Processo de esterilização: não estéril; Forma de apresentação: embalagem individual; Prazo de validade: 10 anos contra defeito de fabricação; Unidade de estoque: unidade</v>
      </c>
      <c r="M868" s="593" t="str">
        <f>IF(H:H=0,"",IF(ISERROR(VLOOKUP(H:H,produtos_escape2!$A$2:$D$2794,2,FALSE)),"Código não cadastrado",(VLOOKUP(H:H,produtos_escape2!$A$2:$D$2794,4,FALSE))))</f>
        <v>UN</v>
      </c>
      <c r="N868" s="486">
        <v>20</v>
      </c>
      <c r="O868" s="176" t="s">
        <v>1868</v>
      </c>
      <c r="P868" s="486"/>
      <c r="Q868" s="247"/>
      <c r="R868" s="246">
        <f t="shared" si="29"/>
        <v>0</v>
      </c>
      <c r="S868" s="177">
        <v>44180</v>
      </c>
      <c r="T868" s="182"/>
      <c r="U868" s="177"/>
      <c r="V868" s="177"/>
      <c r="W868" s="177"/>
      <c r="X868" s="176"/>
      <c r="Y868" s="177"/>
      <c r="Z868" s="415">
        <v>6</v>
      </c>
      <c r="AA868" s="488" t="s">
        <v>10621</v>
      </c>
      <c r="AB868" s="594"/>
      <c r="AC868" s="595"/>
      <c r="AD868" s="596" t="str">
        <f>IF(AND(AC868&lt;&gt;"",S868&lt;&gt;""),NETWORKDAYS(AC868,S868,#REF!),"")</f>
        <v/>
      </c>
      <c r="AE868" s="596" t="str">
        <f ca="1">IF(AND(AD868="",AC868=""),"",IF(OR(AD868&lt;&gt;"",O868="*CANCELADO"),"",NETWORKDAYS(AC868,TODAY(),#REF!)))</f>
        <v/>
      </c>
      <c r="AF868" s="597" t="str">
        <f>IFERROR(INDEX(produtos_escape2!M:M,MATCH(Controle!H868,produtos_escape2!A:A,0)),"")</f>
        <v>PÍNÇA BULDOG CURVO 11</v>
      </c>
    </row>
    <row r="869" spans="1:32" ht="14.25" customHeight="1">
      <c r="A869" s="176" t="s">
        <v>7965</v>
      </c>
      <c r="B869" s="176" t="s">
        <v>7207</v>
      </c>
      <c r="C869" s="177">
        <v>44026</v>
      </c>
      <c r="D869" s="176" t="s">
        <v>9426</v>
      </c>
      <c r="E869" s="176" t="s">
        <v>1866</v>
      </c>
      <c r="F869" s="259" t="s">
        <v>9427</v>
      </c>
      <c r="G869" s="176">
        <v>2</v>
      </c>
      <c r="H869" s="178">
        <v>23434</v>
      </c>
      <c r="I869" s="592">
        <f t="shared" si="28"/>
        <v>2</v>
      </c>
      <c r="J869" s="178" t="s">
        <v>816</v>
      </c>
      <c r="K869" s="178" t="s">
        <v>816</v>
      </c>
      <c r="L869" s="275" t="str">
        <f>IF(H:H=0,"",IF(ISERROR(VLOOKUP(H:H,produtos_escape2!$A$2:$B$2794,2,FALSE)),"Código não cadastrado",(VLOOKUP(H:H,produtos_escape2!$A$2:$B$2794,2,FALSE))))</f>
        <v>PINÇA BULDOG RETO 9cm; Aplicação: instrumental cirúrgico; Material: Produto confeccionado em aço inoxidável AISI-420, tamanho 9cm, embalagem plástica individual, constando os dados de identificação, procedência e rastreabilidade, Garantia de 10 anos contra defeitos de fabricação, fabricado de acordo com padrões internacionais de qualidade, normas da ABNT, CE. Registro Ministério da Saúde; Tamanho: 09 cm ; Processo de esterilização: não estéril; Forma de apresentação: embalagem individual; Prazo de validade: 10 anos contra defeito de fabricação; Unidade de estoque: unidade</v>
      </c>
      <c r="M869" s="593" t="str">
        <f>IF(H:H=0,"",IF(ISERROR(VLOOKUP(H:H,produtos_escape2!$A$2:$D$2794,2,FALSE)),"Código não cadastrado",(VLOOKUP(H:H,produtos_escape2!$A$2:$D$2794,4,FALSE))))</f>
        <v>UN</v>
      </c>
      <c r="N869" s="486">
        <v>20</v>
      </c>
      <c r="O869" s="176" t="s">
        <v>1868</v>
      </c>
      <c r="P869" s="486"/>
      <c r="Q869" s="247"/>
      <c r="R869" s="246">
        <f t="shared" si="29"/>
        <v>0</v>
      </c>
      <c r="S869" s="177">
        <v>44180</v>
      </c>
      <c r="T869" s="182"/>
      <c r="U869" s="177"/>
      <c r="V869" s="177"/>
      <c r="W869" s="177"/>
      <c r="X869" s="176"/>
      <c r="Y869" s="177"/>
      <c r="Z869" s="415">
        <v>6</v>
      </c>
      <c r="AA869" s="488" t="s">
        <v>10621</v>
      </c>
      <c r="AB869" s="594"/>
      <c r="AC869" s="595"/>
      <c r="AD869" s="596" t="str">
        <f>IF(AND(AC869&lt;&gt;"",S869&lt;&gt;""),NETWORKDAYS(AC869,S869,#REF!),"")</f>
        <v/>
      </c>
      <c r="AE869" s="596" t="str">
        <f ca="1">IF(AND(AD869="",AC869=""),"",IF(OR(AD869&lt;&gt;"",O869="*CANCELADO"),"",NETWORKDAYS(AC869,TODAY(),#REF!)))</f>
        <v/>
      </c>
      <c r="AF869" s="597" t="str">
        <f>IFERROR(INDEX(produtos_escape2!M:M,MATCH(Controle!H869,produtos_escape2!A:A,0)),"")</f>
        <v>PINÇA BULDOG RETA 9</v>
      </c>
    </row>
    <row r="870" spans="1:32" ht="14.25" customHeight="1">
      <c r="A870" s="176" t="s">
        <v>7965</v>
      </c>
      <c r="B870" s="176" t="s">
        <v>7207</v>
      </c>
      <c r="C870" s="177">
        <v>44026</v>
      </c>
      <c r="D870" s="176" t="s">
        <v>9426</v>
      </c>
      <c r="E870" s="176" t="s">
        <v>1866</v>
      </c>
      <c r="F870" s="259" t="s">
        <v>9427</v>
      </c>
      <c r="G870" s="176">
        <v>5</v>
      </c>
      <c r="H870" s="178">
        <v>202798</v>
      </c>
      <c r="I870" s="592">
        <f t="shared" si="28"/>
        <v>1</v>
      </c>
      <c r="J870" s="178" t="s">
        <v>816</v>
      </c>
      <c r="K870" s="178" t="s">
        <v>816</v>
      </c>
      <c r="L870" s="275" t="str">
        <f>IF(H:H=0,"",IF(ISERROR(VLOOKUP(H:H,produtos_escape2!$A$2:$B$2794,2,FALSE)),"Código não cadastrado",(VLOOKUP(H:H,produtos_escape2!$A$2:$B$2794,2,FALSE))))</f>
        <v>PINÇA CLAMP WERTHEIN, CURVA, Aplicação: Cirurgia ginecológica, Material: Aço inoxidável AISI, Tamanho: 225 mm,  Características Adicionais: As pontas deverão ser bem delicadas, com bom acabamento, de modo a atender a finalidade a qual se destina.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v>
      </c>
      <c r="M870" s="593" t="str">
        <f>IF(H:H=0,"",IF(ISERROR(VLOOKUP(H:H,produtos_escape2!$A$2:$D$2794,2,FALSE)),"Código não cadastrado",(VLOOKUP(H:H,produtos_escape2!$A$2:$D$2794,4,FALSE))))</f>
        <v>UN</v>
      </c>
      <c r="N870" s="486">
        <v>5</v>
      </c>
      <c r="O870" s="176" t="s">
        <v>1868</v>
      </c>
      <c r="P870" s="486"/>
      <c r="Q870" s="247"/>
      <c r="R870" s="246">
        <f t="shared" si="29"/>
        <v>0</v>
      </c>
      <c r="S870" s="177">
        <v>44180</v>
      </c>
      <c r="T870" s="182"/>
      <c r="U870" s="177"/>
      <c r="V870" s="177"/>
      <c r="W870" s="177"/>
      <c r="X870" s="176"/>
      <c r="Y870" s="177"/>
      <c r="Z870" s="415">
        <v>6</v>
      </c>
      <c r="AA870" s="488" t="s">
        <v>10621</v>
      </c>
      <c r="AB870" s="594"/>
      <c r="AC870" s="595"/>
      <c r="AD870" s="596" t="str">
        <f>IF(AND(AC870&lt;&gt;"",S870&lt;&gt;""),NETWORKDAYS(AC870,S870,#REF!),"")</f>
        <v/>
      </c>
      <c r="AE870" s="596" t="str">
        <f ca="1">IF(AND(AD870="",AC870=""),"",IF(OR(AD870&lt;&gt;"",O870="*CANCELADO"),"",NETWORKDAYS(AC870,TODAY(),#REF!)))</f>
        <v/>
      </c>
      <c r="AF870" s="597" t="str">
        <f>IFERROR(INDEX(produtos_escape2!M:M,MATCH(Controle!H870,produtos_escape2!A:A,0)),"")</f>
        <v>PINÇA CLAMP</v>
      </c>
    </row>
    <row r="871" spans="1:32" ht="14.25" customHeight="1">
      <c r="A871" s="176" t="s">
        <v>7965</v>
      </c>
      <c r="B871" s="176" t="s">
        <v>7207</v>
      </c>
      <c r="C871" s="177">
        <v>44026</v>
      </c>
      <c r="D871" s="176" t="s">
        <v>9426</v>
      </c>
      <c r="E871" s="176" t="s">
        <v>1866</v>
      </c>
      <c r="F871" s="259" t="s">
        <v>9427</v>
      </c>
      <c r="G871" s="176">
        <v>9</v>
      </c>
      <c r="H871" s="178">
        <v>203212</v>
      </c>
      <c r="I871" s="592">
        <f t="shared" si="28"/>
        <v>2</v>
      </c>
      <c r="J871" s="178" t="s">
        <v>816</v>
      </c>
      <c r="K871" s="178" t="s">
        <v>816</v>
      </c>
      <c r="L871" s="275" t="str">
        <f>IF(H:H=0,"",IF(ISERROR(VLOOKUP(H:H,produtos_escape2!$A$2:$B$2794,2,FALSE)),"Código não cadastrado",(VLOOKUP(H:H,produtos_escape2!$A$2:$B$2794,2,FALSE))))</f>
        <v>PINÇA ÓSSEA LAMBERT-LOWMANN 2X2 DENTES, Aplicação: Cirurgia Ortopédica, Material: Aço inoxidável AISI, Tamanho: 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validade:Indeterminado.</v>
      </c>
      <c r="M871" s="593" t="str">
        <f>IF(H:H=0,"",IF(ISERROR(VLOOKUP(H:H,produtos_escape2!$A$2:$D$2794,2,FALSE)),"Código não cadastrado",(VLOOKUP(H:H,produtos_escape2!$A$2:$D$2794,4,FALSE))))</f>
        <v>UN</v>
      </c>
      <c r="N871" s="486">
        <v>10</v>
      </c>
      <c r="O871" s="176" t="s">
        <v>1868</v>
      </c>
      <c r="P871" s="486"/>
      <c r="Q871" s="247"/>
      <c r="R871" s="246">
        <f t="shared" si="29"/>
        <v>0</v>
      </c>
      <c r="S871" s="177">
        <v>44180</v>
      </c>
      <c r="T871" s="182"/>
      <c r="U871" s="177"/>
      <c r="V871" s="177"/>
      <c r="W871" s="177"/>
      <c r="X871" s="176"/>
      <c r="Y871" s="177"/>
      <c r="Z871" s="415">
        <v>6</v>
      </c>
      <c r="AA871" s="488" t="s">
        <v>10621</v>
      </c>
      <c r="AB871" s="594"/>
      <c r="AC871" s="595"/>
      <c r="AD871" s="596" t="str">
        <f>IF(AND(AC871&lt;&gt;"",S871&lt;&gt;""),NETWORKDAYS(AC871,S871,#REF!),"")</f>
        <v/>
      </c>
      <c r="AE871" s="596" t="str">
        <f ca="1">IF(AND(AD871="",AC871=""),"",IF(OR(AD871&lt;&gt;"",O871="*CANCELADO"),"",NETWORKDAYS(AC871,TODAY(),#REF!)))</f>
        <v/>
      </c>
      <c r="AF871" s="597" t="str">
        <f>IFERROR(INDEX(produtos_escape2!M:M,MATCH(Controle!H871,produtos_escape2!A:A,0)),"")</f>
        <v>PINÇA ÓSSEA LAMBERT-LOWMANN 2X2 DENTES</v>
      </c>
    </row>
    <row r="872" spans="1:32" ht="14.25" customHeight="1">
      <c r="A872" s="176" t="s">
        <v>7965</v>
      </c>
      <c r="B872" s="176" t="s">
        <v>7207</v>
      </c>
      <c r="C872" s="177">
        <v>44026</v>
      </c>
      <c r="D872" s="176" t="s">
        <v>9426</v>
      </c>
      <c r="E872" s="176" t="s">
        <v>1866</v>
      </c>
      <c r="F872" s="259" t="s">
        <v>9427</v>
      </c>
      <c r="G872" s="176">
        <v>8</v>
      </c>
      <c r="H872" s="178">
        <v>203211</v>
      </c>
      <c r="I872" s="592">
        <f t="shared" si="28"/>
        <v>2</v>
      </c>
      <c r="J872" s="178" t="s">
        <v>816</v>
      </c>
      <c r="K872" s="178" t="s">
        <v>816</v>
      </c>
      <c r="L872" s="275" t="str">
        <f>IF(H:H=0,"",IF(ISERROR(VLOOKUP(H:H,produtos_escape2!$A$2:$B$2794,2,FALSE)),"Código não cadastrado",(VLOOKUP(H:H,produtos_escape2!$A$2:$B$2794,2,FALSE))))</f>
        <v>PINÇA ÓSSEA LAMBERT-LOWMANN 2X2 DENTES, Aplicação: Cirurgia Ortopédica,Material: Aço inoxidável AISI, 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v>
      </c>
      <c r="M872" s="593" t="str">
        <f>IF(H:H=0,"",IF(ISERROR(VLOOKUP(H:H,produtos_escape2!$A$2:$D$2794,2,FALSE)),"Código não cadastrado",(VLOOKUP(H:H,produtos_escape2!$A$2:$D$2794,4,FALSE))))</f>
        <v>UN</v>
      </c>
      <c r="N872" s="486">
        <v>30</v>
      </c>
      <c r="O872" s="176" t="s">
        <v>1868</v>
      </c>
      <c r="P872" s="486"/>
      <c r="Q872" s="247"/>
      <c r="R872" s="246">
        <f t="shared" si="29"/>
        <v>0</v>
      </c>
      <c r="S872" s="177">
        <v>44180</v>
      </c>
      <c r="T872" s="182"/>
      <c r="U872" s="177"/>
      <c r="V872" s="177"/>
      <c r="W872" s="177"/>
      <c r="X872" s="176"/>
      <c r="Y872" s="177"/>
      <c r="Z872" s="415">
        <v>6</v>
      </c>
      <c r="AA872" s="488" t="s">
        <v>10621</v>
      </c>
      <c r="AB872" s="594"/>
      <c r="AC872" s="595"/>
      <c r="AD872" s="596" t="str">
        <f>IF(AND(AC872&lt;&gt;"",S872&lt;&gt;""),NETWORKDAYS(AC872,S872,#REF!),"")</f>
        <v/>
      </c>
      <c r="AE872" s="596" t="str">
        <f ca="1">IF(AND(AD872="",AC872=""),"",IF(OR(AD872&lt;&gt;"",O872="*CANCELADO"),"",NETWORKDAYS(AC872,TODAY(),#REF!)))</f>
        <v/>
      </c>
      <c r="AF872" s="597" t="str">
        <f>IFERROR(INDEX(produtos_escape2!M:M,MATCH(Controle!H872,produtos_escape2!A:A,0)),"")</f>
        <v>PINÇA ÓSSEA LAMBERT-LOWMANN 2X2 DENTES</v>
      </c>
    </row>
    <row r="873" spans="1:32" ht="14.25" customHeight="1">
      <c r="A873" s="176" t="s">
        <v>7965</v>
      </c>
      <c r="B873" s="176" t="s">
        <v>7207</v>
      </c>
      <c r="C873" s="177">
        <v>44026</v>
      </c>
      <c r="D873" s="176" t="s">
        <v>9426</v>
      </c>
      <c r="E873" s="176" t="s">
        <v>1866</v>
      </c>
      <c r="F873" s="259" t="s">
        <v>9427</v>
      </c>
      <c r="G873" s="176">
        <v>10</v>
      </c>
      <c r="H873" s="178">
        <v>203213</v>
      </c>
      <c r="I873" s="592">
        <f t="shared" si="28"/>
        <v>2</v>
      </c>
      <c r="J873" s="178" t="s">
        <v>816</v>
      </c>
      <c r="K873" s="178" t="s">
        <v>816</v>
      </c>
      <c r="L873" s="275" t="str">
        <f>IF(H:H=0,"",IF(ISERROR(VLOOKUP(H:H,produtos_escape2!$A$2:$B$2794,2,FALSE)),"Código não cadastrado",(VLOOKUP(H:H,produtos_escape2!$A$2:$B$2794,2,FALSE))))</f>
        <v>PINÇA ÓSSEA LANE, COM CREMALHEIRA, Aplicação: Cirurgia Ortopédica Material: Aço inoxidável AISI,  Tamanho: 220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v>
      </c>
      <c r="M873" s="593" t="str">
        <f>IF(H:H=0,"",IF(ISERROR(VLOOKUP(H:H,produtos_escape2!$A$2:$D$2794,2,FALSE)),"Código não cadastrado",(VLOOKUP(H:H,produtos_escape2!$A$2:$D$2794,4,FALSE))))</f>
        <v>UN</v>
      </c>
      <c r="N873" s="486">
        <v>5</v>
      </c>
      <c r="O873" s="176" t="s">
        <v>1868</v>
      </c>
      <c r="P873" s="486"/>
      <c r="Q873" s="247"/>
      <c r="R873" s="246">
        <f t="shared" si="29"/>
        <v>0</v>
      </c>
      <c r="S873" s="177">
        <v>44180</v>
      </c>
      <c r="T873" s="182"/>
      <c r="U873" s="177"/>
      <c r="V873" s="177"/>
      <c r="W873" s="177"/>
      <c r="X873" s="176"/>
      <c r="Y873" s="177"/>
      <c r="Z873" s="415">
        <v>6</v>
      </c>
      <c r="AA873" s="488" t="s">
        <v>10621</v>
      </c>
      <c r="AB873" s="594"/>
      <c r="AC873" s="595"/>
      <c r="AD873" s="596" t="str">
        <f>IF(AND(AC873&lt;&gt;"",S873&lt;&gt;""),NETWORKDAYS(AC873,S873,#REF!),"")</f>
        <v/>
      </c>
      <c r="AE873" s="596" t="str">
        <f ca="1">IF(AND(AD873="",AC873=""),"",IF(OR(AD873&lt;&gt;"",O873="*CANCELADO"),"",NETWORKDAYS(AC873,TODAY(),#REF!)))</f>
        <v/>
      </c>
      <c r="AF873" s="597" t="str">
        <f>IFERROR(INDEX(produtos_escape2!M:M,MATCH(Controle!H873,produtos_escape2!A:A,0)),"")</f>
        <v>PINÇA ÓSSEA LANE</v>
      </c>
    </row>
    <row r="874" spans="1:32" ht="14.25" customHeight="1">
      <c r="A874" s="176" t="s">
        <v>7965</v>
      </c>
      <c r="B874" s="176" t="s">
        <v>7207</v>
      </c>
      <c r="C874" s="177">
        <v>44026</v>
      </c>
      <c r="D874" s="176" t="s">
        <v>9426</v>
      </c>
      <c r="E874" s="176" t="s">
        <v>1866</v>
      </c>
      <c r="F874" s="259" t="s">
        <v>9427</v>
      </c>
      <c r="G874" s="176">
        <v>11</v>
      </c>
      <c r="H874" s="178">
        <v>203214</v>
      </c>
      <c r="I874" s="592">
        <f t="shared" si="28"/>
        <v>2</v>
      </c>
      <c r="J874" s="178" t="s">
        <v>816</v>
      </c>
      <c r="K874" s="178" t="s">
        <v>816</v>
      </c>
      <c r="L874" s="275" t="str">
        <f>IF(H:H=0,"",IF(ISERROR(VLOOKUP(H:H,produtos_escape2!$A$2:$B$2794,2,FALSE)),"Código não cadastrado",(VLOOKUP(H:H,produtos_escape2!$A$2:$B$2794,2,FALSE))))</f>
        <v>PINÇA ÓSSEA LANE, COM CREMALHEIRA, Aplicação: Cirurgia Ortopédica Material: Aço inoxidável AISI,Tamanho:330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 Forma de apresentação:Unidade</v>
      </c>
      <c r="M874" s="593" t="str">
        <f>IF(H:H=0,"",IF(ISERROR(VLOOKUP(H:H,produtos_escape2!$A$2:$D$2794,2,FALSE)),"Código não cadastrado",(VLOOKUP(H:H,produtos_escape2!$A$2:$D$2794,4,FALSE))))</f>
        <v>UN</v>
      </c>
      <c r="N874" s="486">
        <v>5</v>
      </c>
      <c r="O874" s="176" t="s">
        <v>1868</v>
      </c>
      <c r="P874" s="486"/>
      <c r="Q874" s="247"/>
      <c r="R874" s="246">
        <f t="shared" si="29"/>
        <v>0</v>
      </c>
      <c r="S874" s="177">
        <v>44180</v>
      </c>
      <c r="T874" s="182"/>
      <c r="U874" s="177"/>
      <c r="V874" s="177"/>
      <c r="W874" s="177"/>
      <c r="X874" s="176"/>
      <c r="Y874" s="177"/>
      <c r="Z874" s="415">
        <v>6</v>
      </c>
      <c r="AA874" s="488" t="s">
        <v>10621</v>
      </c>
      <c r="AB874" s="594"/>
      <c r="AC874" s="595"/>
      <c r="AD874" s="596" t="str">
        <f>IF(AND(AC874&lt;&gt;"",S874&lt;&gt;""),NETWORKDAYS(AC874,S874,#REF!),"")</f>
        <v/>
      </c>
      <c r="AE874" s="596" t="str">
        <f ca="1">IF(AND(AD874="",AC874=""),"",IF(OR(AD874&lt;&gt;"",O874="*CANCELADO"),"",NETWORKDAYS(AC874,TODAY(),#REF!)))</f>
        <v/>
      </c>
      <c r="AF874" s="597" t="str">
        <f>IFERROR(INDEX(produtos_escape2!M:M,MATCH(Controle!H874,produtos_escape2!A:A,0)),"")</f>
        <v>PINÇA ÓSSEA LANE</v>
      </c>
    </row>
    <row r="875" spans="1:32" ht="14.25" customHeight="1">
      <c r="A875" s="176" t="s">
        <v>7965</v>
      </c>
      <c r="B875" s="176" t="s">
        <v>7207</v>
      </c>
      <c r="C875" s="177">
        <v>44026</v>
      </c>
      <c r="D875" s="176" t="s">
        <v>9426</v>
      </c>
      <c r="E875" s="176" t="s">
        <v>1866</v>
      </c>
      <c r="F875" s="259" t="s">
        <v>9427</v>
      </c>
      <c r="G875" s="176">
        <v>12</v>
      </c>
      <c r="H875" s="178">
        <v>203215</v>
      </c>
      <c r="I875" s="592">
        <f t="shared" si="28"/>
        <v>2</v>
      </c>
      <c r="J875" s="178" t="s">
        <v>816</v>
      </c>
      <c r="K875" s="178" t="s">
        <v>816</v>
      </c>
      <c r="L875" s="275" t="str">
        <f>IF(H:H=0,"",IF(ISERROR(VLOOKUP(H:H,produtos_escape2!$A$2:$B$2794,2,FALSE)),"Código não cadastrado",(VLOOKUP(H:H,produtos_escape2!$A$2:$B$2794,2,FALSE))))</f>
        <v>PINÇA ÓSSEA LANE, SEM CREMALHEIRA, Aplicação: Cirurgia Ortopédica Material: Aço inoxidável AISI, 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875" s="593" t="str">
        <f>IF(H:H=0,"",IF(ISERROR(VLOOKUP(H:H,produtos_escape2!$A$2:$D$2794,2,FALSE)),"Código não cadastrado",(VLOOKUP(H:H,produtos_escape2!$A$2:$D$2794,4,FALSE))))</f>
        <v>UN</v>
      </c>
      <c r="N875" s="486">
        <v>5</v>
      </c>
      <c r="O875" s="176" t="s">
        <v>1868</v>
      </c>
      <c r="P875" s="486"/>
      <c r="Q875" s="247"/>
      <c r="R875" s="246">
        <f t="shared" si="29"/>
        <v>0</v>
      </c>
      <c r="S875" s="177">
        <v>44180</v>
      </c>
      <c r="T875" s="182"/>
      <c r="U875" s="177"/>
      <c r="V875" s="177"/>
      <c r="W875" s="177"/>
      <c r="X875" s="176"/>
      <c r="Y875" s="177"/>
      <c r="Z875" s="415">
        <v>6</v>
      </c>
      <c r="AA875" s="488" t="s">
        <v>10621</v>
      </c>
      <c r="AB875" s="594"/>
      <c r="AC875" s="595"/>
      <c r="AD875" s="596" t="str">
        <f>IF(AND(AC875&lt;&gt;"",S875&lt;&gt;""),NETWORKDAYS(AC875,S875,#REF!),"")</f>
        <v/>
      </c>
      <c r="AE875" s="596" t="str">
        <f ca="1">IF(AND(AD875="",AC875=""),"",IF(OR(AD875&lt;&gt;"",O875="*CANCELADO"),"",NETWORKDAYS(AC875,TODAY(),#REF!)))</f>
        <v/>
      </c>
      <c r="AF875" s="597" t="str">
        <f>IFERROR(INDEX(produtos_escape2!M:M,MATCH(Controle!H875,produtos_escape2!A:A,0)),"")</f>
        <v>PINÇA ÓSSEA LANE</v>
      </c>
    </row>
    <row r="876" spans="1:32" ht="14.25" customHeight="1">
      <c r="A876" s="176" t="s">
        <v>7965</v>
      </c>
      <c r="B876" s="176" t="s">
        <v>7207</v>
      </c>
      <c r="C876" s="177">
        <v>44026</v>
      </c>
      <c r="D876" s="176" t="s">
        <v>9426</v>
      </c>
      <c r="E876" s="176" t="s">
        <v>1866</v>
      </c>
      <c r="F876" s="259" t="s">
        <v>9427</v>
      </c>
      <c r="G876" s="176">
        <v>6</v>
      </c>
      <c r="H876" s="178">
        <v>203096</v>
      </c>
      <c r="I876" s="592">
        <f t="shared" si="28"/>
        <v>2</v>
      </c>
      <c r="J876" s="178" t="s">
        <v>816</v>
      </c>
      <c r="K876" s="178" t="s">
        <v>816</v>
      </c>
      <c r="L876" s="275" t="str">
        <f>IF(H:H=0,"",IF(ISERROR(VLOOKUP(H:H,produtos_escape2!$A$2:$B$2794,2,FALSE)),"Código não cadastrado",(VLOOKUP(H:H,produtos_escape2!$A$2:$B$2794,2,FALSE))))</f>
        <v>PINÇAS CRILE CURVA, Aplicação: Hemostática.Material: 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 Forma de apresentação: Unidade,Prazo de validade: Indeterminado.</v>
      </c>
      <c r="M876" s="593" t="str">
        <f>IF(H:H=0,"",IF(ISERROR(VLOOKUP(H:H,produtos_escape2!$A$2:$D$2794,2,FALSE)),"Código não cadastrado",(VLOOKUP(H:H,produtos_escape2!$A$2:$D$2794,4,FALSE))))</f>
        <v>UA</v>
      </c>
      <c r="N876" s="486">
        <v>130</v>
      </c>
      <c r="O876" s="176" t="s">
        <v>1868</v>
      </c>
      <c r="P876" s="486"/>
      <c r="Q876" s="247"/>
      <c r="R876" s="246">
        <f t="shared" si="29"/>
        <v>0</v>
      </c>
      <c r="S876" s="177">
        <v>44180</v>
      </c>
      <c r="T876" s="182"/>
      <c r="U876" s="177"/>
      <c r="V876" s="177"/>
      <c r="W876" s="177"/>
      <c r="X876" s="176"/>
      <c r="Y876" s="177"/>
      <c r="Z876" s="415">
        <v>6</v>
      </c>
      <c r="AA876" s="488" t="s">
        <v>10621</v>
      </c>
      <c r="AB876" s="594"/>
      <c r="AC876" s="595"/>
      <c r="AD876" s="596" t="str">
        <f>IF(AND(AC876&lt;&gt;"",S876&lt;&gt;""),NETWORKDAYS(AC876,S876,#REF!),"")</f>
        <v/>
      </c>
      <c r="AE876" s="596" t="str">
        <f ca="1">IF(AND(AD876="",AC876=""),"",IF(OR(AD876&lt;&gt;"",O876="*CANCELADO"),"",NETWORKDAYS(AC876,TODAY(),#REF!)))</f>
        <v/>
      </c>
      <c r="AF876" s="597" t="str">
        <f>IFERROR(INDEX(produtos_escape2!M:M,MATCH(Controle!H876,produtos_escape2!A:A,0)),"")</f>
        <v>PINÇAS CRILE CURVA</v>
      </c>
    </row>
    <row r="877" spans="1:32" ht="14.25" customHeight="1">
      <c r="A877" s="176" t="s">
        <v>7965</v>
      </c>
      <c r="B877" s="176" t="s">
        <v>7207</v>
      </c>
      <c r="C877" s="177">
        <v>44026</v>
      </c>
      <c r="D877" s="176" t="s">
        <v>9426</v>
      </c>
      <c r="E877" s="176" t="s">
        <v>1866</v>
      </c>
      <c r="F877" s="259" t="s">
        <v>9427</v>
      </c>
      <c r="G877" s="176">
        <v>7</v>
      </c>
      <c r="H877" s="178">
        <v>203097</v>
      </c>
      <c r="I877" s="592">
        <f t="shared" si="28"/>
        <v>2</v>
      </c>
      <c r="J877" s="178" t="s">
        <v>816</v>
      </c>
      <c r="K877" s="178" t="s">
        <v>816</v>
      </c>
      <c r="L877" s="275" t="str">
        <f>IF(H:H=0,"",IF(ISERROR(VLOOKUP(H:H,produtos_escape2!$A$2:$B$2794,2,FALSE)),"Código não cadastrado",(VLOOKUP(H:H,produtos_escape2!$A$2:$B$2794,2,FALSE))))</f>
        <v>PINÇAS CRILE RETA, Aplicação: Hemostática. Material:Aço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estéril,Forma de apresentação: Unidade,Prazo de validade: Indeterminado.</v>
      </c>
      <c r="M877" s="593" t="str">
        <f>IF(H:H=0,"",IF(ISERROR(VLOOKUP(H:H,produtos_escape2!$A$2:$D$2794,2,FALSE)),"Código não cadastrado",(VLOOKUP(H:H,produtos_escape2!$A$2:$D$2794,4,FALSE))))</f>
        <v>UA</v>
      </c>
      <c r="N877" s="486">
        <v>130</v>
      </c>
      <c r="O877" s="176" t="s">
        <v>1868</v>
      </c>
      <c r="P877" s="486"/>
      <c r="Q877" s="247"/>
      <c r="R877" s="246">
        <f t="shared" si="29"/>
        <v>0</v>
      </c>
      <c r="S877" s="177">
        <v>44180</v>
      </c>
      <c r="T877" s="182"/>
      <c r="U877" s="177"/>
      <c r="V877" s="177"/>
      <c r="W877" s="177"/>
      <c r="X877" s="176"/>
      <c r="Y877" s="177"/>
      <c r="Z877" s="415">
        <v>6</v>
      </c>
      <c r="AA877" s="488" t="s">
        <v>10621</v>
      </c>
      <c r="AB877" s="594"/>
      <c r="AC877" s="595"/>
      <c r="AD877" s="596" t="str">
        <f>IF(AND(AC877&lt;&gt;"",S877&lt;&gt;""),NETWORKDAYS(AC877,S877,#REF!),"")</f>
        <v/>
      </c>
      <c r="AE877" s="596" t="str">
        <f ca="1">IF(AND(AD877="",AC877=""),"",IF(OR(AD877&lt;&gt;"",O877="*CANCELADO"),"",NETWORKDAYS(AC877,TODAY(),#REF!)))</f>
        <v/>
      </c>
      <c r="AF877" s="597" t="str">
        <f>IFERROR(INDEX(produtos_escape2!M:M,MATCH(Controle!H877,produtos_escape2!A:A,0)),"")</f>
        <v>PINÇAS CRILE RETA</v>
      </c>
    </row>
    <row r="878" spans="1:32" ht="14.25" customHeight="1">
      <c r="A878" s="176" t="s">
        <v>8655</v>
      </c>
      <c r="B878" s="176" t="s">
        <v>3608</v>
      </c>
      <c r="C878" s="177">
        <v>44026</v>
      </c>
      <c r="D878" s="176" t="s">
        <v>9443</v>
      </c>
      <c r="E878" s="203" t="s">
        <v>1867</v>
      </c>
      <c r="F878" s="259" t="s">
        <v>9444</v>
      </c>
      <c r="G878" s="176">
        <v>1</v>
      </c>
      <c r="H878" s="178">
        <v>90106</v>
      </c>
      <c r="I878" s="592">
        <f t="shared" si="28"/>
        <v>4</v>
      </c>
      <c r="J878" s="178" t="s">
        <v>816</v>
      </c>
      <c r="K878" s="178" t="s">
        <v>816</v>
      </c>
      <c r="L878" s="275" t="str">
        <f>IF(H:H=0,"",IF(ISERROR(VLOOKUP(H:H,produtos_escape2!$A$2:$B$2794,2,FALSE)),"Código não cadastrado",(VLOOKUP(H:H,produtos_escape2!$A$2:$B$2794,2,FALSE))))</f>
        <v>AZITROMICINA COMPRIMIDO 500 MG</v>
      </c>
      <c r="M878" s="593" t="str">
        <f>IF(H:H=0,"",IF(ISERROR(VLOOKUP(H:H,produtos_escape2!$A$2:$D$2794,2,FALSE)),"Código não cadastrado",(VLOOKUP(H:H,produtos_escape2!$A$2:$D$2794,4,FALSE))))</f>
        <v>CP</v>
      </c>
      <c r="N878" s="486">
        <v>800</v>
      </c>
      <c r="O878" s="176" t="s">
        <v>7825</v>
      </c>
      <c r="P878" s="486">
        <v>600</v>
      </c>
      <c r="Q878" s="247">
        <v>3.698</v>
      </c>
      <c r="R878" s="246">
        <f t="shared" si="29"/>
        <v>2218.8000000000002</v>
      </c>
      <c r="S878" s="177">
        <v>44040</v>
      </c>
      <c r="T878" s="182">
        <v>555395</v>
      </c>
      <c r="U878" s="177">
        <v>44042</v>
      </c>
      <c r="V878" s="177">
        <v>44049</v>
      </c>
      <c r="W878" s="177">
        <v>44055</v>
      </c>
      <c r="X878" s="176">
        <v>63504</v>
      </c>
      <c r="Y878" s="177">
        <v>44061</v>
      </c>
      <c r="Z878" s="415">
        <v>4</v>
      </c>
      <c r="AA878" s="488"/>
      <c r="AB878" s="594"/>
      <c r="AC878" s="595"/>
      <c r="AD878" s="596" t="str">
        <f>IF(AND(AC878&lt;&gt;"",S878&lt;&gt;""),NETWORKDAYS(AC878,S878,#REF!),"")</f>
        <v/>
      </c>
      <c r="AE878" s="596" t="str">
        <f ca="1">IF(AND(AD878="",AC878=""),"",IF(OR(AD878&lt;&gt;"",O878="*CANCELADO"),"",NETWORKDAYS(AC878,TODAY(),#REF!)))</f>
        <v/>
      </c>
      <c r="AF878" s="597" t="str">
        <f>IFERROR(INDEX(produtos_escape2!M:M,MATCH(Controle!H878,produtos_escape2!A:A,0)),"")</f>
        <v>AZITROMICINA COMPRIMIDO 500 MG</v>
      </c>
    </row>
    <row r="879" spans="1:32" ht="14.25" customHeight="1">
      <c r="A879" s="176" t="s">
        <v>8657</v>
      </c>
      <c r="B879" s="176" t="s">
        <v>3608</v>
      </c>
      <c r="C879" s="177">
        <v>44026</v>
      </c>
      <c r="D879" s="176" t="s">
        <v>9445</v>
      </c>
      <c r="E879" s="176" t="s">
        <v>1865</v>
      </c>
      <c r="F879" s="259" t="s">
        <v>9446</v>
      </c>
      <c r="G879" s="176">
        <v>1</v>
      </c>
      <c r="H879" s="178">
        <v>90344</v>
      </c>
      <c r="I879" s="592">
        <f t="shared" si="28"/>
        <v>2</v>
      </c>
      <c r="J879" s="178" t="s">
        <v>816</v>
      </c>
      <c r="K879" s="178" t="s">
        <v>816</v>
      </c>
      <c r="L879" s="275" t="str">
        <f>IF(H:H=0,"",IF(ISERROR(VLOOKUP(H:H,produtos_escape2!$A$2:$B$2794,2,FALSE)),"Código não cadastrado",(VLOOKUP(H:H,produtos_escape2!$A$2:$B$2794,2,FALSE))))</f>
        <v>CIPROFLOXACINO SOLUÇAO OFTALMICA 0,3 % FRASCO 5 ML</v>
      </c>
      <c r="M879" s="593" t="str">
        <f>IF(H:H=0,"",IF(ISERROR(VLOOKUP(H:H,produtos_escape2!$A$2:$D$2794,2,FALSE)),"Código não cadastrado",(VLOOKUP(H:H,produtos_escape2!$A$2:$D$2794,4,FALSE))))</f>
        <v>FR</v>
      </c>
      <c r="N879" s="486">
        <v>5</v>
      </c>
      <c r="O879" s="176" t="s">
        <v>4401</v>
      </c>
      <c r="P879" s="486">
        <v>5</v>
      </c>
      <c r="Q879" s="247">
        <v>15</v>
      </c>
      <c r="R879" s="246">
        <f t="shared" si="29"/>
        <v>75</v>
      </c>
      <c r="S879" s="177">
        <v>44040</v>
      </c>
      <c r="T879" s="182">
        <v>2686313</v>
      </c>
      <c r="U879" s="177">
        <v>44042</v>
      </c>
      <c r="V879" s="177">
        <v>44046</v>
      </c>
      <c r="W879" s="177">
        <v>44055</v>
      </c>
      <c r="X879" s="176">
        <v>63295</v>
      </c>
      <c r="Y879" s="177">
        <v>44061</v>
      </c>
      <c r="Z879" s="415">
        <v>4</v>
      </c>
      <c r="AA879" s="488"/>
      <c r="AB879" s="594"/>
      <c r="AC879" s="595"/>
      <c r="AD879" s="596" t="str">
        <f>IF(AND(AC879&lt;&gt;"",S879&lt;&gt;""),NETWORKDAYS(AC879,S879,#REF!),"")</f>
        <v/>
      </c>
      <c r="AE879" s="596" t="str">
        <f ca="1">IF(AND(AD879="",AC879=""),"",IF(OR(AD879&lt;&gt;"",O879="*CANCELADO"),"",NETWORKDAYS(AC879,TODAY(),#REF!)))</f>
        <v/>
      </c>
      <c r="AF879" s="597" t="str">
        <f>IFERROR(INDEX(produtos_escape2!M:M,MATCH(Controle!H879,produtos_escape2!A:A,0)),"")</f>
        <v>CIPROFLOXACINO</v>
      </c>
    </row>
    <row r="880" spans="1:32" ht="14.25" customHeight="1">
      <c r="A880" s="176" t="s">
        <v>8659</v>
      </c>
      <c r="B880" s="176" t="s">
        <v>3608</v>
      </c>
      <c r="C880" s="177">
        <v>44026</v>
      </c>
      <c r="D880" s="176" t="s">
        <v>9447</v>
      </c>
      <c r="E880" s="176" t="s">
        <v>1867</v>
      </c>
      <c r="F880" s="259" t="s">
        <v>9448</v>
      </c>
      <c r="G880" s="176">
        <v>1</v>
      </c>
      <c r="H880" s="178">
        <v>90028</v>
      </c>
      <c r="I880" s="592">
        <f t="shared" si="28"/>
        <v>5</v>
      </c>
      <c r="J880" s="178" t="s">
        <v>816</v>
      </c>
      <c r="K880" s="178" t="s">
        <v>816</v>
      </c>
      <c r="L880" s="275" t="str">
        <f>IF(H:H=0,"",IF(ISERROR(VLOOKUP(H:H,produtos_escape2!$A$2:$B$2794,2,FALSE)),"Código não cadastrado",(VLOOKUP(H:H,produtos_escape2!$A$2:$B$2794,2,FALSE))))</f>
        <v>LIDOCAINA (CLORIDRATO) GELEIA 2 % BISNAGA 30 G</v>
      </c>
      <c r="M880" s="593" t="str">
        <f>IF(H:H=0,"",IF(ISERROR(VLOOKUP(H:H,produtos_escape2!$A$2:$D$2794,2,FALSE)),"Código não cadastrado",(VLOOKUP(H:H,produtos_escape2!$A$2:$D$2794,4,FALSE))))</f>
        <v>BS</v>
      </c>
      <c r="N880" s="486">
        <v>350</v>
      </c>
      <c r="O880" s="176" t="s">
        <v>7825</v>
      </c>
      <c r="P880" s="486">
        <v>350</v>
      </c>
      <c r="Q880" s="247">
        <v>2.8</v>
      </c>
      <c r="R880" s="246">
        <f t="shared" ref="R880:R911" si="30">P880*Q880</f>
        <v>979.99999999999989</v>
      </c>
      <c r="S880" s="177">
        <v>44040</v>
      </c>
      <c r="T880" s="182">
        <v>555375</v>
      </c>
      <c r="U880" s="177">
        <v>44042</v>
      </c>
      <c r="V880" s="177">
        <v>44049</v>
      </c>
      <c r="W880" s="177">
        <v>44055</v>
      </c>
      <c r="X880" s="176">
        <v>63367</v>
      </c>
      <c r="Y880" s="177">
        <v>44061</v>
      </c>
      <c r="Z880" s="415">
        <v>4</v>
      </c>
      <c r="AA880" s="488"/>
      <c r="AB880" s="594"/>
      <c r="AC880" s="595"/>
      <c r="AD880" s="596" t="str">
        <f>IF(AND(AC880&lt;&gt;"",S880&lt;&gt;""),NETWORKDAYS(AC880,S880,#REF!),"")</f>
        <v/>
      </c>
      <c r="AE880" s="596" t="str">
        <f ca="1">IF(AND(AD880="",AC880=""),"",IF(OR(AD880&lt;&gt;"",O880="*CANCELADO"),"",NETWORKDAYS(AC880,TODAY(),#REF!)))</f>
        <v/>
      </c>
      <c r="AF880" s="597" t="str">
        <f>IFERROR(INDEX(produtos_escape2!M:M,MATCH(Controle!H880,produtos_escape2!A:A,0)),"")</f>
        <v>LIDOCAINA (CLORIDRATO) GELEIA 2 % BISNAGA 30 G</v>
      </c>
    </row>
    <row r="881" spans="1:32" ht="14.25" customHeight="1">
      <c r="A881" s="176" t="s">
        <v>8661</v>
      </c>
      <c r="B881" s="176" t="s">
        <v>3608</v>
      </c>
      <c r="C881" s="177">
        <v>44026</v>
      </c>
      <c r="D881" s="176" t="s">
        <v>9449</v>
      </c>
      <c r="E881" s="176" t="s">
        <v>3009</v>
      </c>
      <c r="F881" s="259" t="s">
        <v>9450</v>
      </c>
      <c r="G881" s="176">
        <v>1</v>
      </c>
      <c r="H881" s="178">
        <v>90185</v>
      </c>
      <c r="I881" s="592">
        <f t="shared" si="28"/>
        <v>2</v>
      </c>
      <c r="J881" s="178" t="s">
        <v>816</v>
      </c>
      <c r="K881" s="178" t="s">
        <v>816</v>
      </c>
      <c r="L881" s="275" t="str">
        <f>IF(H:H=0,"",IF(ISERROR(VLOOKUP(H:H,produtos_escape2!$A$2:$B$2794,2,FALSE)),"Código não cadastrado",(VLOOKUP(H:H,produtos_escape2!$A$2:$B$2794,2,FALSE))))</f>
        <v xml:space="preserve">IVERMECTINA COMPRIMIDO 6 MG </v>
      </c>
      <c r="M881" s="593" t="str">
        <f>IF(H:H=0,"",IF(ISERROR(VLOOKUP(H:H,produtos_escape2!$A$2:$D$2794,2,FALSE)),"Código não cadastrado",(VLOOKUP(H:H,produtos_escape2!$A$2:$D$2794,4,FALSE))))</f>
        <v>CP</v>
      </c>
      <c r="N881" s="486">
        <v>300</v>
      </c>
      <c r="O881" s="176" t="s">
        <v>8695</v>
      </c>
      <c r="P881" s="486">
        <v>300</v>
      </c>
      <c r="Q881" s="247">
        <v>4.95</v>
      </c>
      <c r="R881" s="246">
        <f t="shared" si="30"/>
        <v>1485</v>
      </c>
      <c r="S881" s="177">
        <v>44043</v>
      </c>
      <c r="T881" s="182">
        <v>28140</v>
      </c>
      <c r="U881" s="177">
        <v>44047</v>
      </c>
      <c r="V881" s="177">
        <v>44085</v>
      </c>
      <c r="W881" s="177">
        <v>44090</v>
      </c>
      <c r="X881" s="176">
        <v>91341</v>
      </c>
      <c r="Y881" s="177">
        <v>44104</v>
      </c>
      <c r="Z881" s="415">
        <v>5</v>
      </c>
      <c r="AA881" s="488"/>
      <c r="AB881" s="594"/>
      <c r="AC881" s="595"/>
      <c r="AD881" s="596" t="str">
        <f>IF(AND(AC881&lt;&gt;"",S881&lt;&gt;""),NETWORKDAYS(AC881,S881,#REF!),"")</f>
        <v/>
      </c>
      <c r="AE881" s="596" t="str">
        <f ca="1">IF(AND(AD881="",AC881=""),"",IF(OR(AD881&lt;&gt;"",O881="*CANCELADO"),"",NETWORKDAYS(AC881,TODAY(),#REF!)))</f>
        <v/>
      </c>
      <c r="AF881" s="597" t="str">
        <f>IFERROR(INDEX(produtos_escape2!M:M,MATCH(Controle!H881,produtos_escape2!A:A,0)),"")</f>
        <v xml:space="preserve">IVERMECTINA COMPRIMIDO 6 MG </v>
      </c>
    </row>
    <row r="882" spans="1:32" ht="14.25" customHeight="1">
      <c r="A882" s="176" t="s">
        <v>7411</v>
      </c>
      <c r="B882" s="176" t="s">
        <v>1687</v>
      </c>
      <c r="C882" s="177">
        <v>44026</v>
      </c>
      <c r="D882" s="176" t="s">
        <v>9451</v>
      </c>
      <c r="E882" s="176" t="s">
        <v>3009</v>
      </c>
      <c r="F882" s="259" t="s">
        <v>9452</v>
      </c>
      <c r="G882" s="176">
        <v>1</v>
      </c>
      <c r="H882" s="178">
        <v>28772</v>
      </c>
      <c r="I882" s="592">
        <f t="shared" si="28"/>
        <v>2</v>
      </c>
      <c r="J882" s="178" t="s">
        <v>816</v>
      </c>
      <c r="K882" s="178" t="s">
        <v>816</v>
      </c>
      <c r="L882" s="275" t="str">
        <f>IF(H:H=0,"",IF(ISERROR(VLOOKUP(H:H,produtos_escape2!$A$2:$B$2794,2,FALSE)),"Código não cadastrado",(VLOOKUP(H:H,produtos_escape2!$A$2:$B$2794,2,FALSE))))</f>
        <v>Gás refrigerante, tipo r-134, aplicação sistema de geladeira, apresentação cilindro</v>
      </c>
      <c r="M882" s="593" t="str">
        <f>IF(H:H=0,"",IF(ISERROR(VLOOKUP(H:H,produtos_escape2!$A$2:$D$2794,2,FALSE)),"Código não cadastrado",(VLOOKUP(H:H,produtos_escape2!$A$2:$D$2794,4,FALSE))))</f>
        <v>KG</v>
      </c>
      <c r="N882" s="614">
        <v>0.75</v>
      </c>
      <c r="O882" s="176" t="s">
        <v>4358</v>
      </c>
      <c r="P882" s="486">
        <v>1</v>
      </c>
      <c r="Q882" s="247">
        <v>91.39</v>
      </c>
      <c r="R882" s="246">
        <f t="shared" si="30"/>
        <v>91.39</v>
      </c>
      <c r="S882" s="177">
        <v>44043</v>
      </c>
      <c r="T882" s="182">
        <v>1042</v>
      </c>
      <c r="U882" s="177">
        <v>44053</v>
      </c>
      <c r="V882" s="177">
        <v>44055</v>
      </c>
      <c r="W882" s="177">
        <v>44055</v>
      </c>
      <c r="X882" s="176">
        <v>71344</v>
      </c>
      <c r="Y882" s="177">
        <v>44075</v>
      </c>
      <c r="Z882" s="415">
        <v>5</v>
      </c>
      <c r="AA882" s="488"/>
      <c r="AB882" s="594"/>
      <c r="AC882" s="595"/>
      <c r="AD882" s="596" t="str">
        <f>IF(AND(AC882&lt;&gt;"",S882&lt;&gt;""),NETWORKDAYS(AC882,S882,#REF!),"")</f>
        <v/>
      </c>
      <c r="AE882" s="596" t="str">
        <f ca="1">IF(AND(AD882="",AC882=""),"",IF(OR(AD882&lt;&gt;"",O882="*CANCELADO"),"",NETWORKDAYS(AC882,TODAY(),#REF!)))</f>
        <v/>
      </c>
      <c r="AF882" s="597" t="str">
        <f>IFERROR(INDEX(produtos_escape2!M:M,MATCH(Controle!H882,produtos_escape2!A:A,0)),"")</f>
        <v>Gás refrigerante</v>
      </c>
    </row>
    <row r="883" spans="1:32" ht="14.25" customHeight="1">
      <c r="A883" s="176" t="s">
        <v>8032</v>
      </c>
      <c r="B883" s="176" t="s">
        <v>7207</v>
      </c>
      <c r="C883" s="177">
        <v>44027</v>
      </c>
      <c r="D883" s="176" t="s">
        <v>9453</v>
      </c>
      <c r="E883" s="176" t="s">
        <v>1867</v>
      </c>
      <c r="F883" s="259" t="s">
        <v>9454</v>
      </c>
      <c r="G883" s="176">
        <v>1</v>
      </c>
      <c r="H883" s="178">
        <v>19343</v>
      </c>
      <c r="I883" s="592">
        <f t="shared" si="28"/>
        <v>4</v>
      </c>
      <c r="J883" s="178" t="s">
        <v>816</v>
      </c>
      <c r="K883" s="178" t="s">
        <v>816</v>
      </c>
      <c r="L883" s="275" t="str">
        <f>IF(H:H=0,"",IF(ISERROR(VLOOKUP(H:H,produtos_escape2!$A$2:$B$2794,2,FALSE)),"Código não cadastrado",(VLOOKUP(H:H,produtos_escape2!$A$2:$B$2794,2,FALSE))))</f>
        <v>DISCO COMPACTO, Capacidade: CD R, 700 Mb, Tempo Duração: 80 min, Características Adicionais: gravável, Unidade de Fornecimento: envelope com 1 unidade</v>
      </c>
      <c r="M883" s="593" t="str">
        <f>IF(H:H=0,"",IF(ISERROR(VLOOKUP(H:H,produtos_escape2!$A$2:$D$2794,2,FALSE)),"Código não cadastrado",(VLOOKUP(H:H,produtos_escape2!$A$2:$D$2794,4,FALSE))))</f>
        <v>UIN</v>
      </c>
      <c r="N883" s="486">
        <v>2500</v>
      </c>
      <c r="O883" s="176" t="s">
        <v>3407</v>
      </c>
      <c r="P883" s="486">
        <v>2500</v>
      </c>
      <c r="Q883" s="247">
        <v>0.69899999999999995</v>
      </c>
      <c r="R883" s="246">
        <f t="shared" si="30"/>
        <v>1747.5</v>
      </c>
      <c r="S883" s="177">
        <v>44040</v>
      </c>
      <c r="T883" s="182">
        <v>904</v>
      </c>
      <c r="U883" s="177">
        <v>44042</v>
      </c>
      <c r="V883" s="177">
        <v>44043</v>
      </c>
      <c r="W883" s="177">
        <v>44046</v>
      </c>
      <c r="X883" s="176">
        <v>63494</v>
      </c>
      <c r="Y883" s="177">
        <v>44061</v>
      </c>
      <c r="Z883" s="415">
        <v>4</v>
      </c>
      <c r="AA883" s="488"/>
      <c r="AB883" s="594"/>
      <c r="AC883" s="595"/>
      <c r="AD883" s="596" t="str">
        <f>IF(AND(AC883&lt;&gt;"",S883&lt;&gt;""),NETWORKDAYS(AC883,S883,#REF!),"")</f>
        <v/>
      </c>
      <c r="AE883" s="596" t="str">
        <f ca="1">IF(AND(AD883="",AC883=""),"",IF(OR(AD883&lt;&gt;"",O883="*CANCELADO"),"",NETWORKDAYS(AC883,TODAY(),#REF!)))</f>
        <v/>
      </c>
      <c r="AF883" s="597" t="str">
        <f>IFERROR(INDEX(produtos_escape2!M:M,MATCH(Controle!H883,produtos_escape2!A:A,0)),"")</f>
        <v>DISCO CD-R GRAVÁVEL</v>
      </c>
    </row>
    <row r="884" spans="1:32" ht="14.25" customHeight="1">
      <c r="A884" s="176" t="s">
        <v>8702</v>
      </c>
      <c r="B884" s="176" t="s">
        <v>3608</v>
      </c>
      <c r="C884" s="177">
        <v>44027</v>
      </c>
      <c r="D884" s="176" t="s">
        <v>9455</v>
      </c>
      <c r="E884" s="176" t="s">
        <v>3009</v>
      </c>
      <c r="F884" s="259" t="s">
        <v>9456</v>
      </c>
      <c r="G884" s="176">
        <v>1</v>
      </c>
      <c r="H884" s="178">
        <v>90841</v>
      </c>
      <c r="I884" s="592">
        <f t="shared" si="28"/>
        <v>8</v>
      </c>
      <c r="J884" s="178" t="s">
        <v>816</v>
      </c>
      <c r="K884" s="178" t="s">
        <v>816</v>
      </c>
      <c r="L884" s="275" t="str">
        <f>IF(H:H=0,"",IF(ISERROR(VLOOKUP(H:H,produtos_escape2!$A$2:$B$2794,2,FALSE)),"Código não cadastrado",(VLOOKUP(H:H,produtos_escape2!$A$2:$B$2794,2,FALSE))))</f>
        <v>ATROPINA (SULFATO) SOLUÇAO OFTALMICA 1 % FRASCO 5 ML</v>
      </c>
      <c r="M884" s="593" t="str">
        <f>IF(H:H=0,"",IF(ISERROR(VLOOKUP(H:H,produtos_escape2!$A$2:$D$2794,2,FALSE)),"Código não cadastrado",(VLOOKUP(H:H,produtos_escape2!$A$2:$D$2794,4,FALSE))))</f>
        <v>FR</v>
      </c>
      <c r="N884" s="486">
        <v>15</v>
      </c>
      <c r="O884" s="176" t="s">
        <v>5754</v>
      </c>
      <c r="P884" s="486">
        <v>15</v>
      </c>
      <c r="Q884" s="247">
        <v>29.68</v>
      </c>
      <c r="R884" s="246">
        <f t="shared" si="30"/>
        <v>445.2</v>
      </c>
      <c r="S884" s="177">
        <v>44043</v>
      </c>
      <c r="T884" s="182">
        <v>154616</v>
      </c>
      <c r="U884" s="177">
        <v>44106</v>
      </c>
      <c r="V884" s="177">
        <v>44109</v>
      </c>
      <c r="W884" s="177">
        <v>44111</v>
      </c>
      <c r="X884" s="176">
        <v>14982</v>
      </c>
      <c r="Y884" s="177">
        <v>44141</v>
      </c>
      <c r="Z884" s="415">
        <v>6</v>
      </c>
      <c r="AA884" s="488"/>
      <c r="AB884" s="594"/>
      <c r="AC884" s="595"/>
      <c r="AD884" s="596" t="str">
        <f>IF(AND(AC884&lt;&gt;"",S884&lt;&gt;""),NETWORKDAYS(AC884,S884,#REF!),"")</f>
        <v/>
      </c>
      <c r="AE884" s="596" t="str">
        <f ca="1">IF(AND(AD884="",AC884=""),"",IF(OR(AD884&lt;&gt;"",O884="*CANCELADO"),"",NETWORKDAYS(AC884,TODAY(),#REF!)))</f>
        <v/>
      </c>
      <c r="AF884" s="597" t="str">
        <f>IFERROR(INDEX(produtos_escape2!M:M,MATCH(Controle!H884,produtos_escape2!A:A,0)),"")</f>
        <v>ATROPINA (SULFATO) SOLUÇAO OFTALMICA 1 % FRASCO 5 ML</v>
      </c>
    </row>
    <row r="885" spans="1:32" ht="14.25" customHeight="1">
      <c r="A885" s="176" t="s">
        <v>8700</v>
      </c>
      <c r="B885" s="176" t="s">
        <v>3608</v>
      </c>
      <c r="C885" s="177">
        <v>44027</v>
      </c>
      <c r="D885" s="176" t="s">
        <v>9457</v>
      </c>
      <c r="E885" s="176" t="s">
        <v>1865</v>
      </c>
      <c r="F885" s="259" t="s">
        <v>9458</v>
      </c>
      <c r="G885" s="176">
        <v>1</v>
      </c>
      <c r="H885" s="178">
        <v>90342</v>
      </c>
      <c r="I885" s="592">
        <f t="shared" si="28"/>
        <v>4</v>
      </c>
      <c r="J885" s="178" t="s">
        <v>816</v>
      </c>
      <c r="K885" s="178" t="s">
        <v>816</v>
      </c>
      <c r="L885" s="275" t="str">
        <f>IF(H:H=0,"",IF(ISERROR(VLOOKUP(H:H,produtos_escape2!$A$2:$B$2794,2,FALSE)),"Código não cadastrado",(VLOOKUP(H:H,produtos_escape2!$A$2:$B$2794,2,FALSE))))</f>
        <v>ACIDO POLIACRILICO GEL LIQUIDO OFTALMICO 2 MG/G BISNAGA 10 G</v>
      </c>
      <c r="M885" s="593" t="str">
        <f>IF(H:H=0,"",IF(ISERROR(VLOOKUP(H:H,produtos_escape2!$A$2:$D$2794,2,FALSE)),"Código não cadastrado",(VLOOKUP(H:H,produtos_escape2!$A$2:$D$2794,4,FALSE))))</f>
        <v>BS</v>
      </c>
      <c r="N885" s="486">
        <v>10</v>
      </c>
      <c r="O885" s="176" t="s">
        <v>1868</v>
      </c>
      <c r="P885" s="486"/>
      <c r="Q885" s="247"/>
      <c r="R885" s="246">
        <f t="shared" si="30"/>
        <v>0</v>
      </c>
      <c r="S885" s="177">
        <v>44041</v>
      </c>
      <c r="T885" s="182"/>
      <c r="U885" s="177"/>
      <c r="V885" s="177"/>
      <c r="W885" s="177"/>
      <c r="X885" s="176"/>
      <c r="Y885" s="177"/>
      <c r="Z885" s="415">
        <v>4</v>
      </c>
      <c r="AA885" s="488" t="s">
        <v>7474</v>
      </c>
      <c r="AB885" s="594"/>
      <c r="AC885" s="595"/>
      <c r="AD885" s="596" t="str">
        <f>IF(AND(AC885&lt;&gt;"",S885&lt;&gt;""),NETWORKDAYS(AC885,S885,#REF!),"")</f>
        <v/>
      </c>
      <c r="AE885" s="596" t="str">
        <f ca="1">IF(AND(AD885="",AC885=""),"",IF(OR(AD885&lt;&gt;"",O885="*CANCELADO"),"",NETWORKDAYS(AC885,TODAY(),#REF!)))</f>
        <v/>
      </c>
      <c r="AF885" s="597" t="str">
        <f>IFERROR(INDEX(produtos_escape2!M:M,MATCH(Controle!H885,produtos_escape2!A:A,0)),"")</f>
        <v>ACIDO POLIACRILICO GEL LIQUIDO OFTALMICO 2 MG/G BISNAGA 10 G</v>
      </c>
    </row>
    <row r="886" spans="1:32" ht="14.25" customHeight="1">
      <c r="A886" s="176" t="s">
        <v>8698</v>
      </c>
      <c r="B886" s="176" t="s">
        <v>3608</v>
      </c>
      <c r="C886" s="177">
        <v>44027</v>
      </c>
      <c r="D886" s="176" t="s">
        <v>9459</v>
      </c>
      <c r="E886" s="176" t="s">
        <v>1867</v>
      </c>
      <c r="F886" s="259" t="s">
        <v>9460</v>
      </c>
      <c r="G886" s="176">
        <v>1</v>
      </c>
      <c r="H886" s="178">
        <v>90354</v>
      </c>
      <c r="I886" s="592">
        <f t="shared" si="28"/>
        <v>9</v>
      </c>
      <c r="J886" s="178" t="s">
        <v>816</v>
      </c>
      <c r="K886" s="178" t="s">
        <v>816</v>
      </c>
      <c r="L886" s="275" t="str">
        <f>IF(H:H=0,"",IF(ISERROR(VLOOKUP(H:H,produtos_escape2!$A$2:$B$2794,2,FALSE)),"Código não cadastrado",(VLOOKUP(H:H,produtos_escape2!$A$2:$B$2794,2,FALSE))))</f>
        <v>LACTULOSE XAROPE 667 MG/ML FRASCO 120 ML
NÂO pode ser a Lactulife da Naturelife.</v>
      </c>
      <c r="M886" s="593" t="str">
        <f>IF(H:H=0,"",IF(ISERROR(VLOOKUP(H:H,produtos_escape2!$A$2:$D$2794,2,FALSE)),"Código não cadastrado",(VLOOKUP(H:H,produtos_escape2!$A$2:$D$2794,4,FALSE))))</f>
        <v>FR</v>
      </c>
      <c r="N886" s="486">
        <v>200</v>
      </c>
      <c r="O886" s="176" t="s">
        <v>4379</v>
      </c>
      <c r="P886" s="486">
        <v>200</v>
      </c>
      <c r="Q886" s="247">
        <v>6.3</v>
      </c>
      <c r="R886" s="246">
        <f t="shared" si="30"/>
        <v>1260</v>
      </c>
      <c r="S886" s="177">
        <v>44040</v>
      </c>
      <c r="T886" s="182">
        <v>13693</v>
      </c>
      <c r="U886" s="177">
        <v>44041</v>
      </c>
      <c r="V886" s="177">
        <v>44042</v>
      </c>
      <c r="W886" s="177">
        <v>44043</v>
      </c>
      <c r="X886" s="176">
        <v>63441</v>
      </c>
      <c r="Y886" s="177">
        <v>44061</v>
      </c>
      <c r="Z886" s="415">
        <v>4</v>
      </c>
      <c r="AA886" s="488"/>
      <c r="AB886" s="594"/>
      <c r="AC886" s="595"/>
      <c r="AD886" s="596" t="str">
        <f>IF(AND(AC886&lt;&gt;"",S886&lt;&gt;""),NETWORKDAYS(AC886,S886,#REF!),"")</f>
        <v/>
      </c>
      <c r="AE886" s="596" t="str">
        <f ca="1">IF(AND(AD886="",AC886=""),"",IF(OR(AD886&lt;&gt;"",O886="*CANCELADO"),"",NETWORKDAYS(AC886,TODAY(),#REF!)))</f>
        <v/>
      </c>
      <c r="AF886" s="597" t="str">
        <f>IFERROR(INDEX(produtos_escape2!M:M,MATCH(Controle!H886,produtos_escape2!A:A,0)),"")</f>
        <v>LACTULOSE XAROPE 667 MG/ML FRASCO 120 ML</v>
      </c>
    </row>
    <row r="887" spans="1:32" ht="14.25" customHeight="1">
      <c r="A887" s="176" t="s">
        <v>8673</v>
      </c>
      <c r="B887" s="176" t="s">
        <v>3608</v>
      </c>
      <c r="C887" s="177">
        <v>44027</v>
      </c>
      <c r="D887" s="176" t="s">
        <v>9461</v>
      </c>
      <c r="E887" s="176" t="s">
        <v>3009</v>
      </c>
      <c r="F887" s="259" t="s">
        <v>9462</v>
      </c>
      <c r="G887" s="176">
        <v>1</v>
      </c>
      <c r="H887" s="178">
        <v>90592</v>
      </c>
      <c r="I887" s="592">
        <f t="shared" si="28"/>
        <v>4</v>
      </c>
      <c r="J887" s="178" t="s">
        <v>816</v>
      </c>
      <c r="K887" s="178" t="s">
        <v>816</v>
      </c>
      <c r="L887" s="275" t="str">
        <f>IF(H:H=0,"",IF(ISERROR(VLOOKUP(H:H,produtos_escape2!$A$2:$B$2794,2,FALSE)),"Código não cadastrado",(VLOOKUP(H:H,produtos_escape2!$A$2:$B$2794,2,FALSE))))</f>
        <v xml:space="preserve">SULFATO FERROSO DRAGEA 40 MG </v>
      </c>
      <c r="M887" s="593" t="str">
        <f>IF(H:H=0,"",IF(ISERROR(VLOOKUP(H:H,produtos_escape2!$A$2:$D$2794,2,FALSE)),"Código não cadastrado",(VLOOKUP(H:H,produtos_escape2!$A$2:$D$2794,4,FALSE))))</f>
        <v>DG</v>
      </c>
      <c r="N887" s="486">
        <v>3000</v>
      </c>
      <c r="O887" s="176" t="s">
        <v>3882</v>
      </c>
      <c r="P887" s="486">
        <v>3000</v>
      </c>
      <c r="Q887" s="247">
        <v>0.14400000000000002</v>
      </c>
      <c r="R887" s="246">
        <f t="shared" si="30"/>
        <v>432.00000000000006</v>
      </c>
      <c r="S887" s="177">
        <v>44043</v>
      </c>
      <c r="T887" s="182">
        <v>70704</v>
      </c>
      <c r="U887" s="177">
        <v>44056</v>
      </c>
      <c r="V887" s="177">
        <v>44057</v>
      </c>
      <c r="W887" s="177">
        <v>44061</v>
      </c>
      <c r="X887" s="176">
        <v>71350</v>
      </c>
      <c r="Y887" s="177">
        <v>44075</v>
      </c>
      <c r="Z887" s="415">
        <v>5</v>
      </c>
      <c r="AA887" s="488"/>
      <c r="AB887" s="594"/>
      <c r="AC887" s="595"/>
      <c r="AD887" s="596" t="str">
        <f>IF(AND(AC887&lt;&gt;"",S887&lt;&gt;""),NETWORKDAYS(AC887,S887,#REF!),"")</f>
        <v/>
      </c>
      <c r="AE887" s="596" t="str">
        <f ca="1">IF(AND(AD887="",AC887=""),"",IF(OR(AD887&lt;&gt;"",O887="*CANCELADO"),"",NETWORKDAYS(AC887,TODAY(),#REF!)))</f>
        <v/>
      </c>
      <c r="AF887" s="597" t="str">
        <f>IFERROR(INDEX(produtos_escape2!M:M,MATCH(Controle!H887,produtos_escape2!A:A,0)),"")</f>
        <v xml:space="preserve">SULFATO FERROSO DRAGEA 40 MG </v>
      </c>
    </row>
    <row r="888" spans="1:32" ht="14.25" customHeight="1">
      <c r="A888" s="176" t="s">
        <v>8669</v>
      </c>
      <c r="B888" s="176" t="s">
        <v>3608</v>
      </c>
      <c r="C888" s="177">
        <v>44027</v>
      </c>
      <c r="D888" s="176" t="s">
        <v>9463</v>
      </c>
      <c r="E888" s="176" t="s">
        <v>1867</v>
      </c>
      <c r="F888" s="259" t="s">
        <v>9464</v>
      </c>
      <c r="G888" s="176">
        <v>1</v>
      </c>
      <c r="H888" s="178">
        <v>90551</v>
      </c>
      <c r="I888" s="592">
        <f t="shared" si="28"/>
        <v>5</v>
      </c>
      <c r="J888" s="178" t="s">
        <v>816</v>
      </c>
      <c r="K888" s="178" t="s">
        <v>816</v>
      </c>
      <c r="L888" s="275" t="str">
        <f>IF(H:H=0,"",IF(ISERROR(VLOOKUP(H:H,produtos_escape2!$A$2:$B$2794,2,FALSE)),"Código não cadastrado",(VLOOKUP(H:H,produtos_escape2!$A$2:$B$2794,2,FALSE))))</f>
        <v>BICARBONATO DE SODIO SOLUCAO INJETAVEL 8,4 %        (1 MEQ/ML) FRASCO 250 ML</v>
      </c>
      <c r="M888" s="593" t="str">
        <f>IF(H:H=0,"",IF(ISERROR(VLOOKUP(H:H,produtos_escape2!$A$2:$D$2794,2,FALSE)),"Código não cadastrado",(VLOOKUP(H:H,produtos_escape2!$A$2:$D$2794,4,FALSE))))</f>
        <v>FR</v>
      </c>
      <c r="N888" s="486">
        <v>100</v>
      </c>
      <c r="O888" s="176" t="s">
        <v>1868</v>
      </c>
      <c r="P888" s="486"/>
      <c r="Q888" s="247"/>
      <c r="R888" s="246">
        <f t="shared" si="30"/>
        <v>0</v>
      </c>
      <c r="S888" s="177">
        <v>44047</v>
      </c>
      <c r="T888" s="182"/>
      <c r="U888" s="177"/>
      <c r="V888" s="177"/>
      <c r="W888" s="177"/>
      <c r="X888" s="176"/>
      <c r="Y888" s="177"/>
      <c r="Z888" s="415">
        <v>4</v>
      </c>
      <c r="AA888" s="488" t="s">
        <v>7474</v>
      </c>
      <c r="AB888" s="594"/>
      <c r="AC888" s="595"/>
      <c r="AD888" s="596" t="str">
        <f>IF(AND(AC888&lt;&gt;"",S888&lt;&gt;""),NETWORKDAYS(AC888,S888,#REF!),"")</f>
        <v/>
      </c>
      <c r="AE888" s="596" t="str">
        <f ca="1">IF(AND(AD888="",AC888=""),"",IF(OR(AD888&lt;&gt;"",O888="*CANCELADO"),"",NETWORKDAYS(AC888,TODAY(),#REF!)))</f>
        <v/>
      </c>
      <c r="AF888" s="597" t="str">
        <f>IFERROR(INDEX(produtos_escape2!M:M,MATCH(Controle!H888,produtos_escape2!A:A,0)),"")</f>
        <v>BICARBONATO DE SODIO SOLUCAO INJETAVEL 8</v>
      </c>
    </row>
    <row r="889" spans="1:32" ht="14.25" customHeight="1">
      <c r="A889" s="176" t="s">
        <v>8667</v>
      </c>
      <c r="B889" s="176" t="s">
        <v>3608</v>
      </c>
      <c r="C889" s="177">
        <v>44027</v>
      </c>
      <c r="D889" s="176" t="s">
        <v>9465</v>
      </c>
      <c r="E889" s="176" t="s">
        <v>3009</v>
      </c>
      <c r="F889" s="259" t="s">
        <v>9466</v>
      </c>
      <c r="G889" s="176">
        <v>1</v>
      </c>
      <c r="H889" s="178">
        <v>90295</v>
      </c>
      <c r="I889" s="592">
        <f t="shared" si="28"/>
        <v>4</v>
      </c>
      <c r="J889" s="178" t="s">
        <v>816</v>
      </c>
      <c r="K889" s="178" t="s">
        <v>816</v>
      </c>
      <c r="L889" s="275" t="str">
        <f>IF(H:H=0,"",IF(ISERROR(VLOOKUP(H:H,produtos_escape2!$A$2:$B$2794,2,FALSE)),"Código não cadastrado",(VLOOKUP(H:H,produtos_escape2!$A$2:$B$2794,2,FALSE))))</f>
        <v>METILDOPA COMPRIMIDO REVESTIDO 250 MG</v>
      </c>
      <c r="M889" s="593" t="str">
        <f>IF(H:H=0,"",IF(ISERROR(VLOOKUP(H:H,produtos_escape2!$A$2:$D$2794,2,FALSE)),"Código não cadastrado",(VLOOKUP(H:H,produtos_escape2!$A$2:$D$2794,4,FALSE))))</f>
        <v>CP</v>
      </c>
      <c r="N889" s="486">
        <v>500</v>
      </c>
      <c r="O889" s="176" t="s">
        <v>1868</v>
      </c>
      <c r="P889" s="486"/>
      <c r="Q889" s="247">
        <v>0.66</v>
      </c>
      <c r="R889" s="246">
        <f t="shared" si="30"/>
        <v>0</v>
      </c>
      <c r="S889" s="177">
        <v>44043</v>
      </c>
      <c r="T889" s="182"/>
      <c r="U889" s="177"/>
      <c r="V889" s="177"/>
      <c r="W889" s="177"/>
      <c r="X889" s="176"/>
      <c r="Y889" s="177"/>
      <c r="Z889" s="415">
        <v>4</v>
      </c>
      <c r="AA889" s="488" t="s">
        <v>8911</v>
      </c>
      <c r="AB889" s="594"/>
      <c r="AC889" s="595"/>
      <c r="AD889" s="596" t="str">
        <f>IF(AND(AC889&lt;&gt;"",S889&lt;&gt;""),NETWORKDAYS(AC889,S889,#REF!),"")</f>
        <v/>
      </c>
      <c r="AE889" s="596" t="str">
        <f ca="1">IF(AND(AD889="",AC889=""),"",IF(OR(AD889&lt;&gt;"",O889="*CANCELADO"),"",NETWORKDAYS(AC889,TODAY(),#REF!)))</f>
        <v/>
      </c>
      <c r="AF889" s="597" t="str">
        <f>IFERROR(INDEX(produtos_escape2!M:M,MATCH(Controle!H889,produtos_escape2!A:A,0)),"")</f>
        <v>METILDOPA COMPRIMIDO REVESTIDO 250 MG</v>
      </c>
    </row>
    <row r="890" spans="1:32" ht="14.25" customHeight="1">
      <c r="A890" s="176" t="s">
        <v>8665</v>
      </c>
      <c r="B890" s="176" t="s">
        <v>3608</v>
      </c>
      <c r="C890" s="177">
        <v>44027</v>
      </c>
      <c r="D890" s="176" t="s">
        <v>9467</v>
      </c>
      <c r="E890" s="176" t="s">
        <v>1865</v>
      </c>
      <c r="F890" s="259" t="s">
        <v>9468</v>
      </c>
      <c r="G890" s="176">
        <v>1</v>
      </c>
      <c r="H890" s="178">
        <v>90032</v>
      </c>
      <c r="I890" s="592">
        <f t="shared" si="28"/>
        <v>11</v>
      </c>
      <c r="J890" s="178" t="s">
        <v>816</v>
      </c>
      <c r="K890" s="178" t="s">
        <v>816</v>
      </c>
      <c r="L890" s="275" t="str">
        <f>IF(H:H=0,"",IF(ISERROR(VLOOKUP(H:H,produtos_escape2!$A$2:$B$2794,2,FALSE)),"Código não cadastrado",(VLOOKUP(H:H,produtos_escape2!$A$2:$B$2794,2,FALSE))))</f>
        <v>CISATRACURIO (BESILATO) SOLUCAO INJETAVEL 2 MG/ML AMPOLA 5 ML</v>
      </c>
      <c r="M890" s="593" t="str">
        <f>IF(H:H=0,"",IF(ISERROR(VLOOKUP(H:H,produtos_escape2!$A$2:$D$2794,2,FALSE)),"Código não cadastrado",(VLOOKUP(H:H,produtos_escape2!$A$2:$D$2794,4,FALSE))))</f>
        <v>AMP</v>
      </c>
      <c r="N890" s="486">
        <v>400</v>
      </c>
      <c r="O890" s="176" t="s">
        <v>4401</v>
      </c>
      <c r="P890" s="486">
        <v>400</v>
      </c>
      <c r="Q890" s="247">
        <v>24.5</v>
      </c>
      <c r="R890" s="246">
        <f t="shared" si="30"/>
        <v>9800</v>
      </c>
      <c r="S890" s="177">
        <v>44040</v>
      </c>
      <c r="T890" s="182">
        <v>2686162</v>
      </c>
      <c r="U890" s="177">
        <v>44041</v>
      </c>
      <c r="V890" s="177">
        <v>44047</v>
      </c>
      <c r="W890" s="177">
        <v>44055</v>
      </c>
      <c r="X890" s="176">
        <v>63787</v>
      </c>
      <c r="Y890" s="177">
        <v>44061</v>
      </c>
      <c r="Z890" s="415">
        <v>4</v>
      </c>
      <c r="AA890" s="488"/>
      <c r="AB890" s="594"/>
      <c r="AC890" s="595"/>
      <c r="AD890" s="596" t="str">
        <f>IF(AND(AC890&lt;&gt;"",S890&lt;&gt;""),NETWORKDAYS(AC890,S890,#REF!),"")</f>
        <v/>
      </c>
      <c r="AE890" s="596" t="str">
        <f ca="1">IF(AND(AD890="",AC890=""),"",IF(OR(AD890&lt;&gt;"",O890="*CANCELADO"),"",NETWORKDAYS(AC890,TODAY(),#REF!)))</f>
        <v/>
      </c>
      <c r="AF890" s="597" t="str">
        <f>IFERROR(INDEX(produtos_escape2!M:M,MATCH(Controle!H890,produtos_escape2!A:A,0)),"")</f>
        <v>CISATRACURIO (BESILATO) SOLUCAO INJETAVEL 2 MG/ML AMPOLA 5 ML</v>
      </c>
    </row>
    <row r="891" spans="1:32" ht="14.25" customHeight="1">
      <c r="A891" s="176" t="s">
        <v>8704</v>
      </c>
      <c r="B891" s="176" t="s">
        <v>3608</v>
      </c>
      <c r="C891" s="177">
        <v>44028</v>
      </c>
      <c r="D891" s="176" t="s">
        <v>9886</v>
      </c>
      <c r="E891" s="176" t="s">
        <v>1867</v>
      </c>
      <c r="F891" s="259" t="s">
        <v>9475</v>
      </c>
      <c r="G891" s="176">
        <v>1</v>
      </c>
      <c r="H891" s="178">
        <v>95046</v>
      </c>
      <c r="I891" s="592">
        <f t="shared" si="28"/>
        <v>7</v>
      </c>
      <c r="J891" s="178" t="s">
        <v>816</v>
      </c>
      <c r="K891" s="178" t="s">
        <v>816</v>
      </c>
      <c r="L891" s="275"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891" s="593" t="str">
        <f>IF(H:H=0,"",IF(ISERROR(VLOOKUP(H:H,produtos_escape2!$A$2:$D$2794,2,FALSE)),"Código não cadastrado",(VLOOKUP(H:H,produtos_escape2!$A$2:$D$2794,4,FALSE))))</f>
        <v>FR</v>
      </c>
      <c r="N891" s="486">
        <v>120</v>
      </c>
      <c r="O891" s="176" t="s">
        <v>7826</v>
      </c>
      <c r="P891" s="486">
        <v>120</v>
      </c>
      <c r="Q891" s="247">
        <v>6.15</v>
      </c>
      <c r="R891" s="246">
        <f t="shared" si="30"/>
        <v>738</v>
      </c>
      <c r="S891" s="177">
        <v>44041</v>
      </c>
      <c r="T891" s="182">
        <v>3070</v>
      </c>
      <c r="U891" s="177">
        <v>44041</v>
      </c>
      <c r="V891" s="177">
        <v>44042</v>
      </c>
      <c r="W891" s="177">
        <v>44043</v>
      </c>
      <c r="X891" s="176">
        <v>63350</v>
      </c>
      <c r="Y891" s="177">
        <v>44061</v>
      </c>
      <c r="Z891" s="415">
        <v>4</v>
      </c>
      <c r="AA891" s="488"/>
      <c r="AB891" s="594"/>
      <c r="AC891" s="595"/>
      <c r="AD891" s="596" t="str">
        <f>IF(AND(AC891&lt;&gt;"",S891&lt;&gt;""),NETWORKDAYS(AC891,S891,#REF!),"")</f>
        <v/>
      </c>
      <c r="AE891" s="596" t="str">
        <f ca="1">IF(AND(AD891="",AC891=""),"",IF(OR(AD891&lt;&gt;"",O891="*CANCELADO"),"",NETWORKDAYS(AC891,TODAY(),#REF!)))</f>
        <v/>
      </c>
      <c r="AF891" s="597" t="str">
        <f>IFERROR(INDEX(produtos_escape2!M:M,MATCH(Controle!H891,produtos_escape2!A:A,0)),"")</f>
        <v>ALCOOL ETILICO ABSOLUTO 99</v>
      </c>
    </row>
    <row r="892" spans="1:32" ht="14.25" customHeight="1">
      <c r="A892" s="176" t="s">
        <v>8708</v>
      </c>
      <c r="B892" s="176" t="s">
        <v>3608</v>
      </c>
      <c r="C892" s="177">
        <v>44028</v>
      </c>
      <c r="D892" s="176" t="s">
        <v>9476</v>
      </c>
      <c r="E892" s="176" t="s">
        <v>3009</v>
      </c>
      <c r="F892" s="259" t="s">
        <v>9477</v>
      </c>
      <c r="G892" s="176">
        <v>1</v>
      </c>
      <c r="H892" s="178">
        <v>95758</v>
      </c>
      <c r="I892" s="592">
        <f t="shared" si="28"/>
        <v>4</v>
      </c>
      <c r="J892" s="178" t="s">
        <v>816</v>
      </c>
      <c r="K892" s="178" t="s">
        <v>816</v>
      </c>
      <c r="L892" s="275"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892" s="593" t="str">
        <f>IF(H:H=0,"",IF(ISERROR(VLOOKUP(H:H,produtos_escape2!$A$2:$D$2794,2,FALSE)),"Código não cadastrado",(VLOOKUP(H:H,produtos_escape2!$A$2:$D$2794,4,FALSE))))</f>
        <v>TE</v>
      </c>
      <c r="N892" s="486">
        <v>2836</v>
      </c>
      <c r="O892" s="176" t="s">
        <v>9278</v>
      </c>
      <c r="P892" s="486">
        <v>2122</v>
      </c>
      <c r="Q892" s="247">
        <v>1.59</v>
      </c>
      <c r="R892" s="246">
        <f t="shared" si="30"/>
        <v>3373.98</v>
      </c>
      <c r="S892" s="177">
        <v>44042</v>
      </c>
      <c r="T892" s="182">
        <v>154541</v>
      </c>
      <c r="U892" s="177">
        <v>44043</v>
      </c>
      <c r="V892" s="177">
        <v>44056</v>
      </c>
      <c r="W892" s="177">
        <v>44057</v>
      </c>
      <c r="X892" s="176">
        <v>71371</v>
      </c>
      <c r="Y892" s="177">
        <v>44075</v>
      </c>
      <c r="Z892" s="415">
        <v>5</v>
      </c>
      <c r="AA892" s="488" t="s">
        <v>9119</v>
      </c>
      <c r="AB892" s="594"/>
      <c r="AC892" s="595"/>
      <c r="AD892" s="596" t="str">
        <f>IF(AND(AC892&lt;&gt;"",S892&lt;&gt;""),NETWORKDAYS(AC892,S892,#REF!),"")</f>
        <v/>
      </c>
      <c r="AE892" s="596" t="str">
        <f ca="1">IF(AND(AD892="",AC892=""),"",IF(OR(AD892&lt;&gt;"",O892="*CANCELADO"),"",NETWORKDAYS(AC892,TODAY(),#REF!)))</f>
        <v/>
      </c>
      <c r="AF892" s="597" t="str">
        <f>IFERROR(INDEX(produtos_escape2!M:M,MATCH(Controle!H892,produtos_escape2!A:A,0)),"")</f>
        <v>CONJUNTO PARA DETERMINAÇÃO DE GAMA GLUTAMIL TRANSFERASE</v>
      </c>
    </row>
    <row r="893" spans="1:32" ht="14.25" customHeight="1">
      <c r="A893" s="176" t="s">
        <v>8708</v>
      </c>
      <c r="B893" s="176" t="s">
        <v>3608</v>
      </c>
      <c r="C893" s="177">
        <v>44028</v>
      </c>
      <c r="D893" s="176" t="s">
        <v>9476</v>
      </c>
      <c r="E893" s="176" t="s">
        <v>3009</v>
      </c>
      <c r="F893" s="259" t="s">
        <v>9477</v>
      </c>
      <c r="G893" s="176">
        <v>2</v>
      </c>
      <c r="H893" s="178">
        <v>95776</v>
      </c>
      <c r="I893" s="592">
        <f t="shared" si="28"/>
        <v>3</v>
      </c>
      <c r="J893" s="178" t="s">
        <v>816</v>
      </c>
      <c r="K893" s="178" t="s">
        <v>816</v>
      </c>
      <c r="L893" s="275"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893" s="593" t="str">
        <f>IF(H:H=0,"",IF(ISERROR(VLOOKUP(H:H,produtos_escape2!$A$2:$D$2794,2,FALSE)),"Código não cadastrado",(VLOOKUP(H:H,produtos_escape2!$A$2:$D$2794,4,FALSE))))</f>
        <v>TE</v>
      </c>
      <c r="N893" s="486">
        <v>2286</v>
      </c>
      <c r="O893" s="176" t="s">
        <v>9278</v>
      </c>
      <c r="P893" s="486">
        <v>2286</v>
      </c>
      <c r="Q893" s="247">
        <v>2.7</v>
      </c>
      <c r="R893" s="246">
        <f t="shared" si="30"/>
        <v>6172.2000000000007</v>
      </c>
      <c r="S893" s="177">
        <v>44042</v>
      </c>
      <c r="T893" s="182">
        <v>154541</v>
      </c>
      <c r="U893" s="177">
        <v>44043</v>
      </c>
      <c r="V893" s="177">
        <v>44056</v>
      </c>
      <c r="W893" s="177">
        <v>44057</v>
      </c>
      <c r="X893" s="176">
        <v>71371</v>
      </c>
      <c r="Y893" s="177">
        <v>44075</v>
      </c>
      <c r="Z893" s="415">
        <v>5</v>
      </c>
      <c r="AA893" s="615" t="s">
        <v>9479</v>
      </c>
      <c r="AB893" s="594"/>
      <c r="AC893" s="595"/>
      <c r="AD893" s="596" t="str">
        <f>IF(AND(AC893&lt;&gt;"",S893&lt;&gt;""),NETWORKDAYS(AC893,S893,#REF!),"")</f>
        <v/>
      </c>
      <c r="AE893" s="596" t="str">
        <f ca="1">IF(AND(AD893="",AC893=""),"",IF(OR(AD893&lt;&gt;"",O893="*CANCELADO"),"",NETWORKDAYS(AC893,TODAY(),#REF!)))</f>
        <v/>
      </c>
      <c r="AF893" s="597" t="str">
        <f>IFERROR(INDEX(produtos_escape2!M:M,MATCH(Controle!H893,produtos_escape2!A:A,0)),"")</f>
        <v>CONJUNTO PARA DETERMINAÇAO DE CK</v>
      </c>
    </row>
    <row r="894" spans="1:32" ht="14.25" customHeight="1">
      <c r="A894" s="176" t="s">
        <v>8708</v>
      </c>
      <c r="B894" s="176" t="s">
        <v>3608</v>
      </c>
      <c r="C894" s="177">
        <v>44028</v>
      </c>
      <c r="D894" s="176" t="s">
        <v>9476</v>
      </c>
      <c r="E894" s="176" t="s">
        <v>3009</v>
      </c>
      <c r="F894" s="259" t="s">
        <v>9477</v>
      </c>
      <c r="G894" s="176">
        <v>3</v>
      </c>
      <c r="H894" s="178">
        <v>95773</v>
      </c>
      <c r="I894" s="592">
        <f t="shared" si="28"/>
        <v>5</v>
      </c>
      <c r="J894" s="178" t="s">
        <v>816</v>
      </c>
      <c r="K894" s="178" t="s">
        <v>816</v>
      </c>
      <c r="L894" s="275" t="str">
        <f>IF(H:H=0,"",IF(ISERROR(VLOOKUP(H:H,produtos_escape2!$A$2:$B$2794,2,FALSE)),"Código não cadastrado",(VLOOKUP(H:H,produtos_escape2!$A$2:$B$2794,2,FALSE))))</f>
        <v>CONJUNTO PARA DETERMINAÇAO DE TGP CINETICO, AUTOMAÇAO</v>
      </c>
      <c r="M894" s="593" t="str">
        <f>IF(H:H=0,"",IF(ISERROR(VLOOKUP(H:H,produtos_escape2!$A$2:$D$2794,2,FALSE)),"Código não cadastrado",(VLOOKUP(H:H,produtos_escape2!$A$2:$D$2794,4,FALSE))))</f>
        <v>TE</v>
      </c>
      <c r="N894" s="486">
        <v>4287</v>
      </c>
      <c r="O894" s="176" t="s">
        <v>9278</v>
      </c>
      <c r="P894" s="486">
        <v>4287</v>
      </c>
      <c r="Q894" s="247">
        <v>1.81</v>
      </c>
      <c r="R894" s="246">
        <f t="shared" si="30"/>
        <v>7759.47</v>
      </c>
      <c r="S894" s="177">
        <v>44042</v>
      </c>
      <c r="T894" s="182">
        <v>154541</v>
      </c>
      <c r="U894" s="177">
        <v>44043</v>
      </c>
      <c r="V894" s="177">
        <v>44056</v>
      </c>
      <c r="W894" s="177">
        <v>44057</v>
      </c>
      <c r="X894" s="176">
        <v>71371</v>
      </c>
      <c r="Y894" s="177">
        <v>44075</v>
      </c>
      <c r="Z894" s="415">
        <v>5</v>
      </c>
      <c r="AA894" s="615" t="s">
        <v>9479</v>
      </c>
      <c r="AB894" s="594"/>
      <c r="AC894" s="595"/>
      <c r="AD894" s="596" t="str">
        <f>IF(AND(AC894&lt;&gt;"",S894&lt;&gt;""),NETWORKDAYS(AC894,S894,#REF!),"")</f>
        <v/>
      </c>
      <c r="AE894" s="596" t="str">
        <f ca="1">IF(AND(AD894="",AC894=""),"",IF(OR(AD894&lt;&gt;"",O894="*CANCELADO"),"",NETWORKDAYS(AC894,TODAY(),#REF!)))</f>
        <v/>
      </c>
      <c r="AF894" s="597" t="str">
        <f>IFERROR(INDEX(produtos_escape2!M:M,MATCH(Controle!H894,produtos_escape2!A:A,0)),"")</f>
        <v>CONJUNTO PARA DETERMINAÇAO DE TGP CINETICO</v>
      </c>
    </row>
    <row r="895" spans="1:32" ht="14.25" customHeight="1">
      <c r="A895" s="176" t="s">
        <v>8708</v>
      </c>
      <c r="B895" s="176" t="s">
        <v>3608</v>
      </c>
      <c r="C895" s="177">
        <v>44028</v>
      </c>
      <c r="D895" s="176" t="s">
        <v>9476</v>
      </c>
      <c r="E895" s="176" t="s">
        <v>3009</v>
      </c>
      <c r="F895" s="259" t="s">
        <v>9477</v>
      </c>
      <c r="G895" s="176">
        <v>4</v>
      </c>
      <c r="H895" s="178">
        <v>95781</v>
      </c>
      <c r="I895" s="592">
        <f t="shared" si="28"/>
        <v>4</v>
      </c>
      <c r="J895" s="178" t="s">
        <v>816</v>
      </c>
      <c r="K895" s="178" t="s">
        <v>816</v>
      </c>
      <c r="L895" s="275"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895" s="593" t="str">
        <f>IF(H:H=0,"",IF(ISERROR(VLOOKUP(H:H,produtos_escape2!$A$2:$D$2794,2,FALSE)),"Código não cadastrado",(VLOOKUP(H:H,produtos_escape2!$A$2:$D$2794,4,FALSE))))</f>
        <v>TE</v>
      </c>
      <c r="N895" s="486">
        <v>1212</v>
      </c>
      <c r="O895" s="176" t="s">
        <v>9278</v>
      </c>
      <c r="P895" s="486">
        <v>1212</v>
      </c>
      <c r="Q895" s="247">
        <v>1.66</v>
      </c>
      <c r="R895" s="246">
        <f t="shared" si="30"/>
        <v>2011.9199999999998</v>
      </c>
      <c r="S895" s="177">
        <v>44042</v>
      </c>
      <c r="T895" s="182">
        <v>154541</v>
      </c>
      <c r="U895" s="177">
        <v>44043</v>
      </c>
      <c r="V895" s="177">
        <v>44056</v>
      </c>
      <c r="W895" s="177">
        <v>44057</v>
      </c>
      <c r="X895" s="176">
        <v>71371</v>
      </c>
      <c r="Y895" s="177">
        <v>44075</v>
      </c>
      <c r="Z895" s="415">
        <v>5</v>
      </c>
      <c r="AA895" s="615" t="s">
        <v>9479</v>
      </c>
      <c r="AB895" s="594"/>
      <c r="AC895" s="595"/>
      <c r="AD895" s="596" t="str">
        <f>IF(AND(AC895&lt;&gt;"",S895&lt;&gt;""),NETWORKDAYS(AC895,S895,#REF!),"")</f>
        <v/>
      </c>
      <c r="AE895" s="596" t="str">
        <f ca="1">IF(AND(AD895="",AC895=""),"",IF(OR(AD895&lt;&gt;"",O895="*CANCELADO"),"",NETWORKDAYS(AC895,TODAY(),#REF!)))</f>
        <v/>
      </c>
      <c r="AF895" s="597" t="str">
        <f>IFERROR(INDEX(produtos_escape2!M:M,MATCH(Controle!H895,produtos_escape2!A:A,0)),"")</f>
        <v>CONJUNTO PARA DETERMINAÇAO DE MAGNESIO</v>
      </c>
    </row>
    <row r="896" spans="1:32" ht="14.25" customHeight="1">
      <c r="A896" s="176" t="s">
        <v>8708</v>
      </c>
      <c r="B896" s="176" t="s">
        <v>3608</v>
      </c>
      <c r="C896" s="177">
        <v>44028</v>
      </c>
      <c r="D896" s="176" t="s">
        <v>9476</v>
      </c>
      <c r="E896" s="176" t="s">
        <v>3009</v>
      </c>
      <c r="F896" s="259" t="s">
        <v>9477</v>
      </c>
      <c r="G896" s="176">
        <v>5</v>
      </c>
      <c r="H896" s="178">
        <v>95757</v>
      </c>
      <c r="I896" s="592">
        <f t="shared" si="28"/>
        <v>3</v>
      </c>
      <c r="J896" s="178" t="s">
        <v>816</v>
      </c>
      <c r="K896" s="178" t="s">
        <v>816</v>
      </c>
      <c r="L896" s="275" t="str">
        <f>IF(H:H=0,"",IF(ISERROR(VLOOKUP(H:H,produtos_escape2!$A$2:$B$2794,2,FALSE)),"Código não cadastrado",(VLOOKUP(H:H,produtos_escape2!$A$2:$B$2794,2,FALSE))))</f>
        <v>CONJUNTO PARA DETERMINAÇAO DE FOSFORO, AUTOMAÇAO. Aplicação:analise bioquimica. Características adicionais: equipamento automatizado. Forma de Apresentação: conjunto (kit). Prazo de Validade:75% do prazo de validade do produto.</v>
      </c>
      <c r="M896" s="593" t="str">
        <f>IF(H:H=0,"",IF(ISERROR(VLOOKUP(H:H,produtos_escape2!$A$2:$D$2794,2,FALSE)),"Código não cadastrado",(VLOOKUP(H:H,produtos_escape2!$A$2:$D$2794,4,FALSE))))</f>
        <v>TE</v>
      </c>
      <c r="N896" s="486">
        <v>587</v>
      </c>
      <c r="O896" s="176" t="s">
        <v>9278</v>
      </c>
      <c r="P896" s="486">
        <v>585</v>
      </c>
      <c r="Q896" s="247">
        <v>1.48</v>
      </c>
      <c r="R896" s="246">
        <f t="shared" si="30"/>
        <v>865.8</v>
      </c>
      <c r="S896" s="177">
        <v>44042</v>
      </c>
      <c r="T896" s="182">
        <v>154541</v>
      </c>
      <c r="U896" s="177">
        <v>44043</v>
      </c>
      <c r="V896" s="177">
        <v>44056</v>
      </c>
      <c r="W896" s="177">
        <v>44057</v>
      </c>
      <c r="X896" s="176">
        <v>71371</v>
      </c>
      <c r="Y896" s="177">
        <v>44075</v>
      </c>
      <c r="Z896" s="415">
        <v>5</v>
      </c>
      <c r="AA896" s="615" t="s">
        <v>9479</v>
      </c>
      <c r="AB896" s="594"/>
      <c r="AC896" s="595"/>
      <c r="AD896" s="596" t="str">
        <f>IF(AND(AC896&lt;&gt;"",S896&lt;&gt;""),NETWORKDAYS(AC896,S896,#REF!),"")</f>
        <v/>
      </c>
      <c r="AE896" s="596" t="str">
        <f ca="1">IF(AND(AD896="",AC896=""),"",IF(OR(AD896&lt;&gt;"",O896="*CANCELADO"),"",NETWORKDAYS(AC896,TODAY(),#REF!)))</f>
        <v/>
      </c>
      <c r="AF896" s="597" t="str">
        <f>IFERROR(INDEX(produtos_escape2!M:M,MATCH(Controle!H896,produtos_escape2!A:A,0)),"")</f>
        <v>CONJUNTO PARA DETERMINAÇAO DE FOSFORO</v>
      </c>
    </row>
    <row r="897" spans="1:32" ht="14.25" customHeight="1">
      <c r="A897" s="176" t="s">
        <v>8708</v>
      </c>
      <c r="B897" s="176" t="s">
        <v>3608</v>
      </c>
      <c r="C897" s="177">
        <v>44028</v>
      </c>
      <c r="D897" s="176" t="s">
        <v>9476</v>
      </c>
      <c r="E897" s="176" t="s">
        <v>3009</v>
      </c>
      <c r="F897" s="259" t="s">
        <v>9477</v>
      </c>
      <c r="G897" s="176">
        <v>6</v>
      </c>
      <c r="H897" s="178">
        <v>95775</v>
      </c>
      <c r="I897" s="592">
        <f t="shared" si="28"/>
        <v>4</v>
      </c>
      <c r="J897" s="178" t="s">
        <v>816</v>
      </c>
      <c r="K897" s="178" t="s">
        <v>816</v>
      </c>
      <c r="L897" s="275"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897" s="593" t="str">
        <f>IF(H:H=0,"",IF(ISERROR(VLOOKUP(H:H,produtos_escape2!$A$2:$D$2794,2,FALSE)),"Código não cadastrado",(VLOOKUP(H:H,produtos_escape2!$A$2:$D$2794,4,FALSE))))</f>
        <v>TE</v>
      </c>
      <c r="N897" s="486">
        <v>3244</v>
      </c>
      <c r="O897" s="176" t="s">
        <v>9278</v>
      </c>
      <c r="P897" s="486">
        <v>3224</v>
      </c>
      <c r="Q897" s="247">
        <v>2.12</v>
      </c>
      <c r="R897" s="246">
        <f t="shared" si="30"/>
        <v>6834.88</v>
      </c>
      <c r="S897" s="177">
        <v>44042</v>
      </c>
      <c r="T897" s="182">
        <v>154541</v>
      </c>
      <c r="U897" s="177">
        <v>44043</v>
      </c>
      <c r="V897" s="177">
        <v>44056</v>
      </c>
      <c r="W897" s="177">
        <v>44057</v>
      </c>
      <c r="X897" s="176">
        <v>71371</v>
      </c>
      <c r="Y897" s="177">
        <v>44075</v>
      </c>
      <c r="Z897" s="415">
        <v>5</v>
      </c>
      <c r="AA897" s="615" t="s">
        <v>9479</v>
      </c>
      <c r="AB897" s="594"/>
      <c r="AC897" s="595"/>
      <c r="AD897" s="596" t="str">
        <f>IF(AND(AC897&lt;&gt;"",S897&lt;&gt;""),NETWORKDAYS(AC897,S897,#REF!),"")</f>
        <v/>
      </c>
      <c r="AE897" s="596" t="str">
        <f ca="1">IF(AND(AD897="",AC897=""),"",IF(OR(AD897&lt;&gt;"",O897="*CANCELADO"),"",NETWORKDAYS(AC897,TODAY(),#REF!)))</f>
        <v/>
      </c>
      <c r="AF897" s="597" t="str">
        <f>IFERROR(INDEX(produtos_escape2!M:M,MATCH(Controle!H897,produtos_escape2!A:A,0)),"")</f>
        <v>CONJUNTO PARA DETERMINAÇAO DE CREATININA</v>
      </c>
    </row>
    <row r="898" spans="1:32" ht="14.25" customHeight="1">
      <c r="A898" s="176" t="s">
        <v>8712</v>
      </c>
      <c r="B898" s="176" t="s">
        <v>3608</v>
      </c>
      <c r="C898" s="177">
        <v>44029</v>
      </c>
      <c r="D898" s="176" t="s">
        <v>9480</v>
      </c>
      <c r="E898" s="176" t="s">
        <v>1867</v>
      </c>
      <c r="F898" s="259" t="s">
        <v>9481</v>
      </c>
      <c r="G898" s="176">
        <v>1</v>
      </c>
      <c r="H898" s="178">
        <v>92401</v>
      </c>
      <c r="I898" s="592">
        <f t="shared" si="28"/>
        <v>9</v>
      </c>
      <c r="J898" s="178" t="s">
        <v>816</v>
      </c>
      <c r="K898" s="178" t="s">
        <v>816</v>
      </c>
      <c r="L898" s="275"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898" s="593" t="str">
        <f>IF(H:H=0,"",IF(ISERROR(VLOOKUP(H:H,produtos_escape2!$A$2:$D$2794,2,FALSE)),"Código não cadastrado",(VLOOKUP(H:H,produtos_escape2!$A$2:$D$2794,4,FALSE))))</f>
        <v>PAR</v>
      </c>
      <c r="N898" s="486">
        <v>5000</v>
      </c>
      <c r="O898" s="176" t="s">
        <v>2989</v>
      </c>
      <c r="P898" s="486">
        <v>5000</v>
      </c>
      <c r="Q898" s="247">
        <v>1.65</v>
      </c>
      <c r="R898" s="246">
        <f t="shared" si="30"/>
        <v>8250</v>
      </c>
      <c r="S898" s="177">
        <v>44040</v>
      </c>
      <c r="T898" s="182">
        <v>126863</v>
      </c>
      <c r="U898" s="177">
        <v>44041</v>
      </c>
      <c r="V898" s="177">
        <v>44042</v>
      </c>
      <c r="W898" s="177">
        <v>44043</v>
      </c>
      <c r="X898" s="176">
        <v>63762</v>
      </c>
      <c r="Y898" s="177">
        <v>44061</v>
      </c>
      <c r="Z898" s="415">
        <v>4</v>
      </c>
      <c r="AA898" s="488"/>
      <c r="AB898" s="594"/>
      <c r="AC898" s="595"/>
      <c r="AD898" s="596" t="str">
        <f>IF(AND(AC898&lt;&gt;"",S898&lt;&gt;""),NETWORKDAYS(AC898,S898,#REF!),"")</f>
        <v/>
      </c>
      <c r="AE898" s="596" t="str">
        <f ca="1">IF(AND(AD898="",AC898=""),"",IF(OR(AD898&lt;&gt;"",O898="*CANCELADO"),"",NETWORKDAYS(AC898,TODAY(),#REF!)))</f>
        <v/>
      </c>
      <c r="AF898" s="597" t="str">
        <f>IFERROR(INDEX(produtos_escape2!M:M,MATCH(Controle!H898,produtos_escape2!A:A,0)),"")</f>
        <v>LUVA CIRURGICA CONVENCIONAL Nº 7</v>
      </c>
    </row>
    <row r="899" spans="1:32" ht="14.25" customHeight="1">
      <c r="A899" s="176" t="s">
        <v>8712</v>
      </c>
      <c r="B899" s="176" t="s">
        <v>3608</v>
      </c>
      <c r="C899" s="177">
        <v>44029</v>
      </c>
      <c r="D899" s="176" t="s">
        <v>9480</v>
      </c>
      <c r="E899" s="176" t="s">
        <v>1867</v>
      </c>
      <c r="F899" s="259" t="s">
        <v>9481</v>
      </c>
      <c r="G899" s="176">
        <v>2</v>
      </c>
      <c r="H899" s="178">
        <v>92403</v>
      </c>
      <c r="I899" s="592">
        <f t="shared" ref="I899:I962" si="31">COUNTIF($H$3:$H$3041,H899)</f>
        <v>10</v>
      </c>
      <c r="J899" s="178" t="s">
        <v>816</v>
      </c>
      <c r="K899" s="178" t="s">
        <v>816</v>
      </c>
      <c r="L899" s="275"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899" s="593" t="str">
        <f>IF(H:H=0,"",IF(ISERROR(VLOOKUP(H:H,produtos_escape2!$A$2:$D$2794,2,FALSE)),"Código não cadastrado",(VLOOKUP(H:H,produtos_escape2!$A$2:$D$2794,4,FALSE))))</f>
        <v>PAR</v>
      </c>
      <c r="N899" s="486">
        <v>5000</v>
      </c>
      <c r="O899" s="176" t="s">
        <v>7825</v>
      </c>
      <c r="P899" s="486">
        <v>5000</v>
      </c>
      <c r="Q899" s="247">
        <v>1.39</v>
      </c>
      <c r="R899" s="246">
        <f t="shared" si="30"/>
        <v>6949.9999999999991</v>
      </c>
      <c r="S899" s="177">
        <v>44040</v>
      </c>
      <c r="T899" s="182">
        <v>555846</v>
      </c>
      <c r="U899" s="177">
        <v>44043</v>
      </c>
      <c r="V899" s="177">
        <v>44049</v>
      </c>
      <c r="W899" s="177">
        <v>44055</v>
      </c>
      <c r="X899" s="176">
        <v>63747</v>
      </c>
      <c r="Y899" s="177">
        <v>44061</v>
      </c>
      <c r="Z899" s="415">
        <v>4</v>
      </c>
      <c r="AA899" s="488"/>
      <c r="AB899" s="594"/>
      <c r="AC899" s="595"/>
      <c r="AD899" s="596" t="str">
        <f>IF(AND(AC899&lt;&gt;"",S899&lt;&gt;""),NETWORKDAYS(AC899,S899,#REF!),"")</f>
        <v/>
      </c>
      <c r="AE899" s="596" t="str">
        <f ca="1">IF(AND(AD899="",AC899=""),"",IF(OR(AD899&lt;&gt;"",O899="*CANCELADO"),"",NETWORKDAYS(AC899,TODAY(),#REF!)))</f>
        <v/>
      </c>
      <c r="AF899" s="597" t="str">
        <f>IFERROR(INDEX(produtos_escape2!M:M,MATCH(Controle!H899,produtos_escape2!A:A,0)),"")</f>
        <v>LUVA CIRURGICA CONVENCIONAL Nº 8</v>
      </c>
    </row>
    <row r="900" spans="1:32" ht="14.25" customHeight="1">
      <c r="A900" s="176" t="s">
        <v>8714</v>
      </c>
      <c r="B900" s="176" t="s">
        <v>3608</v>
      </c>
      <c r="C900" s="177">
        <v>44029</v>
      </c>
      <c r="D900" s="176" t="s">
        <v>9489</v>
      </c>
      <c r="E900" s="176" t="s">
        <v>3009</v>
      </c>
      <c r="F900" s="259" t="s">
        <v>9490</v>
      </c>
      <c r="G900" s="176">
        <v>1</v>
      </c>
      <c r="H900" s="178">
        <v>17684</v>
      </c>
      <c r="I900" s="592">
        <f t="shared" si="31"/>
        <v>6</v>
      </c>
      <c r="J900" s="178" t="s">
        <v>816</v>
      </c>
      <c r="K900" s="178" t="s">
        <v>816</v>
      </c>
      <c r="L900" s="275" t="str">
        <f>IF(H:H=0,"",IF(ISERROR(VLOOKUP(H:H,produtos_escape2!$A$2:$B$2794,2,FALSE)),"Código não cadastrado",(VLOOKUP(H:H,produtos_escape2!$A$2:$B$2794,2,FALSE))))</f>
        <v>FÓRMULA INFANTIL PARA LACTENTES, 0 À 6 MESES, Aplicação: indicada para lactentes desde o nascimento até o 6º mês de vida,  Características Adicionais: à base de leite de vaca ou de outros animais ou de uma mistura destes e/ou de outros ingredientes comprovadamente adequados para alimentação de lactentes até o sexto mês de vida, sem indicações dietoterápicas específicas. Forma de Apresentação: pó, Unidade de Estoque: grama (GR).</v>
      </c>
      <c r="M900" s="593" t="str">
        <f>IF(H:H=0,"",IF(ISERROR(VLOOKUP(H:H,produtos_escape2!$A$2:$D$2794,2,FALSE)),"Código não cadastrado",(VLOOKUP(H:H,produtos_escape2!$A$2:$D$2794,4,FALSE))))</f>
        <v>GR</v>
      </c>
      <c r="N900" s="486">
        <v>48000</v>
      </c>
      <c r="O900" s="176" t="s">
        <v>2989</v>
      </c>
      <c r="P900" s="486">
        <v>48000</v>
      </c>
      <c r="Q900" s="247">
        <v>2.2499999999999999E-2</v>
      </c>
      <c r="R900" s="246">
        <f t="shared" si="30"/>
        <v>1080</v>
      </c>
      <c r="S900" s="177">
        <v>44043</v>
      </c>
      <c r="T900" s="182">
        <v>127315</v>
      </c>
      <c r="U900" s="177">
        <v>44046</v>
      </c>
      <c r="V900" s="177">
        <v>44047</v>
      </c>
      <c r="W900" s="177">
        <v>44055</v>
      </c>
      <c r="X900" s="176">
        <v>63390</v>
      </c>
      <c r="Y900" s="177">
        <v>44061</v>
      </c>
      <c r="Z900" s="415">
        <v>4</v>
      </c>
      <c r="AA900" s="488"/>
      <c r="AB900" s="594"/>
      <c r="AC900" s="595"/>
      <c r="AD900" s="596" t="str">
        <f>IF(AND(AC900&lt;&gt;"",S900&lt;&gt;""),NETWORKDAYS(AC900,S900,#REF!),"")</f>
        <v/>
      </c>
      <c r="AE900" s="596" t="str">
        <f ca="1">IF(AND(AD900="",AC900=""),"",IF(OR(AD900&lt;&gt;"",O900="*CANCELADO"),"",NETWORKDAYS(AC900,TODAY(),#REF!)))</f>
        <v/>
      </c>
      <c r="AF900" s="597" t="str">
        <f>IFERROR(INDEX(produtos_escape2!M:M,MATCH(Controle!H900,produtos_escape2!A:A,0)),"")</f>
        <v>FÓRMULA INFANTIL PARA LACTENTES</v>
      </c>
    </row>
    <row r="901" spans="1:32" ht="14.25" customHeight="1">
      <c r="A901" s="176" t="s">
        <v>8716</v>
      </c>
      <c r="B901" s="176" t="s">
        <v>3608</v>
      </c>
      <c r="C901" s="177">
        <v>44029</v>
      </c>
      <c r="D901" s="176" t="s">
        <v>9491</v>
      </c>
      <c r="E901" s="176" t="s">
        <v>1865</v>
      </c>
      <c r="F901" s="259" t="s">
        <v>9492</v>
      </c>
      <c r="G901" s="176">
        <v>1</v>
      </c>
      <c r="H901" s="178">
        <v>95461</v>
      </c>
      <c r="I901" s="592">
        <f t="shared" si="31"/>
        <v>4</v>
      </c>
      <c r="J901" s="178" t="s">
        <v>816</v>
      </c>
      <c r="K901" s="178" t="s">
        <v>816</v>
      </c>
      <c r="L901" s="275"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901" s="593" t="str">
        <f>IF(H:H=0,"",IF(ISERROR(VLOOKUP(H:H,produtos_escape2!$A$2:$D$2794,2,FALSE)),"Código não cadastrado",(VLOOKUP(H:H,produtos_escape2!$A$2:$D$2794,4,FALSE))))</f>
        <v>BR</v>
      </c>
      <c r="N901" s="486">
        <v>30</v>
      </c>
      <c r="O901" s="176" t="s">
        <v>7392</v>
      </c>
      <c r="P901" s="486">
        <v>30</v>
      </c>
      <c r="Q901" s="247">
        <v>36</v>
      </c>
      <c r="R901" s="246">
        <f t="shared" si="30"/>
        <v>1080</v>
      </c>
      <c r="S901" s="177">
        <v>44040</v>
      </c>
      <c r="T901" s="182">
        <v>1359</v>
      </c>
      <c r="U901" s="177">
        <v>44050</v>
      </c>
      <c r="V901" s="177">
        <v>44053</v>
      </c>
      <c r="W901" s="177">
        <v>44055</v>
      </c>
      <c r="X901" s="176">
        <v>63413</v>
      </c>
      <c r="Y901" s="177">
        <v>44061</v>
      </c>
      <c r="Z901" s="415">
        <v>4</v>
      </c>
      <c r="AA901" s="488"/>
      <c r="AB901" s="594"/>
      <c r="AC901" s="595"/>
      <c r="AD901" s="596" t="str">
        <f>IF(AND(AC901&lt;&gt;"",S901&lt;&gt;""),NETWORKDAYS(AC901,S901,#REF!),"")</f>
        <v/>
      </c>
      <c r="AE901" s="596" t="str">
        <f ca="1">IF(AND(AD901="",AC901=""),"",IF(OR(AD901&lt;&gt;"",O901="*CANCELADO"),"",NETWORKDAYS(AC901,TODAY(),#REF!)))</f>
        <v/>
      </c>
      <c r="AF901" s="597" t="str">
        <f>IFERROR(INDEX(produtos_escape2!M:M,MATCH(Controle!H901,produtos_escape2!A:A,0)),"")</f>
        <v>PARAFINA HISTOLOGICA</v>
      </c>
    </row>
    <row r="902" spans="1:32" ht="14.25" customHeight="1">
      <c r="A902" s="176" t="s">
        <v>8718</v>
      </c>
      <c r="B902" s="176" t="s">
        <v>3608</v>
      </c>
      <c r="C902" s="177">
        <v>44029</v>
      </c>
      <c r="D902" s="176" t="s">
        <v>9493</v>
      </c>
      <c r="E902" s="176" t="s">
        <v>1867</v>
      </c>
      <c r="F902" s="259" t="s">
        <v>9494</v>
      </c>
      <c r="G902" s="176">
        <v>1</v>
      </c>
      <c r="H902" s="178">
        <v>90271</v>
      </c>
      <c r="I902" s="592">
        <f t="shared" si="31"/>
        <v>3</v>
      </c>
      <c r="J902" s="178" t="s">
        <v>816</v>
      </c>
      <c r="K902" s="178" t="s">
        <v>816</v>
      </c>
      <c r="L902" s="275" t="str">
        <f>IF(H:H=0,"",IF(ISERROR(VLOOKUP(H:H,produtos_escape2!$A$2:$B$2794,2,FALSE)),"Código não cadastrado",(VLOOKUP(H:H,produtos_escape2!$A$2:$B$2794,2,FALSE))))</f>
        <v xml:space="preserve">PROPOFOL EMULSAO INJETAVEL 20 MG/ML FRASCO-AMPOLA 50 ML </v>
      </c>
      <c r="M902" s="593" t="str">
        <f>IF(H:H=0,"",IF(ISERROR(VLOOKUP(H:H,produtos_escape2!$A$2:$D$2794,2,FALSE)),"Código não cadastrado",(VLOOKUP(H:H,produtos_escape2!$A$2:$D$2794,4,FALSE))))</f>
        <v>AMP</v>
      </c>
      <c r="N902" s="486">
        <v>190</v>
      </c>
      <c r="O902" s="176" t="s">
        <v>1868</v>
      </c>
      <c r="P902" s="486"/>
      <c r="Q902" s="247"/>
      <c r="R902" s="246">
        <f t="shared" si="30"/>
        <v>0</v>
      </c>
      <c r="S902" s="177">
        <v>44047</v>
      </c>
      <c r="T902" s="182"/>
      <c r="U902" s="177"/>
      <c r="V902" s="177"/>
      <c r="W902" s="177"/>
      <c r="X902" s="176"/>
      <c r="Y902" s="177"/>
      <c r="Z902" s="415">
        <v>4</v>
      </c>
      <c r="AA902" s="488" t="s">
        <v>7474</v>
      </c>
      <c r="AB902" s="594"/>
      <c r="AC902" s="595"/>
      <c r="AD902" s="596" t="str">
        <f>IF(AND(AC902&lt;&gt;"",S902&lt;&gt;""),NETWORKDAYS(AC902,S902,#REF!),"")</f>
        <v/>
      </c>
      <c r="AE902" s="596" t="str">
        <f ca="1">IF(AND(AD902="",AC902=""),"",IF(OR(AD902&lt;&gt;"",O902="*CANCELADO"),"",NETWORKDAYS(AC902,TODAY(),#REF!)))</f>
        <v/>
      </c>
      <c r="AF902" s="597" t="str">
        <f>IFERROR(INDEX(produtos_escape2!M:M,MATCH(Controle!H902,produtos_escape2!A:A,0)),"")</f>
        <v>PROPOFOL EMULSAO INJETAVEL</v>
      </c>
    </row>
    <row r="903" spans="1:32" ht="14.25" customHeight="1">
      <c r="A903" s="176" t="s">
        <v>8720</v>
      </c>
      <c r="B903" s="176" t="s">
        <v>3608</v>
      </c>
      <c r="C903" s="177">
        <v>44029</v>
      </c>
      <c r="D903" s="176" t="s">
        <v>9495</v>
      </c>
      <c r="E903" s="176" t="s">
        <v>3009</v>
      </c>
      <c r="F903" s="259" t="s">
        <v>9496</v>
      </c>
      <c r="G903" s="176">
        <v>1</v>
      </c>
      <c r="H903" s="178">
        <v>90126</v>
      </c>
      <c r="I903" s="592">
        <f t="shared" si="31"/>
        <v>4</v>
      </c>
      <c r="J903" s="178" t="s">
        <v>816</v>
      </c>
      <c r="K903" s="178" t="s">
        <v>816</v>
      </c>
      <c r="L903" s="275" t="str">
        <f>IF(H:H=0,"",IF(ISERROR(VLOOKUP(H:H,produtos_escape2!$A$2:$B$2794,2,FALSE)),"Código não cadastrado",(VLOOKUP(H:H,produtos_escape2!$A$2:$B$2794,2,FALSE))))</f>
        <v>HALOPERIDOL SOLUCAO INJETAVEL 5 MG/ML AMPOLA 1 ML</v>
      </c>
      <c r="M903" s="593" t="str">
        <f>IF(H:H=0,"",IF(ISERROR(VLOOKUP(H:H,produtos_escape2!$A$2:$D$2794,2,FALSE)),"Código não cadastrado",(VLOOKUP(H:H,produtos_escape2!$A$2:$D$2794,4,FALSE))))</f>
        <v>AMP</v>
      </c>
      <c r="N903" s="486">
        <v>150</v>
      </c>
      <c r="O903" s="176" t="s">
        <v>7371</v>
      </c>
      <c r="P903" s="486">
        <v>150</v>
      </c>
      <c r="Q903" s="247">
        <v>1.68</v>
      </c>
      <c r="R903" s="246">
        <f t="shared" si="30"/>
        <v>252</v>
      </c>
      <c r="S903" s="177">
        <v>44043</v>
      </c>
      <c r="T903" s="182">
        <v>358645</v>
      </c>
      <c r="U903" s="177">
        <v>44046</v>
      </c>
      <c r="V903" s="177">
        <v>44047</v>
      </c>
      <c r="W903" s="177">
        <v>44055</v>
      </c>
      <c r="X903" s="176">
        <v>63301</v>
      </c>
      <c r="Y903" s="177">
        <v>44061</v>
      </c>
      <c r="Z903" s="415">
        <v>4</v>
      </c>
      <c r="AA903" s="488"/>
      <c r="AB903" s="594"/>
      <c r="AC903" s="595"/>
      <c r="AD903" s="596" t="str">
        <f>IF(AND(AC903&lt;&gt;"",S903&lt;&gt;""),NETWORKDAYS(AC903,S903,#REF!),"")</f>
        <v/>
      </c>
      <c r="AE903" s="596" t="str">
        <f ca="1">IF(AND(AD903="",AC903=""),"",IF(OR(AD903&lt;&gt;"",O903="*CANCELADO"),"",NETWORKDAYS(AC903,TODAY(),#REF!)))</f>
        <v/>
      </c>
      <c r="AF903" s="597" t="str">
        <f>IFERROR(INDEX(produtos_escape2!M:M,MATCH(Controle!H903,produtos_escape2!A:A,0)),"")</f>
        <v>HALOPERIDOL SOLUCAO INJETAVEL 5 MG/ML AMPOLA 1 ML</v>
      </c>
    </row>
    <row r="904" spans="1:32" ht="14.25" customHeight="1">
      <c r="A904" s="176" t="s">
        <v>8036</v>
      </c>
      <c r="B904" s="176" t="s">
        <v>7207</v>
      </c>
      <c r="C904" s="177">
        <v>44029</v>
      </c>
      <c r="D904" s="176" t="s">
        <v>9497</v>
      </c>
      <c r="E904" s="176" t="s">
        <v>1866</v>
      </c>
      <c r="F904" s="259" t="s">
        <v>9498</v>
      </c>
      <c r="G904" s="176">
        <v>4</v>
      </c>
      <c r="H904" s="178">
        <v>35479</v>
      </c>
      <c r="I904" s="592">
        <f t="shared" si="31"/>
        <v>6</v>
      </c>
      <c r="J904" s="178" t="s">
        <v>816</v>
      </c>
      <c r="K904" s="178" t="s">
        <v>816</v>
      </c>
      <c r="L904" s="275" t="str">
        <f>IF(H:H=0,"",IF(ISERROR(VLOOKUP(H:H,produtos_escape2!$A$2:$B$2794,2,FALSE)),"Código não cadastrado",(VLOOKUP(H:H,produtos_escape2!$A$2:$B$2794,2,FALSE))))</f>
        <v>CAIXA ORGANIZADORA,Material: poliestireno de alta densidade e/ou polipropileno, Tamanho/Capacidade: 70 LITROS, Características Adicionais: reforçada, com tampa, empilhável, Altura: mínimo 35 cm, Largura: mínimo 35,5 cm, Comprimento: mínimo 71 cm, Cor: branca ou transparente.</v>
      </c>
      <c r="M904" s="593" t="str">
        <f>IF(H:H=0,"",IF(ISERROR(VLOOKUP(H:H,produtos_escape2!$A$2:$D$2794,2,FALSE)),"Código não cadastrado",(VLOOKUP(H:H,produtos_escape2!$A$2:$D$2794,4,FALSE))))</f>
        <v>UN</v>
      </c>
      <c r="N904" s="486">
        <v>6</v>
      </c>
      <c r="O904" s="176" t="s">
        <v>1868</v>
      </c>
      <c r="P904" s="486"/>
      <c r="Q904" s="247"/>
      <c r="R904" s="246">
        <f t="shared" si="30"/>
        <v>0</v>
      </c>
      <c r="S904" s="177">
        <v>44099</v>
      </c>
      <c r="T904" s="182"/>
      <c r="U904" s="177"/>
      <c r="V904" s="177"/>
      <c r="W904" s="177"/>
      <c r="X904" s="176"/>
      <c r="Y904" s="177"/>
      <c r="Z904" s="415">
        <v>5</v>
      </c>
      <c r="AA904" s="488" t="s">
        <v>9988</v>
      </c>
      <c r="AB904" s="594"/>
      <c r="AC904" s="595"/>
      <c r="AD904" s="596" t="str">
        <f>IF(AND(AC904&lt;&gt;"",S904&lt;&gt;""),NETWORKDAYS(AC904,S904,#REF!),"")</f>
        <v/>
      </c>
      <c r="AE904" s="596" t="str">
        <f ca="1">IF(AND(AD904="",AC904=""),"",IF(OR(AD904&lt;&gt;"",O904="*CANCELADO"),"",NETWORKDAYS(AC904,TODAY(),#REF!)))</f>
        <v/>
      </c>
      <c r="AF904" s="597" t="str">
        <f>IFERROR(INDEX(produtos_escape2!M:M,MATCH(Controle!H904,produtos_escape2!A:A,0)),"")</f>
        <v>CAIXA ORGANIZADORA 70L</v>
      </c>
    </row>
    <row r="905" spans="1:32" ht="14.25" customHeight="1">
      <c r="A905" s="176" t="s">
        <v>8036</v>
      </c>
      <c r="B905" s="176" t="s">
        <v>7207</v>
      </c>
      <c r="C905" s="177">
        <v>44029</v>
      </c>
      <c r="D905" s="176" t="s">
        <v>9497</v>
      </c>
      <c r="E905" s="176" t="s">
        <v>1866</v>
      </c>
      <c r="F905" s="259" t="s">
        <v>9498</v>
      </c>
      <c r="G905" s="176">
        <v>3</v>
      </c>
      <c r="H905" s="178">
        <v>32097</v>
      </c>
      <c r="I905" s="592">
        <f t="shared" si="31"/>
        <v>1</v>
      </c>
      <c r="J905" s="178" t="s">
        <v>816</v>
      </c>
      <c r="K905" s="178" t="s">
        <v>816</v>
      </c>
      <c r="L905" s="275" t="str">
        <f>IF(H:H=0,"",IF(ISERROR(VLOOKUP(H:H,produtos_escape2!$A$2:$B$2794,2,FALSE)),"Código não cadastrado",(VLOOKUP(H:H,produtos_escape2!$A$2:$B$2794,2,FALSE))))</f>
        <v>CAIXA PLÁSTICA (abs e polipropileno), medidas aproximadas: 58x32x22cm. Tampa c/ espaço para sistema de trava com lacres p/ controle e rastreabilidade das caixas e medicamentos dentro do hospital. Borracha personalizada c/furos nos diâmetros dos medicamentos e identificação dos medicamentos em impressão digital colorida. Adesivos personalizados com o logotipo do hospital sobre a tampa e a numeração sequencial de cada caixa. Finalidade: para transportar e estocar medicamentos, psicotrópicos e materiais hospitalares. As divisórias da caixa devem ser removíveis e possua bandeja removível na parte inferior.</v>
      </c>
      <c r="M905" s="593" t="str">
        <f>IF(H:H=0,"",IF(ISERROR(VLOOKUP(H:H,produtos_escape2!$A$2:$D$2794,2,FALSE)),"Código não cadastrado",(VLOOKUP(H:H,produtos_escape2!$A$2:$D$2794,4,FALSE))))</f>
        <v>UN</v>
      </c>
      <c r="N905" s="486">
        <v>6</v>
      </c>
      <c r="O905" s="176" t="s">
        <v>1868</v>
      </c>
      <c r="P905" s="486"/>
      <c r="Q905" s="247"/>
      <c r="R905" s="246">
        <f t="shared" si="30"/>
        <v>0</v>
      </c>
      <c r="S905" s="177">
        <v>44099</v>
      </c>
      <c r="T905" s="182"/>
      <c r="U905" s="177"/>
      <c r="V905" s="177"/>
      <c r="W905" s="177"/>
      <c r="X905" s="176"/>
      <c r="Y905" s="177"/>
      <c r="Z905" s="415">
        <v>5</v>
      </c>
      <c r="AA905" s="488" t="s">
        <v>9988</v>
      </c>
      <c r="AB905" s="594"/>
      <c r="AC905" s="595"/>
      <c r="AD905" s="596" t="str">
        <f>IF(AND(AC905&lt;&gt;"",S905&lt;&gt;""),NETWORKDAYS(AC905,S905,#REF!),"")</f>
        <v/>
      </c>
      <c r="AE905" s="596" t="str">
        <f ca="1">IF(AND(AD905="",AC905=""),"",IF(OR(AD905&lt;&gt;"",O905="*CANCELADO"),"",NETWORKDAYS(AC905,TODAY(),#REF!)))</f>
        <v/>
      </c>
      <c r="AF905" s="597" t="str">
        <f>IFERROR(INDEX(produtos_escape2!M:M,MATCH(Controle!H905,produtos_escape2!A:A,0)),"")</f>
        <v>CAIXA PLÁSTICA 58x32x22cm</v>
      </c>
    </row>
    <row r="906" spans="1:32" ht="14.25" customHeight="1">
      <c r="A906" s="176" t="s">
        <v>8036</v>
      </c>
      <c r="B906" s="176" t="s">
        <v>7207</v>
      </c>
      <c r="C906" s="177">
        <v>44029</v>
      </c>
      <c r="D906" s="176" t="s">
        <v>9497</v>
      </c>
      <c r="E906" s="176" t="s">
        <v>1866</v>
      </c>
      <c r="F906" s="259" t="s">
        <v>9498</v>
      </c>
      <c r="G906" s="176">
        <v>2</v>
      </c>
      <c r="H906" s="178">
        <v>30968</v>
      </c>
      <c r="I906" s="592">
        <f t="shared" si="31"/>
        <v>1</v>
      </c>
      <c r="J906" s="178" t="s">
        <v>816</v>
      </c>
      <c r="K906" s="178" t="s">
        <v>816</v>
      </c>
      <c r="L906" s="275" t="str">
        <f>IF(H:H=0,"",IF(ISERROR(VLOOKUP(H:H,produtos_escape2!$A$2:$B$2794,2,FALSE)),"Código não cadastrado",(VLOOKUP(H:H,produtos_escape2!$A$2:$B$2794,2,FALSE))))</f>
        <v xml:space="preserve">Caixa plástica branca com tampa, comprimento, largura e altura 60 x 40 x 20 cm </v>
      </c>
      <c r="M906" s="593" t="str">
        <f>IF(H:H=0,"",IF(ISERROR(VLOOKUP(H:H,produtos_escape2!$A$2:$D$2794,2,FALSE)),"Código não cadastrado",(VLOOKUP(H:H,produtos_escape2!$A$2:$D$2794,4,FALSE))))</f>
        <v>UN</v>
      </c>
      <c r="N906" s="486">
        <v>6</v>
      </c>
      <c r="O906" s="176" t="s">
        <v>1868</v>
      </c>
      <c r="P906" s="486"/>
      <c r="Q906" s="247"/>
      <c r="R906" s="246">
        <f t="shared" si="30"/>
        <v>0</v>
      </c>
      <c r="S906" s="177">
        <v>44099</v>
      </c>
      <c r="T906" s="182"/>
      <c r="U906" s="177"/>
      <c r="V906" s="177"/>
      <c r="W906" s="177"/>
      <c r="X906" s="176"/>
      <c r="Y906" s="177"/>
      <c r="Z906" s="415">
        <v>5</v>
      </c>
      <c r="AA906" s="488" t="s">
        <v>9988</v>
      </c>
      <c r="AB906" s="594"/>
      <c r="AC906" s="595"/>
      <c r="AD906" s="596" t="str">
        <f>IF(AND(AC906&lt;&gt;"",S906&lt;&gt;""),NETWORKDAYS(AC906,S906,#REF!),"")</f>
        <v/>
      </c>
      <c r="AE906" s="596" t="str">
        <f ca="1">IF(AND(AD906="",AC906=""),"",IF(OR(AD906&lt;&gt;"",O906="*CANCELADO"),"",NETWORKDAYS(AC906,TODAY(),#REF!)))</f>
        <v/>
      </c>
      <c r="AF906" s="597" t="str">
        <f>IFERROR(INDEX(produtos_escape2!M:M,MATCH(Controle!H906,produtos_escape2!A:A,0)),"")</f>
        <v xml:space="preserve">CAIXA PLÁSTICA 60 x 40 x 20 cm </v>
      </c>
    </row>
    <row r="907" spans="1:32" ht="14.25" customHeight="1">
      <c r="A907" s="176" t="s">
        <v>8036</v>
      </c>
      <c r="B907" s="176" t="s">
        <v>7207</v>
      </c>
      <c r="C907" s="177">
        <v>44029</v>
      </c>
      <c r="D907" s="176" t="s">
        <v>9497</v>
      </c>
      <c r="E907" s="176" t="s">
        <v>1866</v>
      </c>
      <c r="F907" s="259" t="s">
        <v>9498</v>
      </c>
      <c r="G907" s="176">
        <v>1</v>
      </c>
      <c r="H907" s="178">
        <v>27708</v>
      </c>
      <c r="I907" s="592">
        <f t="shared" si="31"/>
        <v>1</v>
      </c>
      <c r="J907" s="178" t="s">
        <v>816</v>
      </c>
      <c r="K907" s="178" t="s">
        <v>816</v>
      </c>
      <c r="L907" s="275" t="str">
        <f>IF(H:H=0,"",IF(ISERROR(VLOOKUP(H:H,produtos_escape2!$A$2:$B$2794,2,FALSE)),"Código não cadastrado",(VLOOKUP(H:H,produtos_escape2!$A$2:$B$2794,2,FALSE))))</f>
        <v>CAIXA PLÁSTICA organizadora contêiner de 50 Litros; Finalidade: guarda de material para atender às normas da DIVISA; Material: Plástico transparente; Tamanho: 50 litros com variação de até 10%; Características: Caixa plástica com tampa; Forma de apresentação: Unidade; Unidade de Estoque: Unidade (Unid)</v>
      </c>
      <c r="M907" s="593" t="str">
        <f>IF(H:H=0,"",IF(ISERROR(VLOOKUP(H:H,produtos_escape2!$A$2:$D$2794,2,FALSE)),"Código não cadastrado",(VLOOKUP(H:H,produtos_escape2!$A$2:$D$2794,4,FALSE))))</f>
        <v>UN</v>
      </c>
      <c r="N907" s="486">
        <v>6</v>
      </c>
      <c r="O907" s="176" t="s">
        <v>1868</v>
      </c>
      <c r="P907" s="486"/>
      <c r="Q907" s="247"/>
      <c r="R907" s="246">
        <f t="shared" si="30"/>
        <v>0</v>
      </c>
      <c r="S907" s="177">
        <v>44099</v>
      </c>
      <c r="T907" s="182"/>
      <c r="U907" s="177"/>
      <c r="V907" s="177"/>
      <c r="W907" s="177"/>
      <c r="X907" s="176"/>
      <c r="Y907" s="177"/>
      <c r="Z907" s="415">
        <v>5</v>
      </c>
      <c r="AA907" s="488" t="s">
        <v>9988</v>
      </c>
      <c r="AB907" s="594"/>
      <c r="AC907" s="595"/>
      <c r="AD907" s="596" t="str">
        <f>IF(AND(AC907&lt;&gt;"",S907&lt;&gt;""),NETWORKDAYS(AC907,S907,#REF!),"")</f>
        <v/>
      </c>
      <c r="AE907" s="596" t="str">
        <f ca="1">IF(AND(AD907="",AC907=""),"",IF(OR(AD907&lt;&gt;"",O907="*CANCELADO"),"",NETWORKDAYS(AC907,TODAY(),#REF!)))</f>
        <v/>
      </c>
      <c r="AF907" s="597" t="str">
        <f>IFERROR(INDEX(produtos_escape2!M:M,MATCH(Controle!H907,produtos_escape2!A:A,0)),"")</f>
        <v>CAIXA PLÁSTICA organizadora contêiner de 50 Litros</v>
      </c>
    </row>
    <row r="908" spans="1:32" ht="14.25" customHeight="1">
      <c r="A908" s="176" t="s">
        <v>8706</v>
      </c>
      <c r="B908" s="176" t="s">
        <v>3608</v>
      </c>
      <c r="C908" s="177">
        <v>44028</v>
      </c>
      <c r="D908" s="176" t="s">
        <v>9474</v>
      </c>
      <c r="E908" s="176" t="s">
        <v>1867</v>
      </c>
      <c r="F908" s="259" t="s">
        <v>9503</v>
      </c>
      <c r="G908" s="176">
        <v>1</v>
      </c>
      <c r="H908" s="178">
        <v>91204</v>
      </c>
      <c r="I908" s="592">
        <f t="shared" si="31"/>
        <v>1</v>
      </c>
      <c r="J908" s="178" t="s">
        <v>816</v>
      </c>
      <c r="K908" s="178" t="s">
        <v>816</v>
      </c>
      <c r="L908" s="275" t="str">
        <f>IF(H:H=0,"",IF(ISERROR(VLOOKUP(H:H,produtos_escape2!$A$2:$B$2794,2,FALSE)),"Código não cadastrado",(VLOOKUP(H:H,produtos_escape2!$A$2:$B$2794,2,FALSE))))</f>
        <v>FILTRO BARREIRA HIDRÓFOBO ADULTO, ESTÉRIL. Aplicação: para retenção de vírus/bactérias. Características Adicionais: auto umidificadores para adaptação circuito de traquéia AVPM, 2 membranas diferenciadas, descartável, compatibilidade saída capnografia, volume corrente de 150 a 1000ml, componente tubo extensor corrugado flexível,conexão universal. Unidade De Estoque: unidade (UN). Código SES: 091204.</v>
      </c>
      <c r="M908" s="593" t="str">
        <f>IF(H:H=0,"",IF(ISERROR(VLOOKUP(H:H,produtos_escape2!$A$2:$D$2794,2,FALSE)),"Código não cadastrado",(VLOOKUP(H:H,produtos_escape2!$A$2:$D$2794,4,FALSE))))</f>
        <v>UN</v>
      </c>
      <c r="N908" s="486">
        <v>400</v>
      </c>
      <c r="O908" s="176" t="s">
        <v>9584</v>
      </c>
      <c r="P908" s="486">
        <v>400</v>
      </c>
      <c r="Q908" s="247">
        <v>8.5</v>
      </c>
      <c r="R908" s="246">
        <f t="shared" si="30"/>
        <v>3400</v>
      </c>
      <c r="S908" s="177">
        <v>44040</v>
      </c>
      <c r="T908" s="182">
        <v>1658</v>
      </c>
      <c r="U908" s="177">
        <v>44042</v>
      </c>
      <c r="V908" s="177">
        <v>44042</v>
      </c>
      <c r="W908" s="177">
        <v>44043</v>
      </c>
      <c r="X908" s="176">
        <v>63703</v>
      </c>
      <c r="Y908" s="177">
        <v>44061</v>
      </c>
      <c r="Z908" s="415">
        <v>4</v>
      </c>
      <c r="AA908" s="488"/>
      <c r="AB908" s="594"/>
      <c r="AC908" s="595"/>
      <c r="AD908" s="596" t="str">
        <f>IF(AND(AC908&lt;&gt;"",S908&lt;&gt;""),NETWORKDAYS(AC908,S908,#REF!),"")</f>
        <v/>
      </c>
      <c r="AE908" s="596" t="str">
        <f ca="1">IF(AND(AD908="",AC908=""),"",IF(OR(AD908&lt;&gt;"",O908="*CANCELADO"),"",NETWORKDAYS(AC908,TODAY(),#REF!)))</f>
        <v/>
      </c>
      <c r="AF908" s="597" t="str">
        <f>IFERROR(INDEX(produtos_escape2!M:M,MATCH(Controle!H908,produtos_escape2!A:A,0)),"")</f>
        <v>FILTRO BARREIRA HIDRÓFOBO ADULTO</v>
      </c>
    </row>
    <row r="909" spans="1:32" ht="14.25" customHeight="1">
      <c r="A909" s="176" t="s">
        <v>8726</v>
      </c>
      <c r="B909" s="176" t="s">
        <v>3608</v>
      </c>
      <c r="C909" s="177">
        <v>44033</v>
      </c>
      <c r="D909" s="176" t="s">
        <v>9504</v>
      </c>
      <c r="E909" s="176" t="s">
        <v>3009</v>
      </c>
      <c r="F909" s="259" t="s">
        <v>9505</v>
      </c>
      <c r="G909" s="176">
        <v>1</v>
      </c>
      <c r="H909" s="178">
        <v>90550</v>
      </c>
      <c r="I909" s="592">
        <f t="shared" si="31"/>
        <v>9</v>
      </c>
      <c r="J909" s="178" t="s">
        <v>816</v>
      </c>
      <c r="K909" s="178" t="s">
        <v>816</v>
      </c>
      <c r="L909" s="275" t="str">
        <f>IF(H:H=0,"",IF(ISERROR(VLOOKUP(H:H,produtos_escape2!$A$2:$B$2794,2,FALSE)),"Código não cadastrado",(VLOOKUP(H:H,produtos_escape2!$A$2:$B$2794,2,FALSE))))</f>
        <v xml:space="preserve">BICARBONATO DE SODIO SOLUCAO INJETAVEL 8,4 % (1 MEQ/ML) AMPOLA 10 ML  </v>
      </c>
      <c r="M909" s="593" t="str">
        <f>IF(H:H=0,"",IF(ISERROR(VLOOKUP(H:H,produtos_escape2!$A$2:$D$2794,2,FALSE)),"Código não cadastrado",(VLOOKUP(H:H,produtos_escape2!$A$2:$D$2794,4,FALSE))))</f>
        <v>AMP</v>
      </c>
      <c r="N909" s="486">
        <v>200</v>
      </c>
      <c r="O909" s="176" t="s">
        <v>5754</v>
      </c>
      <c r="P909" s="486">
        <v>200</v>
      </c>
      <c r="Q909" s="247">
        <v>5.55</v>
      </c>
      <c r="R909" s="246">
        <f t="shared" si="30"/>
        <v>1110</v>
      </c>
      <c r="S909" s="177">
        <v>44054</v>
      </c>
      <c r="T909" s="182">
        <v>151261</v>
      </c>
      <c r="U909" s="177">
        <v>44063</v>
      </c>
      <c r="V909" s="177">
        <v>44070</v>
      </c>
      <c r="W909" s="177">
        <v>44077</v>
      </c>
      <c r="X909" s="176">
        <v>91332</v>
      </c>
      <c r="Y909" s="177">
        <v>44104</v>
      </c>
      <c r="Z909" s="415">
        <v>5</v>
      </c>
      <c r="AA909" s="488"/>
      <c r="AB909" s="594"/>
      <c r="AC909" s="595"/>
      <c r="AD909" s="596" t="str">
        <f>IF(AND(AC909&lt;&gt;"",S909&lt;&gt;""),NETWORKDAYS(AC909,S909,#REF!),"")</f>
        <v/>
      </c>
      <c r="AE909" s="596" t="str">
        <f ca="1">IF(AND(AD909="",AC909=""),"",IF(OR(AD909&lt;&gt;"",O909="*CANCELADO"),"",NETWORKDAYS(AC909,TODAY(),#REF!)))</f>
        <v/>
      </c>
      <c r="AF909" s="597" t="str">
        <f>IFERROR(INDEX(produtos_escape2!M:M,MATCH(Controle!H909,produtos_escape2!A:A,0)),"")</f>
        <v>BICARBONATO DE SODIO</v>
      </c>
    </row>
    <row r="910" spans="1:32" ht="14.25" customHeight="1">
      <c r="A910" s="176" t="s">
        <v>8724</v>
      </c>
      <c r="B910" s="176" t="s">
        <v>3608</v>
      </c>
      <c r="C910" s="177">
        <v>44033</v>
      </c>
      <c r="D910" s="176" t="s">
        <v>9506</v>
      </c>
      <c r="E910" s="176" t="s">
        <v>1865</v>
      </c>
      <c r="F910" s="259" t="s">
        <v>9507</v>
      </c>
      <c r="G910" s="176">
        <v>1</v>
      </c>
      <c r="H910" s="178">
        <v>90203</v>
      </c>
      <c r="I910" s="592">
        <f t="shared" si="31"/>
        <v>5</v>
      </c>
      <c r="J910" s="178" t="s">
        <v>816</v>
      </c>
      <c r="K910" s="178" t="s">
        <v>816</v>
      </c>
      <c r="L910" s="275" t="str">
        <f>IF(H:H=0,"",IF(ISERROR(VLOOKUP(H:H,produtos_escape2!$A$2:$B$2794,2,FALSE)),"Código não cadastrado",(VLOOKUP(H:H,produtos_escape2!$A$2:$B$2794,2,FALSE))))</f>
        <v>OMEPRAZOL PO LIOFILIZADO PARA SOLUCAO INJETAVEL 40 MG FRASCO AMPOLA + SOLUCAO DILUENTE (AMPOLA 10 ML)</v>
      </c>
      <c r="M910" s="593" t="str">
        <f>IF(H:H=0,"",IF(ISERROR(VLOOKUP(H:H,produtos_escape2!$A$2:$D$2794,2,FALSE)),"Código não cadastrado",(VLOOKUP(H:H,produtos_escape2!$A$2:$D$2794,4,FALSE))))</f>
        <v>AMP</v>
      </c>
      <c r="N910" s="486">
        <v>500</v>
      </c>
      <c r="O910" s="176" t="s">
        <v>1868</v>
      </c>
      <c r="P910" s="486"/>
      <c r="Q910" s="247"/>
      <c r="R910" s="246">
        <f t="shared" si="30"/>
        <v>0</v>
      </c>
      <c r="S910" s="177">
        <v>44041</v>
      </c>
      <c r="T910" s="182"/>
      <c r="U910" s="177"/>
      <c r="V910" s="177"/>
      <c r="W910" s="177"/>
      <c r="X910" s="176"/>
      <c r="Y910" s="177"/>
      <c r="Z910" s="415">
        <v>4</v>
      </c>
      <c r="AA910" s="488" t="s">
        <v>9616</v>
      </c>
      <c r="AB910" s="594"/>
      <c r="AC910" s="595"/>
      <c r="AD910" s="596" t="str">
        <f>IF(AND(AC910&lt;&gt;"",S910&lt;&gt;""),NETWORKDAYS(AC910,S910,#REF!),"")</f>
        <v/>
      </c>
      <c r="AE910" s="596" t="str">
        <f ca="1">IF(AND(AD910="",AC910=""),"",IF(OR(AD910&lt;&gt;"",O910="*CANCELADO"),"",NETWORKDAYS(AC910,TODAY(),#REF!)))</f>
        <v/>
      </c>
      <c r="AF910" s="597" t="str">
        <f>IFERROR(INDEX(produtos_escape2!M:M,MATCH(Controle!H910,produtos_escape2!A:A,0)),"")</f>
        <v>OMEPRAZOL PO LIOFILIZADO PARA SOLUCAO INJETAVEL 40 MG FRASCO AMPOLA + SOLUCAO DILUENTE (AMPOLA 10 ML)</v>
      </c>
    </row>
    <row r="911" spans="1:32" ht="14.25" customHeight="1">
      <c r="A911" s="176" t="s">
        <v>8722</v>
      </c>
      <c r="B911" s="176" t="s">
        <v>3608</v>
      </c>
      <c r="C911" s="177">
        <v>44033</v>
      </c>
      <c r="D911" s="176" t="s">
        <v>9508</v>
      </c>
      <c r="E911" s="176" t="s">
        <v>1867</v>
      </c>
      <c r="F911" s="259" t="s">
        <v>9509</v>
      </c>
      <c r="G911" s="176">
        <v>1</v>
      </c>
      <c r="H911" s="178">
        <v>90111</v>
      </c>
      <c r="I911" s="592">
        <f t="shared" si="31"/>
        <v>8</v>
      </c>
      <c r="J911" s="178" t="s">
        <v>816</v>
      </c>
      <c r="K911" s="178" t="s">
        <v>816</v>
      </c>
      <c r="L911" s="275" t="str">
        <f>IF(H:H=0,"",IF(ISERROR(VLOOKUP(H:H,produtos_escape2!$A$2:$B$2794,2,FALSE)),"Código não cadastrado",(VLOOKUP(H:H,produtos_escape2!$A$2:$B$2794,2,FALSE))))</f>
        <v xml:space="preserve">MIDAZOLAM SOLUÇAO INJETAVEL 15 MG AMPOLA 3 ML </v>
      </c>
      <c r="M911" s="593" t="str">
        <f>IF(H:H=0,"",IF(ISERROR(VLOOKUP(H:H,produtos_escape2!$A$2:$D$2794,2,FALSE)),"Código não cadastrado",(VLOOKUP(H:H,produtos_escape2!$A$2:$D$2794,4,FALSE))))</f>
        <v>AMP</v>
      </c>
      <c r="N911" s="486">
        <v>400</v>
      </c>
      <c r="O911" s="176" t="s">
        <v>4401</v>
      </c>
      <c r="P911" s="486">
        <v>400</v>
      </c>
      <c r="Q911" s="247">
        <v>3.5</v>
      </c>
      <c r="R911" s="246">
        <f t="shared" si="30"/>
        <v>1400</v>
      </c>
      <c r="S911" s="177">
        <v>44040</v>
      </c>
      <c r="T911" s="182">
        <v>2691166</v>
      </c>
      <c r="U911" s="177">
        <v>44047</v>
      </c>
      <c r="V911" s="177">
        <v>44049</v>
      </c>
      <c r="W911" s="177">
        <v>44055</v>
      </c>
      <c r="X911" s="176">
        <v>63456</v>
      </c>
      <c r="Y911" s="177">
        <v>44061</v>
      </c>
      <c r="Z911" s="415">
        <v>4</v>
      </c>
      <c r="AA911" s="488"/>
      <c r="AB911" s="594"/>
      <c r="AC911" s="595"/>
      <c r="AD911" s="596" t="str">
        <f>IF(AND(AC911&lt;&gt;"",S911&lt;&gt;""),NETWORKDAYS(AC911,S911,#REF!),"")</f>
        <v/>
      </c>
      <c r="AE911" s="596" t="str">
        <f ca="1">IF(AND(AD911="",AC911=""),"",IF(OR(AD911&lt;&gt;"",O911="*CANCELADO"),"",NETWORKDAYS(AC911,TODAY(),#REF!)))</f>
        <v/>
      </c>
      <c r="AF911" s="597" t="str">
        <f>IFERROR(INDEX(produtos_escape2!M:M,MATCH(Controle!H911,produtos_escape2!A:A,0)),"")</f>
        <v xml:space="preserve">MIDAZOLAM SOLUÇAO INJETAVEL 15 MG AMPOLA 3 ML </v>
      </c>
    </row>
    <row r="912" spans="1:32" ht="14.25" customHeight="1">
      <c r="A912" s="176" t="s">
        <v>8760</v>
      </c>
      <c r="B912" s="176" t="s">
        <v>3608</v>
      </c>
      <c r="C912" s="177">
        <v>44034</v>
      </c>
      <c r="D912" s="176" t="s">
        <v>9514</v>
      </c>
      <c r="E912" s="176" t="s">
        <v>3009</v>
      </c>
      <c r="F912" s="259" t="s">
        <v>9515</v>
      </c>
      <c r="G912" s="176">
        <v>1</v>
      </c>
      <c r="H912" s="178">
        <v>90188</v>
      </c>
      <c r="I912" s="592">
        <f t="shared" si="31"/>
        <v>1</v>
      </c>
      <c r="J912" s="178" t="s">
        <v>816</v>
      </c>
      <c r="K912" s="178" t="s">
        <v>816</v>
      </c>
      <c r="L912" s="275" t="str">
        <f>IF(H:H=0,"",IF(ISERROR(VLOOKUP(H:H,produtos_escape2!$A$2:$B$2794,2,FALSE)),"Código não cadastrado",(VLOOKUP(H:H,produtos_escape2!$A$2:$B$2794,2,FALSE))))</f>
        <v>ATENOLOL COMPRIMIDO 50 MG</v>
      </c>
      <c r="M912" s="593" t="str">
        <f>IF(H:H=0,"",IF(ISERROR(VLOOKUP(H:H,produtos_escape2!$A$2:$D$2794,2,FALSE)),"Código não cadastrado",(VLOOKUP(H:H,produtos_escape2!$A$2:$D$2794,4,FALSE))))</f>
        <v>CP</v>
      </c>
      <c r="N912" s="486">
        <v>600</v>
      </c>
      <c r="O912" s="176" t="s">
        <v>4379</v>
      </c>
      <c r="P912" s="486">
        <v>600</v>
      </c>
      <c r="Q912" s="247">
        <v>0.55000000000000004</v>
      </c>
      <c r="R912" s="246">
        <f t="shared" ref="R912:R943" si="32">P912*Q912</f>
        <v>330</v>
      </c>
      <c r="S912" s="177">
        <v>44049</v>
      </c>
      <c r="T912" s="182">
        <v>13959</v>
      </c>
      <c r="U912" s="177">
        <v>44050</v>
      </c>
      <c r="V912" s="177">
        <v>44050</v>
      </c>
      <c r="W912" s="177">
        <v>44055</v>
      </c>
      <c r="X912" s="176">
        <v>63313</v>
      </c>
      <c r="Y912" s="177">
        <v>44061</v>
      </c>
      <c r="Z912" s="415">
        <v>4</v>
      </c>
      <c r="AA912" s="488"/>
      <c r="AB912" s="594"/>
      <c r="AC912" s="595"/>
      <c r="AD912" s="596" t="str">
        <f>IF(AND(AC912&lt;&gt;"",S912&lt;&gt;""),NETWORKDAYS(AC912,S912,#REF!),"")</f>
        <v/>
      </c>
      <c r="AE912" s="596" t="str">
        <f ca="1">IF(AND(AD912="",AC912=""),"",IF(OR(AD912&lt;&gt;"",O912="*CANCELADO"),"",NETWORKDAYS(AC912,TODAY(),#REF!)))</f>
        <v/>
      </c>
      <c r="AF912" s="597" t="str">
        <f>IFERROR(INDEX(produtos_escape2!M:M,MATCH(Controle!H912,produtos_escape2!A:A,0)),"")</f>
        <v>ATENOLOL COMPRIMIDO 50 MG</v>
      </c>
    </row>
    <row r="913" spans="1:32" ht="14.25" customHeight="1">
      <c r="A913" s="176" t="s">
        <v>8764</v>
      </c>
      <c r="B913" s="176" t="s">
        <v>3608</v>
      </c>
      <c r="C913" s="177">
        <v>44034</v>
      </c>
      <c r="D913" s="176" t="s">
        <v>9516</v>
      </c>
      <c r="E913" s="176" t="s">
        <v>1866</v>
      </c>
      <c r="F913" s="259" t="s">
        <v>9517</v>
      </c>
      <c r="G913" s="176">
        <v>1</v>
      </c>
      <c r="H913" s="178">
        <v>92408</v>
      </c>
      <c r="I913" s="592">
        <f t="shared" si="31"/>
        <v>4</v>
      </c>
      <c r="J913" s="178" t="s">
        <v>816</v>
      </c>
      <c r="K913" s="178" t="s">
        <v>816</v>
      </c>
      <c r="L913" s="275"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913" s="593" t="str">
        <f>IF(H:H=0,"",IF(ISERROR(VLOOKUP(H:H,produtos_escape2!$A$2:$D$2794,2,FALSE)),"Código não cadastrado",(VLOOKUP(H:H,produtos_escape2!$A$2:$D$2794,4,FALSE))))</f>
        <v>UN</v>
      </c>
      <c r="N913" s="486">
        <v>100000</v>
      </c>
      <c r="O913" s="176" t="s">
        <v>7896</v>
      </c>
      <c r="P913" s="486">
        <v>60000</v>
      </c>
      <c r="Q913" s="247">
        <v>0.39989999999999998</v>
      </c>
      <c r="R913" s="246">
        <f t="shared" si="32"/>
        <v>23994</v>
      </c>
      <c r="S913" s="177">
        <v>44040</v>
      </c>
      <c r="T913" s="182">
        <v>44039</v>
      </c>
      <c r="U913" s="177">
        <v>44049</v>
      </c>
      <c r="V913" s="177">
        <v>44050</v>
      </c>
      <c r="W913" s="177">
        <v>44055</v>
      </c>
      <c r="X913" s="176">
        <v>63820</v>
      </c>
      <c r="Y913" s="177">
        <v>44061</v>
      </c>
      <c r="Z913" s="415">
        <v>4</v>
      </c>
      <c r="AA913" s="488"/>
      <c r="AB913" s="594"/>
      <c r="AC913" s="595"/>
      <c r="AD913" s="596" t="str">
        <f>IF(AND(AC913&lt;&gt;"",S913&lt;&gt;""),NETWORKDAYS(AC913,S913,#REF!),"")</f>
        <v/>
      </c>
      <c r="AE913" s="596" t="str">
        <f ca="1">IF(AND(AD913="",AC913=""),"",IF(OR(AD913&lt;&gt;"",O913="*CANCELADO"),"",NETWORKDAYS(AC913,TODAY(),#REF!)))</f>
        <v/>
      </c>
      <c r="AF913" s="597" t="str">
        <f>IFERROR(INDEX(produtos_escape2!M:M,MATCH(Controle!H913,produtos_escape2!A:A,0)),"")</f>
        <v>LUVA DE PROCEDIMENTO NÃO ESTÉRIL DE LÁTEX TAMANHO "M"</v>
      </c>
    </row>
    <row r="914" spans="1:32" ht="14.25" customHeight="1">
      <c r="A914" s="176" t="s">
        <v>8764</v>
      </c>
      <c r="B914" s="176" t="s">
        <v>3608</v>
      </c>
      <c r="C914" s="177">
        <v>44034</v>
      </c>
      <c r="D914" s="176" t="s">
        <v>9516</v>
      </c>
      <c r="E914" s="176" t="s">
        <v>1866</v>
      </c>
      <c r="F914" s="259" t="s">
        <v>9517</v>
      </c>
      <c r="G914" s="176">
        <v>2</v>
      </c>
      <c r="H914" s="178">
        <v>92409</v>
      </c>
      <c r="I914" s="592">
        <f t="shared" si="31"/>
        <v>3</v>
      </c>
      <c r="J914" s="178" t="s">
        <v>816</v>
      </c>
      <c r="K914" s="178" t="s">
        <v>816</v>
      </c>
      <c r="L914" s="275"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914" s="593" t="str">
        <f>IF(H:H=0,"",IF(ISERROR(VLOOKUP(H:H,produtos_escape2!$A$2:$D$2794,2,FALSE)),"Código não cadastrado",(VLOOKUP(H:H,produtos_escape2!$A$2:$D$2794,4,FALSE))))</f>
        <v>UN</v>
      </c>
      <c r="N914" s="486">
        <v>100000</v>
      </c>
      <c r="O914" s="176" t="s">
        <v>7268</v>
      </c>
      <c r="P914" s="486">
        <v>60000</v>
      </c>
      <c r="Q914" s="247">
        <v>0.38</v>
      </c>
      <c r="R914" s="246">
        <f t="shared" si="32"/>
        <v>22800</v>
      </c>
      <c r="S914" s="177">
        <v>44040</v>
      </c>
      <c r="T914" s="182">
        <v>14402</v>
      </c>
      <c r="U914" s="177">
        <v>44040</v>
      </c>
      <c r="V914" s="177">
        <v>44041</v>
      </c>
      <c r="W914" s="177">
        <v>44043</v>
      </c>
      <c r="X914" s="176">
        <v>63815</v>
      </c>
      <c r="Y914" s="177">
        <v>44061</v>
      </c>
      <c r="Z914" s="415">
        <v>4</v>
      </c>
      <c r="AA914" s="488"/>
      <c r="AB914" s="594"/>
      <c r="AC914" s="595"/>
      <c r="AD914" s="596" t="str">
        <f>IF(AND(AC914&lt;&gt;"",S914&lt;&gt;""),NETWORKDAYS(AC914,S914,#REF!),"")</f>
        <v/>
      </c>
      <c r="AE914" s="596" t="str">
        <f ca="1">IF(AND(AD914="",AC914=""),"",IF(OR(AD914&lt;&gt;"",O914="*CANCELADO"),"",NETWORKDAYS(AC914,TODAY(),#REF!)))</f>
        <v/>
      </c>
      <c r="AF914" s="597" t="str">
        <f>IFERROR(INDEX(produtos_escape2!M:M,MATCH(Controle!H914,produtos_escape2!A:A,0)),"")</f>
        <v>LUVA DE PROCEDIMENTO NÃO ESTÉRIL DE LÁTEX TAMANHO "G"</v>
      </c>
    </row>
    <row r="915" spans="1:32" ht="14.25" customHeight="1">
      <c r="A915" s="176" t="s">
        <v>7414</v>
      </c>
      <c r="B915" s="176" t="s">
        <v>1687</v>
      </c>
      <c r="C915" s="177">
        <v>44034</v>
      </c>
      <c r="D915" s="176" t="s">
        <v>9518</v>
      </c>
      <c r="E915" s="176" t="s">
        <v>3008</v>
      </c>
      <c r="F915" s="259" t="s">
        <v>9519</v>
      </c>
      <c r="G915" s="176">
        <v>1</v>
      </c>
      <c r="H915" s="178" t="s">
        <v>9520</v>
      </c>
      <c r="I915" s="592">
        <f t="shared" si="31"/>
        <v>1</v>
      </c>
      <c r="J915" s="178"/>
      <c r="K915" s="178"/>
      <c r="L915" s="275" t="str">
        <f>IF(H:H=0,"",IF(ISERROR(VLOOKUP(H:H,produtos_escape2!$A$2:$B$2794,2,FALSE)),"Código não cadastrado",(VLOOKUP(H:H,produtos_escape2!$A$2:$B$2794,2,FALSE))))</f>
        <v>Conserto de INCUBADORA,Marca FANEM, Modelo IT 158 TS, Nº Patrimônio 159422 .</v>
      </c>
      <c r="M915" s="593" t="str">
        <f>IF(H:H=0,"",IF(ISERROR(VLOOKUP(H:H,produtos_escape2!$A$2:$D$2794,2,FALSE)),"Código não cadastrado",(VLOOKUP(H:H,produtos_escape2!$A$2:$D$2794,4,FALSE))))</f>
        <v>Serviço</v>
      </c>
      <c r="N915" s="486">
        <v>1</v>
      </c>
      <c r="O915" s="176" t="s">
        <v>8252</v>
      </c>
      <c r="P915" s="486">
        <v>1</v>
      </c>
      <c r="Q915" s="247">
        <v>3070.45</v>
      </c>
      <c r="R915" s="246">
        <f t="shared" si="32"/>
        <v>3070.45</v>
      </c>
      <c r="S915" s="177">
        <v>44097</v>
      </c>
      <c r="T915" s="182">
        <v>6044</v>
      </c>
      <c r="U915" s="177">
        <v>44103</v>
      </c>
      <c r="V915" s="177">
        <v>44104</v>
      </c>
      <c r="W915" s="177">
        <v>44105</v>
      </c>
      <c r="X915" s="176">
        <v>14633</v>
      </c>
      <c r="Y915" s="177">
        <v>44141</v>
      </c>
      <c r="Z915" s="415">
        <v>6</v>
      </c>
      <c r="AA915" s="488"/>
      <c r="AB915" s="594"/>
      <c r="AC915" s="595"/>
      <c r="AD915" s="596" t="str">
        <f>IF(AND(AC915&lt;&gt;"",S915&lt;&gt;""),NETWORKDAYS(AC915,S915,#REF!),"")</f>
        <v/>
      </c>
      <c r="AE915" s="596" t="str">
        <f ca="1">IF(AND(AD915="",AC915=""),"",IF(OR(AD915&lt;&gt;"",O915="*CANCELADO"),"",NETWORKDAYS(AC915,TODAY(),#REF!)))</f>
        <v/>
      </c>
      <c r="AF915" s="597">
        <f>IFERROR(INDEX(produtos_escape2!M:M,MATCH(Controle!H915,produtos_escape2!A:A,0)),"")</f>
        <v>0</v>
      </c>
    </row>
    <row r="916" spans="1:32" ht="14.25" customHeight="1">
      <c r="A916" s="176" t="s">
        <v>7420</v>
      </c>
      <c r="B916" s="176" t="s">
        <v>1687</v>
      </c>
      <c r="C916" s="177">
        <v>44034</v>
      </c>
      <c r="D916" s="176" t="s">
        <v>9522</v>
      </c>
      <c r="E916" s="176" t="s">
        <v>3008</v>
      </c>
      <c r="F916" s="259" t="s">
        <v>9523</v>
      </c>
      <c r="G916" s="176">
        <v>2</v>
      </c>
      <c r="H916" s="178" t="s">
        <v>9525</v>
      </c>
      <c r="I916" s="592">
        <f t="shared" si="31"/>
        <v>1</v>
      </c>
      <c r="J916" s="178"/>
      <c r="K916" s="178"/>
      <c r="L916" s="275" t="str">
        <f>IF(H:H=0,"",IF(ISERROR(VLOOKUP(H:H,produtos_escape2!$A$2:$B$2794,2,FALSE)),"Código não cadastrado",(VLOOKUP(H:H,produtos_escape2!$A$2:$B$2794,2,FALSE))))</f>
        <v>CONSERTO DE BERÇO AQUECIDO - Marca GIGANTE, Modelo BA-UTI, Nº Patrimônio 419668</v>
      </c>
      <c r="M916" s="593" t="str">
        <f>IF(H:H=0,"",IF(ISERROR(VLOOKUP(H:H,produtos_escape2!$A$2:$D$2794,2,FALSE)),"Código não cadastrado",(VLOOKUP(H:H,produtos_escape2!$A$2:$D$2794,4,FALSE))))</f>
        <v>Serviço</v>
      </c>
      <c r="N916" s="486">
        <v>1</v>
      </c>
      <c r="O916" s="176" t="s">
        <v>4433</v>
      </c>
      <c r="P916" s="486">
        <v>1</v>
      </c>
      <c r="Q916" s="247">
        <v>400</v>
      </c>
      <c r="R916" s="246">
        <f t="shared" si="32"/>
        <v>400</v>
      </c>
      <c r="S916" s="177">
        <v>44097</v>
      </c>
      <c r="T916" s="182"/>
      <c r="U916" s="177"/>
      <c r="V916" s="177"/>
      <c r="W916" s="177"/>
      <c r="X916" s="176"/>
      <c r="Y916" s="177"/>
      <c r="Z916" s="415">
        <v>6</v>
      </c>
      <c r="AA916" s="488"/>
      <c r="AB916" s="594"/>
      <c r="AC916" s="595"/>
      <c r="AD916" s="596" t="str">
        <f>IF(AND(AC916&lt;&gt;"",S916&lt;&gt;""),NETWORKDAYS(AC916,S916,#REF!),"")</f>
        <v/>
      </c>
      <c r="AE916" s="596" t="str">
        <f ca="1">IF(AND(AD916="",AC916=""),"",IF(OR(AD916&lt;&gt;"",O916="*CANCELADO"),"",NETWORKDAYS(AC916,TODAY(),#REF!)))</f>
        <v/>
      </c>
      <c r="AF916" s="597">
        <f>IFERROR(INDEX(produtos_escape2!M:M,MATCH(Controle!H916,produtos_escape2!A:A,0)),"")</f>
        <v>0</v>
      </c>
    </row>
    <row r="917" spans="1:32" ht="14.25" customHeight="1">
      <c r="A917" s="176" t="s">
        <v>7420</v>
      </c>
      <c r="B917" s="176" t="s">
        <v>1687</v>
      </c>
      <c r="C917" s="177">
        <v>44034</v>
      </c>
      <c r="D917" s="176" t="s">
        <v>9522</v>
      </c>
      <c r="E917" s="176" t="s">
        <v>3008</v>
      </c>
      <c r="F917" s="259" t="s">
        <v>9523</v>
      </c>
      <c r="G917" s="176">
        <v>3</v>
      </c>
      <c r="H917" s="178" t="s">
        <v>3132</v>
      </c>
      <c r="I917" s="592">
        <f t="shared" si="31"/>
        <v>1</v>
      </c>
      <c r="J917" s="178"/>
      <c r="K917" s="178"/>
      <c r="L917" s="275" t="str">
        <f>IF(H:H=0,"",IF(ISERROR(VLOOKUP(H:H,produtos_escape2!$A$2:$B$2794,2,FALSE)),"Código não cadastrado",(VLOOKUP(H:H,produtos_escape2!$A$2:$B$2794,2,FALSE))))</f>
        <v>CONSERTO DE Berço Aquecido da marca GIGANTE, modelo BA/UTI Chapa patrimonial n° 357292.</v>
      </c>
      <c r="M917" s="593" t="str">
        <f>IF(H:H=0,"",IF(ISERROR(VLOOKUP(H:H,produtos_escape2!$A$2:$D$2794,2,FALSE)),"Código não cadastrado",(VLOOKUP(H:H,produtos_escape2!$A$2:$D$2794,4,FALSE))))</f>
        <v>Serviço</v>
      </c>
      <c r="N917" s="486">
        <v>1</v>
      </c>
      <c r="O917" s="176" t="s">
        <v>4433</v>
      </c>
      <c r="P917" s="486">
        <v>1</v>
      </c>
      <c r="Q917" s="247">
        <v>400</v>
      </c>
      <c r="R917" s="246">
        <f t="shared" si="32"/>
        <v>400</v>
      </c>
      <c r="S917" s="177">
        <v>44097</v>
      </c>
      <c r="T917" s="182"/>
      <c r="U917" s="177"/>
      <c r="V917" s="177"/>
      <c r="W917" s="177"/>
      <c r="X917" s="176"/>
      <c r="Y917" s="177"/>
      <c r="Z917" s="415">
        <v>6</v>
      </c>
      <c r="AA917" s="488"/>
      <c r="AB917" s="594"/>
      <c r="AC917" s="595"/>
      <c r="AD917" s="596" t="str">
        <f>IF(AND(AC917&lt;&gt;"",S917&lt;&gt;""),NETWORKDAYS(AC917,S917,#REF!),"")</f>
        <v/>
      </c>
      <c r="AE917" s="596" t="str">
        <f ca="1">IF(AND(AD917="",AC917=""),"",IF(OR(AD917&lt;&gt;"",O917="*CANCELADO"),"",NETWORKDAYS(AC917,TODAY(),#REF!)))</f>
        <v/>
      </c>
      <c r="AF917" s="597">
        <f>IFERROR(INDEX(produtos_escape2!M:M,MATCH(Controle!H917,produtos_escape2!A:A,0)),"")</f>
        <v>0</v>
      </c>
    </row>
    <row r="918" spans="1:32" ht="14.25" customHeight="1">
      <c r="A918" s="176" t="s">
        <v>7420</v>
      </c>
      <c r="B918" s="176" t="s">
        <v>1687</v>
      </c>
      <c r="C918" s="177">
        <v>44034</v>
      </c>
      <c r="D918" s="176" t="s">
        <v>9522</v>
      </c>
      <c r="E918" s="176" t="s">
        <v>3008</v>
      </c>
      <c r="F918" s="259" t="s">
        <v>9523</v>
      </c>
      <c r="G918" s="176">
        <v>1</v>
      </c>
      <c r="H918" s="178" t="s">
        <v>9524</v>
      </c>
      <c r="I918" s="592">
        <f t="shared" si="31"/>
        <v>1</v>
      </c>
      <c r="J918" s="178"/>
      <c r="K918" s="178"/>
      <c r="L918" s="275" t="str">
        <f>IF(H:H=0,"",IF(ISERROR(VLOOKUP(H:H,produtos_escape2!$A$2:$B$2794,2,FALSE)),"Código não cadastrado",(VLOOKUP(H:H,produtos_escape2!$A$2:$B$2794,2,FALSE))))</f>
        <v>CONSERTO DE BERÇO AQUECIDO -Marca FANEM, Modelo Intensive Care Unit 2085, Nº Patrimônio 1354783</v>
      </c>
      <c r="M918" s="593" t="str">
        <f>IF(H:H=0,"",IF(ISERROR(VLOOKUP(H:H,produtos_escape2!$A$2:$D$2794,2,FALSE)),"Código não cadastrado",(VLOOKUP(H:H,produtos_escape2!$A$2:$D$2794,4,FALSE))))</f>
        <v>Serviço</v>
      </c>
      <c r="N918" s="486">
        <v>1</v>
      </c>
      <c r="O918" s="176" t="s">
        <v>8252</v>
      </c>
      <c r="P918" s="486">
        <v>1</v>
      </c>
      <c r="Q918" s="247">
        <v>4063.95</v>
      </c>
      <c r="R918" s="246">
        <f t="shared" si="32"/>
        <v>4063.95</v>
      </c>
      <c r="S918" s="177">
        <v>44097</v>
      </c>
      <c r="T918" s="182">
        <v>6043</v>
      </c>
      <c r="U918" s="177">
        <v>44103</v>
      </c>
      <c r="V918" s="177">
        <v>44118</v>
      </c>
      <c r="W918" s="177">
        <v>44123</v>
      </c>
      <c r="X918" s="176">
        <v>18095</v>
      </c>
      <c r="Y918" s="177">
        <v>44146</v>
      </c>
      <c r="Z918" s="415">
        <v>6</v>
      </c>
      <c r="AA918" s="488"/>
      <c r="AB918" s="594"/>
      <c r="AC918" s="595"/>
      <c r="AD918" s="596" t="str">
        <f>IF(AND(AC918&lt;&gt;"",S918&lt;&gt;""),NETWORKDAYS(AC918,S918,#REF!),"")</f>
        <v/>
      </c>
      <c r="AE918" s="596" t="str">
        <f ca="1">IF(AND(AD918="",AC918=""),"",IF(OR(AD918&lt;&gt;"",O918="*CANCELADO"),"",NETWORKDAYS(AC918,TODAY(),#REF!)))</f>
        <v/>
      </c>
      <c r="AF918" s="597">
        <f>IFERROR(INDEX(produtos_escape2!M:M,MATCH(Controle!H918,produtos_escape2!A:A,0)),"")</f>
        <v>0</v>
      </c>
    </row>
    <row r="919" spans="1:32" ht="14.25" customHeight="1">
      <c r="A919" s="176" t="s">
        <v>8710</v>
      </c>
      <c r="B919" s="176" t="s">
        <v>3608</v>
      </c>
      <c r="C919" s="177">
        <v>44034</v>
      </c>
      <c r="D919" s="176" t="s">
        <v>9529</v>
      </c>
      <c r="E919" s="176" t="s">
        <v>1867</v>
      </c>
      <c r="F919" s="259" t="s">
        <v>9530</v>
      </c>
      <c r="G919" s="176">
        <v>1</v>
      </c>
      <c r="H919" s="178">
        <v>90261</v>
      </c>
      <c r="I919" s="592">
        <f t="shared" si="31"/>
        <v>5</v>
      </c>
      <c r="J919" s="178" t="s">
        <v>816</v>
      </c>
      <c r="K919" s="178" t="s">
        <v>816</v>
      </c>
      <c r="L919" s="275" t="str">
        <f>IF(H:H=0,"",IF(ISERROR(VLOOKUP(H:H,produtos_escape2!$A$2:$B$2794,2,FALSE)),"Código não cadastrado",(VLOOKUP(H:H,produtos_escape2!$A$2:$B$2794,2,FALSE))))</f>
        <v>DOPAMINA (CLORIDRATO) SOLUCAO INJETAVEL 5 MG/ML AMPOLA 10 ML</v>
      </c>
      <c r="M919" s="593" t="str">
        <f>IF(H:H=0,"",IF(ISERROR(VLOOKUP(H:H,produtos_escape2!$A$2:$D$2794,2,FALSE)),"Código não cadastrado",(VLOOKUP(H:H,produtos_escape2!$A$2:$D$2794,4,FALSE))))</f>
        <v>AMP</v>
      </c>
      <c r="N919" s="486">
        <v>300</v>
      </c>
      <c r="O919" s="176" t="s">
        <v>1868</v>
      </c>
      <c r="P919" s="486"/>
      <c r="Q919" s="247"/>
      <c r="R919" s="246">
        <f t="shared" si="32"/>
        <v>0</v>
      </c>
      <c r="S919" s="177">
        <v>44047</v>
      </c>
      <c r="T919" s="182"/>
      <c r="U919" s="177"/>
      <c r="V919" s="177"/>
      <c r="W919" s="177"/>
      <c r="X919" s="176"/>
      <c r="Y919" s="177"/>
      <c r="Z919" s="415">
        <v>4</v>
      </c>
      <c r="AA919" s="488" t="s">
        <v>7474</v>
      </c>
      <c r="AB919" s="594"/>
      <c r="AC919" s="595"/>
      <c r="AD919" s="596" t="str">
        <f>IF(AND(AC919&lt;&gt;"",S919&lt;&gt;""),NETWORKDAYS(AC919,S919,#REF!),"")</f>
        <v/>
      </c>
      <c r="AE919" s="596" t="str">
        <f ca="1">IF(AND(AD919="",AC919=""),"",IF(OR(AD919&lt;&gt;"",O919="*CANCELADO"),"",NETWORKDAYS(AC919,TODAY(),#REF!)))</f>
        <v/>
      </c>
      <c r="AF919" s="597" t="str">
        <f>IFERROR(INDEX(produtos_escape2!M:M,MATCH(Controle!H919,produtos_escape2!A:A,0)),"")</f>
        <v>DOPAMINA (CLORIDRATO) SOLUCAO INJETAVEL 5 MG/ML AMPOLA 10 ML</v>
      </c>
    </row>
    <row r="920" spans="1:32" ht="14.25" customHeight="1">
      <c r="A920" s="176" t="s">
        <v>8039</v>
      </c>
      <c r="B920" s="176" t="s">
        <v>7207</v>
      </c>
      <c r="C920" s="177">
        <v>44035</v>
      </c>
      <c r="D920" s="176" t="s">
        <v>9549</v>
      </c>
      <c r="E920" s="176" t="s">
        <v>3009</v>
      </c>
      <c r="F920" s="259" t="s">
        <v>9550</v>
      </c>
      <c r="G920" s="176">
        <v>1</v>
      </c>
      <c r="H920" s="178">
        <v>31725</v>
      </c>
      <c r="I920" s="592">
        <f t="shared" si="31"/>
        <v>1</v>
      </c>
      <c r="J920" s="178" t="s">
        <v>816</v>
      </c>
      <c r="K920" s="178" t="s">
        <v>816</v>
      </c>
      <c r="L920" s="275" t="str">
        <f>IF(H:H=0,"",IF(ISERROR(VLOOKUP(H:H,produtos_escape2!$A$2:$B$2794,2,FALSE)),"Código não cadastrado",(VLOOKUP(H:H,produtos_escape2!$A$2:$B$2794,2,FALSE))))</f>
        <v>LÂMPADAS 80W x 22.8V PARA FOCO CIRÚRGICO DE TETO DA MARCA MAQUET cód ARD569005996  ( 1 SPARE  BULB BLUE 80 IRC ( 22,8V/80W).</v>
      </c>
      <c r="M920" s="593" t="str">
        <f>IF(H:H=0,"",IF(ISERROR(VLOOKUP(H:H,produtos_escape2!$A$2:$D$2794,2,FALSE)),"Código não cadastrado",(VLOOKUP(H:H,produtos_escape2!$A$2:$D$2794,4,FALSE))))</f>
        <v>UN</v>
      </c>
      <c r="N920" s="486">
        <v>50</v>
      </c>
      <c r="O920" s="176" t="s">
        <v>3407</v>
      </c>
      <c r="P920" s="486">
        <v>50</v>
      </c>
      <c r="Q920" s="247">
        <v>185</v>
      </c>
      <c r="R920" s="246">
        <f t="shared" si="32"/>
        <v>9250</v>
      </c>
      <c r="S920" s="177">
        <v>44043</v>
      </c>
      <c r="T920" s="182">
        <v>909</v>
      </c>
      <c r="U920" s="177">
        <v>44054</v>
      </c>
      <c r="V920" s="177">
        <v>44054</v>
      </c>
      <c r="W920" s="177">
        <v>44055</v>
      </c>
      <c r="X920" s="176">
        <v>63779</v>
      </c>
      <c r="Y920" s="177">
        <v>44061</v>
      </c>
      <c r="Z920" s="415">
        <v>4</v>
      </c>
      <c r="AA920" s="488" t="s">
        <v>9552</v>
      </c>
      <c r="AB920" s="594"/>
      <c r="AC920" s="595"/>
      <c r="AD920" s="596" t="str">
        <f>IF(AND(AC920&lt;&gt;"",S920&lt;&gt;""),NETWORKDAYS(AC920,S920,#REF!),"")</f>
        <v/>
      </c>
      <c r="AE920" s="596" t="str">
        <f ca="1">IF(AND(AD920="",AC920=""),"",IF(OR(AD920&lt;&gt;"",O920="*CANCELADO"),"",NETWORKDAYS(AC920,TODAY(),#REF!)))</f>
        <v/>
      </c>
      <c r="AF920" s="597" t="str">
        <f>IFERROR(INDEX(produtos_escape2!M:M,MATCH(Controle!H920,produtos_escape2!A:A,0)),"")</f>
        <v>LÂMPADAS DE FOCO CIRÚRGICO   MARCA MAQUET cód ARD569005996  ( 1 SPARE  BULB BLUE 80 IRC ( 22</v>
      </c>
    </row>
    <row r="921" spans="1:32" ht="14.25" customHeight="1">
      <c r="A921" s="176" t="s">
        <v>8049</v>
      </c>
      <c r="B921" s="203" t="s">
        <v>7207</v>
      </c>
      <c r="C921" s="351">
        <v>44036</v>
      </c>
      <c r="D921" s="203" t="s">
        <v>9553</v>
      </c>
      <c r="E921" s="203" t="s">
        <v>1865</v>
      </c>
      <c r="F921" s="259" t="s">
        <v>9554</v>
      </c>
      <c r="G921" s="176">
        <v>1</v>
      </c>
      <c r="H921" s="178">
        <v>62934</v>
      </c>
      <c r="I921" s="592">
        <f t="shared" si="31"/>
        <v>1</v>
      </c>
      <c r="J921" s="178" t="s">
        <v>816</v>
      </c>
      <c r="K921" s="178" t="s">
        <v>816</v>
      </c>
      <c r="L921" s="275" t="str">
        <f>IF(H:H=0,"",IF(ISERROR(VLOOKUP(H:H,produtos_escape2!$A$2:$B$2794,2,FALSE)),"Código não cadastrado",(VLOOKUP(H:H,produtos_escape2!$A$2:$B$2794,2,FALSE))))</f>
        <v>GELÉIA ECOGEL, Aplicação: monitor fetal, Apresentação: acondicionada em frasco com 1000 gramas.</v>
      </c>
      <c r="M921" s="593" t="str">
        <f>IF(H:H=0,"",IF(ISERROR(VLOOKUP(H:H,produtos_escape2!$A$2:$D$2794,2,FALSE)),"Código não cadastrado",(VLOOKUP(H:H,produtos_escape2!$A$2:$D$2794,4,FALSE))))</f>
        <v>TB</v>
      </c>
      <c r="N921" s="486">
        <v>200</v>
      </c>
      <c r="O921" s="176" t="s">
        <v>1868</v>
      </c>
      <c r="P921" s="486"/>
      <c r="Q921" s="247"/>
      <c r="R921" s="246">
        <f t="shared" si="32"/>
        <v>0</v>
      </c>
      <c r="S921" s="177">
        <v>44041</v>
      </c>
      <c r="T921" s="182"/>
      <c r="U921" s="177"/>
      <c r="V921" s="177"/>
      <c r="W921" s="177"/>
      <c r="X921" s="176"/>
      <c r="Y921" s="177"/>
      <c r="Z921" s="415">
        <v>4</v>
      </c>
      <c r="AA921" s="488" t="s">
        <v>9617</v>
      </c>
      <c r="AB921" s="594"/>
      <c r="AC921" s="595"/>
      <c r="AD921" s="596" t="str">
        <f>IF(AND(AC921&lt;&gt;"",S921&lt;&gt;""),NETWORKDAYS(AC921,S921,#REF!),"")</f>
        <v/>
      </c>
      <c r="AE921" s="596" t="str">
        <f ca="1">IF(AND(AD921="",AC921=""),"",IF(OR(AD921&lt;&gt;"",O921="*CANCELADO"),"",NETWORKDAYS(AC921,TODAY(),#REF!)))</f>
        <v/>
      </c>
      <c r="AF921" s="597" t="str">
        <f>IFERROR(INDEX(produtos_escape2!M:M,MATCH(Controle!H921,produtos_escape2!A:A,0)),"")</f>
        <v>GELÉIA ECOGEL</v>
      </c>
    </row>
    <row r="922" spans="1:32" ht="14.25" customHeight="1">
      <c r="A922" s="176" t="s">
        <v>8107</v>
      </c>
      <c r="B922" s="203" t="s">
        <v>7207</v>
      </c>
      <c r="C922" s="351">
        <v>44036</v>
      </c>
      <c r="D922" s="203" t="s">
        <v>9555</v>
      </c>
      <c r="E922" s="203" t="s">
        <v>1866</v>
      </c>
      <c r="F922" s="259" t="s">
        <v>9556</v>
      </c>
      <c r="G922" s="203">
        <v>1</v>
      </c>
      <c r="H922" s="178">
        <v>49185</v>
      </c>
      <c r="I922" s="592">
        <f t="shared" si="31"/>
        <v>2</v>
      </c>
      <c r="J922" s="178" t="s">
        <v>816</v>
      </c>
      <c r="K922" s="178" t="s">
        <v>816</v>
      </c>
      <c r="L922" s="275" t="str">
        <f>IF(H:H=0,"",IF(ISERROR(VLOOKUP(H:H,produtos_escape2!$A$2:$B$2794,2,FALSE)),"Código não cadastrado",(VLOOKUP(H:H,produtos_escape2!$A$2:$B$2794,2,FALSE))))</f>
        <v>FITA AUTOADESIVA HOSPITALAR,Material: confeccionada em duas faces, sendo o dorso em papel crepado tratado e outra face em adesivo acrílico que não deve deixar resíduos nas superfícies onde é aplicada, deve apresentar excelente adesão e ser resistente, Tamanho/Capacidade: 19mm x 50m, Características Adicionais: acondicionado em saco plástico individualmente, Forma De Apresentação: rolo com 19mm x 50m, Prazo de validade: 75% do prazo total de validade do produto, Unidade De Estoque: rolo (RL), Código SES: 049185, Unidade De Fornecimento: rolo com 19mm x 50m. ***A marca CIEX, não apresentou boa qualidade.***</v>
      </c>
      <c r="M922" s="593" t="str">
        <f>IF(H:H=0,"",IF(ISERROR(VLOOKUP(H:H,produtos_escape2!$A$2:$D$2794,2,FALSE)),"Código não cadastrado",(VLOOKUP(H:H,produtos_escape2!$A$2:$D$2794,4,FALSE))))</f>
        <v>RL</v>
      </c>
      <c r="N922" s="486">
        <v>3000</v>
      </c>
      <c r="O922" s="176" t="s">
        <v>3663</v>
      </c>
      <c r="P922" s="486">
        <v>1968</v>
      </c>
      <c r="Q922" s="247">
        <v>2.76</v>
      </c>
      <c r="R922" s="246">
        <f t="shared" si="32"/>
        <v>5431.6799999999994</v>
      </c>
      <c r="S922" s="177">
        <v>44040</v>
      </c>
      <c r="T922" s="182">
        <v>1240759</v>
      </c>
      <c r="U922" s="177">
        <v>44041</v>
      </c>
      <c r="V922" s="177">
        <v>44049</v>
      </c>
      <c r="W922" s="177">
        <v>44050</v>
      </c>
      <c r="X922" s="176">
        <v>63727</v>
      </c>
      <c r="Y922" s="177">
        <v>44061</v>
      </c>
      <c r="Z922" s="415">
        <v>4</v>
      </c>
      <c r="AA922" s="488"/>
      <c r="AB922" s="594"/>
      <c r="AC922" s="595"/>
      <c r="AD922" s="596" t="str">
        <f>IF(AND(AC922&lt;&gt;"",S922&lt;&gt;""),NETWORKDAYS(AC922,S922,#REF!),"")</f>
        <v/>
      </c>
      <c r="AE922" s="596" t="str">
        <f ca="1">IF(AND(AD922="",AC922=""),"",IF(OR(AD922&lt;&gt;"",O922="*CANCELADO"),"",NETWORKDAYS(AC922,TODAY(),#REF!)))</f>
        <v/>
      </c>
      <c r="AF922" s="597" t="str">
        <f>IFERROR(INDEX(produtos_escape2!M:M,MATCH(Controle!H922,produtos_escape2!A:A,0)),"")</f>
        <v>FITA AUTOADESIVA HOSPITALAR</v>
      </c>
    </row>
    <row r="923" spans="1:32" ht="14.25" customHeight="1">
      <c r="A923" s="176" t="s">
        <v>8762</v>
      </c>
      <c r="B923" s="203" t="s">
        <v>3608</v>
      </c>
      <c r="C923" s="351">
        <v>44035</v>
      </c>
      <c r="D923" s="203" t="s">
        <v>9557</v>
      </c>
      <c r="E923" s="203" t="s">
        <v>1866</v>
      </c>
      <c r="F923" s="516" t="s">
        <v>9558</v>
      </c>
      <c r="G923" s="203">
        <v>1</v>
      </c>
      <c r="H923" s="178">
        <v>90262</v>
      </c>
      <c r="I923" s="592">
        <f t="shared" si="31"/>
        <v>4</v>
      </c>
      <c r="J923" s="178" t="s">
        <v>816</v>
      </c>
      <c r="K923" s="178" t="s">
        <v>816</v>
      </c>
      <c r="L923" s="275" t="str">
        <f>IF(H:H=0,"",IF(ISERROR(VLOOKUP(H:H,produtos_escape2!$A$2:$B$2794,2,FALSE)),"Código não cadastrado",(VLOOKUP(H:H,produtos_escape2!$A$2:$B$2794,2,FALSE))))</f>
        <v>NOREPINEFRINA (HEMITARTARATO) SOLUCAO INJETAVEL 2 MG/ML (EQUIVALENTE A 1MG/ML DE NOREPINEFRINA BASE) AMPOLA 4 ML</v>
      </c>
      <c r="M923" s="593" t="str">
        <f>IF(H:H=0,"",IF(ISERROR(VLOOKUP(H:H,produtos_escape2!$A$2:$D$2794,2,FALSE)),"Código não cadastrado",(VLOOKUP(H:H,produtos_escape2!$A$2:$D$2794,4,FALSE))))</f>
        <v>AMP</v>
      </c>
      <c r="N923" s="486">
        <v>2500</v>
      </c>
      <c r="O923" s="176" t="s">
        <v>4398</v>
      </c>
      <c r="P923" s="486">
        <v>1650</v>
      </c>
      <c r="Q923" s="247">
        <v>9.99</v>
      </c>
      <c r="R923" s="246">
        <f t="shared" si="32"/>
        <v>16483.5</v>
      </c>
      <c r="S923" s="177">
        <v>44040</v>
      </c>
      <c r="T923" s="182">
        <v>1327029</v>
      </c>
      <c r="U923" s="177">
        <v>44040</v>
      </c>
      <c r="V923" s="177">
        <v>44042</v>
      </c>
      <c r="W923" s="177">
        <v>44048</v>
      </c>
      <c r="X923" s="176">
        <v>63809</v>
      </c>
      <c r="Y923" s="177">
        <v>44061</v>
      </c>
      <c r="Z923" s="415">
        <v>4</v>
      </c>
      <c r="AA923" s="488"/>
      <c r="AB923" s="594"/>
      <c r="AC923" s="595"/>
      <c r="AD923" s="596" t="str">
        <f>IF(AND(AC923&lt;&gt;"",S923&lt;&gt;""),NETWORKDAYS(AC923,S923,#REF!),"")</f>
        <v/>
      </c>
      <c r="AE923" s="596" t="str">
        <f ca="1">IF(AND(AD923="",AC923=""),"",IF(OR(AD923&lt;&gt;"",O923="*CANCELADO"),"",NETWORKDAYS(AC923,TODAY(),#REF!)))</f>
        <v/>
      </c>
      <c r="AF923" s="597" t="str">
        <f>IFERROR(INDEX(produtos_escape2!M:M,MATCH(Controle!H923,produtos_escape2!A:A,0)),"")</f>
        <v>NOREPINEFRINA (HEMITARTARATO</v>
      </c>
    </row>
    <row r="924" spans="1:32" ht="13.5" customHeight="1">
      <c r="A924" s="176" t="s">
        <v>8766</v>
      </c>
      <c r="B924" s="203" t="s">
        <v>3608</v>
      </c>
      <c r="C924" s="351">
        <v>44035</v>
      </c>
      <c r="D924" s="203" t="s">
        <v>9559</v>
      </c>
      <c r="E924" s="203" t="s">
        <v>3009</v>
      </c>
      <c r="F924" s="259" t="s">
        <v>9560</v>
      </c>
      <c r="G924" s="203">
        <v>1</v>
      </c>
      <c r="H924" s="178">
        <v>90230</v>
      </c>
      <c r="I924" s="592">
        <f t="shared" si="31"/>
        <v>2</v>
      </c>
      <c r="J924" s="178" t="s">
        <v>816</v>
      </c>
      <c r="K924" s="178" t="s">
        <v>816</v>
      </c>
      <c r="L924" s="275" t="str">
        <f>IF(H:H=0,"",IF(ISERROR(VLOOKUP(H:H,produtos_escape2!$A$2:$B$2794,2,FALSE)),"Código não cadastrado",(VLOOKUP(H:H,produtos_escape2!$A$2:$B$2794,2,FALSE))))</f>
        <v>SUXAMETONIO (CLORETO) PO PARA SOLUCAO INJETAVEL 100 MG FRASCO-AMPOLA</v>
      </c>
      <c r="M924" s="593" t="str">
        <f>IF(H:H=0,"",IF(ISERROR(VLOOKUP(H:H,produtos_escape2!$A$2:$D$2794,2,FALSE)),"Código não cadastrado",(VLOOKUP(H:H,produtos_escape2!$A$2:$D$2794,4,FALSE))))</f>
        <v>FA</v>
      </c>
      <c r="N924" s="486">
        <v>100</v>
      </c>
      <c r="O924" s="176" t="s">
        <v>7472</v>
      </c>
      <c r="P924" s="486">
        <v>100</v>
      </c>
      <c r="Q924" s="247">
        <v>55</v>
      </c>
      <c r="R924" s="246">
        <f t="shared" si="32"/>
        <v>5500</v>
      </c>
      <c r="S924" s="177">
        <v>44049</v>
      </c>
      <c r="T924" s="182">
        <v>24135</v>
      </c>
      <c r="U924" s="177">
        <v>44049</v>
      </c>
      <c r="V924" s="177">
        <v>44050</v>
      </c>
      <c r="W924" s="177">
        <v>44055</v>
      </c>
      <c r="X924" s="176">
        <v>63733</v>
      </c>
      <c r="Y924" s="177">
        <v>44061</v>
      </c>
      <c r="Z924" s="415">
        <v>4</v>
      </c>
      <c r="AA924" s="488"/>
      <c r="AB924" s="594"/>
      <c r="AC924" s="595"/>
      <c r="AD924" s="596" t="str">
        <f>IF(AND(AC924&lt;&gt;"",S924&lt;&gt;""),NETWORKDAYS(AC924,S924,#REF!),"")</f>
        <v/>
      </c>
      <c r="AE924" s="596" t="str">
        <f ca="1">IF(AND(AD924="",AC924=""),"",IF(OR(AD924&lt;&gt;"",O924="*CANCELADO"),"",NETWORKDAYS(AC924,TODAY(),#REF!)))</f>
        <v/>
      </c>
      <c r="AF924" s="597" t="str">
        <f>IFERROR(INDEX(produtos_escape2!M:M,MATCH(Controle!H924,produtos_escape2!A:A,0)),"")</f>
        <v>SUXAMETONIO (CLORETO) PO PARA SOLUCAO INJETAVEL 100 MG FRASCO-AMPOLA</v>
      </c>
    </row>
    <row r="925" spans="1:32" ht="14.25" customHeight="1">
      <c r="A925" s="176" t="s">
        <v>8768</v>
      </c>
      <c r="B925" s="203" t="s">
        <v>3608</v>
      </c>
      <c r="C925" s="351">
        <v>44035</v>
      </c>
      <c r="D925" s="203" t="s">
        <v>9561</v>
      </c>
      <c r="E925" s="203" t="s">
        <v>1866</v>
      </c>
      <c r="F925" s="259" t="s">
        <v>9562</v>
      </c>
      <c r="G925" s="203">
        <v>1</v>
      </c>
      <c r="H925" s="178">
        <v>31407</v>
      </c>
      <c r="I925" s="592">
        <f t="shared" si="31"/>
        <v>2</v>
      </c>
      <c r="J925" s="178" t="s">
        <v>816</v>
      </c>
      <c r="K925" s="178" t="s">
        <v>816</v>
      </c>
      <c r="L925" s="275" t="str">
        <f>IF(H:H=0,"",IF(ISERROR(VLOOKUP(H:H,produtos_escape2!$A$2:$B$2794,2,FALSE)),"Código não cadastrado",(VLOOKUP(H:H,produtos_escape2!$A$2:$B$2794,2,FALSE))))</f>
        <v>GLUTARALDEÍDO SOLUÇÃO A 2% PRÉ-ATIVADA  ACOMPANHADA DE FITA REAGENTE. Aplicação: Desinfecção de alto nível de endoscópios, colonoscópios e broncoscópios. Solução com tempo máximo de exposição dos artigos ao produto de até 30 minutos e o tempo de eficiência da solução em uso deverá ser no mínimo de 14 dias. O produto deverá estar em consonância com as resoluções Anvisa RDC nº 35/2010 e RDC nº 06/2013. Deverá ser acompanhada de no mínimo 15 (QUINZE) fitas teste para cada 5 Litros da solução.</v>
      </c>
      <c r="M925" s="593" t="str">
        <f>IF(H:H=0,"",IF(ISERROR(VLOOKUP(H:H,produtos_escape2!$A$2:$D$2794,2,FALSE)),"Código não cadastrado",(VLOOKUP(H:H,produtos_escape2!$A$2:$D$2794,4,FALSE))))</f>
        <v>LI</v>
      </c>
      <c r="N925" s="486">
        <v>60</v>
      </c>
      <c r="O925" s="176" t="s">
        <v>1868</v>
      </c>
      <c r="P925" s="486"/>
      <c r="Q925" s="247">
        <v>36</v>
      </c>
      <c r="R925" s="246">
        <f t="shared" si="32"/>
        <v>0</v>
      </c>
      <c r="S925" s="177">
        <v>44039</v>
      </c>
      <c r="T925" s="182"/>
      <c r="U925" s="177"/>
      <c r="V925" s="177"/>
      <c r="W925" s="177"/>
      <c r="X925" s="176"/>
      <c r="Y925" s="177"/>
      <c r="Z925" s="415">
        <v>4</v>
      </c>
      <c r="AA925" s="488" t="s">
        <v>7318</v>
      </c>
      <c r="AB925" s="594"/>
      <c r="AC925" s="595"/>
      <c r="AD925" s="596" t="str">
        <f>IF(AND(AC925&lt;&gt;"",S925&lt;&gt;""),NETWORKDAYS(AC925,S925,#REF!),"")</f>
        <v/>
      </c>
      <c r="AE925" s="596" t="str">
        <f ca="1">IF(AND(AD925="",AC925=""),"",IF(OR(AD925&lt;&gt;"",O925="*CANCELADO"),"",NETWORKDAYS(AC925,TODAY(),#REF!)))</f>
        <v/>
      </c>
      <c r="AF925" s="597" t="str">
        <f>IFERROR(INDEX(produtos_escape2!M:M,MATCH(Controle!H925,produtos_escape2!A:A,0)),"")</f>
        <v>GLUTARALDEÍDO SOLUÇÃO A 2% PRÉ-ATIVADA + FITA REAGENTE (MINIMO 50 FITAS/GALÃO)</v>
      </c>
    </row>
    <row r="926" spans="1:32" ht="14.25" customHeight="1">
      <c r="A926" s="176" t="s">
        <v>8770</v>
      </c>
      <c r="B926" s="203" t="s">
        <v>3608</v>
      </c>
      <c r="C926" s="351">
        <v>44036</v>
      </c>
      <c r="D926" s="203" t="s">
        <v>9564</v>
      </c>
      <c r="E926" s="203" t="s">
        <v>1867</v>
      </c>
      <c r="F926" s="259" t="s">
        <v>9565</v>
      </c>
      <c r="G926" s="203">
        <v>1</v>
      </c>
      <c r="H926" s="178">
        <v>95046</v>
      </c>
      <c r="I926" s="592">
        <f t="shared" si="31"/>
        <v>7</v>
      </c>
      <c r="J926" s="178" t="s">
        <v>816</v>
      </c>
      <c r="K926" s="178" t="s">
        <v>816</v>
      </c>
      <c r="L926" s="275"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926" s="593" t="str">
        <f>IF(H:H=0,"",IF(ISERROR(VLOOKUP(H:H,produtos_escape2!$A$2:$D$2794,2,FALSE)),"Código não cadastrado",(VLOOKUP(H:H,produtos_escape2!$A$2:$D$2794,4,FALSE))))</f>
        <v>FR</v>
      </c>
      <c r="N926" s="486">
        <v>120</v>
      </c>
      <c r="O926" s="176" t="s">
        <v>1868</v>
      </c>
      <c r="P926" s="486"/>
      <c r="Q926" s="247"/>
      <c r="R926" s="246">
        <f t="shared" si="32"/>
        <v>0</v>
      </c>
      <c r="S926" s="177">
        <v>44039</v>
      </c>
      <c r="T926" s="182"/>
      <c r="U926" s="177"/>
      <c r="V926" s="177"/>
      <c r="W926" s="177"/>
      <c r="X926" s="176"/>
      <c r="Y926" s="177"/>
      <c r="Z926" s="415">
        <v>4</v>
      </c>
      <c r="AA926" s="488" t="s">
        <v>9583</v>
      </c>
      <c r="AB926" s="594"/>
      <c r="AC926" s="595"/>
      <c r="AD926" s="596" t="str">
        <f>IF(AND(AC926&lt;&gt;"",S926&lt;&gt;""),NETWORKDAYS(AC926,S926,#REF!),"")</f>
        <v/>
      </c>
      <c r="AE926" s="596" t="str">
        <f ca="1">IF(AND(AD926="",AC926=""),"",IF(OR(AD926&lt;&gt;"",O926="*CANCELADO"),"",NETWORKDAYS(AC926,TODAY(),#REF!)))</f>
        <v/>
      </c>
      <c r="AF926" s="597" t="str">
        <f>IFERROR(INDEX(produtos_escape2!M:M,MATCH(Controle!H926,produtos_escape2!A:A,0)),"")</f>
        <v>ALCOOL ETILICO ABSOLUTO 99</v>
      </c>
    </row>
    <row r="927" spans="1:32" ht="14.25" customHeight="1">
      <c r="A927" s="176" t="s">
        <v>8776</v>
      </c>
      <c r="B927" s="203" t="s">
        <v>3608</v>
      </c>
      <c r="C927" s="351">
        <v>44036</v>
      </c>
      <c r="D927" s="203" t="s">
        <v>9566</v>
      </c>
      <c r="E927" s="203" t="s">
        <v>3009</v>
      </c>
      <c r="F927" s="259" t="s">
        <v>9567</v>
      </c>
      <c r="G927" s="203">
        <v>1</v>
      </c>
      <c r="H927" s="178">
        <v>30972</v>
      </c>
      <c r="I927" s="592">
        <f t="shared" si="31"/>
        <v>7</v>
      </c>
      <c r="J927" s="178" t="s">
        <v>816</v>
      </c>
      <c r="K927" s="178" t="s">
        <v>816</v>
      </c>
      <c r="L927" s="275"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927" s="593" t="str">
        <f>IF(H:H=0,"",IF(ISERROR(VLOOKUP(H:H,produtos_escape2!$A$2:$D$2794,2,FALSE)),"Código não cadastrado",(VLOOKUP(H:H,produtos_escape2!$A$2:$D$2794,4,FALSE))))</f>
        <v>UN</v>
      </c>
      <c r="N927" s="486">
        <v>1000</v>
      </c>
      <c r="O927" s="176" t="s">
        <v>7472</v>
      </c>
      <c r="P927" s="486">
        <v>1000</v>
      </c>
      <c r="Q927" s="247">
        <v>1.05</v>
      </c>
      <c r="R927" s="246">
        <f t="shared" si="32"/>
        <v>1050</v>
      </c>
      <c r="S927" s="177">
        <v>44043</v>
      </c>
      <c r="T927" s="182">
        <v>24079</v>
      </c>
      <c r="U927" s="177">
        <v>44047</v>
      </c>
      <c r="V927" s="177">
        <v>44048</v>
      </c>
      <c r="W927" s="177">
        <v>44055</v>
      </c>
      <c r="X927" s="176">
        <v>63385</v>
      </c>
      <c r="Y927" s="177">
        <v>44061</v>
      </c>
      <c r="Z927" s="415">
        <v>4</v>
      </c>
      <c r="AA927" s="488"/>
      <c r="AB927" s="594"/>
      <c r="AC927" s="595"/>
      <c r="AD927" s="596" t="str">
        <f>IF(AND(AC927&lt;&gt;"",S927&lt;&gt;""),NETWORKDAYS(AC927,S927,#REF!),"")</f>
        <v/>
      </c>
      <c r="AE927" s="596" t="str">
        <f ca="1">IF(AND(AD927="",AC927=""),"",IF(OR(AD927&lt;&gt;"",O927="*CANCELADO"),"",NETWORKDAYS(AC927,TODAY(),#REF!)))</f>
        <v/>
      </c>
      <c r="AF927" s="597" t="str">
        <f>IFERROR(INDEX(produtos_escape2!M:M,MATCH(Controle!H927,produtos_escape2!A:A,0)),"")</f>
        <v>CATETER NASAL ADULTO</v>
      </c>
    </row>
    <row r="928" spans="1:32" ht="14.25" customHeight="1">
      <c r="A928" s="176" t="s">
        <v>8109</v>
      </c>
      <c r="B928" s="203" t="s">
        <v>7207</v>
      </c>
      <c r="C928" s="351">
        <v>44036</v>
      </c>
      <c r="D928" s="203" t="s">
        <v>9570</v>
      </c>
      <c r="E928" s="203" t="s">
        <v>1865</v>
      </c>
      <c r="F928" s="259" t="s">
        <v>9571</v>
      </c>
      <c r="G928" s="203">
        <v>1</v>
      </c>
      <c r="H928" s="178">
        <v>21228</v>
      </c>
      <c r="I928" s="592">
        <f t="shared" si="31"/>
        <v>3</v>
      </c>
      <c r="J928" s="178" t="s">
        <v>816</v>
      </c>
      <c r="K928" s="178" t="s">
        <v>816</v>
      </c>
      <c r="L928" s="275" t="str">
        <f>IF(H:H=0,"",IF(ISERROR(VLOOKUP(H:H,produtos_escape2!$A$2:$B$2794,2,FALSE)),"Código não cadastrado",(VLOOKUP(H:H,produtos_escape2!$A$2:$B$2794,2,FALSE))))</f>
        <v>ENVELOPE PARA CD, Material: papel, Cor: branco, Características Adicionais: com janela circular de acetato e aba para fechamento</v>
      </c>
      <c r="M928" s="593" t="str">
        <f>IF(H:H=0,"",IF(ISERROR(VLOOKUP(H:H,produtos_escape2!$A$2:$D$2794,2,FALSE)),"Código não cadastrado",(VLOOKUP(H:H,produtos_escape2!$A$2:$D$2794,4,FALSE))))</f>
        <v>UN</v>
      </c>
      <c r="N928" s="486">
        <v>2500</v>
      </c>
      <c r="O928" s="176" t="s">
        <v>9608</v>
      </c>
      <c r="P928" s="486">
        <v>2500</v>
      </c>
      <c r="Q928" s="247">
        <v>0.152</v>
      </c>
      <c r="R928" s="246">
        <f t="shared" si="32"/>
        <v>380</v>
      </c>
      <c r="S928" s="177">
        <v>44041</v>
      </c>
      <c r="T928" s="182">
        <v>8417</v>
      </c>
      <c r="U928" s="177">
        <v>44046</v>
      </c>
      <c r="V928" s="177">
        <v>44049</v>
      </c>
      <c r="W928" s="177">
        <v>44049</v>
      </c>
      <c r="X928" s="176">
        <v>63320</v>
      </c>
      <c r="Y928" s="177">
        <v>44061</v>
      </c>
      <c r="Z928" s="415">
        <v>4</v>
      </c>
      <c r="AA928" s="488"/>
      <c r="AB928" s="594"/>
      <c r="AC928" s="595"/>
      <c r="AD928" s="596" t="str">
        <f>IF(AND(AC928&lt;&gt;"",S928&lt;&gt;""),NETWORKDAYS(AC928,S928,#REF!),"")</f>
        <v/>
      </c>
      <c r="AE928" s="596" t="str">
        <f ca="1">IF(AND(AD928="",AC928=""),"",IF(OR(AD928&lt;&gt;"",O928="*CANCELADO"),"",NETWORKDAYS(AC928,TODAY(),#REF!)))</f>
        <v/>
      </c>
      <c r="AF928" s="597" t="str">
        <f>IFERROR(INDEX(produtos_escape2!M:M,MATCH(Controle!H928,produtos_escape2!A:A,0)),"")</f>
        <v>ENVELOPE PARA CD</v>
      </c>
    </row>
    <row r="929" spans="1:32" ht="14.25" customHeight="1">
      <c r="A929" s="176" t="s">
        <v>8778</v>
      </c>
      <c r="B929" s="203" t="s">
        <v>3608</v>
      </c>
      <c r="C929" s="351">
        <v>44036</v>
      </c>
      <c r="D929" s="203" t="s">
        <v>9572</v>
      </c>
      <c r="E929" s="203" t="s">
        <v>1866</v>
      </c>
      <c r="F929" s="259" t="s">
        <v>9573</v>
      </c>
      <c r="G929" s="203">
        <v>1</v>
      </c>
      <c r="H929" s="178">
        <v>90220</v>
      </c>
      <c r="I929" s="592">
        <f t="shared" si="31"/>
        <v>7</v>
      </c>
      <c r="J929" s="178" t="s">
        <v>816</v>
      </c>
      <c r="K929" s="178" t="s">
        <v>816</v>
      </c>
      <c r="L929" s="275" t="str">
        <f>IF(H:H=0,"",IF(ISERROR(VLOOKUP(H:H,produtos_escape2!$A$2:$B$2794,2,FALSE)),"Código não cadastrado",(VLOOKUP(H:H,produtos_escape2!$A$2:$B$2794,2,FALSE))))</f>
        <v>ATRACURIO (BESILATO) SOLUCAO INJETAVEL 10 MG/ML AMPOLA 2,5 ML</v>
      </c>
      <c r="M929" s="593" t="str">
        <f>IF(H:H=0,"",IF(ISERROR(VLOOKUP(H:H,produtos_escape2!$A$2:$D$2794,2,FALSE)),"Código não cadastrado",(VLOOKUP(H:H,produtos_escape2!$A$2:$D$2794,4,FALSE))))</f>
        <v>AMP</v>
      </c>
      <c r="N929" s="486">
        <v>300</v>
      </c>
      <c r="O929" s="176" t="s">
        <v>1868</v>
      </c>
      <c r="P929" s="486"/>
      <c r="Q929" s="247"/>
      <c r="R929" s="246">
        <f t="shared" si="32"/>
        <v>0</v>
      </c>
      <c r="S929" s="177">
        <v>44047</v>
      </c>
      <c r="T929" s="182"/>
      <c r="U929" s="177"/>
      <c r="V929" s="177"/>
      <c r="W929" s="177"/>
      <c r="X929" s="176"/>
      <c r="Y929" s="177"/>
      <c r="Z929" s="415">
        <v>4</v>
      </c>
      <c r="AA929" s="488" t="s">
        <v>7474</v>
      </c>
      <c r="AB929" s="594"/>
      <c r="AC929" s="595"/>
      <c r="AD929" s="596" t="str">
        <f>IF(AND(AC929&lt;&gt;"",S929&lt;&gt;""),NETWORKDAYS(AC929,S929,#REF!),"")</f>
        <v/>
      </c>
      <c r="AE929" s="596" t="str">
        <f ca="1">IF(AND(AD929="",AC929=""),"",IF(OR(AD929&lt;&gt;"",O929="*CANCELADO"),"",NETWORKDAYS(AC929,TODAY(),#REF!)))</f>
        <v/>
      </c>
      <c r="AF929" s="597" t="str">
        <f>IFERROR(INDEX(produtos_escape2!M:M,MATCH(Controle!H929,produtos_escape2!A:A,0)),"")</f>
        <v>ATRACURIO (BESILATO) SOLUCAO INJETAVEL 10 MG/ML AMPOLA 2</v>
      </c>
    </row>
    <row r="930" spans="1:32" ht="14.25" customHeight="1">
      <c r="A930" s="176" t="s">
        <v>8780</v>
      </c>
      <c r="B930" s="203" t="s">
        <v>3608</v>
      </c>
      <c r="C930" s="351">
        <v>44039</v>
      </c>
      <c r="D930" s="203" t="s">
        <v>9575</v>
      </c>
      <c r="E930" s="203" t="s">
        <v>1866</v>
      </c>
      <c r="F930" s="516" t="s">
        <v>9576</v>
      </c>
      <c r="G930" s="203">
        <v>1</v>
      </c>
      <c r="H930" s="178">
        <v>90458</v>
      </c>
      <c r="I930" s="592">
        <f t="shared" si="31"/>
        <v>7</v>
      </c>
      <c r="J930" s="178" t="s">
        <v>816</v>
      </c>
      <c r="K930" s="178" t="s">
        <v>816</v>
      </c>
      <c r="L930" s="275" t="str">
        <f>IF(H:H=0,"",IF(ISERROR(VLOOKUP(H:H,produtos_escape2!$A$2:$B$2794,2,FALSE)),"Código não cadastrado",(VLOOKUP(H:H,produtos_escape2!$A$2:$B$2794,2,FALSE))))</f>
        <v>ROCURÔNIO SOLUÇÃO INJETÁVEL 10 MG/ML FRASCO AMPOLA 5ML</v>
      </c>
      <c r="M930" s="593" t="str">
        <f>IF(H:H=0,"",IF(ISERROR(VLOOKUP(H:H,produtos_escape2!$A$2:$D$2794,2,FALSE)),"Código não cadastrado",(VLOOKUP(H:H,produtos_escape2!$A$2:$D$2794,4,FALSE))))</f>
        <v>FA</v>
      </c>
      <c r="N930" s="486">
        <v>200</v>
      </c>
      <c r="O930" s="176" t="s">
        <v>1868</v>
      </c>
      <c r="P930" s="486"/>
      <c r="Q930" s="247"/>
      <c r="R930" s="246">
        <f t="shared" si="32"/>
        <v>0</v>
      </c>
      <c r="S930" s="177">
        <v>44047</v>
      </c>
      <c r="T930" s="182"/>
      <c r="U930" s="177"/>
      <c r="V930" s="177"/>
      <c r="W930" s="177"/>
      <c r="X930" s="176"/>
      <c r="Y930" s="177"/>
      <c r="Z930" s="415">
        <v>4</v>
      </c>
      <c r="AA930" s="488" t="s">
        <v>7474</v>
      </c>
      <c r="AB930" s="594"/>
      <c r="AC930" s="595"/>
      <c r="AD930" s="596" t="str">
        <f>IF(AND(AC930&lt;&gt;"",S930&lt;&gt;""),NETWORKDAYS(AC930,S930,#REF!),"")</f>
        <v/>
      </c>
      <c r="AE930" s="596" t="str">
        <f ca="1">IF(AND(AD930="",AC930=""),"",IF(OR(AD930&lt;&gt;"",O930="*CANCELADO"),"",NETWORKDAYS(AC930,TODAY(),#REF!)))</f>
        <v/>
      </c>
      <c r="AF930" s="597" t="str">
        <f>IFERROR(INDEX(produtos_escape2!M:M,MATCH(Controle!H930,produtos_escape2!A:A,0)),"")</f>
        <v>ROCURÔNIO SOLUÇÃO INJETÁVEL 10 MG/ML FRASCO AMPOLA 5ML</v>
      </c>
    </row>
    <row r="931" spans="1:32" ht="14.25" customHeight="1">
      <c r="A931" s="176" t="s">
        <v>7427</v>
      </c>
      <c r="B931" s="203" t="s">
        <v>1687</v>
      </c>
      <c r="C931" s="351">
        <v>44039</v>
      </c>
      <c r="D931" s="203" t="s">
        <v>9579</v>
      </c>
      <c r="E931" s="203" t="s">
        <v>3008</v>
      </c>
      <c r="F931" s="259" t="s">
        <v>9580</v>
      </c>
      <c r="G931" s="203">
        <v>1</v>
      </c>
      <c r="H931" s="178" t="s">
        <v>9581</v>
      </c>
      <c r="I931" s="592">
        <f t="shared" si="31"/>
        <v>1</v>
      </c>
      <c r="J931" s="178"/>
      <c r="K931" s="178"/>
      <c r="L931" s="275" t="str">
        <f>IF(H:H=0,"",IF(ISERROR(VLOOKUP(H:H,produtos_escape2!$A$2:$B$2794,2,FALSE)),"Código não cadastrado",(VLOOKUP(H:H,produtos_escape2!$A$2:$B$2794,2,FALSE))))</f>
        <v>Conserto de Medidor de Icterícia, Marca DRAGER, Modelo JM 105, Nº Patrimônio 1363983.</v>
      </c>
      <c r="M931" s="593" t="str">
        <f>IF(H:H=0,"",IF(ISERROR(VLOOKUP(H:H,produtos_escape2!$A$2:$D$2794,2,FALSE)),"Código não cadastrado",(VLOOKUP(H:H,produtos_escape2!$A$2:$D$2794,4,FALSE))))</f>
        <v>Serviço</v>
      </c>
      <c r="N931" s="486">
        <v>1</v>
      </c>
      <c r="O931" s="176" t="s">
        <v>9711</v>
      </c>
      <c r="P931" s="486">
        <v>1</v>
      </c>
      <c r="Q931" s="247">
        <v>2800</v>
      </c>
      <c r="R931" s="246">
        <f t="shared" si="32"/>
        <v>2800</v>
      </c>
      <c r="S931" s="177">
        <v>44097</v>
      </c>
      <c r="T931" s="182">
        <v>70</v>
      </c>
      <c r="U931" s="177">
        <v>44103</v>
      </c>
      <c r="V931" s="177">
        <v>44104</v>
      </c>
      <c r="W931" s="177">
        <v>44105</v>
      </c>
      <c r="X931" s="176">
        <v>18194</v>
      </c>
      <c r="Y931" s="177">
        <v>44146</v>
      </c>
      <c r="Z931" s="415">
        <v>6</v>
      </c>
      <c r="AA931" s="488"/>
      <c r="AB931" s="594"/>
      <c r="AC931" s="595"/>
      <c r="AD931" s="596" t="str">
        <f>IF(AND(AC931&lt;&gt;"",S931&lt;&gt;""),NETWORKDAYS(AC931,S931,#REF!),"")</f>
        <v/>
      </c>
      <c r="AE931" s="596" t="str">
        <f ca="1">IF(AND(AD931="",AC931=""),"",IF(OR(AD931&lt;&gt;"",O931="*CANCELADO"),"",NETWORKDAYS(AC931,TODAY(),#REF!)))</f>
        <v/>
      </c>
      <c r="AF931" s="597">
        <f>IFERROR(INDEX(produtos_escape2!M:M,MATCH(Controle!H931,produtos_escape2!A:A,0)),"")</f>
        <v>0</v>
      </c>
    </row>
    <row r="932" spans="1:32" ht="14.25" customHeight="1">
      <c r="A932" s="176" t="s">
        <v>8790</v>
      </c>
      <c r="B932" s="203" t="s">
        <v>3608</v>
      </c>
      <c r="C932" s="351">
        <v>44041</v>
      </c>
      <c r="D932" s="203" t="s">
        <v>9585</v>
      </c>
      <c r="E932" s="203" t="s">
        <v>3009</v>
      </c>
      <c r="F932" s="517" t="s">
        <v>9586</v>
      </c>
      <c r="G932" s="203">
        <v>1</v>
      </c>
      <c r="H932" s="178">
        <v>90207</v>
      </c>
      <c r="I932" s="592">
        <f t="shared" si="31"/>
        <v>7</v>
      </c>
      <c r="J932" s="178" t="s">
        <v>816</v>
      </c>
      <c r="K932" s="178" t="s">
        <v>816</v>
      </c>
      <c r="L932" s="275" t="str">
        <f>IF(H:H=0,"",IF(ISERROR(VLOOKUP(H:H,produtos_escape2!$A$2:$B$2794,2,FALSE)),"Código não cadastrado",(VLOOKUP(H:H,produtos_escape2!$A$2:$B$2794,2,FALSE))))</f>
        <v xml:space="preserve">PROPOFOL EMULSAO INJETAVEL 10 MG/ML AMPOLA 20 ML </v>
      </c>
      <c r="M932" s="593" t="str">
        <f>IF(H:H=0,"",IF(ISERROR(VLOOKUP(H:H,produtos_escape2!$A$2:$D$2794,2,FALSE)),"Código não cadastrado",(VLOOKUP(H:H,produtos_escape2!$A$2:$D$2794,4,FALSE))))</f>
        <v>AMP</v>
      </c>
      <c r="N932" s="486">
        <v>200</v>
      </c>
      <c r="O932" s="176" t="s">
        <v>4401</v>
      </c>
      <c r="P932" s="486">
        <v>200</v>
      </c>
      <c r="Q932" s="247">
        <v>14.1</v>
      </c>
      <c r="R932" s="246">
        <f t="shared" si="32"/>
        <v>2820</v>
      </c>
      <c r="S932" s="177">
        <v>44055</v>
      </c>
      <c r="T932" s="182">
        <v>2704256</v>
      </c>
      <c r="U932" s="177">
        <v>44057</v>
      </c>
      <c r="V932" s="177">
        <v>44062</v>
      </c>
      <c r="W932" s="177">
        <v>44068</v>
      </c>
      <c r="X932" s="176">
        <v>91367</v>
      </c>
      <c r="Y932" s="177">
        <v>44104</v>
      </c>
      <c r="Z932" s="415">
        <v>5</v>
      </c>
      <c r="AA932" s="488"/>
      <c r="AB932" s="594"/>
      <c r="AC932" s="595"/>
      <c r="AD932" s="596" t="str">
        <f>IF(AND(AC932&lt;&gt;"",S932&lt;&gt;""),NETWORKDAYS(AC932,S932,#REF!),"")</f>
        <v/>
      </c>
      <c r="AE932" s="596" t="str">
        <f ca="1">IF(AND(AD932="",AC932=""),"",IF(OR(AD932&lt;&gt;"",O932="*CANCELADO"),"",NETWORKDAYS(AC932,TODAY(),#REF!)))</f>
        <v/>
      </c>
      <c r="AF932" s="597" t="str">
        <f>IFERROR(INDEX(produtos_escape2!M:M,MATCH(Controle!H932,produtos_escape2!A:A,0)),"")</f>
        <v xml:space="preserve">PROPOFOL EMULSAO INJETAVEL 10 MG/ML AMPOLA 20 ML </v>
      </c>
    </row>
    <row r="933" spans="1:32" ht="14.25" customHeight="1">
      <c r="A933" s="176" t="s">
        <v>8788</v>
      </c>
      <c r="B933" s="203" t="s">
        <v>3608</v>
      </c>
      <c r="C933" s="351">
        <v>44041</v>
      </c>
      <c r="D933" s="203" t="s">
        <v>9587</v>
      </c>
      <c r="E933" s="203" t="s">
        <v>1867</v>
      </c>
      <c r="F933" s="517" t="s">
        <v>9588</v>
      </c>
      <c r="G933" s="203">
        <v>1</v>
      </c>
      <c r="H933" s="178">
        <v>90221</v>
      </c>
      <c r="I933" s="592">
        <f t="shared" si="31"/>
        <v>4</v>
      </c>
      <c r="J933" s="178" t="s">
        <v>816</v>
      </c>
      <c r="K933" s="178" t="s">
        <v>816</v>
      </c>
      <c r="L933" s="275" t="str">
        <f>IF(H:H=0,"",IF(ISERROR(VLOOKUP(H:H,produtos_escape2!$A$2:$B$2794,2,FALSE)),"Código não cadastrado",(VLOOKUP(H:H,produtos_escape2!$A$2:$B$2794,2,FALSE))))</f>
        <v>PANCURONIO (BROMETO) SOLUCAO INJETAVEL 2 MG/ML AMPOLA 2 ML</v>
      </c>
      <c r="M933" s="593" t="str">
        <f>IF(H:H=0,"",IF(ISERROR(VLOOKUP(H:H,produtos_escape2!$A$2:$D$2794,2,FALSE)),"Código não cadastrado",(VLOOKUP(H:H,produtos_escape2!$A$2:$D$2794,4,FALSE))))</f>
        <v>AMP</v>
      </c>
      <c r="N933" s="486">
        <v>250</v>
      </c>
      <c r="O933" s="176" t="s">
        <v>1868</v>
      </c>
      <c r="P933" s="486"/>
      <c r="Q933" s="247"/>
      <c r="R933" s="246">
        <f t="shared" si="32"/>
        <v>0</v>
      </c>
      <c r="S933" s="177">
        <v>44050</v>
      </c>
      <c r="T933" s="182"/>
      <c r="U933" s="177"/>
      <c r="V933" s="177"/>
      <c r="W933" s="177"/>
      <c r="X933" s="176"/>
      <c r="Y933" s="177"/>
      <c r="Z933" s="415">
        <v>4</v>
      </c>
      <c r="AA933" s="488" t="s">
        <v>7474</v>
      </c>
      <c r="AB933" s="594"/>
      <c r="AC933" s="595"/>
      <c r="AD933" s="596" t="str">
        <f>IF(AND(AC933&lt;&gt;"",S933&lt;&gt;""),NETWORKDAYS(AC933,S933,#REF!),"")</f>
        <v/>
      </c>
      <c r="AE933" s="596" t="str">
        <f ca="1">IF(AND(AD933="",AC933=""),"",IF(OR(AD933&lt;&gt;"",O933="*CANCELADO"),"",NETWORKDAYS(AC933,TODAY(),#REF!)))</f>
        <v/>
      </c>
      <c r="AF933" s="597" t="str">
        <f>IFERROR(INDEX(produtos_escape2!M:M,MATCH(Controle!H933,produtos_escape2!A:A,0)),"")</f>
        <v>PANCURONIO (BROMETO) SOLUCAO INJETAVEL 2 MG/ML AMPOLA 2 ML</v>
      </c>
    </row>
    <row r="934" spans="1:32" ht="14.25" customHeight="1">
      <c r="A934" s="176" t="s">
        <v>8786</v>
      </c>
      <c r="B934" s="203" t="s">
        <v>3608</v>
      </c>
      <c r="C934" s="351">
        <v>44041</v>
      </c>
      <c r="D934" s="203" t="s">
        <v>9589</v>
      </c>
      <c r="E934" s="203" t="s">
        <v>1867</v>
      </c>
      <c r="F934" s="517" t="s">
        <v>9590</v>
      </c>
      <c r="G934" s="203">
        <v>1</v>
      </c>
      <c r="H934" s="178">
        <v>92407</v>
      </c>
      <c r="I934" s="592">
        <f t="shared" si="31"/>
        <v>3</v>
      </c>
      <c r="J934" s="178" t="s">
        <v>816</v>
      </c>
      <c r="K934" s="178" t="s">
        <v>816</v>
      </c>
      <c r="L934" s="275"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934" s="593" t="str">
        <f>IF(H:H=0,"",IF(ISERROR(VLOOKUP(H:H,produtos_escape2!$A$2:$D$2794,2,FALSE)),"Código não cadastrado",(VLOOKUP(H:H,produtos_escape2!$A$2:$D$2794,4,FALSE))))</f>
        <v>UN</v>
      </c>
      <c r="N934" s="486">
        <v>50000</v>
      </c>
      <c r="O934" s="176" t="s">
        <v>4357</v>
      </c>
      <c r="P934" s="486">
        <v>25000</v>
      </c>
      <c r="Q934" s="247">
        <v>0.39</v>
      </c>
      <c r="R934" s="246">
        <f t="shared" si="32"/>
        <v>9750</v>
      </c>
      <c r="S934" s="177">
        <v>44047</v>
      </c>
      <c r="T934" s="182">
        <v>1749</v>
      </c>
      <c r="U934" s="177">
        <v>44050</v>
      </c>
      <c r="V934" s="177">
        <v>44050</v>
      </c>
      <c r="W934" s="177">
        <v>44055</v>
      </c>
      <c r="X934" s="176">
        <v>63783</v>
      </c>
      <c r="Y934" s="177">
        <v>44061</v>
      </c>
      <c r="Z934" s="415">
        <v>4</v>
      </c>
      <c r="AA934" s="488"/>
      <c r="AB934" s="594"/>
      <c r="AC934" s="595"/>
      <c r="AD934" s="596" t="str">
        <f>IF(AND(AC934&lt;&gt;"",S934&lt;&gt;""),NETWORKDAYS(AC934,S934,#REF!),"")</f>
        <v/>
      </c>
      <c r="AE934" s="596" t="str">
        <f ca="1">IF(AND(AD934="",AC934=""),"",IF(OR(AD934&lt;&gt;"",O934="*CANCELADO"),"",NETWORKDAYS(AC934,TODAY(),#REF!)))</f>
        <v/>
      </c>
      <c r="AF934" s="597" t="str">
        <f>IFERROR(INDEX(produtos_escape2!M:M,MATCH(Controle!H934,produtos_escape2!A:A,0)),"")</f>
        <v>LUVA DE PROCEDIMENTO NÃO ESTÉRIL DE LÁTEX TAMANHO "P"</v>
      </c>
    </row>
    <row r="935" spans="1:32" ht="14.25" customHeight="1">
      <c r="A935" s="176" t="s">
        <v>8784</v>
      </c>
      <c r="B935" s="203" t="s">
        <v>3608</v>
      </c>
      <c r="C935" s="351">
        <v>44041</v>
      </c>
      <c r="D935" s="203" t="s">
        <v>9591</v>
      </c>
      <c r="E935" s="203" t="s">
        <v>3009</v>
      </c>
      <c r="F935" s="517" t="s">
        <v>9592</v>
      </c>
      <c r="G935" s="203">
        <v>1</v>
      </c>
      <c r="H935" s="178">
        <v>33227</v>
      </c>
      <c r="I935" s="592">
        <f t="shared" si="31"/>
        <v>2</v>
      </c>
      <c r="J935" s="178" t="s">
        <v>816</v>
      </c>
      <c r="K935" s="178" t="s">
        <v>816</v>
      </c>
      <c r="L935" s="275" t="str">
        <f>IF(H:H=0,"",IF(ISERROR(VLOOKUP(H:H,produtos_escape2!$A$2:$B$2794,2,FALSE)),"Código não cadastrado",(VLOOKUP(H:H,produtos_escape2!$A$2:$B$2794,2,FALSE))))</f>
        <v xml:space="preserve">VASOPRESSINA  20U/ML SOLUÇÃO INJETÁVEL AMPOLA 1 ML </v>
      </c>
      <c r="M935" s="593" t="str">
        <f>IF(H:H=0,"",IF(ISERROR(VLOOKUP(H:H,produtos_escape2!$A$2:$D$2794,2,FALSE)),"Código não cadastrado",(VLOOKUP(H:H,produtos_escape2!$A$2:$D$2794,4,FALSE))))</f>
        <v>AMP</v>
      </c>
      <c r="N935" s="486">
        <v>90</v>
      </c>
      <c r="O935" s="176" t="s">
        <v>7472</v>
      </c>
      <c r="P935" s="486">
        <v>90</v>
      </c>
      <c r="Q935" s="247">
        <v>24.85</v>
      </c>
      <c r="R935" s="246">
        <f t="shared" si="32"/>
        <v>2236.5</v>
      </c>
      <c r="S935" s="177">
        <v>44055</v>
      </c>
      <c r="T935" s="182">
        <v>24237</v>
      </c>
      <c r="U935" s="177">
        <v>44055</v>
      </c>
      <c r="V935" s="177">
        <v>44056</v>
      </c>
      <c r="W935" s="177">
        <v>44057</v>
      </c>
      <c r="X935" s="176">
        <v>71358</v>
      </c>
      <c r="Y935" s="177">
        <v>44075</v>
      </c>
      <c r="Z935" s="415">
        <v>5</v>
      </c>
      <c r="AA935" s="488"/>
      <c r="AB935" s="594"/>
      <c r="AC935" s="595"/>
      <c r="AD935" s="596" t="str">
        <f>IF(AND(AC935&lt;&gt;"",S935&lt;&gt;""),NETWORKDAYS(AC935,S935,#REF!),"")</f>
        <v/>
      </c>
      <c r="AE935" s="596" t="str">
        <f ca="1">IF(AND(AD935="",AC935=""),"",IF(OR(AD935&lt;&gt;"",O935="*CANCELADO"),"",NETWORKDAYS(AC935,TODAY(),#REF!)))</f>
        <v/>
      </c>
      <c r="AF935" s="597" t="str">
        <f>IFERROR(INDEX(produtos_escape2!M:M,MATCH(Controle!H935,produtos_escape2!A:A,0)),"")</f>
        <v xml:space="preserve">VASOPRESSINA  20U/ML SOLUÇÃO INJETÁVEL AMPOLA 1 ML </v>
      </c>
    </row>
    <row r="936" spans="1:32" ht="14.25" customHeight="1">
      <c r="A936" s="176" t="s">
        <v>8114</v>
      </c>
      <c r="B936" s="203" t="s">
        <v>7207</v>
      </c>
      <c r="C936" s="351">
        <v>44041</v>
      </c>
      <c r="D936" s="203" t="s">
        <v>9593</v>
      </c>
      <c r="E936" s="203" t="s">
        <v>1865</v>
      </c>
      <c r="F936" s="517" t="s">
        <v>9594</v>
      </c>
      <c r="G936" s="176">
        <v>3</v>
      </c>
      <c r="H936" s="178">
        <v>25130</v>
      </c>
      <c r="I936" s="592">
        <f t="shared" si="31"/>
        <v>2</v>
      </c>
      <c r="J936" s="178" t="s">
        <v>816</v>
      </c>
      <c r="K936" s="178" t="s">
        <v>816</v>
      </c>
      <c r="L936" s="275" t="str">
        <f>IF(H:H=0,"",IF(ISERROR(VLOOKUP(H:H,produtos_escape2!$A$2:$B$2794,2,FALSE)),"Código não cadastrado",(VLOOKUP(H:H,produtos_escape2!$A$2:$B$2794,2,FALSE))))</f>
        <v>SUPORTE PARA COLETOR PERFUROCORTANTE, Confeccionado em arame BTC comum e pintura epoxy eletrostática, Capacidade: 13,0 Litros.</v>
      </c>
      <c r="M936" s="593" t="str">
        <f>IF(H:H=0,"",IF(ISERROR(VLOOKUP(H:H,produtos_escape2!$A$2:$D$2794,2,FALSE)),"Código não cadastrado",(VLOOKUP(H:H,produtos_escape2!$A$2:$D$2794,4,FALSE))))</f>
        <v>UN</v>
      </c>
      <c r="N936" s="486">
        <v>100</v>
      </c>
      <c r="O936" s="176" t="s">
        <v>1868</v>
      </c>
      <c r="P936" s="486"/>
      <c r="Q936" s="247"/>
      <c r="R936" s="246">
        <f t="shared" si="32"/>
        <v>0</v>
      </c>
      <c r="S936" s="177">
        <v>44076</v>
      </c>
      <c r="T936" s="182"/>
      <c r="U936" s="177"/>
      <c r="V936" s="177"/>
      <c r="W936" s="177"/>
      <c r="X936" s="176"/>
      <c r="Y936" s="177"/>
      <c r="Z936" s="415">
        <v>4</v>
      </c>
      <c r="AA936" s="488"/>
      <c r="AB936" s="594"/>
      <c r="AC936" s="595"/>
      <c r="AD936" s="596" t="str">
        <f>IF(AND(AC936&lt;&gt;"",S936&lt;&gt;""),NETWORKDAYS(AC936,S936,#REF!),"")</f>
        <v/>
      </c>
      <c r="AE936" s="596" t="str">
        <f ca="1">IF(AND(AD936="",AC936=""),"",IF(OR(AD936&lt;&gt;"",O936="*CANCELADO"),"",NETWORKDAYS(AC936,TODAY(),#REF!)))</f>
        <v/>
      </c>
      <c r="AF936" s="597" t="str">
        <f>IFERROR(INDEX(produtos_escape2!M:M,MATCH(Controle!H936,produtos_escape2!A:A,0)),"")</f>
        <v>SUPORTE PARA COLETOR PERFUROCORTANTE</v>
      </c>
    </row>
    <row r="937" spans="1:32" ht="14.25" customHeight="1">
      <c r="A937" s="176" t="s">
        <v>8114</v>
      </c>
      <c r="B937" s="203" t="s">
        <v>7207</v>
      </c>
      <c r="C937" s="351">
        <v>44041</v>
      </c>
      <c r="D937" s="203" t="s">
        <v>9593</v>
      </c>
      <c r="E937" s="203" t="s">
        <v>1865</v>
      </c>
      <c r="F937" s="517" t="s">
        <v>9594</v>
      </c>
      <c r="G937" s="203">
        <v>1</v>
      </c>
      <c r="H937" s="178">
        <v>25128</v>
      </c>
      <c r="I937" s="592">
        <f t="shared" si="31"/>
        <v>2</v>
      </c>
      <c r="J937" s="178" t="s">
        <v>816</v>
      </c>
      <c r="K937" s="178" t="s">
        <v>816</v>
      </c>
      <c r="L937" s="275" t="str">
        <f>IF(H:H=0,"",IF(ISERROR(VLOOKUP(H:H,produtos_escape2!$A$2:$B$2794,2,FALSE)),"Código não cadastrado",(VLOOKUP(H:H,produtos_escape2!$A$2:$B$2794,2,FALSE))))</f>
        <v>SUPORTE PARA COLETOR PERFUROCORTANTE, confeccionado em arame BTC comum e pintura epoxy eletrostática, Capacidade: 3,0 Litros.</v>
      </c>
      <c r="M937" s="593" t="str">
        <f>IF(H:H=0,"",IF(ISERROR(VLOOKUP(H:H,produtos_escape2!$A$2:$D$2794,2,FALSE)),"Código não cadastrado",(VLOOKUP(H:H,produtos_escape2!$A$2:$D$2794,4,FALSE))))</f>
        <v>UN</v>
      </c>
      <c r="N937" s="486">
        <v>100</v>
      </c>
      <c r="O937" s="176" t="s">
        <v>1868</v>
      </c>
      <c r="P937" s="486"/>
      <c r="Q937" s="247"/>
      <c r="R937" s="246">
        <f t="shared" si="32"/>
        <v>0</v>
      </c>
      <c r="S937" s="177">
        <v>44076</v>
      </c>
      <c r="T937" s="182"/>
      <c r="U937" s="177"/>
      <c r="V937" s="177"/>
      <c r="W937" s="177"/>
      <c r="X937" s="176"/>
      <c r="Y937" s="177"/>
      <c r="Z937" s="415">
        <v>4</v>
      </c>
      <c r="AA937" s="488"/>
      <c r="AB937" s="594"/>
      <c r="AC937" s="595"/>
      <c r="AD937" s="596" t="str">
        <f>IF(AND(AC937&lt;&gt;"",S937&lt;&gt;""),NETWORKDAYS(AC937,S937,#REF!),"")</f>
        <v/>
      </c>
      <c r="AE937" s="596" t="str">
        <f ca="1">IF(AND(AD937="",AC937=""),"",IF(OR(AD937&lt;&gt;"",O937="*CANCELADO"),"",NETWORKDAYS(AC937,TODAY(),#REF!)))</f>
        <v/>
      </c>
      <c r="AF937" s="597" t="str">
        <f>IFERROR(INDEX(produtos_escape2!M:M,MATCH(Controle!H937,produtos_escape2!A:A,0)),"")</f>
        <v>SUPORTE PARA COLETOR PERFUROCORTANTE 3L</v>
      </c>
    </row>
    <row r="938" spans="1:32" ht="14.25" customHeight="1">
      <c r="A938" s="176" t="s">
        <v>8114</v>
      </c>
      <c r="B938" s="203" t="s">
        <v>7207</v>
      </c>
      <c r="C938" s="351">
        <v>44041</v>
      </c>
      <c r="D938" s="203" t="s">
        <v>9593</v>
      </c>
      <c r="E938" s="203" t="s">
        <v>1865</v>
      </c>
      <c r="F938" s="517" t="s">
        <v>9594</v>
      </c>
      <c r="G938" s="176">
        <v>2</v>
      </c>
      <c r="H938" s="178">
        <v>25129</v>
      </c>
      <c r="I938" s="592">
        <f t="shared" si="31"/>
        <v>2</v>
      </c>
      <c r="J938" s="178" t="s">
        <v>816</v>
      </c>
      <c r="K938" s="178" t="s">
        <v>816</v>
      </c>
      <c r="L938" s="275" t="str">
        <f>IF(H:H=0,"",IF(ISERROR(VLOOKUP(H:H,produtos_escape2!$A$2:$B$2794,2,FALSE)),"Código não cadastrado",(VLOOKUP(H:H,produtos_escape2!$A$2:$B$2794,2,FALSE))))</f>
        <v>SUPORTE PARA COLETOR PERFUROCORTANTE, confeccionado em arame BTC comum e pintura epoxy eletrostática, Capacidade: 7,0 Litros.</v>
      </c>
      <c r="M938" s="593" t="str">
        <f>IF(H:H=0,"",IF(ISERROR(VLOOKUP(H:H,produtos_escape2!$A$2:$D$2794,2,FALSE)),"Código não cadastrado",(VLOOKUP(H:H,produtos_escape2!$A$2:$D$2794,4,FALSE))))</f>
        <v>UN</v>
      </c>
      <c r="N938" s="486">
        <v>100</v>
      </c>
      <c r="O938" s="176" t="s">
        <v>1868</v>
      </c>
      <c r="P938" s="486"/>
      <c r="Q938" s="247"/>
      <c r="R938" s="246">
        <f t="shared" si="32"/>
        <v>0</v>
      </c>
      <c r="S938" s="177">
        <v>44076</v>
      </c>
      <c r="T938" s="182"/>
      <c r="U938" s="177"/>
      <c r="V938" s="177"/>
      <c r="W938" s="177"/>
      <c r="X938" s="176"/>
      <c r="Y938" s="177"/>
      <c r="Z938" s="415">
        <v>4</v>
      </c>
      <c r="AA938" s="488"/>
      <c r="AB938" s="594"/>
      <c r="AC938" s="595"/>
      <c r="AD938" s="596" t="str">
        <f>IF(AND(AC938&lt;&gt;"",S938&lt;&gt;""),NETWORKDAYS(AC938,S938,#REF!),"")</f>
        <v/>
      </c>
      <c r="AE938" s="596" t="str">
        <f ca="1">IF(AND(AD938="",AC938=""),"",IF(OR(AD938&lt;&gt;"",O938="*CANCELADO"),"",NETWORKDAYS(AC938,TODAY(),#REF!)))</f>
        <v/>
      </c>
      <c r="AF938" s="597" t="str">
        <f>IFERROR(INDEX(produtos_escape2!M:M,MATCH(Controle!H938,produtos_escape2!A:A,0)),"")</f>
        <v>SUPORTE PARA COLETOR PERFUROCORTANTE 7L</v>
      </c>
    </row>
    <row r="939" spans="1:32" ht="14.25" customHeight="1">
      <c r="A939" s="176" t="s">
        <v>8112</v>
      </c>
      <c r="B939" s="176" t="s">
        <v>7207</v>
      </c>
      <c r="C939" s="177">
        <v>44041</v>
      </c>
      <c r="D939" s="176" t="s">
        <v>9600</v>
      </c>
      <c r="E939" s="203" t="s">
        <v>1867</v>
      </c>
      <c r="F939" s="259" t="s">
        <v>9601</v>
      </c>
      <c r="G939" s="176">
        <v>1</v>
      </c>
      <c r="H939" s="178">
        <v>303</v>
      </c>
      <c r="I939" s="592">
        <f t="shared" si="31"/>
        <v>1</v>
      </c>
      <c r="J939" s="178" t="s">
        <v>816</v>
      </c>
      <c r="K939" s="178" t="s">
        <v>816</v>
      </c>
      <c r="L939" s="275" t="str">
        <f>IF(H:H=0,"",IF(ISERROR(VLOOKUP(H:H,produtos_escape2!$A$2:$B$2794,2,FALSE)),"Código não cadastrado",(VLOOKUP(H:H,produtos_escape2!$A$2:$B$2794,2,FALSE))))</f>
        <v>LIVRO ATA, Material Capa: papel cartão ( capa dura ), Altura: 33 cm, Largura: 22 cm, características Adicionais: folhas numeradas, Unidade De Fornecimento: livro com 100 folhas. De Fornecimento: livro com 100 folhas.</v>
      </c>
      <c r="M939" s="593" t="str">
        <f>IF(H:H=0,"",IF(ISERROR(VLOOKUP(H:H,produtos_escape2!$A$2:$D$2794,2,FALSE)),"Código não cadastrado",(VLOOKUP(H:H,produtos_escape2!$A$2:$D$2794,4,FALSE))))</f>
        <v>UN</v>
      </c>
      <c r="N939" s="486">
        <v>200</v>
      </c>
      <c r="O939" s="176" t="s">
        <v>4432</v>
      </c>
      <c r="P939" s="486">
        <v>50</v>
      </c>
      <c r="Q939" s="247">
        <v>7.44</v>
      </c>
      <c r="R939" s="246">
        <f t="shared" si="32"/>
        <v>372</v>
      </c>
      <c r="S939" s="177">
        <v>44047</v>
      </c>
      <c r="T939" s="182">
        <v>9276</v>
      </c>
      <c r="U939" s="177">
        <v>44047</v>
      </c>
      <c r="V939" s="177">
        <v>44048</v>
      </c>
      <c r="W939" s="177">
        <v>44050</v>
      </c>
      <c r="X939" s="176">
        <v>63425</v>
      </c>
      <c r="Y939" s="177">
        <v>44061</v>
      </c>
      <c r="Z939" s="415">
        <v>4</v>
      </c>
      <c r="AA939" s="488"/>
      <c r="AB939" s="594"/>
      <c r="AC939" s="595"/>
      <c r="AD939" s="596" t="str">
        <f>IF(AND(AC939&lt;&gt;"",S939&lt;&gt;""),NETWORKDAYS(AC939,S939,#REF!),"")</f>
        <v/>
      </c>
      <c r="AE939" s="596" t="str">
        <f ca="1">IF(AND(AD939="",AC939=""),"",IF(OR(AD939&lt;&gt;"",O939="*CANCELADO"),"",NETWORKDAYS(AC939,TODAY(),#REF!)))</f>
        <v/>
      </c>
      <c r="AF939" s="597" t="str">
        <f>IFERROR(INDEX(produtos_escape2!M:M,MATCH(Controle!H939,produtos_escape2!A:A,0)),"")</f>
        <v>LIVRO ATA</v>
      </c>
    </row>
    <row r="940" spans="1:32" ht="14.25" customHeight="1">
      <c r="A940" s="176" t="s">
        <v>8112</v>
      </c>
      <c r="B940" s="176" t="s">
        <v>7207</v>
      </c>
      <c r="C940" s="177">
        <v>44041</v>
      </c>
      <c r="D940" s="176" t="s">
        <v>9600</v>
      </c>
      <c r="E940" s="203" t="s">
        <v>1867</v>
      </c>
      <c r="F940" s="259" t="s">
        <v>9601</v>
      </c>
      <c r="G940" s="176">
        <v>2</v>
      </c>
      <c r="H940" s="178">
        <v>304</v>
      </c>
      <c r="I940" s="592">
        <f t="shared" si="31"/>
        <v>1</v>
      </c>
      <c r="J940" s="178" t="s">
        <v>816</v>
      </c>
      <c r="K940" s="178" t="s">
        <v>816</v>
      </c>
      <c r="L940" s="275" t="str">
        <f>IF(H:H=0,"",IF(ISERROR(VLOOKUP(H:H,produtos_escape2!$A$2:$B$2794,2,FALSE)),"Código não cadastrado",(VLOOKUP(H:H,produtos_escape2!$A$2:$B$2794,2,FALSE))))</f>
        <v>Livro Ata, capa dura em papel cartão, 33cm x 22cm, 200 folhas numeradas</v>
      </c>
      <c r="M940" s="593" t="str">
        <f>IF(H:H=0,"",IF(ISERROR(VLOOKUP(H:H,produtos_escape2!$A$2:$D$2794,2,FALSE)),"Código não cadastrado",(VLOOKUP(H:H,produtos_escape2!$A$2:$D$2794,4,FALSE))))</f>
        <v>UN</v>
      </c>
      <c r="N940" s="486">
        <v>200</v>
      </c>
      <c r="O940" s="176" t="s">
        <v>4432</v>
      </c>
      <c r="P940" s="486">
        <v>50</v>
      </c>
      <c r="Q940" s="247">
        <v>15.66</v>
      </c>
      <c r="R940" s="246">
        <f t="shared" si="32"/>
        <v>783</v>
      </c>
      <c r="S940" s="177">
        <v>44047</v>
      </c>
      <c r="T940" s="182">
        <v>9276</v>
      </c>
      <c r="U940" s="177">
        <v>44047</v>
      </c>
      <c r="V940" s="177">
        <v>44048</v>
      </c>
      <c r="W940" s="177">
        <v>44050</v>
      </c>
      <c r="X940" s="176">
        <v>63425</v>
      </c>
      <c r="Y940" s="177">
        <v>44061</v>
      </c>
      <c r="Z940" s="415">
        <v>4</v>
      </c>
      <c r="AA940" s="488"/>
      <c r="AB940" s="594"/>
      <c r="AC940" s="595"/>
      <c r="AD940" s="596" t="str">
        <f>IF(AND(AC940&lt;&gt;"",S940&lt;&gt;""),NETWORKDAYS(AC940,S940,#REF!),"")</f>
        <v/>
      </c>
      <c r="AE940" s="596" t="str">
        <f ca="1">IF(AND(AD940="",AC940=""),"",IF(OR(AD940&lt;&gt;"",O940="*CANCELADO"),"",NETWORKDAYS(AC940,TODAY(),#REF!)))</f>
        <v/>
      </c>
      <c r="AF940" s="597" t="str">
        <f>IFERROR(INDEX(produtos_escape2!M:M,MATCH(Controle!H940,produtos_escape2!A:A,0)),"")</f>
        <v>LIVRO ATA</v>
      </c>
    </row>
    <row r="941" spans="1:32" ht="14.25" customHeight="1">
      <c r="A941" s="176" t="s">
        <v>8782</v>
      </c>
      <c r="B941" s="176" t="s">
        <v>3608</v>
      </c>
      <c r="C941" s="177">
        <v>44041</v>
      </c>
      <c r="D941" s="176" t="s">
        <v>9603</v>
      </c>
      <c r="E941" s="176" t="s">
        <v>1867</v>
      </c>
      <c r="F941" s="259" t="s">
        <v>9604</v>
      </c>
      <c r="G941" s="176">
        <v>1</v>
      </c>
      <c r="H941" s="178">
        <v>18458</v>
      </c>
      <c r="I941" s="592">
        <f t="shared" si="31"/>
        <v>3</v>
      </c>
      <c r="J941" s="178" t="s">
        <v>816</v>
      </c>
      <c r="K941" s="178" t="s">
        <v>816</v>
      </c>
      <c r="L941" s="275" t="str">
        <f>IF(H:H=0,"",IF(ISERROR(VLOOKUP(H:H,produtos_escape2!$A$2:$B$2794,2,FALSE)),"Código não cadastrado",(VLOOKUP(H:H,produtos_escape2!$A$2:$B$2794,2,FALSE))))</f>
        <v>ANLODIPINO (BESILATO) COMPRIMIDO 5 MG</v>
      </c>
      <c r="M941" s="593" t="str">
        <f>IF(H:H=0,"",IF(ISERROR(VLOOKUP(H:H,produtos_escape2!$A$2:$D$2794,2,FALSE)),"Código não cadastrado",(VLOOKUP(H:H,produtos_escape2!$A$2:$D$2794,4,FALSE))))</f>
        <v>CP</v>
      </c>
      <c r="N941" s="486">
        <v>1500</v>
      </c>
      <c r="O941" s="176" t="s">
        <v>9330</v>
      </c>
      <c r="P941" s="486">
        <v>1500</v>
      </c>
      <c r="Q941" s="247">
        <v>0.15</v>
      </c>
      <c r="R941" s="246">
        <f t="shared" si="32"/>
        <v>225</v>
      </c>
      <c r="S941" s="177">
        <v>44050</v>
      </c>
      <c r="T941" s="182">
        <v>5162</v>
      </c>
      <c r="U941" s="177">
        <v>44054</v>
      </c>
      <c r="V941" s="177">
        <v>44055</v>
      </c>
      <c r="W941" s="177">
        <v>44057</v>
      </c>
      <c r="X941" s="176">
        <v>71345</v>
      </c>
      <c r="Y941" s="177">
        <v>44075</v>
      </c>
      <c r="Z941" s="415">
        <v>5</v>
      </c>
      <c r="AA941" s="488"/>
      <c r="AB941" s="594"/>
      <c r="AC941" s="595"/>
      <c r="AD941" s="596" t="str">
        <f>IF(AND(AC941&lt;&gt;"",S941&lt;&gt;""),NETWORKDAYS(AC941,S941,#REF!),"")</f>
        <v/>
      </c>
      <c r="AE941" s="596" t="str">
        <f ca="1">IF(AND(AD941="",AC941=""),"",IF(OR(AD941&lt;&gt;"",O941="*CANCELADO"),"",NETWORKDAYS(AC941,TODAY(),#REF!)))</f>
        <v/>
      </c>
      <c r="AF941" s="597" t="str">
        <f>IFERROR(INDEX(produtos_escape2!M:M,MATCH(Controle!H941,produtos_escape2!A:A,0)),"")</f>
        <v>ANLODIPINO</v>
      </c>
    </row>
    <row r="942" spans="1:32" ht="14.25" customHeight="1">
      <c r="A942" s="176" t="s">
        <v>8116</v>
      </c>
      <c r="B942" s="176" t="s">
        <v>7207</v>
      </c>
      <c r="C942" s="177">
        <v>44042</v>
      </c>
      <c r="D942" s="176" t="s">
        <v>9618</v>
      </c>
      <c r="E942" s="176" t="s">
        <v>3009</v>
      </c>
      <c r="F942" s="259" t="s">
        <v>9619</v>
      </c>
      <c r="G942" s="176">
        <v>1</v>
      </c>
      <c r="H942" s="178">
        <v>37456</v>
      </c>
      <c r="I942" s="592">
        <f t="shared" si="31"/>
        <v>1</v>
      </c>
      <c r="J942" s="178" t="s">
        <v>816</v>
      </c>
      <c r="K942" s="178" t="s">
        <v>816</v>
      </c>
      <c r="L942" s="275" t="str">
        <f>IF(H:H=0,"",IF(ISERROR(VLOOKUP(H:H,produtos_escape2!$A$2:$B$2794,2,FALSE)),"Código não cadastrado",(VLOOKUP(H:H,produtos_escape2!$A$2:$B$2794,2,FALSE))))</f>
        <v>MANGUEIRA que conecta o manguito ao monitor. É obrigatório o seu uso em conjunto com os Manguitos Adultos (1003130,10003132,10003133,10003136) e Pediátricos (10003134,10003135).</v>
      </c>
      <c r="M942" s="593" t="str">
        <f>IF(H:H=0,"",IF(ISERROR(VLOOKUP(H:H,produtos_escape2!$A$2:$D$2794,2,FALSE)),"Código não cadastrado",(VLOOKUP(H:H,produtos_escape2!$A$2:$D$2794,4,FALSE))))</f>
        <v>GR</v>
      </c>
      <c r="N942" s="486">
        <v>60</v>
      </c>
      <c r="O942" s="176" t="s">
        <v>1868</v>
      </c>
      <c r="P942" s="486"/>
      <c r="Q942" s="247">
        <v>196</v>
      </c>
      <c r="R942" s="246">
        <f t="shared" si="32"/>
        <v>0</v>
      </c>
      <c r="S942" s="177"/>
      <c r="T942" s="182"/>
      <c r="U942" s="177"/>
      <c r="V942" s="177"/>
      <c r="W942" s="177"/>
      <c r="X942" s="176"/>
      <c r="Y942" s="177"/>
      <c r="Z942" s="415">
        <v>5</v>
      </c>
      <c r="AA942" s="488" t="s">
        <v>9940</v>
      </c>
      <c r="AB942" s="594"/>
      <c r="AC942" s="595"/>
      <c r="AD942" s="596" t="str">
        <f>IF(AND(AC942&lt;&gt;"",S942&lt;&gt;""),NETWORKDAYS(AC942,S942,#REF!),"")</f>
        <v/>
      </c>
      <c r="AE942" s="596" t="str">
        <f ca="1">IF(AND(AD942="",AC942=""),"",IF(OR(AD942&lt;&gt;"",O942="*CANCELADO"),"",NETWORKDAYS(AC942,TODAY(),#REF!)))</f>
        <v/>
      </c>
      <c r="AF942" s="597" t="str">
        <f>IFERROR(INDEX(produtos_escape2!M:M,MATCH(Controle!H942,produtos_escape2!A:A,0)),"")</f>
        <v>MANGUEIRA DE MANGUITO</v>
      </c>
    </row>
    <row r="943" spans="1:32" ht="14.25" customHeight="1">
      <c r="A943" s="176" t="s">
        <v>8792</v>
      </c>
      <c r="B943" s="176" t="s">
        <v>3608</v>
      </c>
      <c r="C943" s="177">
        <v>44042</v>
      </c>
      <c r="D943" s="176" t="s">
        <v>9622</v>
      </c>
      <c r="E943" s="176" t="s">
        <v>1866</v>
      </c>
      <c r="F943" s="259" t="s">
        <v>9623</v>
      </c>
      <c r="G943" s="176">
        <v>1</v>
      </c>
      <c r="H943" s="178">
        <v>90262</v>
      </c>
      <c r="I943" s="592">
        <f t="shared" si="31"/>
        <v>4</v>
      </c>
      <c r="J943" s="178" t="s">
        <v>816</v>
      </c>
      <c r="K943" s="178" t="s">
        <v>816</v>
      </c>
      <c r="L943" s="275" t="str">
        <f>IF(H:H=0,"",IF(ISERROR(VLOOKUP(H:H,produtos_escape2!$A$2:$B$2794,2,FALSE)),"Código não cadastrado",(VLOOKUP(H:H,produtos_escape2!$A$2:$B$2794,2,FALSE))))</f>
        <v>NOREPINEFRINA (HEMITARTARATO) SOLUCAO INJETAVEL 2 MG/ML (EQUIVALENTE A 1MG/ML DE NOREPINEFRINA BASE) AMPOLA 4 ML</v>
      </c>
      <c r="M943" s="593" t="str">
        <f>IF(H:H=0,"",IF(ISERROR(VLOOKUP(H:H,produtos_escape2!$A$2:$D$2794,2,FALSE)),"Código não cadastrado",(VLOOKUP(H:H,produtos_escape2!$A$2:$D$2794,4,FALSE))))</f>
        <v>AMP</v>
      </c>
      <c r="N943" s="486">
        <v>1350</v>
      </c>
      <c r="O943" s="176" t="s">
        <v>4398</v>
      </c>
      <c r="P943" s="486">
        <v>1350</v>
      </c>
      <c r="Q943" s="247">
        <v>9.49</v>
      </c>
      <c r="R943" s="246">
        <f t="shared" si="32"/>
        <v>12811.5</v>
      </c>
      <c r="S943" s="177">
        <v>44047</v>
      </c>
      <c r="T943" s="182">
        <v>549782</v>
      </c>
      <c r="U943" s="177">
        <v>44047</v>
      </c>
      <c r="V943" s="177">
        <v>44053</v>
      </c>
      <c r="W943" s="177">
        <v>44055</v>
      </c>
      <c r="X943" s="176">
        <v>63797</v>
      </c>
      <c r="Y943" s="177">
        <v>44061</v>
      </c>
      <c r="Z943" s="415">
        <v>4</v>
      </c>
      <c r="AA943" s="488"/>
      <c r="AB943" s="594"/>
      <c r="AC943" s="595"/>
      <c r="AD943" s="596" t="str">
        <f>IF(AND(AC943&lt;&gt;"",S943&lt;&gt;""),NETWORKDAYS(AC943,S943,#REF!),"")</f>
        <v/>
      </c>
      <c r="AE943" s="596" t="str">
        <f ca="1">IF(AND(AD943="",AC943=""),"",IF(OR(AD943&lt;&gt;"",O943="*CANCELADO"),"",NETWORKDAYS(AC943,TODAY(),#REF!)))</f>
        <v/>
      </c>
      <c r="AF943" s="597" t="str">
        <f>IFERROR(INDEX(produtos_escape2!M:M,MATCH(Controle!H943,produtos_escape2!A:A,0)),"")</f>
        <v>NOREPINEFRINA (HEMITARTARATO</v>
      </c>
    </row>
    <row r="944" spans="1:32" ht="14.25" customHeight="1">
      <c r="A944" s="176" t="s">
        <v>8123</v>
      </c>
      <c r="B944" s="176" t="s">
        <v>7207</v>
      </c>
      <c r="C944" s="177">
        <v>44042</v>
      </c>
      <c r="D944" s="176" t="s">
        <v>9627</v>
      </c>
      <c r="E944" s="176" t="s">
        <v>1867</v>
      </c>
      <c r="F944" s="259" t="s">
        <v>9625</v>
      </c>
      <c r="G944" s="176">
        <v>1</v>
      </c>
      <c r="H944" s="178">
        <v>10343</v>
      </c>
      <c r="I944" s="592">
        <f t="shared" si="31"/>
        <v>3</v>
      </c>
      <c r="J944" s="178" t="s">
        <v>816</v>
      </c>
      <c r="K944" s="178" t="s">
        <v>816</v>
      </c>
      <c r="L944" s="275" t="str">
        <f>IF(H:H=0,"",IF(ISERROR(VLOOKUP(H:H,produtos_escape2!$A$2:$B$2794,2,FALSE)),"Código não cadastrado",(VLOOKUP(H:H,produtos_escape2!$A$2:$B$2794,2,FALSE))))</f>
        <v>PILHA, Tipo Carga: alcalina, Tamanho: pequeno AA2, Aplicação: uso geral, Unidade De Fornecimento: pacote com 2 unidades</v>
      </c>
      <c r="M944" s="593" t="str">
        <f>IF(H:H=0,"",IF(ISERROR(VLOOKUP(H:H,produtos_escape2!$A$2:$D$2794,2,FALSE)),"Código não cadastrado",(VLOOKUP(H:H,produtos_escape2!$A$2:$D$2794,4,FALSE))))</f>
        <v>PC</v>
      </c>
      <c r="N944" s="486">
        <v>1000</v>
      </c>
      <c r="O944" s="176" t="s">
        <v>4465</v>
      </c>
      <c r="P944" s="486">
        <v>200</v>
      </c>
      <c r="Q944" s="247">
        <v>2</v>
      </c>
      <c r="R944" s="246">
        <f t="shared" ref="R944:R975" si="33">P944*Q944</f>
        <v>400</v>
      </c>
      <c r="S944" s="177">
        <v>44061</v>
      </c>
      <c r="T944" s="182">
        <v>468</v>
      </c>
      <c r="U944" s="177">
        <v>44068</v>
      </c>
      <c r="V944" s="177">
        <v>44068</v>
      </c>
      <c r="W944" s="177">
        <v>44068</v>
      </c>
      <c r="X944" s="176">
        <v>91273</v>
      </c>
      <c r="Y944" s="177">
        <v>44104</v>
      </c>
      <c r="Z944" s="415">
        <v>5</v>
      </c>
      <c r="AA944" s="488"/>
      <c r="AB944" s="594"/>
      <c r="AC944" s="595"/>
      <c r="AD944" s="596" t="str">
        <f>IF(AND(AC944&lt;&gt;"",S944&lt;&gt;""),NETWORKDAYS(AC944,S944,#REF!),"")</f>
        <v/>
      </c>
      <c r="AE944" s="596" t="str">
        <f ca="1">IF(AND(AD944="",AC944=""),"",IF(OR(AD944&lt;&gt;"",O944="*CANCELADO"),"",NETWORKDAYS(AC944,TODAY(),#REF!)))</f>
        <v/>
      </c>
      <c r="AF944" s="597" t="str">
        <f>IFERROR(INDEX(produtos_escape2!M:M,MATCH(Controle!H944,produtos_escape2!A:A,0)),"")</f>
        <v>PILHA</v>
      </c>
    </row>
    <row r="945" spans="1:32" ht="15.75" customHeight="1">
      <c r="A945" s="176" t="s">
        <v>8123</v>
      </c>
      <c r="B945" s="176" t="s">
        <v>7207</v>
      </c>
      <c r="C945" s="177">
        <v>44042</v>
      </c>
      <c r="D945" s="176" t="s">
        <v>9627</v>
      </c>
      <c r="E945" s="176" t="s">
        <v>1867</v>
      </c>
      <c r="F945" s="259" t="s">
        <v>9625</v>
      </c>
      <c r="G945" s="176">
        <v>2</v>
      </c>
      <c r="H945" s="178">
        <v>11927</v>
      </c>
      <c r="I945" s="592">
        <f t="shared" si="31"/>
        <v>2</v>
      </c>
      <c r="J945" s="178" t="s">
        <v>816</v>
      </c>
      <c r="K945" s="178" t="s">
        <v>816</v>
      </c>
      <c r="L945" s="275" t="str">
        <f>IF(H:H=0,"",IF(ISERROR(VLOOKUP(H:H,produtos_escape2!$A$2:$B$2794,2,FALSE)),"Código não cadastrado",(VLOOKUP(H:H,produtos_escape2!$A$2:$B$2794,2,FALSE))))</f>
        <v>PILHA, Tipo Carga: alcalina, Tamanho: palito AAA2, Aplicação: uso geral, Unidade De Fornecimento: pacote com 2 unidades</v>
      </c>
      <c r="M945" s="593" t="str">
        <f>IF(H:H=0,"",IF(ISERROR(VLOOKUP(H:H,produtos_escape2!$A$2:$D$2794,2,FALSE)),"Código não cadastrado",(VLOOKUP(H:H,produtos_escape2!$A$2:$D$2794,4,FALSE))))</f>
        <v>PC</v>
      </c>
      <c r="N945" s="486">
        <v>1000</v>
      </c>
      <c r="O945" s="176" t="s">
        <v>1868</v>
      </c>
      <c r="P945" s="486"/>
      <c r="Q945" s="247"/>
      <c r="R945" s="246">
        <f t="shared" si="33"/>
        <v>0</v>
      </c>
      <c r="S945" s="177">
        <v>44061</v>
      </c>
      <c r="T945" s="182"/>
      <c r="U945" s="177"/>
      <c r="V945" s="177"/>
      <c r="W945" s="177"/>
      <c r="X945" s="176"/>
      <c r="Y945" s="177"/>
      <c r="Z945" s="415">
        <v>4</v>
      </c>
      <c r="AA945" s="488" t="s">
        <v>9784</v>
      </c>
      <c r="AB945" s="594"/>
      <c r="AC945" s="595"/>
      <c r="AD945" s="596" t="str">
        <f>IF(AND(AC945&lt;&gt;"",S945&lt;&gt;""),NETWORKDAYS(AC945,S945,#REF!),"")</f>
        <v/>
      </c>
      <c r="AE945" s="596" t="str">
        <f ca="1">IF(AND(AD945="",AC945=""),"",IF(OR(AD945&lt;&gt;"",O945="*CANCELADO"),"",NETWORKDAYS(AC945,TODAY(),#REF!)))</f>
        <v/>
      </c>
      <c r="AF945" s="597" t="str">
        <f>IFERROR(INDEX(produtos_escape2!M:M,MATCH(Controle!H945,produtos_escape2!A:A,0)),"")</f>
        <v>PILHA</v>
      </c>
    </row>
    <row r="946" spans="1:32" ht="14.25" customHeight="1">
      <c r="A946" s="176" t="s">
        <v>8125</v>
      </c>
      <c r="B946" s="176" t="s">
        <v>7207</v>
      </c>
      <c r="C946" s="177">
        <v>44042</v>
      </c>
      <c r="D946" s="176" t="s">
        <v>9626</v>
      </c>
      <c r="E946" s="176" t="s">
        <v>3009</v>
      </c>
      <c r="F946" s="259" t="s">
        <v>9630</v>
      </c>
      <c r="G946" s="176">
        <v>1</v>
      </c>
      <c r="H946" s="178">
        <v>51453</v>
      </c>
      <c r="I946" s="592">
        <f t="shared" si="31"/>
        <v>6</v>
      </c>
      <c r="J946" s="178" t="s">
        <v>816</v>
      </c>
      <c r="K946" s="178" t="s">
        <v>816</v>
      </c>
      <c r="L946" s="275"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946" s="593" t="str">
        <f>IF(H:H=0,"",IF(ISERROR(VLOOKUP(H:H,produtos_escape2!$A$2:$D$2794,2,FALSE)),"Código não cadastrado",(VLOOKUP(H:H,produtos_escape2!$A$2:$D$2794,4,FALSE))))</f>
        <v>UN</v>
      </c>
      <c r="N946" s="486">
        <v>10000</v>
      </c>
      <c r="O946" s="176" t="s">
        <v>1868</v>
      </c>
      <c r="P946" s="486"/>
      <c r="Q946" s="247">
        <v>0.76</v>
      </c>
      <c r="R946" s="246">
        <f t="shared" si="33"/>
        <v>0</v>
      </c>
      <c r="S946" s="177"/>
      <c r="T946" s="182"/>
      <c r="U946" s="177"/>
      <c r="V946" s="177"/>
      <c r="W946" s="177"/>
      <c r="X946" s="176"/>
      <c r="Y946" s="177"/>
      <c r="Z946" s="415">
        <v>5</v>
      </c>
      <c r="AA946" s="488" t="s">
        <v>9784</v>
      </c>
      <c r="AB946" s="594"/>
      <c r="AC946" s="595"/>
      <c r="AD946" s="596" t="str">
        <f>IF(AND(AC946&lt;&gt;"",S946&lt;&gt;""),NETWORKDAYS(AC946,S946,#REF!),"")</f>
        <v/>
      </c>
      <c r="AE946" s="596" t="str">
        <f ca="1">IF(AND(AD946="",AC946=""),"",IF(OR(AD946&lt;&gt;"",O946="*CANCELADO"),"",NETWORKDAYS(AC946,TODAY(),#REF!)))</f>
        <v/>
      </c>
      <c r="AF946" s="597" t="str">
        <f>IFERROR(INDEX(produtos_escape2!M:M,MATCH(Controle!H946,produtos_escape2!A:A,0)),"")</f>
        <v>GORRO DESCARTÁVEL</v>
      </c>
    </row>
    <row r="947" spans="1:32" ht="14.25" customHeight="1">
      <c r="A947" s="176" t="s">
        <v>8120</v>
      </c>
      <c r="B947" s="176" t="s">
        <v>7207</v>
      </c>
      <c r="C947" s="177">
        <v>44042</v>
      </c>
      <c r="D947" s="176" t="s">
        <v>9624</v>
      </c>
      <c r="E947" s="176" t="s">
        <v>1865</v>
      </c>
      <c r="F947" s="259" t="s">
        <v>9631</v>
      </c>
      <c r="G947" s="176">
        <v>1</v>
      </c>
      <c r="H947" s="178">
        <v>30015</v>
      </c>
      <c r="I947" s="592">
        <f t="shared" si="31"/>
        <v>1</v>
      </c>
      <c r="J947" s="178" t="s">
        <v>816</v>
      </c>
      <c r="K947" s="178" t="s">
        <v>816</v>
      </c>
      <c r="L947" s="275" t="str">
        <f>IF(H:H=0,"",IF(ISERROR(VLOOKUP(H:H,produtos_escape2!$A$2:$B$2794,2,FALSE)),"Código não cadastrado",(VLOOKUP(H:H,produtos_escape2!$A$2:$B$2794,2,FALSE))))</f>
        <v>AVENTAL DESCARTÁVEL MANGA LONGA. Material: confeccionado em filme de polietileno (tipo plástico) matéria prima não reciclada, espessura mínima de 0,06 micras, 100% impermeável Tam. "G" comprimento/altura comprimento mínimo de 1,20 cm.</v>
      </c>
      <c r="M947" s="593" t="str">
        <f>IF(H:H=0,"",IF(ISERROR(VLOOKUP(H:H,produtos_escape2!$A$2:$D$2794,2,FALSE)),"Código não cadastrado",(VLOOKUP(H:H,produtos_escape2!$A$2:$D$2794,4,FALSE))))</f>
        <v>UN</v>
      </c>
      <c r="N947" s="486">
        <v>3000</v>
      </c>
      <c r="O947" s="176" t="s">
        <v>3530</v>
      </c>
      <c r="P947" s="486">
        <v>3000</v>
      </c>
      <c r="Q947" s="247">
        <v>5.3</v>
      </c>
      <c r="R947" s="246">
        <f t="shared" si="33"/>
        <v>15900</v>
      </c>
      <c r="S947" s="177">
        <v>44099</v>
      </c>
      <c r="T947" s="182">
        <v>1145</v>
      </c>
      <c r="U947" s="177">
        <v>44109</v>
      </c>
      <c r="V947" s="177">
        <v>44110</v>
      </c>
      <c r="W947" s="177">
        <v>44111</v>
      </c>
      <c r="X947" s="176">
        <v>18621</v>
      </c>
      <c r="Y947" s="177">
        <v>44147</v>
      </c>
      <c r="Z947" s="415">
        <v>6</v>
      </c>
      <c r="AA947" s="488"/>
      <c r="AB947" s="594"/>
      <c r="AC947" s="595"/>
      <c r="AD947" s="596" t="str">
        <f>IF(AND(AC947&lt;&gt;"",S947&lt;&gt;""),NETWORKDAYS(AC947,S947,#REF!),"")</f>
        <v/>
      </c>
      <c r="AE947" s="596" t="str">
        <f ca="1">IF(AND(AD947="",AC947=""),"",IF(OR(AD947&lt;&gt;"",O947="*CANCELADO"),"",NETWORKDAYS(AC947,TODAY(),#REF!)))</f>
        <v/>
      </c>
      <c r="AF947" s="597" t="str">
        <f>IFERROR(INDEX(produtos_escape2!M:M,MATCH(Controle!H947,produtos_escape2!A:A,0)),"")</f>
        <v>AVENTAL DESCARTÁVEL MANGA LONGA</v>
      </c>
    </row>
    <row r="948" spans="1:32" ht="14.25" customHeight="1">
      <c r="A948" s="176" t="s">
        <v>8794</v>
      </c>
      <c r="B948" s="176" t="s">
        <v>3608</v>
      </c>
      <c r="C948" s="177">
        <v>44042</v>
      </c>
      <c r="D948" s="176" t="s">
        <v>9629</v>
      </c>
      <c r="E948" s="176" t="s">
        <v>1866</v>
      </c>
      <c r="F948" s="259" t="s">
        <v>9632</v>
      </c>
      <c r="G948" s="176">
        <v>1</v>
      </c>
      <c r="H948" s="178">
        <v>92402</v>
      </c>
      <c r="I948" s="592">
        <f t="shared" si="31"/>
        <v>9</v>
      </c>
      <c r="J948" s="178" t="s">
        <v>816</v>
      </c>
      <c r="K948" s="178" t="s">
        <v>816</v>
      </c>
      <c r="L948" s="275"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948" s="593" t="str">
        <f>IF(H:H=0,"",IF(ISERROR(VLOOKUP(H:H,produtos_escape2!$A$2:$D$2794,2,FALSE)),"Código não cadastrado",(VLOOKUP(H:H,produtos_escape2!$A$2:$D$2794,4,FALSE))))</f>
        <v>PAR</v>
      </c>
      <c r="N948" s="486">
        <v>5000</v>
      </c>
      <c r="O948" s="176" t="s">
        <v>7268</v>
      </c>
      <c r="P948" s="486">
        <v>5000</v>
      </c>
      <c r="Q948" s="247">
        <v>1.4</v>
      </c>
      <c r="R948" s="246">
        <f t="shared" si="33"/>
        <v>7000</v>
      </c>
      <c r="S948" s="177">
        <v>44046</v>
      </c>
      <c r="T948" s="182">
        <v>14514</v>
      </c>
      <c r="U948" s="177">
        <v>44046</v>
      </c>
      <c r="V948" s="177">
        <v>44047</v>
      </c>
      <c r="W948" s="177">
        <v>44055</v>
      </c>
      <c r="X948" s="176">
        <v>63767</v>
      </c>
      <c r="Y948" s="177">
        <v>44061</v>
      </c>
      <c r="Z948" s="415">
        <v>4</v>
      </c>
      <c r="AA948" s="488"/>
      <c r="AB948" s="594"/>
      <c r="AC948" s="595"/>
      <c r="AD948" s="596" t="str">
        <f>IF(AND(AC948&lt;&gt;"",S948&lt;&gt;""),NETWORKDAYS(AC948,S948,#REF!),"")</f>
        <v/>
      </c>
      <c r="AE948" s="596" t="str">
        <f ca="1">IF(AND(AD948="",AC948=""),"",IF(OR(AD948&lt;&gt;"",O948="*CANCELADO"),"",NETWORKDAYS(AC948,TODAY(),#REF!)))</f>
        <v/>
      </c>
      <c r="AF948" s="597" t="str">
        <f>IFERROR(INDEX(produtos_escape2!M:M,MATCH(Controle!H948,produtos_escape2!A:A,0)),"")</f>
        <v>LUVA CIRURGICA CONVENCIONAL Nº 7</v>
      </c>
    </row>
    <row r="949" spans="1:32" ht="14.25" customHeight="1">
      <c r="A949" s="176" t="s">
        <v>8794</v>
      </c>
      <c r="B949" s="176" t="s">
        <v>3608</v>
      </c>
      <c r="C949" s="177">
        <v>44042</v>
      </c>
      <c r="D949" s="176" t="s">
        <v>9629</v>
      </c>
      <c r="E949" s="176" t="s">
        <v>1866</v>
      </c>
      <c r="F949" s="259" t="s">
        <v>9632</v>
      </c>
      <c r="G949" s="176">
        <v>2</v>
      </c>
      <c r="H949" s="178">
        <v>92410</v>
      </c>
      <c r="I949" s="592">
        <f t="shared" si="31"/>
        <v>7</v>
      </c>
      <c r="J949" s="178" t="s">
        <v>816</v>
      </c>
      <c r="K949" s="178" t="s">
        <v>816</v>
      </c>
      <c r="L949" s="275"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949" s="593" t="str">
        <f>IF(H:H=0,"",IF(ISERROR(VLOOKUP(H:H,produtos_escape2!$A$2:$D$2794,2,FALSE)),"Código não cadastrado",(VLOOKUP(H:H,produtos_escape2!$A$2:$D$2794,4,FALSE))))</f>
        <v>PAR</v>
      </c>
      <c r="N949" s="486">
        <v>3000</v>
      </c>
      <c r="O949" s="176" t="s">
        <v>7268</v>
      </c>
      <c r="P949" s="486">
        <v>1400</v>
      </c>
      <c r="Q949" s="247">
        <v>1.4</v>
      </c>
      <c r="R949" s="246">
        <f t="shared" si="33"/>
        <v>1959.9999999999998</v>
      </c>
      <c r="S949" s="177">
        <v>44046</v>
      </c>
      <c r="T949" s="182">
        <v>14514</v>
      </c>
      <c r="U949" s="177">
        <v>44046</v>
      </c>
      <c r="V949" s="177">
        <v>44047</v>
      </c>
      <c r="W949" s="177">
        <v>44055</v>
      </c>
      <c r="X949" s="176">
        <v>63767</v>
      </c>
      <c r="Y949" s="177">
        <v>44061</v>
      </c>
      <c r="Z949" s="415">
        <v>4</v>
      </c>
      <c r="AA949" s="488"/>
      <c r="AB949" s="594"/>
      <c r="AC949" s="595"/>
      <c r="AD949" s="596" t="str">
        <f>IF(AND(AC949&lt;&gt;"",S949&lt;&gt;""),NETWORKDAYS(AC949,S949,#REF!),"")</f>
        <v/>
      </c>
      <c r="AE949" s="596" t="str">
        <f ca="1">IF(AND(AD949="",AC949=""),"",IF(OR(AD949&lt;&gt;"",O949="*CANCELADO"),"",NETWORKDAYS(AC949,TODAY(),#REF!)))</f>
        <v/>
      </c>
      <c r="AF949" s="597" t="str">
        <f>IFERROR(INDEX(produtos_escape2!M:M,MATCH(Controle!H949,produtos_escape2!A:A,0)),"")</f>
        <v>LUVA CIRURGICA CONVENCIONAL Nº 6,5</v>
      </c>
    </row>
    <row r="950" spans="1:32" ht="14.25" customHeight="1">
      <c r="A950" s="176" t="s">
        <v>8796</v>
      </c>
      <c r="B950" s="176" t="s">
        <v>3608</v>
      </c>
      <c r="C950" s="177">
        <v>44043</v>
      </c>
      <c r="D950" s="176" t="s">
        <v>9642</v>
      </c>
      <c r="E950" s="176" t="s">
        <v>1867</v>
      </c>
      <c r="F950" s="259" t="s">
        <v>9643</v>
      </c>
      <c r="G950" s="176">
        <v>2</v>
      </c>
      <c r="H950" s="178">
        <v>36169</v>
      </c>
      <c r="I950" s="592">
        <f t="shared" si="31"/>
        <v>6</v>
      </c>
      <c r="J950" s="178" t="s">
        <v>816</v>
      </c>
      <c r="K950" s="178" t="s">
        <v>816</v>
      </c>
      <c r="L950" s="275"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950" s="593" t="str">
        <f>IF(H:H=0,"",IF(ISERROR(VLOOKUP(H:H,produtos_escape2!$A$2:$D$2794,2,FALSE)),"Código não cadastrado",(VLOOKUP(H:H,produtos_escape2!$A$2:$D$2794,4,FALSE))))</f>
        <v>UN</v>
      </c>
      <c r="N950" s="486">
        <v>3000</v>
      </c>
      <c r="O950" s="176" t="s">
        <v>4357</v>
      </c>
      <c r="P950" s="486">
        <v>3000</v>
      </c>
      <c r="Q950" s="247">
        <v>0.40200000000000002</v>
      </c>
      <c r="R950" s="246">
        <f t="shared" si="33"/>
        <v>1206</v>
      </c>
      <c r="S950" s="177">
        <v>44050</v>
      </c>
      <c r="T950" s="182">
        <v>1750</v>
      </c>
      <c r="U950" s="177">
        <v>44050</v>
      </c>
      <c r="V950" s="177">
        <v>44050</v>
      </c>
      <c r="W950" s="177">
        <v>44055</v>
      </c>
      <c r="X950" s="176">
        <v>63512</v>
      </c>
      <c r="Y950" s="177">
        <v>44061</v>
      </c>
      <c r="Z950" s="415">
        <v>4</v>
      </c>
      <c r="AA950" s="488"/>
      <c r="AB950" s="594"/>
      <c r="AC950" s="595"/>
      <c r="AD950" s="596" t="str">
        <f>IF(AND(AC950&lt;&gt;"",S950&lt;&gt;""),NETWORKDAYS(AC950,S950,#REF!),"")</f>
        <v/>
      </c>
      <c r="AE950" s="596" t="str">
        <f ca="1">IF(AND(AD950="",AC950=""),"",IF(OR(AD950&lt;&gt;"",O950="*CANCELADO"),"",NETWORKDAYS(AC950,TODAY(),#REF!)))</f>
        <v/>
      </c>
      <c r="AF950" s="597" t="str">
        <f>IFERROR(INDEX(produtos_escape2!M:M,MATCH(Controle!H950,produtos_escape2!A:A,0)),"")</f>
        <v>LUVA NITRÍLICA M</v>
      </c>
    </row>
    <row r="951" spans="1:32" ht="14.25" customHeight="1">
      <c r="A951" s="176" t="s">
        <v>8796</v>
      </c>
      <c r="B951" s="176" t="s">
        <v>3608</v>
      </c>
      <c r="C951" s="177">
        <v>44043</v>
      </c>
      <c r="D951" s="176" t="s">
        <v>9642</v>
      </c>
      <c r="E951" s="176" t="s">
        <v>1867</v>
      </c>
      <c r="F951" s="259" t="s">
        <v>9643</v>
      </c>
      <c r="G951" s="176">
        <v>1</v>
      </c>
      <c r="H951" s="178">
        <v>36048</v>
      </c>
      <c r="I951" s="592">
        <f t="shared" si="31"/>
        <v>5</v>
      </c>
      <c r="J951" s="178" t="s">
        <v>816</v>
      </c>
      <c r="K951" s="178" t="s">
        <v>816</v>
      </c>
      <c r="L951" s="275"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951" s="593" t="str">
        <f>IF(H:H=0,"",IF(ISERROR(VLOOKUP(H:H,produtos_escape2!$A$2:$D$2794,2,FALSE)),"Código não cadastrado",(VLOOKUP(H:H,produtos_escape2!$A$2:$D$2794,4,FALSE))))</f>
        <v>UN</v>
      </c>
      <c r="N951" s="486">
        <v>3000</v>
      </c>
      <c r="O951" s="176" t="s">
        <v>4357</v>
      </c>
      <c r="P951" s="486">
        <v>3000</v>
      </c>
      <c r="Q951" s="247">
        <v>0.40200000000000002</v>
      </c>
      <c r="R951" s="246">
        <f t="shared" si="33"/>
        <v>1206</v>
      </c>
      <c r="S951" s="177">
        <v>44050</v>
      </c>
      <c r="T951" s="182">
        <v>1750</v>
      </c>
      <c r="U951" s="177">
        <v>44050</v>
      </c>
      <c r="V951" s="177">
        <v>44050</v>
      </c>
      <c r="W951" s="177">
        <v>44055</v>
      </c>
      <c r="X951" s="176">
        <v>63512</v>
      </c>
      <c r="Y951" s="177">
        <v>44061</v>
      </c>
      <c r="Z951" s="415">
        <v>4</v>
      </c>
      <c r="AA951" s="488"/>
      <c r="AB951" s="594"/>
      <c r="AC951" s="595"/>
      <c r="AD951" s="596" t="str">
        <f>IF(AND(AC951&lt;&gt;"",S951&lt;&gt;""),NETWORKDAYS(AC951,S951,#REF!),"")</f>
        <v/>
      </c>
      <c r="AE951" s="596" t="str">
        <f ca="1">IF(AND(AD951="",AC951=""),"",IF(OR(AD951&lt;&gt;"",O951="*CANCELADO"),"",NETWORKDAYS(AC951,TODAY(),#REF!)))</f>
        <v/>
      </c>
      <c r="AF951" s="597" t="str">
        <f>IFERROR(INDEX(produtos_escape2!M:M,MATCH(Controle!H951,produtos_escape2!A:A,0)),"")</f>
        <v>LUVA NITRÍLICA P</v>
      </c>
    </row>
    <row r="952" spans="1:32" ht="14.25" customHeight="1">
      <c r="A952" s="176" t="s">
        <v>9644</v>
      </c>
      <c r="B952" s="176" t="s">
        <v>3608</v>
      </c>
      <c r="C952" s="177">
        <v>44043</v>
      </c>
      <c r="D952" s="176" t="s">
        <v>9645</v>
      </c>
      <c r="E952" s="176" t="s">
        <v>3009</v>
      </c>
      <c r="F952" s="259" t="s">
        <v>9646</v>
      </c>
      <c r="G952" s="176">
        <v>1</v>
      </c>
      <c r="H952" s="178">
        <v>90925</v>
      </c>
      <c r="I952" s="592">
        <f t="shared" si="31"/>
        <v>8</v>
      </c>
      <c r="J952" s="178" t="s">
        <v>816</v>
      </c>
      <c r="K952" s="178" t="s">
        <v>816</v>
      </c>
      <c r="L952" s="275" t="str">
        <f>IF(H:H=0,"",IF(ISERROR(VLOOKUP(H:H,produtos_escape2!$A$2:$B$2794,2,FALSE)),"Código não cadastrado",(VLOOKUP(H:H,produtos_escape2!$A$2:$B$2794,2,FALSE))))</f>
        <v>CEFAZOLINA SODICA PO PARA SOLUCAO INJETAVEL 1 G FRASCO AMPOLA</v>
      </c>
      <c r="M952" s="593" t="str">
        <f>IF(H:H=0,"",IF(ISERROR(VLOOKUP(H:H,produtos_escape2!$A$2:$D$2794,2,FALSE)),"Código não cadastrado",(VLOOKUP(H:H,produtos_escape2!$A$2:$D$2794,4,FALSE))))</f>
        <v>AMP</v>
      </c>
      <c r="N952" s="486">
        <v>1000</v>
      </c>
      <c r="O952" s="176" t="s">
        <v>7371</v>
      </c>
      <c r="P952" s="486">
        <v>240</v>
      </c>
      <c r="Q952" s="247">
        <v>12.67</v>
      </c>
      <c r="R952" s="246">
        <f t="shared" si="33"/>
        <v>3040.8</v>
      </c>
      <c r="S952" s="177">
        <v>44055</v>
      </c>
      <c r="T952" s="182">
        <v>361992</v>
      </c>
      <c r="U952" s="177">
        <v>44055</v>
      </c>
      <c r="V952" s="177">
        <v>44056</v>
      </c>
      <c r="W952" s="177">
        <v>44057</v>
      </c>
      <c r="X952" s="176">
        <v>71361</v>
      </c>
      <c r="Y952" s="177">
        <v>44075</v>
      </c>
      <c r="Z952" s="415">
        <v>5</v>
      </c>
      <c r="AA952" s="488"/>
      <c r="AB952" s="594"/>
      <c r="AC952" s="595"/>
      <c r="AD952" s="596" t="str">
        <f>IF(AND(AC952&lt;&gt;"",S952&lt;&gt;""),NETWORKDAYS(AC952,S952,#REF!),"")</f>
        <v/>
      </c>
      <c r="AE952" s="596" t="str">
        <f ca="1">IF(AND(AD952="",AC952=""),"",IF(OR(AD952&lt;&gt;"",O952="*CANCELADO"),"",NETWORKDAYS(AC952,TODAY(),#REF!)))</f>
        <v/>
      </c>
      <c r="AF952" s="597" t="str">
        <f>IFERROR(INDEX(produtos_escape2!M:M,MATCH(Controle!H952,produtos_escape2!A:A,0)),"")</f>
        <v>CEFAZOLINA SODICA PO PARA SOLUCAO INJETAVEL 1 G FRASCO AMPOLA</v>
      </c>
    </row>
    <row r="953" spans="1:32" ht="14.25" customHeight="1">
      <c r="A953" s="176" t="s">
        <v>8798</v>
      </c>
      <c r="B953" s="176" t="s">
        <v>3608</v>
      </c>
      <c r="C953" s="177">
        <v>44043</v>
      </c>
      <c r="D953" s="176" t="s">
        <v>9647</v>
      </c>
      <c r="E953" s="176" t="s">
        <v>1865</v>
      </c>
      <c r="F953" s="259" t="s">
        <v>9648</v>
      </c>
      <c r="G953" s="176">
        <v>1</v>
      </c>
      <c r="H953" s="178">
        <v>33729</v>
      </c>
      <c r="I953" s="592">
        <f t="shared" si="31"/>
        <v>3</v>
      </c>
      <c r="J953" s="178" t="s">
        <v>816</v>
      </c>
      <c r="K953" s="178" t="s">
        <v>816</v>
      </c>
      <c r="L953" s="275" t="str">
        <f>IF(H:H=0,"",IF(ISERROR(VLOOKUP(H:H,produtos_escape2!$A$2:$B$2794,2,FALSE)),"Código não cadastrado",(VLOOKUP(H:H,produtos_escape2!$A$2:$B$2794,2,FALSE))))</f>
        <v>DEXTROCETAMINA SOLUÇAO INJETAVEL 50MG/ML FRASCO-AMPOLA 2ML</v>
      </c>
      <c r="M953" s="593" t="str">
        <f>IF(H:H=0,"",IF(ISERROR(VLOOKUP(H:H,produtos_escape2!$A$2:$D$2794,2,FALSE)),"Código não cadastrado",(VLOOKUP(H:H,produtos_escape2!$A$2:$D$2794,4,FALSE))))</f>
        <v>FA</v>
      </c>
      <c r="N953" s="486">
        <v>150</v>
      </c>
      <c r="O953" s="176" t="s">
        <v>4401</v>
      </c>
      <c r="P953" s="486">
        <v>100</v>
      </c>
      <c r="Q953" s="247">
        <v>13.6</v>
      </c>
      <c r="R953" s="246">
        <f t="shared" si="33"/>
        <v>1360</v>
      </c>
      <c r="S953" s="177">
        <v>44048</v>
      </c>
      <c r="T953" s="182">
        <v>2697355</v>
      </c>
      <c r="U953" s="177">
        <v>44053</v>
      </c>
      <c r="V953" s="177">
        <v>44055</v>
      </c>
      <c r="W953" s="177">
        <v>44057</v>
      </c>
      <c r="X953" s="176">
        <v>91186</v>
      </c>
      <c r="Y953" s="177">
        <v>44104</v>
      </c>
      <c r="Z953" s="415">
        <v>5</v>
      </c>
      <c r="AA953" s="488"/>
      <c r="AB953" s="594"/>
      <c r="AC953" s="595"/>
      <c r="AD953" s="596" t="str">
        <f>IF(AND(AC953&lt;&gt;"",S953&lt;&gt;""),NETWORKDAYS(AC953,S953,#REF!),"")</f>
        <v/>
      </c>
      <c r="AE953" s="596" t="str">
        <f ca="1">IF(AND(AD953="",AC953=""),"",IF(OR(AD953&lt;&gt;"",O953="*CANCELADO"),"",NETWORKDAYS(AC953,TODAY(),#REF!)))</f>
        <v/>
      </c>
      <c r="AF953" s="597" t="str">
        <f>IFERROR(INDEX(produtos_escape2!M:M,MATCH(Controle!H953,produtos_escape2!A:A,0)),"")</f>
        <v>DEXTROCETAMINA SOLUÇAO INJETAVEL 50MG/ML FRASCO-AMPOLA 2ML</v>
      </c>
    </row>
    <row r="954" spans="1:32" ht="15.75" customHeight="1">
      <c r="A954" s="176" t="s">
        <v>8800</v>
      </c>
      <c r="B954" s="176" t="s">
        <v>3608</v>
      </c>
      <c r="C954" s="177">
        <v>44043</v>
      </c>
      <c r="D954" s="176" t="s">
        <v>9649</v>
      </c>
      <c r="E954" s="176" t="s">
        <v>1866</v>
      </c>
      <c r="F954" s="259" t="s">
        <v>9650</v>
      </c>
      <c r="G954" s="176">
        <v>1</v>
      </c>
      <c r="H954" s="178">
        <v>90029</v>
      </c>
      <c r="I954" s="592">
        <f t="shared" si="31"/>
        <v>7</v>
      </c>
      <c r="J954" s="178" t="s">
        <v>816</v>
      </c>
      <c r="K954" s="178" t="s">
        <v>816</v>
      </c>
      <c r="L954" s="275" t="str">
        <f>IF(H:H=0,"",IF(ISERROR(VLOOKUP(H:H,produtos_escape2!$A$2:$B$2794,2,FALSE)),"Código não cadastrado",(VLOOKUP(H:H,produtos_escape2!$A$2:$B$2794,2,FALSE))))</f>
        <v>PROXIMETACAINA (CLORIDRATO) SOLUÇAO OFTALMICA 0,5 % FRASCO CONTA-GOTA 5 ML</v>
      </c>
      <c r="M954" s="593" t="str">
        <f>IF(H:H=0,"",IF(ISERROR(VLOOKUP(H:H,produtos_escape2!$A$2:$D$2794,2,FALSE)),"Código não cadastrado",(VLOOKUP(H:H,produtos_escape2!$A$2:$D$2794,4,FALSE))))</f>
        <v>FR</v>
      </c>
      <c r="N954" s="486">
        <v>5</v>
      </c>
      <c r="O954" s="176" t="s">
        <v>1868</v>
      </c>
      <c r="P954" s="486"/>
      <c r="Q954" s="247"/>
      <c r="R954" s="246">
        <f t="shared" si="33"/>
        <v>0</v>
      </c>
      <c r="S954" s="177">
        <v>44049</v>
      </c>
      <c r="T954" s="182"/>
      <c r="U954" s="177"/>
      <c r="V954" s="177"/>
      <c r="W954" s="177"/>
      <c r="X954" s="176"/>
      <c r="Y954" s="177"/>
      <c r="Z954" s="415">
        <v>4</v>
      </c>
      <c r="AA954" s="488" t="s">
        <v>7474</v>
      </c>
      <c r="AB954" s="594"/>
      <c r="AC954" s="595"/>
      <c r="AD954" s="596" t="str">
        <f>IF(AND(AC954&lt;&gt;"",S954&lt;&gt;""),NETWORKDAYS(AC954,S954,#REF!),"")</f>
        <v/>
      </c>
      <c r="AE954" s="596" t="str">
        <f ca="1">IF(AND(AD954="",AC954=""),"",IF(OR(AD954&lt;&gt;"",O954="*CANCELADO"),"",NETWORKDAYS(AC954,TODAY(),#REF!)))</f>
        <v/>
      </c>
      <c r="AF954" s="597" t="str">
        <f>IFERROR(INDEX(produtos_escape2!M:M,MATCH(Controle!H954,produtos_escape2!A:A,0)),"")</f>
        <v>PROXIMETACAINA (CLORIDRATO) SOLUÇAO OFTALMICA 0</v>
      </c>
    </row>
    <row r="955" spans="1:32" ht="14.25" customHeight="1">
      <c r="A955" s="176" t="s">
        <v>8803</v>
      </c>
      <c r="B955" s="176" t="s">
        <v>3608</v>
      </c>
      <c r="C955" s="177">
        <v>44043</v>
      </c>
      <c r="D955" s="176" t="s">
        <v>9651</v>
      </c>
      <c r="E955" s="176" t="s">
        <v>1867</v>
      </c>
      <c r="F955" s="259" t="s">
        <v>9652</v>
      </c>
      <c r="G955" s="176">
        <v>1</v>
      </c>
      <c r="H955" s="178">
        <v>22607</v>
      </c>
      <c r="I955" s="592">
        <f t="shared" si="31"/>
        <v>2</v>
      </c>
      <c r="J955" s="178" t="s">
        <v>816</v>
      </c>
      <c r="K955" s="178" t="s">
        <v>816</v>
      </c>
      <c r="L955" s="275" t="str">
        <f>IF(H:H=0,"",IF(ISERROR(VLOOKUP(H:H,produtos_escape2!$A$2:$B$2794,2,FALSE)),"Código não cadastrado",(VLOOKUP(H:H,produtos_escape2!$A$2:$B$2794,2,FALSE))))</f>
        <v>KIT DE LIGADURA ELASTICA DE VARIZES DE ESÔFAGO. descartável e estéril, contendo pelo menos 01 tambor com no mínimo, 6 (seis) anéis, sendo o penúltimo de coloração mais clara. Podem ser confeccionados em neoprene látex-free ou em polietileno, borracha de látex, vectron, poliuretano ou policarbonado. Deve ser acondicionado em embalagem individual e deve ser compatível com canal do endoscópio de 2,8 mm.</v>
      </c>
      <c r="M955" s="593" t="str">
        <f>IF(H:H=0,"",IF(ISERROR(VLOOKUP(H:H,produtos_escape2!$A$2:$D$2794,2,FALSE)),"Código não cadastrado",(VLOOKUP(H:H,produtos_escape2!$A$2:$D$2794,4,FALSE))))</f>
        <v>KIT</v>
      </c>
      <c r="N955" s="486">
        <v>8</v>
      </c>
      <c r="O955" s="176" t="s">
        <v>1868</v>
      </c>
      <c r="P955" s="486"/>
      <c r="Q955" s="247">
        <v>909.99</v>
      </c>
      <c r="R955" s="246">
        <f t="shared" si="33"/>
        <v>0</v>
      </c>
      <c r="S955" s="177">
        <v>44055</v>
      </c>
      <c r="T955" s="182"/>
      <c r="U955" s="177"/>
      <c r="V955" s="177"/>
      <c r="W955" s="177"/>
      <c r="X955" s="176"/>
      <c r="Y955" s="177"/>
      <c r="Z955" s="415">
        <v>4</v>
      </c>
      <c r="AA955" s="488" t="s">
        <v>9705</v>
      </c>
      <c r="AB955" s="594"/>
      <c r="AC955" s="595"/>
      <c r="AD955" s="596" t="str">
        <f>IF(AND(AC955&lt;&gt;"",S955&lt;&gt;""),NETWORKDAYS(AC955,S955,#REF!),"")</f>
        <v/>
      </c>
      <c r="AE955" s="596" t="str">
        <f ca="1">IF(AND(AD955="",AC955=""),"",IF(OR(AD955&lt;&gt;"",O955="*CANCELADO"),"",NETWORKDAYS(AC955,TODAY(),#REF!)))</f>
        <v/>
      </c>
      <c r="AF955" s="597" t="str">
        <f>IFERROR(INDEX(produtos_escape2!M:M,MATCH(Controle!H955,produtos_escape2!A:A,0)),"")</f>
        <v>KIT DE LIGADURA ELASTICA DE VARIZES ESOFAGIANAS</v>
      </c>
    </row>
    <row r="956" spans="1:32" ht="14.25" customHeight="1">
      <c r="A956" s="176" t="s">
        <v>8805</v>
      </c>
      <c r="B956" s="176" t="s">
        <v>3608</v>
      </c>
      <c r="C956" s="177">
        <v>44043</v>
      </c>
      <c r="D956" s="176" t="s">
        <v>9654</v>
      </c>
      <c r="E956" s="176" t="s">
        <v>3009</v>
      </c>
      <c r="F956" s="259" t="s">
        <v>9655</v>
      </c>
      <c r="G956" s="176">
        <v>1</v>
      </c>
      <c r="H956" s="178">
        <v>92133</v>
      </c>
      <c r="I956" s="592">
        <f t="shared" si="31"/>
        <v>3</v>
      </c>
      <c r="J956" s="178" t="s">
        <v>816</v>
      </c>
      <c r="K956" s="178" t="s">
        <v>816</v>
      </c>
      <c r="L956" s="275" t="str">
        <f>IF(H:H=0,"",IF(ISERROR(VLOOKUP(H:H,produtos_escape2!$A$2:$B$2794,2,FALSE)),"Código não cadastrado",(VLOOKUP(H:H,produtos_escape2!$A$2:$B$2794,2,FALSE))))</f>
        <v>CATETER DUPLO LUMEN PARA HEMODIALISE, USO ADULTO. Aplicação: Hemodialise. Material: poliuretano tipo 2, termosensível, radiopaco, centimentrado, estéril, descartável. Tamanho: Cateter com duplo lumen com 12 a 14FR, comprimento 20CM, com introdutor, dilatador de vaso, fio guia metálico demarcado com ponta em 'J', seringa. Características adicionais: agulha introdutora com válvula antirefluxo, clamp duplo fixação, set punção, ponta atraumatica.</v>
      </c>
      <c r="M956" s="593" t="str">
        <f>IF(H:H=0,"",IF(ISERROR(VLOOKUP(H:H,produtos_escape2!$A$2:$D$2794,2,FALSE)),"Código não cadastrado",(VLOOKUP(H:H,produtos_escape2!$A$2:$D$2794,4,FALSE))))</f>
        <v>UN</v>
      </c>
      <c r="N956" s="486">
        <v>50</v>
      </c>
      <c r="O956" s="176" t="s">
        <v>9471</v>
      </c>
      <c r="P956" s="486">
        <v>15</v>
      </c>
      <c r="Q956" s="247">
        <v>120.87</v>
      </c>
      <c r="R956" s="246">
        <f t="shared" si="33"/>
        <v>1813.0500000000002</v>
      </c>
      <c r="S956" s="177">
        <v>44055</v>
      </c>
      <c r="T956" s="182">
        <v>156715</v>
      </c>
      <c r="U956" s="177">
        <v>44057</v>
      </c>
      <c r="V956" s="177">
        <v>44061</v>
      </c>
      <c r="W956" s="177">
        <v>44062</v>
      </c>
      <c r="X956" s="176">
        <v>71355</v>
      </c>
      <c r="Y956" s="177">
        <v>44075</v>
      </c>
      <c r="Z956" s="415">
        <v>5</v>
      </c>
      <c r="AA956" s="488"/>
      <c r="AB956" s="594"/>
      <c r="AC956" s="595"/>
      <c r="AD956" s="596" t="str">
        <f>IF(AND(AC956&lt;&gt;"",S956&lt;&gt;""),NETWORKDAYS(AC956,S956,#REF!),"")</f>
        <v/>
      </c>
      <c r="AE956" s="596" t="str">
        <f ca="1">IF(AND(AD956="",AC956=""),"",IF(OR(AD956&lt;&gt;"",O956="*CANCELADO"),"",NETWORKDAYS(AC956,TODAY(),#REF!)))</f>
        <v/>
      </c>
      <c r="AF956" s="597" t="str">
        <f>IFERROR(INDEX(produtos_escape2!M:M,MATCH(Controle!H956,produtos_escape2!A:A,0)),"")</f>
        <v>CATETER DUPLO LUMEN PARA HEMODIALISE</v>
      </c>
    </row>
    <row r="957" spans="1:32" ht="15" customHeight="1">
      <c r="A957" s="176" t="s">
        <v>8807</v>
      </c>
      <c r="B957" s="176" t="s">
        <v>3608</v>
      </c>
      <c r="C957" s="177">
        <v>44043</v>
      </c>
      <c r="D957" s="176" t="s">
        <v>9656</v>
      </c>
      <c r="E957" s="176" t="s">
        <v>1866</v>
      </c>
      <c r="F957" s="259" t="s">
        <v>9657</v>
      </c>
      <c r="G957" s="176">
        <v>1</v>
      </c>
      <c r="H957" s="178">
        <v>12286</v>
      </c>
      <c r="I957" s="592">
        <f t="shared" si="31"/>
        <v>5</v>
      </c>
      <c r="J957" s="178" t="s">
        <v>816</v>
      </c>
      <c r="K957" s="178" t="s">
        <v>816</v>
      </c>
      <c r="L957" s="275" t="str">
        <f>IF(H:H=0,"",IF(ISERROR(VLOOKUP(H:H,produtos_escape2!$A$2:$B$2794,2,FALSE)),"Código não cadastrado",(VLOOKUP(H:H,produtos_escape2!$A$2:$B$2794,2,FALSE))))</f>
        <v>SISTEMA FECHADO DE ASPIRAÇÃO TRAQUEAL VIA TUBO OROTRAQUEAL ADULTO 14 FR, ESTÉRIL. Aplicação: aspiração de secreção traqueal via tubo orotraqueal. Material: sonda de silicone e bainha de plástico ou silicone.  Características Adicionais: adaptável a tubos de tamanho 7.0 - 7.5, flexível,com sonda graduada em centímetros, que não solta a tinta, maleável, com orifícios na extremidade de aspiração e ponta arredondada, com bainha plástica, transparente, siliconizada ou não, envolvendo a sonda, conexão em ``Y`` ou em ``T`` para adaptação/encaixe ao tubo ou cânula orotraqueal de um lado e circuito de ventilador mecânico do outro. 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012286. BR275897</v>
      </c>
      <c r="M957" s="593" t="str">
        <f>IF(H:H=0,"",IF(ISERROR(VLOOKUP(H:H,produtos_escape2!$A$2:$D$2794,2,FALSE)),"Código não cadastrado",(VLOOKUP(H:H,produtos_escape2!$A$2:$D$2794,4,FALSE))))</f>
        <v>UN</v>
      </c>
      <c r="N957" s="486">
        <v>100</v>
      </c>
      <c r="O957" s="176" t="s">
        <v>8556</v>
      </c>
      <c r="P957" s="486">
        <v>40</v>
      </c>
      <c r="Q957" s="247">
        <v>59.9</v>
      </c>
      <c r="R957" s="246">
        <f t="shared" si="33"/>
        <v>2396</v>
      </c>
      <c r="S957" s="177">
        <v>44055</v>
      </c>
      <c r="T957" s="182">
        <v>10145</v>
      </c>
      <c r="U957" s="177">
        <v>44070</v>
      </c>
      <c r="V957" s="177">
        <v>44074</v>
      </c>
      <c r="W957" s="177">
        <v>44077</v>
      </c>
      <c r="X957" s="176">
        <v>91484</v>
      </c>
      <c r="Y957" s="177">
        <v>44104</v>
      </c>
      <c r="Z957" s="415">
        <v>5</v>
      </c>
      <c r="AA957" s="488"/>
      <c r="AB957" s="594"/>
      <c r="AC957" s="595"/>
      <c r="AD957" s="596" t="str">
        <f>IF(AND(AC957&lt;&gt;"",S957&lt;&gt;""),NETWORKDAYS(AC957,S957,#REF!),"")</f>
        <v/>
      </c>
      <c r="AE957" s="596" t="str">
        <f ca="1">IF(AND(AD957="",AC957=""),"",IF(OR(AD957&lt;&gt;"",O957="*CANCELADO"),"",NETWORKDAYS(AC957,TODAY(),#REF!)))</f>
        <v/>
      </c>
      <c r="AF957" s="597" t="str">
        <f>IFERROR(INDEX(produtos_escape2!M:M,MATCH(Controle!H957,produtos_escape2!A:A,0)),"")</f>
        <v>SISTEMA FECHADO DE ASPIRAÇÃO TRAQUEAL VIA TUBO OROTRAQUEAL ADULTO 14 FR</v>
      </c>
    </row>
    <row r="958" spans="1:32" ht="14.25" customHeight="1">
      <c r="A958" s="176" t="s">
        <v>8807</v>
      </c>
      <c r="B958" s="176" t="s">
        <v>3608</v>
      </c>
      <c r="C958" s="177">
        <v>44043</v>
      </c>
      <c r="D958" s="176" t="s">
        <v>9656</v>
      </c>
      <c r="E958" s="176" t="s">
        <v>1866</v>
      </c>
      <c r="F958" s="259" t="s">
        <v>9657</v>
      </c>
      <c r="G958" s="176">
        <v>2</v>
      </c>
      <c r="H958" s="178">
        <v>12289</v>
      </c>
      <c r="I958" s="592">
        <f t="shared" si="31"/>
        <v>6</v>
      </c>
      <c r="J958" s="178" t="s">
        <v>816</v>
      </c>
      <c r="K958" s="178" t="s">
        <v>816</v>
      </c>
      <c r="L958" s="275" t="str">
        <f>IF(H:H=0,"",IF(ISERROR(VLOOKUP(H:H,produtos_escape2!$A$2:$B$2794,2,FALSE)),"Código não cadastrado",(VLOOKUP(H:H,produtos_escape2!$A$2:$B$2794,2,FALSE))))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958" s="593" t="str">
        <f>IF(H:H=0,"",IF(ISERROR(VLOOKUP(H:H,produtos_escape2!$A$2:$D$2794,2,FALSE)),"Código não cadastrado",(VLOOKUP(H:H,produtos_escape2!$A$2:$D$2794,4,FALSE))))</f>
        <v>UN</v>
      </c>
      <c r="N958" s="486">
        <v>100</v>
      </c>
      <c r="O958" s="176" t="s">
        <v>7283</v>
      </c>
      <c r="P958" s="486">
        <v>20</v>
      </c>
      <c r="Q958" s="247">
        <v>145</v>
      </c>
      <c r="R958" s="246">
        <f t="shared" si="33"/>
        <v>2900</v>
      </c>
      <c r="S958" s="177">
        <v>44055</v>
      </c>
      <c r="T958" s="182">
        <v>1758</v>
      </c>
      <c r="U958" s="177">
        <v>44055</v>
      </c>
      <c r="V958" s="177">
        <v>44056</v>
      </c>
      <c r="W958" s="177">
        <v>44057</v>
      </c>
      <c r="X958" s="176">
        <v>71359</v>
      </c>
      <c r="Y958" s="177">
        <v>44075</v>
      </c>
      <c r="Z958" s="415">
        <v>5</v>
      </c>
      <c r="AA958" s="488"/>
      <c r="AB958" s="594"/>
      <c r="AC958" s="595"/>
      <c r="AD958" s="596" t="str">
        <f>IF(AND(AC958&lt;&gt;"",S958&lt;&gt;""),NETWORKDAYS(AC958,S958,#REF!),"")</f>
        <v/>
      </c>
      <c r="AE958" s="596" t="str">
        <f ca="1">IF(AND(AD958="",AC958=""),"",IF(OR(AD958&lt;&gt;"",O958="*CANCELADO"),"",NETWORKDAYS(AC958,TODAY(),#REF!)))</f>
        <v/>
      </c>
      <c r="AF958" s="597" t="str">
        <f>IFERROR(INDEX(produtos_escape2!M:M,MATCH(Controle!H958,produtos_escape2!A:A,0)),"")</f>
        <v>SISTEMA FECHADO DE ASPIRAÇÃO TRAQUEAL VIA CÂNULA DE TRAQUEOSTOMIA ADULTO 16 FR</v>
      </c>
    </row>
    <row r="959" spans="1:32" ht="14.25" customHeight="1">
      <c r="A959" s="176" t="s">
        <v>8807</v>
      </c>
      <c r="B959" s="176" t="s">
        <v>3608</v>
      </c>
      <c r="C959" s="177">
        <v>44043</v>
      </c>
      <c r="D959" s="176" t="s">
        <v>9656</v>
      </c>
      <c r="E959" s="176" t="s">
        <v>1866</v>
      </c>
      <c r="F959" s="259" t="s">
        <v>9657</v>
      </c>
      <c r="G959" s="176">
        <v>3</v>
      </c>
      <c r="H959" s="178">
        <v>12290</v>
      </c>
      <c r="I959" s="592">
        <f t="shared" si="31"/>
        <v>8</v>
      </c>
      <c r="J959" s="178" t="s">
        <v>816</v>
      </c>
      <c r="K959" s="178" t="s">
        <v>816</v>
      </c>
      <c r="L959" s="275"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959" s="593" t="str">
        <f>IF(H:H=0,"",IF(ISERROR(VLOOKUP(H:H,produtos_escape2!$A$2:$D$2794,2,FALSE)),"Código não cadastrado",(VLOOKUP(H:H,produtos_escape2!$A$2:$D$2794,4,FALSE))))</f>
        <v>UN</v>
      </c>
      <c r="N959" s="486">
        <v>100</v>
      </c>
      <c r="O959" s="176" t="s">
        <v>8556</v>
      </c>
      <c r="P959" s="486">
        <v>30</v>
      </c>
      <c r="Q959" s="247">
        <v>59.9</v>
      </c>
      <c r="R959" s="246">
        <f t="shared" si="33"/>
        <v>1797</v>
      </c>
      <c r="S959" s="177">
        <v>44055</v>
      </c>
      <c r="T959" s="182">
        <v>10145</v>
      </c>
      <c r="U959" s="177">
        <v>44070</v>
      </c>
      <c r="V959" s="177">
        <v>44074</v>
      </c>
      <c r="W959" s="177">
        <v>44077</v>
      </c>
      <c r="X959" s="176">
        <v>91484</v>
      </c>
      <c r="Y959" s="177">
        <v>44104</v>
      </c>
      <c r="Z959" s="415">
        <v>5</v>
      </c>
      <c r="AA959" s="488"/>
      <c r="AB959" s="594"/>
      <c r="AC959" s="595"/>
      <c r="AD959" s="596" t="str">
        <f>IF(AND(AC959&lt;&gt;"",S959&lt;&gt;""),NETWORKDAYS(AC959,S959,#REF!),"")</f>
        <v/>
      </c>
      <c r="AE959" s="596" t="str">
        <f ca="1">IF(AND(AD959="",AC959=""),"",IF(OR(AD959&lt;&gt;"",O959="*CANCELADO"),"",NETWORKDAYS(AC959,TODAY(),#REF!)))</f>
        <v/>
      </c>
      <c r="AF959" s="597" t="str">
        <f>IFERROR(INDEX(produtos_escape2!M:M,MATCH(Controle!H959,produtos_escape2!A:A,0)),"")</f>
        <v>SISTEMA FECHADO DE ASPIRAÇÃO TRAQUEAL VIA TUBO OROTRAQUEAL ADULTO 16 FR</v>
      </c>
    </row>
    <row r="960" spans="1:32" ht="14.25" customHeight="1">
      <c r="A960" s="176" t="s">
        <v>8807</v>
      </c>
      <c r="B960" s="176" t="s">
        <v>3608</v>
      </c>
      <c r="C960" s="177">
        <v>44043</v>
      </c>
      <c r="D960" s="176" t="s">
        <v>9656</v>
      </c>
      <c r="E960" s="176" t="s">
        <v>1866</v>
      </c>
      <c r="F960" s="259" t="s">
        <v>9657</v>
      </c>
      <c r="G960" s="176">
        <v>3</v>
      </c>
      <c r="H960" s="178">
        <v>12290</v>
      </c>
      <c r="I960" s="592">
        <f t="shared" si="31"/>
        <v>8</v>
      </c>
      <c r="J960" s="178" t="s">
        <v>816</v>
      </c>
      <c r="K960" s="178" t="s">
        <v>816</v>
      </c>
      <c r="L960" s="275"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960" s="593" t="str">
        <f>IF(H:H=0,"",IF(ISERROR(VLOOKUP(H:H,produtos_escape2!$A$2:$D$2794,2,FALSE)),"Código não cadastrado",(VLOOKUP(H:H,produtos_escape2!$A$2:$D$2794,4,FALSE))))</f>
        <v>UN</v>
      </c>
      <c r="N960" s="486">
        <v>100</v>
      </c>
      <c r="O960" s="176" t="s">
        <v>8556</v>
      </c>
      <c r="P960" s="486">
        <v>10</v>
      </c>
      <c r="Q960" s="247">
        <v>59.9</v>
      </c>
      <c r="R960" s="246">
        <f t="shared" si="33"/>
        <v>599</v>
      </c>
      <c r="S960" s="177">
        <v>44055</v>
      </c>
      <c r="T960" s="182">
        <v>101310</v>
      </c>
      <c r="U960" s="177">
        <v>44074</v>
      </c>
      <c r="V960" s="177">
        <v>44076</v>
      </c>
      <c r="W960" s="177">
        <v>44077</v>
      </c>
      <c r="X960" s="176">
        <v>91277</v>
      </c>
      <c r="Y960" s="177">
        <v>44104</v>
      </c>
      <c r="Z960" s="415">
        <v>5</v>
      </c>
      <c r="AA960" s="488"/>
      <c r="AB960" s="594"/>
      <c r="AC960" s="595"/>
      <c r="AD960" s="596" t="str">
        <f>IF(AND(AC960&lt;&gt;"",S960&lt;&gt;""),NETWORKDAYS(AC960,S960,#REF!),"")</f>
        <v/>
      </c>
      <c r="AE960" s="596" t="str">
        <f ca="1">IF(AND(AD960="",AC960=""),"",IF(OR(AD960&lt;&gt;"",O960="*CANCELADO"),"",NETWORKDAYS(AC960,TODAY(),#REF!)))</f>
        <v/>
      </c>
      <c r="AF960" s="597" t="str">
        <f>IFERROR(INDEX(produtos_escape2!M:M,MATCH(Controle!H960,produtos_escape2!A:A,0)),"")</f>
        <v>SISTEMA FECHADO DE ASPIRAÇÃO TRAQUEAL VIA TUBO OROTRAQUEAL ADULTO 16 FR</v>
      </c>
    </row>
    <row r="961" spans="1:32" ht="14.25" customHeight="1">
      <c r="A961" s="176" t="s">
        <v>8808</v>
      </c>
      <c r="B961" s="176" t="s">
        <v>3608</v>
      </c>
      <c r="C961" s="177">
        <v>44046</v>
      </c>
      <c r="D961" s="176" t="s">
        <v>9664</v>
      </c>
      <c r="E961" s="176" t="s">
        <v>1867</v>
      </c>
      <c r="F961" s="259" t="s">
        <v>9665</v>
      </c>
      <c r="G961" s="176">
        <v>1</v>
      </c>
      <c r="H961" s="178">
        <v>90259</v>
      </c>
      <c r="I961" s="592">
        <f t="shared" si="31"/>
        <v>5</v>
      </c>
      <c r="J961" s="178" t="s">
        <v>816</v>
      </c>
      <c r="K961" s="178" t="s">
        <v>816</v>
      </c>
      <c r="L961" s="275" t="str">
        <f>IF(H:H=0,"",IF(ISERROR(VLOOKUP(H:H,produtos_escape2!$A$2:$B$2794,2,FALSE)),"Código não cadastrado",(VLOOKUP(H:H,produtos_escape2!$A$2:$B$2794,2,FALSE))))</f>
        <v>AZITROMICINA PO PARA SOLUCAO INJETAVEL 500 MG FRASCO AMPOLA</v>
      </c>
      <c r="M961" s="593" t="str">
        <f>IF(H:H=0,"",IF(ISERROR(VLOOKUP(H:H,produtos_escape2!$A$2:$D$2794,2,FALSE)),"Código não cadastrado",(VLOOKUP(H:H,produtos_escape2!$A$2:$D$2794,4,FALSE))))</f>
        <v>AMP</v>
      </c>
      <c r="N961" s="486">
        <v>90</v>
      </c>
      <c r="O961" s="176" t="s">
        <v>4401</v>
      </c>
      <c r="P961" s="486">
        <v>80</v>
      </c>
      <c r="Q961" s="247">
        <v>76</v>
      </c>
      <c r="R961" s="246">
        <f t="shared" si="33"/>
        <v>6080</v>
      </c>
      <c r="S961" s="177">
        <v>44050</v>
      </c>
      <c r="T961" s="182">
        <v>2697357</v>
      </c>
      <c r="U961" s="177">
        <v>44053</v>
      </c>
      <c r="V961" s="177">
        <v>44055</v>
      </c>
      <c r="W961" s="177">
        <v>44057</v>
      </c>
      <c r="X961" s="176">
        <v>71363</v>
      </c>
      <c r="Y961" s="177">
        <v>44075</v>
      </c>
      <c r="Z961" s="415">
        <v>5</v>
      </c>
      <c r="AA961" s="488"/>
      <c r="AB961" s="594"/>
      <c r="AC961" s="595"/>
      <c r="AD961" s="596" t="str">
        <f>IF(AND(AC961&lt;&gt;"",S961&lt;&gt;""),NETWORKDAYS(AC961,S961,#REF!),"")</f>
        <v/>
      </c>
      <c r="AE961" s="596" t="str">
        <f ca="1">IF(AND(AD961="",AC961=""),"",IF(OR(AD961&lt;&gt;"",O961="*CANCELADO"),"",NETWORKDAYS(AC961,TODAY(),#REF!)))</f>
        <v/>
      </c>
      <c r="AF961" s="597" t="str">
        <f>IFERROR(INDEX(produtos_escape2!M:M,MATCH(Controle!H961,produtos_escape2!A:A,0)),"")</f>
        <v>AZITROMICINA PO PARA SOLUCAO INJETAVEL 500 MG FRASCO AMPOLA</v>
      </c>
    </row>
    <row r="962" spans="1:32" ht="14.25" customHeight="1">
      <c r="A962" s="176" t="s">
        <v>9661</v>
      </c>
      <c r="B962" s="176" t="s">
        <v>1687</v>
      </c>
      <c r="C962" s="177">
        <v>44046</v>
      </c>
      <c r="D962" s="176" t="s">
        <v>9662</v>
      </c>
      <c r="E962" s="176" t="s">
        <v>3008</v>
      </c>
      <c r="F962" s="259" t="s">
        <v>9663</v>
      </c>
      <c r="G962" s="176">
        <v>1</v>
      </c>
      <c r="H962" s="178" t="s">
        <v>7853</v>
      </c>
      <c r="I962" s="592">
        <f t="shared" si="31"/>
        <v>2</v>
      </c>
      <c r="J962" s="178"/>
      <c r="K962" s="178"/>
      <c r="L962" s="275" t="str">
        <f>IF(H:H=0,"",IF(ISERROR(VLOOKUP(H:H,produtos_escape2!$A$2:$B$2794,2,FALSE)),"Código não cadastrado",(VLOOKUP(H:H,produtos_escape2!$A$2:$B$2794,2,FALSE))))</f>
        <v>CONSERTO DE Reprocessadora Automática, Marca ENDOCLEAR, Modelo AL1012IDL, Nº Patrimônio 1197891</v>
      </c>
      <c r="M962" s="593" t="str">
        <f>IF(H:H=0,"",IF(ISERROR(VLOOKUP(H:H,produtos_escape2!$A$2:$D$2794,2,FALSE)),"Código não cadastrado",(VLOOKUP(H:H,produtos_escape2!$A$2:$D$2794,4,FALSE))))</f>
        <v>Serviço</v>
      </c>
      <c r="N962" s="486">
        <v>1</v>
      </c>
      <c r="O962" s="176" t="s">
        <v>9946</v>
      </c>
      <c r="P962" s="486">
        <v>1</v>
      </c>
      <c r="Q962" s="247">
        <v>6619</v>
      </c>
      <c r="R962" s="246">
        <f t="shared" si="33"/>
        <v>6619</v>
      </c>
      <c r="S962" s="177">
        <v>44097</v>
      </c>
      <c r="T962" s="182">
        <v>7475</v>
      </c>
      <c r="U962" s="177">
        <v>44181</v>
      </c>
      <c r="V962" s="177">
        <v>44181</v>
      </c>
      <c r="W962" s="177">
        <v>44181</v>
      </c>
      <c r="X962" s="176" t="s">
        <v>10674</v>
      </c>
      <c r="Y962" s="177"/>
      <c r="Z962" s="415">
        <v>6</v>
      </c>
      <c r="AA962" s="488"/>
      <c r="AB962" s="594"/>
      <c r="AC962" s="595"/>
      <c r="AD962" s="596" t="str">
        <f>IF(AND(AC962&lt;&gt;"",S962&lt;&gt;""),NETWORKDAYS(AC962,S962,#REF!),"")</f>
        <v/>
      </c>
      <c r="AE962" s="596" t="str">
        <f ca="1">IF(AND(AD962="",AC962=""),"",IF(OR(AD962&lt;&gt;"",O962="*CANCELADO"),"",NETWORKDAYS(AC962,TODAY(),#REF!)))</f>
        <v/>
      </c>
      <c r="AF962" s="597">
        <f>IFERROR(INDEX(produtos_escape2!M:M,MATCH(Controle!H962,produtos_escape2!A:A,0)),"")</f>
        <v>0</v>
      </c>
    </row>
    <row r="963" spans="1:32" ht="14.25" customHeight="1">
      <c r="A963" s="176" t="s">
        <v>8810</v>
      </c>
      <c r="B963" s="176" t="s">
        <v>3608</v>
      </c>
      <c r="C963" s="177">
        <v>44047</v>
      </c>
      <c r="D963" s="176" t="s">
        <v>9667</v>
      </c>
      <c r="E963" s="176" t="s">
        <v>1866</v>
      </c>
      <c r="F963" s="259" t="s">
        <v>9668</v>
      </c>
      <c r="G963" s="176">
        <v>1</v>
      </c>
      <c r="H963" s="178">
        <v>90039</v>
      </c>
      <c r="I963" s="592">
        <f t="shared" ref="I963:I1026" si="34">COUNTIF($H$3:$H$3041,H963)</f>
        <v>5</v>
      </c>
      <c r="J963" s="178" t="s">
        <v>816</v>
      </c>
      <c r="K963" s="178" t="s">
        <v>816</v>
      </c>
      <c r="L963" s="275" t="str">
        <f>IF(H:H=0,"",IF(ISERROR(VLOOKUP(H:H,produtos_escape2!$A$2:$B$2794,2,FALSE)),"Código não cadastrado",(VLOOKUP(H:H,produtos_escape2!$A$2:$B$2794,2,FALSE))))</f>
        <v>MIDAZOLAM SOLUCAO INJETAVEL 5 MG/ML AMPOLA 10 ML</v>
      </c>
      <c r="M963" s="593" t="str">
        <f>IF(H:H=0,"",IF(ISERROR(VLOOKUP(H:H,produtos_escape2!$A$2:$D$2794,2,FALSE)),"Código não cadastrado",(VLOOKUP(H:H,produtos_escape2!$A$2:$D$2794,4,FALSE))))</f>
        <v>AMP</v>
      </c>
      <c r="N963" s="486">
        <v>1600</v>
      </c>
      <c r="O963" s="176" t="s">
        <v>4401</v>
      </c>
      <c r="P963" s="486">
        <v>200</v>
      </c>
      <c r="Q963" s="247">
        <v>6.9</v>
      </c>
      <c r="R963" s="246">
        <f t="shared" si="33"/>
        <v>1380</v>
      </c>
      <c r="S963" s="177">
        <v>44048</v>
      </c>
      <c r="T963" s="182">
        <v>2699461</v>
      </c>
      <c r="U963" s="177">
        <v>44054</v>
      </c>
      <c r="V963" s="177">
        <v>44056</v>
      </c>
      <c r="W963" s="177">
        <v>44057</v>
      </c>
      <c r="X963" s="176">
        <v>71353</v>
      </c>
      <c r="Y963" s="177">
        <v>44075</v>
      </c>
      <c r="Z963" s="415">
        <v>5</v>
      </c>
      <c r="AA963" s="488"/>
      <c r="AB963" s="594"/>
      <c r="AC963" s="595"/>
      <c r="AD963" s="596" t="str">
        <f>IF(AND(AC963&lt;&gt;"",S963&lt;&gt;""),NETWORKDAYS(AC963,S963,#REF!),"")</f>
        <v/>
      </c>
      <c r="AE963" s="596" t="str">
        <f ca="1">IF(AND(AD963="",AC963=""),"",IF(OR(AD963&lt;&gt;"",O963="*CANCELADO"),"",NETWORKDAYS(AC963,TODAY(),#REF!)))</f>
        <v/>
      </c>
      <c r="AF963" s="597" t="str">
        <f>IFERROR(INDEX(produtos_escape2!M:M,MATCH(Controle!H963,produtos_escape2!A:A,0)),"")</f>
        <v>MIDAZOLAM SOLUCAO INJETAVEL 5 MG/ML AMPOLA 10 ML</v>
      </c>
    </row>
    <row r="964" spans="1:32" ht="14.25" customHeight="1">
      <c r="A964" s="176" t="s">
        <v>8818</v>
      </c>
      <c r="B964" s="176" t="s">
        <v>3608</v>
      </c>
      <c r="C964" s="177">
        <v>44048</v>
      </c>
      <c r="D964" s="176" t="s">
        <v>9669</v>
      </c>
      <c r="E964" s="176" t="s">
        <v>1867</v>
      </c>
      <c r="F964" s="259" t="s">
        <v>9674</v>
      </c>
      <c r="G964" s="176">
        <v>1</v>
      </c>
      <c r="H964" s="178">
        <v>90610</v>
      </c>
      <c r="I964" s="592">
        <f t="shared" si="34"/>
        <v>11</v>
      </c>
      <c r="J964" s="178" t="s">
        <v>816</v>
      </c>
      <c r="K964" s="178" t="s">
        <v>816</v>
      </c>
      <c r="L964" s="275" t="str">
        <f>IF(H:H=0,"",IF(ISERROR(VLOOKUP(H:H,produtos_escape2!$A$2:$B$2794,2,FALSE)),"Código não cadastrado",(VLOOKUP(H:H,produtos_escape2!$A$2:$B$2794,2,FALSE))))</f>
        <v>HEPARINA SODICA SOLUÇAO INJETAVEL 5000 UI/ML FRASCO AMPOLA 5 ML</v>
      </c>
      <c r="M964" s="593" t="str">
        <f>IF(H:H=0,"",IF(ISERROR(VLOOKUP(H:H,produtos_escape2!$A$2:$D$2794,2,FALSE)),"Código não cadastrado",(VLOOKUP(H:H,produtos_escape2!$A$2:$D$2794,4,FALSE))))</f>
        <v>FA</v>
      </c>
      <c r="N964" s="486">
        <v>300</v>
      </c>
      <c r="O964" s="176" t="s">
        <v>9785</v>
      </c>
      <c r="P964" s="486">
        <v>75</v>
      </c>
      <c r="Q964" s="247">
        <v>22.113</v>
      </c>
      <c r="R964" s="246">
        <f t="shared" si="33"/>
        <v>1658.4749999999999</v>
      </c>
      <c r="S964" s="177">
        <v>44061</v>
      </c>
      <c r="T964" s="182">
        <v>83401</v>
      </c>
      <c r="U964" s="177">
        <v>44061</v>
      </c>
      <c r="V964" s="177">
        <v>44064</v>
      </c>
      <c r="W964" s="177">
        <v>44068</v>
      </c>
      <c r="X964" s="176">
        <v>18116</v>
      </c>
      <c r="Y964" s="177">
        <v>44146</v>
      </c>
      <c r="Z964" s="415">
        <v>6</v>
      </c>
      <c r="AA964" s="488"/>
      <c r="AB964" s="594"/>
      <c r="AC964" s="595"/>
      <c r="AD964" s="596" t="str">
        <f>IF(AND(AC964&lt;&gt;"",S964&lt;&gt;""),NETWORKDAYS(AC964,S964,#REF!),"")</f>
        <v/>
      </c>
      <c r="AE964" s="596" t="str">
        <f ca="1">IF(AND(AD964="",AC964=""),"",IF(OR(AD964&lt;&gt;"",O964="*CANCELADO"),"",NETWORKDAYS(AC964,TODAY(),#REF!)))</f>
        <v/>
      </c>
      <c r="AF964" s="597" t="str">
        <f>IFERROR(INDEX(produtos_escape2!M:M,MATCH(Controle!H964,produtos_escape2!A:A,0)),"")</f>
        <v>HEPARINA SODICA SOLUÇAO INJETAVEL 5000 UI/ML FRASCO AMPOLA 5 ML</v>
      </c>
    </row>
    <row r="965" spans="1:32" ht="14.25" customHeight="1">
      <c r="A965" s="176" t="s">
        <v>8811</v>
      </c>
      <c r="B965" s="176" t="s">
        <v>3608</v>
      </c>
      <c r="C965" s="177">
        <v>44048</v>
      </c>
      <c r="D965" s="176" t="s">
        <v>9670</v>
      </c>
      <c r="E965" s="176" t="s">
        <v>3009</v>
      </c>
      <c r="F965" s="259" t="s">
        <v>9675</v>
      </c>
      <c r="G965" s="176">
        <v>1</v>
      </c>
      <c r="H965" s="178">
        <v>18929</v>
      </c>
      <c r="I965" s="592">
        <f t="shared" si="34"/>
        <v>4</v>
      </c>
      <c r="J965" s="178" t="s">
        <v>816</v>
      </c>
      <c r="K965" s="178" t="s">
        <v>816</v>
      </c>
      <c r="L965" s="275" t="str">
        <f>IF(H:H=0,"",IF(ISERROR(VLOOKUP(H:H,produtos_escape2!$A$2:$B$2794,2,FALSE)),"Código não cadastrado",(VLOOKUP(H:H,produtos_escape2!$A$2:$B$2794,2,FALSE))))</f>
        <v>CLONIDINA (CLORIDRATO) SOLUÇAO INJETAVEL 150 MCG AMPOLA DE 1 ML</v>
      </c>
      <c r="M965" s="593" t="str">
        <f>IF(H:H=0,"",IF(ISERROR(VLOOKUP(H:H,produtos_escape2!$A$2:$D$2794,2,FALSE)),"Código não cadastrado",(VLOOKUP(H:H,produtos_escape2!$A$2:$D$2794,4,FALSE))))</f>
        <v>UN</v>
      </c>
      <c r="N965" s="486">
        <v>90</v>
      </c>
      <c r="O965" s="176" t="s">
        <v>4401</v>
      </c>
      <c r="P965" s="486">
        <v>90</v>
      </c>
      <c r="Q965" s="247">
        <v>7.33</v>
      </c>
      <c r="R965" s="246">
        <f t="shared" si="33"/>
        <v>659.7</v>
      </c>
      <c r="S965" s="177">
        <v>44055</v>
      </c>
      <c r="T965" s="182">
        <v>2714134</v>
      </c>
      <c r="U965" s="177">
        <v>44067</v>
      </c>
      <c r="V965" s="177">
        <v>44069</v>
      </c>
      <c r="W965" s="177">
        <v>44077</v>
      </c>
      <c r="X965" s="176">
        <v>91294</v>
      </c>
      <c r="Y965" s="177">
        <v>44104</v>
      </c>
      <c r="Z965" s="415">
        <v>5</v>
      </c>
      <c r="AA965" s="488"/>
      <c r="AB965" s="594"/>
      <c r="AC965" s="595"/>
      <c r="AD965" s="596" t="str">
        <f>IF(AND(AC965&lt;&gt;"",S965&lt;&gt;""),NETWORKDAYS(AC965,S965,#REF!),"")</f>
        <v/>
      </c>
      <c r="AE965" s="596" t="str">
        <f ca="1">IF(AND(AD965="",AC965=""),"",IF(OR(AD965&lt;&gt;"",O965="*CANCELADO"),"",NETWORKDAYS(AC965,TODAY(),#REF!)))</f>
        <v/>
      </c>
      <c r="AF965" s="597" t="str">
        <f>IFERROR(INDEX(produtos_escape2!M:M,MATCH(Controle!H965,produtos_escape2!A:A,0)),"")</f>
        <v>CLONIDINA (CLORIDRATO) SOLUÇAO INJETAVEL 150 MCG AMPOLA DE 1 ML</v>
      </c>
    </row>
    <row r="966" spans="1:32" ht="14.25" customHeight="1">
      <c r="A966" s="176" t="s">
        <v>8832</v>
      </c>
      <c r="B966" s="176" t="s">
        <v>3608</v>
      </c>
      <c r="C966" s="177">
        <v>44048</v>
      </c>
      <c r="D966" s="176" t="s">
        <v>9671</v>
      </c>
      <c r="E966" s="176" t="s">
        <v>1866</v>
      </c>
      <c r="F966" s="259" t="s">
        <v>9676</v>
      </c>
      <c r="G966" s="176">
        <v>1</v>
      </c>
      <c r="H966" s="178">
        <v>24558</v>
      </c>
      <c r="I966" s="592">
        <f t="shared" si="34"/>
        <v>2</v>
      </c>
      <c r="J966" s="178" t="s">
        <v>816</v>
      </c>
      <c r="K966" s="178" t="s">
        <v>816</v>
      </c>
      <c r="L966" s="275" t="str">
        <f>IF(H:H=0,"",IF(ISERROR(VLOOKUP(H:H,produtos_escape2!$A$2:$B$2794,2,FALSE)),"Código não cadastrado",(VLOOKUP(H:H,produtos_escape2!$A$2:$B$2794,2,FALSE))))</f>
        <v>LINHA ARTERIAL DE ENTRADA SIMPLES PARA HEMODIÁLISE 8 MM</v>
      </c>
      <c r="M966" s="593" t="str">
        <f>IF(H:H=0,"",IF(ISERROR(VLOOKUP(H:H,produtos_escape2!$A$2:$D$2794,2,FALSE)),"Código não cadastrado",(VLOOKUP(H:H,produtos_escape2!$A$2:$D$2794,4,FALSE))))</f>
        <v>UN</v>
      </c>
      <c r="N966" s="486">
        <v>300</v>
      </c>
      <c r="O966" s="176" t="s">
        <v>2989</v>
      </c>
      <c r="P966" s="486">
        <v>300</v>
      </c>
      <c r="Q966" s="247">
        <v>6.22</v>
      </c>
      <c r="R966" s="246">
        <f t="shared" si="33"/>
        <v>1866</v>
      </c>
      <c r="S966" s="177">
        <v>44051</v>
      </c>
      <c r="T966" s="182">
        <v>129162</v>
      </c>
      <c r="U966" s="177">
        <v>44063</v>
      </c>
      <c r="V966" s="177">
        <v>44064</v>
      </c>
      <c r="W966" s="177">
        <v>44068</v>
      </c>
      <c r="X966" s="176">
        <v>91353</v>
      </c>
      <c r="Y966" s="177">
        <v>44104</v>
      </c>
      <c r="Z966" s="415">
        <v>5</v>
      </c>
      <c r="AA966" s="488"/>
      <c r="AB966" s="594"/>
      <c r="AC966" s="595"/>
      <c r="AD966" s="596" t="str">
        <f>IF(AND(AC966&lt;&gt;"",S966&lt;&gt;""),NETWORKDAYS(AC966,S966,#REF!),"")</f>
        <v/>
      </c>
      <c r="AE966" s="596" t="str">
        <f ca="1">IF(AND(AD966="",AC966=""),"",IF(OR(AD966&lt;&gt;"",O966="*CANCELADO"),"",NETWORKDAYS(AC966,TODAY(),#REF!)))</f>
        <v/>
      </c>
      <c r="AF966" s="597" t="str">
        <f>IFERROR(INDEX(produtos_escape2!M:M,MATCH(Controle!H966,produtos_escape2!A:A,0)),"")</f>
        <v>LINHA ARTERIAL DE ENTRADA SIMPLES PARA HEMODIÁLISE 8 MM</v>
      </c>
    </row>
    <row r="967" spans="1:32" ht="14.25" customHeight="1">
      <c r="A967" s="176" t="s">
        <v>8833</v>
      </c>
      <c r="B967" s="176" t="s">
        <v>3608</v>
      </c>
      <c r="C967" s="177">
        <v>44048</v>
      </c>
      <c r="D967" s="176" t="s">
        <v>9672</v>
      </c>
      <c r="E967" s="176" t="s">
        <v>1867</v>
      </c>
      <c r="F967" s="259" t="s">
        <v>9677</v>
      </c>
      <c r="G967" s="176">
        <v>1</v>
      </c>
      <c r="H967" s="178">
        <v>34534</v>
      </c>
      <c r="I967" s="592">
        <f t="shared" si="34"/>
        <v>7</v>
      </c>
      <c r="J967" s="178" t="s">
        <v>816</v>
      </c>
      <c r="K967" s="178" t="s">
        <v>816</v>
      </c>
      <c r="L967" s="275"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967" s="593" t="str">
        <f>IF(H:H=0,"",IF(ISERROR(VLOOKUP(H:H,produtos_escape2!$A$2:$D$2794,2,FALSE)),"Código não cadastrado",(VLOOKUP(H:H,produtos_escape2!$A$2:$D$2794,4,FALSE))))</f>
        <v>UN</v>
      </c>
      <c r="N967" s="486">
        <v>10000</v>
      </c>
      <c r="O967" s="176" t="s">
        <v>4357</v>
      </c>
      <c r="P967" s="486">
        <v>3000</v>
      </c>
      <c r="Q967" s="247">
        <v>0.997</v>
      </c>
      <c r="R967" s="246">
        <f t="shared" si="33"/>
        <v>2991</v>
      </c>
      <c r="S967" s="177">
        <v>44061</v>
      </c>
      <c r="T967" s="182">
        <v>1798</v>
      </c>
      <c r="U967" s="177">
        <v>44067</v>
      </c>
      <c r="V967" s="177">
        <v>44068</v>
      </c>
      <c r="W967" s="177">
        <v>44077</v>
      </c>
      <c r="X967" s="176">
        <v>91417</v>
      </c>
      <c r="Y967" s="177">
        <v>44104</v>
      </c>
      <c r="Z967" s="415">
        <v>5</v>
      </c>
      <c r="AA967" s="488"/>
      <c r="AB967" s="594"/>
      <c r="AC967" s="595"/>
      <c r="AD967" s="596" t="str">
        <f>IF(AND(AC967&lt;&gt;"",S967&lt;&gt;""),NETWORKDAYS(AC967,S967,#REF!),"")</f>
        <v/>
      </c>
      <c r="AE967" s="596" t="str">
        <f ca="1">IF(AND(AD967="",AC967=""),"",IF(OR(AD967&lt;&gt;"",O967="*CANCELADO"),"",NETWORKDAYS(AC967,TODAY(),#REF!)))</f>
        <v/>
      </c>
      <c r="AF967" s="597" t="str">
        <f>IFERROR(INDEX(produtos_escape2!M:M,MATCH(Controle!H967,produtos_escape2!A:A,0)),"")</f>
        <v>EQUIPO SIMPLES PARA INFUSÃO DE SOLUÇÕES PARENTERAIS</v>
      </c>
    </row>
    <row r="968" spans="1:32" ht="14.25" customHeight="1">
      <c r="A968" s="176" t="s">
        <v>8834</v>
      </c>
      <c r="B968" s="176" t="s">
        <v>3608</v>
      </c>
      <c r="C968" s="177">
        <v>44048</v>
      </c>
      <c r="D968" s="176" t="s">
        <v>9673</v>
      </c>
      <c r="E968" s="176" t="s">
        <v>3009</v>
      </c>
      <c r="F968" s="259" t="s">
        <v>9678</v>
      </c>
      <c r="G968" s="176">
        <v>1</v>
      </c>
      <c r="H968" s="178">
        <v>7643</v>
      </c>
      <c r="I968" s="592">
        <f t="shared" si="34"/>
        <v>4</v>
      </c>
      <c r="J968" s="178" t="s">
        <v>816</v>
      </c>
      <c r="K968" s="178" t="s">
        <v>816</v>
      </c>
      <c r="L968" s="275" t="str">
        <f>IF(H:H=0,"",IF(ISERROR(VLOOKUP(H:H,produtos_escape2!$A$2:$B$2794,2,FALSE)),"Código não cadastrado",(VLOOKUP(H:H,produtos_escape2!$A$2:$B$2794,2,FALSE))))</f>
        <v>ISOLADOR DE PRESSAO DO MANOMETRO P/MAQUINA DE HEMODIALISE</v>
      </c>
      <c r="M968" s="593" t="str">
        <f>IF(H:H=0,"",IF(ISERROR(VLOOKUP(H:H,produtos_escape2!$A$2:$D$2794,2,FALSE)),"Código não cadastrado",(VLOOKUP(H:H,produtos_escape2!$A$2:$D$2794,4,FALSE))))</f>
        <v>UN</v>
      </c>
      <c r="N968" s="486">
        <v>500</v>
      </c>
      <c r="O968" s="176" t="s">
        <v>2989</v>
      </c>
      <c r="P968" s="486">
        <v>500</v>
      </c>
      <c r="Q968" s="247">
        <v>0.5</v>
      </c>
      <c r="R968" s="246">
        <f t="shared" si="33"/>
        <v>250</v>
      </c>
      <c r="S968" s="177">
        <v>44055</v>
      </c>
      <c r="T968" s="182">
        <v>128494</v>
      </c>
      <c r="U968" s="177">
        <v>44056</v>
      </c>
      <c r="V968" s="177">
        <v>44057</v>
      </c>
      <c r="W968" s="177">
        <v>44061</v>
      </c>
      <c r="X968" s="176">
        <v>71348</v>
      </c>
      <c r="Y968" s="177">
        <v>44075</v>
      </c>
      <c r="Z968" s="415">
        <v>5</v>
      </c>
      <c r="AA968" s="488"/>
      <c r="AB968" s="594"/>
      <c r="AC968" s="595"/>
      <c r="AD968" s="596" t="str">
        <f>IF(AND(AC968&lt;&gt;"",S968&lt;&gt;""),NETWORKDAYS(AC968,S968,#REF!),"")</f>
        <v/>
      </c>
      <c r="AE968" s="596" t="str">
        <f ca="1">IF(AND(AD968="",AC968=""),"",IF(OR(AD968&lt;&gt;"",O968="*CANCELADO"),"",NETWORKDAYS(AC968,TODAY(),#REF!)))</f>
        <v/>
      </c>
      <c r="AF968" s="597" t="str">
        <f>IFERROR(INDEX(produtos_escape2!M:M,MATCH(Controle!H968,produtos_escape2!A:A,0)),"")</f>
        <v>ISOLADOR DE PRESSAO DO MANOMETRO P/MAQUINA DE HEMODIALISE</v>
      </c>
    </row>
    <row r="969" spans="1:32" ht="14.25" customHeight="1">
      <c r="A969" s="176" t="s">
        <v>8838</v>
      </c>
      <c r="B969" s="176" t="s">
        <v>3608</v>
      </c>
      <c r="C969" s="177">
        <v>44049</v>
      </c>
      <c r="D969" s="176" t="s">
        <v>9679</v>
      </c>
      <c r="E969" s="176" t="s">
        <v>1865</v>
      </c>
      <c r="F969" s="259" t="s">
        <v>9680</v>
      </c>
      <c r="G969" s="176">
        <v>1</v>
      </c>
      <c r="H969" s="178">
        <v>36557</v>
      </c>
      <c r="I969" s="592">
        <f t="shared" si="34"/>
        <v>1</v>
      </c>
      <c r="J969" s="178" t="s">
        <v>816</v>
      </c>
      <c r="K969" s="178" t="s">
        <v>816</v>
      </c>
      <c r="L969" s="275" t="str">
        <f>IF(H:H=0,"",IF(ISERROR(VLOOKUP(H:H,produtos_escape2!$A$2:$B$2794,2,FALSE)),"Código não cadastrado",(VLOOKUP(H:H,produtos_escape2!$A$2:$B$2794,2,FALSE))))</f>
        <v xml:space="preserve">SOLUÇÃO DE GLICOSE PARA TESTE ORAL DE TOLERÂNCIA, SABOR  LIMÃO, FRASCO 300 ML, 75 GRAMAS DE GLICOSE, INDICADO PARA O TESTE ORAL DE TOLERÂNCIA A GLICOSE, PRONTO PARA USO. Aplicação (finalidade): Realização do teste oral de tolerância à glicose (TOTG). Composição: 75 gramas de Glicose. Tamanho/Capacidade: 300 ml, Frasco. </v>
      </c>
      <c r="M969" s="593" t="str">
        <f>IF(H:H=0,"",IF(ISERROR(VLOOKUP(H:H,produtos_escape2!$A$2:$D$2794,2,FALSE)),"Código não cadastrado",(VLOOKUP(H:H,produtos_escape2!$A$2:$D$2794,4,FALSE))))</f>
        <v>FR</v>
      </c>
      <c r="N969" s="486">
        <v>200</v>
      </c>
      <c r="O969" s="176" t="s">
        <v>4380</v>
      </c>
      <c r="P969" s="486">
        <v>200</v>
      </c>
      <c r="Q969" s="247">
        <v>3.9</v>
      </c>
      <c r="R969" s="246">
        <f t="shared" si="33"/>
        <v>780</v>
      </c>
      <c r="S969" s="177">
        <v>44055</v>
      </c>
      <c r="T969" s="182" t="s">
        <v>9878</v>
      </c>
      <c r="U969" s="177">
        <v>44075</v>
      </c>
      <c r="V969" s="177">
        <v>44076</v>
      </c>
      <c r="W969" s="177">
        <v>44077</v>
      </c>
      <c r="X969" s="176">
        <v>91302</v>
      </c>
      <c r="Y969" s="177">
        <v>44104</v>
      </c>
      <c r="Z969" s="415">
        <v>5</v>
      </c>
      <c r="AA969" s="488"/>
      <c r="AB969" s="594"/>
      <c r="AC969" s="595"/>
      <c r="AD969" s="596" t="str">
        <f>IF(AND(AC969&lt;&gt;"",S969&lt;&gt;""),NETWORKDAYS(AC969,S969,#REF!),"")</f>
        <v/>
      </c>
      <c r="AE969" s="596" t="str">
        <f ca="1">IF(AND(AD969="",AC969=""),"",IF(OR(AD969&lt;&gt;"",O969="*CANCELADO"),"",NETWORKDAYS(AC969,TODAY(),#REF!)))</f>
        <v/>
      </c>
      <c r="AF969" s="597" t="str">
        <f>IFERROR(INDEX(produtos_escape2!M:M,MATCH(Controle!H969,produtos_escape2!A:A,0)),"")</f>
        <v>FOSFATO TRICALCICO SOLUÇÃO ORAL 12</v>
      </c>
    </row>
    <row r="970" spans="1:32" ht="14.25" customHeight="1">
      <c r="A970" s="176" t="s">
        <v>8840</v>
      </c>
      <c r="B970" s="176" t="s">
        <v>3608</v>
      </c>
      <c r="C970" s="177">
        <v>44049</v>
      </c>
      <c r="D970" s="176" t="s">
        <v>9681</v>
      </c>
      <c r="E970" s="176" t="s">
        <v>1866</v>
      </c>
      <c r="F970" s="259" t="s">
        <v>9682</v>
      </c>
      <c r="G970" s="176">
        <v>1</v>
      </c>
      <c r="H970" s="178">
        <v>90039</v>
      </c>
      <c r="I970" s="592">
        <f t="shared" si="34"/>
        <v>5</v>
      </c>
      <c r="J970" s="178" t="s">
        <v>816</v>
      </c>
      <c r="K970" s="178" t="s">
        <v>816</v>
      </c>
      <c r="L970" s="275" t="str">
        <f>IF(H:H=0,"",IF(ISERROR(VLOOKUP(H:H,produtos_escape2!$A$2:$B$2794,2,FALSE)),"Código não cadastrado",(VLOOKUP(H:H,produtos_escape2!$A$2:$B$2794,2,FALSE))))</f>
        <v>MIDAZOLAM SOLUCAO INJETAVEL 5 MG/ML AMPOLA 10 ML</v>
      </c>
      <c r="M970" s="593" t="str">
        <f>IF(H:H=0,"",IF(ISERROR(VLOOKUP(H:H,produtos_escape2!$A$2:$D$2794,2,FALSE)),"Código não cadastrado",(VLOOKUP(H:H,produtos_escape2!$A$2:$D$2794,4,FALSE))))</f>
        <v>AMP</v>
      </c>
      <c r="N970" s="486">
        <v>1600</v>
      </c>
      <c r="O970" s="176" t="s">
        <v>4398</v>
      </c>
      <c r="P970" s="486">
        <v>600</v>
      </c>
      <c r="Q970" s="247">
        <v>21.48</v>
      </c>
      <c r="R970" s="246">
        <f t="shared" si="33"/>
        <v>12888</v>
      </c>
      <c r="S970" s="177">
        <v>44055</v>
      </c>
      <c r="T970" s="182">
        <v>1334055</v>
      </c>
      <c r="U970" s="177">
        <v>44055</v>
      </c>
      <c r="V970" s="177">
        <v>44061</v>
      </c>
      <c r="W970" s="177">
        <v>44062</v>
      </c>
      <c r="X970" s="176">
        <v>71366</v>
      </c>
      <c r="Y970" s="177">
        <v>44075</v>
      </c>
      <c r="Z970" s="415">
        <v>5</v>
      </c>
      <c r="AA970" s="488"/>
      <c r="AB970" s="594"/>
      <c r="AC970" s="595"/>
      <c r="AD970" s="596" t="str">
        <f>IF(AND(AC970&lt;&gt;"",S970&lt;&gt;""),NETWORKDAYS(AC970,S970,#REF!),"")</f>
        <v/>
      </c>
      <c r="AE970" s="596" t="str">
        <f ca="1">IF(AND(AD970="",AC970=""),"",IF(OR(AD970&lt;&gt;"",O970="*CANCELADO"),"",NETWORKDAYS(AC970,TODAY(),#REF!)))</f>
        <v/>
      </c>
      <c r="AF970" s="597" t="str">
        <f>IFERROR(INDEX(produtos_escape2!M:M,MATCH(Controle!H970,produtos_escape2!A:A,0)),"")</f>
        <v>MIDAZOLAM SOLUCAO INJETAVEL 5 MG/ML AMPOLA 10 ML</v>
      </c>
    </row>
    <row r="971" spans="1:32" ht="14.25" customHeight="1">
      <c r="A971" s="176" t="s">
        <v>9683</v>
      </c>
      <c r="B971" s="176" t="s">
        <v>3608</v>
      </c>
      <c r="C971" s="177">
        <v>44049</v>
      </c>
      <c r="D971" s="176" t="s">
        <v>9684</v>
      </c>
      <c r="E971" s="176" t="s">
        <v>1867</v>
      </c>
      <c r="F971" s="259" t="s">
        <v>9685</v>
      </c>
      <c r="G971" s="176">
        <v>1</v>
      </c>
      <c r="H971" s="178">
        <v>90029</v>
      </c>
      <c r="I971" s="592">
        <f t="shared" si="34"/>
        <v>7</v>
      </c>
      <c r="J971" s="178" t="s">
        <v>816</v>
      </c>
      <c r="K971" s="178" t="s">
        <v>816</v>
      </c>
      <c r="L971" s="275" t="str">
        <f>IF(H:H=0,"",IF(ISERROR(VLOOKUP(H:H,produtos_escape2!$A$2:$B$2794,2,FALSE)),"Código não cadastrado",(VLOOKUP(H:H,produtos_escape2!$A$2:$B$2794,2,FALSE))))</f>
        <v>PROXIMETACAINA (CLORIDRATO) SOLUÇAO OFTALMICA 0,5 % FRASCO CONTA-GOTA 5 ML</v>
      </c>
      <c r="M971" s="593" t="str">
        <f>IF(H:H=0,"",IF(ISERROR(VLOOKUP(H:H,produtos_escape2!$A$2:$D$2794,2,FALSE)),"Código não cadastrado",(VLOOKUP(H:H,produtos_escape2!$A$2:$D$2794,4,FALSE))))</f>
        <v>FR</v>
      </c>
      <c r="N971" s="486">
        <v>20</v>
      </c>
      <c r="O971" s="176" t="s">
        <v>1868</v>
      </c>
      <c r="P971" s="486"/>
      <c r="Q971" s="247"/>
      <c r="R971" s="246">
        <f t="shared" si="33"/>
        <v>0</v>
      </c>
      <c r="S971" s="177">
        <v>44061</v>
      </c>
      <c r="T971" s="182"/>
      <c r="U971" s="177"/>
      <c r="V971" s="177"/>
      <c r="W971" s="177"/>
      <c r="X971" s="176"/>
      <c r="Y971" s="177"/>
      <c r="Z971" s="415">
        <v>4</v>
      </c>
      <c r="AA971" s="488" t="s">
        <v>9791</v>
      </c>
      <c r="AB971" s="594"/>
      <c r="AC971" s="595"/>
      <c r="AD971" s="596" t="str">
        <f>IF(AND(AC971&lt;&gt;"",S971&lt;&gt;""),NETWORKDAYS(AC971,S971,#REF!),"")</f>
        <v/>
      </c>
      <c r="AE971" s="596" t="str">
        <f ca="1">IF(AND(AD971="",AC971=""),"",IF(OR(AD971&lt;&gt;"",O971="*CANCELADO"),"",NETWORKDAYS(AC971,TODAY(),#REF!)))</f>
        <v/>
      </c>
      <c r="AF971" s="597" t="str">
        <f>IFERROR(INDEX(produtos_escape2!M:M,MATCH(Controle!H971,produtos_escape2!A:A,0)),"")</f>
        <v>PROXIMETACAINA (CLORIDRATO) SOLUÇAO OFTALMICA 0</v>
      </c>
    </row>
    <row r="972" spans="1:32" ht="14.25" customHeight="1">
      <c r="A972" s="176" t="s">
        <v>8129</v>
      </c>
      <c r="B972" s="176" t="s">
        <v>7207</v>
      </c>
      <c r="C972" s="177">
        <v>44050</v>
      </c>
      <c r="D972" s="176" t="s">
        <v>9688</v>
      </c>
      <c r="E972" s="176" t="s">
        <v>3009</v>
      </c>
      <c r="F972" s="259" t="s">
        <v>9689</v>
      </c>
      <c r="G972" s="176">
        <v>1</v>
      </c>
      <c r="H972" s="178">
        <v>33095</v>
      </c>
      <c r="I972" s="592">
        <f t="shared" si="34"/>
        <v>2</v>
      </c>
      <c r="J972" s="178" t="s">
        <v>816</v>
      </c>
      <c r="K972" s="178" t="s">
        <v>816</v>
      </c>
      <c r="L972" s="275" t="str">
        <f>IF(H:H=0,"",IF(ISERROR(VLOOKUP(H:H,produtos_escape2!$A$2:$B$2794,2,FALSE)),"Código não cadastrado",(VLOOKUP(H:H,produtos_escape2!$A$2:$B$2794,2,FALSE))))</f>
        <v>FRALDA DESCARTÁVEL ADULTO XG, acima de 90 KG, Material: forro interno em falso tecido microperfurado, manta de celulose regular, com flocos absorventes, com acabamento regular, cobertura externa impermeável em polietileno, com indicador de umidade. Fita adesiva trilaminada. Uso: adulto com peso acima de 90 kg. Características Adicionais: formato anatômico proporcionando conforto e segurança aos movimentos do corpo; indicador de umidade, que muda de cor alertando para a mudança da fralda; com quatro fitas reposicionáveis para ajuste (tipo abre e fecha); cobertura interna hipoalergênica; espessa camada gel superabsorvente; barreiras antivazamento que proporcione proteção extra e evite transbordamento.  Que atenda a NBR 12005 e NBR 14797.  Tamanho da cintura: de 140 a 165 cm. Embalagem: pacotes com 07 a 20 unidades,</v>
      </c>
      <c r="M972" s="593" t="str">
        <f>IF(H:H=0,"",IF(ISERROR(VLOOKUP(H:H,produtos_escape2!$A$2:$D$2794,2,FALSE)),"Código não cadastrado",(VLOOKUP(H:H,produtos_escape2!$A$2:$D$2794,4,FALSE))))</f>
        <v>UN</v>
      </c>
      <c r="N972" s="486">
        <v>10000</v>
      </c>
      <c r="O972" s="176" t="s">
        <v>7371</v>
      </c>
      <c r="P972" s="486">
        <v>1960</v>
      </c>
      <c r="Q972" s="247">
        <v>1.0900000000000001</v>
      </c>
      <c r="R972" s="246">
        <f t="shared" si="33"/>
        <v>2136.4</v>
      </c>
      <c r="S972" s="177">
        <v>44063</v>
      </c>
      <c r="T972" s="182">
        <v>365045</v>
      </c>
      <c r="U972" s="177">
        <v>44063</v>
      </c>
      <c r="V972" s="177">
        <v>44064</v>
      </c>
      <c r="W972" s="177">
        <v>44064</v>
      </c>
      <c r="X972" s="176">
        <v>71357</v>
      </c>
      <c r="Y972" s="177">
        <v>44075</v>
      </c>
      <c r="Z972" s="415">
        <v>5</v>
      </c>
      <c r="AA972" s="488"/>
      <c r="AB972" s="594"/>
      <c r="AC972" s="595"/>
      <c r="AD972" s="596" t="str">
        <f>IF(AND(AC972&lt;&gt;"",S972&lt;&gt;""),NETWORKDAYS(AC972,S972,#REF!),"")</f>
        <v/>
      </c>
      <c r="AE972" s="596" t="str">
        <f ca="1">IF(AND(AD972="",AC972=""),"",IF(OR(AD972&lt;&gt;"",O972="*CANCELADO"),"",NETWORKDAYS(AC972,TODAY(),#REF!)))</f>
        <v/>
      </c>
      <c r="AF972" s="597" t="str">
        <f>IFERROR(INDEX(produtos_escape2!M:M,MATCH(Controle!H972,produtos_escape2!A:A,0)),"")</f>
        <v>FRALDA DESCARTÁVEL ADULTO XG</v>
      </c>
    </row>
    <row r="973" spans="1:32" ht="14.25" customHeight="1">
      <c r="A973" s="176" t="s">
        <v>8842</v>
      </c>
      <c r="B973" s="176" t="s">
        <v>3608</v>
      </c>
      <c r="C973" s="177">
        <v>44050</v>
      </c>
      <c r="D973" s="176" t="s">
        <v>9691</v>
      </c>
      <c r="E973" s="176" t="s">
        <v>1866</v>
      </c>
      <c r="F973" s="259" t="s">
        <v>9692</v>
      </c>
      <c r="G973" s="176">
        <v>1</v>
      </c>
      <c r="H973" s="178">
        <v>90343</v>
      </c>
      <c r="I973" s="592">
        <f t="shared" si="34"/>
        <v>3</v>
      </c>
      <c r="J973" s="178" t="s">
        <v>816</v>
      </c>
      <c r="K973" s="178" t="s">
        <v>816</v>
      </c>
      <c r="L973" s="275" t="str">
        <f>IF(H:H=0,"",IF(ISERROR(VLOOKUP(H:H,produtos_escape2!$A$2:$B$2794,2,FALSE)),"Código não cadastrado",(VLOOKUP(H:H,produtos_escape2!$A$2:$B$2794,2,FALSE))))</f>
        <v>CIPROFLOXACINO POMADA OFTALMICA 0,3 % BISNAGA 3,5 G</v>
      </c>
      <c r="M973" s="593" t="str">
        <f>IF(H:H=0,"",IF(ISERROR(VLOOKUP(H:H,produtos_escape2!$A$2:$D$2794,2,FALSE)),"Código não cadastrado",(VLOOKUP(H:H,produtos_escape2!$A$2:$D$2794,4,FALSE))))</f>
        <v>BS</v>
      </c>
      <c r="N973" s="486">
        <v>10</v>
      </c>
      <c r="O973" s="176" t="s">
        <v>4401</v>
      </c>
      <c r="P973" s="486">
        <v>10</v>
      </c>
      <c r="Q973" s="247">
        <v>14.5</v>
      </c>
      <c r="R973" s="246">
        <f t="shared" si="33"/>
        <v>145</v>
      </c>
      <c r="S973" s="177">
        <v>44055</v>
      </c>
      <c r="T973" s="182">
        <v>2706742</v>
      </c>
      <c r="U973" s="177">
        <v>44060</v>
      </c>
      <c r="V973" s="177">
        <v>44063</v>
      </c>
      <c r="W973" s="177">
        <v>44068</v>
      </c>
      <c r="X973" s="176">
        <v>91221</v>
      </c>
      <c r="Y973" s="177">
        <v>44104</v>
      </c>
      <c r="Z973" s="415">
        <v>5</v>
      </c>
      <c r="AA973" s="488"/>
      <c r="AB973" s="594"/>
      <c r="AC973" s="595"/>
      <c r="AD973" s="596" t="str">
        <f>IF(AND(AC973&lt;&gt;"",S973&lt;&gt;""),NETWORKDAYS(AC973,S973,#REF!),"")</f>
        <v/>
      </c>
      <c r="AE973" s="596" t="str">
        <f ca="1">IF(AND(AD973="",AC973=""),"",IF(OR(AD973&lt;&gt;"",O973="*CANCELADO"),"",NETWORKDAYS(AC973,TODAY(),#REF!)))</f>
        <v/>
      </c>
      <c r="AF973" s="597" t="str">
        <f>IFERROR(INDEX(produtos_escape2!M:M,MATCH(Controle!H973,produtos_escape2!A:A,0)),"")</f>
        <v>CIPROFLOXACINO POMADA OFTALMICA 0</v>
      </c>
    </row>
    <row r="974" spans="1:32" ht="14.25" customHeight="1">
      <c r="A974" s="176" t="s">
        <v>8843</v>
      </c>
      <c r="B974" s="176" t="s">
        <v>3608</v>
      </c>
      <c r="C974" s="177">
        <v>44050</v>
      </c>
      <c r="D974" s="176" t="s">
        <v>9693</v>
      </c>
      <c r="E974" s="176" t="s">
        <v>1867</v>
      </c>
      <c r="F974" s="259" t="s">
        <v>9694</v>
      </c>
      <c r="G974" s="176">
        <v>1</v>
      </c>
      <c r="H974" s="178">
        <v>90950</v>
      </c>
      <c r="I974" s="592">
        <f t="shared" si="34"/>
        <v>4</v>
      </c>
      <c r="J974" s="178" t="s">
        <v>816</v>
      </c>
      <c r="K974" s="178" t="s">
        <v>816</v>
      </c>
      <c r="L974" s="275" t="str">
        <f>IF(H:H=0,"",IF(ISERROR(VLOOKUP(H:H,produtos_escape2!$A$2:$B$2794,2,FALSE)),"Código não cadastrado",(VLOOKUP(H:H,produtos_escape2!$A$2:$B$2794,2,FALSE))))</f>
        <v>ONDANSETRONA COMPRIMIDO 8 MG</v>
      </c>
      <c r="M974" s="593" t="str">
        <f>IF(H:H=0,"",IF(ISERROR(VLOOKUP(H:H,produtos_escape2!$A$2:$D$2794,2,FALSE)),"Código não cadastrado",(VLOOKUP(H:H,produtos_escape2!$A$2:$D$2794,4,FALSE))))</f>
        <v>CP</v>
      </c>
      <c r="N974" s="486">
        <v>500</v>
      </c>
      <c r="O974" s="176" t="s">
        <v>7371</v>
      </c>
      <c r="P974" s="486">
        <v>100</v>
      </c>
      <c r="Q974" s="247">
        <v>1.24</v>
      </c>
      <c r="R974" s="246">
        <f t="shared" si="33"/>
        <v>124</v>
      </c>
      <c r="S974" s="177">
        <v>44061</v>
      </c>
      <c r="T974" s="182">
        <v>363833</v>
      </c>
      <c r="U974" s="177">
        <v>44061</v>
      </c>
      <c r="V974" s="177">
        <v>44062</v>
      </c>
      <c r="W974" s="177">
        <v>44068</v>
      </c>
      <c r="X974" s="176">
        <v>91215</v>
      </c>
      <c r="Y974" s="177">
        <v>44104</v>
      </c>
      <c r="Z974" s="415">
        <v>5</v>
      </c>
      <c r="AA974" s="488"/>
      <c r="AB974" s="594"/>
      <c r="AC974" s="595"/>
      <c r="AD974" s="596" t="str">
        <f>IF(AND(AC974&lt;&gt;"",S974&lt;&gt;""),NETWORKDAYS(AC974,S974,#REF!),"")</f>
        <v/>
      </c>
      <c r="AE974" s="596" t="str">
        <f ca="1">IF(AND(AD974="",AC974=""),"",IF(OR(AD974&lt;&gt;"",O974="*CANCELADO"),"",NETWORKDAYS(AC974,TODAY(),#REF!)))</f>
        <v/>
      </c>
      <c r="AF974" s="597" t="str">
        <f>IFERROR(INDEX(produtos_escape2!M:M,MATCH(Controle!H974,produtos_escape2!A:A,0)),"")</f>
        <v>ONDANSETRONA COMPRIMIDO 8 MG</v>
      </c>
    </row>
    <row r="975" spans="1:32" ht="14.25" customHeight="1">
      <c r="A975" s="176" t="s">
        <v>8846</v>
      </c>
      <c r="B975" s="176" t="s">
        <v>3608</v>
      </c>
      <c r="C975" s="177">
        <v>44050</v>
      </c>
      <c r="D975" s="176" t="s">
        <v>9695</v>
      </c>
      <c r="E975" s="176" t="s">
        <v>3009</v>
      </c>
      <c r="F975" s="259" t="s">
        <v>9696</v>
      </c>
      <c r="G975" s="176">
        <v>1</v>
      </c>
      <c r="H975" s="178">
        <v>90949</v>
      </c>
      <c r="I975" s="592">
        <f t="shared" si="34"/>
        <v>9</v>
      </c>
      <c r="J975" s="178" t="s">
        <v>816</v>
      </c>
      <c r="K975" s="178" t="s">
        <v>816</v>
      </c>
      <c r="L975" s="275" t="str">
        <f>IF(H:H=0,"",IF(ISERROR(VLOOKUP(H:H,produtos_escape2!$A$2:$B$2794,2,FALSE)),"Código não cadastrado",(VLOOKUP(H:H,produtos_escape2!$A$2:$B$2794,2,FALSE))))</f>
        <v>ONDANSETRONA SOLUÇAO INJETAVEL 2 MG/ML AMPOLA 4 ML</v>
      </c>
      <c r="M975" s="593" t="str">
        <f>IF(H:H=0,"",IF(ISERROR(VLOOKUP(H:H,produtos_escape2!$A$2:$D$2794,2,FALSE)),"Código não cadastrado",(VLOOKUP(H:H,produtos_escape2!$A$2:$D$2794,4,FALSE))))</f>
        <v>AMP</v>
      </c>
      <c r="N975" s="486">
        <v>3000</v>
      </c>
      <c r="O975" s="176" t="s">
        <v>7549</v>
      </c>
      <c r="P975" s="486">
        <v>700</v>
      </c>
      <c r="Q975" s="247">
        <v>1.38</v>
      </c>
      <c r="R975" s="246">
        <f t="shared" si="33"/>
        <v>965.99999999999989</v>
      </c>
      <c r="S975" s="177">
        <v>44063</v>
      </c>
      <c r="T975" s="182">
        <v>108883</v>
      </c>
      <c r="U975" s="177">
        <v>44064</v>
      </c>
      <c r="V975" s="177">
        <v>44067</v>
      </c>
      <c r="W975" s="177">
        <v>44077</v>
      </c>
      <c r="X975" s="176">
        <v>91316</v>
      </c>
      <c r="Y975" s="177">
        <v>44104</v>
      </c>
      <c r="Z975" s="415">
        <v>5</v>
      </c>
      <c r="AA975" s="488"/>
      <c r="AB975" s="594"/>
      <c r="AC975" s="595"/>
      <c r="AD975" s="596" t="str">
        <f>IF(AND(AC975&lt;&gt;"",S975&lt;&gt;""),NETWORKDAYS(AC975,S975,#REF!),"")</f>
        <v/>
      </c>
      <c r="AE975" s="596" t="str">
        <f ca="1">IF(AND(AD975="",AC975=""),"",IF(OR(AD975&lt;&gt;"",O975="*CANCELADO"),"",NETWORKDAYS(AC975,TODAY(),#REF!)))</f>
        <v/>
      </c>
      <c r="AF975" s="597" t="str">
        <f>IFERROR(INDEX(produtos_escape2!M:M,MATCH(Controle!H975,produtos_escape2!A:A,0)),"")</f>
        <v>ONDANSETRONA SOLUÇAO INJETAVEL 2 MG/ML AMPOLA 4 ML</v>
      </c>
    </row>
    <row r="976" spans="1:32" ht="14.25" customHeight="1">
      <c r="A976" s="176" t="s">
        <v>8851</v>
      </c>
      <c r="B976" s="176" t="s">
        <v>3608</v>
      </c>
      <c r="C976" s="177">
        <v>44054</v>
      </c>
      <c r="D976" s="176" t="s">
        <v>9697</v>
      </c>
      <c r="E976" s="176" t="s">
        <v>1866</v>
      </c>
      <c r="F976" s="259" t="s">
        <v>9698</v>
      </c>
      <c r="G976" s="176">
        <v>1</v>
      </c>
      <c r="H976" s="178">
        <v>90192</v>
      </c>
      <c r="I976" s="592">
        <f t="shared" si="34"/>
        <v>3</v>
      </c>
      <c r="J976" s="178" t="s">
        <v>816</v>
      </c>
      <c r="K976" s="178" t="s">
        <v>816</v>
      </c>
      <c r="L976" s="275" t="str">
        <f>IF(H:H=0,"",IF(ISERROR(VLOOKUP(H:H,produtos_escape2!$A$2:$B$2794,2,FALSE)),"Código não cadastrado",(VLOOKUP(H:H,produtos_escape2!$A$2:$B$2794,2,FALSE))))</f>
        <v>MORFINA SOLUCAO INJETAVEL 1 MG/ML AMPOLA 2 ML</v>
      </c>
      <c r="M976" s="593" t="str">
        <f>IF(H:H=0,"",IF(ISERROR(VLOOKUP(H:H,produtos_escape2!$A$2:$D$2794,2,FALSE)),"Código não cadastrado",(VLOOKUP(H:H,produtos_escape2!$A$2:$D$2794,4,FALSE))))</f>
        <v>AMP</v>
      </c>
      <c r="N976" s="486">
        <v>50</v>
      </c>
      <c r="O976" s="176" t="s">
        <v>7371</v>
      </c>
      <c r="P976" s="486">
        <v>50</v>
      </c>
      <c r="Q976" s="247">
        <v>5.2</v>
      </c>
      <c r="R976" s="246">
        <f t="shared" ref="R976:R1002" si="35">P976*Q976</f>
        <v>260</v>
      </c>
      <c r="S976" s="177">
        <v>44055</v>
      </c>
      <c r="T976" s="182">
        <v>361991</v>
      </c>
      <c r="U976" s="177">
        <v>44055</v>
      </c>
      <c r="V976" s="177">
        <v>44056</v>
      </c>
      <c r="W976" s="177">
        <v>44057</v>
      </c>
      <c r="X976" s="176">
        <v>71349</v>
      </c>
      <c r="Y976" s="177">
        <v>44075</v>
      </c>
      <c r="Z976" s="415">
        <v>5</v>
      </c>
      <c r="AA976" s="488"/>
      <c r="AB976" s="594"/>
      <c r="AC976" s="595"/>
      <c r="AD976" s="596" t="str">
        <f>IF(AND(AC976&lt;&gt;"",S976&lt;&gt;""),NETWORKDAYS(AC976,S976,#REF!),"")</f>
        <v/>
      </c>
      <c r="AE976" s="596" t="str">
        <f ca="1">IF(AND(AD976="",AC976=""),"",IF(OR(AD976&lt;&gt;"",O976="*CANCELADO"),"",NETWORKDAYS(AC976,TODAY(),#REF!)))</f>
        <v/>
      </c>
      <c r="AF976" s="597" t="str">
        <f>IFERROR(INDEX(produtos_escape2!M:M,MATCH(Controle!H976,produtos_escape2!A:A,0)),"")</f>
        <v>MORFINA SOLUÇÃO INJETAVEL</v>
      </c>
    </row>
    <row r="977" spans="1:32" ht="14.25" customHeight="1">
      <c r="A977" s="176" t="s">
        <v>8847</v>
      </c>
      <c r="B977" s="176" t="s">
        <v>3608</v>
      </c>
      <c r="C977" s="177">
        <v>44054</v>
      </c>
      <c r="D977" s="176" t="s">
        <v>9701</v>
      </c>
      <c r="E977" s="176" t="s">
        <v>1867</v>
      </c>
      <c r="F977" s="259" t="s">
        <v>9702</v>
      </c>
      <c r="G977" s="176">
        <v>1</v>
      </c>
      <c r="H977" s="178">
        <v>90111</v>
      </c>
      <c r="I977" s="592">
        <f t="shared" si="34"/>
        <v>8</v>
      </c>
      <c r="J977" s="178" t="s">
        <v>816</v>
      </c>
      <c r="K977" s="178" t="s">
        <v>816</v>
      </c>
      <c r="L977" s="275" t="str">
        <f>IF(H:H=0,"",IF(ISERROR(VLOOKUP(H:H,produtos_escape2!$A$2:$B$2794,2,FALSE)),"Código não cadastrado",(VLOOKUP(H:H,produtos_escape2!$A$2:$B$2794,2,FALSE))))</f>
        <v xml:space="preserve">MIDAZOLAM SOLUÇAO INJETAVEL 15 MG AMPOLA 3 ML </v>
      </c>
      <c r="M977" s="593" t="str">
        <f>IF(H:H=0,"",IF(ISERROR(VLOOKUP(H:H,produtos_escape2!$A$2:$D$2794,2,FALSE)),"Código não cadastrado",(VLOOKUP(H:H,produtos_escape2!$A$2:$D$2794,4,FALSE))))</f>
        <v>AMP</v>
      </c>
      <c r="N977" s="486">
        <v>800</v>
      </c>
      <c r="O977" s="176" t="s">
        <v>4398</v>
      </c>
      <c r="P977" s="486">
        <v>400</v>
      </c>
      <c r="Q977" s="247">
        <v>8.4</v>
      </c>
      <c r="R977" s="246">
        <f t="shared" si="35"/>
        <v>3360</v>
      </c>
      <c r="S977" s="177">
        <v>44061</v>
      </c>
      <c r="T977" s="182">
        <v>1335915</v>
      </c>
      <c r="U977" s="177">
        <v>44061</v>
      </c>
      <c r="V977" s="177">
        <v>44063</v>
      </c>
      <c r="W977" s="177">
        <v>44068</v>
      </c>
      <c r="X977" s="176">
        <v>91450</v>
      </c>
      <c r="Y977" s="177">
        <v>44104</v>
      </c>
      <c r="Z977" s="415">
        <v>5</v>
      </c>
      <c r="AA977" s="488"/>
      <c r="AB977" s="594"/>
      <c r="AC977" s="595"/>
      <c r="AD977" s="596" t="str">
        <f>IF(AND(AC977&lt;&gt;"",S977&lt;&gt;""),NETWORKDAYS(AC977,S977,#REF!),"")</f>
        <v/>
      </c>
      <c r="AE977" s="596" t="str">
        <f ca="1">IF(AND(AD977="",AC977=""),"",IF(OR(AD977&lt;&gt;"",O977="*CANCELADO"),"",NETWORKDAYS(AC977,TODAY(),#REF!)))</f>
        <v/>
      </c>
      <c r="AF977" s="597" t="str">
        <f>IFERROR(INDEX(produtos_escape2!M:M,MATCH(Controle!H977,produtos_escape2!A:A,0)),"")</f>
        <v xml:space="preserve">MIDAZOLAM SOLUÇAO INJETAVEL 15 MG AMPOLA 3 ML </v>
      </c>
    </row>
    <row r="978" spans="1:32" ht="14.25" customHeight="1">
      <c r="A978" s="176" t="s">
        <v>8853</v>
      </c>
      <c r="B978" s="176" t="s">
        <v>3608</v>
      </c>
      <c r="C978" s="177">
        <v>44055</v>
      </c>
      <c r="D978" s="176" t="s">
        <v>9715</v>
      </c>
      <c r="E978" s="176" t="s">
        <v>1866</v>
      </c>
      <c r="F978" s="259" t="s">
        <v>9716</v>
      </c>
      <c r="G978" s="176">
        <v>1</v>
      </c>
      <c r="H978" s="178">
        <v>90413</v>
      </c>
      <c r="I978" s="592">
        <f t="shared" si="34"/>
        <v>4</v>
      </c>
      <c r="J978" s="178" t="s">
        <v>816</v>
      </c>
      <c r="K978" s="178" t="s">
        <v>816</v>
      </c>
      <c r="L978" s="275" t="str">
        <f>IF(H:H=0,"",IF(ISERROR(VLOOKUP(H:H,produtos_escape2!$A$2:$B$2794,2,FALSE)),"Código não cadastrado",(VLOOKUP(H:H,produtos_escape2!$A$2:$B$2794,2,FALSE))))</f>
        <v>NITROPRUSSETO DE SODIO PO LIOFILIZADO OU SOLUCAO INJETAVEL 50 MG FRASCO-AMPOLA OU AMPOLA</v>
      </c>
      <c r="M978" s="593" t="str">
        <f>IF(H:H=0,"",IF(ISERROR(VLOOKUP(H:H,produtos_escape2!$A$2:$D$2794,2,FALSE)),"Código não cadastrado",(VLOOKUP(H:H,produtos_escape2!$A$2:$D$2794,4,FALSE))))</f>
        <v>UN</v>
      </c>
      <c r="N978" s="486">
        <v>70</v>
      </c>
      <c r="O978" s="176" t="s">
        <v>7371</v>
      </c>
      <c r="P978" s="486">
        <v>70</v>
      </c>
      <c r="Q978" s="247">
        <v>23.24</v>
      </c>
      <c r="R978" s="246">
        <f t="shared" si="35"/>
        <v>1626.8</v>
      </c>
      <c r="S978" s="177">
        <v>44097</v>
      </c>
      <c r="T978" s="182">
        <v>378034</v>
      </c>
      <c r="U978" s="177">
        <v>44097</v>
      </c>
      <c r="V978" s="177">
        <v>44098</v>
      </c>
      <c r="W978" s="177">
        <v>44103</v>
      </c>
      <c r="X978" s="176">
        <v>18096</v>
      </c>
      <c r="Y978" s="177">
        <v>44146</v>
      </c>
      <c r="Z978" s="415">
        <v>6</v>
      </c>
      <c r="AA978" s="488"/>
      <c r="AB978" s="594"/>
      <c r="AC978" s="595"/>
      <c r="AD978" s="596" t="str">
        <f>IF(AND(AC978&lt;&gt;"",S978&lt;&gt;""),NETWORKDAYS(AC978,S978,#REF!),"")</f>
        <v/>
      </c>
      <c r="AE978" s="596" t="str">
        <f ca="1">IF(AND(AD978="",AC978=""),"",IF(OR(AD978&lt;&gt;"",O978="*CANCELADO"),"",NETWORKDAYS(AC978,TODAY(),#REF!)))</f>
        <v/>
      </c>
      <c r="AF978" s="597" t="str">
        <f>IFERROR(INDEX(produtos_escape2!M:M,MATCH(Controle!H978,produtos_escape2!A:A,0)),"")</f>
        <v>NITROPRUSSETO DE SODIO</v>
      </c>
    </row>
    <row r="979" spans="1:32" ht="14.25" customHeight="1">
      <c r="A979" s="176" t="s">
        <v>8855</v>
      </c>
      <c r="B979" s="176" t="s">
        <v>3608</v>
      </c>
      <c r="C979" s="177">
        <v>44055</v>
      </c>
      <c r="D979" s="176" t="s">
        <v>9717</v>
      </c>
      <c r="E979" s="176" t="s">
        <v>1867</v>
      </c>
      <c r="F979" s="259" t="s">
        <v>9718</v>
      </c>
      <c r="G979" s="176">
        <v>1</v>
      </c>
      <c r="H979" s="178">
        <v>90261</v>
      </c>
      <c r="I979" s="592">
        <f t="shared" si="34"/>
        <v>5</v>
      </c>
      <c r="J979" s="178" t="s">
        <v>816</v>
      </c>
      <c r="K979" s="178" t="s">
        <v>816</v>
      </c>
      <c r="L979" s="275" t="str">
        <f>IF(H:H=0,"",IF(ISERROR(VLOOKUP(H:H,produtos_escape2!$A$2:$B$2794,2,FALSE)),"Código não cadastrado",(VLOOKUP(H:H,produtos_escape2!$A$2:$B$2794,2,FALSE))))</f>
        <v>DOPAMINA (CLORIDRATO) SOLUCAO INJETAVEL 5 MG/ML AMPOLA 10 ML</v>
      </c>
      <c r="M979" s="593" t="str">
        <f>IF(H:H=0,"",IF(ISERROR(VLOOKUP(H:H,produtos_escape2!$A$2:$D$2794,2,FALSE)),"Código não cadastrado",(VLOOKUP(H:H,produtos_escape2!$A$2:$D$2794,4,FALSE))))</f>
        <v>AMP</v>
      </c>
      <c r="N979" s="486">
        <v>300</v>
      </c>
      <c r="O979" s="176" t="s">
        <v>1868</v>
      </c>
      <c r="P979" s="486"/>
      <c r="Q979" s="247"/>
      <c r="R979" s="246">
        <f t="shared" si="35"/>
        <v>0</v>
      </c>
      <c r="S979" s="177">
        <v>44069</v>
      </c>
      <c r="T979" s="182"/>
      <c r="U979" s="177"/>
      <c r="V979" s="177"/>
      <c r="W979" s="177"/>
      <c r="X979" s="176"/>
      <c r="Y979" s="177"/>
      <c r="Z979" s="415">
        <v>4</v>
      </c>
      <c r="AA979" s="488" t="s">
        <v>9791</v>
      </c>
      <c r="AB979" s="594"/>
      <c r="AC979" s="595"/>
      <c r="AD979" s="596" t="str">
        <f>IF(AND(AC979&lt;&gt;"",S979&lt;&gt;""),NETWORKDAYS(AC979,S979,#REF!),"")</f>
        <v/>
      </c>
      <c r="AE979" s="596" t="str">
        <f ca="1">IF(AND(AD979="",AC979=""),"",IF(OR(AD979&lt;&gt;"",O979="*CANCELADO"),"",NETWORKDAYS(AC979,TODAY(),#REF!)))</f>
        <v/>
      </c>
      <c r="AF979" s="597" t="str">
        <f>IFERROR(INDEX(produtos_escape2!M:M,MATCH(Controle!H979,produtos_escape2!A:A,0)),"")</f>
        <v>DOPAMINA (CLORIDRATO) SOLUCAO INJETAVEL 5 MG/ML AMPOLA 10 ML</v>
      </c>
    </row>
    <row r="980" spans="1:32" ht="14.25" customHeight="1">
      <c r="A980" s="176" t="s">
        <v>8858</v>
      </c>
      <c r="B980" s="176" t="s">
        <v>3608</v>
      </c>
      <c r="C980" s="177">
        <v>44055</v>
      </c>
      <c r="D980" s="176" t="s">
        <v>9719</v>
      </c>
      <c r="E980" s="176" t="s">
        <v>3009</v>
      </c>
      <c r="F980" s="259" t="s">
        <v>9720</v>
      </c>
      <c r="G980" s="176">
        <v>1</v>
      </c>
      <c r="H980" s="178">
        <v>90914</v>
      </c>
      <c r="I980" s="592">
        <f t="shared" si="34"/>
        <v>5</v>
      </c>
      <c r="J980" s="178" t="s">
        <v>816</v>
      </c>
      <c r="K980" s="178" t="s">
        <v>816</v>
      </c>
      <c r="L980" s="275" t="str">
        <f>IF(H:H=0,"",IF(ISERROR(VLOOKUP(H:H,produtos_escape2!$A$2:$B$2794,2,FALSE)),"Código não cadastrado",(VLOOKUP(H:H,produtos_escape2!$A$2:$B$2794,2,FALSE))))</f>
        <v>SULFAMETOXAZOL + TRIMETROPIMA SOLUCAO INJETAVEL (400 MG + 80 MG)/5 ML AMPOLA 5 ML.</v>
      </c>
      <c r="M980" s="593" t="str">
        <f>IF(H:H=0,"",IF(ISERROR(VLOOKUP(H:H,produtos_escape2!$A$2:$D$2794,2,FALSE)),"Código não cadastrado",(VLOOKUP(H:H,produtos_escape2!$A$2:$D$2794,4,FALSE))))</f>
        <v>AMP</v>
      </c>
      <c r="N980" s="486">
        <v>400</v>
      </c>
      <c r="O980" s="176" t="s">
        <v>1868</v>
      </c>
      <c r="P980" s="486"/>
      <c r="Q980" s="247"/>
      <c r="R980" s="246">
        <f t="shared" si="35"/>
        <v>0</v>
      </c>
      <c r="S980" s="177"/>
      <c r="T980" s="182"/>
      <c r="U980" s="177"/>
      <c r="V980" s="177"/>
      <c r="W980" s="177"/>
      <c r="X980" s="176"/>
      <c r="Y980" s="177"/>
      <c r="Z980" s="415">
        <v>5</v>
      </c>
      <c r="AA980" s="488" t="s">
        <v>7474</v>
      </c>
      <c r="AB980" s="594"/>
      <c r="AC980" s="595"/>
      <c r="AD980" s="596" t="str">
        <f>IF(AND(AC980&lt;&gt;"",S980&lt;&gt;""),NETWORKDAYS(AC980,S980,#REF!),"")</f>
        <v/>
      </c>
      <c r="AE980" s="596" t="str">
        <f ca="1">IF(AND(AD980="",AC980=""),"",IF(OR(AD980&lt;&gt;"",O980="*CANCELADO"),"",NETWORKDAYS(AC980,TODAY(),#REF!)))</f>
        <v/>
      </c>
      <c r="AF980" s="597" t="str">
        <f>IFERROR(INDEX(produtos_escape2!M:M,MATCH(Controle!H980,produtos_escape2!A:A,0)),"")</f>
        <v>SULFAMETOXAZOL + TRIMETROPIMA SOLUCAO INJETAVEL (400 MG + 80 MG)/5 ML AMPOLA 5 ML</v>
      </c>
    </row>
    <row r="981" spans="1:32" ht="14.25" customHeight="1">
      <c r="A981" s="176" t="s">
        <v>8868</v>
      </c>
      <c r="B981" s="176" t="s">
        <v>3608</v>
      </c>
      <c r="C981" s="177">
        <v>44055</v>
      </c>
      <c r="D981" s="176" t="s">
        <v>9721</v>
      </c>
      <c r="E981" s="176" t="s">
        <v>1865</v>
      </c>
      <c r="F981" s="259" t="s">
        <v>9722</v>
      </c>
      <c r="G981" s="176">
        <v>1</v>
      </c>
      <c r="H981" s="178">
        <v>90032</v>
      </c>
      <c r="I981" s="592">
        <f t="shared" si="34"/>
        <v>11</v>
      </c>
      <c r="J981" s="178" t="s">
        <v>816</v>
      </c>
      <c r="K981" s="178" t="s">
        <v>816</v>
      </c>
      <c r="L981" s="275" t="str">
        <f>IF(H:H=0,"",IF(ISERROR(VLOOKUP(H:H,produtos_escape2!$A$2:$B$2794,2,FALSE)),"Código não cadastrado",(VLOOKUP(H:H,produtos_escape2!$A$2:$B$2794,2,FALSE))))</f>
        <v>CISATRACURIO (BESILATO) SOLUCAO INJETAVEL 2 MG/ML AMPOLA 5 ML</v>
      </c>
      <c r="M981" s="593" t="str">
        <f>IF(H:H=0,"",IF(ISERROR(VLOOKUP(H:H,produtos_escape2!$A$2:$D$2794,2,FALSE)),"Código não cadastrado",(VLOOKUP(H:H,produtos_escape2!$A$2:$D$2794,4,FALSE))))</f>
        <v>AMP</v>
      </c>
      <c r="N981" s="486">
        <v>400</v>
      </c>
      <c r="O981" s="176" t="s">
        <v>4401</v>
      </c>
      <c r="P981" s="486">
        <v>80</v>
      </c>
      <c r="Q981" s="247">
        <v>24.1</v>
      </c>
      <c r="R981" s="246">
        <f t="shared" si="35"/>
        <v>1928</v>
      </c>
      <c r="S981" s="177">
        <v>44069</v>
      </c>
      <c r="T981" s="182">
        <v>2718236</v>
      </c>
      <c r="U981" s="177">
        <v>44070</v>
      </c>
      <c r="V981" s="177">
        <v>44076</v>
      </c>
      <c r="W981" s="177">
        <v>44077</v>
      </c>
      <c r="X981" s="176">
        <v>91361</v>
      </c>
      <c r="Y981" s="177">
        <v>44104</v>
      </c>
      <c r="Z981" s="415">
        <v>5</v>
      </c>
      <c r="AA981" s="488"/>
      <c r="AB981" s="594"/>
      <c r="AC981" s="595"/>
      <c r="AD981" s="596" t="str">
        <f>IF(AND(AC981&lt;&gt;"",S981&lt;&gt;""),NETWORKDAYS(AC981,S981,#REF!),"")</f>
        <v/>
      </c>
      <c r="AE981" s="596" t="str">
        <f ca="1">IF(AND(AD981="",AC981=""),"",IF(OR(AD981&lt;&gt;"",O981="*CANCELADO"),"",NETWORKDAYS(AC981,TODAY(),#REF!)))</f>
        <v/>
      </c>
      <c r="AF981" s="597" t="str">
        <f>IFERROR(INDEX(produtos_escape2!M:M,MATCH(Controle!H981,produtos_escape2!A:A,0)),"")</f>
        <v>CISATRACURIO (BESILATO) SOLUCAO INJETAVEL 2 MG/ML AMPOLA 5 ML</v>
      </c>
    </row>
    <row r="982" spans="1:32" ht="14.25" customHeight="1">
      <c r="A982" s="176" t="s">
        <v>8874</v>
      </c>
      <c r="B982" s="176" t="s">
        <v>3608</v>
      </c>
      <c r="C982" s="177">
        <v>44055</v>
      </c>
      <c r="D982" s="176" t="s">
        <v>9723</v>
      </c>
      <c r="E982" s="176" t="s">
        <v>1866</v>
      </c>
      <c r="F982" s="259" t="s">
        <v>9724</v>
      </c>
      <c r="G982" s="176">
        <v>1</v>
      </c>
      <c r="H982" s="178">
        <v>90590</v>
      </c>
      <c r="I982" s="592">
        <f t="shared" si="34"/>
        <v>4</v>
      </c>
      <c r="J982" s="178" t="s">
        <v>816</v>
      </c>
      <c r="K982" s="178" t="s">
        <v>816</v>
      </c>
      <c r="L982" s="275" t="str">
        <f>IF(H:H=0,"",IF(ISERROR(VLOOKUP(H:H,produtos_escape2!$A$2:$B$2794,2,FALSE)),"Código não cadastrado",(VLOOKUP(H:H,produtos_escape2!$A$2:$B$2794,2,FALSE))))</f>
        <v>SACARATO DE HIDROXIDO DE FERRO III SOLUÇAO INJETAVEL ENDOVENOSA 20MG/ML AMPOLA 5ML</v>
      </c>
      <c r="M982" s="593" t="str">
        <f>IF(H:H=0,"",IF(ISERROR(VLOOKUP(H:H,produtos_escape2!$A$2:$D$2794,2,FALSE)),"Código não cadastrado",(VLOOKUP(H:H,produtos_escape2!$A$2:$D$2794,4,FALSE))))</f>
        <v>AMP</v>
      </c>
      <c r="N982" s="486">
        <v>900</v>
      </c>
      <c r="O982" s="176" t="s">
        <v>7371</v>
      </c>
      <c r="P982" s="486">
        <v>900</v>
      </c>
      <c r="Q982" s="247">
        <v>9.31</v>
      </c>
      <c r="R982" s="246">
        <f t="shared" si="35"/>
        <v>8379</v>
      </c>
      <c r="S982" s="177">
        <v>44097</v>
      </c>
      <c r="T982" s="182">
        <v>378136</v>
      </c>
      <c r="U982" s="177">
        <v>44097</v>
      </c>
      <c r="V982" s="177">
        <v>44098</v>
      </c>
      <c r="W982" s="177">
        <v>44103</v>
      </c>
      <c r="X982" s="176">
        <v>14546</v>
      </c>
      <c r="Y982" s="177">
        <v>44141</v>
      </c>
      <c r="Z982" s="415">
        <v>6</v>
      </c>
      <c r="AA982" s="488"/>
      <c r="AB982" s="594"/>
      <c r="AC982" s="595"/>
      <c r="AD982" s="596" t="str">
        <f>IF(AND(AC982&lt;&gt;"",S982&lt;&gt;""),NETWORKDAYS(AC982,S982,#REF!),"")</f>
        <v/>
      </c>
      <c r="AE982" s="596" t="str">
        <f ca="1">IF(AND(AD982="",AC982=""),"",IF(OR(AD982&lt;&gt;"",O982="*CANCELADO"),"",NETWORKDAYS(AC982,TODAY(),#REF!)))</f>
        <v/>
      </c>
      <c r="AF982" s="597" t="str">
        <f>IFERROR(INDEX(produtos_escape2!M:M,MATCH(Controle!H982,produtos_escape2!A:A,0)),"")</f>
        <v>SACARATO DE HIDROXIDO DE FERRO III SOLUÇAO INJETAVEL ENDOVENOSA 20MG/ML AMPOLA 5ML</v>
      </c>
    </row>
    <row r="983" spans="1:32" ht="14.25" customHeight="1">
      <c r="A983" s="176" t="s">
        <v>8870</v>
      </c>
      <c r="B983" s="176" t="s">
        <v>3608</v>
      </c>
      <c r="C983" s="177">
        <v>44055</v>
      </c>
      <c r="D983" s="176" t="s">
        <v>9725</v>
      </c>
      <c r="E983" s="176" t="s">
        <v>1867</v>
      </c>
      <c r="F983" s="259" t="s">
        <v>9726</v>
      </c>
      <c r="G983" s="176">
        <v>1</v>
      </c>
      <c r="H983" s="178">
        <v>90421</v>
      </c>
      <c r="I983" s="592">
        <f t="shared" si="34"/>
        <v>2</v>
      </c>
      <c r="J983" s="178" t="s">
        <v>816</v>
      </c>
      <c r="K983" s="178" t="s">
        <v>816</v>
      </c>
      <c r="L983" s="275" t="str">
        <f>IF(H:H=0,"",IF(ISERROR(VLOOKUP(H:H,produtos_escape2!$A$2:$B$2794,2,FALSE)),"Código não cadastrado",(VLOOKUP(H:H,produtos_escape2!$A$2:$B$2794,2,FALSE))))</f>
        <v>CAPTOPRIL COMPRIMIDO SULCADO 50 MG</v>
      </c>
      <c r="M983" s="593" t="str">
        <f>IF(H:H=0,"",IF(ISERROR(VLOOKUP(H:H,produtos_escape2!$A$2:$D$2794,2,FALSE)),"Código não cadastrado",(VLOOKUP(H:H,produtos_escape2!$A$2:$D$2794,4,FALSE))))</f>
        <v>CP</v>
      </c>
      <c r="N983" s="486">
        <v>500</v>
      </c>
      <c r="O983" s="176" t="s">
        <v>1868</v>
      </c>
      <c r="P983" s="486"/>
      <c r="Q983" s="247"/>
      <c r="R983" s="246">
        <f t="shared" si="35"/>
        <v>0</v>
      </c>
      <c r="S983" s="177">
        <v>44097</v>
      </c>
      <c r="T983" s="182"/>
      <c r="U983" s="177"/>
      <c r="V983" s="177"/>
      <c r="W983" s="177"/>
      <c r="X983" s="176"/>
      <c r="Y983" s="177"/>
      <c r="Z983" s="415">
        <v>5</v>
      </c>
      <c r="AA983" s="488" t="s">
        <v>9784</v>
      </c>
      <c r="AB983" s="594"/>
      <c r="AC983" s="595"/>
      <c r="AD983" s="596" t="str">
        <f>IF(AND(AC983&lt;&gt;"",S983&lt;&gt;""),NETWORKDAYS(AC983,S983,#REF!),"")</f>
        <v/>
      </c>
      <c r="AE983" s="596" t="str">
        <f ca="1">IF(AND(AD983="",AC983=""),"",IF(OR(AD983&lt;&gt;"",O983="*CANCELADO"),"",NETWORKDAYS(AC983,TODAY(),#REF!)))</f>
        <v/>
      </c>
      <c r="AF983" s="597" t="str">
        <f>IFERROR(INDEX(produtos_escape2!M:M,MATCH(Controle!H983,produtos_escape2!A:A,0)),"")</f>
        <v>CAPTOPRIL COMPRIMIDO SULCADO 50 MG</v>
      </c>
    </row>
    <row r="984" spans="1:32" ht="14.25" customHeight="1">
      <c r="A984" s="176" t="s">
        <v>8872</v>
      </c>
      <c r="B984" s="176" t="s">
        <v>3608</v>
      </c>
      <c r="C984" s="177">
        <v>44055</v>
      </c>
      <c r="D984" s="176" t="s">
        <v>9727</v>
      </c>
      <c r="E984" s="176" t="s">
        <v>3009</v>
      </c>
      <c r="F984" s="259" t="s">
        <v>9728</v>
      </c>
      <c r="G984" s="176">
        <v>1</v>
      </c>
      <c r="H984" s="178">
        <v>90551</v>
      </c>
      <c r="I984" s="592">
        <f t="shared" si="34"/>
        <v>5</v>
      </c>
      <c r="J984" s="178" t="s">
        <v>816</v>
      </c>
      <c r="K984" s="178" t="s">
        <v>816</v>
      </c>
      <c r="L984" s="275" t="str">
        <f>IF(H:H=0,"",IF(ISERROR(VLOOKUP(H:H,produtos_escape2!$A$2:$B$2794,2,FALSE)),"Código não cadastrado",(VLOOKUP(H:H,produtos_escape2!$A$2:$B$2794,2,FALSE))))</f>
        <v>BICARBONATO DE SODIO SOLUCAO INJETAVEL 8,4 %        (1 MEQ/ML) FRASCO 250 ML</v>
      </c>
      <c r="M984" s="593" t="str">
        <f>IF(H:H=0,"",IF(ISERROR(VLOOKUP(H:H,produtos_escape2!$A$2:$D$2794,2,FALSE)),"Código não cadastrado",(VLOOKUP(H:H,produtos_escape2!$A$2:$D$2794,4,FALSE))))</f>
        <v>FR</v>
      </c>
      <c r="N984" s="486">
        <v>200</v>
      </c>
      <c r="O984" s="176" t="s">
        <v>1868</v>
      </c>
      <c r="P984" s="486"/>
      <c r="Q984" s="247"/>
      <c r="R984" s="246">
        <f t="shared" si="35"/>
        <v>0</v>
      </c>
      <c r="S984" s="177"/>
      <c r="T984" s="182"/>
      <c r="U984" s="177"/>
      <c r="V984" s="177"/>
      <c r="W984" s="177"/>
      <c r="X984" s="176"/>
      <c r="Y984" s="177"/>
      <c r="Z984" s="415">
        <v>5</v>
      </c>
      <c r="AA984" s="488" t="s">
        <v>7857</v>
      </c>
      <c r="AB984" s="594"/>
      <c r="AC984" s="595"/>
      <c r="AD984" s="596" t="str">
        <f>IF(AND(AC984&lt;&gt;"",S984&lt;&gt;""),NETWORKDAYS(AC984,S984,#REF!),"")</f>
        <v/>
      </c>
      <c r="AE984" s="596" t="str">
        <f ca="1">IF(AND(AD984="",AC984=""),"",IF(OR(AD984&lt;&gt;"",O984="*CANCELADO"),"",NETWORKDAYS(AC984,TODAY(),#REF!)))</f>
        <v/>
      </c>
      <c r="AF984" s="597" t="str">
        <f>IFERROR(INDEX(produtos_escape2!M:M,MATCH(Controle!H984,produtos_escape2!A:A,0)),"")</f>
        <v>BICARBONATO DE SODIO SOLUCAO INJETAVEL 8</v>
      </c>
    </row>
    <row r="985" spans="1:32" ht="14.25" customHeight="1">
      <c r="A985" s="176" t="s">
        <v>8878</v>
      </c>
      <c r="B985" s="176" t="s">
        <v>3608</v>
      </c>
      <c r="C985" s="177">
        <v>44055</v>
      </c>
      <c r="D985" s="176" t="s">
        <v>9729</v>
      </c>
      <c r="E985" s="176" t="s">
        <v>1866</v>
      </c>
      <c r="F985" s="259" t="s">
        <v>9730</v>
      </c>
      <c r="G985" s="176">
        <v>1</v>
      </c>
      <c r="H985" s="178">
        <v>36645</v>
      </c>
      <c r="I985" s="592">
        <f t="shared" si="34"/>
        <v>1</v>
      </c>
      <c r="J985" s="178" t="s">
        <v>816</v>
      </c>
      <c r="K985" s="178" t="s">
        <v>816</v>
      </c>
      <c r="L985" s="275" t="str">
        <f>IF(H:H=0,"",IF(ISERROR(VLOOKUP(H:H,produtos_escape2!$A$2:$B$2794,2,FALSE)),"Código não cadastrado",(VLOOKUP(H:H,produtos_escape2!$A$2:$B$2794,2,FALSE))))</f>
        <v xml:space="preserve">AGULHA ANESTÉSICA, APLICAÇÃO P/ RAQUIDIANA, MATERIAL AÇO INOXIDÁVEL, DIMENSÃO 25 G X 4 3/4 ́, TIPO PONTA PONTA QUINCKE, COMPONENTE C/ MANDRIL, CONECTOR UNIVERSAL CONECTOR LUERLOCK, CÔNICO E TRANSPARENTE, CARACTERÍSTICA ADICIONAL P/ OBESOS, TIPO USO DESCARTÁVEL, ESTERILIDADE ESTÉRIL </v>
      </c>
      <c r="M985" s="593" t="str">
        <f>IF(H:H=0,"",IF(ISERROR(VLOOKUP(H:H,produtos_escape2!$A$2:$D$2794,2,FALSE)),"Código não cadastrado",(VLOOKUP(H:H,produtos_escape2!$A$2:$D$2794,4,FALSE))))</f>
        <v>UN</v>
      </c>
      <c r="N985" s="486">
        <v>50</v>
      </c>
      <c r="O985" s="176" t="s">
        <v>3663</v>
      </c>
      <c r="P985" s="486">
        <v>50</v>
      </c>
      <c r="Q985" s="247">
        <v>15.419280000000001</v>
      </c>
      <c r="R985" s="246">
        <f t="shared" si="35"/>
        <v>770.96400000000006</v>
      </c>
      <c r="S985" s="177">
        <v>44097</v>
      </c>
      <c r="T985" s="182">
        <v>1260736</v>
      </c>
      <c r="U985" s="177">
        <v>44098</v>
      </c>
      <c r="V985" s="177">
        <v>44103</v>
      </c>
      <c r="W985" s="177">
        <v>44105</v>
      </c>
      <c r="X985" s="176">
        <v>14914</v>
      </c>
      <c r="Y985" s="177">
        <v>44141</v>
      </c>
      <c r="Z985" s="415">
        <v>6</v>
      </c>
      <c r="AA985" s="616" t="s">
        <v>9731</v>
      </c>
      <c r="AB985" s="594"/>
      <c r="AC985" s="595"/>
      <c r="AD985" s="596" t="str">
        <f>IF(AND(AC985&lt;&gt;"",S985&lt;&gt;""),NETWORKDAYS(AC985,S985,#REF!),"")</f>
        <v/>
      </c>
      <c r="AE985" s="596" t="str">
        <f ca="1">IF(AND(AD985="",AC985=""),"",IF(OR(AD985&lt;&gt;"",O985="*CANCELADO"),"",NETWORKDAYS(AC985,TODAY(),#REF!)))</f>
        <v/>
      </c>
      <c r="AF985" s="597" t="str">
        <f>IFERROR(INDEX(produtos_escape2!M:M,MATCH(Controle!H985,produtos_escape2!A:A,0)),"")</f>
        <v>AGULHA ANESTESICA</v>
      </c>
    </row>
    <row r="986" spans="1:32" ht="14.25" customHeight="1">
      <c r="A986" s="176" t="s">
        <v>8876</v>
      </c>
      <c r="B986" s="176" t="s">
        <v>3608</v>
      </c>
      <c r="C986" s="177">
        <v>44055</v>
      </c>
      <c r="D986" s="176" t="s">
        <v>9734</v>
      </c>
      <c r="E986" s="176" t="s">
        <v>1867</v>
      </c>
      <c r="F986" s="259" t="s">
        <v>9735</v>
      </c>
      <c r="G986" s="176">
        <v>1</v>
      </c>
      <c r="H986" s="178">
        <v>92034</v>
      </c>
      <c r="I986" s="592">
        <f t="shared" si="34"/>
        <v>4</v>
      </c>
      <c r="J986" s="178" t="s">
        <v>816</v>
      </c>
      <c r="K986" s="178" t="s">
        <v>816</v>
      </c>
      <c r="L986" s="275" t="str">
        <f>IF(H:H=0,"",IF(ISERROR(VLOOKUP(H:H,produtos_escape2!$A$2:$B$2794,2,FALSE)),"Código não cadastrado",(VLOOKUP(H:H,produtos_escape2!$A$2:$B$2794,2,FALSE))))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986" s="593" t="str">
        <f>IF(H:H=0,"",IF(ISERROR(VLOOKUP(H:H,produtos_escape2!$A$2:$D$2794,2,FALSE)),"Código não cadastrado",(VLOOKUP(H:H,produtos_escape2!$A$2:$D$2794,4,FALSE))))</f>
        <v>UN</v>
      </c>
      <c r="N986" s="486">
        <v>100</v>
      </c>
      <c r="O986" s="176" t="s">
        <v>1868</v>
      </c>
      <c r="P986" s="486"/>
      <c r="Q986" s="247"/>
      <c r="R986" s="246">
        <f t="shared" si="35"/>
        <v>0</v>
      </c>
      <c r="S986" s="177">
        <v>44097</v>
      </c>
      <c r="T986" s="182"/>
      <c r="U986" s="177"/>
      <c r="V986" s="177"/>
      <c r="W986" s="177"/>
      <c r="X986" s="176"/>
      <c r="Y986" s="177"/>
      <c r="Z986" s="415">
        <v>5</v>
      </c>
      <c r="AA986" s="488" t="s">
        <v>9784</v>
      </c>
      <c r="AB986" s="594"/>
      <c r="AC986" s="595"/>
      <c r="AD986" s="596" t="str">
        <f>IF(AND(AC986&lt;&gt;"",S986&lt;&gt;""),NETWORKDAYS(AC986,S986,#REF!),"")</f>
        <v/>
      </c>
      <c r="AE986" s="596" t="str">
        <f ca="1">IF(AND(AD986="",AC986=""),"",IF(OR(AD986&lt;&gt;"",O986="*CANCELADO"),"",NETWORKDAYS(AC986,TODAY(),#REF!)))</f>
        <v/>
      </c>
      <c r="AF986" s="597" t="str">
        <f>IFERROR(INDEX(produtos_escape2!M:M,MATCH(Controle!H986,produtos_escape2!A:A,0)),"")</f>
        <v>TUBO ENDOTRAQUEAL</v>
      </c>
    </row>
    <row r="987" spans="1:32" ht="14.25" customHeight="1">
      <c r="A987" s="176" t="s">
        <v>8876</v>
      </c>
      <c r="B987" s="176" t="s">
        <v>3608</v>
      </c>
      <c r="C987" s="177">
        <v>44055</v>
      </c>
      <c r="D987" s="176" t="s">
        <v>9734</v>
      </c>
      <c r="E987" s="176" t="s">
        <v>1867</v>
      </c>
      <c r="F987" s="259" t="s">
        <v>9735</v>
      </c>
      <c r="G987" s="176">
        <v>2</v>
      </c>
      <c r="H987" s="178">
        <v>92035</v>
      </c>
      <c r="I987" s="592">
        <f t="shared" si="34"/>
        <v>6</v>
      </c>
      <c r="J987" s="178" t="s">
        <v>816</v>
      </c>
      <c r="K987" s="178" t="s">
        <v>816</v>
      </c>
      <c r="L987" s="275"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987" s="593" t="str">
        <f>IF(H:H=0,"",IF(ISERROR(VLOOKUP(H:H,produtos_escape2!$A$2:$D$2794,2,FALSE)),"Código não cadastrado",(VLOOKUP(H:H,produtos_escape2!$A$2:$D$2794,4,FALSE))))</f>
        <v>UN</v>
      </c>
      <c r="N987" s="486">
        <v>100</v>
      </c>
      <c r="O987" s="176" t="s">
        <v>1868</v>
      </c>
      <c r="P987" s="486"/>
      <c r="Q987" s="247"/>
      <c r="R987" s="246">
        <f t="shared" si="35"/>
        <v>0</v>
      </c>
      <c r="S987" s="177">
        <v>44097</v>
      </c>
      <c r="T987" s="182"/>
      <c r="U987" s="177"/>
      <c r="V987" s="177"/>
      <c r="W987" s="177"/>
      <c r="X987" s="176"/>
      <c r="Y987" s="177"/>
      <c r="Z987" s="415">
        <v>5</v>
      </c>
      <c r="AA987" s="488" t="s">
        <v>9784</v>
      </c>
      <c r="AB987" s="594"/>
      <c r="AC987" s="595"/>
      <c r="AD987" s="596" t="str">
        <f>IF(AND(AC987&lt;&gt;"",S987&lt;&gt;""),NETWORKDAYS(AC987,S987,#REF!),"")</f>
        <v/>
      </c>
      <c r="AE987" s="596" t="str">
        <f ca="1">IF(AND(AD987="",AC987=""),"",IF(OR(AD987&lt;&gt;"",O987="*CANCELADO"),"",NETWORKDAYS(AC987,TODAY(),#REF!)))</f>
        <v/>
      </c>
      <c r="AF987" s="597" t="str">
        <f>IFERROR(INDEX(produtos_escape2!M:M,MATCH(Controle!H987,produtos_escape2!A:A,0)),"")</f>
        <v>TUBO ENDOTRAQUEAL</v>
      </c>
    </row>
    <row r="988" spans="1:32" ht="13.5" customHeight="1">
      <c r="A988" s="176" t="s">
        <v>8886</v>
      </c>
      <c r="B988" s="176" t="s">
        <v>3608</v>
      </c>
      <c r="C988" s="177">
        <v>44055</v>
      </c>
      <c r="D988" s="176" t="s">
        <v>9736</v>
      </c>
      <c r="E988" s="176" t="s">
        <v>1865</v>
      </c>
      <c r="F988" s="259" t="s">
        <v>9737</v>
      </c>
      <c r="G988" s="176">
        <v>1</v>
      </c>
      <c r="H988" s="178">
        <v>91117</v>
      </c>
      <c r="I988" s="592">
        <f t="shared" si="34"/>
        <v>3</v>
      </c>
      <c r="J988" s="178" t="s">
        <v>816</v>
      </c>
      <c r="K988" s="178" t="s">
        <v>816</v>
      </c>
      <c r="L988" s="275" t="str">
        <f>IF(H:H=0,"",IF(ISERROR(VLOOKUP(H:H,produtos_escape2!$A$2:$B$2794,2,FALSE)),"Código não cadastrado",(VLOOKUP(H:H,produtos_escape2!$A$2:$B$2794,2,FALSE))))</f>
        <v>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v>
      </c>
      <c r="M988" s="593" t="str">
        <f>IF(H:H=0,"",IF(ISERROR(VLOOKUP(H:H,produtos_escape2!$A$2:$D$2794,2,FALSE)),"Código não cadastrado",(VLOOKUP(H:H,produtos_escape2!$A$2:$D$2794,4,FALSE))))</f>
        <v>LT</v>
      </c>
      <c r="N988" s="486">
        <v>60</v>
      </c>
      <c r="O988" s="176" t="s">
        <v>1868</v>
      </c>
      <c r="P988" s="486"/>
      <c r="Q988" s="247"/>
      <c r="R988" s="246">
        <f t="shared" si="35"/>
        <v>0</v>
      </c>
      <c r="S988" s="177">
        <v>44099</v>
      </c>
      <c r="T988" s="182"/>
      <c r="U988" s="177"/>
      <c r="V988" s="177"/>
      <c r="W988" s="177"/>
      <c r="X988" s="176"/>
      <c r="Y988" s="177"/>
      <c r="Z988" s="415">
        <v>5</v>
      </c>
      <c r="AA988" s="488" t="s">
        <v>10003</v>
      </c>
      <c r="AB988" s="594"/>
      <c r="AC988" s="595"/>
      <c r="AD988" s="596" t="str">
        <f>IF(AND(AC988&lt;&gt;"",S988&lt;&gt;""),NETWORKDAYS(AC988,S988,#REF!),"")</f>
        <v/>
      </c>
      <c r="AE988" s="596" t="str">
        <f ca="1">IF(AND(AD988="",AC988=""),"",IF(OR(AD988&lt;&gt;"",O988="*CANCELADO"),"",NETWORKDAYS(AC988,TODAY(),#REF!)))</f>
        <v/>
      </c>
      <c r="AF988" s="597" t="str">
        <f>IFERROR(INDEX(produtos_escape2!M:M,MATCH(Controle!H988,produtos_escape2!A:A,0)),"")</f>
        <v>SOLUÇÃO LIMPADORA A BASE DE ENZIMAS</v>
      </c>
    </row>
    <row r="989" spans="1:32" ht="14.25" customHeight="1">
      <c r="A989" s="176" t="s">
        <v>8907</v>
      </c>
      <c r="B989" s="176" t="s">
        <v>3608</v>
      </c>
      <c r="C989" s="177">
        <v>44055</v>
      </c>
      <c r="D989" s="176" t="s">
        <v>9738</v>
      </c>
      <c r="E989" s="176" t="s">
        <v>1866</v>
      </c>
      <c r="F989" s="259" t="s">
        <v>9739</v>
      </c>
      <c r="G989" s="176">
        <v>1</v>
      </c>
      <c r="H989" s="178">
        <v>91180</v>
      </c>
      <c r="I989" s="592">
        <f t="shared" si="34"/>
        <v>1</v>
      </c>
      <c r="J989" s="178" t="s">
        <v>816</v>
      </c>
      <c r="K989" s="178" t="s">
        <v>816</v>
      </c>
      <c r="L989" s="275" t="str">
        <f>IF(H:H=0,"",IF(ISERROR(VLOOKUP(H:H,produtos_escape2!$A$2:$B$2794,2,FALSE)),"Código não cadastrado",(VLOOKUP(H:H,produtos_escape2!$A$2:$B$2794,2,FALSE))))</f>
        <v>ABAIXADOR DE LINGUA CONVENCIONAL EM MADEIRA, PACOTE COM 100 UND. Material: madeira na cor natural, Características Adicionais: formato convencional, superfície lisa e sem rebarbas, bordas arredondadas e bem acabadas, descartável. Embalagem plástica ou similar que garanta proteção ao produto até o momento do uso, Apresentação: pacote com 100 unidades, Unidade De Estoque: pacote ( PCT ), Código SES: 091180. BR348807</v>
      </c>
      <c r="M989" s="593" t="str">
        <f>IF(H:H=0,"",IF(ISERROR(VLOOKUP(H:H,produtos_escape2!$A$2:$D$2794,2,FALSE)),"Código não cadastrado",(VLOOKUP(H:H,produtos_escape2!$A$2:$D$2794,4,FALSE))))</f>
        <v>UN</v>
      </c>
      <c r="N989" s="486">
        <v>50</v>
      </c>
      <c r="O989" s="176" t="s">
        <v>2989</v>
      </c>
      <c r="P989" s="486">
        <v>50</v>
      </c>
      <c r="Q989" s="247">
        <v>2.97</v>
      </c>
      <c r="R989" s="246">
        <f t="shared" si="35"/>
        <v>148.5</v>
      </c>
      <c r="S989" s="177">
        <v>44062</v>
      </c>
      <c r="T989" s="182">
        <v>129151</v>
      </c>
      <c r="U989" s="177">
        <v>44063</v>
      </c>
      <c r="V989" s="177">
        <v>44064</v>
      </c>
      <c r="W989" s="177">
        <v>44068</v>
      </c>
      <c r="X989" s="176">
        <v>91227</v>
      </c>
      <c r="Y989" s="177">
        <v>44104</v>
      </c>
      <c r="Z989" s="415">
        <v>5</v>
      </c>
      <c r="AA989" s="488"/>
      <c r="AB989" s="594"/>
      <c r="AC989" s="595"/>
      <c r="AD989" s="596" t="str">
        <f>IF(AND(AC989&lt;&gt;"",S989&lt;&gt;""),NETWORKDAYS(AC989,S989,#REF!),"")</f>
        <v/>
      </c>
      <c r="AE989" s="596" t="str">
        <f ca="1">IF(AND(AD989="",AC989=""),"",IF(OR(AD989&lt;&gt;"",O989="*CANCELADO"),"",NETWORKDAYS(AC989,TODAY(),#REF!)))</f>
        <v/>
      </c>
      <c r="AF989" s="597" t="str">
        <f>IFERROR(INDEX(produtos_escape2!M:M,MATCH(Controle!H989,produtos_escape2!A:A,0)),"")</f>
        <v>ABAIXADOR DE LINGUA CONVENCIONAL EM MADEIRA</v>
      </c>
    </row>
    <row r="990" spans="1:32" ht="14.25" customHeight="1">
      <c r="A990" s="176" t="s">
        <v>8936</v>
      </c>
      <c r="B990" s="176" t="s">
        <v>3608</v>
      </c>
      <c r="C990" s="177">
        <v>44055</v>
      </c>
      <c r="D990" s="176" t="s">
        <v>9740</v>
      </c>
      <c r="E990" s="176" t="s">
        <v>1867</v>
      </c>
      <c r="F990" s="259" t="s">
        <v>9741</v>
      </c>
      <c r="G990" s="176">
        <v>1</v>
      </c>
      <c r="H990" s="178">
        <v>91118</v>
      </c>
      <c r="I990" s="592">
        <f t="shared" si="34"/>
        <v>2</v>
      </c>
      <c r="J990" s="178" t="s">
        <v>816</v>
      </c>
      <c r="K990" s="178" t="s">
        <v>816</v>
      </c>
      <c r="L990" s="275" t="str">
        <f>IF(H:H=0,"",IF(ISERROR(VLOOKUP(H:H,produtos_escape2!$A$2:$B$2794,2,FALSE)),"Código não cadastrado",(VLOOKUP(H:H,produtos_escape2!$A$2:$B$2794,2,FALSE))))</f>
        <v>EQUIPO DE SAÍDA - LINHA VENOSA, ESTÉRIL, Aplicação: hemodiálise. Material: PVC atóxico. Características Adicionais: Transparente, flexível, com filtro, espessura 6mm, com conexões para medicação, com corta fluxo resistente. Embalagem individual em papel grau cirúrgico, que permita a abertura em técnica asséptica, capaz de assegurar a esterilidade do produto durante o transporte, armazenamento, até o momento do uso.</v>
      </c>
      <c r="M990" s="593" t="str">
        <f>IF(H:H=0,"",IF(ISERROR(VLOOKUP(H:H,produtos_escape2!$A$2:$D$2794,2,FALSE)),"Código não cadastrado",(VLOOKUP(H:H,produtos_escape2!$A$2:$D$2794,4,FALSE))))</f>
        <v>UN</v>
      </c>
      <c r="N990" s="486">
        <v>400</v>
      </c>
      <c r="O990" s="176" t="s">
        <v>9797</v>
      </c>
      <c r="P990" s="486">
        <v>360</v>
      </c>
      <c r="Q990" s="247">
        <v>5.5</v>
      </c>
      <c r="R990" s="246">
        <f t="shared" si="35"/>
        <v>1980</v>
      </c>
      <c r="S990" s="177">
        <v>44063</v>
      </c>
      <c r="T990" s="182">
        <v>91572</v>
      </c>
      <c r="U990" s="177">
        <v>44097</v>
      </c>
      <c r="V990" s="177">
        <v>44099</v>
      </c>
      <c r="W990" s="177">
        <v>44105</v>
      </c>
      <c r="X990" s="176">
        <v>18163</v>
      </c>
      <c r="Y990" s="177">
        <v>44146</v>
      </c>
      <c r="Z990" s="415">
        <v>6</v>
      </c>
      <c r="AA990" s="488"/>
      <c r="AB990" s="594"/>
      <c r="AC990" s="595"/>
      <c r="AD990" s="596" t="str">
        <f>IF(AND(AC990&lt;&gt;"",S990&lt;&gt;""),NETWORKDAYS(AC990,S990,#REF!),"")</f>
        <v/>
      </c>
      <c r="AE990" s="596" t="str">
        <f ca="1">IF(AND(AD990="",AC990=""),"",IF(OR(AD990&lt;&gt;"",O990="*CANCELADO"),"",NETWORKDAYS(AC990,TODAY(),#REF!)))</f>
        <v/>
      </c>
      <c r="AF990" s="597" t="str">
        <f>IFERROR(INDEX(produtos_escape2!M:M,MATCH(Controle!H990,produtos_escape2!A:A,0)),"")</f>
        <v>EQUIPO DE SAÍDA - LINHA VENOSA</v>
      </c>
    </row>
    <row r="991" spans="1:32" ht="14.25" customHeight="1">
      <c r="A991" s="176" t="s">
        <v>8958</v>
      </c>
      <c r="B991" s="176" t="s">
        <v>3608</v>
      </c>
      <c r="C991" s="177">
        <v>44055</v>
      </c>
      <c r="D991" s="176" t="s">
        <v>9742</v>
      </c>
      <c r="E991" s="176" t="s">
        <v>3009</v>
      </c>
      <c r="F991" s="259" t="s">
        <v>9743</v>
      </c>
      <c r="G991" s="176">
        <v>1</v>
      </c>
      <c r="H991" s="178">
        <v>35888</v>
      </c>
      <c r="I991" s="592">
        <f t="shared" si="34"/>
        <v>1</v>
      </c>
      <c r="J991" s="178" t="s">
        <v>816</v>
      </c>
      <c r="K991" s="178" t="s">
        <v>816</v>
      </c>
      <c r="L991" s="275" t="str">
        <f>IF(H:H=0,"",IF(ISERROR(VLOOKUP(H:H,produtos_escape2!$A$2:$B$2794,2,FALSE)),"Código não cadastrado",(VLOOKUP(H:H,produtos_escape2!$A$2:$B$2794,2,FALSE))))</f>
        <v>Clamp Umbilical Estéril. Aplicação: Indicado para prender o cordão umbilical do recém-nascido, após o parto. Clamp umbilical é indicado para ligadura ou para prender o cordão umbilical do recém-nascido. Apresentação: Clamp confeccionado em plástico, apresentando um sistema de travamento e lacre definitivo com fecho plástico inviolável. Embalado individualmente.</v>
      </c>
      <c r="M991" s="593" t="str">
        <f>IF(H:H=0,"",IF(ISERROR(VLOOKUP(H:H,produtos_escape2!$A$2:$D$2794,2,FALSE)),"Código não cadastrado",(VLOOKUP(H:H,produtos_escape2!$A$2:$D$2794,4,FALSE))))</f>
        <v>UN</v>
      </c>
      <c r="N991" s="486">
        <v>500</v>
      </c>
      <c r="O991" s="176" t="s">
        <v>1868</v>
      </c>
      <c r="P991" s="486"/>
      <c r="Q991" s="247"/>
      <c r="R991" s="246">
        <f t="shared" si="35"/>
        <v>0</v>
      </c>
      <c r="S991" s="177"/>
      <c r="T991" s="182"/>
      <c r="U991" s="177"/>
      <c r="V991" s="177"/>
      <c r="W991" s="177"/>
      <c r="X991" s="176"/>
      <c r="Y991" s="177"/>
      <c r="Z991" s="415">
        <v>5</v>
      </c>
      <c r="AA991" s="488" t="s">
        <v>9979</v>
      </c>
      <c r="AB991" s="594"/>
      <c r="AC991" s="595"/>
      <c r="AD991" s="596" t="str">
        <f>IF(AND(AC991&lt;&gt;"",S991&lt;&gt;""),NETWORKDAYS(AC991,S991,#REF!),"")</f>
        <v/>
      </c>
      <c r="AE991" s="596" t="str">
        <f ca="1">IF(AND(AD991="",AC991=""),"",IF(OR(AD991&lt;&gt;"",O991="*CANCELADO"),"",NETWORKDAYS(AC991,TODAY(),#REF!)))</f>
        <v/>
      </c>
      <c r="AF991" s="597" t="str">
        <f>IFERROR(INDEX(produtos_escape2!M:M,MATCH(Controle!H991,produtos_escape2!A:A,0)),"")</f>
        <v>CLAMP UMBILICAL</v>
      </c>
    </row>
    <row r="992" spans="1:32" ht="14.25" customHeight="1">
      <c r="A992" s="176" t="s">
        <v>8959</v>
      </c>
      <c r="B992" s="176" t="s">
        <v>3608</v>
      </c>
      <c r="C992" s="177">
        <v>44055</v>
      </c>
      <c r="D992" s="176" t="s">
        <v>9746</v>
      </c>
      <c r="E992" s="176" t="s">
        <v>1866</v>
      </c>
      <c r="F992" s="259" t="s">
        <v>9747</v>
      </c>
      <c r="G992" s="176">
        <v>1</v>
      </c>
      <c r="H992" s="178">
        <v>35116</v>
      </c>
      <c r="I992" s="592">
        <f t="shared" si="34"/>
        <v>2</v>
      </c>
      <c r="J992" s="178" t="s">
        <v>816</v>
      </c>
      <c r="K992" s="178" t="s">
        <v>816</v>
      </c>
      <c r="L992" s="275" t="str">
        <f>IF(H:H=0,"",IF(ISERROR(VLOOKUP(H:H,produtos_escape2!$A$2:$B$2794,2,FALSE)),"Código não cadastrado",(VLOOKUP(H:H,produtos_escape2!$A$2:$B$2794,2,FALSE))))</f>
        <v xml:space="preserve">Frasco coletor de secreção biológica , 50 a 120mL, transparente, rígido, graduado no máximo a cada 10 mL, descartável, com tampa de oclusão hermética em polipropileno, 2 vias. Frasco atóxico, em PVC cristal. Extensão em PVC atóxico ou silicone, de aproximadamente 20 cm. Alça para sustentação. Adaptador de polipropileno fixado na tampa. 2 vias, com entrada e saída para aspiração. Estéril; esterilizado em óxido de etileno. Prazo de validade mínimo de 12 meses. APLICAÇÃO: utilizado na coleta de secreção biológica e lavado brônquico. </v>
      </c>
      <c r="M992" s="593" t="str">
        <f>IF(H:H=0,"",IF(ISERROR(VLOOKUP(H:H,produtos_escape2!$A$2:$D$2794,2,FALSE)),"Código não cadastrado",(VLOOKUP(H:H,produtos_escape2!$A$2:$D$2794,4,FALSE))))</f>
        <v>UN</v>
      </c>
      <c r="N992" s="486">
        <v>200</v>
      </c>
      <c r="O992" s="176" t="s">
        <v>1868</v>
      </c>
      <c r="P992" s="486"/>
      <c r="Q992" s="247"/>
      <c r="R992" s="246">
        <f t="shared" si="35"/>
        <v>0</v>
      </c>
      <c r="S992" s="177">
        <v>44117</v>
      </c>
      <c r="T992" s="182"/>
      <c r="U992" s="177"/>
      <c r="V992" s="177"/>
      <c r="W992" s="177"/>
      <c r="X992" s="176"/>
      <c r="Y992" s="177"/>
      <c r="Z992" s="415">
        <v>5</v>
      </c>
      <c r="AA992" s="488" t="s">
        <v>9784</v>
      </c>
      <c r="AB992" s="594"/>
      <c r="AC992" s="595"/>
      <c r="AD992" s="596" t="str">
        <f>IF(AND(AC992&lt;&gt;"",S992&lt;&gt;""),NETWORKDAYS(AC992,S992,#REF!),"")</f>
        <v/>
      </c>
      <c r="AE992" s="596" t="str">
        <f ca="1">IF(AND(AD992="",AC992=""),"",IF(OR(AD992&lt;&gt;"",O992="*CANCELADO"),"",NETWORKDAYS(AC992,TODAY(),#REF!)))</f>
        <v/>
      </c>
      <c r="AF992" s="597" t="str">
        <f>IFERROR(INDEX(produtos_escape2!M:M,MATCH(Controle!H992,produtos_escape2!A:A,0)),"")</f>
        <v>Frasco coletor</v>
      </c>
    </row>
    <row r="993" spans="1:32" ht="14.25" customHeight="1">
      <c r="A993" s="176" t="s">
        <v>8960</v>
      </c>
      <c r="B993" s="176" t="s">
        <v>3608</v>
      </c>
      <c r="C993" s="177">
        <v>44055</v>
      </c>
      <c r="D993" s="176" t="s">
        <v>9748</v>
      </c>
      <c r="E993" s="176" t="s">
        <v>1867</v>
      </c>
      <c r="F993" s="259" t="s">
        <v>9749</v>
      </c>
      <c r="G993" s="176">
        <v>1</v>
      </c>
      <c r="H993" s="178">
        <v>10271</v>
      </c>
      <c r="I993" s="592">
        <f t="shared" si="34"/>
        <v>1</v>
      </c>
      <c r="J993" s="178" t="s">
        <v>816</v>
      </c>
      <c r="K993" s="178" t="s">
        <v>816</v>
      </c>
      <c r="L993" s="275" t="str">
        <f>IF(H:H=0,"",IF(ISERROR(VLOOKUP(H:H,produtos_escape2!$A$2:$B$2794,2,FALSE)),"Código não cadastrado",(VLOOKUP(H:H,produtos_escape2!$A$2:$B$2794,2,FALSE))))</f>
        <v>GLICOSE 5 % SOLUÇAO INJETAVEL BOLSA OU FRASCO 250 ML SISTEMA FECHADO DE INFUSAO EMBALAGEM PRIMÁRIA ISENTA DE PVC. Características Adicionais: a bolsa ou o frasco deve ter graduação volumétrica. A bolsa ou o frasco deve ter colapsabilidade a fim de permitir o escoamento total da solução, sem haver necessidade de entrada de ar; conter dois sítios, sendo um protegido por membrana autovedável para adição de soluções no interior da bolsa ou do frasco e outro por membrana e lacre de esterilidade para conexão do equipo.O sítio de conexão de equipo deve ser adaptável e moldável a qualquer equipo e não permitir sua desconexão e vazamento,mantendo a bolsa ou o frasco em sistema fechado.</v>
      </c>
      <c r="M993" s="593" t="str">
        <f>IF(H:H=0,"",IF(ISERROR(VLOOKUP(H:H,produtos_escape2!$A$2:$D$2794,2,FALSE)),"Código não cadastrado",(VLOOKUP(H:H,produtos_escape2!$A$2:$D$2794,4,FALSE))))</f>
        <v>UN</v>
      </c>
      <c r="N993" s="486">
        <v>300</v>
      </c>
      <c r="O993" s="176" t="s">
        <v>1868</v>
      </c>
      <c r="P993" s="486"/>
      <c r="Q993" s="247"/>
      <c r="R993" s="246">
        <f t="shared" si="35"/>
        <v>0</v>
      </c>
      <c r="S993" s="177">
        <v>44097</v>
      </c>
      <c r="T993" s="182"/>
      <c r="U993" s="177"/>
      <c r="V993" s="177"/>
      <c r="W993" s="177"/>
      <c r="X993" s="176"/>
      <c r="Y993" s="177"/>
      <c r="Z993" s="415">
        <v>5</v>
      </c>
      <c r="AA993" s="488" t="s">
        <v>9784</v>
      </c>
      <c r="AB993" s="594"/>
      <c r="AC993" s="595"/>
      <c r="AD993" s="596" t="str">
        <f>IF(AND(AC993&lt;&gt;"",S993&lt;&gt;""),NETWORKDAYS(AC993,S993,#REF!),"")</f>
        <v/>
      </c>
      <c r="AE993" s="596" t="str">
        <f ca="1">IF(AND(AD993="",AC993=""),"",IF(OR(AD993&lt;&gt;"",O993="*CANCELADO"),"",NETWORKDAYS(AC993,TODAY(),#REF!)))</f>
        <v/>
      </c>
      <c r="AF993" s="597" t="str">
        <f>IFERROR(INDEX(produtos_escape2!M:M,MATCH(Controle!H993,produtos_escape2!A:A,0)),"")</f>
        <v>GLICOSE 5%</v>
      </c>
    </row>
    <row r="994" spans="1:32" ht="14.25" customHeight="1">
      <c r="A994" s="176" t="s">
        <v>8961</v>
      </c>
      <c r="B994" s="176" t="s">
        <v>3608</v>
      </c>
      <c r="C994" s="177">
        <v>44055</v>
      </c>
      <c r="D994" s="176" t="s">
        <v>9752</v>
      </c>
      <c r="E994" s="176" t="s">
        <v>3008</v>
      </c>
      <c r="F994" s="259" t="s">
        <v>9753</v>
      </c>
      <c r="G994" s="176">
        <v>1</v>
      </c>
      <c r="H994" s="178" t="s">
        <v>9754</v>
      </c>
      <c r="I994" s="592">
        <f t="shared" si="34"/>
        <v>1</v>
      </c>
      <c r="J994" s="178"/>
      <c r="K994" s="178"/>
      <c r="L994" s="275" t="str">
        <f>IF(H:H=0,"",IF(ISERROR(VLOOKUP(H:H,produtos_escape2!$A$2:$B$2794,2,FALSE)),"Código não cadastrado",(VLOOKUP(H:H,produtos_escape2!$A$2:$B$2794,2,FALSE))))</f>
        <v>Conserto de Geladeira Marca ELECTROLUX, Modelo Frost Free  DF 38, Nº Patrimônio 743957.</v>
      </c>
      <c r="M994" s="593" t="str">
        <f>IF(H:H=0,"",IF(ISERROR(VLOOKUP(H:H,produtos_escape2!$A$2:$D$2794,2,FALSE)),"Código não cadastrado",(VLOOKUP(H:H,produtos_escape2!$A$2:$D$2794,4,FALSE))))</f>
        <v>Serviço</v>
      </c>
      <c r="N994" s="486">
        <v>1</v>
      </c>
      <c r="O994" s="176" t="s">
        <v>1868</v>
      </c>
      <c r="P994" s="486"/>
      <c r="Q994" s="247"/>
      <c r="R994" s="246">
        <f t="shared" si="35"/>
        <v>0</v>
      </c>
      <c r="S994" s="177"/>
      <c r="T994" s="182"/>
      <c r="U994" s="177"/>
      <c r="V994" s="177"/>
      <c r="W994" s="177"/>
      <c r="X994" s="176"/>
      <c r="Y994" s="177"/>
      <c r="Z994" s="415">
        <v>5</v>
      </c>
      <c r="AA994" s="488" t="s">
        <v>9947</v>
      </c>
      <c r="AB994" s="594"/>
      <c r="AC994" s="595"/>
      <c r="AD994" s="596" t="str">
        <f>IF(AND(AC994&lt;&gt;"",S994&lt;&gt;""),NETWORKDAYS(AC994,S994,#REF!),"")</f>
        <v/>
      </c>
      <c r="AE994" s="596" t="str">
        <f ca="1">IF(AND(AD994="",AC994=""),"",IF(OR(AD994&lt;&gt;"",O994="*CANCELADO"),"",NETWORKDAYS(AC994,TODAY(),#REF!)))</f>
        <v/>
      </c>
      <c r="AF994" s="597">
        <f>IFERROR(INDEX(produtos_escape2!M:M,MATCH(Controle!H994,produtos_escape2!A:A,0)),"")</f>
        <v>0</v>
      </c>
    </row>
    <row r="995" spans="1:32" ht="14.25" customHeight="1">
      <c r="A995" s="176" t="s">
        <v>8966</v>
      </c>
      <c r="B995" s="176" t="s">
        <v>3608</v>
      </c>
      <c r="C995" s="177">
        <v>44057</v>
      </c>
      <c r="D995" s="176" t="s">
        <v>9757</v>
      </c>
      <c r="E995" s="176" t="s">
        <v>3009</v>
      </c>
      <c r="F995" s="259" t="s">
        <v>9758</v>
      </c>
      <c r="G995" s="176">
        <v>1</v>
      </c>
      <c r="H995" s="178">
        <v>95778</v>
      </c>
      <c r="I995" s="592">
        <f t="shared" si="34"/>
        <v>3</v>
      </c>
      <c r="J995" s="178" t="s">
        <v>816</v>
      </c>
      <c r="K995" s="178" t="s">
        <v>816</v>
      </c>
      <c r="L995" s="275" t="str">
        <f>IF(H:H=0,"",IF(ISERROR(VLOOKUP(H:H,produtos_escape2!$A$2:$B$2794,2,FALSE)),"Código não cadastrado",(VLOOKUP(H:H,produtos_escape2!$A$2:$B$2794,2,FALSE))))</f>
        <v>CONJUNTO PARA DETERMINAÇAO DE LDH, Aplicação:analise bioquimica. Características adicionais: equipamento automatizado. Forma de Apresentação:conjunto (kit). Prazo de Validade: 75% do prazo de validade do produto. O reagente deve ser compatível com o equipamento CMD800i e vir acompanhado de todos os consumíveis necessários para seu funcionamento, como detergentes, calibradores e etc.</v>
      </c>
      <c r="M995" s="593" t="str">
        <f>IF(H:H=0,"",IF(ISERROR(VLOOKUP(H:H,produtos_escape2!$A$2:$D$2794,2,FALSE)),"Código não cadastrado",(VLOOKUP(H:H,produtos_escape2!$A$2:$D$2794,4,FALSE))))</f>
        <v>TE</v>
      </c>
      <c r="N995" s="486">
        <v>2571</v>
      </c>
      <c r="O995" s="176" t="s">
        <v>1868</v>
      </c>
      <c r="P995" s="486"/>
      <c r="Q995" s="247">
        <v>4.34</v>
      </c>
      <c r="R995" s="246">
        <f t="shared" si="35"/>
        <v>0</v>
      </c>
      <c r="S995" s="177"/>
      <c r="T995" s="182"/>
      <c r="U995" s="177"/>
      <c r="V995" s="177"/>
      <c r="W995" s="177"/>
      <c r="X995" s="176"/>
      <c r="Y995" s="177"/>
      <c r="Z995" s="415">
        <v>5</v>
      </c>
      <c r="AA995" s="617" t="s">
        <v>9108</v>
      </c>
      <c r="AB995" s="594"/>
      <c r="AC995" s="595"/>
      <c r="AD995" s="596" t="str">
        <f>IF(AND(AC995&lt;&gt;"",S995&lt;&gt;""),NETWORKDAYS(AC995,S995,#REF!),"")</f>
        <v/>
      </c>
      <c r="AE995" s="596" t="str">
        <f ca="1">IF(AND(AD995="",AC995=""),"",IF(OR(AD995&lt;&gt;"",O995="*CANCELADO"),"",NETWORKDAYS(AC995,TODAY(),#REF!)))</f>
        <v/>
      </c>
      <c r="AF995" s="597" t="str">
        <f>IFERROR(INDEX(produtos_escape2!M:M,MATCH(Controle!H995,produtos_escape2!A:A,0)),"")</f>
        <v>CONJUNTO PARA DETERMINAÇAO DE LDH</v>
      </c>
    </row>
    <row r="996" spans="1:32" ht="14.25" customHeight="1">
      <c r="A996" s="176" t="s">
        <v>8133</v>
      </c>
      <c r="B996" s="176" t="s">
        <v>7207</v>
      </c>
      <c r="C996" s="177">
        <v>44057</v>
      </c>
      <c r="D996" s="176" t="s">
        <v>9756</v>
      </c>
      <c r="E996" s="176" t="s">
        <v>1865</v>
      </c>
      <c r="F996" s="259" t="s">
        <v>9759</v>
      </c>
      <c r="G996" s="176">
        <v>1</v>
      </c>
      <c r="H996" s="178">
        <v>17195</v>
      </c>
      <c r="I996" s="592">
        <f t="shared" si="34"/>
        <v>2</v>
      </c>
      <c r="J996" s="178" t="s">
        <v>816</v>
      </c>
      <c r="K996" s="178" t="s">
        <v>816</v>
      </c>
      <c r="L996" s="275" t="str">
        <f>IF(H:H=0,"",IF(ISERROR(VLOOKUP(H:H,produtos_escape2!$A$2:$B$2794,2,FALSE)),"Código não cadastrado",(VLOOKUP(H:H,produtos_escape2!$A$2:$B$2794,2,FALSE))))</f>
        <v xml:space="preserve">DVD-R MR 8X,APLICAÇÃO: AÚDIO, VÍDEO, GAMES E DADOS, CARACTERÍSTICAS TÉCNICAS MÍNIMAS: CAPACIDADE: 4.7 GB (DADOS) E 120 MM (AÚDIO); VELOCIDADE DE GRAVAÇÃO: 32X; CAMADA DE GRAVAÇÃO: BRANCA, UNIDADE DE FORNECIMENTO: UNIDADE
</v>
      </c>
      <c r="M996" s="593" t="str">
        <f>IF(H:H=0,"",IF(ISERROR(VLOOKUP(H:H,produtos_escape2!$A$2:$D$2794,2,FALSE)),"Código não cadastrado",(VLOOKUP(H:H,produtos_escape2!$A$2:$D$2794,4,FALSE))))</f>
        <v>UN</v>
      </c>
      <c r="N996" s="486">
        <v>2500</v>
      </c>
      <c r="O996" s="176" t="s">
        <v>1868</v>
      </c>
      <c r="P996" s="486"/>
      <c r="Q996" s="247"/>
      <c r="R996" s="246">
        <f t="shared" si="35"/>
        <v>0</v>
      </c>
      <c r="S996" s="177"/>
      <c r="T996" s="182"/>
      <c r="U996" s="177"/>
      <c r="V996" s="177"/>
      <c r="W996" s="177"/>
      <c r="X996" s="176"/>
      <c r="Y996" s="177"/>
      <c r="Z996" s="415">
        <v>4</v>
      </c>
      <c r="AA996" s="488"/>
      <c r="AB996" s="594"/>
      <c r="AC996" s="595"/>
      <c r="AD996" s="596" t="str">
        <f>IF(AND(AC996&lt;&gt;"",S996&lt;&gt;""),NETWORKDAYS(AC996,S996,#REF!),"")</f>
        <v/>
      </c>
      <c r="AE996" s="596" t="str">
        <f ca="1">IF(AND(AD996="",AC996=""),"",IF(OR(AD996&lt;&gt;"",O996="*CANCELADO"),"",NETWORKDAYS(AC996,TODAY(),#REF!)))</f>
        <v/>
      </c>
      <c r="AF996" s="597" t="str">
        <f>IFERROR(INDEX(produtos_escape2!M:M,MATCH(Controle!H996,produtos_escape2!A:A,0)),"")</f>
        <v>DVD-R</v>
      </c>
    </row>
    <row r="997" spans="1:32" ht="14.25" customHeight="1">
      <c r="A997" s="176" t="s">
        <v>8133</v>
      </c>
      <c r="B997" s="176" t="s">
        <v>7207</v>
      </c>
      <c r="C997" s="177">
        <v>44057</v>
      </c>
      <c r="D997" s="176" t="s">
        <v>9756</v>
      </c>
      <c r="E997" s="176" t="s">
        <v>1865</v>
      </c>
      <c r="F997" s="259" t="s">
        <v>9759</v>
      </c>
      <c r="G997" s="176">
        <v>2</v>
      </c>
      <c r="H997" s="178">
        <v>21228</v>
      </c>
      <c r="I997" s="592">
        <f t="shared" si="34"/>
        <v>3</v>
      </c>
      <c r="J997" s="178" t="s">
        <v>816</v>
      </c>
      <c r="K997" s="178" t="s">
        <v>816</v>
      </c>
      <c r="L997" s="275" t="str">
        <f>IF(H:H=0,"",IF(ISERROR(VLOOKUP(H:H,produtos_escape2!$A$2:$B$2794,2,FALSE)),"Código não cadastrado",(VLOOKUP(H:H,produtos_escape2!$A$2:$B$2794,2,FALSE))))</f>
        <v>ENVELOPE PARA CD, Material: papel, Cor: branco, Características Adicionais: com janela circular de acetato e aba para fechamento</v>
      </c>
      <c r="M997" s="593" t="str">
        <f>IF(H:H=0,"",IF(ISERROR(VLOOKUP(H:H,produtos_escape2!$A$2:$D$2794,2,FALSE)),"Código não cadastrado",(VLOOKUP(H:H,produtos_escape2!$A$2:$D$2794,4,FALSE))))</f>
        <v>UN</v>
      </c>
      <c r="N997" s="486">
        <v>2500</v>
      </c>
      <c r="O997" s="176" t="s">
        <v>1868</v>
      </c>
      <c r="P997" s="486"/>
      <c r="Q997" s="247"/>
      <c r="R997" s="246">
        <f t="shared" si="35"/>
        <v>0</v>
      </c>
      <c r="S997" s="177"/>
      <c r="T997" s="182"/>
      <c r="U997" s="177"/>
      <c r="V997" s="177"/>
      <c r="W997" s="177"/>
      <c r="X997" s="176"/>
      <c r="Y997" s="177"/>
      <c r="Z997" s="415">
        <v>4</v>
      </c>
      <c r="AA997" s="488"/>
      <c r="AB997" s="594"/>
      <c r="AC997" s="595"/>
      <c r="AD997" s="596" t="str">
        <f>IF(AND(AC997&lt;&gt;"",S997&lt;&gt;""),NETWORKDAYS(AC997,S997,#REF!),"")</f>
        <v/>
      </c>
      <c r="AE997" s="596" t="str">
        <f ca="1">IF(AND(AD997="",AC997=""),"",IF(OR(AD997&lt;&gt;"",O997="*CANCELADO"),"",NETWORKDAYS(AC997,TODAY(),#REF!)))</f>
        <v/>
      </c>
      <c r="AF997" s="597" t="str">
        <f>IFERROR(INDEX(produtos_escape2!M:M,MATCH(Controle!H997,produtos_escape2!A:A,0)),"")</f>
        <v>ENVELOPE PARA CD</v>
      </c>
    </row>
    <row r="998" spans="1:32" ht="14.25" customHeight="1">
      <c r="A998" s="176" t="s">
        <v>8131</v>
      </c>
      <c r="B998" s="176" t="s">
        <v>7207</v>
      </c>
      <c r="C998" s="177">
        <v>44057</v>
      </c>
      <c r="D998" s="176" t="s">
        <v>9760</v>
      </c>
      <c r="E998" s="176" t="s">
        <v>1866</v>
      </c>
      <c r="F998" s="259" t="s">
        <v>9761</v>
      </c>
      <c r="G998" s="176">
        <v>1</v>
      </c>
      <c r="H998" s="203">
        <v>201158</v>
      </c>
      <c r="I998" s="592">
        <f t="shared" si="34"/>
        <v>7</v>
      </c>
      <c r="J998" s="203" t="s">
        <v>816</v>
      </c>
      <c r="K998" s="203" t="s">
        <v>816</v>
      </c>
      <c r="L998" s="275"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998" s="593" t="str">
        <f>IF(H:H=0,"",IF(ISERROR(VLOOKUP(H:H,produtos_escape2!$A$2:$D$2794,2,FALSE)),"Código não cadastrado",(VLOOKUP(H:H,produtos_escape2!$A$2:$D$2794,4,FALSE))))</f>
        <v>PR</v>
      </c>
      <c r="N998" s="486">
        <v>20000</v>
      </c>
      <c r="O998" s="176" t="s">
        <v>1868</v>
      </c>
      <c r="P998" s="486"/>
      <c r="Q998" s="247"/>
      <c r="R998" s="246">
        <f t="shared" si="35"/>
        <v>0</v>
      </c>
      <c r="S998" s="177">
        <v>44097</v>
      </c>
      <c r="T998" s="182"/>
      <c r="U998" s="177"/>
      <c r="V998" s="177"/>
      <c r="W998" s="177"/>
      <c r="X998" s="176"/>
      <c r="Y998" s="177"/>
      <c r="Z998" s="415">
        <v>5</v>
      </c>
      <c r="AA998" s="488" t="s">
        <v>7318</v>
      </c>
      <c r="AB998" s="594"/>
      <c r="AC998" s="595"/>
      <c r="AD998" s="596" t="str">
        <f>IF(AND(AC998&lt;&gt;"",S998&lt;&gt;""),NETWORKDAYS(AC998,S998,#REF!),"")</f>
        <v/>
      </c>
      <c r="AE998" s="596" t="str">
        <f ca="1">IF(AND(AD998="",AC998=""),"",IF(OR(AD998&lt;&gt;"",O998="*CANCELADO"),"",NETWORKDAYS(AC998,TODAY(),#REF!)))</f>
        <v/>
      </c>
      <c r="AF998" s="597" t="str">
        <f>IFERROR(INDEX(produtos_escape2!M:M,MATCH(Controle!H998,produtos_escape2!A:A,0)),"")</f>
        <v>SAPATILHA DESCARTÁVEL</v>
      </c>
    </row>
    <row r="999" spans="1:32" ht="14.25" customHeight="1">
      <c r="A999" s="176" t="s">
        <v>8964</v>
      </c>
      <c r="B999" s="176" t="s">
        <v>3608</v>
      </c>
      <c r="C999" s="177">
        <v>44057</v>
      </c>
      <c r="D999" s="176" t="s">
        <v>9762</v>
      </c>
      <c r="E999" s="176" t="s">
        <v>3009</v>
      </c>
      <c r="F999" s="259" t="s">
        <v>9763</v>
      </c>
      <c r="G999" s="176">
        <v>1</v>
      </c>
      <c r="H999" s="203">
        <v>90286</v>
      </c>
      <c r="I999" s="592">
        <f t="shared" si="34"/>
        <v>2</v>
      </c>
      <c r="J999" s="203" t="s">
        <v>816</v>
      </c>
      <c r="K999" s="203" t="s">
        <v>816</v>
      </c>
      <c r="L999" s="275" t="str">
        <f>IF(H:H=0,"",IF(ISERROR(VLOOKUP(H:H,produtos_escape2!$A$2:$B$2794,2,FALSE)),"Código não cadastrado",(VLOOKUP(H:H,produtos_escape2!$A$2:$B$2794,2,FALSE))))</f>
        <v>PREDNISOLONA SOLUCAO ORAL 3 MG/ML FRASCO DE 100 ML COM DOSEADOR.</v>
      </c>
      <c r="M999" s="593" t="str">
        <f>IF(H:H=0,"",IF(ISERROR(VLOOKUP(H:H,produtos_escape2!$A$2:$D$2794,2,FALSE)),"Código não cadastrado",(VLOOKUP(H:H,produtos_escape2!$A$2:$D$2794,4,FALSE))))</f>
        <v>FR</v>
      </c>
      <c r="N999" s="486">
        <v>100</v>
      </c>
      <c r="O999" s="176" t="s">
        <v>9981</v>
      </c>
      <c r="P999" s="486">
        <v>100</v>
      </c>
      <c r="Q999" s="247">
        <v>6</v>
      </c>
      <c r="R999" s="246">
        <f t="shared" si="35"/>
        <v>600</v>
      </c>
      <c r="S999" s="177">
        <v>44099</v>
      </c>
      <c r="T999" s="182">
        <v>130304</v>
      </c>
      <c r="U999" s="177">
        <v>44102</v>
      </c>
      <c r="V999" s="177">
        <v>44104</v>
      </c>
      <c r="W999" s="177">
        <v>44105</v>
      </c>
      <c r="X999" s="176">
        <v>16584</v>
      </c>
      <c r="Y999" s="177">
        <v>44145</v>
      </c>
      <c r="Z999" s="415">
        <v>6</v>
      </c>
      <c r="AA999" s="488"/>
      <c r="AB999" s="594"/>
      <c r="AC999" s="595"/>
      <c r="AD999" s="596" t="str">
        <f>IF(AND(AC999&lt;&gt;"",S999&lt;&gt;""),NETWORKDAYS(AC999,S999,#REF!),"")</f>
        <v/>
      </c>
      <c r="AE999" s="596" t="str">
        <f ca="1">IF(AND(AD999="",AC999=""),"",IF(OR(AD999&lt;&gt;"",O999="*CANCELADO"),"",NETWORKDAYS(AC999,TODAY(),#REF!)))</f>
        <v/>
      </c>
      <c r="AF999" s="597" t="str">
        <f>IFERROR(INDEX(produtos_escape2!M:M,MATCH(Controle!H999,produtos_escape2!A:A,0)),"")</f>
        <v>PREDNISOLONA SOLUCAO ORAL 3 MG/ML FRASCO DE 100 ML COM DOSEADOR</v>
      </c>
    </row>
    <row r="1000" spans="1:32" ht="14.25" customHeight="1">
      <c r="A1000" s="176" t="s">
        <v>8963</v>
      </c>
      <c r="B1000" s="176" t="s">
        <v>3608</v>
      </c>
      <c r="C1000" s="177">
        <v>44057</v>
      </c>
      <c r="D1000" s="176" t="s">
        <v>9764</v>
      </c>
      <c r="E1000" s="176" t="s">
        <v>1866</v>
      </c>
      <c r="F1000" s="259" t="s">
        <v>9765</v>
      </c>
      <c r="G1000" s="176">
        <v>1</v>
      </c>
      <c r="H1000" s="203">
        <v>90179</v>
      </c>
      <c r="I1000" s="592">
        <f t="shared" si="34"/>
        <v>1</v>
      </c>
      <c r="J1000" s="203" t="s">
        <v>816</v>
      </c>
      <c r="K1000" s="203" t="s">
        <v>816</v>
      </c>
      <c r="L1000" s="275" t="str">
        <f>IF(H:H=0,"",IF(ISERROR(VLOOKUP(H:H,produtos_escape2!$A$2:$B$2794,2,FALSE)),"Código não cadastrado",(VLOOKUP(H:H,produtos_escape2!$A$2:$B$2794,2,FALSE))))</f>
        <v>LEVOFLOXACINO COMPRIMIDO 250 MG</v>
      </c>
      <c r="M1000" s="593" t="str">
        <f>IF(H:H=0,"",IF(ISERROR(VLOOKUP(H:H,produtos_escape2!$A$2:$D$2794,2,FALSE)),"Código não cadastrado",(VLOOKUP(H:H,produtos_escape2!$A$2:$D$2794,4,FALSE))))</f>
        <v>CP</v>
      </c>
      <c r="N1000" s="486">
        <v>200</v>
      </c>
      <c r="O1000" s="176" t="s">
        <v>1868</v>
      </c>
      <c r="P1000" s="486"/>
      <c r="Q1000" s="247"/>
      <c r="R1000" s="246">
        <f t="shared" si="35"/>
        <v>0</v>
      </c>
      <c r="S1000" s="177">
        <v>44117</v>
      </c>
      <c r="T1000" s="182"/>
      <c r="U1000" s="177"/>
      <c r="V1000" s="177"/>
      <c r="W1000" s="177"/>
      <c r="X1000" s="176"/>
      <c r="Y1000" s="177"/>
      <c r="Z1000" s="415">
        <v>5</v>
      </c>
      <c r="AA1000" s="488" t="s">
        <v>9784</v>
      </c>
      <c r="AB1000" s="594"/>
      <c r="AC1000" s="595"/>
      <c r="AD1000" s="596" t="str">
        <f>IF(AND(AC1000&lt;&gt;"",S1000&lt;&gt;""),NETWORKDAYS(AC1000,S1000,#REF!),"")</f>
        <v/>
      </c>
      <c r="AE1000" s="596" t="str">
        <f ca="1">IF(AND(AD1000="",AC1000=""),"",IF(OR(AD1000&lt;&gt;"",O1000="*CANCELADO"),"",NETWORKDAYS(AC1000,TODAY(),#REF!)))</f>
        <v/>
      </c>
      <c r="AF1000" s="597" t="str">
        <f>IFERROR(INDEX(produtos_escape2!M:M,MATCH(Controle!H1000,produtos_escape2!A:A,0)),"")</f>
        <v>LEVOFLOXACINO COMPRIMIDO 250 MG</v>
      </c>
    </row>
    <row r="1001" spans="1:32" ht="14.25" customHeight="1">
      <c r="A1001" s="176" t="s">
        <v>8962</v>
      </c>
      <c r="B1001" s="176" t="s">
        <v>3608</v>
      </c>
      <c r="C1001" s="177">
        <v>44057</v>
      </c>
      <c r="D1001" s="176" t="s">
        <v>9766</v>
      </c>
      <c r="E1001" s="176" t="s">
        <v>1867</v>
      </c>
      <c r="F1001" s="259" t="s">
        <v>9767</v>
      </c>
      <c r="G1001" s="176">
        <v>1</v>
      </c>
      <c r="H1001" s="203">
        <v>34535</v>
      </c>
      <c r="I1001" s="592">
        <f t="shared" si="34"/>
        <v>2</v>
      </c>
      <c r="J1001" s="203" t="s">
        <v>816</v>
      </c>
      <c r="K1001" s="203" t="s">
        <v>816</v>
      </c>
      <c r="L1001" s="275" t="str">
        <f>IF(H:H=0,"",IF(ISERROR(VLOOKUP(H:H,produtos_escape2!$A$2:$B$2794,2,FALSE)),"Código não cadastrado",(VLOOKUP(H:H,produtos_escape2!$A$2:$B$2794,2,FALSE))))</f>
        <v>CLOREXIDINA SOLUCAO AQUOSA 10 MG/ML (1%) FRASCO 1000 ML - SOLUCAO TOPICA</v>
      </c>
      <c r="M1001" s="593" t="str">
        <f>IF(H:H=0,"",IF(ISERROR(VLOOKUP(H:H,produtos_escape2!$A$2:$D$2794,2,FALSE)),"Código não cadastrado",(VLOOKUP(H:H,produtos_escape2!$A$2:$D$2794,4,FALSE))))</f>
        <v>FR</v>
      </c>
      <c r="N1001" s="486">
        <v>60</v>
      </c>
      <c r="O1001" s="176" t="s">
        <v>7337</v>
      </c>
      <c r="P1001" s="486">
        <v>60</v>
      </c>
      <c r="Q1001" s="247">
        <v>8</v>
      </c>
      <c r="R1001" s="246">
        <f t="shared" si="35"/>
        <v>480</v>
      </c>
      <c r="S1001" s="177">
        <v>44098</v>
      </c>
      <c r="T1001" s="182">
        <v>12197</v>
      </c>
      <c r="U1001" s="177">
        <v>44102</v>
      </c>
      <c r="V1001" s="177">
        <v>44104</v>
      </c>
      <c r="W1001" s="177">
        <v>44105</v>
      </c>
      <c r="X1001" s="176">
        <v>16433</v>
      </c>
      <c r="Y1001" s="177">
        <v>44145</v>
      </c>
      <c r="Z1001" s="415">
        <v>6</v>
      </c>
      <c r="AA1001" s="488"/>
      <c r="AB1001" s="594"/>
      <c r="AC1001" s="595"/>
      <c r="AD1001" s="596" t="str">
        <f>IF(AND(AC1001&lt;&gt;"",S1001&lt;&gt;""),NETWORKDAYS(AC1001,S1001,#REF!),"")</f>
        <v/>
      </c>
      <c r="AE1001" s="596" t="str">
        <f ca="1">IF(AND(AD1001="",AC1001=""),"",IF(OR(AD1001&lt;&gt;"",O1001="*CANCELADO"),"",NETWORKDAYS(AC1001,TODAY(),#REF!)))</f>
        <v/>
      </c>
      <c r="AF1001" s="597" t="str">
        <f>IFERROR(INDEX(produtos_escape2!M:M,MATCH(Controle!H1001,produtos_escape2!A:A,0)),"")</f>
        <v>CLOREXIDINA SOLUCAO AQUOSA 10 MG/ML (1%) FRASCO 1000 ML - SOLUCAO TOPICA</v>
      </c>
    </row>
    <row r="1002" spans="1:32" ht="14.25" customHeight="1">
      <c r="A1002" s="176" t="s">
        <v>8961</v>
      </c>
      <c r="B1002" s="176" t="s">
        <v>3608</v>
      </c>
      <c r="C1002" s="177">
        <v>44057</v>
      </c>
      <c r="D1002" s="176" t="s">
        <v>9768</v>
      </c>
      <c r="E1002" s="176" t="s">
        <v>3009</v>
      </c>
      <c r="F1002" s="259" t="s">
        <v>9769</v>
      </c>
      <c r="G1002" s="176">
        <v>1</v>
      </c>
      <c r="H1002" s="203">
        <v>90221</v>
      </c>
      <c r="I1002" s="592">
        <f t="shared" si="34"/>
        <v>4</v>
      </c>
      <c r="J1002" s="203" t="s">
        <v>816</v>
      </c>
      <c r="K1002" s="203" t="s">
        <v>816</v>
      </c>
      <c r="L1002" s="275" t="str">
        <f>IF(H:H=0,"",IF(ISERROR(VLOOKUP(H:H,produtos_escape2!$A$2:$B$2794,2,FALSE)),"Código não cadastrado",(VLOOKUP(H:H,produtos_escape2!$A$2:$B$2794,2,FALSE))))</f>
        <v>PANCURONIO (BROMETO) SOLUCAO INJETAVEL 2 MG/ML AMPOLA 2 ML</v>
      </c>
      <c r="M1002" s="593" t="str">
        <f>IF(H:H=0,"",IF(ISERROR(VLOOKUP(H:H,produtos_escape2!$A$2:$D$2794,2,FALSE)),"Código não cadastrado",(VLOOKUP(H:H,produtos_escape2!$A$2:$D$2794,4,FALSE))))</f>
        <v>AMP</v>
      </c>
      <c r="N1002" s="486">
        <v>300</v>
      </c>
      <c r="O1002" s="176" t="s">
        <v>4401</v>
      </c>
      <c r="P1002" s="486">
        <v>300</v>
      </c>
      <c r="Q1002" s="247">
        <v>8</v>
      </c>
      <c r="R1002" s="246">
        <f t="shared" si="35"/>
        <v>2400</v>
      </c>
      <c r="S1002" s="177">
        <v>44099</v>
      </c>
      <c r="T1002" s="182">
        <v>2781140</v>
      </c>
      <c r="U1002" s="177">
        <v>44135</v>
      </c>
      <c r="V1002" s="177">
        <v>44139</v>
      </c>
      <c r="W1002" s="177">
        <v>44148</v>
      </c>
      <c r="X1002" s="176">
        <v>31343</v>
      </c>
      <c r="Y1002" s="177">
        <v>44167</v>
      </c>
      <c r="Z1002" s="415">
        <v>6</v>
      </c>
      <c r="AA1002" s="488"/>
      <c r="AB1002" s="594"/>
      <c r="AC1002" s="595"/>
      <c r="AD1002" s="596" t="str">
        <f>IF(AND(AC1002&lt;&gt;"",S1002&lt;&gt;""),NETWORKDAYS(AC1002,S1002,#REF!),"")</f>
        <v/>
      </c>
      <c r="AE1002" s="596" t="str">
        <f ca="1">IF(AND(AD1002="",AC1002=""),"",IF(OR(AD1002&lt;&gt;"",O1002="*CANCELADO"),"",NETWORKDAYS(AC1002,TODAY(),#REF!)))</f>
        <v/>
      </c>
      <c r="AF1002" s="597" t="str">
        <f>IFERROR(INDEX(produtos_escape2!M:M,MATCH(Controle!H1002,produtos_escape2!A:A,0)),"")</f>
        <v>PANCURONIO (BROMETO) SOLUCAO INJETAVEL 2 MG/ML AMPOLA 2 ML</v>
      </c>
    </row>
    <row r="1003" spans="1:32" ht="14.25" customHeight="1">
      <c r="A1003" s="176" t="s">
        <v>8965</v>
      </c>
      <c r="B1003" s="176" t="s">
        <v>3608</v>
      </c>
      <c r="C1003" s="177">
        <v>44057</v>
      </c>
      <c r="D1003" s="176" t="s">
        <v>9777</v>
      </c>
      <c r="E1003" s="176" t="s">
        <v>1867</v>
      </c>
      <c r="F1003" s="259" t="s">
        <v>9778</v>
      </c>
      <c r="G1003" s="176">
        <v>1</v>
      </c>
      <c r="H1003" s="203">
        <v>90159</v>
      </c>
      <c r="I1003" s="592">
        <f t="shared" si="34"/>
        <v>4</v>
      </c>
      <c r="J1003" s="203" t="s">
        <v>816</v>
      </c>
      <c r="K1003" s="203" t="s">
        <v>816</v>
      </c>
      <c r="L1003" s="275" t="str">
        <f>IF(H:H=0,"",IF(ISERROR(VLOOKUP(H:H,produtos_escape2!$A$2:$B$2794,2,FALSE)),"Código não cadastrado",(VLOOKUP(H:H,produtos_escape2!$A$2:$B$2794,2,FALSE))))</f>
        <v>DILTIAZEM (CLORIDRATO) COMPRIMIDO 60 MG</v>
      </c>
      <c r="M1003" s="593" t="str">
        <f>IF(H:H=0,"",IF(ISERROR(VLOOKUP(H:H,produtos_escape2!$A$2:$D$2794,2,FALSE)),"Código não cadastrado",(VLOOKUP(H:H,produtos_escape2!$A$2:$D$2794,4,FALSE))))</f>
        <v>CP</v>
      </c>
      <c r="N1003" s="486">
        <v>60</v>
      </c>
      <c r="O1003" s="176" t="s">
        <v>1868</v>
      </c>
      <c r="P1003" s="486"/>
      <c r="Q1003" s="247"/>
      <c r="R1003" s="246">
        <v>0</v>
      </c>
      <c r="S1003" s="177">
        <v>44069</v>
      </c>
      <c r="T1003" s="182"/>
      <c r="U1003" s="177"/>
      <c r="V1003" s="177"/>
      <c r="W1003" s="177"/>
      <c r="X1003" s="176"/>
      <c r="Y1003" s="177"/>
      <c r="Z1003" s="415">
        <v>4</v>
      </c>
      <c r="AA1003" s="488" t="s">
        <v>7988</v>
      </c>
      <c r="AB1003" s="594"/>
      <c r="AC1003" s="595"/>
      <c r="AD1003" s="596" t="s">
        <v>5888</v>
      </c>
      <c r="AE1003" s="596" t="s">
        <v>5888</v>
      </c>
      <c r="AF1003" s="597" t="str">
        <f>IFERROR(INDEX(produtos_escape2!M:M,MATCH(Controle!H1003,produtos_escape2!A:A,0)),"")</f>
        <v>DILTIAZEM (CLORIDRATO) COMPRIMIDO 60 MG</v>
      </c>
    </row>
    <row r="1004" spans="1:32" ht="14.25" customHeight="1">
      <c r="A1004" s="176" t="s">
        <v>8967</v>
      </c>
      <c r="B1004" s="176" t="s">
        <v>3608</v>
      </c>
      <c r="C1004" s="177">
        <v>44061</v>
      </c>
      <c r="D1004" s="176" t="s">
        <v>9820</v>
      </c>
      <c r="E1004" s="176" t="s">
        <v>8773</v>
      </c>
      <c r="F1004" s="259" t="s">
        <v>9786</v>
      </c>
      <c r="G1004" s="176">
        <v>1</v>
      </c>
      <c r="H1004" s="178">
        <v>8438</v>
      </c>
      <c r="I1004" s="592">
        <f t="shared" si="34"/>
        <v>2</v>
      </c>
      <c r="J1004" s="178" t="s">
        <v>816</v>
      </c>
      <c r="K1004" s="178" t="s">
        <v>816</v>
      </c>
      <c r="L1004" s="275" t="str">
        <f>IF(H:H=0,"",IF(ISERROR(VLOOKUP(H:H,produtos_escape2!$A$2:$B$2794,2,FALSE)),"Código não cadastrado",(VLOOKUP(H:H,produtos_escape2!$A$2:$B$2794,2,FALSE))))</f>
        <v>SOLUCAO PEROXIDO DE HIDROGENIO 90 A 92% + ACIDO ACETICO 8,0% + ÁCIDO PERACÉTICO 3,4% GALAO COM 5 LITROS (USO EXCLUSIVO PARA DESINFECÇAO DAS MAQUINAS DE HEMODIALISE FRESENIUS). Segundo a empresa que realiza manutenção da máquina, o único material compatível é da marca PURISTERIL.</v>
      </c>
      <c r="M1004" s="593" t="str">
        <f>IF(H:H=0,"",IF(ISERROR(VLOOKUP(H:H,produtos_escape2!$A$2:$D$2794,2,FALSE)),"Código não cadastrado",(VLOOKUP(H:H,produtos_escape2!$A$2:$D$2794,4,FALSE))))</f>
        <v>GL</v>
      </c>
      <c r="N1004" s="486">
        <v>20</v>
      </c>
      <c r="O1004" s="176" t="s">
        <v>9887</v>
      </c>
      <c r="P1004" s="486">
        <v>20</v>
      </c>
      <c r="Q1004" s="247">
        <v>129.03</v>
      </c>
      <c r="R1004" s="246">
        <f t="shared" ref="R1004:R1067" si="36">P1004*Q1004</f>
        <v>2580.6</v>
      </c>
      <c r="S1004" s="177">
        <v>44078</v>
      </c>
      <c r="T1004" s="182">
        <v>1490626</v>
      </c>
      <c r="U1004" s="177">
        <v>44088</v>
      </c>
      <c r="V1004" s="177">
        <v>44096</v>
      </c>
      <c r="W1004" s="177">
        <v>44103</v>
      </c>
      <c r="X1004" s="176">
        <v>18180</v>
      </c>
      <c r="Y1004" s="177">
        <v>44146</v>
      </c>
      <c r="Z1004" s="415">
        <v>6</v>
      </c>
      <c r="AA1004" s="617" t="s">
        <v>9787</v>
      </c>
      <c r="AB1004" s="594"/>
      <c r="AC1004" s="595"/>
      <c r="AD1004" s="596" t="str">
        <f>IF(AND(AC1004&lt;&gt;"",S1004&lt;&gt;""),NETWORKDAYS(AC1004,S1004,#REF!),"")</f>
        <v/>
      </c>
      <c r="AE1004" s="596" t="str">
        <f ca="1">IF(AND(AD1004="",AC1004=""),"",IF(OR(AD1004&lt;&gt;"",O1004="*CANCELADO"),"",NETWORKDAYS(AC1004,TODAY(),#REF!)))</f>
        <v/>
      </c>
      <c r="AF1004" s="597" t="str">
        <f>IFERROR(INDEX(produtos_escape2!M:M,MATCH(Controle!H1004,produtos_escape2!A:A,0)),"")</f>
        <v>SOLUCAO PEROXIDO DE HIDROGENIO 90 A 92% + ACIDO ACETICO 8</v>
      </c>
    </row>
    <row r="1005" spans="1:32" ht="14.25" customHeight="1">
      <c r="A1005" s="176" t="s">
        <v>8968</v>
      </c>
      <c r="B1005" s="176" t="s">
        <v>3608</v>
      </c>
      <c r="C1005" s="177">
        <v>44061</v>
      </c>
      <c r="D1005" s="176" t="s">
        <v>9788</v>
      </c>
      <c r="E1005" s="176" t="s">
        <v>1865</v>
      </c>
      <c r="F1005" s="259" t="s">
        <v>9789</v>
      </c>
      <c r="G1005" s="176">
        <v>1</v>
      </c>
      <c r="H1005" s="178">
        <v>95500</v>
      </c>
      <c r="I1005" s="592">
        <f t="shared" si="34"/>
        <v>1</v>
      </c>
      <c r="J1005" s="178" t="s">
        <v>816</v>
      </c>
      <c r="K1005" s="178" t="s">
        <v>816</v>
      </c>
      <c r="L1005" s="275" t="str">
        <f>IF(H:H=0,"",IF(ISERROR(VLOOKUP(H:H,produtos_escape2!$A$2:$B$2794,2,FALSE)),"Código não cadastrado",(VLOOKUP(H:H,produtos_escape2!$A$2:$B$2794,2,FALSE))))</f>
        <v>PLACA ESCAVADA P/ VDRL 1</v>
      </c>
      <c r="M1005" s="593" t="str">
        <f>IF(H:H=0,"",IF(ISERROR(VLOOKUP(H:H,produtos_escape2!$A$2:$D$2794,2,FALSE)),"Código não cadastrado",(VLOOKUP(H:H,produtos_escape2!$A$2:$D$2794,4,FALSE))))</f>
        <v>UN</v>
      </c>
      <c r="N1005" s="486">
        <v>5</v>
      </c>
      <c r="O1005" s="176" t="s">
        <v>3670</v>
      </c>
      <c r="P1005" s="486">
        <v>5</v>
      </c>
      <c r="Q1005" s="247">
        <v>65</v>
      </c>
      <c r="R1005" s="246">
        <f t="shared" si="36"/>
        <v>325</v>
      </c>
      <c r="S1005" s="177">
        <v>44099</v>
      </c>
      <c r="T1005" s="182">
        <v>3945</v>
      </c>
      <c r="U1005" s="177">
        <v>44103</v>
      </c>
      <c r="V1005" s="177">
        <v>44106</v>
      </c>
      <c r="W1005" s="177">
        <v>44111</v>
      </c>
      <c r="X1005" s="176">
        <v>3301</v>
      </c>
      <c r="Y1005" s="177">
        <v>44140</v>
      </c>
      <c r="Z1005" s="415">
        <v>6</v>
      </c>
      <c r="AA1005" s="617" t="s">
        <v>9790</v>
      </c>
      <c r="AB1005" s="594"/>
      <c r="AC1005" s="595"/>
      <c r="AD1005" s="596" t="str">
        <f>IF(AND(AC1005&lt;&gt;"",S1005&lt;&gt;""),NETWORKDAYS(AC1005,S1005,#REF!),"")</f>
        <v/>
      </c>
      <c r="AE1005" s="596" t="str">
        <f ca="1">IF(AND(AD1005="",AC1005=""),"",IF(OR(AD1005&lt;&gt;"",O1005="*CANCELADO"),"",NETWORKDAYS(AC1005,TODAY(),#REF!)))</f>
        <v/>
      </c>
      <c r="AF1005" s="597" t="str">
        <f>IFERROR(INDEX(produtos_escape2!M:M,MATCH(Controle!H1005,produtos_escape2!A:A,0)),"")</f>
        <v>PLACA ESCAVADA P/ VDRL 1</v>
      </c>
    </row>
    <row r="1006" spans="1:32" ht="14.25" customHeight="1">
      <c r="A1006" s="176" t="s">
        <v>7430</v>
      </c>
      <c r="B1006" s="176" t="s">
        <v>1687</v>
      </c>
      <c r="C1006" s="177">
        <v>44063</v>
      </c>
      <c r="D1006" s="176" t="s">
        <v>9793</v>
      </c>
      <c r="E1006" s="176" t="s">
        <v>3008</v>
      </c>
      <c r="F1006" s="259" t="s">
        <v>9794</v>
      </c>
      <c r="G1006" s="176">
        <v>1</v>
      </c>
      <c r="H1006" s="178" t="s">
        <v>3227</v>
      </c>
      <c r="I1006" s="592">
        <f t="shared" si="34"/>
        <v>1</v>
      </c>
      <c r="J1006" s="178" t="s">
        <v>816</v>
      </c>
      <c r="K1006" s="178" t="s">
        <v>816</v>
      </c>
      <c r="L1006" s="275" t="str">
        <f>IF(H:H=0,"",IF(ISERROR(VLOOKUP(H:H,produtos_escape2!$A$2:$B$2794,2,FALSE)),"Código não cadastrado",(VLOOKUP(H:H,produtos_escape2!$A$2:$B$2794,2,FALSE))))</f>
        <v>Conserto do REFRIGERADOR, marca ELETROSPITALAR, N° de Patrimônio 994906.</v>
      </c>
      <c r="M1006" s="593" t="str">
        <f>IF(H:H=0,"",IF(ISERROR(VLOOKUP(H:H,produtos_escape2!$A$2:$D$2794,2,FALSE)),"Código não cadastrado",(VLOOKUP(H:H,produtos_escape2!$A$2:$D$2794,4,FALSE))))</f>
        <v>Serviço</v>
      </c>
      <c r="N1006" s="486">
        <v>1</v>
      </c>
      <c r="O1006" s="176" t="s">
        <v>1868</v>
      </c>
      <c r="P1006" s="486"/>
      <c r="Q1006" s="247"/>
      <c r="R1006" s="246">
        <f t="shared" si="36"/>
        <v>0</v>
      </c>
      <c r="S1006" s="177"/>
      <c r="T1006" s="182"/>
      <c r="U1006" s="177"/>
      <c r="V1006" s="177"/>
      <c r="W1006" s="177"/>
      <c r="X1006" s="176"/>
      <c r="Y1006" s="177"/>
      <c r="Z1006" s="415">
        <v>5</v>
      </c>
      <c r="AA1006" s="488" t="s">
        <v>9947</v>
      </c>
      <c r="AB1006" s="594"/>
      <c r="AC1006" s="595"/>
      <c r="AD1006" s="596" t="str">
        <f>IF(AND(AC1006&lt;&gt;"",S1006&lt;&gt;""),NETWORKDAYS(AC1006,S1006,#REF!),"")</f>
        <v/>
      </c>
      <c r="AE1006" s="596" t="str">
        <f ca="1">IF(AND(AD1006="",AC1006=""),"",IF(OR(AD1006&lt;&gt;"",O1006="*CANCELADO"),"",NETWORKDAYS(AC1006,TODAY(),#REF!)))</f>
        <v/>
      </c>
      <c r="AF1006" s="597">
        <f>IFERROR(INDEX(produtos_escape2!M:M,MATCH(Controle!H1006,produtos_escape2!A:A,0)),"")</f>
        <v>0</v>
      </c>
    </row>
    <row r="1007" spans="1:32" ht="14.25" customHeight="1">
      <c r="A1007" s="176" t="s">
        <v>7431</v>
      </c>
      <c r="B1007" s="176" t="s">
        <v>1687</v>
      </c>
      <c r="C1007" s="177">
        <v>44063</v>
      </c>
      <c r="D1007" s="176" t="s">
        <v>9795</v>
      </c>
      <c r="E1007" s="176" t="s">
        <v>1866</v>
      </c>
      <c r="F1007" s="259" t="s">
        <v>9796</v>
      </c>
      <c r="G1007" s="176">
        <v>1</v>
      </c>
      <c r="H1007" s="178">
        <v>39267</v>
      </c>
      <c r="I1007" s="592">
        <f t="shared" si="34"/>
        <v>2</v>
      </c>
      <c r="J1007" s="178" t="s">
        <v>816</v>
      </c>
      <c r="K1007" s="178" t="s">
        <v>816</v>
      </c>
      <c r="L1007" s="275" t="str">
        <f>IF(H:H=0,"",IF(ISERROR(VLOOKUP(H:H,produtos_escape2!$A$2:$B$2794,2,FALSE)),"Código não cadastrado",(VLOOKUP(H:H,produtos_escape2!$A$2:$B$2794,2,FALSE))))</f>
        <v>FILTRO P/RESPIRADOR REF.626 1</v>
      </c>
      <c r="M1007" s="593" t="str">
        <f>IF(H:H=0,"",IF(ISERROR(VLOOKUP(H:H,produtos_escape2!$A$2:$D$2794,2,FALSE)),"Código não cadastrado",(VLOOKUP(H:H,produtos_escape2!$A$2:$D$2794,4,FALSE))))</f>
        <v>UN</v>
      </c>
      <c r="N1007" s="486">
        <v>50</v>
      </c>
      <c r="O1007" s="176" t="s">
        <v>1868</v>
      </c>
      <c r="P1007" s="486"/>
      <c r="Q1007" s="247">
        <v>9.4</v>
      </c>
      <c r="R1007" s="246">
        <f t="shared" si="36"/>
        <v>0</v>
      </c>
      <c r="S1007" s="177">
        <v>44099</v>
      </c>
      <c r="T1007" s="182"/>
      <c r="U1007" s="177"/>
      <c r="V1007" s="177"/>
      <c r="W1007" s="177"/>
      <c r="X1007" s="176"/>
      <c r="Y1007" s="177"/>
      <c r="Z1007" s="415">
        <v>5</v>
      </c>
      <c r="AA1007" s="488" t="s">
        <v>10240</v>
      </c>
      <c r="AB1007" s="594"/>
      <c r="AC1007" s="595"/>
      <c r="AD1007" s="596" t="str">
        <f>IF(AND(AC1007&lt;&gt;"",S1007&lt;&gt;""),NETWORKDAYS(AC1007,S1007,#REF!),"")</f>
        <v/>
      </c>
      <c r="AE1007" s="596" t="str">
        <f ca="1">IF(AND(AD1007="",AC1007=""),"",IF(OR(AD1007&lt;&gt;"",O1007="*CANCELADO"),"",NETWORKDAYS(AC1007,TODAY(),#REF!)))</f>
        <v/>
      </c>
      <c r="AF1007" s="597" t="str">
        <f>IFERROR(INDEX(produtos_escape2!M:M,MATCH(Controle!H1007,produtos_escape2!A:A,0)),"")</f>
        <v>FILTRO PARA RESPIRADOR</v>
      </c>
    </row>
    <row r="1008" spans="1:32" ht="14.25" customHeight="1">
      <c r="A1008" s="176" t="s">
        <v>8969</v>
      </c>
      <c r="B1008" s="176" t="s">
        <v>3608</v>
      </c>
      <c r="C1008" s="177">
        <v>44064</v>
      </c>
      <c r="D1008" s="176" t="s">
        <v>9798</v>
      </c>
      <c r="E1008" s="176" t="s">
        <v>1867</v>
      </c>
      <c r="F1008" s="259" t="s">
        <v>9799</v>
      </c>
      <c r="G1008" s="176">
        <v>1</v>
      </c>
      <c r="H1008" s="178">
        <v>35267</v>
      </c>
      <c r="I1008" s="592">
        <f t="shared" si="34"/>
        <v>1</v>
      </c>
      <c r="J1008" s="178" t="s">
        <v>816</v>
      </c>
      <c r="K1008" s="178" t="s">
        <v>816</v>
      </c>
      <c r="L1008" s="275" t="str">
        <f>IF(H:H=0,"",IF(ISERROR(VLOOKUP(H:H,produtos_escape2!$A$2:$B$2794,2,FALSE)),"Código não cadastrado",(VLOOKUP(H:H,produtos_escape2!$A$2:$B$2794,2,FALSE))))</f>
        <v>Distrator externo ou interno crânio fácil/maxilar para disjunção de terço médio de face</v>
      </c>
      <c r="M1008" s="593" t="str">
        <f>IF(H:H=0,"",IF(ISERROR(VLOOKUP(H:H,produtos_escape2!$A$2:$D$2794,2,FALSE)),"Código não cadastrado",(VLOOKUP(H:H,produtos_escape2!$A$2:$D$2794,4,FALSE))))</f>
        <v>UN</v>
      </c>
      <c r="N1008" s="486">
        <v>4</v>
      </c>
      <c r="O1008" s="176" t="s">
        <v>1868</v>
      </c>
      <c r="P1008" s="486"/>
      <c r="Q1008" s="247"/>
      <c r="R1008" s="246">
        <f t="shared" si="36"/>
        <v>0</v>
      </c>
      <c r="S1008" s="177">
        <v>44075</v>
      </c>
      <c r="T1008" s="182"/>
      <c r="U1008" s="177"/>
      <c r="V1008" s="177"/>
      <c r="W1008" s="177"/>
      <c r="X1008" s="176"/>
      <c r="Y1008" s="177"/>
      <c r="Z1008" s="415">
        <v>4</v>
      </c>
      <c r="AA1008" s="488" t="s">
        <v>7988</v>
      </c>
      <c r="AB1008" s="594"/>
      <c r="AC1008" s="595"/>
      <c r="AD1008" s="596" t="str">
        <f>IF(AND(AC1008&lt;&gt;"",S1008&lt;&gt;""),NETWORKDAYS(AC1008,S1008,#REF!),"")</f>
        <v/>
      </c>
      <c r="AE1008" s="596" t="str">
        <f ca="1">IF(AND(AD1008="",AC1008=""),"",IF(OR(AD1008&lt;&gt;"",O1008="*CANCELADO"),"",NETWORKDAYS(AC1008,TODAY(),#REF!)))</f>
        <v/>
      </c>
      <c r="AF1008" s="597" t="str">
        <f>IFERROR(INDEX(produtos_escape2!M:M,MATCH(Controle!H1008,produtos_escape2!A:A,0)),"")</f>
        <v>DISTRATOR INTERNO OU EXTERNO</v>
      </c>
    </row>
    <row r="1009" spans="1:32" ht="14.25" customHeight="1">
      <c r="A1009" s="176" t="s">
        <v>8970</v>
      </c>
      <c r="B1009" s="176" t="s">
        <v>3608</v>
      </c>
      <c r="C1009" s="177">
        <v>44064</v>
      </c>
      <c r="D1009" s="176" t="s">
        <v>9806</v>
      </c>
      <c r="E1009" s="176" t="s">
        <v>3009</v>
      </c>
      <c r="F1009" s="259" t="s">
        <v>9807</v>
      </c>
      <c r="G1009" s="176">
        <v>1</v>
      </c>
      <c r="H1009" s="178">
        <v>90271</v>
      </c>
      <c r="I1009" s="592">
        <f t="shared" si="34"/>
        <v>3</v>
      </c>
      <c r="J1009" s="178" t="s">
        <v>816</v>
      </c>
      <c r="K1009" s="178" t="s">
        <v>816</v>
      </c>
      <c r="L1009" s="275" t="str">
        <f>IF(H:H=0,"",IF(ISERROR(VLOOKUP(H:H,produtos_escape2!$A$2:$B$2794,2,FALSE)),"Código não cadastrado",(VLOOKUP(H:H,produtos_escape2!$A$2:$B$2794,2,FALSE))))</f>
        <v xml:space="preserve">PROPOFOL EMULSAO INJETAVEL 20 MG/ML FRASCO-AMPOLA 50 ML </v>
      </c>
      <c r="M1009" s="593" t="str">
        <f>IF(H:H=0,"",IF(ISERROR(VLOOKUP(H:H,produtos_escape2!$A$2:$D$2794,2,FALSE)),"Código não cadastrado",(VLOOKUP(H:H,produtos_escape2!$A$2:$D$2794,4,FALSE))))</f>
        <v>AMP</v>
      </c>
      <c r="N1009" s="486">
        <v>200</v>
      </c>
      <c r="O1009" s="176" t="s">
        <v>1868</v>
      </c>
      <c r="P1009" s="486"/>
      <c r="Q1009" s="247"/>
      <c r="R1009" s="246">
        <f t="shared" si="36"/>
        <v>0</v>
      </c>
      <c r="S1009" s="177"/>
      <c r="T1009" s="182"/>
      <c r="U1009" s="177"/>
      <c r="V1009" s="177"/>
      <c r="W1009" s="177"/>
      <c r="X1009" s="176"/>
      <c r="Y1009" s="177"/>
      <c r="Z1009" s="415">
        <v>5</v>
      </c>
      <c r="AA1009" s="488" t="s">
        <v>9980</v>
      </c>
      <c r="AB1009" s="594"/>
      <c r="AC1009" s="595"/>
      <c r="AD1009" s="596" t="str">
        <f>IF(AND(AC1009&lt;&gt;"",S1009&lt;&gt;""),NETWORKDAYS(AC1009,S1009,#REF!),"")</f>
        <v/>
      </c>
      <c r="AE1009" s="596" t="str">
        <f ca="1">IF(AND(AD1009="",AC1009=""),"",IF(OR(AD1009&lt;&gt;"",O1009="*CANCELADO"),"",NETWORKDAYS(AC1009,TODAY(),#REF!)))</f>
        <v/>
      </c>
      <c r="AF1009" s="597" t="str">
        <f>IFERROR(INDEX(produtos_escape2!M:M,MATCH(Controle!H1009,produtos_escape2!A:A,0)),"")</f>
        <v>PROPOFOL EMULSAO INJETAVEL</v>
      </c>
    </row>
    <row r="1010" spans="1:32" ht="14.25" customHeight="1">
      <c r="A1010" s="176" t="s">
        <v>8971</v>
      </c>
      <c r="B1010" s="176" t="s">
        <v>3608</v>
      </c>
      <c r="C1010" s="177">
        <v>44064</v>
      </c>
      <c r="D1010" s="176" t="s">
        <v>9808</v>
      </c>
      <c r="E1010" s="176" t="s">
        <v>1865</v>
      </c>
      <c r="F1010" s="259" t="s">
        <v>9809</v>
      </c>
      <c r="G1010" s="176">
        <v>1</v>
      </c>
      <c r="H1010" s="178">
        <v>33729</v>
      </c>
      <c r="I1010" s="592">
        <f t="shared" si="34"/>
        <v>3</v>
      </c>
      <c r="J1010" s="178" t="s">
        <v>816</v>
      </c>
      <c r="K1010" s="178" t="s">
        <v>816</v>
      </c>
      <c r="L1010" s="275" t="str">
        <f>IF(H:H=0,"",IF(ISERROR(VLOOKUP(H:H,produtos_escape2!$A$2:$B$2794,2,FALSE)),"Código não cadastrado",(VLOOKUP(H:H,produtos_escape2!$A$2:$B$2794,2,FALSE))))</f>
        <v>DEXTROCETAMINA SOLUÇAO INJETAVEL 50MG/ML FRASCO-AMPOLA 2ML</v>
      </c>
      <c r="M1010" s="593" t="str">
        <f>IF(H:H=0,"",IF(ISERROR(VLOOKUP(H:H,produtos_escape2!$A$2:$D$2794,2,FALSE)),"Código não cadastrado",(VLOOKUP(H:H,produtos_escape2!$A$2:$D$2794,4,FALSE))))</f>
        <v>FA</v>
      </c>
      <c r="N1010" s="486">
        <v>300</v>
      </c>
      <c r="O1010" s="176" t="s">
        <v>4401</v>
      </c>
      <c r="P1010" s="486">
        <v>300</v>
      </c>
      <c r="Q1010" s="247">
        <v>13.6</v>
      </c>
      <c r="R1010" s="246">
        <f t="shared" si="36"/>
        <v>4080</v>
      </c>
      <c r="S1010" s="177">
        <v>44097</v>
      </c>
      <c r="T1010" s="182">
        <v>2748251</v>
      </c>
      <c r="U1010" s="177">
        <v>44102</v>
      </c>
      <c r="V1010" s="177">
        <v>44104</v>
      </c>
      <c r="W1010" s="177">
        <v>44105</v>
      </c>
      <c r="X1010" s="176">
        <v>18092</v>
      </c>
      <c r="Y1010" s="177">
        <v>44146</v>
      </c>
      <c r="Z1010" s="415">
        <v>6</v>
      </c>
      <c r="AA1010" s="488"/>
      <c r="AB1010" s="594"/>
      <c r="AC1010" s="595"/>
      <c r="AD1010" s="596" t="str">
        <f>IF(AND(AC1010&lt;&gt;"",S1010&lt;&gt;""),NETWORKDAYS(AC1010,S1010,#REF!),"")</f>
        <v/>
      </c>
      <c r="AE1010" s="596" t="str">
        <f ca="1">IF(AND(AD1010="",AC1010=""),"",IF(OR(AD1010&lt;&gt;"",O1010="*CANCELADO"),"",NETWORKDAYS(AC1010,TODAY(),#REF!)))</f>
        <v/>
      </c>
      <c r="AF1010" s="597" t="str">
        <f>IFERROR(INDEX(produtos_escape2!M:M,MATCH(Controle!H1010,produtos_escape2!A:A,0)),"")</f>
        <v>DEXTROCETAMINA SOLUÇAO INJETAVEL 50MG/ML FRASCO-AMPOLA 2ML</v>
      </c>
    </row>
    <row r="1011" spans="1:32" ht="14.25" customHeight="1">
      <c r="A1011" s="176" t="s">
        <v>8972</v>
      </c>
      <c r="B1011" s="176" t="s">
        <v>3608</v>
      </c>
      <c r="C1011" s="177">
        <v>44064</v>
      </c>
      <c r="D1011" s="176" t="s">
        <v>9810</v>
      </c>
      <c r="E1011" s="176" t="s">
        <v>1866</v>
      </c>
      <c r="F1011" s="259" t="s">
        <v>9811</v>
      </c>
      <c r="G1011" s="176">
        <v>1</v>
      </c>
      <c r="H1011" s="178">
        <v>90220</v>
      </c>
      <c r="I1011" s="592">
        <f t="shared" si="34"/>
        <v>7</v>
      </c>
      <c r="J1011" s="178" t="s">
        <v>816</v>
      </c>
      <c r="K1011" s="178" t="s">
        <v>816</v>
      </c>
      <c r="L1011" s="275" t="str">
        <f>IF(H:H=0,"",IF(ISERROR(VLOOKUP(H:H,produtos_escape2!$A$2:$B$2794,2,FALSE)),"Código não cadastrado",(VLOOKUP(H:H,produtos_escape2!$A$2:$B$2794,2,FALSE))))</f>
        <v>ATRACURIO (BESILATO) SOLUCAO INJETAVEL 10 MG/ML AMPOLA 2,5 ML</v>
      </c>
      <c r="M1011" s="593" t="str">
        <f>IF(H:H=0,"",IF(ISERROR(VLOOKUP(H:H,produtos_escape2!$A$2:$D$2794,2,FALSE)),"Código não cadastrado",(VLOOKUP(H:H,produtos_escape2!$A$2:$D$2794,4,FALSE))))</f>
        <v>AMP</v>
      </c>
      <c r="N1011" s="486">
        <v>400</v>
      </c>
      <c r="O1011" s="176" t="s">
        <v>1868</v>
      </c>
      <c r="P1011" s="486"/>
      <c r="Q1011" s="247"/>
      <c r="R1011" s="246">
        <f t="shared" si="36"/>
        <v>0</v>
      </c>
      <c r="S1011" s="177"/>
      <c r="T1011" s="182"/>
      <c r="U1011" s="177"/>
      <c r="V1011" s="177"/>
      <c r="W1011" s="177"/>
      <c r="X1011" s="176"/>
      <c r="Y1011" s="177"/>
      <c r="Z1011" s="415">
        <v>5</v>
      </c>
      <c r="AA1011" s="488" t="s">
        <v>7474</v>
      </c>
      <c r="AB1011" s="594"/>
      <c r="AC1011" s="595"/>
      <c r="AD1011" s="596" t="str">
        <f>IF(AND(AC1011&lt;&gt;"",S1011&lt;&gt;""),NETWORKDAYS(AC1011,S1011,#REF!),"")</f>
        <v/>
      </c>
      <c r="AE1011" s="596" t="str">
        <f ca="1">IF(AND(AD1011="",AC1011=""),"",IF(OR(AD1011&lt;&gt;"",O1011="*CANCELADO"),"",NETWORKDAYS(AC1011,TODAY(),#REF!)))</f>
        <v/>
      </c>
      <c r="AF1011" s="597" t="str">
        <f>IFERROR(INDEX(produtos_escape2!M:M,MATCH(Controle!H1011,produtos_escape2!A:A,0)),"")</f>
        <v>ATRACURIO (BESILATO) SOLUCAO INJETAVEL 10 MG/ML AMPOLA 2</v>
      </c>
    </row>
    <row r="1012" spans="1:32" ht="14.25" customHeight="1">
      <c r="A1012" s="176" t="s">
        <v>8974</v>
      </c>
      <c r="B1012" s="176" t="s">
        <v>3608</v>
      </c>
      <c r="C1012" s="177">
        <v>44064</v>
      </c>
      <c r="D1012" s="176" t="s">
        <v>9812</v>
      </c>
      <c r="E1012" s="176" t="s">
        <v>1867</v>
      </c>
      <c r="F1012" s="259" t="s">
        <v>9813</v>
      </c>
      <c r="G1012" s="176">
        <v>1</v>
      </c>
      <c r="H1012" s="178">
        <v>31716</v>
      </c>
      <c r="I1012" s="592">
        <f t="shared" si="34"/>
        <v>2</v>
      </c>
      <c r="J1012" s="178" t="s">
        <v>816</v>
      </c>
      <c r="K1012" s="178" t="s">
        <v>816</v>
      </c>
      <c r="L1012" s="275" t="str">
        <f>IF(H:H=0,"",IF(ISERROR(VLOOKUP(H:H,produtos_escape2!$A$2:$B$2794,2,FALSE)),"Código não cadastrado",(VLOOKUP(H:H,produtos_escape2!$A$2:$B$2794,2,FALSE))))</f>
        <v>SIMETICONA EMULSAO OU SOLUÇAO OU SUSPENSAO ORAL GOTAS 75 MG/ML FRASCO 10 A 15 ML</v>
      </c>
      <c r="M1012" s="593" t="str">
        <f>IF(H:H=0,"",IF(ISERROR(VLOOKUP(H:H,produtos_escape2!$A$2:$D$2794,2,FALSE)),"Código não cadastrado",(VLOOKUP(H:H,produtos_escape2!$A$2:$D$2794,4,FALSE))))</f>
        <v>FR</v>
      </c>
      <c r="N1012" s="486">
        <v>1200</v>
      </c>
      <c r="O1012" s="176" t="s">
        <v>7472</v>
      </c>
      <c r="P1012" s="486">
        <v>1200</v>
      </c>
      <c r="Q1012" s="247">
        <v>0.94969999999999999</v>
      </c>
      <c r="R1012" s="246">
        <f t="shared" si="36"/>
        <v>1139.6399999999999</v>
      </c>
      <c r="S1012" s="177">
        <v>44097</v>
      </c>
      <c r="T1012" s="182">
        <v>24927</v>
      </c>
      <c r="U1012" s="177">
        <v>44097</v>
      </c>
      <c r="V1012" s="177">
        <v>44099</v>
      </c>
      <c r="W1012" s="177">
        <v>44103</v>
      </c>
      <c r="X1012" s="176">
        <v>17516</v>
      </c>
      <c r="Y1012" s="177">
        <v>44145</v>
      </c>
      <c r="Z1012" s="415">
        <v>6</v>
      </c>
      <c r="AA1012" s="488"/>
      <c r="AB1012" s="594"/>
      <c r="AC1012" s="595"/>
      <c r="AD1012" s="596" t="str">
        <f>IF(AND(AC1012&lt;&gt;"",S1012&lt;&gt;""),NETWORKDAYS(AC1012,S1012,#REF!),"")</f>
        <v/>
      </c>
      <c r="AE1012" s="596" t="str">
        <f ca="1">IF(AND(AD1012="",AC1012=""),"",IF(OR(AD1012&lt;&gt;"",O1012="*CANCELADO"),"",NETWORKDAYS(AC1012,TODAY(),#REF!)))</f>
        <v/>
      </c>
      <c r="AF1012" s="597" t="str">
        <f>IFERROR(INDEX(produtos_escape2!M:M,MATCH(Controle!H1012,produtos_escape2!A:A,0)),"")</f>
        <v>SIMETICONA EMULSAO OU SOLUÇAO OU SUSPENSAO ORAL GOTAS 75 MG/ML FRASCO 10 A 15 ML</v>
      </c>
    </row>
    <row r="1013" spans="1:32" ht="14.25" customHeight="1">
      <c r="A1013" s="176" t="s">
        <v>8976</v>
      </c>
      <c r="B1013" s="176" t="s">
        <v>3608</v>
      </c>
      <c r="C1013" s="177">
        <v>44064</v>
      </c>
      <c r="D1013" s="176" t="s">
        <v>9814</v>
      </c>
      <c r="E1013" s="176" t="s">
        <v>8773</v>
      </c>
      <c r="F1013" s="259" t="s">
        <v>9815</v>
      </c>
      <c r="G1013" s="176">
        <v>1</v>
      </c>
      <c r="H1013" s="178">
        <v>90032</v>
      </c>
      <c r="I1013" s="592">
        <f t="shared" si="34"/>
        <v>11</v>
      </c>
      <c r="J1013" s="178" t="s">
        <v>816</v>
      </c>
      <c r="K1013" s="178" t="s">
        <v>816</v>
      </c>
      <c r="L1013" s="275" t="str">
        <f>IF(H:H=0,"",IF(ISERROR(VLOOKUP(H:H,produtos_escape2!$A$2:$B$2794,2,FALSE)),"Código não cadastrado",(VLOOKUP(H:H,produtos_escape2!$A$2:$B$2794,2,FALSE))))</f>
        <v>CISATRACURIO (BESILATO) SOLUCAO INJETAVEL 2 MG/ML AMPOLA 5 ML</v>
      </c>
      <c r="M1013" s="593" t="str">
        <f>IF(H:H=0,"",IF(ISERROR(VLOOKUP(H:H,produtos_escape2!$A$2:$D$2794,2,FALSE)),"Código não cadastrado",(VLOOKUP(H:H,produtos_escape2!$A$2:$D$2794,4,FALSE))))</f>
        <v>AMP</v>
      </c>
      <c r="N1013" s="486">
        <v>600</v>
      </c>
      <c r="O1013" s="176" t="s">
        <v>4401</v>
      </c>
      <c r="P1013" s="486">
        <v>600</v>
      </c>
      <c r="Q1013" s="247">
        <v>24.1</v>
      </c>
      <c r="R1013" s="246">
        <f t="shared" si="36"/>
        <v>14460</v>
      </c>
      <c r="S1013" s="177">
        <v>44102</v>
      </c>
      <c r="T1013" s="182">
        <v>2754412</v>
      </c>
      <c r="U1013" s="177">
        <v>44105</v>
      </c>
      <c r="V1013" s="177">
        <v>44110</v>
      </c>
      <c r="W1013" s="177">
        <v>44113</v>
      </c>
      <c r="X1013" s="176">
        <v>14580</v>
      </c>
      <c r="Y1013" s="177">
        <v>44141</v>
      </c>
      <c r="Z1013" s="415">
        <v>6</v>
      </c>
      <c r="AA1013" s="488"/>
      <c r="AB1013" s="594"/>
      <c r="AC1013" s="595"/>
      <c r="AD1013" s="596" t="str">
        <f>IF(AND(AC1013&lt;&gt;"",S1013&lt;&gt;""),NETWORKDAYS(AC1013,S1013,#REF!),"")</f>
        <v/>
      </c>
      <c r="AE1013" s="596" t="str">
        <f ca="1">IF(AND(AD1013="",AC1013=""),"",IF(OR(AD1013&lt;&gt;"",O1013="*CANCELADO"),"",NETWORKDAYS(AC1013,TODAY(),#REF!)))</f>
        <v/>
      </c>
      <c r="AF1013" s="597" t="str">
        <f>IFERROR(INDEX(produtos_escape2!M:M,MATCH(Controle!H1013,produtos_escape2!A:A,0)),"")</f>
        <v>CISATRACURIO (BESILATO) SOLUCAO INJETAVEL 2 MG/ML AMPOLA 5 ML</v>
      </c>
    </row>
    <row r="1014" spans="1:32" ht="14.25" customHeight="1">
      <c r="A1014" s="176" t="s">
        <v>8978</v>
      </c>
      <c r="B1014" s="176" t="s">
        <v>3608</v>
      </c>
      <c r="C1014" s="177">
        <v>44064</v>
      </c>
      <c r="D1014" s="176" t="s">
        <v>9816</v>
      </c>
      <c r="E1014" s="176" t="s">
        <v>3009</v>
      </c>
      <c r="F1014" s="259" t="s">
        <v>9817</v>
      </c>
      <c r="G1014" s="176">
        <v>1</v>
      </c>
      <c r="H1014" s="178">
        <v>90458</v>
      </c>
      <c r="I1014" s="592">
        <f t="shared" si="34"/>
        <v>7</v>
      </c>
      <c r="J1014" s="178" t="s">
        <v>816</v>
      </c>
      <c r="K1014" s="178" t="s">
        <v>816</v>
      </c>
      <c r="L1014" s="275" t="str">
        <f>IF(H:H=0,"",IF(ISERROR(VLOOKUP(H:H,produtos_escape2!$A$2:$B$2794,2,FALSE)),"Código não cadastrado",(VLOOKUP(H:H,produtos_escape2!$A$2:$B$2794,2,FALSE))))</f>
        <v>ROCURÔNIO SOLUÇÃO INJETÁVEL 10 MG/ML FRASCO AMPOLA 5ML</v>
      </c>
      <c r="M1014" s="593" t="str">
        <f>IF(H:H=0,"",IF(ISERROR(VLOOKUP(H:H,produtos_escape2!$A$2:$D$2794,2,FALSE)),"Código não cadastrado",(VLOOKUP(H:H,produtos_escape2!$A$2:$D$2794,4,FALSE))))</f>
        <v>FA</v>
      </c>
      <c r="N1014" s="486">
        <v>300</v>
      </c>
      <c r="O1014" s="176" t="s">
        <v>4401</v>
      </c>
      <c r="P1014" s="486">
        <v>300</v>
      </c>
      <c r="Q1014" s="247">
        <v>20.5</v>
      </c>
      <c r="R1014" s="246">
        <f t="shared" si="36"/>
        <v>6150</v>
      </c>
      <c r="S1014" s="177">
        <v>44069</v>
      </c>
      <c r="T1014" s="182">
        <v>2718235</v>
      </c>
      <c r="U1014" s="177">
        <v>44070</v>
      </c>
      <c r="V1014" s="177">
        <v>44076</v>
      </c>
      <c r="W1014" s="177">
        <v>44077</v>
      </c>
      <c r="X1014" s="176">
        <v>91507</v>
      </c>
      <c r="Y1014" s="177">
        <v>44104</v>
      </c>
      <c r="Z1014" s="415">
        <v>5</v>
      </c>
      <c r="AA1014" s="488"/>
      <c r="AB1014" s="594"/>
      <c r="AC1014" s="595"/>
      <c r="AD1014" s="596" t="str">
        <f>IF(AND(AC1014&lt;&gt;"",S1014&lt;&gt;""),NETWORKDAYS(AC1014,S1014,#REF!),"")</f>
        <v/>
      </c>
      <c r="AE1014" s="596" t="str">
        <f ca="1">IF(AND(AD1014="",AC1014=""),"",IF(OR(AD1014&lt;&gt;"",O1014="*CANCELADO"),"",NETWORKDAYS(AC1014,TODAY(),#REF!)))</f>
        <v/>
      </c>
      <c r="AF1014" s="597" t="str">
        <f>IFERROR(INDEX(produtos_escape2!M:M,MATCH(Controle!H1014,produtos_escape2!A:A,0)),"")</f>
        <v>ROCURÔNIO SOLUÇÃO INJETÁVEL 10 MG/ML FRASCO AMPOLA 5ML</v>
      </c>
    </row>
    <row r="1015" spans="1:32" ht="14.25" customHeight="1">
      <c r="A1015" s="176" t="s">
        <v>8982</v>
      </c>
      <c r="B1015" s="176" t="s">
        <v>3608</v>
      </c>
      <c r="C1015" s="177">
        <v>44068</v>
      </c>
      <c r="D1015" s="176" t="s">
        <v>9821</v>
      </c>
      <c r="E1015" s="176" t="s">
        <v>1865</v>
      </c>
      <c r="F1015" s="259" t="s">
        <v>9822</v>
      </c>
      <c r="G1015" s="176">
        <v>1</v>
      </c>
      <c r="H1015" s="178">
        <v>90354</v>
      </c>
      <c r="I1015" s="592">
        <f t="shared" si="34"/>
        <v>9</v>
      </c>
      <c r="J1015" s="178" t="s">
        <v>816</v>
      </c>
      <c r="K1015" s="178" t="s">
        <v>816</v>
      </c>
      <c r="L1015" s="275" t="str">
        <f>IF(H:H=0,"",IF(ISERROR(VLOOKUP(H:H,produtos_escape2!$A$2:$B$2794,2,FALSE)),"Código não cadastrado",(VLOOKUP(H:H,produtos_escape2!$A$2:$B$2794,2,FALSE))))</f>
        <v>LACTULOSE XAROPE 667 MG/ML FRASCO 120 ML
NÂO pode ser a Lactulife da Naturelife.</v>
      </c>
      <c r="M1015" s="593" t="str">
        <f>IF(H:H=0,"",IF(ISERROR(VLOOKUP(H:H,produtos_escape2!$A$2:$D$2794,2,FALSE)),"Código não cadastrado",(VLOOKUP(H:H,produtos_escape2!$A$2:$D$2794,4,FALSE))))</f>
        <v>FR</v>
      </c>
      <c r="N1015" s="486">
        <v>200</v>
      </c>
      <c r="O1015" s="176" t="s">
        <v>7371</v>
      </c>
      <c r="P1015" s="486">
        <v>70</v>
      </c>
      <c r="Q1015" s="247">
        <v>6.25</v>
      </c>
      <c r="R1015" s="246">
        <f t="shared" si="36"/>
        <v>437.5</v>
      </c>
      <c r="S1015" s="177">
        <v>44097</v>
      </c>
      <c r="T1015" s="182">
        <v>378421</v>
      </c>
      <c r="U1015" s="177">
        <v>44098</v>
      </c>
      <c r="V1015" s="177">
        <v>44099</v>
      </c>
      <c r="W1015" s="177">
        <v>44103</v>
      </c>
      <c r="X1015" s="176">
        <v>14996</v>
      </c>
      <c r="Y1015" s="177">
        <v>44141</v>
      </c>
      <c r="Z1015" s="415">
        <v>6</v>
      </c>
      <c r="AA1015" s="488"/>
      <c r="AB1015" s="594"/>
      <c r="AC1015" s="595"/>
      <c r="AD1015" s="596" t="str">
        <f>IF(AND(AC1015&lt;&gt;"",S1015&lt;&gt;""),NETWORKDAYS(AC1015,S1015,#REF!),"")</f>
        <v/>
      </c>
      <c r="AE1015" s="596" t="str">
        <f ca="1">IF(AND(AD1015="",AC1015=""),"",IF(OR(AD1015&lt;&gt;"",O1015="*CANCELADO"),"",NETWORKDAYS(AC1015,TODAY(),#REF!)))</f>
        <v/>
      </c>
      <c r="AF1015" s="597" t="str">
        <f>IFERROR(INDEX(produtos_escape2!M:M,MATCH(Controle!H1015,produtos_escape2!A:A,0)),"")</f>
        <v>LACTULOSE XAROPE 667 MG/ML FRASCO 120 ML</v>
      </c>
    </row>
    <row r="1016" spans="1:32" ht="14.25" customHeight="1">
      <c r="A1016" s="176" t="s">
        <v>8980</v>
      </c>
      <c r="B1016" s="176" t="s">
        <v>3608</v>
      </c>
      <c r="C1016" s="177">
        <v>44068</v>
      </c>
      <c r="D1016" s="176" t="s">
        <v>9823</v>
      </c>
      <c r="E1016" s="176" t="s">
        <v>1866</v>
      </c>
      <c r="F1016" s="259" t="s">
        <v>9824</v>
      </c>
      <c r="G1016" s="176">
        <v>1</v>
      </c>
      <c r="H1016" s="178">
        <v>90126</v>
      </c>
      <c r="I1016" s="592">
        <f t="shared" si="34"/>
        <v>4</v>
      </c>
      <c r="J1016" s="178" t="s">
        <v>816</v>
      </c>
      <c r="K1016" s="178" t="s">
        <v>816</v>
      </c>
      <c r="L1016" s="275" t="str">
        <f>IF(H:H=0,"",IF(ISERROR(VLOOKUP(H:H,produtos_escape2!$A$2:$B$2794,2,FALSE)),"Código não cadastrado",(VLOOKUP(H:H,produtos_escape2!$A$2:$B$2794,2,FALSE))))</f>
        <v>HALOPERIDOL SOLUCAO INJETAVEL 5 MG/ML AMPOLA 1 ML</v>
      </c>
      <c r="M1016" s="593" t="str">
        <f>IF(H:H=0,"",IF(ISERROR(VLOOKUP(H:H,produtos_escape2!$A$2:$D$2794,2,FALSE)),"Código não cadastrado",(VLOOKUP(H:H,produtos_escape2!$A$2:$D$2794,4,FALSE))))</f>
        <v>AMP</v>
      </c>
      <c r="N1016" s="486">
        <v>150</v>
      </c>
      <c r="O1016" s="176" t="s">
        <v>7825</v>
      </c>
      <c r="P1016" s="486">
        <v>150</v>
      </c>
      <c r="Q1016" s="247">
        <v>1.7142999999999999</v>
      </c>
      <c r="R1016" s="246">
        <f t="shared" si="36"/>
        <v>257.14499999999998</v>
      </c>
      <c r="S1016" s="177">
        <v>44097</v>
      </c>
      <c r="T1016" s="182">
        <v>569906</v>
      </c>
      <c r="U1016" s="177">
        <v>44098</v>
      </c>
      <c r="V1016" s="177">
        <v>44118</v>
      </c>
      <c r="W1016" s="177">
        <v>44125</v>
      </c>
      <c r="X1016" s="176">
        <v>14800</v>
      </c>
      <c r="Y1016" s="177">
        <v>44141</v>
      </c>
      <c r="Z1016" s="415">
        <v>6</v>
      </c>
      <c r="AA1016" s="488"/>
      <c r="AB1016" s="594"/>
      <c r="AC1016" s="595"/>
      <c r="AD1016" s="596" t="str">
        <f>IF(AND(AC1016&lt;&gt;"",S1016&lt;&gt;""),NETWORKDAYS(AC1016,S1016,#REF!),"")</f>
        <v/>
      </c>
      <c r="AE1016" s="596" t="str">
        <f ca="1">IF(AND(AD1016="",AC1016=""),"",IF(OR(AD1016&lt;&gt;"",O1016="*CANCELADO"),"",NETWORKDAYS(AC1016,TODAY(),#REF!)))</f>
        <v/>
      </c>
      <c r="AF1016" s="597" t="str">
        <f>IFERROR(INDEX(produtos_escape2!M:M,MATCH(Controle!H1016,produtos_escape2!A:A,0)),"")</f>
        <v>HALOPERIDOL SOLUCAO INJETAVEL 5 MG/ML AMPOLA 1 ML</v>
      </c>
    </row>
    <row r="1017" spans="1:32" ht="14.25" customHeight="1">
      <c r="A1017" s="176" t="s">
        <v>8984</v>
      </c>
      <c r="B1017" s="176" t="s">
        <v>3608</v>
      </c>
      <c r="C1017" s="177">
        <v>44068</v>
      </c>
      <c r="D1017" s="176" t="s">
        <v>9825</v>
      </c>
      <c r="E1017" s="176" t="s">
        <v>1867</v>
      </c>
      <c r="F1017" s="259" t="s">
        <v>9826</v>
      </c>
      <c r="G1017" s="176">
        <v>1</v>
      </c>
      <c r="H1017" s="178">
        <v>90257</v>
      </c>
      <c r="I1017" s="592">
        <f t="shared" si="34"/>
        <v>2</v>
      </c>
      <c r="J1017" s="178" t="s">
        <v>816</v>
      </c>
      <c r="K1017" s="178" t="s">
        <v>816</v>
      </c>
      <c r="L1017" s="275" t="str">
        <f>IF(H:H=0,"",IF(ISERROR(VLOOKUP(H:H,produtos_escape2!$A$2:$B$2794,2,FALSE)),"Código não cadastrado",(VLOOKUP(H:H,produtos_escape2!$A$2:$B$2794,2,FALSE))))</f>
        <v>PANTOPRAZOL PO LIOFILIZADO PARA INJETAVEL 40 MG FRASCO-AMPOLA + DILUENTE AMPOLA 10 ML</v>
      </c>
      <c r="M1017" s="593" t="str">
        <f>IF(H:H=0,"",IF(ISERROR(VLOOKUP(H:H,produtos_escape2!$A$2:$D$2794,2,FALSE)),"Código não cadastrado",(VLOOKUP(H:H,produtos_escape2!$A$2:$D$2794,4,FALSE))))</f>
        <v>FA</v>
      </c>
      <c r="N1017" s="486">
        <v>1500</v>
      </c>
      <c r="O1017" s="176" t="s">
        <v>1868</v>
      </c>
      <c r="P1017" s="486"/>
      <c r="Q1017" s="247"/>
      <c r="R1017" s="246">
        <f t="shared" si="36"/>
        <v>0</v>
      </c>
      <c r="S1017" s="177">
        <v>44097</v>
      </c>
      <c r="T1017" s="182"/>
      <c r="U1017" s="177"/>
      <c r="V1017" s="177"/>
      <c r="W1017" s="177"/>
      <c r="X1017" s="176"/>
      <c r="Y1017" s="177"/>
      <c r="Z1017" s="415">
        <v>5</v>
      </c>
      <c r="AA1017" s="488" t="s">
        <v>9976</v>
      </c>
      <c r="AB1017" s="594"/>
      <c r="AC1017" s="595"/>
      <c r="AD1017" s="596" t="str">
        <f>IF(AND(AC1017&lt;&gt;"",S1017&lt;&gt;""),NETWORKDAYS(AC1017,S1017,#REF!),"")</f>
        <v/>
      </c>
      <c r="AE1017" s="596" t="str">
        <f ca="1">IF(AND(AD1017="",AC1017=""),"",IF(OR(AD1017&lt;&gt;"",O1017="*CANCELADO"),"",NETWORKDAYS(AC1017,TODAY(),#REF!)))</f>
        <v/>
      </c>
      <c r="AF1017" s="597" t="str">
        <f>IFERROR(INDEX(produtos_escape2!M:M,MATCH(Controle!H1017,produtos_escape2!A:A,0)),"")</f>
        <v>PANTOPRAZOL PO LIOFILIZADO PARA INJETAVEL 40 MG FRASCO-AMPOLA + DILUENTE AMPOLA 10 ML</v>
      </c>
    </row>
    <row r="1018" spans="1:32" ht="14.25" customHeight="1">
      <c r="A1018" s="176" t="s">
        <v>9001</v>
      </c>
      <c r="B1018" s="176" t="s">
        <v>3608</v>
      </c>
      <c r="C1018" s="177">
        <v>44070</v>
      </c>
      <c r="D1018" s="176" t="s">
        <v>9827</v>
      </c>
      <c r="E1018" s="176" t="s">
        <v>3009</v>
      </c>
      <c r="F1018" s="259" t="s">
        <v>9828</v>
      </c>
      <c r="G1018" s="176">
        <v>1</v>
      </c>
      <c r="H1018" s="178">
        <v>23027</v>
      </c>
      <c r="I1018" s="592">
        <f t="shared" si="34"/>
        <v>5</v>
      </c>
      <c r="J1018" s="178" t="s">
        <v>816</v>
      </c>
      <c r="K1018" s="178" t="s">
        <v>816</v>
      </c>
      <c r="L1018" s="275"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1018" s="593" t="str">
        <f>IF(H:H=0,"",IF(ISERROR(VLOOKUP(H:H,produtos_escape2!$A$2:$D$2794,2,FALSE)),"Código não cadastrado",(VLOOKUP(H:H,produtos_escape2!$A$2:$D$2794,4,FALSE))))</f>
        <v>UN</v>
      </c>
      <c r="N1018" s="486">
        <v>53</v>
      </c>
      <c r="O1018" s="176" t="s">
        <v>1868</v>
      </c>
      <c r="P1018" s="486"/>
      <c r="Q1018" s="247"/>
      <c r="R1018" s="246">
        <f t="shared" si="36"/>
        <v>0</v>
      </c>
      <c r="S1018" s="177"/>
      <c r="T1018" s="182"/>
      <c r="U1018" s="177"/>
      <c r="V1018" s="177"/>
      <c r="W1018" s="177"/>
      <c r="X1018" s="176"/>
      <c r="Y1018" s="177"/>
      <c r="Z1018" s="415">
        <v>5</v>
      </c>
      <c r="AA1018" s="488" t="s">
        <v>9979</v>
      </c>
      <c r="AB1018" s="594"/>
      <c r="AC1018" s="595"/>
      <c r="AD1018" s="596" t="str">
        <f>IF(AND(AC1018&lt;&gt;"",S1018&lt;&gt;""),NETWORKDAYS(AC1018,S1018,#REF!),"")</f>
        <v/>
      </c>
      <c r="AE1018" s="596" t="str">
        <f ca="1">IF(AND(AD1018="",AC1018=""),"",IF(OR(AD1018&lt;&gt;"",O1018="*CANCELADO"),"",NETWORKDAYS(AC1018,TODAY(),#REF!)))</f>
        <v/>
      </c>
      <c r="AF1018" s="597" t="str">
        <f>IFERROR(INDEX(produtos_escape2!M:M,MATCH(Controle!H1018,produtos_escape2!A:A,0)),"")</f>
        <v>TUBO DE REPOSIÇÃO PARA GASTROSTOMIA</v>
      </c>
    </row>
    <row r="1019" spans="1:32" ht="14.25" customHeight="1">
      <c r="A1019" s="176" t="s">
        <v>9005</v>
      </c>
      <c r="B1019" s="176" t="s">
        <v>3608</v>
      </c>
      <c r="C1019" s="177">
        <v>44070</v>
      </c>
      <c r="D1019" s="176" t="s">
        <v>9830</v>
      </c>
      <c r="E1019" s="176" t="s">
        <v>1866</v>
      </c>
      <c r="F1019" s="259" t="s">
        <v>9831</v>
      </c>
      <c r="G1019" s="176">
        <v>1</v>
      </c>
      <c r="H1019" s="178">
        <v>90270</v>
      </c>
      <c r="I1019" s="592">
        <f t="shared" si="34"/>
        <v>2</v>
      </c>
      <c r="J1019" s="178" t="s">
        <v>816</v>
      </c>
      <c r="K1019" s="178" t="s">
        <v>816</v>
      </c>
      <c r="L1019" s="275" t="str">
        <f>IF(H:H=0,"",IF(ISERROR(VLOOKUP(H:H,produtos_escape2!$A$2:$B$2794,2,FALSE)),"Código não cadastrado",(VLOOKUP(H:H,produtos_escape2!$A$2:$B$2794,2,FALSE))))</f>
        <v>PROPOFOL EMULSAO INJETAVEL 10 MG/ML SERINGA PREENCHIDA 50 ML</v>
      </c>
      <c r="M1019" s="593" t="str">
        <f>IF(H:H=0,"",IF(ISERROR(VLOOKUP(H:H,produtos_escape2!$A$2:$D$2794,2,FALSE)),"Código não cadastrado",(VLOOKUP(H:H,produtos_escape2!$A$2:$D$2794,4,FALSE))))</f>
        <v>UN</v>
      </c>
      <c r="N1019" s="486">
        <v>200</v>
      </c>
      <c r="O1019" s="176" t="s">
        <v>7268</v>
      </c>
      <c r="P1019" s="486">
        <v>200</v>
      </c>
      <c r="Q1019" s="247">
        <v>114</v>
      </c>
      <c r="R1019" s="246">
        <f t="shared" si="36"/>
        <v>22800</v>
      </c>
      <c r="S1019" s="177">
        <v>44097</v>
      </c>
      <c r="T1019" s="182">
        <v>15411</v>
      </c>
      <c r="U1019" s="177">
        <v>44099</v>
      </c>
      <c r="V1019" s="177">
        <v>44100</v>
      </c>
      <c r="W1019" s="177">
        <v>44103</v>
      </c>
      <c r="X1019" s="176">
        <v>18616</v>
      </c>
      <c r="Y1019" s="177">
        <v>44147</v>
      </c>
      <c r="Z1019" s="415">
        <v>6</v>
      </c>
      <c r="AA1019" s="488"/>
      <c r="AB1019" s="594"/>
      <c r="AC1019" s="595"/>
      <c r="AD1019" s="596" t="str">
        <f>IF(AND(AC1019&lt;&gt;"",S1019&lt;&gt;""),NETWORKDAYS(AC1019,S1019,#REF!),"")</f>
        <v/>
      </c>
      <c r="AE1019" s="596" t="str">
        <f ca="1">IF(AND(AD1019="",AC1019=""),"",IF(OR(AD1019&lt;&gt;"",O1019="*CANCELADO"),"",NETWORKDAYS(AC1019,TODAY(),#REF!)))</f>
        <v/>
      </c>
      <c r="AF1019" s="597" t="str">
        <f>IFERROR(INDEX(produtos_escape2!M:M,MATCH(Controle!H1019,produtos_escape2!A:A,0)),"")</f>
        <v>PROPOFOL EMULSAO INJETAVEL 10 MG/ML SERINGA PREENCHIDA 50 ML</v>
      </c>
    </row>
    <row r="1020" spans="1:32" ht="14.25" customHeight="1">
      <c r="A1020" s="176" t="s">
        <v>9012</v>
      </c>
      <c r="B1020" s="176" t="s">
        <v>3608</v>
      </c>
      <c r="C1020" s="177">
        <v>44070</v>
      </c>
      <c r="D1020" s="176" t="s">
        <v>9832</v>
      </c>
      <c r="E1020" s="176" t="s">
        <v>1867</v>
      </c>
      <c r="F1020" s="259" t="s">
        <v>9833</v>
      </c>
      <c r="G1020" s="176">
        <v>1</v>
      </c>
      <c r="H1020" s="178">
        <v>90039</v>
      </c>
      <c r="I1020" s="592">
        <f t="shared" si="34"/>
        <v>5</v>
      </c>
      <c r="J1020" s="178" t="s">
        <v>816</v>
      </c>
      <c r="K1020" s="178" t="s">
        <v>816</v>
      </c>
      <c r="L1020" s="275" t="str">
        <f>IF(H:H=0,"",IF(ISERROR(VLOOKUP(H:H,produtos_escape2!$A$2:$B$2794,2,FALSE)),"Código não cadastrado",(VLOOKUP(H:H,produtos_escape2!$A$2:$B$2794,2,FALSE))))</f>
        <v>MIDAZOLAM SOLUCAO INJETAVEL 5 MG/ML AMPOLA 10 ML</v>
      </c>
      <c r="M1020" s="593" t="str">
        <f>IF(H:H=0,"",IF(ISERROR(VLOOKUP(H:H,produtos_escape2!$A$2:$D$2794,2,FALSE)),"Código não cadastrado",(VLOOKUP(H:H,produtos_escape2!$A$2:$D$2794,4,FALSE))))</f>
        <v>AMP</v>
      </c>
      <c r="N1020" s="486">
        <v>600</v>
      </c>
      <c r="O1020" s="176" t="s">
        <v>4401</v>
      </c>
      <c r="P1020" s="486">
        <v>520</v>
      </c>
      <c r="Q1020" s="247">
        <v>7</v>
      </c>
      <c r="R1020" s="246">
        <f t="shared" si="36"/>
        <v>3640</v>
      </c>
      <c r="S1020" s="177">
        <v>44097</v>
      </c>
      <c r="T1020" s="182">
        <v>2753189</v>
      </c>
      <c r="U1020" s="177">
        <v>44104</v>
      </c>
      <c r="V1020" s="177">
        <v>44109</v>
      </c>
      <c r="W1020" s="177">
        <v>44112</v>
      </c>
      <c r="X1020" s="176">
        <v>18047</v>
      </c>
      <c r="Y1020" s="177">
        <v>44146</v>
      </c>
      <c r="Z1020" s="415">
        <v>6</v>
      </c>
      <c r="AA1020" s="488"/>
      <c r="AB1020" s="594"/>
      <c r="AC1020" s="595"/>
      <c r="AD1020" s="596" t="str">
        <f>IF(AND(AC1020&lt;&gt;"",S1020&lt;&gt;""),NETWORKDAYS(AC1020,S1020,#REF!),"")</f>
        <v/>
      </c>
      <c r="AE1020" s="596" t="str">
        <f ca="1">IF(AND(AD1020="",AC1020=""),"",IF(OR(AD1020&lt;&gt;"",O1020="*CANCELADO"),"",NETWORKDAYS(AC1020,TODAY(),#REF!)))</f>
        <v/>
      </c>
      <c r="AF1020" s="597" t="str">
        <f>IFERROR(INDEX(produtos_escape2!M:M,MATCH(Controle!H1020,produtos_escape2!A:A,0)),"")</f>
        <v>MIDAZOLAM SOLUCAO INJETAVEL 5 MG/ML AMPOLA 10 ML</v>
      </c>
    </row>
    <row r="1021" spans="1:32" ht="14.25" customHeight="1">
      <c r="A1021" s="176" t="s">
        <v>8986</v>
      </c>
      <c r="B1021" s="176" t="s">
        <v>3608</v>
      </c>
      <c r="C1021" s="177">
        <v>44070</v>
      </c>
      <c r="D1021" s="176" t="s">
        <v>9834</v>
      </c>
      <c r="E1021" s="176" t="s">
        <v>8773</v>
      </c>
      <c r="F1021" s="259" t="s">
        <v>9835</v>
      </c>
      <c r="G1021" s="176">
        <v>1</v>
      </c>
      <c r="H1021" s="178">
        <v>95131</v>
      </c>
      <c r="I1021" s="592">
        <f t="shared" si="34"/>
        <v>5</v>
      </c>
      <c r="J1021" s="178" t="s">
        <v>816</v>
      </c>
      <c r="K1021" s="178" t="s">
        <v>816</v>
      </c>
      <c r="L1021" s="275"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1021" s="593" t="str">
        <f>IF(H:H=0,"",IF(ISERROR(VLOOKUP(H:H,produtos_escape2!$A$2:$D$2794,2,FALSE)),"Código não cadastrado",(VLOOKUP(H:H,produtos_escape2!$A$2:$D$2794,4,FALSE))))</f>
        <v>KG</v>
      </c>
      <c r="N1021" s="486">
        <v>20</v>
      </c>
      <c r="O1021" s="176" t="s">
        <v>4357</v>
      </c>
      <c r="P1021" s="486">
        <v>18</v>
      </c>
      <c r="Q1021" s="247">
        <v>26.65</v>
      </c>
      <c r="R1021" s="246">
        <f t="shared" si="36"/>
        <v>479.7</v>
      </c>
      <c r="S1021" s="177">
        <v>44102</v>
      </c>
      <c r="T1021" s="182">
        <v>1929</v>
      </c>
      <c r="U1021" s="177">
        <v>44103</v>
      </c>
      <c r="V1021" s="177">
        <v>44106</v>
      </c>
      <c r="W1021" s="177">
        <v>44111</v>
      </c>
      <c r="X1021" s="176">
        <v>16576</v>
      </c>
      <c r="Y1021" s="177">
        <v>44145</v>
      </c>
      <c r="Z1021" s="415">
        <v>6</v>
      </c>
      <c r="AA1021" s="488"/>
      <c r="AB1021" s="594"/>
      <c r="AC1021" s="595"/>
      <c r="AD1021" s="596" t="str">
        <f>IF(AND(AC1021&lt;&gt;"",S1021&lt;&gt;""),NETWORKDAYS(AC1021,S1021,#REF!),"")</f>
        <v/>
      </c>
      <c r="AE1021" s="596" t="str">
        <f ca="1">IF(AND(AD1021="",AC1021=""),"",IF(OR(AD1021&lt;&gt;"",O1021="*CANCELADO"),"",NETWORKDAYS(AC1021,TODAY(),#REF!)))</f>
        <v/>
      </c>
      <c r="AF1021" s="597" t="str">
        <f>IFERROR(INDEX(produtos_escape2!M:M,MATCH(Controle!H1021,produtos_escape2!A:A,0)),"")</f>
        <v>CAL SODADA</v>
      </c>
    </row>
    <row r="1022" spans="1:32" ht="14.25" customHeight="1">
      <c r="A1022" s="176" t="s">
        <v>8996</v>
      </c>
      <c r="B1022" s="176" t="s">
        <v>3608</v>
      </c>
      <c r="C1022" s="177">
        <v>44070</v>
      </c>
      <c r="D1022" s="176" t="s">
        <v>9836</v>
      </c>
      <c r="E1022" s="176" t="s">
        <v>3009</v>
      </c>
      <c r="F1022" s="259" t="s">
        <v>9837</v>
      </c>
      <c r="G1022" s="176">
        <v>1</v>
      </c>
      <c r="H1022" s="178">
        <v>92446</v>
      </c>
      <c r="I1022" s="592">
        <f t="shared" si="34"/>
        <v>1</v>
      </c>
      <c r="J1022" s="178" t="s">
        <v>816</v>
      </c>
      <c r="K1022" s="178" t="s">
        <v>816</v>
      </c>
      <c r="L1022" s="275" t="str">
        <f>IF(H:H=0,"",IF(ISERROR(VLOOKUP(H:H,produtos_escape2!$A$2:$B$2794,2,FALSE)),"Código não cadastrado",(VLOOKUP(H:H,produtos_escape2!$A$2:$B$2794,2,FALSE))))</f>
        <v>SONDA DE FOLEY 2 VIAS LÁTEX Nº 16. Aplicação: drenagem e controle da diurese. Material: látex. Características Adicionais: 2 vias, estéril, uso único, descartável, siliconizado, atóxico medindo no mínimo 40cm, apresentando flexibilidade adequada e maleabilidade adequada ao fim a que se destina, que não cause irritação ao paciente, apresentando espessura uniforme, isento de manchas ou quaisquer defeitos: com válvula do balão fixa que permita perfeita adaptação em seringas, com balão com capacidade de 05 a 15 ml e boa distensibilidade; com ponta arredondada e fechada, apresentando 2 orifícios ovais próximos a ponta, situados em lados opostos, delimitados e proporcionais ao diâmetro do calibre, isentos de rebarbas e ou saliências que possam traumatizar o paciente; com dupla embalagem, sendo a externa em papel grau cirúrgico e a interna em polietileno picotado nas extermidades, favorecendo a abertura em técnica asséptica e garantindo a esterilidade do produto. Apresentação: embalagem individual, acondicionada em caixa com 10 unidades. Unidade de Estoque: unidade (UN).</v>
      </c>
      <c r="M1022" s="593" t="str">
        <f>IF(H:H=0,"",IF(ISERROR(VLOOKUP(H:H,produtos_escape2!$A$2:$D$2794,2,FALSE)),"Código não cadastrado",(VLOOKUP(H:H,produtos_escape2!$A$2:$D$2794,4,FALSE))))</f>
        <v>UN</v>
      </c>
      <c r="N1022" s="486">
        <v>200</v>
      </c>
      <c r="O1022" s="176" t="s">
        <v>1868</v>
      </c>
      <c r="P1022" s="486"/>
      <c r="Q1022" s="247"/>
      <c r="R1022" s="246">
        <f t="shared" si="36"/>
        <v>0</v>
      </c>
      <c r="S1022" s="177"/>
      <c r="T1022" s="182"/>
      <c r="U1022" s="177"/>
      <c r="V1022" s="177"/>
      <c r="W1022" s="177"/>
      <c r="X1022" s="176"/>
      <c r="Y1022" s="177"/>
      <c r="Z1022" s="415">
        <v>5</v>
      </c>
      <c r="AA1022" s="488" t="s">
        <v>9979</v>
      </c>
      <c r="AB1022" s="594"/>
      <c r="AC1022" s="595"/>
      <c r="AD1022" s="596" t="str">
        <f>IF(AND(AC1022&lt;&gt;"",S1022&lt;&gt;""),NETWORKDAYS(AC1022,S1022,#REF!),"")</f>
        <v/>
      </c>
      <c r="AE1022" s="596" t="str">
        <f ca="1">IF(AND(AD1022="",AC1022=""),"",IF(OR(AD1022&lt;&gt;"",O1022="*CANCELADO"),"",NETWORKDAYS(AC1022,TODAY(),#REF!)))</f>
        <v/>
      </c>
      <c r="AF1022" s="597" t="str">
        <f>IFERROR(INDEX(produtos_escape2!M:M,MATCH(Controle!H1022,produtos_escape2!A:A,0)),"")</f>
        <v>SONDA DE FOLEY 2 VIAS LÁTEX Nº 16</v>
      </c>
    </row>
    <row r="1023" spans="1:32" ht="14.25" customHeight="1">
      <c r="A1023" s="176" t="s">
        <v>9007</v>
      </c>
      <c r="B1023" s="176" t="s">
        <v>3608</v>
      </c>
      <c r="C1023" s="177">
        <v>44070</v>
      </c>
      <c r="D1023" s="176" t="s">
        <v>9840</v>
      </c>
      <c r="E1023" s="176" t="s">
        <v>1865</v>
      </c>
      <c r="F1023" s="259" t="s">
        <v>9841</v>
      </c>
      <c r="G1023" s="176">
        <v>1</v>
      </c>
      <c r="H1023" s="178">
        <v>90111</v>
      </c>
      <c r="I1023" s="592">
        <f t="shared" si="34"/>
        <v>8</v>
      </c>
      <c r="J1023" s="178" t="s">
        <v>816</v>
      </c>
      <c r="K1023" s="178" t="s">
        <v>816</v>
      </c>
      <c r="L1023" s="275" t="str">
        <f>IF(H:H=0,"",IF(ISERROR(VLOOKUP(H:H,produtos_escape2!$A$2:$B$2794,2,FALSE)),"Código não cadastrado",(VLOOKUP(H:H,produtos_escape2!$A$2:$B$2794,2,FALSE))))</f>
        <v xml:space="preserve">MIDAZOLAM SOLUÇAO INJETAVEL 15 MG AMPOLA 3 ML </v>
      </c>
      <c r="M1023" s="593" t="str">
        <f>IF(H:H=0,"",IF(ISERROR(VLOOKUP(H:H,produtos_escape2!$A$2:$D$2794,2,FALSE)),"Código não cadastrado",(VLOOKUP(H:H,produtos_escape2!$A$2:$D$2794,4,FALSE))))</f>
        <v>AMP</v>
      </c>
      <c r="N1023" s="486">
        <v>800</v>
      </c>
      <c r="O1023" s="176" t="s">
        <v>4401</v>
      </c>
      <c r="P1023" s="486">
        <v>800</v>
      </c>
      <c r="Q1023" s="247">
        <v>3.5</v>
      </c>
      <c r="R1023" s="246">
        <f t="shared" si="36"/>
        <v>2800</v>
      </c>
      <c r="S1023" s="177">
        <v>44097</v>
      </c>
      <c r="T1023" s="182">
        <v>2748766</v>
      </c>
      <c r="U1023" s="177">
        <v>44102</v>
      </c>
      <c r="V1023" s="177">
        <v>44105</v>
      </c>
      <c r="W1023" s="177">
        <v>44106</v>
      </c>
      <c r="X1023" s="176">
        <v>18194</v>
      </c>
      <c r="Y1023" s="177">
        <v>44146</v>
      </c>
      <c r="Z1023" s="415">
        <v>6</v>
      </c>
      <c r="AA1023" s="488"/>
      <c r="AB1023" s="594"/>
      <c r="AC1023" s="595"/>
      <c r="AD1023" s="596" t="str">
        <f>IF(AND(AC1023&lt;&gt;"",S1023&lt;&gt;""),NETWORKDAYS(AC1023,S1023,#REF!),"")</f>
        <v/>
      </c>
      <c r="AE1023" s="596" t="str">
        <f ca="1">IF(AND(AD1023="",AC1023=""),"",IF(OR(AD1023&lt;&gt;"",O1023="*CANCELADO"),"",NETWORKDAYS(AC1023,TODAY(),#REF!)))</f>
        <v/>
      </c>
      <c r="AF1023" s="597" t="str">
        <f>IFERROR(INDEX(produtos_escape2!M:M,MATCH(Controle!H1023,produtos_escape2!A:A,0)),"")</f>
        <v xml:space="preserve">MIDAZOLAM SOLUÇAO INJETAVEL 15 MG AMPOLA 3 ML </v>
      </c>
    </row>
    <row r="1024" spans="1:32" ht="14.25" customHeight="1">
      <c r="A1024" s="176" t="s">
        <v>9003</v>
      </c>
      <c r="B1024" s="176" t="s">
        <v>3608</v>
      </c>
      <c r="C1024" s="177">
        <v>44070</v>
      </c>
      <c r="D1024" s="176" t="s">
        <v>9838</v>
      </c>
      <c r="E1024" s="176" t="s">
        <v>1866</v>
      </c>
      <c r="F1024" s="259" t="s">
        <v>9839</v>
      </c>
      <c r="G1024" s="176">
        <v>1</v>
      </c>
      <c r="H1024" s="178">
        <v>90207</v>
      </c>
      <c r="I1024" s="592">
        <f t="shared" si="34"/>
        <v>7</v>
      </c>
      <c r="J1024" s="178" t="s">
        <v>816</v>
      </c>
      <c r="K1024" s="178" t="s">
        <v>816</v>
      </c>
      <c r="L1024" s="275" t="str">
        <f>IF(H:H=0,"",IF(ISERROR(VLOOKUP(H:H,produtos_escape2!$A$2:$B$2794,2,FALSE)),"Código não cadastrado",(VLOOKUP(H:H,produtos_escape2!$A$2:$B$2794,2,FALSE))))</f>
        <v xml:space="preserve">PROPOFOL EMULSAO INJETAVEL 10 MG/ML AMPOLA 20 ML </v>
      </c>
      <c r="M1024" s="593" t="str">
        <f>IF(H:H=0,"",IF(ISERROR(VLOOKUP(H:H,produtos_escape2!$A$2:$D$2794,2,FALSE)),"Código não cadastrado",(VLOOKUP(H:H,produtos_escape2!$A$2:$D$2794,4,FALSE))))</f>
        <v>AMP</v>
      </c>
      <c r="N1024" s="486">
        <v>400</v>
      </c>
      <c r="O1024" s="176" t="s">
        <v>4401</v>
      </c>
      <c r="P1024" s="486">
        <v>400</v>
      </c>
      <c r="Q1024" s="247">
        <v>14.1</v>
      </c>
      <c r="R1024" s="246">
        <f t="shared" si="36"/>
        <v>5640</v>
      </c>
      <c r="S1024" s="177">
        <v>44097</v>
      </c>
      <c r="T1024" s="182">
        <v>2747390</v>
      </c>
      <c r="U1024" s="177">
        <v>44099</v>
      </c>
      <c r="V1024" s="177">
        <v>44104</v>
      </c>
      <c r="W1024" s="177">
        <v>44105</v>
      </c>
      <c r="X1024" s="176">
        <v>18106</v>
      </c>
      <c r="Y1024" s="177">
        <v>44146</v>
      </c>
      <c r="Z1024" s="415">
        <v>6</v>
      </c>
      <c r="AA1024" s="488"/>
      <c r="AB1024" s="594"/>
      <c r="AC1024" s="595"/>
      <c r="AD1024" s="596" t="str">
        <f>IF(AND(AC1024&lt;&gt;"",S1024&lt;&gt;""),NETWORKDAYS(AC1024,S1024,#REF!),"")</f>
        <v/>
      </c>
      <c r="AE1024" s="596" t="str">
        <f ca="1">IF(AND(AD1024="",AC1024=""),"",IF(OR(AD1024&lt;&gt;"",O1024="*CANCELADO"),"",NETWORKDAYS(AC1024,TODAY(),#REF!)))</f>
        <v/>
      </c>
      <c r="AF1024" s="597" t="str">
        <f>IFERROR(INDEX(produtos_escape2!M:M,MATCH(Controle!H1024,produtos_escape2!A:A,0)),"")</f>
        <v xml:space="preserve">PROPOFOL EMULSAO INJETAVEL 10 MG/ML AMPOLA 20 ML </v>
      </c>
    </row>
    <row r="1025" spans="1:32" ht="14.25" customHeight="1">
      <c r="A1025" s="176" t="s">
        <v>8996</v>
      </c>
      <c r="B1025" s="176" t="s">
        <v>3608</v>
      </c>
      <c r="C1025" s="177">
        <v>44070</v>
      </c>
      <c r="D1025" s="176" t="s">
        <v>9829</v>
      </c>
      <c r="E1025" s="176" t="s">
        <v>8773</v>
      </c>
      <c r="F1025" s="259" t="s">
        <v>9860</v>
      </c>
      <c r="G1025" s="176">
        <v>1</v>
      </c>
      <c r="H1025" s="178">
        <v>95046</v>
      </c>
      <c r="I1025" s="592">
        <f t="shared" si="34"/>
        <v>7</v>
      </c>
      <c r="J1025" s="178" t="s">
        <v>816</v>
      </c>
      <c r="K1025" s="178" t="s">
        <v>816</v>
      </c>
      <c r="L1025" s="275"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1025" s="593" t="str">
        <f>IF(H:H=0,"",IF(ISERROR(VLOOKUP(H:H,produtos_escape2!$A$2:$D$2794,2,FALSE)),"Código não cadastrado",(VLOOKUP(H:H,produtos_escape2!$A$2:$D$2794,4,FALSE))))</f>
        <v>FR</v>
      </c>
      <c r="N1025" s="486">
        <v>120</v>
      </c>
      <c r="O1025" s="176" t="s">
        <v>7268</v>
      </c>
      <c r="P1025" s="486">
        <v>120</v>
      </c>
      <c r="Q1025" s="247">
        <v>4.55</v>
      </c>
      <c r="R1025" s="246">
        <f t="shared" si="36"/>
        <v>546</v>
      </c>
      <c r="S1025" s="177">
        <v>44102</v>
      </c>
      <c r="T1025" s="182">
        <v>15434</v>
      </c>
      <c r="U1025" s="177">
        <v>44102</v>
      </c>
      <c r="V1025" s="177">
        <v>44103</v>
      </c>
      <c r="W1025" s="177">
        <v>44105</v>
      </c>
      <c r="X1025" s="176">
        <v>16510</v>
      </c>
      <c r="Y1025" s="177">
        <v>44145</v>
      </c>
      <c r="Z1025" s="415">
        <v>6</v>
      </c>
      <c r="AA1025" s="488"/>
      <c r="AB1025" s="594"/>
      <c r="AC1025" s="595"/>
      <c r="AD1025" s="596" t="str">
        <f>IF(AND(AC1025&lt;&gt;"",S1025&lt;&gt;""),NETWORKDAYS(AC1025,S1025,#REF!),"")</f>
        <v/>
      </c>
      <c r="AE1025" s="596" t="str">
        <f ca="1">IF(AND(AD1025="",AC1025=""),"",IF(OR(AD1025&lt;&gt;"",O1025="*CANCELADO"),"",NETWORKDAYS(AC1025,TODAY(),#REF!)))</f>
        <v/>
      </c>
      <c r="AF1025" s="597" t="str">
        <f>IFERROR(INDEX(produtos_escape2!M:M,MATCH(Controle!H1025,produtos_escape2!A:A,0)),"")</f>
        <v>ALCOOL ETILICO ABSOLUTO 99</v>
      </c>
    </row>
    <row r="1026" spans="1:32" ht="14.25" customHeight="1">
      <c r="A1026" s="176" t="s">
        <v>9068</v>
      </c>
      <c r="B1026" s="176" t="s">
        <v>3608</v>
      </c>
      <c r="C1026" s="177">
        <v>44077</v>
      </c>
      <c r="D1026" s="176" t="s">
        <v>9862</v>
      </c>
      <c r="E1026" s="176" t="s">
        <v>1867</v>
      </c>
      <c r="F1026" s="259" t="s">
        <v>9861</v>
      </c>
      <c r="G1026" s="176">
        <v>1</v>
      </c>
      <c r="H1026" s="178">
        <v>19648</v>
      </c>
      <c r="I1026" s="592">
        <f t="shared" si="34"/>
        <v>2</v>
      </c>
      <c r="J1026" s="178" t="s">
        <v>816</v>
      </c>
      <c r="K1026" s="178" t="s">
        <v>816</v>
      </c>
      <c r="L1026" s="275" t="str">
        <f>IF(H:H=0,"",IF(ISERROR(VLOOKUP(H:H,produtos_escape2!$A$2:$B$2794,2,FALSE)),"Código não cadastrado",(VLOOKUP(H:H,produtos_escape2!$A$2:$B$2794,2,FALSE))))</f>
        <v>ALCOOL ETILICO HIDRATADO 70% (70°GL) FRASCO 1000ML</v>
      </c>
      <c r="M1026" s="593" t="str">
        <f>IF(H:H=0,"",IF(ISERROR(VLOOKUP(H:H,produtos_escape2!$A$2:$D$2794,2,FALSE)),"Código não cadastrado",(VLOOKUP(H:H,produtos_escape2!$A$2:$D$2794,4,FALSE))))</f>
        <v>FR</v>
      </c>
      <c r="N1026" s="486">
        <v>1200</v>
      </c>
      <c r="O1026" s="176" t="s">
        <v>1868</v>
      </c>
      <c r="P1026" s="486"/>
      <c r="Q1026" s="247"/>
      <c r="R1026" s="246">
        <f t="shared" si="36"/>
        <v>0</v>
      </c>
      <c r="S1026" s="177">
        <v>44097</v>
      </c>
      <c r="T1026" s="182"/>
      <c r="U1026" s="177"/>
      <c r="V1026" s="177"/>
      <c r="W1026" s="177"/>
      <c r="X1026" s="176"/>
      <c r="Y1026" s="177"/>
      <c r="Z1026" s="415">
        <v>5</v>
      </c>
      <c r="AA1026" s="488" t="s">
        <v>9977</v>
      </c>
      <c r="AB1026" s="594"/>
      <c r="AC1026" s="595"/>
      <c r="AD1026" s="596" t="str">
        <f>IF(AND(AC1026&lt;&gt;"",S1026&lt;&gt;""),NETWORKDAYS(AC1026,S1026,#REF!),"")</f>
        <v/>
      </c>
      <c r="AE1026" s="596" t="str">
        <f ca="1">IF(AND(AD1026="",AC1026=""),"",IF(OR(AD1026&lt;&gt;"",O1026="*CANCELADO"),"",NETWORKDAYS(AC1026,TODAY(),#REF!)))</f>
        <v/>
      </c>
      <c r="AF1026" s="597" t="str">
        <f>IFERROR(INDEX(produtos_escape2!M:M,MATCH(Controle!H1026,produtos_escape2!A:A,0)),"")</f>
        <v>ALCOOL ETILICO HIDRATADO 70% (70°GL) FRASCO 1000ML</v>
      </c>
    </row>
    <row r="1027" spans="1:32" ht="14.25" customHeight="1">
      <c r="A1027" s="176" t="s">
        <v>7432</v>
      </c>
      <c r="B1027" s="176" t="s">
        <v>1687</v>
      </c>
      <c r="C1027" s="177">
        <v>44077</v>
      </c>
      <c r="D1027" s="176" t="s">
        <v>9865</v>
      </c>
      <c r="E1027" s="176" t="s">
        <v>3008</v>
      </c>
      <c r="F1027" s="259" t="s">
        <v>9866</v>
      </c>
      <c r="G1027" s="176">
        <v>1</v>
      </c>
      <c r="H1027" s="178" t="s">
        <v>9863</v>
      </c>
      <c r="I1027" s="592">
        <f t="shared" ref="I1027:I1090" si="37">COUNTIF($H$3:$H$3041,H1027)</f>
        <v>1</v>
      </c>
      <c r="J1027" s="178"/>
      <c r="K1027" s="178"/>
      <c r="L1027" s="275" t="str">
        <f>IF(H:H=0,"",IF(ISERROR(VLOOKUP(H:H,produtos_escape2!$A$2:$B$2794,2,FALSE)),"Código não cadastrado",(VLOOKUP(H:H,produtos_escape2!$A$2:$B$2794,2,FALSE))))</f>
        <v>CONSERTO DE DESFIBRILADOR Marca PHILIPS, Modelo Heartstart MRx Nº. Patrimônio 1360711 .</v>
      </c>
      <c r="M1027" s="593" t="str">
        <f>IF(H:H=0,"",IF(ISERROR(VLOOKUP(H:H,produtos_escape2!$A$2:$D$2794,2,FALSE)),"Código não cadastrado",(VLOOKUP(H:H,produtos_escape2!$A$2:$D$2794,4,FALSE))))</f>
        <v>Serviço</v>
      </c>
      <c r="N1027" s="486">
        <v>1</v>
      </c>
      <c r="O1027" s="176" t="s">
        <v>1868</v>
      </c>
      <c r="P1027" s="486"/>
      <c r="Q1027" s="247"/>
      <c r="R1027" s="246">
        <f t="shared" si="36"/>
        <v>0</v>
      </c>
      <c r="S1027" s="177"/>
      <c r="T1027" s="182"/>
      <c r="U1027" s="177"/>
      <c r="V1027" s="177"/>
      <c r="W1027" s="177"/>
      <c r="X1027" s="176"/>
      <c r="Y1027" s="177"/>
      <c r="Z1027" s="415">
        <v>5</v>
      </c>
      <c r="AA1027" s="488" t="s">
        <v>9947</v>
      </c>
      <c r="AB1027" s="594"/>
      <c r="AC1027" s="595"/>
      <c r="AD1027" s="596" t="str">
        <f>IF(AND(AC1027&lt;&gt;"",S1027&lt;&gt;""),NETWORKDAYS(AC1027,S1027,#REF!),"")</f>
        <v/>
      </c>
      <c r="AE1027" s="596" t="str">
        <f ca="1">IF(AND(AD1027="",AC1027=""),"",IF(OR(AD1027&lt;&gt;"",O1027="*CANCELADO"),"",NETWORKDAYS(AC1027,TODAY(),#REF!)))</f>
        <v/>
      </c>
      <c r="AF1027" s="597">
        <f>IFERROR(INDEX(produtos_escape2!M:M,MATCH(Controle!H1027,produtos_escape2!A:A,0)),"")</f>
        <v>0</v>
      </c>
    </row>
    <row r="1028" spans="1:32" ht="14.25" customHeight="1">
      <c r="A1028" s="176" t="s">
        <v>9009</v>
      </c>
      <c r="B1028" s="176" t="s">
        <v>3608</v>
      </c>
      <c r="C1028" s="177">
        <v>44077</v>
      </c>
      <c r="D1028" s="176" t="s">
        <v>9867</v>
      </c>
      <c r="E1028" s="176" t="s">
        <v>3009</v>
      </c>
      <c r="F1028" s="259" t="s">
        <v>9868</v>
      </c>
      <c r="G1028" s="176">
        <v>1</v>
      </c>
      <c r="H1028" s="178">
        <v>10960</v>
      </c>
      <c r="I1028" s="592">
        <f t="shared" si="37"/>
        <v>5</v>
      </c>
      <c r="J1028" s="178" t="s">
        <v>816</v>
      </c>
      <c r="K1028" s="178" t="s">
        <v>816</v>
      </c>
      <c r="L1028" s="275" t="str">
        <f>IF(H:H=0,"",IF(ISERROR(VLOOKUP(H:H,produtos_escape2!$A$2:$B$2794,2,FALSE)),"Código não cadastrado",(VLOOKUP(H:H,produtos_escape2!$A$2:$B$2794,2,FALSE))))</f>
        <v>HIPOCLORITO DE SODIO A 1% FRASCO PLASTICO ESCURO 5000 ML</v>
      </c>
      <c r="M1028" s="593" t="str">
        <f>IF(H:H=0,"",IF(ISERROR(VLOOKUP(H:H,produtos_escape2!$A$2:$D$2794,2,FALSE)),"Código não cadastrado",(VLOOKUP(H:H,produtos_escape2!$A$2:$D$2794,4,FALSE))))</f>
        <v>FR</v>
      </c>
      <c r="N1028" s="486">
        <v>120</v>
      </c>
      <c r="O1028" s="176" t="s">
        <v>1868</v>
      </c>
      <c r="P1028" s="486"/>
      <c r="Q1028" s="247"/>
      <c r="R1028" s="246">
        <f t="shared" si="36"/>
        <v>0</v>
      </c>
      <c r="S1028" s="177"/>
      <c r="T1028" s="182"/>
      <c r="U1028" s="177"/>
      <c r="V1028" s="177"/>
      <c r="W1028" s="177"/>
      <c r="X1028" s="176"/>
      <c r="Y1028" s="177"/>
      <c r="Z1028" s="415">
        <v>5</v>
      </c>
      <c r="AA1028" s="488" t="s">
        <v>9979</v>
      </c>
      <c r="AB1028" s="594"/>
      <c r="AC1028" s="595"/>
      <c r="AD1028" s="596" t="str">
        <f>IF(AND(AC1028&lt;&gt;"",S1028&lt;&gt;""),NETWORKDAYS(AC1028,S1028,#REF!),"")</f>
        <v/>
      </c>
      <c r="AE1028" s="596" t="str">
        <f ca="1">IF(AND(AD1028="",AC1028=""),"",IF(OR(AD1028&lt;&gt;"",O1028="*CANCELADO"),"",NETWORKDAYS(AC1028,TODAY(),#REF!)))</f>
        <v/>
      </c>
      <c r="AF1028" s="597" t="str">
        <f>IFERROR(INDEX(produtos_escape2!M:M,MATCH(Controle!H1028,produtos_escape2!A:A,0)),"")</f>
        <v>HIPOCLORITO DE SODIO A 1% FRASCO PLASTICO ESCURO 5000 ML</v>
      </c>
    </row>
    <row r="1029" spans="1:32" ht="14.25" customHeight="1">
      <c r="A1029" s="176" t="s">
        <v>9045</v>
      </c>
      <c r="B1029" s="176" t="s">
        <v>3608</v>
      </c>
      <c r="C1029" s="177">
        <v>44077</v>
      </c>
      <c r="D1029" s="176" t="s">
        <v>9869</v>
      </c>
      <c r="E1029" s="176" t="s">
        <v>1866</v>
      </c>
      <c r="F1029" s="259" t="s">
        <v>9870</v>
      </c>
      <c r="G1029" s="176">
        <v>1</v>
      </c>
      <c r="H1029" s="178">
        <v>92033</v>
      </c>
      <c r="I1029" s="592">
        <f t="shared" si="37"/>
        <v>3</v>
      </c>
      <c r="J1029" s="178" t="s">
        <v>816</v>
      </c>
      <c r="K1029" s="178" t="s">
        <v>816</v>
      </c>
      <c r="L1029" s="275" t="str">
        <f>IF(H:H=0,"",IF(ISERROR(VLOOKUP(H:H,produtos_escape2!$A$2:$B$2794,2,FALSE)),"Código não cadastrado",(VLOOKUP(H:H,produtos_escape2!$A$2:$B$2794,2,FALSE))))</f>
        <v>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v>
      </c>
      <c r="M1029" s="593" t="str">
        <f>IF(H:H=0,"",IF(ISERROR(VLOOKUP(H:H,produtos_escape2!$A$2:$D$2794,2,FALSE)),"Código não cadastrado",(VLOOKUP(H:H,produtos_escape2!$A$2:$D$2794,4,FALSE))))</f>
        <v>UN</v>
      </c>
      <c r="N1029" s="486">
        <v>100</v>
      </c>
      <c r="O1029" s="176" t="s">
        <v>1868</v>
      </c>
      <c r="P1029" s="486"/>
      <c r="Q1029" s="247"/>
      <c r="R1029" s="246">
        <f t="shared" si="36"/>
        <v>0</v>
      </c>
      <c r="S1029" s="177">
        <v>44117</v>
      </c>
      <c r="T1029" s="182"/>
      <c r="U1029" s="177"/>
      <c r="V1029" s="177"/>
      <c r="W1029" s="177"/>
      <c r="X1029" s="176"/>
      <c r="Y1029" s="177"/>
      <c r="Z1029" s="415">
        <v>5</v>
      </c>
      <c r="AA1029" s="488" t="s">
        <v>9784</v>
      </c>
      <c r="AB1029" s="594"/>
      <c r="AC1029" s="595"/>
      <c r="AD1029" s="596" t="str">
        <f>IF(AND(AC1029&lt;&gt;"",S1029&lt;&gt;""),NETWORKDAYS(AC1029,S1029,#REF!),"")</f>
        <v/>
      </c>
      <c r="AE1029" s="596" t="str">
        <f ca="1">IF(AND(AD1029="",AC1029=""),"",IF(OR(AD1029&lt;&gt;"",O1029="*CANCELADO"),"",NETWORKDAYS(AC1029,TODAY(),#REF!)))</f>
        <v/>
      </c>
      <c r="AF1029" s="597" t="str">
        <f>IFERROR(INDEX(produtos_escape2!M:M,MATCH(Controle!H1029,produtos_escape2!A:A,0)),"")</f>
        <v>TUBO ENDOTRAQUEAL</v>
      </c>
    </row>
    <row r="1030" spans="1:32" ht="14.25" customHeight="1">
      <c r="A1030" s="176" t="s">
        <v>9039</v>
      </c>
      <c r="B1030" s="176" t="s">
        <v>3608</v>
      </c>
      <c r="C1030" s="177">
        <v>44077</v>
      </c>
      <c r="D1030" s="176" t="s">
        <v>9871</v>
      </c>
      <c r="E1030" s="176" t="s">
        <v>1867</v>
      </c>
      <c r="F1030" s="259" t="s">
        <v>9872</v>
      </c>
      <c r="G1030" s="176">
        <v>1</v>
      </c>
      <c r="H1030" s="178">
        <v>90552</v>
      </c>
      <c r="I1030" s="592">
        <f t="shared" si="37"/>
        <v>6</v>
      </c>
      <c r="J1030" s="178" t="s">
        <v>816</v>
      </c>
      <c r="K1030" s="178" t="s">
        <v>816</v>
      </c>
      <c r="L1030" s="275" t="str">
        <f>IF(H:H=0,"",IF(ISERROR(VLOOKUP(H:H,produtos_escape2!$A$2:$B$2794,2,FALSE)),"Código não cadastrado",(VLOOKUP(H:H,produtos_escape2!$A$2:$B$2794,2,FALSE))))</f>
        <v>CLORETO DE POTASSIO SOLUCAO INJETAVEL 10 % (1,34 MEQ/ML) AMPOLA 10 ML</v>
      </c>
      <c r="M1030" s="593" t="str">
        <f>IF(H:H=0,"",IF(ISERROR(VLOOKUP(H:H,produtos_escape2!$A$2:$D$2794,2,FALSE)),"Código não cadastrado",(VLOOKUP(H:H,produtos_escape2!$A$2:$D$2794,4,FALSE))))</f>
        <v>AMP</v>
      </c>
      <c r="N1030" s="486">
        <v>900</v>
      </c>
      <c r="O1030" s="176" t="s">
        <v>7371</v>
      </c>
      <c r="P1030" s="486">
        <v>800</v>
      </c>
      <c r="Q1030" s="247">
        <v>0.25</v>
      </c>
      <c r="R1030" s="246">
        <f t="shared" si="36"/>
        <v>200</v>
      </c>
      <c r="S1030" s="177">
        <v>44097</v>
      </c>
      <c r="T1030" s="182">
        <v>378692</v>
      </c>
      <c r="U1030" s="177">
        <v>44098</v>
      </c>
      <c r="V1030" s="177">
        <v>44099</v>
      </c>
      <c r="W1030" s="177">
        <v>44103</v>
      </c>
      <c r="X1030" s="176">
        <v>14762</v>
      </c>
      <c r="Y1030" s="177">
        <v>44141</v>
      </c>
      <c r="Z1030" s="415">
        <v>6</v>
      </c>
      <c r="AA1030" s="488"/>
      <c r="AB1030" s="594"/>
      <c r="AC1030" s="595"/>
      <c r="AD1030" s="596" t="str">
        <f>IF(AND(AC1030&lt;&gt;"",S1030&lt;&gt;""),NETWORKDAYS(AC1030,S1030,#REF!),"")</f>
        <v/>
      </c>
      <c r="AE1030" s="596" t="str">
        <f ca="1">IF(AND(AD1030="",AC1030=""),"",IF(OR(AD1030&lt;&gt;"",O1030="*CANCELADO"),"",NETWORKDAYS(AC1030,TODAY(),#REF!)))</f>
        <v/>
      </c>
      <c r="AF1030" s="597" t="str">
        <f>IFERROR(INDEX(produtos_escape2!M:M,MATCH(Controle!H1030,produtos_escape2!A:A,0)),"")</f>
        <v xml:space="preserve"> CLORETO DE POTASSIO SOLUCAO INJETAVEL 10 % (1</v>
      </c>
    </row>
    <row r="1031" spans="1:32" ht="14.25" customHeight="1">
      <c r="A1031" s="176" t="s">
        <v>7433</v>
      </c>
      <c r="B1031" s="176" t="s">
        <v>1687</v>
      </c>
      <c r="C1031" s="177">
        <v>44082</v>
      </c>
      <c r="D1031" s="176" t="s">
        <v>9892</v>
      </c>
      <c r="E1031" s="176" t="s">
        <v>8773</v>
      </c>
      <c r="F1031" s="259" t="s">
        <v>9893</v>
      </c>
      <c r="G1031" s="176">
        <v>1</v>
      </c>
      <c r="H1031" s="178">
        <v>9856</v>
      </c>
      <c r="I1031" s="592">
        <f t="shared" si="37"/>
        <v>1</v>
      </c>
      <c r="J1031" s="178" t="s">
        <v>816</v>
      </c>
      <c r="K1031" s="178" t="s">
        <v>816</v>
      </c>
      <c r="L1031" s="275" t="str">
        <f>IF(H:H=0,"",IF(ISERROR(VLOOKUP(H:H,produtos_escape2!$A$2:$B$2794,2,FALSE)),"Código não cadastrado",(VLOOKUP(H:H,produtos_escape2!$A$2:$B$2794,2,FALSE))))</f>
        <v>VALVULA DE SEGURANCA P/EXCESSO DE PRESSAO REF.20091 1 (COMPATÍVEL COM AUTOCLAVE HORIZONTAL DIGITALE)</v>
      </c>
      <c r="M1031" s="593" t="str">
        <f>IF(H:H=0,"",IF(ISERROR(VLOOKUP(H:H,produtos_escape2!$A$2:$D$2794,2,FALSE)),"Código não cadastrado",(VLOOKUP(H:H,produtos_escape2!$A$2:$D$2794,4,FALSE))))</f>
        <v>UN</v>
      </c>
      <c r="N1031" s="486">
        <v>1</v>
      </c>
      <c r="O1031" s="176" t="s">
        <v>9711</v>
      </c>
      <c r="P1031" s="486">
        <v>1</v>
      </c>
      <c r="Q1031" s="247">
        <v>240</v>
      </c>
      <c r="R1031" s="246">
        <f t="shared" si="36"/>
        <v>240</v>
      </c>
      <c r="S1031" s="177">
        <v>44102</v>
      </c>
      <c r="T1031" s="182">
        <v>83</v>
      </c>
      <c r="U1031" s="177">
        <v>44144</v>
      </c>
      <c r="V1031" s="177">
        <v>44145</v>
      </c>
      <c r="W1031" s="177">
        <v>44147</v>
      </c>
      <c r="X1031" s="176">
        <v>31346</v>
      </c>
      <c r="Y1031" s="177">
        <v>44167</v>
      </c>
      <c r="Z1031" s="415">
        <v>6</v>
      </c>
      <c r="AA1031" s="488" t="s">
        <v>9895</v>
      </c>
      <c r="AB1031" s="594"/>
      <c r="AC1031" s="595"/>
      <c r="AD1031" s="596" t="str">
        <f>IF(AND(AC1031&lt;&gt;"",S1031&lt;&gt;""),NETWORKDAYS(AC1031,S1031,#REF!),"")</f>
        <v/>
      </c>
      <c r="AE1031" s="596" t="str">
        <f ca="1">IF(AND(AD1031="",AC1031=""),"",IF(OR(AD1031&lt;&gt;"",O1031="*CANCELADO"),"",NETWORKDAYS(AC1031,TODAY(),#REF!)))</f>
        <v/>
      </c>
      <c r="AF1031" s="597" t="str">
        <f>IFERROR(INDEX(produtos_escape2!M:M,MATCH(Controle!H1031,produtos_escape2!A:A,0)),"")</f>
        <v>VALVULA DE SEGURANÇA</v>
      </c>
    </row>
    <row r="1032" spans="1:32" ht="14.25" customHeight="1">
      <c r="A1032" s="176" t="s">
        <v>9090</v>
      </c>
      <c r="B1032" s="176" t="s">
        <v>3608</v>
      </c>
      <c r="C1032" s="177">
        <v>44082</v>
      </c>
      <c r="D1032" s="176" t="s">
        <v>9897</v>
      </c>
      <c r="E1032" s="176" t="s">
        <v>3009</v>
      </c>
      <c r="F1032" s="259" t="s">
        <v>9898</v>
      </c>
      <c r="G1032" s="176">
        <v>1</v>
      </c>
      <c r="H1032" s="178">
        <v>95758</v>
      </c>
      <c r="I1032" s="592">
        <f t="shared" si="37"/>
        <v>4</v>
      </c>
      <c r="J1032" s="178" t="s">
        <v>816</v>
      </c>
      <c r="K1032" s="178" t="s">
        <v>816</v>
      </c>
      <c r="L1032" s="275"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1032" s="593" t="str">
        <f>IF(H:H=0,"",IF(ISERROR(VLOOKUP(H:H,produtos_escape2!$A$2:$D$2794,2,FALSE)),"Código não cadastrado",(VLOOKUP(H:H,produtos_escape2!$A$2:$D$2794,4,FALSE))))</f>
        <v>TE</v>
      </c>
      <c r="N1032" s="486">
        <v>1428</v>
      </c>
      <c r="O1032" s="176" t="s">
        <v>9278</v>
      </c>
      <c r="P1032" s="486">
        <v>1428</v>
      </c>
      <c r="Q1032" s="247">
        <v>1.59</v>
      </c>
      <c r="R1032" s="246">
        <f t="shared" si="36"/>
        <v>2270.52</v>
      </c>
      <c r="S1032" s="177">
        <v>44097</v>
      </c>
      <c r="T1032" s="182">
        <v>156939</v>
      </c>
      <c r="U1032" s="177">
        <v>44102</v>
      </c>
      <c r="V1032" s="177">
        <v>44104</v>
      </c>
      <c r="W1032" s="177">
        <v>44105</v>
      </c>
      <c r="X1032" s="176">
        <v>14618</v>
      </c>
      <c r="Y1032" s="177">
        <v>44141</v>
      </c>
      <c r="Z1032" s="415">
        <v>6</v>
      </c>
      <c r="AA1032" s="488"/>
      <c r="AB1032" s="594"/>
      <c r="AC1032" s="595"/>
      <c r="AD1032" s="596" t="str">
        <f>IF(AND(AC1032&lt;&gt;"",S1032&lt;&gt;""),NETWORKDAYS(AC1032,S1032,#REF!),"")</f>
        <v/>
      </c>
      <c r="AE1032" s="596" t="str">
        <f ca="1">IF(AND(AD1032="",AC1032=""),"",IF(OR(AD1032&lt;&gt;"",O1032="*CANCELADO"),"",NETWORKDAYS(AC1032,TODAY(),#REF!)))</f>
        <v/>
      </c>
      <c r="AF1032" s="597" t="str">
        <f>IFERROR(INDEX(produtos_escape2!M:M,MATCH(Controle!H1032,produtos_escape2!A:A,0)),"")</f>
        <v>CONJUNTO PARA DETERMINAÇÃO DE GAMA GLUTAMIL TRANSFERASE</v>
      </c>
    </row>
    <row r="1033" spans="1:32" ht="14.25" customHeight="1">
      <c r="A1033" s="176" t="s">
        <v>9090</v>
      </c>
      <c r="B1033" s="176" t="s">
        <v>3608</v>
      </c>
      <c r="C1033" s="177">
        <v>44082</v>
      </c>
      <c r="D1033" s="176" t="s">
        <v>9897</v>
      </c>
      <c r="E1033" s="176" t="s">
        <v>3009</v>
      </c>
      <c r="F1033" s="259" t="s">
        <v>9898</v>
      </c>
      <c r="G1033" s="176">
        <v>2</v>
      </c>
      <c r="H1033" s="178">
        <v>95776</v>
      </c>
      <c r="I1033" s="592">
        <f t="shared" si="37"/>
        <v>3</v>
      </c>
      <c r="J1033" s="178" t="s">
        <v>816</v>
      </c>
      <c r="K1033" s="178" t="s">
        <v>816</v>
      </c>
      <c r="L1033" s="275" t="str">
        <f>IF(H:H=0,"",IF(ISERROR(VLOOKUP(H:H,produtos_escape2!$A$2:$B$2794,2,FALSE)),"Código não cadastrado",(VLOOKUP(H:H,produtos_escape2!$A$2:$B$2794,2,FALSE))))</f>
        <v>CONJUNTO PARA DETERMINAÇAO DE CK. Aplicação:analise bioquimica. Características adicionais: equipamento automatizado. Forma de Apresentação:conjunto (kit).  Prazo de Validade: 75% do prazo de validade do produto</v>
      </c>
      <c r="M1033" s="593" t="str">
        <f>IF(H:H=0,"",IF(ISERROR(VLOOKUP(H:H,produtos_escape2!$A$2:$D$2794,2,FALSE)),"Código não cadastrado",(VLOOKUP(H:H,produtos_escape2!$A$2:$D$2794,4,FALSE))))</f>
        <v>TE</v>
      </c>
      <c r="N1033" s="486">
        <v>1143</v>
      </c>
      <c r="O1033" s="176" t="s">
        <v>9278</v>
      </c>
      <c r="P1033" s="486">
        <v>1143</v>
      </c>
      <c r="Q1033" s="247">
        <v>2.7</v>
      </c>
      <c r="R1033" s="246">
        <f t="shared" si="36"/>
        <v>3086.1000000000004</v>
      </c>
      <c r="S1033" s="177">
        <v>44097</v>
      </c>
      <c r="T1033" s="182">
        <v>156939</v>
      </c>
      <c r="U1033" s="177">
        <v>44102</v>
      </c>
      <c r="V1033" s="177">
        <v>44104</v>
      </c>
      <c r="W1033" s="177">
        <v>44105</v>
      </c>
      <c r="X1033" s="176">
        <v>14618</v>
      </c>
      <c r="Y1033" s="177">
        <v>44141</v>
      </c>
      <c r="Z1033" s="415">
        <v>6</v>
      </c>
      <c r="AA1033" s="488"/>
      <c r="AB1033" s="594"/>
      <c r="AC1033" s="595"/>
      <c r="AD1033" s="596" t="str">
        <f>IF(AND(AC1033&lt;&gt;"",S1033&lt;&gt;""),NETWORKDAYS(AC1033,S1033,#REF!),"")</f>
        <v/>
      </c>
      <c r="AE1033" s="596" t="str">
        <f ca="1">IF(AND(AD1033="",AC1033=""),"",IF(OR(AD1033&lt;&gt;"",O1033="*CANCELADO"),"",NETWORKDAYS(AC1033,TODAY(),#REF!)))</f>
        <v/>
      </c>
      <c r="AF1033" s="597" t="str">
        <f>IFERROR(INDEX(produtos_escape2!M:M,MATCH(Controle!H1033,produtos_escape2!A:A,0)),"")</f>
        <v>CONJUNTO PARA DETERMINAÇAO DE CK</v>
      </c>
    </row>
    <row r="1034" spans="1:32" ht="14.25" customHeight="1">
      <c r="A1034" s="176" t="s">
        <v>9090</v>
      </c>
      <c r="B1034" s="176" t="s">
        <v>3608</v>
      </c>
      <c r="C1034" s="177">
        <v>44082</v>
      </c>
      <c r="D1034" s="176" t="s">
        <v>9897</v>
      </c>
      <c r="E1034" s="176" t="s">
        <v>3009</v>
      </c>
      <c r="F1034" s="259" t="s">
        <v>9898</v>
      </c>
      <c r="G1034" s="176">
        <v>3</v>
      </c>
      <c r="H1034" s="178">
        <v>95773</v>
      </c>
      <c r="I1034" s="592">
        <f t="shared" si="37"/>
        <v>5</v>
      </c>
      <c r="J1034" s="178" t="s">
        <v>816</v>
      </c>
      <c r="K1034" s="178" t="s">
        <v>816</v>
      </c>
      <c r="L1034" s="275" t="str">
        <f>IF(H:H=0,"",IF(ISERROR(VLOOKUP(H:H,produtos_escape2!$A$2:$B$2794,2,FALSE)),"Código não cadastrado",(VLOOKUP(H:H,produtos_escape2!$A$2:$B$2794,2,FALSE))))</f>
        <v>CONJUNTO PARA DETERMINAÇAO DE TGP CINETICO, AUTOMAÇAO</v>
      </c>
      <c r="M1034" s="593" t="str">
        <f>IF(H:H=0,"",IF(ISERROR(VLOOKUP(H:H,produtos_escape2!$A$2:$D$2794,2,FALSE)),"Código não cadastrado",(VLOOKUP(H:H,produtos_escape2!$A$2:$D$2794,4,FALSE))))</f>
        <v>TE</v>
      </c>
      <c r="N1034" s="486">
        <v>4287</v>
      </c>
      <c r="O1034" s="176" t="s">
        <v>9278</v>
      </c>
      <c r="P1034" s="486">
        <v>4287</v>
      </c>
      <c r="Q1034" s="247">
        <v>1.81</v>
      </c>
      <c r="R1034" s="246">
        <f t="shared" si="36"/>
        <v>7759.47</v>
      </c>
      <c r="S1034" s="177">
        <v>44097</v>
      </c>
      <c r="T1034" s="182">
        <v>156939</v>
      </c>
      <c r="U1034" s="177">
        <v>44102</v>
      </c>
      <c r="V1034" s="177">
        <v>44104</v>
      </c>
      <c r="W1034" s="177">
        <v>44105</v>
      </c>
      <c r="X1034" s="176">
        <v>14618</v>
      </c>
      <c r="Y1034" s="177">
        <v>44141</v>
      </c>
      <c r="Z1034" s="415">
        <v>6</v>
      </c>
      <c r="AA1034" s="488"/>
      <c r="AB1034" s="594"/>
      <c r="AC1034" s="595"/>
      <c r="AD1034" s="596" t="str">
        <f>IF(AND(AC1034&lt;&gt;"",S1034&lt;&gt;""),NETWORKDAYS(AC1034,S1034,#REF!),"")</f>
        <v/>
      </c>
      <c r="AE1034" s="596" t="str">
        <f ca="1">IF(AND(AD1034="",AC1034=""),"",IF(OR(AD1034&lt;&gt;"",O1034="*CANCELADO"),"",NETWORKDAYS(AC1034,TODAY(),#REF!)))</f>
        <v/>
      </c>
      <c r="AF1034" s="597" t="str">
        <f>IFERROR(INDEX(produtos_escape2!M:M,MATCH(Controle!H1034,produtos_escape2!A:A,0)),"")</f>
        <v>CONJUNTO PARA DETERMINAÇAO DE TGP CINETICO</v>
      </c>
    </row>
    <row r="1035" spans="1:32" ht="14.25" customHeight="1">
      <c r="A1035" s="176" t="s">
        <v>9090</v>
      </c>
      <c r="B1035" s="176" t="s">
        <v>3608</v>
      </c>
      <c r="C1035" s="177">
        <v>44082</v>
      </c>
      <c r="D1035" s="176" t="s">
        <v>9897</v>
      </c>
      <c r="E1035" s="176" t="s">
        <v>3009</v>
      </c>
      <c r="F1035" s="259" t="s">
        <v>9898</v>
      </c>
      <c r="G1035" s="176">
        <v>4</v>
      </c>
      <c r="H1035" s="178">
        <v>95781</v>
      </c>
      <c r="I1035" s="592">
        <f t="shared" si="37"/>
        <v>4</v>
      </c>
      <c r="J1035" s="178" t="s">
        <v>816</v>
      </c>
      <c r="K1035" s="178" t="s">
        <v>816</v>
      </c>
      <c r="L1035" s="275"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1035" s="593" t="str">
        <f>IF(H:H=0,"",IF(ISERROR(VLOOKUP(H:H,produtos_escape2!$A$2:$D$2794,2,FALSE)),"Código não cadastrado",(VLOOKUP(H:H,produtos_escape2!$A$2:$D$2794,4,FALSE))))</f>
        <v>TE</v>
      </c>
      <c r="N1035" s="486">
        <v>1954</v>
      </c>
      <c r="O1035" s="176" t="s">
        <v>9278</v>
      </c>
      <c r="P1035" s="486">
        <v>1348</v>
      </c>
      <c r="Q1035" s="247">
        <v>1.66</v>
      </c>
      <c r="R1035" s="246">
        <f t="shared" si="36"/>
        <v>2237.6799999999998</v>
      </c>
      <c r="S1035" s="177">
        <v>44097</v>
      </c>
      <c r="T1035" s="182">
        <v>156939</v>
      </c>
      <c r="U1035" s="177">
        <v>44102</v>
      </c>
      <c r="V1035" s="177">
        <v>44104</v>
      </c>
      <c r="W1035" s="177">
        <v>44105</v>
      </c>
      <c r="X1035" s="176">
        <v>14618</v>
      </c>
      <c r="Y1035" s="177">
        <v>44141</v>
      </c>
      <c r="Z1035" s="415">
        <v>6</v>
      </c>
      <c r="AA1035" s="488"/>
      <c r="AB1035" s="594"/>
      <c r="AC1035" s="595"/>
      <c r="AD1035" s="596" t="str">
        <f>IF(AND(AC1035&lt;&gt;"",S1035&lt;&gt;""),NETWORKDAYS(AC1035,S1035,#REF!),"")</f>
        <v/>
      </c>
      <c r="AE1035" s="596" t="str">
        <f ca="1">IF(AND(AD1035="",AC1035=""),"",IF(OR(AD1035&lt;&gt;"",O1035="*CANCELADO"),"",NETWORKDAYS(AC1035,TODAY(),#REF!)))</f>
        <v/>
      </c>
      <c r="AF1035" s="597" t="str">
        <f>IFERROR(INDEX(produtos_escape2!M:M,MATCH(Controle!H1035,produtos_escape2!A:A,0)),"")</f>
        <v>CONJUNTO PARA DETERMINAÇAO DE MAGNESIO</v>
      </c>
    </row>
    <row r="1036" spans="1:32" ht="14.25" customHeight="1">
      <c r="A1036" s="176" t="s">
        <v>9090</v>
      </c>
      <c r="B1036" s="176" t="s">
        <v>3608</v>
      </c>
      <c r="C1036" s="177">
        <v>44082</v>
      </c>
      <c r="D1036" s="176" t="s">
        <v>9897</v>
      </c>
      <c r="E1036" s="176" t="s">
        <v>3009</v>
      </c>
      <c r="F1036" s="259" t="s">
        <v>9898</v>
      </c>
      <c r="G1036" s="176">
        <v>5</v>
      </c>
      <c r="H1036" s="178">
        <v>95757</v>
      </c>
      <c r="I1036" s="592">
        <f t="shared" si="37"/>
        <v>3</v>
      </c>
      <c r="J1036" s="178" t="s">
        <v>816</v>
      </c>
      <c r="K1036" s="178" t="s">
        <v>816</v>
      </c>
      <c r="L1036" s="275" t="str">
        <f>IF(H:H=0,"",IF(ISERROR(VLOOKUP(H:H,produtos_escape2!$A$2:$B$2794,2,FALSE)),"Código não cadastrado",(VLOOKUP(H:H,produtos_escape2!$A$2:$B$2794,2,FALSE))))</f>
        <v>CONJUNTO PARA DETERMINAÇAO DE FOSFORO, AUTOMAÇAO. Aplicação:analise bioquimica. Características adicionais: equipamento automatizado. Forma de Apresentação: conjunto (kit). Prazo de Validade:75% do prazo de validade do produto.</v>
      </c>
      <c r="M1036" s="593" t="str">
        <f>IF(H:H=0,"",IF(ISERROR(VLOOKUP(H:H,produtos_escape2!$A$2:$D$2794,2,FALSE)),"Código não cadastrado",(VLOOKUP(H:H,produtos_escape2!$A$2:$D$2794,4,FALSE))))</f>
        <v>TE</v>
      </c>
      <c r="N1036" s="486">
        <v>1170</v>
      </c>
      <c r="O1036" s="176" t="s">
        <v>9278</v>
      </c>
      <c r="P1036" s="486">
        <v>1170</v>
      </c>
      <c r="Q1036" s="247">
        <v>1.48</v>
      </c>
      <c r="R1036" s="246">
        <f t="shared" si="36"/>
        <v>1731.6</v>
      </c>
      <c r="S1036" s="177">
        <v>44097</v>
      </c>
      <c r="T1036" s="182">
        <v>156939</v>
      </c>
      <c r="U1036" s="177">
        <v>44102</v>
      </c>
      <c r="V1036" s="177">
        <v>44104</v>
      </c>
      <c r="W1036" s="177">
        <v>44105</v>
      </c>
      <c r="X1036" s="176">
        <v>14618</v>
      </c>
      <c r="Y1036" s="177">
        <v>44141</v>
      </c>
      <c r="Z1036" s="415">
        <v>6</v>
      </c>
      <c r="AA1036" s="488"/>
      <c r="AB1036" s="594"/>
      <c r="AC1036" s="595"/>
      <c r="AD1036" s="596" t="str">
        <f>IF(AND(AC1036&lt;&gt;"",S1036&lt;&gt;""),NETWORKDAYS(AC1036,S1036,#REF!),"")</f>
        <v/>
      </c>
      <c r="AE1036" s="596" t="str">
        <f ca="1">IF(AND(AD1036="",AC1036=""),"",IF(OR(AD1036&lt;&gt;"",O1036="*CANCELADO"),"",NETWORKDAYS(AC1036,TODAY(),#REF!)))</f>
        <v/>
      </c>
      <c r="AF1036" s="597" t="str">
        <f>IFERROR(INDEX(produtos_escape2!M:M,MATCH(Controle!H1036,produtos_escape2!A:A,0)),"")</f>
        <v>CONJUNTO PARA DETERMINAÇAO DE FOSFORO</v>
      </c>
    </row>
    <row r="1037" spans="1:32" ht="14.25" customHeight="1">
      <c r="A1037" s="176" t="s">
        <v>9090</v>
      </c>
      <c r="B1037" s="176" t="s">
        <v>3608</v>
      </c>
      <c r="C1037" s="177">
        <v>44082</v>
      </c>
      <c r="D1037" s="176" t="s">
        <v>9897</v>
      </c>
      <c r="E1037" s="176" t="s">
        <v>3009</v>
      </c>
      <c r="F1037" s="259" t="s">
        <v>9898</v>
      </c>
      <c r="G1037" s="176">
        <v>6</v>
      </c>
      <c r="H1037" s="178">
        <v>95775</v>
      </c>
      <c r="I1037" s="592">
        <f t="shared" si="37"/>
        <v>4</v>
      </c>
      <c r="J1037" s="178" t="s">
        <v>816</v>
      </c>
      <c r="K1037" s="178" t="s">
        <v>816</v>
      </c>
      <c r="L1037" s="275"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1037" s="593" t="str">
        <f>IF(H:H=0,"",IF(ISERROR(VLOOKUP(H:H,produtos_escape2!$A$2:$D$2794,2,FALSE)),"Código não cadastrado",(VLOOKUP(H:H,produtos_escape2!$A$2:$D$2794,4,FALSE))))</f>
        <v>TE</v>
      </c>
      <c r="N1037" s="486">
        <v>4866</v>
      </c>
      <c r="O1037" s="176" t="s">
        <v>9278</v>
      </c>
      <c r="P1037" s="486">
        <v>4866</v>
      </c>
      <c r="Q1037" s="247">
        <v>2.12</v>
      </c>
      <c r="R1037" s="246">
        <f t="shared" si="36"/>
        <v>10315.92</v>
      </c>
      <c r="S1037" s="177">
        <v>44097</v>
      </c>
      <c r="T1037" s="182">
        <v>156939</v>
      </c>
      <c r="U1037" s="177">
        <v>44102</v>
      </c>
      <c r="V1037" s="177">
        <v>44104</v>
      </c>
      <c r="W1037" s="177">
        <v>44105</v>
      </c>
      <c r="X1037" s="176">
        <v>14618</v>
      </c>
      <c r="Y1037" s="177">
        <v>44141</v>
      </c>
      <c r="Z1037" s="415">
        <v>6</v>
      </c>
      <c r="AA1037" s="488"/>
      <c r="AB1037" s="594"/>
      <c r="AC1037" s="595"/>
      <c r="AD1037" s="596" t="str">
        <f>IF(AND(AC1037&lt;&gt;"",S1037&lt;&gt;""),NETWORKDAYS(AC1037,S1037,#REF!),"")</f>
        <v/>
      </c>
      <c r="AE1037" s="596" t="str">
        <f ca="1">IF(AND(AD1037="",AC1037=""),"",IF(OR(AD1037&lt;&gt;"",O1037="*CANCELADO"),"",NETWORKDAYS(AC1037,TODAY(),#REF!)))</f>
        <v/>
      </c>
      <c r="AF1037" s="597" t="str">
        <f>IFERROR(INDEX(produtos_escape2!M:M,MATCH(Controle!H1037,produtos_escape2!A:A,0)),"")</f>
        <v>CONJUNTO PARA DETERMINAÇAO DE CREATININA</v>
      </c>
    </row>
    <row r="1038" spans="1:32" ht="14.25" customHeight="1">
      <c r="A1038" s="176" t="s">
        <v>9090</v>
      </c>
      <c r="B1038" s="176" t="s">
        <v>3608</v>
      </c>
      <c r="C1038" s="177">
        <v>44082</v>
      </c>
      <c r="D1038" s="176" t="s">
        <v>9897</v>
      </c>
      <c r="E1038" s="176" t="s">
        <v>3009</v>
      </c>
      <c r="F1038" s="259" t="s">
        <v>9898</v>
      </c>
      <c r="G1038" s="176">
        <v>7</v>
      </c>
      <c r="H1038" s="178">
        <v>95774</v>
      </c>
      <c r="I1038" s="592">
        <f t="shared" si="37"/>
        <v>4</v>
      </c>
      <c r="J1038" s="178" t="s">
        <v>816</v>
      </c>
      <c r="K1038" s="178" t="s">
        <v>816</v>
      </c>
      <c r="L1038" s="275"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1038" s="593" t="str">
        <f>IF(H:H=0,"",IF(ISERROR(VLOOKUP(H:H,produtos_escape2!$A$2:$D$2794,2,FALSE)),"Código não cadastrado",(VLOOKUP(H:H,produtos_escape2!$A$2:$D$2794,4,FALSE))))</f>
        <v>TE</v>
      </c>
      <c r="N1038" s="486">
        <v>485</v>
      </c>
      <c r="O1038" s="176" t="s">
        <v>9278</v>
      </c>
      <c r="P1038" s="486">
        <v>485</v>
      </c>
      <c r="Q1038" s="247">
        <v>2.33</v>
      </c>
      <c r="R1038" s="246">
        <f t="shared" si="36"/>
        <v>1130.05</v>
      </c>
      <c r="S1038" s="177">
        <v>44097</v>
      </c>
      <c r="T1038" s="182">
        <v>156939</v>
      </c>
      <c r="U1038" s="177">
        <v>44102</v>
      </c>
      <c r="V1038" s="177">
        <v>44104</v>
      </c>
      <c r="W1038" s="177">
        <v>44105</v>
      </c>
      <c r="X1038" s="176">
        <v>14618</v>
      </c>
      <c r="Y1038" s="177">
        <v>44141</v>
      </c>
      <c r="Z1038" s="415">
        <v>6</v>
      </c>
      <c r="AA1038" s="488"/>
      <c r="AB1038" s="594"/>
      <c r="AC1038" s="595"/>
      <c r="AD1038" s="596" t="str">
        <f>IF(AND(AC1038&lt;&gt;"",S1038&lt;&gt;""),NETWORKDAYS(AC1038,S1038,#REF!),"")</f>
        <v/>
      </c>
      <c r="AE1038" s="596" t="str">
        <f ca="1">IF(AND(AD1038="",AC1038=""),"",IF(OR(AD1038&lt;&gt;"",O1038="*CANCELADO"),"",NETWORKDAYS(AC1038,TODAY(),#REF!)))</f>
        <v/>
      </c>
      <c r="AF1038" s="597" t="str">
        <f>IFERROR(INDEX(produtos_escape2!M:M,MATCH(Controle!H1038,produtos_escape2!A:A,0)),"")</f>
        <v>CONJUNTO PARA DETERMINAÇAO DE AMILASE CINETICO</v>
      </c>
    </row>
    <row r="1039" spans="1:32" ht="14.25" customHeight="1">
      <c r="A1039" s="176" t="s">
        <v>7434</v>
      </c>
      <c r="B1039" s="176" t="s">
        <v>1687</v>
      </c>
      <c r="C1039" s="177">
        <v>44085</v>
      </c>
      <c r="D1039" s="176" t="s">
        <v>9899</v>
      </c>
      <c r="E1039" s="176" t="s">
        <v>3008</v>
      </c>
      <c r="F1039" s="259" t="s">
        <v>9900</v>
      </c>
      <c r="G1039" s="176">
        <v>1</v>
      </c>
      <c r="H1039" s="178" t="s">
        <v>9901</v>
      </c>
      <c r="I1039" s="592">
        <f t="shared" si="37"/>
        <v>1</v>
      </c>
      <c r="J1039" s="178" t="s">
        <v>816</v>
      </c>
      <c r="K1039" s="178" t="s">
        <v>816</v>
      </c>
      <c r="L1039" s="275" t="str">
        <f>IF(H:H=0,"",IF(ISERROR(VLOOKUP(H:H,produtos_escape2!$A$2:$B$2794,2,FALSE)),"Código não cadastrado",(VLOOKUP(H:H,produtos_escape2!$A$2:$B$2794,2,FALSE))))</f>
        <v>CONSERTO DE DESFIBRILADOR Automático Portátil Marca PHILIPS, Modelo Heartstart, Nº. de série SN: 0505153463, Nº. Patrimônio 1100417</v>
      </c>
      <c r="M1039" s="593" t="str">
        <f>IF(H:H=0,"",IF(ISERROR(VLOOKUP(H:H,produtos_escape2!$A$2:$D$2794,2,FALSE)),"Código não cadastrado",(VLOOKUP(H:H,produtos_escape2!$A$2:$D$2794,4,FALSE))))</f>
        <v>Serviço</v>
      </c>
      <c r="N1039" s="486">
        <v>1</v>
      </c>
      <c r="O1039" s="176" t="s">
        <v>1868</v>
      </c>
      <c r="P1039" s="486"/>
      <c r="Q1039" s="247"/>
      <c r="R1039" s="246">
        <f t="shared" si="36"/>
        <v>0</v>
      </c>
      <c r="S1039" s="177"/>
      <c r="T1039" s="182"/>
      <c r="U1039" s="177"/>
      <c r="V1039" s="177"/>
      <c r="W1039" s="177"/>
      <c r="X1039" s="176"/>
      <c r="Y1039" s="177"/>
      <c r="Z1039" s="415">
        <v>5</v>
      </c>
      <c r="AA1039" s="488" t="s">
        <v>9947</v>
      </c>
      <c r="AB1039" s="594"/>
      <c r="AC1039" s="595"/>
      <c r="AD1039" s="596" t="str">
        <f>IF(AND(AC1039&lt;&gt;"",S1039&lt;&gt;""),NETWORKDAYS(AC1039,S1039,#REF!),"")</f>
        <v/>
      </c>
      <c r="AE1039" s="596" t="str">
        <f ca="1">IF(AND(AD1039="",AC1039=""),"",IF(OR(AD1039&lt;&gt;"",O1039="*CANCELADO"),"",NETWORKDAYS(AC1039,TODAY(),#REF!)))</f>
        <v/>
      </c>
      <c r="AF1039" s="597">
        <f>IFERROR(INDEX(produtos_escape2!M:M,MATCH(Controle!H1039,produtos_escape2!A:A,0)),"")</f>
        <v>0</v>
      </c>
    </row>
    <row r="1040" spans="1:32" ht="14.25" customHeight="1">
      <c r="A1040" s="176" t="s">
        <v>9133</v>
      </c>
      <c r="B1040" s="176" t="s">
        <v>3608</v>
      </c>
      <c r="C1040" s="177">
        <v>44085</v>
      </c>
      <c r="D1040" s="176" t="s">
        <v>9903</v>
      </c>
      <c r="E1040" s="176" t="s">
        <v>1865</v>
      </c>
      <c r="F1040" s="259" t="s">
        <v>9904</v>
      </c>
      <c r="G1040" s="176">
        <v>1</v>
      </c>
      <c r="H1040" s="178">
        <v>91207</v>
      </c>
      <c r="I1040" s="592">
        <f t="shared" si="37"/>
        <v>4</v>
      </c>
      <c r="J1040" s="178" t="s">
        <v>816</v>
      </c>
      <c r="K1040" s="178" t="s">
        <v>816</v>
      </c>
      <c r="L1040" s="275" t="str">
        <f>IF(H:H=0,"",IF(ISERROR(VLOOKUP(H:H,produtos_escape2!$A$2:$B$2794,2,FALSE)),"Código não cadastrado",(VLOOKUP(H:H,produtos_escape2!$A$2:$B$2794,2,FALSE))))</f>
        <v>CURATIVO DE HIDROFIBRA, ESTERIL. Composição: carboximetilcelulose associada à prata, estéril, não aderente. Tamanho: 15x15cm. Apresentação: embalagem individual.</v>
      </c>
      <c r="M1040" s="593" t="str">
        <f>IF(H:H=0,"",IF(ISERROR(VLOOKUP(H:H,produtos_escape2!$A$2:$D$2794,2,FALSE)),"Código não cadastrado",(VLOOKUP(H:H,produtos_escape2!$A$2:$D$2794,4,FALSE))))</f>
        <v>UN</v>
      </c>
      <c r="N1040" s="486">
        <v>300</v>
      </c>
      <c r="O1040" s="176" t="s">
        <v>1868</v>
      </c>
      <c r="P1040" s="486"/>
      <c r="Q1040" s="247"/>
      <c r="R1040" s="246">
        <f t="shared" si="36"/>
        <v>0</v>
      </c>
      <c r="S1040" s="177">
        <v>44103</v>
      </c>
      <c r="T1040" s="182"/>
      <c r="U1040" s="177"/>
      <c r="V1040" s="177"/>
      <c r="W1040" s="177"/>
      <c r="X1040" s="176"/>
      <c r="Y1040" s="177"/>
      <c r="Z1040" s="415">
        <v>5</v>
      </c>
      <c r="AA1040" s="488" t="s">
        <v>10005</v>
      </c>
      <c r="AB1040" s="594"/>
      <c r="AC1040" s="595"/>
      <c r="AD1040" s="596" t="str">
        <f>IF(AND(AC1040&lt;&gt;"",S1040&lt;&gt;""),NETWORKDAYS(AC1040,S1040,#REF!),"")</f>
        <v/>
      </c>
      <c r="AE1040" s="596" t="str">
        <f ca="1">IF(AND(AD1040="",AC1040=""),"",IF(OR(AD1040&lt;&gt;"",O1040="*CANCELADO"),"",NETWORKDAYS(AC1040,TODAY(),#REF!)))</f>
        <v/>
      </c>
      <c r="AF1040" s="597" t="str">
        <f>IFERROR(INDEX(produtos_escape2!M:M,MATCH(Controle!H1040,produtos_escape2!A:A,0)),"")</f>
        <v>CURATIVO DE HIDROFIBRA</v>
      </c>
    </row>
    <row r="1041" spans="1:32" ht="14.25" customHeight="1">
      <c r="A1041" s="176" t="s">
        <v>9131</v>
      </c>
      <c r="B1041" s="176" t="s">
        <v>3608</v>
      </c>
      <c r="C1041" s="177">
        <v>44085</v>
      </c>
      <c r="D1041" s="176" t="s">
        <v>9905</v>
      </c>
      <c r="E1041" s="176" t="s">
        <v>1866</v>
      </c>
      <c r="F1041" s="259" t="s">
        <v>9906</v>
      </c>
      <c r="G1041" s="176">
        <v>1</v>
      </c>
      <c r="H1041" s="178">
        <v>92401</v>
      </c>
      <c r="I1041" s="592">
        <f t="shared" si="37"/>
        <v>9</v>
      </c>
      <c r="J1041" s="178" t="s">
        <v>816</v>
      </c>
      <c r="K1041" s="178" t="s">
        <v>816</v>
      </c>
      <c r="L1041" s="275"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041" s="593" t="str">
        <f>IF(H:H=0,"",IF(ISERROR(VLOOKUP(H:H,produtos_escape2!$A$2:$D$2794,2,FALSE)),"Código não cadastrado",(VLOOKUP(H:H,produtos_escape2!$A$2:$D$2794,4,FALSE))))</f>
        <v>PAR</v>
      </c>
      <c r="N1041" s="486">
        <v>5000</v>
      </c>
      <c r="O1041" s="176" t="s">
        <v>7825</v>
      </c>
      <c r="P1041" s="486">
        <v>5000</v>
      </c>
      <c r="Q1041" s="247">
        <v>1.35</v>
      </c>
      <c r="R1041" s="246">
        <f t="shared" si="36"/>
        <v>6750</v>
      </c>
      <c r="S1041" s="177">
        <v>44099</v>
      </c>
      <c r="T1041" s="182">
        <v>570780</v>
      </c>
      <c r="U1041" s="177">
        <v>44102</v>
      </c>
      <c r="V1041" s="177">
        <v>44109</v>
      </c>
      <c r="W1041" s="177">
        <v>44112</v>
      </c>
      <c r="X1041" s="176">
        <v>14563</v>
      </c>
      <c r="Y1041" s="177">
        <v>44141</v>
      </c>
      <c r="Z1041" s="415">
        <v>6</v>
      </c>
      <c r="AA1041" s="488"/>
      <c r="AB1041" s="594"/>
      <c r="AC1041" s="595"/>
      <c r="AD1041" s="596" t="str">
        <f>IF(AND(AC1041&lt;&gt;"",S1041&lt;&gt;""),NETWORKDAYS(AC1041,S1041,#REF!),"")</f>
        <v/>
      </c>
      <c r="AE1041" s="596" t="str">
        <f ca="1">IF(AND(AD1041="",AC1041=""),"",IF(OR(AD1041&lt;&gt;"",O1041="*CANCELADO"),"",NETWORKDAYS(AC1041,TODAY(),#REF!)))</f>
        <v/>
      </c>
      <c r="AF1041" s="597" t="str">
        <f>IFERROR(INDEX(produtos_escape2!M:M,MATCH(Controle!H1041,produtos_escape2!A:A,0)),"")</f>
        <v>LUVA CIRURGICA CONVENCIONAL Nº 7</v>
      </c>
    </row>
    <row r="1042" spans="1:32" ht="14.25" customHeight="1">
      <c r="A1042" s="176" t="s">
        <v>9131</v>
      </c>
      <c r="B1042" s="176" t="s">
        <v>3608</v>
      </c>
      <c r="C1042" s="177">
        <v>44085</v>
      </c>
      <c r="D1042" s="176" t="s">
        <v>9905</v>
      </c>
      <c r="E1042" s="176" t="s">
        <v>1866</v>
      </c>
      <c r="F1042" s="259" t="s">
        <v>9906</v>
      </c>
      <c r="G1042" s="176">
        <v>2</v>
      </c>
      <c r="H1042" s="178">
        <v>92402</v>
      </c>
      <c r="I1042" s="592">
        <f t="shared" si="37"/>
        <v>9</v>
      </c>
      <c r="J1042" s="178" t="s">
        <v>816</v>
      </c>
      <c r="K1042" s="178" t="s">
        <v>816</v>
      </c>
      <c r="L1042" s="275"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042" s="593" t="str">
        <f>IF(H:H=0,"",IF(ISERROR(VLOOKUP(H:H,produtos_escape2!$A$2:$D$2794,2,FALSE)),"Código não cadastrado",(VLOOKUP(H:H,produtos_escape2!$A$2:$D$2794,4,FALSE))))</f>
        <v>PAR</v>
      </c>
      <c r="N1042" s="486">
        <v>5000</v>
      </c>
      <c r="O1042" s="176" t="s">
        <v>7825</v>
      </c>
      <c r="P1042" s="486">
        <v>5000</v>
      </c>
      <c r="Q1042" s="247">
        <v>1.35</v>
      </c>
      <c r="R1042" s="246">
        <f t="shared" si="36"/>
        <v>6750</v>
      </c>
      <c r="S1042" s="177">
        <v>44099</v>
      </c>
      <c r="T1042" s="182">
        <v>570780</v>
      </c>
      <c r="U1042" s="177">
        <v>44102</v>
      </c>
      <c r="V1042" s="177">
        <v>44109</v>
      </c>
      <c r="W1042" s="177">
        <v>44112</v>
      </c>
      <c r="X1042" s="176">
        <v>14563</v>
      </c>
      <c r="Y1042" s="177">
        <v>44141</v>
      </c>
      <c r="Z1042" s="415">
        <v>6</v>
      </c>
      <c r="AA1042" s="488"/>
      <c r="AB1042" s="594"/>
      <c r="AC1042" s="595"/>
      <c r="AD1042" s="596" t="str">
        <f>IF(AND(AC1042&lt;&gt;"",S1042&lt;&gt;""),NETWORKDAYS(AC1042,S1042,#REF!),"")</f>
        <v/>
      </c>
      <c r="AE1042" s="596" t="str">
        <f ca="1">IF(AND(AD1042="",AC1042=""),"",IF(OR(AD1042&lt;&gt;"",O1042="*CANCELADO"),"",NETWORKDAYS(AC1042,TODAY(),#REF!)))</f>
        <v/>
      </c>
      <c r="AF1042" s="597" t="str">
        <f>IFERROR(INDEX(produtos_escape2!M:M,MATCH(Controle!H1042,produtos_escape2!A:A,0)),"")</f>
        <v>LUVA CIRURGICA CONVENCIONAL Nº 7</v>
      </c>
    </row>
    <row r="1043" spans="1:32" ht="14.25" customHeight="1">
      <c r="A1043" s="176" t="s">
        <v>9129</v>
      </c>
      <c r="B1043" s="176" t="s">
        <v>3608</v>
      </c>
      <c r="C1043" s="177">
        <v>44085</v>
      </c>
      <c r="D1043" s="176" t="s">
        <v>9907</v>
      </c>
      <c r="E1043" s="176" t="s">
        <v>1867</v>
      </c>
      <c r="F1043" s="259" t="s">
        <v>9908</v>
      </c>
      <c r="G1043" s="176">
        <v>1</v>
      </c>
      <c r="H1043" s="178">
        <v>34534</v>
      </c>
      <c r="I1043" s="592">
        <f t="shared" si="37"/>
        <v>7</v>
      </c>
      <c r="J1043" s="178" t="s">
        <v>816</v>
      </c>
      <c r="K1043" s="178" t="s">
        <v>816</v>
      </c>
      <c r="L1043" s="275"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1043" s="593" t="str">
        <f>IF(H:H=0,"",IF(ISERROR(VLOOKUP(H:H,produtos_escape2!$A$2:$D$2794,2,FALSE)),"Código não cadastrado",(VLOOKUP(H:H,produtos_escape2!$A$2:$D$2794,4,FALSE))))</f>
        <v>UN</v>
      </c>
      <c r="N1043" s="486">
        <v>12000</v>
      </c>
      <c r="O1043" s="176" t="s">
        <v>1868</v>
      </c>
      <c r="P1043" s="486"/>
      <c r="Q1043" s="247"/>
      <c r="R1043" s="246">
        <f t="shared" si="36"/>
        <v>0</v>
      </c>
      <c r="S1043" s="177">
        <v>44097</v>
      </c>
      <c r="T1043" s="182"/>
      <c r="U1043" s="177"/>
      <c r="V1043" s="177"/>
      <c r="W1043" s="177"/>
      <c r="X1043" s="176"/>
      <c r="Y1043" s="177"/>
      <c r="Z1043" s="415">
        <v>5</v>
      </c>
      <c r="AA1043" s="488" t="s">
        <v>9784</v>
      </c>
      <c r="AB1043" s="594"/>
      <c r="AC1043" s="595"/>
      <c r="AD1043" s="596" t="str">
        <f>IF(AND(AC1043&lt;&gt;"",S1043&lt;&gt;""),NETWORKDAYS(AC1043,S1043,#REF!),"")</f>
        <v/>
      </c>
      <c r="AE1043" s="596" t="str">
        <f ca="1">IF(AND(AD1043="",AC1043=""),"",IF(OR(AD1043&lt;&gt;"",O1043="*CANCELADO"),"",NETWORKDAYS(AC1043,TODAY(),#REF!)))</f>
        <v/>
      </c>
      <c r="AF1043" s="597" t="str">
        <f>IFERROR(INDEX(produtos_escape2!M:M,MATCH(Controle!H1043,produtos_escape2!A:A,0)),"")</f>
        <v>EQUIPO SIMPLES PARA INFUSÃO DE SOLUÇÕES PARENTERAIS</v>
      </c>
    </row>
    <row r="1044" spans="1:32" ht="14.25" customHeight="1">
      <c r="A1044" s="176" t="s">
        <v>9127</v>
      </c>
      <c r="B1044" s="176" t="s">
        <v>3608</v>
      </c>
      <c r="C1044" s="177">
        <v>44085</v>
      </c>
      <c r="D1044" s="176" t="s">
        <v>9909</v>
      </c>
      <c r="E1044" s="176" t="s">
        <v>8773</v>
      </c>
      <c r="F1044" s="259" t="s">
        <v>9910</v>
      </c>
      <c r="G1044" s="176">
        <v>1</v>
      </c>
      <c r="H1044" s="178">
        <v>7643</v>
      </c>
      <c r="I1044" s="592">
        <f t="shared" si="37"/>
        <v>4</v>
      </c>
      <c r="J1044" s="178" t="s">
        <v>816</v>
      </c>
      <c r="K1044" s="178" t="s">
        <v>816</v>
      </c>
      <c r="L1044" s="275" t="str">
        <f>IF(H:H=0,"",IF(ISERROR(VLOOKUP(H:H,produtos_escape2!$A$2:$B$2794,2,FALSE)),"Código não cadastrado",(VLOOKUP(H:H,produtos_escape2!$A$2:$B$2794,2,FALSE))))</f>
        <v>ISOLADOR DE PRESSAO DO MANOMETRO P/MAQUINA DE HEMODIALISE</v>
      </c>
      <c r="M1044" s="593" t="str">
        <f>IF(H:H=0,"",IF(ISERROR(VLOOKUP(H:H,produtos_escape2!$A$2:$D$2794,2,FALSE)),"Código não cadastrado",(VLOOKUP(H:H,produtos_escape2!$A$2:$D$2794,4,FALSE))))</f>
        <v>UN</v>
      </c>
      <c r="N1044" s="486">
        <v>500</v>
      </c>
      <c r="O1044" s="176" t="s">
        <v>2989</v>
      </c>
      <c r="P1044" s="486">
        <v>500</v>
      </c>
      <c r="Q1044" s="247">
        <v>0.5</v>
      </c>
      <c r="R1044" s="246">
        <f t="shared" si="36"/>
        <v>250</v>
      </c>
      <c r="S1044" s="177">
        <v>44102</v>
      </c>
      <c r="T1044" s="182">
        <v>133104</v>
      </c>
      <c r="U1044" s="177">
        <v>44102</v>
      </c>
      <c r="V1044" s="177">
        <v>44103</v>
      </c>
      <c r="W1044" s="177">
        <v>44105</v>
      </c>
      <c r="X1044" s="176">
        <v>14793</v>
      </c>
      <c r="Y1044" s="177">
        <v>44141</v>
      </c>
      <c r="Z1044" s="415">
        <v>6</v>
      </c>
      <c r="AA1044" s="488"/>
      <c r="AB1044" s="594"/>
      <c r="AC1044" s="595"/>
      <c r="AD1044" s="596" t="str">
        <f>IF(AND(AC1044&lt;&gt;"",S1044&lt;&gt;""),NETWORKDAYS(AC1044,S1044,#REF!),"")</f>
        <v/>
      </c>
      <c r="AE1044" s="596" t="str">
        <f ca="1">IF(AND(AD1044="",AC1044=""),"",IF(OR(AD1044&lt;&gt;"",O1044="*CANCELADO"),"",NETWORKDAYS(AC1044,TODAY(),#REF!)))</f>
        <v/>
      </c>
      <c r="AF1044" s="597" t="str">
        <f>IFERROR(INDEX(produtos_escape2!M:M,MATCH(Controle!H1044,produtos_escape2!A:A,0)),"")</f>
        <v>ISOLADOR DE PRESSAO DO MANOMETRO P/MAQUINA DE HEMODIALISE</v>
      </c>
    </row>
    <row r="1045" spans="1:32" ht="14.25" customHeight="1">
      <c r="A1045" s="176" t="s">
        <v>9135</v>
      </c>
      <c r="B1045" s="176" t="s">
        <v>3608</v>
      </c>
      <c r="C1045" s="177">
        <v>44085</v>
      </c>
      <c r="D1045" s="176" t="s">
        <v>9911</v>
      </c>
      <c r="E1045" s="176" t="s">
        <v>1865</v>
      </c>
      <c r="F1045" s="259" t="s">
        <v>9912</v>
      </c>
      <c r="G1045" s="176">
        <v>1</v>
      </c>
      <c r="H1045" s="178">
        <v>90106</v>
      </c>
      <c r="I1045" s="592">
        <f t="shared" si="37"/>
        <v>4</v>
      </c>
      <c r="J1045" s="178" t="s">
        <v>816</v>
      </c>
      <c r="K1045" s="178" t="s">
        <v>816</v>
      </c>
      <c r="L1045" s="275" t="str">
        <f>IF(H:H=0,"",IF(ISERROR(VLOOKUP(H:H,produtos_escape2!$A$2:$B$2794,2,FALSE)),"Código não cadastrado",(VLOOKUP(H:H,produtos_escape2!$A$2:$B$2794,2,FALSE))))</f>
        <v>AZITROMICINA COMPRIMIDO 500 MG</v>
      </c>
      <c r="M1045" s="593" t="str">
        <f>IF(H:H=0,"",IF(ISERROR(VLOOKUP(H:H,produtos_escape2!$A$2:$D$2794,2,FALSE)),"Código não cadastrado",(VLOOKUP(H:H,produtos_escape2!$A$2:$D$2794,4,FALSE))))</f>
        <v>CP</v>
      </c>
      <c r="N1045" s="486">
        <v>800</v>
      </c>
      <c r="O1045" s="176" t="s">
        <v>7825</v>
      </c>
      <c r="P1045" s="486">
        <v>750</v>
      </c>
      <c r="Q1045" s="247">
        <v>2.09</v>
      </c>
      <c r="R1045" s="246">
        <f t="shared" si="36"/>
        <v>1567.5</v>
      </c>
      <c r="S1045" s="177">
        <v>44097</v>
      </c>
      <c r="T1045" s="182">
        <v>569914</v>
      </c>
      <c r="U1045" s="177">
        <v>44098</v>
      </c>
      <c r="V1045" s="177">
        <v>44118</v>
      </c>
      <c r="W1045" s="177">
        <v>44125</v>
      </c>
      <c r="X1045" s="176">
        <v>17977</v>
      </c>
      <c r="Y1045" s="177">
        <v>44146</v>
      </c>
      <c r="Z1045" s="415">
        <v>6</v>
      </c>
      <c r="AA1045" s="488"/>
      <c r="AB1045" s="594"/>
      <c r="AC1045" s="595"/>
      <c r="AD1045" s="596" t="str">
        <f>IF(AND(AC1045&lt;&gt;"",S1045&lt;&gt;""),NETWORKDAYS(AC1045,S1045,#REF!),"")</f>
        <v/>
      </c>
      <c r="AE1045" s="596" t="str">
        <f ca="1">IF(AND(AD1045="",AC1045=""),"",IF(OR(AD1045&lt;&gt;"",O1045="*CANCELADO"),"",NETWORKDAYS(AC1045,TODAY(),#REF!)))</f>
        <v/>
      </c>
      <c r="AF1045" s="597" t="str">
        <f>IFERROR(INDEX(produtos_escape2!M:M,MATCH(Controle!H1045,produtos_escape2!A:A,0)),"")</f>
        <v>AZITROMICINA COMPRIMIDO 500 MG</v>
      </c>
    </row>
    <row r="1046" spans="1:32" ht="14.25" customHeight="1">
      <c r="A1046" s="176" t="s">
        <v>9137</v>
      </c>
      <c r="B1046" s="176" t="s">
        <v>3608</v>
      </c>
      <c r="C1046" s="177">
        <v>44085</v>
      </c>
      <c r="D1046" s="176" t="s">
        <v>9913</v>
      </c>
      <c r="E1046" s="176" t="s">
        <v>1866</v>
      </c>
      <c r="F1046" s="259" t="s">
        <v>9914</v>
      </c>
      <c r="G1046" s="176">
        <v>1</v>
      </c>
      <c r="H1046" s="178">
        <v>90950</v>
      </c>
      <c r="I1046" s="592">
        <f t="shared" si="37"/>
        <v>4</v>
      </c>
      <c r="J1046" s="178" t="s">
        <v>816</v>
      </c>
      <c r="K1046" s="178" t="s">
        <v>816</v>
      </c>
      <c r="L1046" s="275" t="str">
        <f>IF(H:H=0,"",IF(ISERROR(VLOOKUP(H:H,produtos_escape2!$A$2:$B$2794,2,FALSE)),"Código não cadastrado",(VLOOKUP(H:H,produtos_escape2!$A$2:$B$2794,2,FALSE))))</f>
        <v>ONDANSETRONA COMPRIMIDO 8 MG</v>
      </c>
      <c r="M1046" s="593" t="str">
        <f>IF(H:H=0,"",IF(ISERROR(VLOOKUP(H:H,produtos_escape2!$A$2:$D$2794,2,FALSE)),"Código não cadastrado",(VLOOKUP(H:H,produtos_escape2!$A$2:$D$2794,4,FALSE))))</f>
        <v>CP</v>
      </c>
      <c r="N1046" s="486">
        <v>500</v>
      </c>
      <c r="O1046" s="176" t="s">
        <v>4401</v>
      </c>
      <c r="P1046" s="486">
        <v>500</v>
      </c>
      <c r="Q1046" s="247">
        <v>1.57</v>
      </c>
      <c r="R1046" s="246">
        <f t="shared" si="36"/>
        <v>785</v>
      </c>
      <c r="S1046" s="177">
        <v>44097</v>
      </c>
      <c r="T1046" s="182">
        <v>2747323</v>
      </c>
      <c r="U1046" s="177">
        <v>44099</v>
      </c>
      <c r="V1046" s="177">
        <v>44102</v>
      </c>
      <c r="W1046" s="177">
        <v>44103</v>
      </c>
      <c r="X1046" s="176">
        <v>14911</v>
      </c>
      <c r="Y1046" s="177">
        <v>44141</v>
      </c>
      <c r="Z1046" s="415">
        <v>6</v>
      </c>
      <c r="AA1046" s="488"/>
      <c r="AB1046" s="594"/>
      <c r="AC1046" s="595"/>
      <c r="AD1046" s="596" t="str">
        <f>IF(AND(AC1046&lt;&gt;"",S1046&lt;&gt;""),NETWORKDAYS(AC1046,S1046,#REF!),"")</f>
        <v/>
      </c>
      <c r="AE1046" s="596" t="str">
        <f ca="1">IF(AND(AD1046="",AC1046=""),"",IF(OR(AD1046&lt;&gt;"",O1046="*CANCELADO"),"",NETWORKDAYS(AC1046,TODAY(),#REF!)))</f>
        <v/>
      </c>
      <c r="AF1046" s="597" t="str">
        <f>IFERROR(INDEX(produtos_escape2!M:M,MATCH(Controle!H1046,produtos_escape2!A:A,0)),"")</f>
        <v>ONDANSETRONA COMPRIMIDO 8 MG</v>
      </c>
    </row>
    <row r="1047" spans="1:32" ht="14.25" customHeight="1">
      <c r="A1047" s="176" t="s">
        <v>9139</v>
      </c>
      <c r="B1047" s="176" t="s">
        <v>3608</v>
      </c>
      <c r="C1047" s="177">
        <v>44085</v>
      </c>
      <c r="D1047" s="176" t="s">
        <v>9915</v>
      </c>
      <c r="E1047" s="176" t="s">
        <v>3009</v>
      </c>
      <c r="F1047" s="259" t="s">
        <v>9916</v>
      </c>
      <c r="G1047" s="176">
        <v>1</v>
      </c>
      <c r="H1047" s="178">
        <v>19575</v>
      </c>
      <c r="I1047" s="592">
        <f t="shared" si="37"/>
        <v>2</v>
      </c>
      <c r="J1047" s="178" t="s">
        <v>816</v>
      </c>
      <c r="K1047" s="178" t="s">
        <v>816</v>
      </c>
      <c r="L1047" s="275" t="str">
        <f>IF(H:H=0,"",IF(ISERROR(VLOOKUP(H:H,produtos_escape2!$A$2:$B$2794,2,FALSE)),"Código não cadastrado",(VLOOKUP(H:H,produtos_escape2!$A$2:$B$2794,2,FALSE))))</f>
        <v>VARFARINA SODICA COMPRIMIDO 5 MG</v>
      </c>
      <c r="M1047" s="593" t="str">
        <f>IF(H:H=0,"",IF(ISERROR(VLOOKUP(H:H,produtos_escape2!$A$2:$D$2794,2,FALSE)),"Código não cadastrado",(VLOOKUP(H:H,produtos_escape2!$A$2:$D$2794,4,FALSE))))</f>
        <v>CP</v>
      </c>
      <c r="N1047" s="486">
        <v>400</v>
      </c>
      <c r="O1047" s="176" t="s">
        <v>9981</v>
      </c>
      <c r="P1047" s="486">
        <v>390</v>
      </c>
      <c r="Q1047" s="247">
        <v>0.23033333333333333</v>
      </c>
      <c r="R1047" s="246">
        <f t="shared" si="36"/>
        <v>89.83</v>
      </c>
      <c r="S1047" s="177">
        <v>44099</v>
      </c>
      <c r="T1047" s="182">
        <v>130302</v>
      </c>
      <c r="U1047" s="177">
        <v>44102</v>
      </c>
      <c r="V1047" s="177">
        <v>44104</v>
      </c>
      <c r="W1047" s="177">
        <v>44105</v>
      </c>
      <c r="X1047" s="176">
        <v>14813</v>
      </c>
      <c r="Y1047" s="177">
        <v>44141</v>
      </c>
      <c r="Z1047" s="415">
        <v>6</v>
      </c>
      <c r="AA1047" s="488"/>
      <c r="AB1047" s="594"/>
      <c r="AC1047" s="595"/>
      <c r="AD1047" s="596" t="str">
        <f>IF(AND(AC1047&lt;&gt;"",S1047&lt;&gt;""),NETWORKDAYS(AC1047,S1047,#REF!),"")</f>
        <v/>
      </c>
      <c r="AE1047" s="596" t="str">
        <f ca="1">IF(AND(AD1047="",AC1047=""),"",IF(OR(AD1047&lt;&gt;"",O1047="*CANCELADO"),"",NETWORKDAYS(AC1047,TODAY(),#REF!)))</f>
        <v/>
      </c>
      <c r="AF1047" s="597" t="str">
        <f>IFERROR(INDEX(produtos_escape2!M:M,MATCH(Controle!H1047,produtos_escape2!A:A,0)),"")</f>
        <v>VARFARINA SODICA COMPRIMIDO 5 MG</v>
      </c>
    </row>
    <row r="1048" spans="1:32" ht="14.25" customHeight="1">
      <c r="A1048" s="176" t="s">
        <v>9145</v>
      </c>
      <c r="B1048" s="176" t="s">
        <v>3608</v>
      </c>
      <c r="C1048" s="177">
        <v>44085</v>
      </c>
      <c r="D1048" s="176" t="s">
        <v>9917</v>
      </c>
      <c r="E1048" s="176" t="s">
        <v>1867</v>
      </c>
      <c r="F1048" s="259" t="s">
        <v>9918</v>
      </c>
      <c r="G1048" s="176">
        <v>1</v>
      </c>
      <c r="H1048" s="178">
        <v>90845</v>
      </c>
      <c r="I1048" s="592">
        <f t="shared" si="37"/>
        <v>4</v>
      </c>
      <c r="J1048" s="178" t="s">
        <v>816</v>
      </c>
      <c r="K1048" s="178" t="s">
        <v>816</v>
      </c>
      <c r="L1048" s="275" t="str">
        <f>IF(H:H=0,"",IF(ISERROR(VLOOKUP(H:H,produtos_escape2!$A$2:$B$2794,2,FALSE)),"Código não cadastrado",(VLOOKUP(H:H,produtos_escape2!$A$2:$B$2794,2,FALSE))))</f>
        <v>TROPICAMIDA SOLUCAO OFTALMICA 10 MG/ML FRASCO 5 ML</v>
      </c>
      <c r="M1048" s="593" t="str">
        <f>IF(H:H=0,"",IF(ISERROR(VLOOKUP(H:H,produtos_escape2!$A$2:$D$2794,2,FALSE)),"Código não cadastrado",(VLOOKUP(H:H,produtos_escape2!$A$2:$D$2794,4,FALSE))))</f>
        <v>FR</v>
      </c>
      <c r="N1048" s="486">
        <v>10</v>
      </c>
      <c r="O1048" s="176" t="s">
        <v>2989</v>
      </c>
      <c r="P1048" s="486">
        <v>10</v>
      </c>
      <c r="Q1048" s="247">
        <v>11</v>
      </c>
      <c r="R1048" s="246">
        <f t="shared" si="36"/>
        <v>110</v>
      </c>
      <c r="S1048" s="177">
        <v>44097</v>
      </c>
      <c r="T1048" s="182">
        <v>132846</v>
      </c>
      <c r="U1048" s="177">
        <v>44099</v>
      </c>
      <c r="V1048" s="177">
        <v>44102</v>
      </c>
      <c r="W1048" s="177">
        <v>44139</v>
      </c>
      <c r="X1048" s="176">
        <v>31352</v>
      </c>
      <c r="Y1048" s="177">
        <v>44167</v>
      </c>
      <c r="Z1048" s="415">
        <v>6</v>
      </c>
      <c r="AA1048" s="488"/>
      <c r="AB1048" s="594"/>
      <c r="AC1048" s="595"/>
      <c r="AD1048" s="596" t="str">
        <f>IF(AND(AC1048&lt;&gt;"",S1048&lt;&gt;""),NETWORKDAYS(AC1048,S1048,#REF!),"")</f>
        <v/>
      </c>
      <c r="AE1048" s="596" t="str">
        <f ca="1">IF(AND(AD1048="",AC1048=""),"",IF(OR(AD1048&lt;&gt;"",O1048="*CANCELADO"),"",NETWORKDAYS(AC1048,TODAY(),#REF!)))</f>
        <v/>
      </c>
      <c r="AF1048" s="597" t="str">
        <f>IFERROR(INDEX(produtos_escape2!M:M,MATCH(Controle!H1048,produtos_escape2!A:A,0)),"")</f>
        <v>TROPICAMIDA SOLUCAO OFTALMICA 10 MG/ML FRASCO 5 ML</v>
      </c>
    </row>
    <row r="1049" spans="1:32" ht="14.25" customHeight="1">
      <c r="A1049" s="176" t="s">
        <v>9147</v>
      </c>
      <c r="B1049" s="176" t="s">
        <v>3608</v>
      </c>
      <c r="C1049" s="177">
        <v>44085</v>
      </c>
      <c r="D1049" s="176" t="s">
        <v>9919</v>
      </c>
      <c r="E1049" s="176" t="s">
        <v>3009</v>
      </c>
      <c r="F1049" s="259" t="s">
        <v>9920</v>
      </c>
      <c r="G1049" s="176">
        <v>1</v>
      </c>
      <c r="H1049" s="178">
        <v>90424</v>
      </c>
      <c r="I1049" s="592">
        <f t="shared" si="37"/>
        <v>2</v>
      </c>
      <c r="J1049" s="178" t="s">
        <v>816</v>
      </c>
      <c r="K1049" s="178" t="s">
        <v>816</v>
      </c>
      <c r="L1049" s="275" t="str">
        <f>IF(H:H=0,"",IF(ISERROR(VLOOKUP(H:H,produtos_escape2!$A$2:$B$2794,2,FALSE)),"Código não cadastrado",(VLOOKUP(H:H,produtos_escape2!$A$2:$B$2794,2,FALSE))))</f>
        <v>ENOXAPARINA SODICA SOLUCAO INJETAVEL 100 MG SERINGA PREENCHIDA 1 ML</v>
      </c>
      <c r="M1049" s="593" t="str">
        <f>IF(H:H=0,"",IF(ISERROR(VLOOKUP(H:H,produtos_escape2!$A$2:$D$2794,2,FALSE)),"Código não cadastrado",(VLOOKUP(H:H,produtos_escape2!$A$2:$D$2794,4,FALSE))))</f>
        <v>UN</v>
      </c>
      <c r="N1049" s="486">
        <v>100</v>
      </c>
      <c r="O1049" s="176" t="s">
        <v>1868</v>
      </c>
      <c r="P1049" s="486"/>
      <c r="Q1049" s="247"/>
      <c r="R1049" s="246">
        <f t="shared" si="36"/>
        <v>0</v>
      </c>
      <c r="S1049" s="177"/>
      <c r="T1049" s="182"/>
      <c r="U1049" s="177"/>
      <c r="V1049" s="177"/>
      <c r="W1049" s="177"/>
      <c r="X1049" s="176"/>
      <c r="Y1049" s="177"/>
      <c r="Z1049" s="415">
        <v>5</v>
      </c>
      <c r="AA1049" s="488" t="s">
        <v>7474</v>
      </c>
      <c r="AB1049" s="594"/>
      <c r="AC1049" s="595"/>
      <c r="AD1049" s="596" t="str">
        <f>IF(AND(AC1049&lt;&gt;"",S1049&lt;&gt;""),NETWORKDAYS(AC1049,S1049,#REF!),"")</f>
        <v/>
      </c>
      <c r="AE1049" s="596" t="str">
        <f ca="1">IF(AND(AD1049="",AC1049=""),"",IF(OR(AD1049&lt;&gt;"",O1049="*CANCELADO"),"",NETWORKDAYS(AC1049,TODAY(),#REF!)))</f>
        <v/>
      </c>
      <c r="AF1049" s="597" t="str">
        <f>IFERROR(INDEX(produtos_escape2!M:M,MATCH(Controle!H1049,produtos_escape2!A:A,0)),"")</f>
        <v>ENOXAPARINA SODICA SOLUCAO INJETAVEL 100 MG SERINGA PREENCHIDA 1 ML</v>
      </c>
    </row>
    <row r="1050" spans="1:32" ht="14.25" customHeight="1">
      <c r="A1050" s="176" t="s">
        <v>9149</v>
      </c>
      <c r="B1050" s="176" t="s">
        <v>3608</v>
      </c>
      <c r="C1050" s="177">
        <v>44085</v>
      </c>
      <c r="D1050" s="176" t="s">
        <v>9921</v>
      </c>
      <c r="E1050" s="176" t="s">
        <v>1865</v>
      </c>
      <c r="F1050" s="259" t="s">
        <v>9922</v>
      </c>
      <c r="G1050" s="176">
        <v>1</v>
      </c>
      <c r="H1050" s="178">
        <v>21413</v>
      </c>
      <c r="I1050" s="592">
        <f t="shared" si="37"/>
        <v>1</v>
      </c>
      <c r="J1050" s="178" t="s">
        <v>816</v>
      </c>
      <c r="K1050" s="178" t="s">
        <v>816</v>
      </c>
      <c r="L1050" s="275" t="str">
        <f>IF(H:H=0,"",IF(ISERROR(VLOOKUP(H:H,produtos_escape2!$A$2:$B$2794,2,FALSE)),"Código não cadastrado",(VLOOKUP(H:H,produtos_escape2!$A$2:$B$2794,2,FALSE))))</f>
        <v>HIDRALAZINA 50MG COMPRIMIDO OU DRAGEA</v>
      </c>
      <c r="M1050" s="593" t="str">
        <f>IF(H:H=0,"",IF(ISERROR(VLOOKUP(H:H,produtos_escape2!$A$2:$D$2794,2,FALSE)),"Código não cadastrado",(VLOOKUP(H:H,produtos_escape2!$A$2:$D$2794,4,FALSE))))</f>
        <v>UN</v>
      </c>
      <c r="N1050" s="486">
        <v>1000</v>
      </c>
      <c r="O1050" s="176" t="s">
        <v>10075</v>
      </c>
      <c r="P1050" s="486">
        <v>1000</v>
      </c>
      <c r="Q1050" s="247">
        <v>0.42</v>
      </c>
      <c r="R1050" s="246">
        <f t="shared" si="36"/>
        <v>420</v>
      </c>
      <c r="S1050" s="177">
        <v>44097</v>
      </c>
      <c r="T1050" s="182">
        <v>8998</v>
      </c>
      <c r="U1050" s="177">
        <v>44104</v>
      </c>
      <c r="V1050" s="177">
        <v>44106</v>
      </c>
      <c r="W1050" s="177">
        <v>44112</v>
      </c>
      <c r="X1050" s="176">
        <v>14987</v>
      </c>
      <c r="Y1050" s="177">
        <v>44141</v>
      </c>
      <c r="Z1050" s="415">
        <v>6</v>
      </c>
      <c r="AA1050" s="488"/>
      <c r="AB1050" s="594"/>
      <c r="AC1050" s="595"/>
      <c r="AD1050" s="596" t="str">
        <f>IF(AND(AC1050&lt;&gt;"",S1050&lt;&gt;""),NETWORKDAYS(AC1050,S1050,#REF!),"")</f>
        <v/>
      </c>
      <c r="AE1050" s="596" t="str">
        <f ca="1">IF(AND(AD1050="",AC1050=""),"",IF(OR(AD1050&lt;&gt;"",O1050="*CANCELADO"),"",NETWORKDAYS(AC1050,TODAY(),#REF!)))</f>
        <v/>
      </c>
      <c r="AF1050" s="597" t="str">
        <f>IFERROR(INDEX(produtos_escape2!M:M,MATCH(Controle!H1050,produtos_escape2!A:A,0)),"")</f>
        <v>HIDRALAZINA 50MG COMPRIMIDO OU DRAGEA</v>
      </c>
    </row>
    <row r="1051" spans="1:32" ht="14.25" customHeight="1">
      <c r="A1051" s="176" t="s">
        <v>9151</v>
      </c>
      <c r="B1051" s="176" t="s">
        <v>3608</v>
      </c>
      <c r="C1051" s="177">
        <v>44085</v>
      </c>
      <c r="D1051" s="176" t="s">
        <v>9923</v>
      </c>
      <c r="E1051" s="176" t="s">
        <v>1866</v>
      </c>
      <c r="F1051" s="259" t="s">
        <v>9924</v>
      </c>
      <c r="G1051" s="176">
        <v>1</v>
      </c>
      <c r="H1051" s="178">
        <v>90592</v>
      </c>
      <c r="I1051" s="592">
        <f t="shared" si="37"/>
        <v>4</v>
      </c>
      <c r="J1051" s="178" t="s">
        <v>816</v>
      </c>
      <c r="K1051" s="178" t="s">
        <v>816</v>
      </c>
      <c r="L1051" s="275" t="str">
        <f>IF(H:H=0,"",IF(ISERROR(VLOOKUP(H:H,produtos_escape2!$A$2:$B$2794,2,FALSE)),"Código não cadastrado",(VLOOKUP(H:H,produtos_escape2!$A$2:$B$2794,2,FALSE))))</f>
        <v xml:space="preserve">SULFATO FERROSO DRAGEA 40 MG </v>
      </c>
      <c r="M1051" s="593" t="str">
        <f>IF(H:H=0,"",IF(ISERROR(VLOOKUP(H:H,produtos_escape2!$A$2:$D$2794,2,FALSE)),"Código não cadastrado",(VLOOKUP(H:H,produtos_escape2!$A$2:$D$2794,4,FALSE))))</f>
        <v>DG</v>
      </c>
      <c r="N1051" s="486">
        <v>3000</v>
      </c>
      <c r="O1051" s="176" t="s">
        <v>9981</v>
      </c>
      <c r="P1051" s="486">
        <v>3000</v>
      </c>
      <c r="Q1051" s="247">
        <v>4.972E-2</v>
      </c>
      <c r="R1051" s="246">
        <f t="shared" si="36"/>
        <v>149.16</v>
      </c>
      <c r="S1051" s="177">
        <v>44097</v>
      </c>
      <c r="T1051" s="182">
        <v>130303</v>
      </c>
      <c r="U1051" s="177">
        <v>44102</v>
      </c>
      <c r="V1051" s="177">
        <v>44104</v>
      </c>
      <c r="W1051" s="177">
        <v>44105</v>
      </c>
      <c r="X1051" s="176">
        <v>14748</v>
      </c>
      <c r="Y1051" s="177">
        <v>44141</v>
      </c>
      <c r="Z1051" s="415">
        <v>6</v>
      </c>
      <c r="AA1051" s="488"/>
      <c r="AB1051" s="594"/>
      <c r="AC1051" s="595"/>
      <c r="AD1051" s="596" t="str">
        <f>IF(AND(AC1051&lt;&gt;"",S1051&lt;&gt;""),NETWORKDAYS(AC1051,S1051,#REF!),"")</f>
        <v/>
      </c>
      <c r="AE1051" s="596" t="str">
        <f ca="1">IF(AND(AD1051="",AC1051=""),"",IF(OR(AD1051&lt;&gt;"",O1051="*CANCELADO"),"",NETWORKDAYS(AC1051,TODAY(),#REF!)))</f>
        <v/>
      </c>
      <c r="AF1051" s="597" t="str">
        <f>IFERROR(INDEX(produtos_escape2!M:M,MATCH(Controle!H1051,produtos_escape2!A:A,0)),"")</f>
        <v xml:space="preserve">SULFATO FERROSO DRAGEA 40 MG </v>
      </c>
    </row>
    <row r="1052" spans="1:32" ht="14.25" customHeight="1">
      <c r="A1052" s="176" t="s">
        <v>9153</v>
      </c>
      <c r="B1052" s="176" t="s">
        <v>3608</v>
      </c>
      <c r="C1052" s="177">
        <v>44085</v>
      </c>
      <c r="D1052" s="176" t="s">
        <v>9925</v>
      </c>
      <c r="E1052" s="176" t="s">
        <v>3009</v>
      </c>
      <c r="F1052" s="259" t="s">
        <v>9926</v>
      </c>
      <c r="G1052" s="176">
        <v>1</v>
      </c>
      <c r="H1052" s="178">
        <v>90028</v>
      </c>
      <c r="I1052" s="592">
        <f t="shared" si="37"/>
        <v>5</v>
      </c>
      <c r="J1052" s="178" t="s">
        <v>816</v>
      </c>
      <c r="K1052" s="178" t="s">
        <v>816</v>
      </c>
      <c r="L1052" s="275" t="str">
        <f>IF(H:H=0,"",IF(ISERROR(VLOOKUP(H:H,produtos_escape2!$A$2:$B$2794,2,FALSE)),"Código não cadastrado",(VLOOKUP(H:H,produtos_escape2!$A$2:$B$2794,2,FALSE))))</f>
        <v>LIDOCAINA (CLORIDRATO) GELEIA 2 % BISNAGA 30 G</v>
      </c>
      <c r="M1052" s="593" t="str">
        <f>IF(H:H=0,"",IF(ISERROR(VLOOKUP(H:H,produtos_escape2!$A$2:$D$2794,2,FALSE)),"Código não cadastrado",(VLOOKUP(H:H,produtos_escape2!$A$2:$D$2794,4,FALSE))))</f>
        <v>BS</v>
      </c>
      <c r="N1052" s="486">
        <v>350</v>
      </c>
      <c r="O1052" s="176" t="s">
        <v>7268</v>
      </c>
      <c r="P1052" s="486">
        <v>350</v>
      </c>
      <c r="Q1052" s="247">
        <v>2.71</v>
      </c>
      <c r="R1052" s="246">
        <f t="shared" si="36"/>
        <v>948.5</v>
      </c>
      <c r="S1052" s="177">
        <v>44099</v>
      </c>
      <c r="T1052" s="182">
        <v>15424</v>
      </c>
      <c r="U1052" s="177">
        <v>44102</v>
      </c>
      <c r="V1052" s="177">
        <v>44103</v>
      </c>
      <c r="W1052" s="177">
        <v>44105</v>
      </c>
      <c r="X1052" s="176">
        <v>16675</v>
      </c>
      <c r="Y1052" s="177">
        <v>44145</v>
      </c>
      <c r="Z1052" s="415">
        <v>6</v>
      </c>
      <c r="AA1052" s="488"/>
      <c r="AB1052" s="594"/>
      <c r="AC1052" s="595"/>
      <c r="AD1052" s="596" t="str">
        <f>IF(AND(AC1052&lt;&gt;"",S1052&lt;&gt;""),NETWORKDAYS(AC1052,S1052,#REF!),"")</f>
        <v/>
      </c>
      <c r="AE1052" s="596" t="str">
        <f ca="1">IF(AND(AD1052="",AC1052=""),"",IF(OR(AD1052&lt;&gt;"",O1052="*CANCELADO"),"",NETWORKDAYS(AC1052,TODAY(),#REF!)))</f>
        <v/>
      </c>
      <c r="AF1052" s="597" t="str">
        <f>IFERROR(INDEX(produtos_escape2!M:M,MATCH(Controle!H1052,produtos_escape2!A:A,0)),"")</f>
        <v>LIDOCAINA (CLORIDRATO) GELEIA 2 % BISNAGA 30 G</v>
      </c>
    </row>
    <row r="1053" spans="1:32" ht="14.25" customHeight="1">
      <c r="A1053" s="176" t="s">
        <v>9221</v>
      </c>
      <c r="B1053" s="176" t="s">
        <v>3608</v>
      </c>
      <c r="C1053" s="177">
        <v>44089</v>
      </c>
      <c r="D1053" s="176" t="s">
        <v>9927</v>
      </c>
      <c r="E1053" s="176" t="s">
        <v>1867</v>
      </c>
      <c r="F1053" s="259" t="s">
        <v>9928</v>
      </c>
      <c r="G1053" s="176">
        <v>1</v>
      </c>
      <c r="H1053" s="178">
        <v>95461</v>
      </c>
      <c r="I1053" s="592">
        <f t="shared" si="37"/>
        <v>4</v>
      </c>
      <c r="J1053" s="178" t="s">
        <v>816</v>
      </c>
      <c r="K1053" s="178" t="s">
        <v>816</v>
      </c>
      <c r="L1053" s="275" t="str">
        <f>IF(H:H=0,"",IF(ISERROR(VLOOKUP(H:H,produtos_escape2!$A$2:$B$2794,2,FALSE)),"Código não cadastrado",(VLOOKUP(H:H,produtos_escape2!$A$2:$B$2794,2,FALSE))))</f>
        <v>Parafina histológica, aspecto físico sólido, branca, ponto fusão 59 – 63 °c. Aplicação: Processamento de materiais de biópsias e peças cirúrgicas,para confecção de lâminas histológicas. Composição: Cera de petróleo Características adicionais: Aspecto: - Estado físico: Sólido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053" s="593" t="str">
        <f>IF(H:H=0,"",IF(ISERROR(VLOOKUP(H:H,produtos_escape2!$A$2:$D$2794,2,FALSE)),"Código não cadastrado",(VLOOKUP(H:H,produtos_escape2!$A$2:$D$2794,4,FALSE))))</f>
        <v>BR</v>
      </c>
      <c r="N1053" s="486">
        <v>50</v>
      </c>
      <c r="O1053" s="176" t="s">
        <v>1868</v>
      </c>
      <c r="P1053" s="486"/>
      <c r="Q1053" s="247"/>
      <c r="R1053" s="246">
        <f t="shared" si="36"/>
        <v>0</v>
      </c>
      <c r="S1053" s="177">
        <v>44097</v>
      </c>
      <c r="T1053" s="182"/>
      <c r="U1053" s="177"/>
      <c r="V1053" s="177"/>
      <c r="W1053" s="177"/>
      <c r="X1053" s="176"/>
      <c r="Y1053" s="177"/>
      <c r="Z1053" s="415">
        <v>5</v>
      </c>
      <c r="AA1053" s="488" t="s">
        <v>9978</v>
      </c>
      <c r="AB1053" s="594"/>
      <c r="AC1053" s="595"/>
      <c r="AD1053" s="596" t="str">
        <f>IF(AND(AC1053&lt;&gt;"",S1053&lt;&gt;""),NETWORKDAYS(AC1053,S1053,#REF!),"")</f>
        <v/>
      </c>
      <c r="AE1053" s="596" t="str">
        <f ca="1">IF(AND(AD1053="",AC1053=""),"",IF(OR(AD1053&lt;&gt;"",O1053="*CANCELADO"),"",NETWORKDAYS(AC1053,TODAY(),#REF!)))</f>
        <v/>
      </c>
      <c r="AF1053" s="597" t="str">
        <f>IFERROR(INDEX(produtos_escape2!M:M,MATCH(Controle!H1053,produtos_escape2!A:A,0)),"")</f>
        <v>PARAFINA HISTOLOGICA</v>
      </c>
    </row>
    <row r="1054" spans="1:32" ht="14.25" customHeight="1">
      <c r="A1054" s="176" t="s">
        <v>9219</v>
      </c>
      <c r="B1054" s="176" t="s">
        <v>3608</v>
      </c>
      <c r="C1054" s="177">
        <v>44089</v>
      </c>
      <c r="D1054" s="176" t="s">
        <v>9929</v>
      </c>
      <c r="E1054" s="176" t="s">
        <v>3009</v>
      </c>
      <c r="F1054" s="259" t="s">
        <v>9930</v>
      </c>
      <c r="G1054" s="176">
        <v>1</v>
      </c>
      <c r="H1054" s="178">
        <v>91092</v>
      </c>
      <c r="I1054" s="592">
        <f t="shared" si="37"/>
        <v>4</v>
      </c>
      <c r="J1054" s="178" t="s">
        <v>816</v>
      </c>
      <c r="K1054" s="178" t="s">
        <v>816</v>
      </c>
      <c r="L1054" s="275"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1054" s="593" t="str">
        <f>IF(H:H=0,"",IF(ISERROR(VLOOKUP(H:H,produtos_escape2!$A$2:$D$2794,2,FALSE)),"Código não cadastrado",(VLOOKUP(H:H,produtos_escape2!$A$2:$D$2794,4,FALSE))))</f>
        <v>UN</v>
      </c>
      <c r="N1054" s="486">
        <v>500</v>
      </c>
      <c r="O1054" s="176" t="s">
        <v>3663</v>
      </c>
      <c r="P1054" s="486">
        <v>495</v>
      </c>
      <c r="Q1054" s="247">
        <v>3.3774999999999999</v>
      </c>
      <c r="R1054" s="246">
        <f t="shared" si="36"/>
        <v>1671.8625</v>
      </c>
      <c r="S1054" s="177">
        <v>44099</v>
      </c>
      <c r="T1054" s="182">
        <v>1261703</v>
      </c>
      <c r="U1054" s="177">
        <v>44102</v>
      </c>
      <c r="V1054" s="177">
        <v>44106</v>
      </c>
      <c r="W1054" s="177">
        <v>44111</v>
      </c>
      <c r="X1054" s="176">
        <v>18118</v>
      </c>
      <c r="Y1054" s="177">
        <v>44146</v>
      </c>
      <c r="Z1054" s="415">
        <v>6</v>
      </c>
      <c r="AA1054" s="488"/>
      <c r="AB1054" s="594"/>
      <c r="AC1054" s="595"/>
      <c r="AD1054" s="596" t="str">
        <f>IF(AND(AC1054&lt;&gt;"",S1054&lt;&gt;""),NETWORKDAYS(AC1054,S1054,#REF!),"")</f>
        <v/>
      </c>
      <c r="AE1054" s="596" t="str">
        <f ca="1">IF(AND(AD1054="",AC1054=""),"",IF(OR(AD1054&lt;&gt;"",O1054="*CANCELADO"),"",NETWORKDAYS(AC1054,TODAY(),#REF!)))</f>
        <v/>
      </c>
      <c r="AF1054" s="597" t="str">
        <f>IFERROR(INDEX(produtos_escape2!M:M,MATCH(Controle!H1054,produtos_escape2!A:A,0)),"")</f>
        <v>COLETOR DE URINA SISTEMA FECHADO</v>
      </c>
    </row>
    <row r="1055" spans="1:32" ht="14.25" customHeight="1">
      <c r="A1055" s="176" t="s">
        <v>9157</v>
      </c>
      <c r="B1055" s="176" t="s">
        <v>3608</v>
      </c>
      <c r="C1055" s="177">
        <v>44089</v>
      </c>
      <c r="D1055" s="176" t="s">
        <v>9931</v>
      </c>
      <c r="E1055" s="176" t="s">
        <v>1865</v>
      </c>
      <c r="F1055" s="259" t="s">
        <v>9932</v>
      </c>
      <c r="G1055" s="176">
        <v>1</v>
      </c>
      <c r="H1055" s="178">
        <v>33227</v>
      </c>
      <c r="I1055" s="592">
        <f t="shared" si="37"/>
        <v>2</v>
      </c>
      <c r="J1055" s="178" t="s">
        <v>816</v>
      </c>
      <c r="K1055" s="178" t="s">
        <v>816</v>
      </c>
      <c r="L1055" s="275" t="str">
        <f>IF(H:H=0,"",IF(ISERROR(VLOOKUP(H:H,produtos_escape2!$A$2:$B$2794,2,FALSE)),"Código não cadastrado",(VLOOKUP(H:H,produtos_escape2!$A$2:$B$2794,2,FALSE))))</f>
        <v xml:space="preserve">VASOPRESSINA  20U/ML SOLUÇÃO INJETÁVEL AMPOLA 1 ML </v>
      </c>
      <c r="M1055" s="593" t="str">
        <f>IF(H:H=0,"",IF(ISERROR(VLOOKUP(H:H,produtos_escape2!$A$2:$D$2794,2,FALSE)),"Código não cadastrado",(VLOOKUP(H:H,produtos_escape2!$A$2:$D$2794,4,FALSE))))</f>
        <v>AMP</v>
      </c>
      <c r="N1055" s="486">
        <v>300</v>
      </c>
      <c r="O1055" s="176" t="s">
        <v>7371</v>
      </c>
      <c r="P1055" s="486">
        <v>100</v>
      </c>
      <c r="Q1055" s="247">
        <v>22.119</v>
      </c>
      <c r="R1055" s="246">
        <f t="shared" si="36"/>
        <v>2211.9</v>
      </c>
      <c r="S1055" s="177">
        <v>44099</v>
      </c>
      <c r="T1055" s="182">
        <v>379233</v>
      </c>
      <c r="U1055" s="177">
        <v>44099</v>
      </c>
      <c r="V1055" s="177">
        <v>44102</v>
      </c>
      <c r="W1055" s="177">
        <v>44103</v>
      </c>
      <c r="X1055" s="176">
        <v>18169</v>
      </c>
      <c r="Y1055" s="177">
        <v>44146</v>
      </c>
      <c r="Z1055" s="415">
        <v>6</v>
      </c>
      <c r="AA1055" s="488"/>
      <c r="AB1055" s="594"/>
      <c r="AC1055" s="595"/>
      <c r="AD1055" s="596" t="str">
        <f>IF(AND(AC1055&lt;&gt;"",S1055&lt;&gt;""),NETWORKDAYS(AC1055,S1055,#REF!),"")</f>
        <v/>
      </c>
      <c r="AE1055" s="596" t="str">
        <f ca="1">IF(AND(AD1055="",AC1055=""),"",IF(OR(AD1055&lt;&gt;"",O1055="*CANCELADO"),"",NETWORKDAYS(AC1055,TODAY(),#REF!)))</f>
        <v/>
      </c>
      <c r="AF1055" s="597" t="str">
        <f>IFERROR(INDEX(produtos_escape2!M:M,MATCH(Controle!H1055,produtos_escape2!A:A,0)),"")</f>
        <v xml:space="preserve">VASOPRESSINA  20U/ML SOLUÇÃO INJETÁVEL AMPOLA 1 ML </v>
      </c>
    </row>
    <row r="1056" spans="1:32" ht="14.25" customHeight="1">
      <c r="A1056" s="176" t="s">
        <v>9155</v>
      </c>
      <c r="B1056" s="176" t="s">
        <v>3608</v>
      </c>
      <c r="C1056" s="177">
        <v>44089</v>
      </c>
      <c r="D1056" s="176" t="s">
        <v>9933</v>
      </c>
      <c r="E1056" s="176" t="s">
        <v>1866</v>
      </c>
      <c r="F1056" s="259" t="s">
        <v>9934</v>
      </c>
      <c r="G1056" s="176">
        <v>1</v>
      </c>
      <c r="H1056" s="178">
        <v>21593</v>
      </c>
      <c r="I1056" s="592">
        <f t="shared" si="37"/>
        <v>3</v>
      </c>
      <c r="J1056" s="178" t="s">
        <v>816</v>
      </c>
      <c r="K1056" s="178" t="s">
        <v>816</v>
      </c>
      <c r="L1056" s="275" t="str">
        <f>IF(H:H=0,"",IF(ISERROR(VLOOKUP(H:H,produtos_escape2!$A$2:$B$2794,2,FALSE)),"Código não cadastrado",(VLOOKUP(H:H,produtos_escape2!$A$2:$B$2794,2,FALSE))))</f>
        <v>OXICODONA COMPRIMIDO REVESTIDO DE LIBERAÇÃO CONTROLADA 20MG</v>
      </c>
      <c r="M1056" s="593" t="str">
        <f>IF(H:H=0,"",IF(ISERROR(VLOOKUP(H:H,produtos_escape2!$A$2:$D$2794,2,FALSE)),"Código não cadastrado",(VLOOKUP(H:H,produtos_escape2!$A$2:$D$2794,4,FALSE))))</f>
        <v>CP</v>
      </c>
      <c r="N1056" s="486">
        <v>150</v>
      </c>
      <c r="O1056" s="176" t="s">
        <v>7371</v>
      </c>
      <c r="P1056" s="486">
        <v>84</v>
      </c>
      <c r="Q1056" s="247">
        <v>13.76</v>
      </c>
      <c r="R1056" s="246">
        <f t="shared" si="36"/>
        <v>1155.8399999999999</v>
      </c>
      <c r="S1056" s="177">
        <v>44102</v>
      </c>
      <c r="T1056" s="182">
        <v>379810</v>
      </c>
      <c r="U1056" s="177">
        <v>44102</v>
      </c>
      <c r="V1056" s="177">
        <v>44103</v>
      </c>
      <c r="W1056" s="177">
        <v>44105</v>
      </c>
      <c r="X1056" s="176">
        <v>17524</v>
      </c>
      <c r="Y1056" s="177">
        <v>44145</v>
      </c>
      <c r="Z1056" s="415">
        <v>6</v>
      </c>
      <c r="AA1056" s="488"/>
      <c r="AB1056" s="594"/>
      <c r="AC1056" s="595"/>
      <c r="AD1056" s="596" t="str">
        <f>IF(AND(AC1056&lt;&gt;"",S1056&lt;&gt;""),NETWORKDAYS(AC1056,S1056,#REF!),"")</f>
        <v/>
      </c>
      <c r="AE1056" s="596" t="str">
        <f ca="1">IF(AND(AD1056="",AC1056=""),"",IF(OR(AD1056&lt;&gt;"",O1056="*CANCELADO"),"",NETWORKDAYS(AC1056,TODAY(),#REF!)))</f>
        <v/>
      </c>
      <c r="AF1056" s="597" t="str">
        <f>IFERROR(INDEX(produtos_escape2!M:M,MATCH(Controle!H1056,produtos_escape2!A:A,0)),"")</f>
        <v>OXICODONA</v>
      </c>
    </row>
    <row r="1057" spans="1:32" ht="14.25" customHeight="1">
      <c r="A1057" s="176" t="s">
        <v>7442</v>
      </c>
      <c r="B1057" s="176" t="s">
        <v>1687</v>
      </c>
      <c r="C1057" s="177">
        <v>44089</v>
      </c>
      <c r="D1057" s="176" t="s">
        <v>9935</v>
      </c>
      <c r="E1057" s="176" t="s">
        <v>3008</v>
      </c>
      <c r="F1057" s="259" t="s">
        <v>9936</v>
      </c>
      <c r="G1057" s="176">
        <v>1</v>
      </c>
      <c r="H1057" s="178" t="s">
        <v>9937</v>
      </c>
      <c r="I1057" s="592">
        <f t="shared" si="37"/>
        <v>1</v>
      </c>
      <c r="J1057" s="178"/>
      <c r="K1057" s="178"/>
      <c r="L1057" s="275" t="str">
        <f>IF(H:H=0,"",IF(ISERROR(VLOOKUP(H:H,produtos_escape2!$A$2:$B$2794,2,FALSE)),"Código não cadastrado",(VLOOKUP(H:H,produtos_escape2!$A$2:$B$2794,2,FALSE))))</f>
        <v>Conserto de Mamógrafo, Marca PLANMED Modelo Sophie Classic, Nº Patrimônio 1204398.</v>
      </c>
      <c r="M1057" s="593" t="str">
        <f>IF(H:H=0,"",IF(ISERROR(VLOOKUP(H:H,produtos_escape2!$A$2:$D$2794,2,FALSE)),"Código não cadastrado",(VLOOKUP(H:H,produtos_escape2!$A$2:$D$2794,4,FALSE))))</f>
        <v>Serviço</v>
      </c>
      <c r="N1057" s="486">
        <v>1</v>
      </c>
      <c r="O1057" s="176" t="s">
        <v>1868</v>
      </c>
      <c r="P1057" s="486"/>
      <c r="Q1057" s="247">
        <v>3900</v>
      </c>
      <c r="R1057" s="246">
        <f t="shared" si="36"/>
        <v>0</v>
      </c>
      <c r="S1057" s="177"/>
      <c r="T1057" s="182"/>
      <c r="U1057" s="177"/>
      <c r="V1057" s="177"/>
      <c r="W1057" s="177"/>
      <c r="X1057" s="176"/>
      <c r="Y1057" s="177"/>
      <c r="Z1057" s="415">
        <v>5</v>
      </c>
      <c r="AA1057" s="488" t="s">
        <v>10634</v>
      </c>
      <c r="AB1057" s="594"/>
      <c r="AC1057" s="595"/>
      <c r="AD1057" s="596" t="str">
        <f>IF(AND(AC1057&lt;&gt;"",S1057&lt;&gt;""),NETWORKDAYS(AC1057,S1057,#REF!),"")</f>
        <v/>
      </c>
      <c r="AE1057" s="596" t="str">
        <f ca="1">IF(AND(AD1057="",AC1057=""),"",IF(OR(AD1057&lt;&gt;"",O1057="*CANCELADO"),"",NETWORKDAYS(AC1057,TODAY(),#REF!)))</f>
        <v/>
      </c>
      <c r="AF1057" s="597">
        <f>IFERROR(INDEX(produtos_escape2!M:M,MATCH(Controle!H1057,produtos_escape2!A:A,0)),"")</f>
        <v>0</v>
      </c>
    </row>
    <row r="1058" spans="1:32" ht="14.25" customHeight="1">
      <c r="A1058" s="176" t="s">
        <v>8178</v>
      </c>
      <c r="B1058" s="176" t="s">
        <v>7207</v>
      </c>
      <c r="C1058" s="177">
        <v>44097</v>
      </c>
      <c r="D1058" s="176" t="s">
        <v>9949</v>
      </c>
      <c r="E1058" s="176" t="s">
        <v>8773</v>
      </c>
      <c r="F1058" s="259" t="s">
        <v>9948</v>
      </c>
      <c r="G1058" s="176">
        <v>1</v>
      </c>
      <c r="H1058" s="178">
        <v>10343</v>
      </c>
      <c r="I1058" s="592">
        <f t="shared" si="37"/>
        <v>3</v>
      </c>
      <c r="J1058" s="178" t="s">
        <v>816</v>
      </c>
      <c r="K1058" s="178" t="s">
        <v>816</v>
      </c>
      <c r="L1058" s="275" t="str">
        <f>IF(H:H=0,"",IF(ISERROR(VLOOKUP(H:H,produtos_escape2!$A$2:$B$2794,2,FALSE)),"Código não cadastrado",(VLOOKUP(H:H,produtos_escape2!$A$2:$B$2794,2,FALSE))))</f>
        <v>PILHA, Tipo Carga: alcalina, Tamanho: pequeno AA2, Aplicação: uso geral, Unidade De Fornecimento: pacote com 2 unidades</v>
      </c>
      <c r="M1058" s="593" t="str">
        <f>IF(H:H=0,"",IF(ISERROR(VLOOKUP(H:H,produtos_escape2!$A$2:$D$2794,2,FALSE)),"Código não cadastrado",(VLOOKUP(H:H,produtos_escape2!$A$2:$D$2794,4,FALSE))))</f>
        <v>PC</v>
      </c>
      <c r="N1058" s="486">
        <v>1000</v>
      </c>
      <c r="O1058" s="176" t="s">
        <v>3407</v>
      </c>
      <c r="P1058" s="486">
        <v>600</v>
      </c>
      <c r="Q1058" s="247">
        <v>3.19</v>
      </c>
      <c r="R1058" s="246">
        <f t="shared" si="36"/>
        <v>1914</v>
      </c>
      <c r="S1058" s="177">
        <v>44111</v>
      </c>
      <c r="T1058" s="182">
        <v>932</v>
      </c>
      <c r="U1058" s="177">
        <v>44124</v>
      </c>
      <c r="V1058" s="177">
        <v>44127</v>
      </c>
      <c r="W1058" s="177">
        <v>44127</v>
      </c>
      <c r="X1058" s="176">
        <v>18090</v>
      </c>
      <c r="Y1058" s="177">
        <v>44146</v>
      </c>
      <c r="Z1058" s="415">
        <v>6</v>
      </c>
      <c r="AA1058" s="488"/>
      <c r="AB1058" s="594"/>
      <c r="AC1058" s="595"/>
      <c r="AD1058" s="596" t="str">
        <f>IF(AND(AC1058&lt;&gt;"",S1058&lt;&gt;""),NETWORKDAYS(AC1058,S1058,#REF!),"")</f>
        <v/>
      </c>
      <c r="AE1058" s="596" t="str">
        <f ca="1">IF(AND(AD1058="",AC1058=""),"",IF(OR(AD1058&lt;&gt;"",O1058="*CANCELADO"),"",NETWORKDAYS(AC1058,TODAY(),#REF!)))</f>
        <v/>
      </c>
      <c r="AF1058" s="597" t="str">
        <f>IFERROR(INDEX(produtos_escape2!M:M,MATCH(Controle!H1058,produtos_escape2!A:A,0)),"")</f>
        <v>PILHA</v>
      </c>
    </row>
    <row r="1059" spans="1:32" ht="14.25" customHeight="1">
      <c r="A1059" s="176" t="s">
        <v>8178</v>
      </c>
      <c r="B1059" s="176" t="s">
        <v>7207</v>
      </c>
      <c r="C1059" s="177">
        <v>44097</v>
      </c>
      <c r="D1059" s="176" t="s">
        <v>9949</v>
      </c>
      <c r="E1059" s="176" t="s">
        <v>8773</v>
      </c>
      <c r="F1059" s="259" t="s">
        <v>9948</v>
      </c>
      <c r="G1059" s="176">
        <v>2</v>
      </c>
      <c r="H1059" s="178">
        <v>11927</v>
      </c>
      <c r="I1059" s="592">
        <f t="shared" si="37"/>
        <v>2</v>
      </c>
      <c r="J1059" s="178" t="s">
        <v>816</v>
      </c>
      <c r="K1059" s="178" t="s">
        <v>816</v>
      </c>
      <c r="L1059" s="275" t="str">
        <f>IF(H:H=0,"",IF(ISERROR(VLOOKUP(H:H,produtos_escape2!$A$2:$B$2794,2,FALSE)),"Código não cadastrado",(VLOOKUP(H:H,produtos_escape2!$A$2:$B$2794,2,FALSE))))</f>
        <v>PILHA, Tipo Carga: alcalina, Tamanho: palito AAA2, Aplicação: uso geral, Unidade De Fornecimento: pacote com 2 unidades</v>
      </c>
      <c r="M1059" s="593" t="str">
        <f>IF(H:H=0,"",IF(ISERROR(VLOOKUP(H:H,produtos_escape2!$A$2:$D$2794,2,FALSE)),"Código não cadastrado",(VLOOKUP(H:H,produtos_escape2!$A$2:$D$2794,4,FALSE))))</f>
        <v>PC</v>
      </c>
      <c r="N1059" s="486">
        <v>1000</v>
      </c>
      <c r="O1059" s="176" t="s">
        <v>3407</v>
      </c>
      <c r="P1059" s="486">
        <v>600</v>
      </c>
      <c r="Q1059" s="247">
        <v>3.19</v>
      </c>
      <c r="R1059" s="246">
        <f t="shared" si="36"/>
        <v>1914</v>
      </c>
      <c r="S1059" s="177">
        <v>44111</v>
      </c>
      <c r="T1059" s="182">
        <v>932</v>
      </c>
      <c r="U1059" s="177">
        <v>44124</v>
      </c>
      <c r="V1059" s="177">
        <v>44127</v>
      </c>
      <c r="W1059" s="177">
        <v>44127</v>
      </c>
      <c r="X1059" s="176">
        <v>18090</v>
      </c>
      <c r="Y1059" s="177">
        <v>44146</v>
      </c>
      <c r="Z1059" s="415">
        <v>6</v>
      </c>
      <c r="AA1059" s="488"/>
      <c r="AB1059" s="594"/>
      <c r="AC1059" s="595"/>
      <c r="AD1059" s="596" t="str">
        <f>IF(AND(AC1059&lt;&gt;"",S1059&lt;&gt;""),NETWORKDAYS(AC1059,S1059,#REF!),"")</f>
        <v/>
      </c>
      <c r="AE1059" s="596" t="str">
        <f ca="1">IF(AND(AD1059="",AC1059=""),"",IF(OR(AD1059&lt;&gt;"",O1059="*CANCELADO"),"",NETWORKDAYS(AC1059,TODAY(),#REF!)))</f>
        <v/>
      </c>
      <c r="AF1059" s="597" t="str">
        <f>IFERROR(INDEX(produtos_escape2!M:M,MATCH(Controle!H1059,produtos_escape2!A:A,0)),"")</f>
        <v>PILHA</v>
      </c>
    </row>
    <row r="1060" spans="1:32" ht="14.25" customHeight="1">
      <c r="A1060" s="176" t="s">
        <v>8174</v>
      </c>
      <c r="B1060" s="176" t="s">
        <v>7207</v>
      </c>
      <c r="C1060" s="177">
        <v>44097</v>
      </c>
      <c r="D1060" s="176" t="s">
        <v>9950</v>
      </c>
      <c r="E1060" s="176" t="s">
        <v>1866</v>
      </c>
      <c r="F1060" s="259" t="s">
        <v>9951</v>
      </c>
      <c r="G1060" s="176">
        <v>1</v>
      </c>
      <c r="H1060" s="178">
        <v>16206</v>
      </c>
      <c r="I1060" s="592">
        <f t="shared" si="37"/>
        <v>1</v>
      </c>
      <c r="J1060" s="178" t="s">
        <v>816</v>
      </c>
      <c r="K1060" s="178" t="s">
        <v>816</v>
      </c>
      <c r="L1060" s="275" t="str">
        <f>IF(H:H=0,"",IF(ISERROR(VLOOKUP(H:H,produtos_escape2!$A$2:$B$2794,2,FALSE)),"Código não cadastrado",(VLOOKUP(H:H,produtos_escape2!$A$2:$B$2794,2,FALSE))))</f>
        <v>CAMPO FENESTRADO 170X220 cm, Aplicação: procedimento da obstetrícia, Material: Tecido liso, cor azul e 100% algodão, Linha 100% algodão, Tamanho: 170x220 cm, característica Peça simples com barras estreitas, reforço duplo em volta da fenestra de 10 cm de largura, parte fenestrada retangular de 24x15 cm, centralizada,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v>
      </c>
      <c r="M1060" s="593" t="str">
        <f>IF(H:H=0,"",IF(ISERROR(VLOOKUP(H:H,produtos_escape2!$A$2:$D$2794,2,FALSE)),"Código não cadastrado",(VLOOKUP(H:H,produtos_escape2!$A$2:$D$2794,4,FALSE))))</f>
        <v>UN</v>
      </c>
      <c r="N1060" s="486">
        <v>500</v>
      </c>
      <c r="O1060" s="176" t="s">
        <v>1868</v>
      </c>
      <c r="P1060" s="486"/>
      <c r="Q1060" s="247"/>
      <c r="R1060" s="246">
        <f t="shared" si="36"/>
        <v>0</v>
      </c>
      <c r="S1060" s="177">
        <v>44180</v>
      </c>
      <c r="T1060" s="182"/>
      <c r="U1060" s="177"/>
      <c r="V1060" s="177"/>
      <c r="W1060" s="177"/>
      <c r="X1060" s="176"/>
      <c r="Y1060" s="177"/>
      <c r="Z1060" s="415">
        <v>6</v>
      </c>
      <c r="AA1060" s="488" t="s">
        <v>10621</v>
      </c>
      <c r="AB1060" s="594"/>
      <c r="AC1060" s="595"/>
      <c r="AD1060" s="596" t="str">
        <f>IF(AND(AC1060&lt;&gt;"",S1060&lt;&gt;""),NETWORKDAYS(AC1060,S1060,#REF!),"")</f>
        <v/>
      </c>
      <c r="AE1060" s="596" t="str">
        <f ca="1">IF(AND(AD1060="",AC1060=""),"",IF(OR(AD1060&lt;&gt;"",O1060="*CANCELADO"),"",NETWORKDAYS(AC1060,TODAY(),#REF!)))</f>
        <v/>
      </c>
      <c r="AF1060" s="597" t="str">
        <f>IFERROR(INDEX(produtos_escape2!M:M,MATCH(Controle!H1060,produtos_escape2!A:A,0)),"")</f>
        <v>CAMPO FENESTRADO 170X220 cm</v>
      </c>
    </row>
    <row r="1061" spans="1:32" ht="14.25" customHeight="1">
      <c r="A1061" s="176" t="s">
        <v>8174</v>
      </c>
      <c r="B1061" s="176" t="s">
        <v>7207</v>
      </c>
      <c r="C1061" s="177">
        <v>44097</v>
      </c>
      <c r="D1061" s="176" t="s">
        <v>9950</v>
      </c>
      <c r="E1061" s="176" t="s">
        <v>1866</v>
      </c>
      <c r="F1061" s="259" t="s">
        <v>9951</v>
      </c>
      <c r="G1061" s="176">
        <v>2</v>
      </c>
      <c r="H1061" s="178">
        <v>13907</v>
      </c>
      <c r="I1061" s="592">
        <f t="shared" si="37"/>
        <v>1</v>
      </c>
      <c r="J1061" s="178" t="s">
        <v>816</v>
      </c>
      <c r="K1061" s="178" t="s">
        <v>816</v>
      </c>
      <c r="L1061" s="275" t="str">
        <f>IF(H:H=0,"",IF(ISERROR(VLOOKUP(H:H,produtos_escape2!$A$2:$B$2794,2,FALSE)),"Código não cadastrado",(VLOOKUP(H:H,produtos_escape2!$A$2:$B$2794,2,FALSE))))</f>
        <v>CAMPO FENESTRADO 90x90cm, Aplicação: procedimento cirúrgico, Material: Tecido liso, cor azul e 100% algodão, Linha 100% algodão, Tamanho: 90x90cm Características: Peça simples sendo a parte fenestrada centralizada, reforço duplo em volta da fenestra de 10 cm de largura com fenestra retangular de 10x10cm,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localizada 10 cm acima da fenestra e a sigla do hospital em todos os cantos do campo, Forma de Apresentação: Embalagem primária em saco plástico com no máximo 10 unidades e secundaria em caixa de papelão com no máximo 100 unidades. Unidade de Estoque: Unidade, Unidade de fornecimento: Unidade</v>
      </c>
      <c r="M1061" s="593" t="str">
        <f>IF(H:H=0,"",IF(ISERROR(VLOOKUP(H:H,produtos_escape2!$A$2:$D$2794,2,FALSE)),"Código não cadastrado",(VLOOKUP(H:H,produtos_escape2!$A$2:$D$2794,4,FALSE))))</f>
        <v>UN</v>
      </c>
      <c r="N1061" s="486">
        <v>1000</v>
      </c>
      <c r="O1061" s="176" t="s">
        <v>1868</v>
      </c>
      <c r="P1061" s="486"/>
      <c r="Q1061" s="247"/>
      <c r="R1061" s="246">
        <f t="shared" si="36"/>
        <v>0</v>
      </c>
      <c r="S1061" s="177">
        <v>44180</v>
      </c>
      <c r="T1061" s="182"/>
      <c r="U1061" s="177"/>
      <c r="V1061" s="177"/>
      <c r="W1061" s="177"/>
      <c r="X1061" s="176"/>
      <c r="Y1061" s="177"/>
      <c r="Z1061" s="415">
        <v>6</v>
      </c>
      <c r="AA1061" s="488" t="s">
        <v>10621</v>
      </c>
      <c r="AB1061" s="594"/>
      <c r="AC1061" s="595"/>
      <c r="AD1061" s="596" t="str">
        <f>IF(AND(AC1061&lt;&gt;"",S1061&lt;&gt;""),NETWORKDAYS(AC1061,S1061,#REF!),"")</f>
        <v/>
      </c>
      <c r="AE1061" s="596" t="str">
        <f ca="1">IF(AND(AD1061="",AC1061=""),"",IF(OR(AD1061&lt;&gt;"",O1061="*CANCELADO"),"",NETWORKDAYS(AC1061,TODAY(),#REF!)))</f>
        <v/>
      </c>
      <c r="AF1061" s="597" t="str">
        <f>IFERROR(INDEX(produtos_escape2!M:M,MATCH(Controle!H1061,produtos_escape2!A:A,0)),"")</f>
        <v>CAMPO FENESTRADO 90x90cm</v>
      </c>
    </row>
    <row r="1062" spans="1:32" ht="14.25" customHeight="1">
      <c r="A1062" s="176" t="s">
        <v>8174</v>
      </c>
      <c r="B1062" s="176" t="s">
        <v>7207</v>
      </c>
      <c r="C1062" s="177">
        <v>44097</v>
      </c>
      <c r="D1062" s="176" t="s">
        <v>9950</v>
      </c>
      <c r="E1062" s="176" t="s">
        <v>1866</v>
      </c>
      <c r="F1062" s="259" t="s">
        <v>9951</v>
      </c>
      <c r="G1062" s="176">
        <v>3</v>
      </c>
      <c r="H1062" s="178">
        <v>13956</v>
      </c>
      <c r="I1062" s="592">
        <f t="shared" si="37"/>
        <v>1</v>
      </c>
      <c r="J1062" s="178" t="s">
        <v>816</v>
      </c>
      <c r="K1062" s="178" t="s">
        <v>816</v>
      </c>
      <c r="L1062" s="275" t="str">
        <f>IF(H:H=0,"",IF(ISERROR(VLOOKUP(H:H,produtos_escape2!$A$2:$B$2794,2,FALSE)),"Código não cadastrado",(VLOOKUP(H:H,produtos_escape2!$A$2:$B$2794,2,FALSE))))</f>
        <v>CAMPO SIMPLES 170x220cm, Aplicação: procedimento cirúrgico, Material: Tecido liso, cor azul e 100% algodão, Linha 100% algodão, Tamanho: 170x220cm,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05 unidades e secundaria em caixa de papelão com no máximo 50 unidades, Unidade de Estoque: Unidade, Unidade de fornecimento: Unidade</v>
      </c>
      <c r="M1062" s="593" t="str">
        <f>IF(H:H=0,"",IF(ISERROR(VLOOKUP(H:H,produtos_escape2!$A$2:$D$2794,2,FALSE)),"Código não cadastrado",(VLOOKUP(H:H,produtos_escape2!$A$2:$D$2794,4,FALSE))))</f>
        <v>UN</v>
      </c>
      <c r="N1062" s="486">
        <v>500</v>
      </c>
      <c r="O1062" s="176" t="s">
        <v>1868</v>
      </c>
      <c r="P1062" s="486"/>
      <c r="Q1062" s="247"/>
      <c r="R1062" s="246">
        <f t="shared" si="36"/>
        <v>0</v>
      </c>
      <c r="S1062" s="177">
        <v>44180</v>
      </c>
      <c r="T1062" s="182"/>
      <c r="U1062" s="177"/>
      <c r="V1062" s="177"/>
      <c r="W1062" s="177"/>
      <c r="X1062" s="176"/>
      <c r="Y1062" s="177"/>
      <c r="Z1062" s="415">
        <v>6</v>
      </c>
      <c r="AA1062" s="488" t="s">
        <v>10621</v>
      </c>
      <c r="AB1062" s="594"/>
      <c r="AC1062" s="595"/>
      <c r="AD1062" s="596" t="str">
        <f>IF(AND(AC1062&lt;&gt;"",S1062&lt;&gt;""),NETWORKDAYS(AC1062,S1062,#REF!),"")</f>
        <v/>
      </c>
      <c r="AE1062" s="596" t="str">
        <f ca="1">IF(AND(AD1062="",AC1062=""),"",IF(OR(AD1062&lt;&gt;"",O1062="*CANCELADO"),"",NETWORKDAYS(AC1062,TODAY(),#REF!)))</f>
        <v/>
      </c>
      <c r="AF1062" s="597" t="str">
        <f>IFERROR(INDEX(produtos_escape2!M:M,MATCH(Controle!H1062,produtos_escape2!A:A,0)),"")</f>
        <v>CAMPO SIMPLES 170x220cm</v>
      </c>
    </row>
    <row r="1063" spans="1:32" ht="14.25" customHeight="1">
      <c r="A1063" s="176" t="s">
        <v>8174</v>
      </c>
      <c r="B1063" s="176" t="s">
        <v>7207</v>
      </c>
      <c r="C1063" s="177">
        <v>44097</v>
      </c>
      <c r="D1063" s="176" t="s">
        <v>9950</v>
      </c>
      <c r="E1063" s="176" t="s">
        <v>1866</v>
      </c>
      <c r="F1063" s="259" t="s">
        <v>9951</v>
      </c>
      <c r="G1063" s="176">
        <v>4</v>
      </c>
      <c r="H1063" s="178">
        <v>19413</v>
      </c>
      <c r="I1063" s="592">
        <f t="shared" si="37"/>
        <v>1</v>
      </c>
      <c r="J1063" s="178" t="s">
        <v>816</v>
      </c>
      <c r="K1063" s="178" t="s">
        <v>816</v>
      </c>
      <c r="L1063" s="275" t="str">
        <f>IF(H:H=0,"",IF(ISERROR(VLOOKUP(H:H,produtos_escape2!$A$2:$B$2794,2,FALSE)),"Código não cadastrado",(VLOOKUP(H:H,produtos_escape2!$A$2:$B$2794,2,FALSE))))</f>
        <v>CAMPO SIMPLES 170x170 cm, Aplicação: procedimento cirúrgico, material: Tecido liso, cor azul e 100% algodão, Linha 100% algodão. Tamanho: 170x170cm, Característica: Conforme NBR 16064/2016, com resistência a penetração microbiana e a líquidos. Peça simples, Costura reta e overlock com linha 100% algodão, Tecido com armação sarja 2x1cm², gramatura mínima 190g/m² com variação de ± 5%. Variação de medida do produto acabado ± 5%. Apresentar no campo a logomarca da SES-DF medindo aproximadamente 22x22cm localizada 10 cm acima da fenestra, Forma de Apresentação: Embalagem primária em saco plástico com no máximo 10 unidades e secundaria em caixa de papelão com no máximo 100 unidades, Unidade de Estoque: Unidade, Unidade de fornecimento: Unidade, Código SES: 19413</v>
      </c>
      <c r="M1063" s="593" t="str">
        <f>IF(H:H=0,"",IF(ISERROR(VLOOKUP(H:H,produtos_escape2!$A$2:$D$2794,2,FALSE)),"Código não cadastrado",(VLOOKUP(H:H,produtos_escape2!$A$2:$D$2794,4,FALSE))))</f>
        <v>UN</v>
      </c>
      <c r="N1063" s="486">
        <v>500</v>
      </c>
      <c r="O1063" s="176" t="s">
        <v>1868</v>
      </c>
      <c r="P1063" s="486"/>
      <c r="Q1063" s="247"/>
      <c r="R1063" s="246">
        <f t="shared" si="36"/>
        <v>0</v>
      </c>
      <c r="S1063" s="177">
        <v>44180</v>
      </c>
      <c r="T1063" s="182"/>
      <c r="U1063" s="177"/>
      <c r="V1063" s="177"/>
      <c r="W1063" s="177"/>
      <c r="X1063" s="176"/>
      <c r="Y1063" s="177"/>
      <c r="Z1063" s="415">
        <v>6</v>
      </c>
      <c r="AA1063" s="488" t="s">
        <v>10621</v>
      </c>
      <c r="AB1063" s="594"/>
      <c r="AC1063" s="595"/>
      <c r="AD1063" s="596" t="str">
        <f>IF(AND(AC1063&lt;&gt;"",S1063&lt;&gt;""),NETWORKDAYS(AC1063,S1063,#REF!),"")</f>
        <v/>
      </c>
      <c r="AE1063" s="596" t="str">
        <f ca="1">IF(AND(AD1063="",AC1063=""),"",IF(OR(AD1063&lt;&gt;"",O1063="*CANCELADO"),"",NETWORKDAYS(AC1063,TODAY(),#REF!)))</f>
        <v/>
      </c>
      <c r="AF1063" s="597" t="str">
        <f>IFERROR(INDEX(produtos_escape2!M:M,MATCH(Controle!H1063,produtos_escape2!A:A,0)),"")</f>
        <v>LIXA PARA MADEIRA</v>
      </c>
    </row>
    <row r="1064" spans="1:32" ht="14.25" customHeight="1">
      <c r="A1064" s="176" t="s">
        <v>8174</v>
      </c>
      <c r="B1064" s="176" t="s">
        <v>7207</v>
      </c>
      <c r="C1064" s="177">
        <v>44097</v>
      </c>
      <c r="D1064" s="176" t="s">
        <v>9950</v>
      </c>
      <c r="E1064" s="176" t="s">
        <v>1866</v>
      </c>
      <c r="F1064" s="259" t="s">
        <v>9951</v>
      </c>
      <c r="G1064" s="176">
        <v>5</v>
      </c>
      <c r="H1064" s="178">
        <v>15642</v>
      </c>
      <c r="I1064" s="592">
        <f t="shared" si="37"/>
        <v>1</v>
      </c>
      <c r="J1064" s="178" t="s">
        <v>816</v>
      </c>
      <c r="K1064" s="178" t="s">
        <v>816</v>
      </c>
      <c r="L1064" s="275" t="str">
        <f>IF(H:H=0,"",IF(ISERROR(VLOOKUP(H:H,produtos_escape2!$A$2:$B$2794,2,FALSE)),"Código não cadastrado",(VLOOKUP(H:H,produtos_escape2!$A$2:$B$2794,2,FALSE))))</f>
        <v>CAMPO SIMPLES BRIM PESADO 150X150cm, Aplicação: procedimento cirúrgico, Material: Tecido liso, cor azul e 100% algodão, Linha 100% algodão, Tamanho: 150x150cm,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 medindo 22x22cm centralizada e a sigla do hospital em todos os cantos do campo, Forma de Apresentação: Embalagem primária em saco plástico com no máximo 10 unidades e secundaria em caixa de papelão com no máximo 100 unidades, Unidade de Estoque: Unidade, Unidade de fornecimento: Unidade, Código SES: 15642.</v>
      </c>
      <c r="M1064" s="593" t="str">
        <f>IF(H:H=0,"",IF(ISERROR(VLOOKUP(H:H,produtos_escape2!$A$2:$D$2794,2,FALSE)),"Código não cadastrado",(VLOOKUP(H:H,produtos_escape2!$A$2:$D$2794,4,FALSE))))</f>
        <v>UN</v>
      </c>
      <c r="N1064" s="486">
        <v>500</v>
      </c>
      <c r="O1064" s="176" t="s">
        <v>1868</v>
      </c>
      <c r="P1064" s="486"/>
      <c r="Q1064" s="247"/>
      <c r="R1064" s="246">
        <f t="shared" si="36"/>
        <v>0</v>
      </c>
      <c r="S1064" s="177">
        <v>44180</v>
      </c>
      <c r="T1064" s="182"/>
      <c r="U1064" s="177"/>
      <c r="V1064" s="177"/>
      <c r="W1064" s="177"/>
      <c r="X1064" s="176"/>
      <c r="Y1064" s="177"/>
      <c r="Z1064" s="415">
        <v>6</v>
      </c>
      <c r="AA1064" s="488" t="s">
        <v>10621</v>
      </c>
      <c r="AB1064" s="594"/>
      <c r="AC1064" s="595"/>
      <c r="AD1064" s="596" t="str">
        <f>IF(AND(AC1064&lt;&gt;"",S1064&lt;&gt;""),NETWORKDAYS(AC1064,S1064,#REF!),"")</f>
        <v/>
      </c>
      <c r="AE1064" s="596" t="str">
        <f ca="1">IF(AND(AD1064="",AC1064=""),"",IF(OR(AD1064&lt;&gt;"",O1064="*CANCELADO"),"",NETWORKDAYS(AC1064,TODAY(),#REF!)))</f>
        <v/>
      </c>
      <c r="AF1064" s="597" t="str">
        <f>IFERROR(INDEX(produtos_escape2!M:M,MATCH(Controle!H1064,produtos_escape2!A:A,0)),"")</f>
        <v>CAMPO SIMPLES BRIM PESADO 150X150cm</v>
      </c>
    </row>
    <row r="1065" spans="1:32" ht="14.25" customHeight="1">
      <c r="A1065" s="176" t="s">
        <v>8174</v>
      </c>
      <c r="B1065" s="176" t="s">
        <v>7207</v>
      </c>
      <c r="C1065" s="177">
        <v>44097</v>
      </c>
      <c r="D1065" s="176" t="s">
        <v>9950</v>
      </c>
      <c r="E1065" s="176" t="s">
        <v>1866</v>
      </c>
      <c r="F1065" s="259" t="s">
        <v>9951</v>
      </c>
      <c r="G1065" s="176">
        <v>6</v>
      </c>
      <c r="H1065" s="178">
        <v>13958</v>
      </c>
      <c r="I1065" s="592">
        <f t="shared" si="37"/>
        <v>1</v>
      </c>
      <c r="J1065" s="178" t="s">
        <v>816</v>
      </c>
      <c r="K1065" s="178" t="s">
        <v>816</v>
      </c>
      <c r="L1065" s="275" t="str">
        <f>IF(H:H=0,"",IF(ISERROR(VLOOKUP(H:H,produtos_escape2!$A$2:$B$2794,2,FALSE)),"Código não cadastrado",(VLOOKUP(H:H,produtos_escape2!$A$2:$B$2794,2,FALSE))))</f>
        <v>CAMPO SIMPLES 90X90cm, Aplicação: procedimento cirúrgico, Material: Tecido liso, cor azul e 100% algodão, Linha 100% algodão, Tamanho: 90x90cm, Características: Peça simples com costura reta e overlock com linha 100% algodão, Tecido com armação sarja 2x1cm², gramatura mínima 190g/m², fio urdume título 20, fio de trama título 16, encolhimento máximo 3%, variação de largura ± 2%, variação de peso ± 5g, Variação de medida do produto acabado ± 3 cm, Apresentar no campo a logomarca da SES-DF/HRG medindo 15x15cm centralizada e a sigla do hospital em todos os cantos do campo, Forma de Apresentação: Embalagem primária em saco plástico com 10 unidades e secundaria em caixa de papelão com no máximo 100 unidades, Unidade de Estoque: Unidade, Unidade de fornecimento: Unidade</v>
      </c>
      <c r="M1065" s="593" t="str">
        <f>IF(H:H=0,"",IF(ISERROR(VLOOKUP(H:H,produtos_escape2!$A$2:$D$2794,2,FALSE)),"Código não cadastrado",(VLOOKUP(H:H,produtos_escape2!$A$2:$D$2794,4,FALSE))))</f>
        <v>UN</v>
      </c>
      <c r="N1065" s="486">
        <v>1000</v>
      </c>
      <c r="O1065" s="176" t="s">
        <v>1868</v>
      </c>
      <c r="P1065" s="486"/>
      <c r="Q1065" s="247"/>
      <c r="R1065" s="246">
        <f t="shared" si="36"/>
        <v>0</v>
      </c>
      <c r="S1065" s="177">
        <v>44180</v>
      </c>
      <c r="T1065" s="182"/>
      <c r="U1065" s="177"/>
      <c r="V1065" s="177"/>
      <c r="W1065" s="177"/>
      <c r="X1065" s="176"/>
      <c r="Y1065" s="177"/>
      <c r="Z1065" s="415">
        <v>6</v>
      </c>
      <c r="AA1065" s="488" t="s">
        <v>10621</v>
      </c>
      <c r="AB1065" s="594"/>
      <c r="AC1065" s="595"/>
      <c r="AD1065" s="596" t="str">
        <f>IF(AND(AC1065&lt;&gt;"",S1065&lt;&gt;""),NETWORKDAYS(AC1065,S1065,#REF!),"")</f>
        <v/>
      </c>
      <c r="AE1065" s="596" t="str">
        <f ca="1">IF(AND(AD1065="",AC1065=""),"",IF(OR(AD1065&lt;&gt;"",O1065="*CANCELADO"),"",NETWORKDAYS(AC1065,TODAY(),#REF!)))</f>
        <v/>
      </c>
      <c r="AF1065" s="597" t="str">
        <f>IFERROR(INDEX(produtos_escape2!M:M,MATCH(Controle!H1065,produtos_escape2!A:A,0)),"")</f>
        <v>CAMPO SIMPLES 90X90cm</v>
      </c>
    </row>
    <row r="1066" spans="1:32" ht="14.25" customHeight="1">
      <c r="A1066" s="176" t="s">
        <v>8174</v>
      </c>
      <c r="B1066" s="176" t="s">
        <v>7207</v>
      </c>
      <c r="C1066" s="177">
        <v>44097</v>
      </c>
      <c r="D1066" s="176" t="s">
        <v>9950</v>
      </c>
      <c r="E1066" s="176" t="s">
        <v>1866</v>
      </c>
      <c r="F1066" s="259" t="s">
        <v>9951</v>
      </c>
      <c r="G1066" s="176">
        <v>7</v>
      </c>
      <c r="H1066" s="178">
        <v>15383</v>
      </c>
      <c r="I1066" s="592">
        <f t="shared" si="37"/>
        <v>1</v>
      </c>
      <c r="J1066" s="178" t="s">
        <v>816</v>
      </c>
      <c r="K1066" s="178" t="s">
        <v>816</v>
      </c>
      <c r="L1066" s="275" t="str">
        <f>IF(H:H=0,"",IF(ISERROR(VLOOKUP(H:H,produtos_escape2!$A$2:$B$2794,2,FALSE)),"Código não cadastrado",(VLOOKUP(H:H,produtos_escape2!$A$2:$B$2794,2,FALSE))))</f>
        <v>CAMPO DUPLO ALGODÃO CRU LISO 170x170 cm, Aplicação: embalagem de bandejas e pacotes, Material: Tecido algodão cru liso, 100% algodão, Linha 100% algodão, Tamanho: 170x170cm,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15383.</v>
      </c>
      <c r="M1066" s="593" t="str">
        <f>IF(H:H=0,"",IF(ISERROR(VLOOKUP(H:H,produtos_escape2!$A$2:$D$2794,2,FALSE)),"Código não cadastrado",(VLOOKUP(H:H,produtos_escape2!$A$2:$D$2794,4,FALSE))))</f>
        <v>UN</v>
      </c>
      <c r="N1066" s="486">
        <v>500</v>
      </c>
      <c r="O1066" s="176" t="s">
        <v>1868</v>
      </c>
      <c r="P1066" s="486"/>
      <c r="Q1066" s="247"/>
      <c r="R1066" s="246">
        <f t="shared" si="36"/>
        <v>0</v>
      </c>
      <c r="S1066" s="177">
        <v>44180</v>
      </c>
      <c r="T1066" s="182"/>
      <c r="U1066" s="177"/>
      <c r="V1066" s="177"/>
      <c r="W1066" s="177"/>
      <c r="X1066" s="176"/>
      <c r="Y1066" s="177"/>
      <c r="Z1066" s="415">
        <v>6</v>
      </c>
      <c r="AA1066" s="488" t="s">
        <v>10621</v>
      </c>
      <c r="AB1066" s="594"/>
      <c r="AC1066" s="595"/>
      <c r="AD1066" s="596" t="str">
        <f>IF(AND(AC1066&lt;&gt;"",S1066&lt;&gt;""),NETWORKDAYS(AC1066,S1066,#REF!),"")</f>
        <v/>
      </c>
      <c r="AE1066" s="596" t="str">
        <f ca="1">IF(AND(AD1066="",AC1066=""),"",IF(OR(AD1066&lt;&gt;"",O1066="*CANCELADO"),"",NETWORKDAYS(AC1066,TODAY(),#REF!)))</f>
        <v/>
      </c>
      <c r="AF1066" s="597" t="str">
        <f>IFERROR(INDEX(produtos_escape2!M:M,MATCH(Controle!H1066,produtos_escape2!A:A,0)),"")</f>
        <v>CAMPO DUPLO ALGODÃO CRU LISO 170x170 cm</v>
      </c>
    </row>
    <row r="1067" spans="1:32" ht="14.25" customHeight="1">
      <c r="A1067" s="176" t="s">
        <v>8174</v>
      </c>
      <c r="B1067" s="176" t="s">
        <v>7207</v>
      </c>
      <c r="C1067" s="177">
        <v>44097</v>
      </c>
      <c r="D1067" s="176" t="s">
        <v>9950</v>
      </c>
      <c r="E1067" s="176" t="s">
        <v>1866</v>
      </c>
      <c r="F1067" s="259" t="s">
        <v>9951</v>
      </c>
      <c r="G1067" s="176">
        <v>8</v>
      </c>
      <c r="H1067" s="178">
        <v>16207</v>
      </c>
      <c r="I1067" s="592">
        <f t="shared" si="37"/>
        <v>1</v>
      </c>
      <c r="J1067" s="178" t="s">
        <v>816</v>
      </c>
      <c r="K1067" s="178" t="s">
        <v>816</v>
      </c>
      <c r="L1067" s="275" t="str">
        <f>IF(H:H=0,"",IF(ISERROR(VLOOKUP(H:H,produtos_escape2!$A$2:$B$2794,2,FALSE)),"Código não cadastrado",(VLOOKUP(H:H,produtos_escape2!$A$2:$B$2794,2,FALSE))))</f>
        <v>CAMPO DUPLO ALGODÃO CRU LISO 150x150 cm, Aplicação: embalagem de bandejas e pacotes, Material: Tecido algodão cru liso, 100% algodão, Linha 100% algodão, Tamanho: 150x150cm, Características: Peça dupla costura reta, Tecido algodão cru armação sarja 2x1cm², gramatura mínima 210g/m², fio de urdume título 20, fio de trama título 16, encolhimento até 08% na trama e 15% no urdume, variação de peso ± 5g, Variação de medida do produto acabado ± 3 cm, Apresentar no campo a logomarca da SES-DF/HRG centralizada, medindo 22x22 cm e a sigla do hospital em todos os cantos do campo, Forma de Apresentação: Embalagem primária em saco plástico com no máximo 10 unidades e secundaria em caixa de papelão com no máximo 100 unidades, Unidade de Estoque: Unidade, Unidade de fornecimento: Unidade, Código SES: 16207.</v>
      </c>
      <c r="M1067" s="593" t="str">
        <f>IF(H:H=0,"",IF(ISERROR(VLOOKUP(H:H,produtos_escape2!$A$2:$D$2794,2,FALSE)),"Código não cadastrado",(VLOOKUP(H:H,produtos_escape2!$A$2:$D$2794,4,FALSE))))</f>
        <v>UN</v>
      </c>
      <c r="N1067" s="486">
        <v>500</v>
      </c>
      <c r="O1067" s="176" t="s">
        <v>1868</v>
      </c>
      <c r="P1067" s="486"/>
      <c r="Q1067" s="247"/>
      <c r="R1067" s="246">
        <f t="shared" si="36"/>
        <v>0</v>
      </c>
      <c r="S1067" s="177">
        <v>44180</v>
      </c>
      <c r="T1067" s="182"/>
      <c r="U1067" s="177"/>
      <c r="V1067" s="177"/>
      <c r="W1067" s="177"/>
      <c r="X1067" s="176"/>
      <c r="Y1067" s="177"/>
      <c r="Z1067" s="415">
        <v>6</v>
      </c>
      <c r="AA1067" s="488" t="s">
        <v>10621</v>
      </c>
      <c r="AB1067" s="594"/>
      <c r="AC1067" s="595"/>
      <c r="AD1067" s="596" t="str">
        <f>IF(AND(AC1067&lt;&gt;"",S1067&lt;&gt;""),NETWORKDAYS(AC1067,S1067,#REF!),"")</f>
        <v/>
      </c>
      <c r="AE1067" s="596" t="str">
        <f ca="1">IF(AND(AD1067="",AC1067=""),"",IF(OR(AD1067&lt;&gt;"",O1067="*CANCELADO"),"",NETWORKDAYS(AC1067,TODAY(),#REF!)))</f>
        <v/>
      </c>
      <c r="AF1067" s="597" t="str">
        <f>IFERROR(INDEX(produtos_escape2!M:M,MATCH(Controle!H1067,produtos_escape2!A:A,0)),"")</f>
        <v>CAMPO DUPLO ALGODÃO CRU LISO 150x150 cm</v>
      </c>
    </row>
    <row r="1068" spans="1:32" ht="14.25" customHeight="1">
      <c r="A1068" s="176" t="s">
        <v>8176</v>
      </c>
      <c r="B1068" s="176" t="s">
        <v>7207</v>
      </c>
      <c r="C1068" s="177">
        <v>44097</v>
      </c>
      <c r="D1068" s="176" t="s">
        <v>9953</v>
      </c>
      <c r="E1068" s="176" t="s">
        <v>1866</v>
      </c>
      <c r="F1068" s="259" t="s">
        <v>9952</v>
      </c>
      <c r="G1068" s="176">
        <v>1</v>
      </c>
      <c r="H1068" s="178">
        <v>37003</v>
      </c>
      <c r="I1068" s="592">
        <f t="shared" si="37"/>
        <v>1</v>
      </c>
      <c r="J1068" s="178" t="s">
        <v>816</v>
      </c>
      <c r="K1068" s="178" t="s">
        <v>816</v>
      </c>
      <c r="L1068" s="275" t="str">
        <f>IF(H:H=0,"",IF(ISERROR(VLOOKUP(H:H,produtos_escape2!$A$2:$B$2794,2,FALSE)),"Código não cadastrado",(VLOOKUP(H:H,produtos_escape2!$A$2:$B$2794,2,FALSE))))</f>
        <v>CONJUNTO PRIVATIVO CME  Tamanho M.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1068" s="593" t="str">
        <f>IF(H:H=0,"",IF(ISERROR(VLOOKUP(H:H,produtos_escape2!$A$2:$D$2794,2,FALSE)),"Código não cadastrado",(VLOOKUP(H:H,produtos_escape2!$A$2:$D$2794,4,FALSE))))</f>
        <v>UN</v>
      </c>
      <c r="N1068" s="486">
        <v>50</v>
      </c>
      <c r="O1068" s="176" t="s">
        <v>1868</v>
      </c>
      <c r="P1068" s="486"/>
      <c r="Q1068" s="247"/>
      <c r="R1068" s="246">
        <f t="shared" ref="R1068:R1131" si="38">P1068*Q1068</f>
        <v>0</v>
      </c>
      <c r="S1068" s="177">
        <v>44180</v>
      </c>
      <c r="T1068" s="182"/>
      <c r="U1068" s="177"/>
      <c r="V1068" s="177"/>
      <c r="W1068" s="177"/>
      <c r="X1068" s="176"/>
      <c r="Y1068" s="177"/>
      <c r="Z1068" s="415">
        <v>6</v>
      </c>
      <c r="AA1068" s="488" t="s">
        <v>10621</v>
      </c>
      <c r="AB1068" s="594"/>
      <c r="AC1068" s="595"/>
      <c r="AD1068" s="596" t="str">
        <f>IF(AND(AC1068&lt;&gt;"",S1068&lt;&gt;""),NETWORKDAYS(AC1068,S1068,#REF!),"")</f>
        <v/>
      </c>
      <c r="AE1068" s="596" t="str">
        <f ca="1">IF(AND(AD1068="",AC1068=""),"",IF(OR(AD1068&lt;&gt;"",O1068="*CANCELADO"),"",NETWORKDAYS(AC1068,TODAY(),#REF!)))</f>
        <v/>
      </c>
      <c r="AF1068" s="597" t="str">
        <f>IFERROR(INDEX(produtos_escape2!M:M,MATCH(Controle!H1068,produtos_escape2!A:A,0)),"")</f>
        <v>CONJUNTO PRIVATIVO CME  Tamanho M</v>
      </c>
    </row>
    <row r="1069" spans="1:32" ht="14.25" customHeight="1">
      <c r="A1069" s="176" t="s">
        <v>8176</v>
      </c>
      <c r="B1069" s="176" t="s">
        <v>7207</v>
      </c>
      <c r="C1069" s="177">
        <v>44097</v>
      </c>
      <c r="D1069" s="176" t="s">
        <v>9953</v>
      </c>
      <c r="E1069" s="176" t="s">
        <v>1866</v>
      </c>
      <c r="F1069" s="259" t="s">
        <v>9952</v>
      </c>
      <c r="G1069" s="176">
        <v>2</v>
      </c>
      <c r="H1069" s="178">
        <v>37004</v>
      </c>
      <c r="I1069" s="592">
        <f t="shared" si="37"/>
        <v>1</v>
      </c>
      <c r="J1069" s="178" t="s">
        <v>816</v>
      </c>
      <c r="K1069" s="178" t="s">
        <v>816</v>
      </c>
      <c r="L1069" s="275" t="str">
        <f>IF(H:H=0,"",IF(ISERROR(VLOOKUP(H:H,produtos_escape2!$A$2:$B$2794,2,FALSE)),"Código não cadastrado",(VLOOKUP(H:H,produtos_escape2!$A$2:$B$2794,2,FALSE))))</f>
        <v>CONJUNTO PRIVATIVO CME  Tamanho 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41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1069" s="593" t="str">
        <f>IF(H:H=0,"",IF(ISERROR(VLOOKUP(H:H,produtos_escape2!$A$2:$D$2794,2,FALSE)),"Código não cadastrado",(VLOOKUP(H:H,produtos_escape2!$A$2:$D$2794,4,FALSE))))</f>
        <v>UN</v>
      </c>
      <c r="N1069" s="486">
        <v>40</v>
      </c>
      <c r="O1069" s="176" t="s">
        <v>1868</v>
      </c>
      <c r="P1069" s="486"/>
      <c r="Q1069" s="247"/>
      <c r="R1069" s="246">
        <f t="shared" si="38"/>
        <v>0</v>
      </c>
      <c r="S1069" s="177">
        <v>44180</v>
      </c>
      <c r="T1069" s="182"/>
      <c r="U1069" s="177"/>
      <c r="V1069" s="177"/>
      <c r="W1069" s="177"/>
      <c r="X1069" s="176"/>
      <c r="Y1069" s="177"/>
      <c r="Z1069" s="415">
        <v>6</v>
      </c>
      <c r="AA1069" s="488" t="s">
        <v>10621</v>
      </c>
      <c r="AB1069" s="594"/>
      <c r="AC1069" s="595"/>
      <c r="AD1069" s="596" t="str">
        <f>IF(AND(AC1069&lt;&gt;"",S1069&lt;&gt;""),NETWORKDAYS(AC1069,S1069,#REF!),"")</f>
        <v/>
      </c>
      <c r="AE1069" s="596" t="str">
        <f ca="1">IF(AND(AD1069="",AC1069=""),"",IF(OR(AD1069&lt;&gt;"",O1069="*CANCELADO"),"",NETWORKDAYS(AC1069,TODAY(),#REF!)))</f>
        <v/>
      </c>
      <c r="AF1069" s="597" t="str">
        <f>IFERROR(INDEX(produtos_escape2!M:M,MATCH(Controle!H1069,produtos_escape2!A:A,0)),"")</f>
        <v>CONJUNTO PRIVATIVO CME  Tamanho G</v>
      </c>
    </row>
    <row r="1070" spans="1:32" ht="14.25" customHeight="1">
      <c r="A1070" s="176" t="s">
        <v>8176</v>
      </c>
      <c r="B1070" s="176" t="s">
        <v>7207</v>
      </c>
      <c r="C1070" s="177">
        <v>44097</v>
      </c>
      <c r="D1070" s="176" t="s">
        <v>9953</v>
      </c>
      <c r="E1070" s="176" t="s">
        <v>1866</v>
      </c>
      <c r="F1070" s="259" t="s">
        <v>9952</v>
      </c>
      <c r="G1070" s="176">
        <v>3</v>
      </c>
      <c r="H1070" s="178">
        <v>37005</v>
      </c>
      <c r="I1070" s="592">
        <f t="shared" si="37"/>
        <v>1</v>
      </c>
      <c r="J1070" s="178" t="s">
        <v>816</v>
      </c>
      <c r="K1070" s="178" t="s">
        <v>816</v>
      </c>
      <c r="L1070" s="275" t="str">
        <f>IF(H:H=0,"",IF(ISERROR(VLOOKUP(H:H,produtos_escape2!$A$2:$B$2794,2,FALSE)),"Código não cadastrado",(VLOOKUP(H:H,produtos_escape2!$A$2:$B$2794,2,FALSE))))</f>
        <v>CONJUNTO PRIVATIVO CME  Tamanho 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43 cm
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1070" s="593" t="str">
        <f>IF(H:H=0,"",IF(ISERROR(VLOOKUP(H:H,produtos_escape2!$A$2:$D$2794,2,FALSE)),"Código não cadastrado",(VLOOKUP(H:H,produtos_escape2!$A$2:$D$2794,4,FALSE))))</f>
        <v>UN</v>
      </c>
      <c r="N1070" s="486">
        <v>30</v>
      </c>
      <c r="O1070" s="176" t="s">
        <v>1868</v>
      </c>
      <c r="P1070" s="486"/>
      <c r="Q1070" s="247"/>
      <c r="R1070" s="246">
        <f t="shared" si="38"/>
        <v>0</v>
      </c>
      <c r="S1070" s="177">
        <v>44180</v>
      </c>
      <c r="T1070" s="182"/>
      <c r="U1070" s="177"/>
      <c r="V1070" s="177"/>
      <c r="W1070" s="177"/>
      <c r="X1070" s="176"/>
      <c r="Y1070" s="177"/>
      <c r="Z1070" s="415">
        <v>6</v>
      </c>
      <c r="AA1070" s="488" t="s">
        <v>10621</v>
      </c>
      <c r="AB1070" s="594"/>
      <c r="AC1070" s="595"/>
      <c r="AD1070" s="596" t="str">
        <f>IF(AND(AC1070&lt;&gt;"",S1070&lt;&gt;""),NETWORKDAYS(AC1070,S1070,#REF!),"")</f>
        <v/>
      </c>
      <c r="AE1070" s="596" t="str">
        <f ca="1">IF(AND(AD1070="",AC1070=""),"",IF(OR(AD1070&lt;&gt;"",O1070="*CANCELADO"),"",NETWORKDAYS(AC1070,TODAY(),#REF!)))</f>
        <v/>
      </c>
      <c r="AF1070" s="597" t="str">
        <f>IFERROR(INDEX(produtos_escape2!M:M,MATCH(Controle!H1070,produtos_escape2!A:A,0)),"")</f>
        <v>CONJUNTO PRIVATIVO CME  Tamanho GG</v>
      </c>
    </row>
    <row r="1071" spans="1:32" ht="14.25" customHeight="1">
      <c r="A1071" s="176" t="s">
        <v>8176</v>
      </c>
      <c r="B1071" s="176" t="s">
        <v>7207</v>
      </c>
      <c r="C1071" s="177">
        <v>44097</v>
      </c>
      <c r="D1071" s="176" t="s">
        <v>9953</v>
      </c>
      <c r="E1071" s="176" t="s">
        <v>1866</v>
      </c>
      <c r="F1071" s="259" t="s">
        <v>9952</v>
      </c>
      <c r="G1071" s="176">
        <v>4</v>
      </c>
      <c r="H1071" s="178">
        <v>37009</v>
      </c>
      <c r="I1071" s="592">
        <f t="shared" si="37"/>
        <v>1</v>
      </c>
      <c r="J1071" s="178" t="s">
        <v>816</v>
      </c>
      <c r="K1071" s="178" t="s">
        <v>816</v>
      </c>
      <c r="L1071" s="275" t="str">
        <f>IF(H:H=0,"",IF(ISERROR(VLOOKUP(H:H,produtos_escape2!$A$2:$B$2794,2,FALSE)),"Código não cadastrado",(VLOOKUP(H:H,produtos_escape2!$A$2:$B$2794,2,FALSE))))</f>
        <v>CONJUNTO PRIVATIVO CME  Tamanho EGG. De acordo com as normas ABNT NBR 16060:2012; NBR 14726:2001 e NBR 12071:2002.
Aplicação: para servidor que atua em CME. Material: tecido tela pré-lavado e pré encolhido, liso, cor azul royal, em tecido composição sarja 2:1;  67% poliéster e 33% algodão, gramatura mínima 225 gr/m², com variação de ±5%. Linha 100% algodão. Manequim: 64. Características: conjunto feito com costura dupla com linha 100% algodão, com acabamento em overlock com linha 100% algodão.
MEDIDAS:
CAMISA:
Comprimento total (soma da extensão posterior do tronco com o comprimento da cintura ao terço proximal da coxa): 102 cm
Perímetro do pescoço: 52 cm
Perímetro do tórax: 146 cm
Contorno de cava: 62 cm
Comprimento manga curta: 29,5 cm
Perímetro do bíceps: 56 cm
Comprimento ombro a ombro: 60 cm
Extensão posterior do tronco: 51 cm
Dimensões dos bolsos: 20 X 16 cm
CALÇA:
Perímetro da cintura: 128 cm
Perímetro do quadril: 160 cm
Perímetro da coxa e perna: 96 cm
Comprimento da cintura ao solo: 120 cm
Altura do entrepernas: 95 cm
Comprimento  consolidado do gancho dianteiro e do gancho traseiro: 89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CME,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v>
      </c>
      <c r="M1071" s="593" t="str">
        <f>IF(H:H=0,"",IF(ISERROR(VLOOKUP(H:H,produtos_escape2!$A$2:$D$2794,2,FALSE)),"Código não cadastrado",(VLOOKUP(H:H,produtos_escape2!$A$2:$D$2794,4,FALSE))))</f>
        <v>UN</v>
      </c>
      <c r="N1071" s="486">
        <v>20</v>
      </c>
      <c r="O1071" s="176" t="s">
        <v>1868</v>
      </c>
      <c r="P1071" s="486"/>
      <c r="Q1071" s="247"/>
      <c r="R1071" s="246">
        <f t="shared" si="38"/>
        <v>0</v>
      </c>
      <c r="S1071" s="177">
        <v>44180</v>
      </c>
      <c r="T1071" s="182"/>
      <c r="U1071" s="177"/>
      <c r="V1071" s="177"/>
      <c r="W1071" s="177"/>
      <c r="X1071" s="176"/>
      <c r="Y1071" s="177"/>
      <c r="Z1071" s="415">
        <v>6</v>
      </c>
      <c r="AA1071" s="488" t="s">
        <v>10621</v>
      </c>
      <c r="AB1071" s="594"/>
      <c r="AC1071" s="595"/>
      <c r="AD1071" s="596" t="str">
        <f>IF(AND(AC1071&lt;&gt;"",S1071&lt;&gt;""),NETWORKDAYS(AC1071,S1071,#REF!),"")</f>
        <v/>
      </c>
      <c r="AE1071" s="596" t="str">
        <f ca="1">IF(AND(AD1071="",AC1071=""),"",IF(OR(AD1071&lt;&gt;"",O1071="*CANCELADO"),"",NETWORKDAYS(AC1071,TODAY(),#REF!)))</f>
        <v/>
      </c>
      <c r="AF1071" s="597" t="str">
        <f>IFERROR(INDEX(produtos_escape2!M:M,MATCH(Controle!H1071,produtos_escape2!A:A,0)),"")</f>
        <v>CONJUNTO PRIVATIVO CME  Tamanho EGG.</v>
      </c>
    </row>
    <row r="1072" spans="1:32" ht="14.25" customHeight="1">
      <c r="A1072" s="176" t="s">
        <v>8176</v>
      </c>
      <c r="B1072" s="176" t="s">
        <v>7207</v>
      </c>
      <c r="C1072" s="177">
        <v>44097</v>
      </c>
      <c r="D1072" s="176" t="s">
        <v>9953</v>
      </c>
      <c r="E1072" s="176" t="s">
        <v>1866</v>
      </c>
      <c r="F1072" s="259" t="s">
        <v>9952</v>
      </c>
      <c r="G1072" s="176">
        <v>5</v>
      </c>
      <c r="H1072" s="178">
        <v>12726</v>
      </c>
      <c r="I1072" s="592">
        <f t="shared" si="37"/>
        <v>1</v>
      </c>
      <c r="J1072" s="178" t="s">
        <v>816</v>
      </c>
      <c r="K1072" s="178" t="s">
        <v>816</v>
      </c>
      <c r="L1072" s="275" t="str">
        <f>IF(H:H=0,"",IF(ISERROR(VLOOKUP(H:H,produtos_escape2!$A$2:$B$2794,2,FALSE)),"Código não cadastrado",(VLOOKUP(H:H,produtos_escape2!$A$2:$B$2794,2,FALSE))))</f>
        <v>FRONHA MAYO, Aplicação: Cobrir mesa de mayo, Mterial: Cretone azul,Tamanho: 62cm x 1,30 cm, Caracteristicas: Tecido 100% algodão estampado com logotipo SES em toda extensão, Peso m2: 150 a 160g ,Armação do tecido 1x1, Fios: fio 20 com 60 no urdume  e 60 na trama por polegada2, total 120 fios, Encilhimento: 08% no urdume e 04% na trama,Peça simples em fotma de saco com costuras laterais</v>
      </c>
      <c r="M1072" s="593" t="str">
        <f>IF(H:H=0,"",IF(ISERROR(VLOOKUP(H:H,produtos_escape2!$A$2:$D$2794,2,FALSE)),"Código não cadastrado",(VLOOKUP(H:H,produtos_escape2!$A$2:$D$2794,4,FALSE))))</f>
        <v>UN</v>
      </c>
      <c r="N1072" s="486">
        <v>800</v>
      </c>
      <c r="O1072" s="176" t="s">
        <v>1868</v>
      </c>
      <c r="P1072" s="486"/>
      <c r="Q1072" s="247"/>
      <c r="R1072" s="246">
        <f t="shared" si="38"/>
        <v>0</v>
      </c>
      <c r="S1072" s="177">
        <v>44180</v>
      </c>
      <c r="T1072" s="182"/>
      <c r="U1072" s="177"/>
      <c r="V1072" s="177"/>
      <c r="W1072" s="177"/>
      <c r="X1072" s="176"/>
      <c r="Y1072" s="177"/>
      <c r="Z1072" s="415">
        <v>6</v>
      </c>
      <c r="AA1072" s="488" t="s">
        <v>10621</v>
      </c>
      <c r="AB1072" s="594"/>
      <c r="AC1072" s="595"/>
      <c r="AD1072" s="596" t="str">
        <f>IF(AND(AC1072&lt;&gt;"",S1072&lt;&gt;""),NETWORKDAYS(AC1072,S1072,#REF!),"")</f>
        <v/>
      </c>
      <c r="AE1072" s="596" t="str">
        <f ca="1">IF(AND(AD1072="",AC1072=""),"",IF(OR(AD1072&lt;&gt;"",O1072="*CANCELADO"),"",NETWORKDAYS(AC1072,TODAY(),#REF!)))</f>
        <v/>
      </c>
      <c r="AF1072" s="597" t="str">
        <f>IFERROR(INDEX(produtos_escape2!M:M,MATCH(Controle!H1072,produtos_escape2!A:A,0)),"")</f>
        <v>FRONHA MAYO,</v>
      </c>
    </row>
    <row r="1073" spans="1:32" ht="14.25" customHeight="1">
      <c r="A1073" s="176" t="s">
        <v>9227</v>
      </c>
      <c r="B1073" s="176" t="s">
        <v>3608</v>
      </c>
      <c r="C1073" s="177">
        <v>44099</v>
      </c>
      <c r="D1073" s="176" t="s">
        <v>9983</v>
      </c>
      <c r="E1073" s="176" t="s">
        <v>1867</v>
      </c>
      <c r="F1073" s="259" t="s">
        <v>9982</v>
      </c>
      <c r="G1073" s="176">
        <v>1</v>
      </c>
      <c r="H1073" s="178">
        <v>95312</v>
      </c>
      <c r="I1073" s="592">
        <f t="shared" si="37"/>
        <v>2</v>
      </c>
      <c r="J1073" s="178" t="s">
        <v>816</v>
      </c>
      <c r="K1073" s="178" t="s">
        <v>816</v>
      </c>
      <c r="L1073" s="275" t="str">
        <f>IF(H:H=0,"",IF(ISERROR(VLOOKUP(H:H,produtos_escape2!$A$2:$B$2794,2,FALSE)),"Código não cadastrado",(VLOOKUP(H:H,produtos_escape2!$A$2:$B$2794,2,FALSE))))</f>
        <v>CONJUNTO  PARA DETERMINAÇÃO DE PCR AUTOMAÇÃO</v>
      </c>
      <c r="M1073" s="593" t="str">
        <f>IF(H:H=0,"",IF(ISERROR(VLOOKUP(H:H,produtos_escape2!$A$2:$D$2794,2,FALSE)),"Código não cadastrado",(VLOOKUP(H:H,produtos_escape2!$A$2:$D$2794,4,FALSE))))</f>
        <v>CJ</v>
      </c>
      <c r="N1073" s="486">
        <v>600</v>
      </c>
      <c r="O1073" s="176" t="s">
        <v>9278</v>
      </c>
      <c r="P1073" s="486">
        <v>571</v>
      </c>
      <c r="Q1073" s="247">
        <v>7.51</v>
      </c>
      <c r="R1073" s="246">
        <f t="shared" si="38"/>
        <v>4288.21</v>
      </c>
      <c r="S1073" s="177">
        <v>44113</v>
      </c>
      <c r="T1073" s="182">
        <v>157713</v>
      </c>
      <c r="U1073" s="177">
        <v>44113</v>
      </c>
      <c r="V1073" s="177">
        <v>44117</v>
      </c>
      <c r="W1073" s="177">
        <v>44125</v>
      </c>
      <c r="X1073" s="176">
        <v>18102</v>
      </c>
      <c r="Y1073" s="177">
        <v>44146</v>
      </c>
      <c r="Z1073" s="415">
        <v>6</v>
      </c>
      <c r="AA1073" s="488" t="s">
        <v>9984</v>
      </c>
      <c r="AB1073" s="594"/>
      <c r="AC1073" s="595"/>
      <c r="AD1073" s="596" t="str">
        <f>IF(AND(AC1073&lt;&gt;"",S1073&lt;&gt;""),NETWORKDAYS(AC1073,S1073,#REF!),"")</f>
        <v/>
      </c>
      <c r="AE1073" s="596" t="str">
        <f ca="1">IF(AND(AD1073="",AC1073=""),"",IF(OR(AD1073&lt;&gt;"",O1073="*CANCELADO"),"",NETWORKDAYS(AC1073,TODAY(),#REF!)))</f>
        <v/>
      </c>
      <c r="AF1073" s="597" t="str">
        <f>IFERROR(INDEX(produtos_escape2!M:M,MATCH(Controle!H1073,produtos_escape2!A:A,0)),"")</f>
        <v>CONJUNTO  PARA DETERMINAÇÃO DE PCR AUTOMAÇÃO</v>
      </c>
    </row>
    <row r="1074" spans="1:32" ht="14.25" customHeight="1">
      <c r="A1074" s="176" t="s">
        <v>9225</v>
      </c>
      <c r="B1074" s="176" t="s">
        <v>3608</v>
      </c>
      <c r="C1074" s="177">
        <v>44099</v>
      </c>
      <c r="D1074" s="176" t="s">
        <v>9985</v>
      </c>
      <c r="E1074" s="176" t="s">
        <v>3009</v>
      </c>
      <c r="F1074" s="259" t="s">
        <v>9986</v>
      </c>
      <c r="G1074" s="176">
        <v>1</v>
      </c>
      <c r="H1074" s="178">
        <v>90074</v>
      </c>
      <c r="I1074" s="592">
        <f t="shared" si="37"/>
        <v>1</v>
      </c>
      <c r="J1074" s="178" t="s">
        <v>816</v>
      </c>
      <c r="K1074" s="178" t="s">
        <v>816</v>
      </c>
      <c r="L1074" s="275" t="str">
        <f>IF(H:H=0,"",IF(ISERROR(VLOOKUP(H:H,produtos_escape2!$A$2:$B$2794,2,FALSE)),"Código não cadastrado",(VLOOKUP(H:H,produtos_escape2!$A$2:$B$2794,2,FALSE))))</f>
        <v>DIAZEPAM SOLUCAO INJETAVEL 5 MG/ML AMPOLA 2 ML</v>
      </c>
      <c r="M1074" s="593" t="str">
        <f>IF(H:H=0,"",IF(ISERROR(VLOOKUP(H:H,produtos_escape2!$A$2:$D$2794,2,FALSE)),"Código não cadastrado",(VLOOKUP(H:H,produtos_escape2!$A$2:$D$2794,4,FALSE))))</f>
        <v>AMP</v>
      </c>
      <c r="N1074" s="486">
        <v>360</v>
      </c>
      <c r="O1074" s="176" t="s">
        <v>10075</v>
      </c>
      <c r="P1074" s="486">
        <v>300</v>
      </c>
      <c r="Q1074" s="247">
        <v>0.7</v>
      </c>
      <c r="R1074" s="246">
        <f t="shared" si="38"/>
        <v>210</v>
      </c>
      <c r="S1074" s="177">
        <v>44111</v>
      </c>
      <c r="T1074" s="182">
        <v>9248</v>
      </c>
      <c r="U1074" s="177">
        <v>44118</v>
      </c>
      <c r="V1074" s="177">
        <v>44146</v>
      </c>
      <c r="W1074" s="177">
        <v>44148</v>
      </c>
      <c r="X1074" s="176">
        <v>31354</v>
      </c>
      <c r="Y1074" s="177">
        <v>44167</v>
      </c>
      <c r="Z1074" s="415">
        <v>6</v>
      </c>
      <c r="AA1074" s="488"/>
      <c r="AB1074" s="594"/>
      <c r="AC1074" s="595"/>
      <c r="AD1074" s="596" t="str">
        <f>IF(AND(AC1074&lt;&gt;"",S1074&lt;&gt;""),NETWORKDAYS(AC1074,S1074,#REF!),"")</f>
        <v/>
      </c>
      <c r="AE1074" s="596" t="str">
        <f ca="1">IF(AND(AD1074="",AC1074=""),"",IF(OR(AD1074&lt;&gt;"",O1074="*CANCELADO"),"",NETWORKDAYS(AC1074,TODAY(),#REF!)))</f>
        <v/>
      </c>
      <c r="AF1074" s="597" t="str">
        <f>IFERROR(INDEX(produtos_escape2!M:M,MATCH(Controle!H1074,produtos_escape2!A:A,0)),"")</f>
        <v>DIAZEPAM SOLUCAO INJETAVEL 5 MG/ML AMPOLA 2 ML</v>
      </c>
    </row>
    <row r="1075" spans="1:32" ht="14.25" customHeight="1">
      <c r="A1075" s="176" t="s">
        <v>8179</v>
      </c>
      <c r="B1075" s="176" t="s">
        <v>7207</v>
      </c>
      <c r="C1075" s="177">
        <v>44099</v>
      </c>
      <c r="D1075" s="176" t="s">
        <v>9989</v>
      </c>
      <c r="E1075" s="176" t="s">
        <v>1865</v>
      </c>
      <c r="F1075" s="259" t="s">
        <v>9990</v>
      </c>
      <c r="G1075" s="176">
        <v>1</v>
      </c>
      <c r="H1075" s="178">
        <v>58285</v>
      </c>
      <c r="I1075" s="592">
        <f t="shared" si="37"/>
        <v>2</v>
      </c>
      <c r="J1075" s="178" t="s">
        <v>816</v>
      </c>
      <c r="K1075" s="178" t="s">
        <v>816</v>
      </c>
      <c r="L1075" s="275" t="str">
        <f>IF(H:H=0,"",IF(ISERROR(VLOOKUP(H:H,produtos_escape2!$A$2:$B$2794,2,FALSE)),"Código não cadastrado",(VLOOKUP(H:H,produtos_escape2!$A$2:$B$2794,2,FALSE))))</f>
        <v>ELETRODO DESCARTÁVEL ADULTO PARA ECG E MONITORIZAÇÃO. Aplicação: monitoração eletrocardiográfica e realização de ECG. Material: eletrodo tamanho adulto, autoadesivo, com gel sólido, hipoalergênico e atóxico. Apresentação: Embalagem com no máximo 50 unidades, que permite validade mínima de 30 dias após a sua abertura.</v>
      </c>
      <c r="M1075" s="593" t="str">
        <f>IF(H:H=0,"",IF(ISERROR(VLOOKUP(H:H,produtos_escape2!$A$2:$D$2794,2,FALSE)),"Código não cadastrado",(VLOOKUP(H:H,produtos_escape2!$A$2:$D$2794,4,FALSE))))</f>
        <v>UN</v>
      </c>
      <c r="N1075" s="486">
        <v>40000</v>
      </c>
      <c r="O1075" s="176" t="s">
        <v>7371</v>
      </c>
      <c r="P1075" s="486">
        <v>40000</v>
      </c>
      <c r="Q1075" s="247">
        <v>0.28999999999999998</v>
      </c>
      <c r="R1075" s="246">
        <f t="shared" si="38"/>
        <v>11600</v>
      </c>
      <c r="S1075" s="177">
        <v>44104</v>
      </c>
      <c r="T1075" s="182">
        <v>380907</v>
      </c>
      <c r="U1075" s="177">
        <v>44104</v>
      </c>
      <c r="V1075" s="177">
        <v>44105</v>
      </c>
      <c r="W1075" s="177">
        <v>44105</v>
      </c>
      <c r="X1075" s="176">
        <v>14555</v>
      </c>
      <c r="Y1075" s="177">
        <v>44141</v>
      </c>
      <c r="Z1075" s="415">
        <v>6</v>
      </c>
      <c r="AA1075" s="488"/>
      <c r="AB1075" s="594"/>
      <c r="AC1075" s="595"/>
      <c r="AD1075" s="596" t="str">
        <f>IF(AND(AC1075&lt;&gt;"",S1075&lt;&gt;""),NETWORKDAYS(AC1075,S1075,#REF!),"")</f>
        <v/>
      </c>
      <c r="AE1075" s="596" t="str">
        <f ca="1">IF(AND(AD1075="",AC1075=""),"",IF(OR(AD1075&lt;&gt;"",O1075="*CANCELADO"),"",NETWORKDAYS(AC1075,TODAY(),#REF!)))</f>
        <v/>
      </c>
      <c r="AF1075" s="597" t="str">
        <f>IFERROR(INDEX(produtos_escape2!M:M,MATCH(Controle!H1075,produtos_escape2!A:A,0)),"")</f>
        <v>ELETRODO</v>
      </c>
    </row>
    <row r="1076" spans="1:32" ht="14.25" customHeight="1">
      <c r="A1076" s="176" t="s">
        <v>9242</v>
      </c>
      <c r="B1076" s="176" t="s">
        <v>3608</v>
      </c>
      <c r="C1076" s="177">
        <v>44099</v>
      </c>
      <c r="D1076" s="176" t="s">
        <v>9991</v>
      </c>
      <c r="E1076" s="176" t="s">
        <v>8773</v>
      </c>
      <c r="F1076" s="259" t="s">
        <v>9992</v>
      </c>
      <c r="G1076" s="176">
        <v>1</v>
      </c>
      <c r="H1076" s="178">
        <v>18458</v>
      </c>
      <c r="I1076" s="592">
        <f t="shared" si="37"/>
        <v>3</v>
      </c>
      <c r="J1076" s="178" t="s">
        <v>816</v>
      </c>
      <c r="K1076" s="178" t="s">
        <v>816</v>
      </c>
      <c r="L1076" s="275" t="str">
        <f>IF(H:H=0,"",IF(ISERROR(VLOOKUP(H:H,produtos_escape2!$A$2:$B$2794,2,FALSE)),"Código não cadastrado",(VLOOKUP(H:H,produtos_escape2!$A$2:$B$2794,2,FALSE))))</f>
        <v>ANLODIPINO (BESILATO) COMPRIMIDO 5 MG</v>
      </c>
      <c r="M1076" s="593" t="str">
        <f>IF(H:H=0,"",IF(ISERROR(VLOOKUP(H:H,produtos_escape2!$A$2:$D$2794,2,FALSE)),"Código não cadastrado",(VLOOKUP(H:H,produtos_escape2!$A$2:$D$2794,4,FALSE))))</f>
        <v>CP</v>
      </c>
      <c r="N1076" s="486">
        <v>1800</v>
      </c>
      <c r="O1076" s="176" t="s">
        <v>10075</v>
      </c>
      <c r="P1076" s="486">
        <v>1800</v>
      </c>
      <c r="Q1076" s="247">
        <v>0.08</v>
      </c>
      <c r="R1076" s="246">
        <f t="shared" si="38"/>
        <v>144</v>
      </c>
      <c r="S1076" s="177">
        <v>44111</v>
      </c>
      <c r="T1076" s="182">
        <v>9244</v>
      </c>
      <c r="U1076" s="177">
        <v>44118</v>
      </c>
      <c r="V1076" s="177">
        <v>44119</v>
      </c>
      <c r="W1076" s="177">
        <v>44125</v>
      </c>
      <c r="X1076" s="176">
        <v>14737</v>
      </c>
      <c r="Y1076" s="177">
        <v>44141</v>
      </c>
      <c r="Z1076" s="415">
        <v>6</v>
      </c>
      <c r="AA1076" s="488"/>
      <c r="AB1076" s="594"/>
      <c r="AC1076" s="595"/>
      <c r="AD1076" s="596" t="str">
        <f>IF(AND(AC1076&lt;&gt;"",S1076&lt;&gt;""),NETWORKDAYS(AC1076,S1076,#REF!),"")</f>
        <v/>
      </c>
      <c r="AE1076" s="596" t="str">
        <f ca="1">IF(AND(AD1076="",AC1076=""),"",IF(OR(AD1076&lt;&gt;"",O1076="*CANCELADO"),"",NETWORKDAYS(AC1076,TODAY(),#REF!)))</f>
        <v/>
      </c>
      <c r="AF1076" s="597" t="str">
        <f>IFERROR(INDEX(produtos_escape2!M:M,MATCH(Controle!H1076,produtos_escape2!A:A,0)),"")</f>
        <v>ANLODIPINO</v>
      </c>
    </row>
    <row r="1077" spans="1:32" ht="14.25" customHeight="1">
      <c r="A1077" s="176" t="s">
        <v>9238</v>
      </c>
      <c r="B1077" s="176" t="s">
        <v>3608</v>
      </c>
      <c r="C1077" s="177">
        <v>44099</v>
      </c>
      <c r="D1077" s="176" t="s">
        <v>9993</v>
      </c>
      <c r="E1077" s="176" t="s">
        <v>1867</v>
      </c>
      <c r="F1077" s="259" t="s">
        <v>9994</v>
      </c>
      <c r="G1077" s="176">
        <v>1</v>
      </c>
      <c r="H1077" s="178">
        <v>90291</v>
      </c>
      <c r="I1077" s="592">
        <f t="shared" si="37"/>
        <v>6</v>
      </c>
      <c r="J1077" s="178" t="s">
        <v>816</v>
      </c>
      <c r="K1077" s="178" t="s">
        <v>816</v>
      </c>
      <c r="L1077" s="275" t="str">
        <f>IF(H:H=0,"",IF(ISERROR(VLOOKUP(H:H,produtos_escape2!$A$2:$B$2794,2,FALSE)),"Código não cadastrado",(VLOOKUP(H:H,produtos_escape2!$A$2:$B$2794,2,FALSE))))</f>
        <v>PROPANOLOL (CLORIDRATO) COMPRIMIDO 40 MG</v>
      </c>
      <c r="M1077" s="593" t="str">
        <f>IF(H:H=0,"",IF(ISERROR(VLOOKUP(H:H,produtos_escape2!$A$2:$D$2794,2,FALSE)),"Código não cadastrado",(VLOOKUP(H:H,produtos_escape2!$A$2:$D$2794,4,FALSE))))</f>
        <v>CP</v>
      </c>
      <c r="N1077" s="486">
        <v>500</v>
      </c>
      <c r="O1077" s="176" t="s">
        <v>1868</v>
      </c>
      <c r="P1077" s="486"/>
      <c r="Q1077" s="247"/>
      <c r="R1077" s="246">
        <f t="shared" si="38"/>
        <v>0</v>
      </c>
      <c r="S1077" s="177">
        <v>44112</v>
      </c>
      <c r="T1077" s="182"/>
      <c r="U1077" s="177"/>
      <c r="V1077" s="177"/>
      <c r="W1077" s="177"/>
      <c r="X1077" s="176"/>
      <c r="Y1077" s="177"/>
      <c r="Z1077" s="415">
        <v>5</v>
      </c>
      <c r="AA1077" s="488" t="s">
        <v>7474</v>
      </c>
      <c r="AB1077" s="594"/>
      <c r="AC1077" s="595"/>
      <c r="AD1077" s="596" t="str">
        <f>IF(AND(AC1077&lt;&gt;"",S1077&lt;&gt;""),NETWORKDAYS(AC1077,S1077,#REF!),"")</f>
        <v/>
      </c>
      <c r="AE1077" s="596" t="str">
        <f ca="1">IF(AND(AD1077="",AC1077=""),"",IF(OR(AD1077&lt;&gt;"",O1077="*CANCELADO"),"",NETWORKDAYS(AC1077,TODAY(),#REF!)))</f>
        <v/>
      </c>
      <c r="AF1077" s="597" t="str">
        <f>IFERROR(INDEX(produtos_escape2!M:M,MATCH(Controle!H1077,produtos_escape2!A:A,0)),"")</f>
        <v>PROPANOLOL (CLORIDRATO) COMPRIMIDO 40 MG</v>
      </c>
    </row>
    <row r="1078" spans="1:32" ht="14.25" customHeight="1">
      <c r="A1078" s="176" t="s">
        <v>9234</v>
      </c>
      <c r="B1078" s="176" t="s">
        <v>3608</v>
      </c>
      <c r="C1078" s="177">
        <v>44099</v>
      </c>
      <c r="D1078" s="176" t="s">
        <v>9995</v>
      </c>
      <c r="E1078" s="176" t="s">
        <v>3009</v>
      </c>
      <c r="F1078" s="259" t="s">
        <v>9996</v>
      </c>
      <c r="G1078" s="176">
        <v>1</v>
      </c>
      <c r="H1078" s="178">
        <v>11087</v>
      </c>
      <c r="I1078" s="592">
        <f t="shared" si="37"/>
        <v>3</v>
      </c>
      <c r="J1078" s="178" t="s">
        <v>816</v>
      </c>
      <c r="K1078" s="178" t="s">
        <v>816</v>
      </c>
      <c r="L1078" s="275" t="str">
        <f>IF(H:H=0,"",IF(ISERROR(VLOOKUP(H:H,produtos_escape2!$A$2:$B$2794,2,FALSE)),"Código não cadastrado",(VLOOKUP(H:H,produtos_escape2!$A$2:$B$2794,2,FALSE))))</f>
        <v>IBUPROFENO COMPRIMIDO 600 MG</v>
      </c>
      <c r="M1078" s="593" t="str">
        <f>IF(H:H=0,"",IF(ISERROR(VLOOKUP(H:H,produtos_escape2!$A$2:$D$2794,2,FALSE)),"Código não cadastrado",(VLOOKUP(H:H,produtos_escape2!$A$2:$D$2794,4,FALSE))))</f>
        <v>UN</v>
      </c>
      <c r="N1078" s="486">
        <v>5000</v>
      </c>
      <c r="O1078" s="176" t="s">
        <v>4359</v>
      </c>
      <c r="P1078" s="486">
        <v>5000</v>
      </c>
      <c r="Q1078" s="247">
        <v>0.19</v>
      </c>
      <c r="R1078" s="246">
        <f t="shared" si="38"/>
        <v>950</v>
      </c>
      <c r="S1078" s="177">
        <v>44111</v>
      </c>
      <c r="T1078" s="182">
        <v>521208</v>
      </c>
      <c r="U1078" s="177">
        <v>44112</v>
      </c>
      <c r="V1078" s="177">
        <v>44127</v>
      </c>
      <c r="W1078" s="177">
        <v>44139</v>
      </c>
      <c r="X1078" s="176">
        <v>31379</v>
      </c>
      <c r="Y1078" s="177">
        <v>44167</v>
      </c>
      <c r="Z1078" s="415">
        <v>6</v>
      </c>
      <c r="AA1078" s="488"/>
      <c r="AB1078" s="594"/>
      <c r="AC1078" s="595"/>
      <c r="AD1078" s="596" t="str">
        <f>IF(AND(AC1078&lt;&gt;"",S1078&lt;&gt;""),NETWORKDAYS(AC1078,S1078,#REF!),"")</f>
        <v/>
      </c>
      <c r="AE1078" s="596" t="str">
        <f ca="1">IF(AND(AD1078="",AC1078=""),"",IF(OR(AD1078&lt;&gt;"",O1078="*CANCELADO"),"",NETWORKDAYS(AC1078,TODAY(),#REF!)))</f>
        <v/>
      </c>
      <c r="AF1078" s="597" t="str">
        <f>IFERROR(INDEX(produtos_escape2!M:M,MATCH(Controle!H1078,produtos_escape2!A:A,0)),"")</f>
        <v>IBUPROFENO COMPRIMIDO 600 MG</v>
      </c>
    </row>
    <row r="1079" spans="1:32" ht="14.25" customHeight="1">
      <c r="A1079" s="176" t="s">
        <v>9233</v>
      </c>
      <c r="B1079" s="176" t="s">
        <v>3608</v>
      </c>
      <c r="C1079" s="177">
        <v>44099</v>
      </c>
      <c r="D1079" s="176" t="s">
        <v>9997</v>
      </c>
      <c r="E1079" s="176" t="s">
        <v>8773</v>
      </c>
      <c r="F1079" s="259" t="s">
        <v>9998</v>
      </c>
      <c r="G1079" s="176">
        <v>1</v>
      </c>
      <c r="H1079" s="178">
        <v>90220</v>
      </c>
      <c r="I1079" s="592">
        <f t="shared" si="37"/>
        <v>7</v>
      </c>
      <c r="J1079" s="178" t="s">
        <v>816</v>
      </c>
      <c r="K1079" s="178" t="s">
        <v>816</v>
      </c>
      <c r="L1079" s="275" t="str">
        <f>IF(H:H=0,"",IF(ISERROR(VLOOKUP(H:H,produtos_escape2!$A$2:$B$2794,2,FALSE)),"Código não cadastrado",(VLOOKUP(H:H,produtos_escape2!$A$2:$B$2794,2,FALSE))))</f>
        <v>ATRACURIO (BESILATO) SOLUCAO INJETAVEL 10 MG/ML AMPOLA 2,5 ML</v>
      </c>
      <c r="M1079" s="593" t="str">
        <f>IF(H:H=0,"",IF(ISERROR(VLOOKUP(H:H,produtos_escape2!$A$2:$D$2794,2,FALSE)),"Código não cadastrado",(VLOOKUP(H:H,produtos_escape2!$A$2:$D$2794,4,FALSE))))</f>
        <v>AMP</v>
      </c>
      <c r="N1079" s="486">
        <v>400</v>
      </c>
      <c r="O1079" s="176" t="s">
        <v>4401</v>
      </c>
      <c r="P1079" s="486">
        <v>400</v>
      </c>
      <c r="Q1079" s="247">
        <v>16.100000000000001</v>
      </c>
      <c r="R1079" s="246">
        <f t="shared" si="38"/>
        <v>6440.0000000000009</v>
      </c>
      <c r="S1079" s="177">
        <v>44111</v>
      </c>
      <c r="T1079" s="182">
        <v>2762046</v>
      </c>
      <c r="U1079" s="177">
        <v>44112</v>
      </c>
      <c r="V1079" s="177">
        <v>44118</v>
      </c>
      <c r="W1079" s="177">
        <v>44125</v>
      </c>
      <c r="X1079" s="176">
        <v>15580</v>
      </c>
      <c r="Y1079" s="177">
        <v>44144</v>
      </c>
      <c r="Z1079" s="415">
        <v>6</v>
      </c>
      <c r="AA1079" s="488"/>
      <c r="AB1079" s="594"/>
      <c r="AC1079" s="595"/>
      <c r="AD1079" s="596" t="str">
        <f>IF(AND(AC1079&lt;&gt;"",S1079&lt;&gt;""),NETWORKDAYS(AC1079,S1079,#REF!),"")</f>
        <v/>
      </c>
      <c r="AE1079" s="596" t="str">
        <f ca="1">IF(AND(AD1079="",AC1079=""),"",IF(OR(AD1079&lt;&gt;"",O1079="*CANCELADO"),"",NETWORKDAYS(AC1079,TODAY(),#REF!)))</f>
        <v/>
      </c>
      <c r="AF1079" s="597" t="str">
        <f>IFERROR(INDEX(produtos_escape2!M:M,MATCH(Controle!H1079,produtos_escape2!A:A,0)),"")</f>
        <v>ATRACURIO (BESILATO) SOLUCAO INJETAVEL 10 MG/ML AMPOLA 2</v>
      </c>
    </row>
    <row r="1080" spans="1:32" ht="14.25" customHeight="1">
      <c r="A1080" s="176" t="s">
        <v>9232</v>
      </c>
      <c r="B1080" s="176" t="s">
        <v>3608</v>
      </c>
      <c r="C1080" s="177">
        <v>44099</v>
      </c>
      <c r="D1080" s="176" t="s">
        <v>9999</v>
      </c>
      <c r="E1080" s="176" t="s">
        <v>1867</v>
      </c>
      <c r="F1080" s="259" t="s">
        <v>10000</v>
      </c>
      <c r="G1080" s="176">
        <v>1</v>
      </c>
      <c r="H1080" s="178">
        <v>90647</v>
      </c>
      <c r="I1080" s="592">
        <f t="shared" si="37"/>
        <v>1</v>
      </c>
      <c r="J1080" s="178" t="s">
        <v>816</v>
      </c>
      <c r="K1080" s="178" t="s">
        <v>816</v>
      </c>
      <c r="L1080" s="275" t="str">
        <f>IF(H:H=0,"",IF(ISERROR(VLOOKUP(H:H,produtos_escape2!$A$2:$B$2794,2,FALSE)),"Código não cadastrado",(VLOOKUP(H:H,produtos_escape2!$A$2:$B$2794,2,FALSE))))</f>
        <v>METILPREDNISOLONA (SUCCINATO) PO PARA SOLUÇÃO INJETAVEL 500MG FRASCO AMPOLA</v>
      </c>
      <c r="M1080" s="593" t="str">
        <f>IF(H:H=0,"",IF(ISERROR(VLOOKUP(H:H,produtos_escape2!$A$2:$D$2794,2,FALSE)),"Código não cadastrado",(VLOOKUP(H:H,produtos_escape2!$A$2:$D$2794,4,FALSE))))</f>
        <v>FA</v>
      </c>
      <c r="N1080" s="486">
        <v>50</v>
      </c>
      <c r="O1080" s="176" t="s">
        <v>3882</v>
      </c>
      <c r="P1080" s="486">
        <v>50</v>
      </c>
      <c r="Q1080" s="247">
        <v>23.995999999999999</v>
      </c>
      <c r="R1080" s="246">
        <f t="shared" si="38"/>
        <v>1199.8</v>
      </c>
      <c r="S1080" s="177">
        <v>44112</v>
      </c>
      <c r="T1080" s="182">
        <v>71312</v>
      </c>
      <c r="U1080" s="177">
        <v>44112</v>
      </c>
      <c r="V1080" s="177">
        <v>44113</v>
      </c>
      <c r="W1080" s="177">
        <v>44125</v>
      </c>
      <c r="X1080" s="176">
        <v>18119</v>
      </c>
      <c r="Y1080" s="177">
        <v>44146</v>
      </c>
      <c r="Z1080" s="415">
        <v>6</v>
      </c>
      <c r="AA1080" s="488"/>
      <c r="AB1080" s="594"/>
      <c r="AC1080" s="595"/>
      <c r="AD1080" s="596" t="str">
        <f>IF(AND(AC1080&lt;&gt;"",S1080&lt;&gt;""),NETWORKDAYS(AC1080,S1080,#REF!),"")</f>
        <v/>
      </c>
      <c r="AE1080" s="596" t="str">
        <f ca="1">IF(AND(AD1080="",AC1080=""),"",IF(OR(AD1080&lt;&gt;"",O1080="*CANCELADO"),"",NETWORKDAYS(AC1080,TODAY(),#REF!)))</f>
        <v/>
      </c>
      <c r="AF1080" s="597" t="str">
        <f>IFERROR(INDEX(produtos_escape2!M:M,MATCH(Controle!H1080,produtos_escape2!A:A,0)),"")</f>
        <v>METILPREDNISOLONA (SUCCINATO) PO PARA SOLUÇÃO INJETAVEL 500MG FRASCO AMPOLA</v>
      </c>
    </row>
    <row r="1081" spans="1:32" ht="14.25" customHeight="1">
      <c r="A1081" s="176" t="s">
        <v>9229</v>
      </c>
      <c r="B1081" s="176" t="s">
        <v>3608</v>
      </c>
      <c r="C1081" s="177">
        <v>44099</v>
      </c>
      <c r="D1081" s="176" t="s">
        <v>10001</v>
      </c>
      <c r="E1081" s="176" t="s">
        <v>3009</v>
      </c>
      <c r="F1081" s="259" t="s">
        <v>10002</v>
      </c>
      <c r="G1081" s="176">
        <v>1</v>
      </c>
      <c r="H1081" s="178">
        <v>91122</v>
      </c>
      <c r="I1081" s="592">
        <f t="shared" si="37"/>
        <v>2</v>
      </c>
      <c r="J1081" s="178" t="s">
        <v>816</v>
      </c>
      <c r="K1081" s="178" t="s">
        <v>816</v>
      </c>
      <c r="L1081" s="275" t="str">
        <f>IF(H:H=0,"",IF(ISERROR(VLOOKUP(H:H,produtos_escape2!$A$2:$B$2794,2,FALSE)),"Código não cadastrado",(VLOOKUP(H:H,produtos_escape2!$A$2:$B$2794,2,FALSE))))</f>
        <v>EQUIPO INTERMEDIÁRIO 2 VIAS, 15 CM (+/-2CM), ESTÉRIL. Aplicação: duplicador de vias acessos aos dispositivos de administração de soluções parenterais. Material: PVC atóxico. Características adicionais: descartávelm, com conectores que encaixe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nas duas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v>
      </c>
      <c r="M1081" s="593" t="str">
        <f>IF(H:H=0,"",IF(ISERROR(VLOOKUP(H:H,produtos_escape2!$A$2:$D$2794,2,FALSE)),"Código não cadastrado",(VLOOKUP(H:H,produtos_escape2!$A$2:$D$2794,4,FALSE))))</f>
        <v>UN</v>
      </c>
      <c r="N1081" s="486">
        <v>4000</v>
      </c>
      <c r="O1081" s="176" t="s">
        <v>7485</v>
      </c>
      <c r="P1081" s="486">
        <v>4000</v>
      </c>
      <c r="Q1081" s="247">
        <v>0.63</v>
      </c>
      <c r="R1081" s="246">
        <f t="shared" si="38"/>
        <v>2520</v>
      </c>
      <c r="S1081" s="177">
        <v>44111</v>
      </c>
      <c r="T1081" s="182">
        <v>44757</v>
      </c>
      <c r="U1081" s="177">
        <v>44123</v>
      </c>
      <c r="V1081" s="177">
        <v>44127</v>
      </c>
      <c r="W1081" s="177">
        <v>44139</v>
      </c>
      <c r="X1081" s="176">
        <v>31391</v>
      </c>
      <c r="Y1081" s="177">
        <v>44167</v>
      </c>
      <c r="Z1081" s="415">
        <v>6</v>
      </c>
      <c r="AA1081" s="488"/>
      <c r="AB1081" s="594"/>
      <c r="AC1081" s="595"/>
      <c r="AD1081" s="596" t="str">
        <f>IF(AND(AC1081&lt;&gt;"",S1081&lt;&gt;""),NETWORKDAYS(AC1081,S1081,#REF!),"")</f>
        <v/>
      </c>
      <c r="AE1081" s="596" t="str">
        <f ca="1">IF(AND(AD1081="",AC1081=""),"",IF(OR(AD1081&lt;&gt;"",O1081="*CANCELADO"),"",NETWORKDAYS(AC1081,TODAY(),#REF!)))</f>
        <v/>
      </c>
      <c r="AF1081" s="597" t="str">
        <f>IFERROR(INDEX(produtos_escape2!M:M,MATCH(Controle!H1081,produtos_escape2!A:A,0)),"")</f>
        <v>EQUIPO INTERMEDIÁRIO 2 VIAS</v>
      </c>
    </row>
    <row r="1082" spans="1:32" ht="14.25" customHeight="1">
      <c r="A1082" s="176" t="s">
        <v>8184</v>
      </c>
      <c r="B1082" s="176" t="s">
        <v>7207</v>
      </c>
      <c r="C1082" s="177">
        <v>44103</v>
      </c>
      <c r="D1082" s="176" t="s">
        <v>10011</v>
      </c>
      <c r="E1082" s="176" t="s">
        <v>1865</v>
      </c>
      <c r="F1082" s="259" t="s">
        <v>10012</v>
      </c>
      <c r="G1082" s="176">
        <v>1</v>
      </c>
      <c r="H1082" s="178">
        <v>32735</v>
      </c>
      <c r="I1082" s="592">
        <f t="shared" si="37"/>
        <v>4</v>
      </c>
      <c r="J1082" s="178" t="s">
        <v>816</v>
      </c>
      <c r="K1082" s="178" t="s">
        <v>816</v>
      </c>
      <c r="L1082" s="275"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1082" s="593" t="str">
        <f>IF(H:H=0,"",IF(ISERROR(VLOOKUP(H:H,produtos_escape2!$A$2:$D$2794,2,FALSE)),"Código não cadastrado",(VLOOKUP(H:H,produtos_escape2!$A$2:$D$2794,4,FALSE))))</f>
        <v>RL</v>
      </c>
      <c r="N1082" s="486">
        <v>30</v>
      </c>
      <c r="O1082" s="176" t="s">
        <v>4432</v>
      </c>
      <c r="P1082" s="486">
        <v>30</v>
      </c>
      <c r="Q1082" s="247">
        <v>17.25</v>
      </c>
      <c r="R1082" s="246">
        <f t="shared" si="38"/>
        <v>517.5</v>
      </c>
      <c r="S1082" s="177">
        <v>44104</v>
      </c>
      <c r="T1082" s="182">
        <v>9636</v>
      </c>
      <c r="U1082" s="177">
        <v>44109</v>
      </c>
      <c r="V1082" s="177">
        <v>44125</v>
      </c>
      <c r="W1082" s="177">
        <v>44125</v>
      </c>
      <c r="X1082" s="176">
        <v>16438</v>
      </c>
      <c r="Y1082" s="177">
        <v>44145</v>
      </c>
      <c r="Z1082" s="415">
        <v>6</v>
      </c>
      <c r="AA1082" s="488"/>
      <c r="AB1082" s="594"/>
      <c r="AC1082" s="595"/>
      <c r="AD1082" s="596" t="str">
        <f>IF(AND(AC1082&lt;&gt;"",S1082&lt;&gt;""),NETWORKDAYS(AC1082,S1082,#REF!),"")</f>
        <v/>
      </c>
      <c r="AE1082" s="596" t="str">
        <f ca="1">IF(AND(AD1082="",AC1082=""),"",IF(OR(AD1082&lt;&gt;"",O1082="*CANCELADO"),"",NETWORKDAYS(AC1082,TODAY(),#REF!)))</f>
        <v/>
      </c>
      <c r="AF1082" s="597" t="str">
        <f>IFERROR(INDEX(produtos_escape2!M:M,MATCH(Controle!H1082,produtos_escape2!A:A,0)),"")</f>
        <v>ETIQUETA ADESIVA TÉRMICA para Núcleo Segurança do Paciente</v>
      </c>
    </row>
    <row r="1083" spans="1:32" ht="14.25" customHeight="1">
      <c r="A1083" s="176" t="s">
        <v>9288</v>
      </c>
      <c r="B1083" s="176" t="s">
        <v>3608</v>
      </c>
      <c r="C1083" s="177">
        <v>44103</v>
      </c>
      <c r="D1083" s="176" t="s">
        <v>10013</v>
      </c>
      <c r="E1083" s="176" t="s">
        <v>1866</v>
      </c>
      <c r="F1083" s="259" t="s">
        <v>10014</v>
      </c>
      <c r="G1083" s="176">
        <v>1</v>
      </c>
      <c r="H1083" s="178">
        <v>90271</v>
      </c>
      <c r="I1083" s="592">
        <f t="shared" si="37"/>
        <v>3</v>
      </c>
      <c r="J1083" s="178" t="s">
        <v>816</v>
      </c>
      <c r="K1083" s="178" t="s">
        <v>816</v>
      </c>
      <c r="L1083" s="275" t="str">
        <f>IF(H:H=0,"",IF(ISERROR(VLOOKUP(H:H,produtos_escape2!$A$2:$B$2794,2,FALSE)),"Código não cadastrado",(VLOOKUP(H:H,produtos_escape2!$A$2:$B$2794,2,FALSE))))</f>
        <v xml:space="preserve">PROPOFOL EMULSAO INJETAVEL 20 MG/ML FRASCO-AMPOLA 50 ML </v>
      </c>
      <c r="M1083" s="593" t="str">
        <f>IF(H:H=0,"",IF(ISERROR(VLOOKUP(H:H,produtos_escape2!$A$2:$D$2794,2,FALSE)),"Código não cadastrado",(VLOOKUP(H:H,produtos_escape2!$A$2:$D$2794,4,FALSE))))</f>
        <v>AMP</v>
      </c>
      <c r="N1083" s="486">
        <v>200</v>
      </c>
      <c r="O1083" s="176" t="s">
        <v>1868</v>
      </c>
      <c r="P1083" s="486"/>
      <c r="Q1083" s="247"/>
      <c r="R1083" s="246">
        <f t="shared" si="38"/>
        <v>0</v>
      </c>
      <c r="S1083" s="177">
        <v>44111</v>
      </c>
      <c r="T1083" s="182"/>
      <c r="U1083" s="177"/>
      <c r="V1083" s="177"/>
      <c r="W1083" s="177"/>
      <c r="X1083" s="176"/>
      <c r="Y1083" s="177"/>
      <c r="Z1083" s="415">
        <v>5</v>
      </c>
      <c r="AA1083" s="488" t="s">
        <v>7474</v>
      </c>
      <c r="AB1083" s="594"/>
      <c r="AC1083" s="595"/>
      <c r="AD1083" s="596" t="str">
        <f>IF(AND(AC1083&lt;&gt;"",S1083&lt;&gt;""),NETWORKDAYS(AC1083,S1083,#REF!),"")</f>
        <v/>
      </c>
      <c r="AE1083" s="596" t="str">
        <f ca="1">IF(AND(AD1083="",AC1083=""),"",IF(OR(AD1083&lt;&gt;"",O1083="*CANCELADO"),"",NETWORKDAYS(AC1083,TODAY(),#REF!)))</f>
        <v/>
      </c>
      <c r="AF1083" s="597" t="str">
        <f>IFERROR(INDEX(produtos_escape2!M:M,MATCH(Controle!H1083,produtos_escape2!A:A,0)),"")</f>
        <v>PROPOFOL EMULSAO INJETAVEL</v>
      </c>
    </row>
    <row r="1084" spans="1:32" ht="14.25" customHeight="1">
      <c r="A1084" s="176" t="s">
        <v>9281</v>
      </c>
      <c r="B1084" s="176" t="s">
        <v>3608</v>
      </c>
      <c r="C1084" s="177">
        <v>44103</v>
      </c>
      <c r="D1084" s="176" t="s">
        <v>10015</v>
      </c>
      <c r="E1084" s="176" t="s">
        <v>1867</v>
      </c>
      <c r="F1084" s="259" t="s">
        <v>10016</v>
      </c>
      <c r="G1084" s="176">
        <v>1</v>
      </c>
      <c r="H1084" s="178">
        <v>90029</v>
      </c>
      <c r="I1084" s="592">
        <f t="shared" si="37"/>
        <v>7</v>
      </c>
      <c r="J1084" s="178" t="s">
        <v>816</v>
      </c>
      <c r="K1084" s="178" t="s">
        <v>816</v>
      </c>
      <c r="L1084" s="275" t="str">
        <f>IF(H:H=0,"",IF(ISERROR(VLOOKUP(H:H,produtos_escape2!$A$2:$B$2794,2,FALSE)),"Código não cadastrado",(VLOOKUP(H:H,produtos_escape2!$A$2:$B$2794,2,FALSE))))</f>
        <v>PROXIMETACAINA (CLORIDRATO) SOLUÇAO OFTALMICA 0,5 % FRASCO CONTA-GOTA 5 ML</v>
      </c>
      <c r="M1084" s="593" t="str">
        <f>IF(H:H=0,"",IF(ISERROR(VLOOKUP(H:H,produtos_escape2!$A$2:$D$2794,2,FALSE)),"Código não cadastrado",(VLOOKUP(H:H,produtos_escape2!$A$2:$D$2794,4,FALSE))))</f>
        <v>FR</v>
      </c>
      <c r="N1084" s="486">
        <v>20</v>
      </c>
      <c r="O1084" s="176" t="s">
        <v>1868</v>
      </c>
      <c r="P1084" s="486"/>
      <c r="Q1084" s="247">
        <v>9.59</v>
      </c>
      <c r="R1084" s="246">
        <f t="shared" si="38"/>
        <v>0</v>
      </c>
      <c r="S1084" s="177">
        <v>44112</v>
      </c>
      <c r="T1084" s="182"/>
      <c r="U1084" s="177"/>
      <c r="V1084" s="177"/>
      <c r="W1084" s="177"/>
      <c r="X1084" s="176"/>
      <c r="Y1084" s="177"/>
      <c r="Z1084" s="415">
        <v>5</v>
      </c>
      <c r="AA1084" s="488" t="s">
        <v>10149</v>
      </c>
      <c r="AB1084" s="594"/>
      <c r="AC1084" s="595"/>
      <c r="AD1084" s="596" t="str">
        <f>IF(AND(AC1084&lt;&gt;"",S1084&lt;&gt;""),NETWORKDAYS(AC1084,S1084,#REF!),"")</f>
        <v/>
      </c>
      <c r="AE1084" s="596" t="str">
        <f ca="1">IF(AND(AD1084="",AC1084=""),"",IF(OR(AD1084&lt;&gt;"",O1084="*CANCELADO"),"",NETWORKDAYS(AC1084,TODAY(),#REF!)))</f>
        <v/>
      </c>
      <c r="AF1084" s="597" t="str">
        <f>IFERROR(INDEX(produtos_escape2!M:M,MATCH(Controle!H1084,produtos_escape2!A:A,0)),"")</f>
        <v>PROXIMETACAINA (CLORIDRATO) SOLUÇAO OFTALMICA 0</v>
      </c>
    </row>
    <row r="1085" spans="1:32" ht="14.25" customHeight="1">
      <c r="A1085" s="176" t="s">
        <v>9275</v>
      </c>
      <c r="B1085" s="176" t="s">
        <v>3608</v>
      </c>
      <c r="C1085" s="177">
        <v>44103</v>
      </c>
      <c r="D1085" s="176" t="s">
        <v>10017</v>
      </c>
      <c r="E1085" s="176" t="s">
        <v>3009</v>
      </c>
      <c r="F1085" s="259" t="s">
        <v>10018</v>
      </c>
      <c r="G1085" s="176">
        <v>1</v>
      </c>
      <c r="H1085" s="178">
        <v>34750</v>
      </c>
      <c r="I1085" s="592">
        <f t="shared" si="37"/>
        <v>1</v>
      </c>
      <c r="J1085" s="178" t="s">
        <v>816</v>
      </c>
      <c r="K1085" s="178" t="s">
        <v>816</v>
      </c>
      <c r="L1085" s="275" t="str">
        <f>IF(H:H=0,"",IF(ISERROR(VLOOKUP(H:H,produtos_escape2!$A$2:$B$2794,2,FALSE)),"Código não cadastrado",(VLOOKUP(H:H,produtos_escape2!$A$2:$B$2794,2,FALSE))))</f>
        <v>FENOBARBITAL SOLUCAO INJETAVEL 200 MG AMPOLA (VIA DE ADMINISTRAÇÃO Intra Venosa)</v>
      </c>
      <c r="M1085" s="593" t="str">
        <f>IF(H:H=0,"",IF(ISERROR(VLOOKUP(H:H,produtos_escape2!$A$2:$D$2794,2,FALSE)),"Código não cadastrado",(VLOOKUP(H:H,produtos_escape2!$A$2:$D$2794,4,FALSE))))</f>
        <v>AMP</v>
      </c>
      <c r="N1085" s="486">
        <v>50</v>
      </c>
      <c r="O1085" s="176" t="s">
        <v>4401</v>
      </c>
      <c r="P1085" s="486">
        <v>50</v>
      </c>
      <c r="Q1085" s="247">
        <v>1.81</v>
      </c>
      <c r="R1085" s="246">
        <f t="shared" si="38"/>
        <v>90.5</v>
      </c>
      <c r="S1085" s="177">
        <v>44112</v>
      </c>
      <c r="T1085" s="182">
        <v>2808026</v>
      </c>
      <c r="U1085" s="177">
        <v>44165</v>
      </c>
      <c r="V1085" s="177">
        <v>44167</v>
      </c>
      <c r="W1085" s="177">
        <v>44173</v>
      </c>
      <c r="X1085" s="176" t="s">
        <v>10674</v>
      </c>
      <c r="Y1085" s="177"/>
      <c r="Z1085" s="415">
        <v>6</v>
      </c>
      <c r="AA1085" s="488"/>
      <c r="AB1085" s="594"/>
      <c r="AC1085" s="595"/>
      <c r="AD1085" s="596" t="str">
        <f>IF(AND(AC1085&lt;&gt;"",S1085&lt;&gt;""),NETWORKDAYS(AC1085,S1085,#REF!),"")</f>
        <v/>
      </c>
      <c r="AE1085" s="596" t="str">
        <f ca="1">IF(AND(AD1085="",AC1085=""),"",IF(OR(AD1085&lt;&gt;"",O1085="*CANCELADO"),"",NETWORKDAYS(AC1085,TODAY(),#REF!)))</f>
        <v/>
      </c>
      <c r="AF1085" s="597" t="str">
        <f>IFERROR(INDEX(produtos_escape2!M:M,MATCH(Controle!H1085,produtos_escape2!A:A,0)),"")</f>
        <v>FENOBARBITAL SOLUCAO INJETAVEL 200 MG AMPOLA (VIA DE ADMINISTRAÇÃO Intra Venosa)</v>
      </c>
    </row>
    <row r="1086" spans="1:32" ht="14.25" customHeight="1">
      <c r="A1086" s="176" t="s">
        <v>9267</v>
      </c>
      <c r="B1086" s="176" t="s">
        <v>3608</v>
      </c>
      <c r="C1086" s="177">
        <v>44103</v>
      </c>
      <c r="D1086" s="176" t="s">
        <v>10019</v>
      </c>
      <c r="E1086" s="176" t="s">
        <v>1866</v>
      </c>
      <c r="F1086" s="259" t="s">
        <v>10020</v>
      </c>
      <c r="G1086" s="176">
        <v>1</v>
      </c>
      <c r="H1086" s="178">
        <v>92034</v>
      </c>
      <c r="I1086" s="592">
        <f t="shared" si="37"/>
        <v>4</v>
      </c>
      <c r="J1086" s="178" t="s">
        <v>816</v>
      </c>
      <c r="K1086" s="178" t="s">
        <v>816</v>
      </c>
      <c r="L1086" s="275" t="str">
        <f>IF(H:H=0,"",IF(ISERROR(VLOOKUP(H:H,produtos_escape2!$A$2:$B$2794,2,FALSE)),"Código não cadastrado",(VLOOKUP(H:H,produtos_escape2!$A$2:$B$2794,2,FALSE))))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1086" s="593" t="str">
        <f>IF(H:H=0,"",IF(ISERROR(VLOOKUP(H:H,produtos_escape2!$A$2:$D$2794,2,FALSE)),"Código não cadastrado",(VLOOKUP(H:H,produtos_escape2!$A$2:$D$2794,4,FALSE))))</f>
        <v>UN</v>
      </c>
      <c r="N1086" s="486">
        <v>100</v>
      </c>
      <c r="O1086" s="176" t="s">
        <v>2989</v>
      </c>
      <c r="P1086" s="486">
        <v>100</v>
      </c>
      <c r="Q1086" s="247">
        <v>4.2</v>
      </c>
      <c r="R1086" s="246">
        <f t="shared" si="38"/>
        <v>420</v>
      </c>
      <c r="S1086" s="177">
        <v>44112</v>
      </c>
      <c r="T1086" s="182">
        <v>134162</v>
      </c>
      <c r="U1086" s="177">
        <v>44111</v>
      </c>
      <c r="V1086" s="177">
        <v>44112</v>
      </c>
      <c r="W1086" s="177">
        <v>44113</v>
      </c>
      <c r="X1086" s="176">
        <v>15723</v>
      </c>
      <c r="Y1086" s="177">
        <v>44144</v>
      </c>
      <c r="Z1086" s="415">
        <v>6</v>
      </c>
      <c r="AA1086" s="488"/>
      <c r="AB1086" s="594"/>
      <c r="AC1086" s="595"/>
      <c r="AD1086" s="596" t="str">
        <f>IF(AND(AC1086&lt;&gt;"",S1086&lt;&gt;""),NETWORKDAYS(AC1086,S1086,#REF!),"")</f>
        <v/>
      </c>
      <c r="AE1086" s="596" t="str">
        <f ca="1">IF(AND(AD1086="",AC1086=""),"",IF(OR(AD1086&lt;&gt;"",O1086="*CANCELADO"),"",NETWORKDAYS(AC1086,TODAY(),#REF!)))</f>
        <v/>
      </c>
      <c r="AF1086" s="597" t="str">
        <f>IFERROR(INDEX(produtos_escape2!M:M,MATCH(Controle!H1086,produtos_escape2!A:A,0)),"")</f>
        <v>TUBO ENDOTRAQUEAL</v>
      </c>
    </row>
    <row r="1087" spans="1:32" ht="14.25" customHeight="1">
      <c r="A1087" s="176" t="s">
        <v>9267</v>
      </c>
      <c r="B1087" s="176" t="s">
        <v>3608</v>
      </c>
      <c r="C1087" s="177">
        <v>44103</v>
      </c>
      <c r="D1087" s="176" t="s">
        <v>10019</v>
      </c>
      <c r="E1087" s="176" t="s">
        <v>1866</v>
      </c>
      <c r="F1087" s="259" t="s">
        <v>10020</v>
      </c>
      <c r="G1087" s="176">
        <v>2</v>
      </c>
      <c r="H1087" s="178">
        <v>92035</v>
      </c>
      <c r="I1087" s="592">
        <f t="shared" si="37"/>
        <v>6</v>
      </c>
      <c r="J1087" s="178" t="s">
        <v>816</v>
      </c>
      <c r="K1087" s="178" t="s">
        <v>816</v>
      </c>
      <c r="L1087" s="275"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1087" s="593" t="str">
        <f>IF(H:H=0,"",IF(ISERROR(VLOOKUP(H:H,produtos_escape2!$A$2:$D$2794,2,FALSE)),"Código não cadastrado",(VLOOKUP(H:H,produtos_escape2!$A$2:$D$2794,4,FALSE))))</f>
        <v>UN</v>
      </c>
      <c r="N1087" s="486">
        <v>100</v>
      </c>
      <c r="O1087" s="176" t="s">
        <v>2989</v>
      </c>
      <c r="P1087" s="486">
        <v>100</v>
      </c>
      <c r="Q1087" s="247">
        <v>4.25</v>
      </c>
      <c r="R1087" s="246">
        <f t="shared" si="38"/>
        <v>425</v>
      </c>
      <c r="S1087" s="177">
        <v>44112</v>
      </c>
      <c r="T1087" s="182">
        <v>134162</v>
      </c>
      <c r="U1087" s="177">
        <v>44111</v>
      </c>
      <c r="V1087" s="177">
        <v>44112</v>
      </c>
      <c r="W1087" s="177">
        <v>44113</v>
      </c>
      <c r="X1087" s="176">
        <v>15723</v>
      </c>
      <c r="Y1087" s="177">
        <v>44144</v>
      </c>
      <c r="Z1087" s="415">
        <v>6</v>
      </c>
      <c r="AA1087" s="488"/>
      <c r="AB1087" s="594"/>
      <c r="AC1087" s="595"/>
      <c r="AD1087" s="596" t="str">
        <f>IF(AND(AC1087&lt;&gt;"",S1087&lt;&gt;""),NETWORKDAYS(AC1087,S1087,#REF!),"")</f>
        <v/>
      </c>
      <c r="AE1087" s="596" t="str">
        <f ca="1">IF(AND(AD1087="",AC1087=""),"",IF(OR(AD1087&lt;&gt;"",O1087="*CANCELADO"),"",NETWORKDAYS(AC1087,TODAY(),#REF!)))</f>
        <v/>
      </c>
      <c r="AF1087" s="597" t="str">
        <f>IFERROR(INDEX(produtos_escape2!M:M,MATCH(Controle!H1087,produtos_escape2!A:A,0)),"")</f>
        <v>TUBO ENDOTRAQUEAL</v>
      </c>
    </row>
    <row r="1088" spans="1:32" ht="14.25" customHeight="1">
      <c r="A1088" s="176" t="s">
        <v>9261</v>
      </c>
      <c r="B1088" s="176" t="s">
        <v>3608</v>
      </c>
      <c r="C1088" s="177">
        <v>44103</v>
      </c>
      <c r="D1088" s="176" t="s">
        <v>10021</v>
      </c>
      <c r="E1088" s="176" t="s">
        <v>1867</v>
      </c>
      <c r="F1088" s="259" t="s">
        <v>10022</v>
      </c>
      <c r="G1088" s="176">
        <v>1</v>
      </c>
      <c r="H1088" s="178">
        <v>91117</v>
      </c>
      <c r="I1088" s="592">
        <f t="shared" si="37"/>
        <v>3</v>
      </c>
      <c r="J1088" s="178" t="s">
        <v>816</v>
      </c>
      <c r="K1088" s="178" t="s">
        <v>816</v>
      </c>
      <c r="L1088" s="275" t="str">
        <f>IF(H:H=0,"",IF(ISERROR(VLOOKUP(H:H,produtos_escape2!$A$2:$B$2794,2,FALSE)),"Código não cadastrado",(VLOOKUP(H:H,produtos_escape2!$A$2:$B$2794,2,FALSE))))</f>
        <v>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v>
      </c>
      <c r="M1088" s="593" t="str">
        <f>IF(H:H=0,"",IF(ISERROR(VLOOKUP(H:H,produtos_escape2!$A$2:$D$2794,2,FALSE)),"Código não cadastrado",(VLOOKUP(H:H,produtos_escape2!$A$2:$D$2794,4,FALSE))))</f>
        <v>LT</v>
      </c>
      <c r="N1088" s="486">
        <v>60</v>
      </c>
      <c r="O1088" s="176" t="s">
        <v>4465</v>
      </c>
      <c r="P1088" s="486">
        <v>60</v>
      </c>
      <c r="Q1088" s="247">
        <v>16.5</v>
      </c>
      <c r="R1088" s="246">
        <f t="shared" si="38"/>
        <v>990</v>
      </c>
      <c r="S1088" s="177">
        <v>44112</v>
      </c>
      <c r="T1088" s="182">
        <v>523</v>
      </c>
      <c r="U1088" s="177">
        <v>44112</v>
      </c>
      <c r="V1088" s="177">
        <v>44112</v>
      </c>
      <c r="W1088" s="177">
        <v>44113</v>
      </c>
      <c r="X1088" s="176">
        <v>16721</v>
      </c>
      <c r="Y1088" s="177">
        <v>44145</v>
      </c>
      <c r="Z1088" s="415">
        <v>6</v>
      </c>
      <c r="AA1088" s="488"/>
      <c r="AB1088" s="594"/>
      <c r="AC1088" s="595"/>
      <c r="AD1088" s="596" t="str">
        <f>IF(AND(AC1088&lt;&gt;"",S1088&lt;&gt;""),NETWORKDAYS(AC1088,S1088,#REF!),"")</f>
        <v/>
      </c>
      <c r="AE1088" s="596" t="str">
        <f ca="1">IF(AND(AD1088="",AC1088=""),"",IF(OR(AD1088&lt;&gt;"",O1088="*CANCELADO"),"",NETWORKDAYS(AC1088,TODAY(),#REF!)))</f>
        <v/>
      </c>
      <c r="AF1088" s="597" t="str">
        <f>IFERROR(INDEX(produtos_escape2!M:M,MATCH(Controle!H1088,produtos_escape2!A:A,0)),"")</f>
        <v>SOLUÇÃO LIMPADORA A BASE DE ENZIMAS</v>
      </c>
    </row>
    <row r="1089" spans="1:32" ht="14.25" customHeight="1">
      <c r="A1089" s="176" t="s">
        <v>9253</v>
      </c>
      <c r="B1089" s="176" t="s">
        <v>3608</v>
      </c>
      <c r="C1089" s="177">
        <v>44103</v>
      </c>
      <c r="D1089" s="176" t="s">
        <v>10023</v>
      </c>
      <c r="E1089" s="176" t="s">
        <v>3009</v>
      </c>
      <c r="F1089" s="259" t="s">
        <v>10024</v>
      </c>
      <c r="G1089" s="176">
        <v>1</v>
      </c>
      <c r="H1089" s="178">
        <v>92445</v>
      </c>
      <c r="I1089" s="592">
        <f t="shared" si="37"/>
        <v>8</v>
      </c>
      <c r="J1089" s="178" t="s">
        <v>816</v>
      </c>
      <c r="K1089" s="178" t="s">
        <v>816</v>
      </c>
      <c r="L1089" s="275"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1089" s="593" t="str">
        <f>IF(H:H=0,"",IF(ISERROR(VLOOKUP(H:H,produtos_escape2!$A$2:$D$2794,2,FALSE)),"Código não cadastrado",(VLOOKUP(H:H,produtos_escape2!$A$2:$D$2794,4,FALSE))))</f>
        <v>UN</v>
      </c>
      <c r="N1089" s="486">
        <v>100</v>
      </c>
      <c r="O1089" s="176" t="s">
        <v>8240</v>
      </c>
      <c r="P1089" s="486">
        <v>100</v>
      </c>
      <c r="Q1089" s="247">
        <v>3.77</v>
      </c>
      <c r="R1089" s="246">
        <f t="shared" si="38"/>
        <v>377</v>
      </c>
      <c r="S1089" s="177">
        <v>44112</v>
      </c>
      <c r="T1089" s="182">
        <v>87</v>
      </c>
      <c r="U1089" s="177">
        <v>44118</v>
      </c>
      <c r="V1089" s="177">
        <v>44119</v>
      </c>
      <c r="W1089" s="177">
        <v>44125</v>
      </c>
      <c r="X1089" s="176">
        <v>15924</v>
      </c>
      <c r="Y1089" s="177">
        <v>44144</v>
      </c>
      <c r="Z1089" s="415">
        <v>6</v>
      </c>
      <c r="AA1089" s="488" t="s">
        <v>10207</v>
      </c>
      <c r="AB1089" s="594"/>
      <c r="AC1089" s="595"/>
      <c r="AD1089" s="596" t="str">
        <f>IF(AND(AC1089&lt;&gt;"",S1089&lt;&gt;""),NETWORKDAYS(AC1089,S1089,#REF!),"")</f>
        <v/>
      </c>
      <c r="AE1089" s="596" t="str">
        <f ca="1">IF(AND(AD1089="",AC1089=""),"",IF(OR(AD1089&lt;&gt;"",O1089="*CANCELADO"),"",NETWORKDAYS(AC1089,TODAY(),#REF!)))</f>
        <v/>
      </c>
      <c r="AF1089" s="597" t="str">
        <f>IFERROR(INDEX(produtos_escape2!M:M,MATCH(Controle!H1089,produtos_escape2!A:A,0)),"")</f>
        <v>SONDA DE FOLEY 2 VIAS LÁTEX Nº 14</v>
      </c>
    </row>
    <row r="1090" spans="1:32" ht="14.25" customHeight="1">
      <c r="A1090" s="176" t="s">
        <v>9244</v>
      </c>
      <c r="B1090" s="176" t="s">
        <v>3608</v>
      </c>
      <c r="C1090" s="177">
        <v>44103</v>
      </c>
      <c r="D1090" s="176" t="s">
        <v>10025</v>
      </c>
      <c r="E1090" s="176" t="s">
        <v>1866</v>
      </c>
      <c r="F1090" s="259" t="s">
        <v>10026</v>
      </c>
      <c r="G1090" s="176">
        <v>1</v>
      </c>
      <c r="H1090" s="178">
        <v>10960</v>
      </c>
      <c r="I1090" s="592">
        <f t="shared" si="37"/>
        <v>5</v>
      </c>
      <c r="J1090" s="178" t="s">
        <v>816</v>
      </c>
      <c r="K1090" s="178" t="s">
        <v>816</v>
      </c>
      <c r="L1090" s="275" t="str">
        <f>IF(H:H=0,"",IF(ISERROR(VLOOKUP(H:H,produtos_escape2!$A$2:$B$2794,2,FALSE)),"Código não cadastrado",(VLOOKUP(H:H,produtos_escape2!$A$2:$B$2794,2,FALSE))))</f>
        <v>HIPOCLORITO DE SODIO A 1% FRASCO PLASTICO ESCURO 5000 ML</v>
      </c>
      <c r="M1090" s="593" t="str">
        <f>IF(H:H=0,"",IF(ISERROR(VLOOKUP(H:H,produtos_escape2!$A$2:$D$2794,2,FALSE)),"Código não cadastrado",(VLOOKUP(H:H,produtos_escape2!$A$2:$D$2794,4,FALSE))))</f>
        <v>FR</v>
      </c>
      <c r="N1090" s="486">
        <v>100</v>
      </c>
      <c r="O1090" s="176" t="s">
        <v>10075</v>
      </c>
      <c r="P1090" s="486">
        <v>100</v>
      </c>
      <c r="Q1090" s="247">
        <v>8.8800000000000008</v>
      </c>
      <c r="R1090" s="246">
        <f t="shared" si="38"/>
        <v>888.00000000000011</v>
      </c>
      <c r="S1090" s="177">
        <v>44111</v>
      </c>
      <c r="T1090" s="182">
        <v>9339</v>
      </c>
      <c r="U1090" s="177">
        <v>44123</v>
      </c>
      <c r="V1090" s="177">
        <v>44124</v>
      </c>
      <c r="W1090" s="177">
        <v>44125</v>
      </c>
      <c r="X1090" s="176">
        <v>16591</v>
      </c>
      <c r="Y1090" s="177">
        <v>44145</v>
      </c>
      <c r="Z1090" s="415">
        <v>6</v>
      </c>
      <c r="AA1090" s="488"/>
      <c r="AB1090" s="594"/>
      <c r="AC1090" s="595"/>
      <c r="AD1090" s="596" t="str">
        <f>IF(AND(AC1090&lt;&gt;"",S1090&lt;&gt;""),NETWORKDAYS(AC1090,S1090,#REF!),"")</f>
        <v/>
      </c>
      <c r="AE1090" s="596" t="str">
        <f ca="1">IF(AND(AD1090="",AC1090=""),"",IF(OR(AD1090&lt;&gt;"",O1090="*CANCELADO"),"",NETWORKDAYS(AC1090,TODAY(),#REF!)))</f>
        <v/>
      </c>
      <c r="AF1090" s="597" t="str">
        <f>IFERROR(INDEX(produtos_escape2!M:M,MATCH(Controle!H1090,produtos_escape2!A:A,0)),"")</f>
        <v>HIPOCLORITO DE SODIO A 1% FRASCO PLASTICO ESCURO 5000 ML</v>
      </c>
    </row>
    <row r="1091" spans="1:32" ht="14.25" customHeight="1">
      <c r="A1091" s="176" t="s">
        <v>7453</v>
      </c>
      <c r="B1091" s="176" t="s">
        <v>1687</v>
      </c>
      <c r="C1091" s="177">
        <v>44103</v>
      </c>
      <c r="D1091" s="176" t="s">
        <v>10027</v>
      </c>
      <c r="E1091" s="176" t="s">
        <v>3008</v>
      </c>
      <c r="F1091" s="259" t="s">
        <v>10028</v>
      </c>
      <c r="G1091" s="176">
        <v>1</v>
      </c>
      <c r="H1091" s="178" t="s">
        <v>10029</v>
      </c>
      <c r="I1091" s="592">
        <f t="shared" ref="I1091:I1138" si="39">COUNTIF($H$3:$H$3041,H1091)</f>
        <v>1</v>
      </c>
      <c r="J1091" s="178"/>
      <c r="K1091" s="178"/>
      <c r="L1091" s="275" t="str">
        <f>IF(H:H=0,"",IF(ISERROR(VLOOKUP(H:H,produtos_escape2!$A$2:$B$2794,2,FALSE)),"Código não cadastrado",(VLOOKUP(H:H,produtos_escape2!$A$2:$B$2794,2,FALSE))))</f>
        <v>CONSERTO DE DESFIBRILADOR ZOLL M Series, PATRIMÔNIO: 020211</v>
      </c>
      <c r="M1091" s="593" t="str">
        <f>IF(H:H=0,"",IF(ISERROR(VLOOKUP(H:H,produtos_escape2!$A$2:$D$2794,2,FALSE)),"Código não cadastrado",(VLOOKUP(H:H,produtos_escape2!$A$2:$D$2794,4,FALSE))))</f>
        <v>Serviço</v>
      </c>
      <c r="N1091" s="486">
        <v>1</v>
      </c>
      <c r="O1091" s="176" t="s">
        <v>1868</v>
      </c>
      <c r="P1091" s="486"/>
      <c r="Q1091" s="247"/>
      <c r="R1091" s="246">
        <f t="shared" si="38"/>
        <v>0</v>
      </c>
      <c r="S1091" s="177">
        <v>44110</v>
      </c>
      <c r="T1091" s="182"/>
      <c r="U1091" s="177"/>
      <c r="V1091" s="177"/>
      <c r="W1091" s="177"/>
      <c r="X1091" s="176"/>
      <c r="Y1091" s="177"/>
      <c r="Z1091" s="415">
        <v>5</v>
      </c>
      <c r="AA1091" s="488" t="s">
        <v>10126</v>
      </c>
      <c r="AB1091" s="594"/>
      <c r="AC1091" s="595"/>
      <c r="AD1091" s="596" t="str">
        <f>IF(AND(AC1091&lt;&gt;"",S1091&lt;&gt;""),NETWORKDAYS(AC1091,S1091,#REF!),"")</f>
        <v/>
      </c>
      <c r="AE1091" s="596" t="str">
        <f ca="1">IF(AND(AD1091="",AC1091=""),"",IF(OR(AD1091&lt;&gt;"",O1091="*CANCELADO"),"",NETWORKDAYS(AC1091,TODAY(),#REF!)))</f>
        <v/>
      </c>
      <c r="AF1091" s="597">
        <f>IFERROR(INDEX(produtos_escape2!M:M,MATCH(Controle!H1091,produtos_escape2!A:A,0)),"")</f>
        <v>0</v>
      </c>
    </row>
    <row r="1092" spans="1:32" ht="14.25" customHeight="1">
      <c r="A1092" s="176" t="s">
        <v>7443</v>
      </c>
      <c r="B1092" s="176" t="s">
        <v>1687</v>
      </c>
      <c r="C1092" s="177">
        <v>44103</v>
      </c>
      <c r="D1092" s="176" t="s">
        <v>10031</v>
      </c>
      <c r="E1092" s="176" t="s">
        <v>3008</v>
      </c>
      <c r="F1092" s="259" t="s">
        <v>10032</v>
      </c>
      <c r="G1092" s="176">
        <v>1</v>
      </c>
      <c r="H1092" s="178">
        <v>28476</v>
      </c>
      <c r="I1092" s="592">
        <f t="shared" si="39"/>
        <v>2</v>
      </c>
      <c r="J1092" s="178" t="s">
        <v>816</v>
      </c>
      <c r="K1092" s="178" t="s">
        <v>816</v>
      </c>
      <c r="L1092" s="275" t="str">
        <f>IF(H:H=0,"",IF(ISERROR(VLOOKUP(H:H,produtos_escape2!$A$2:$B$2794,2,FALSE)),"Código não cadastrado",(VLOOKUP(H:H,produtos_escape2!$A$2:$B$2794,2,FALSE))))</f>
        <v>CIRCUITO ADULTO DE VENTILAÇÃO MECÂNICA Aplicação/finalidade: VENTILAÇÃO MECÂNICA INVASIVA Material/composição: 05 TUBOS CORRUGADOS DE SILICONE + 02 DRENOS (COLETORES DE ÁGUA DE POLISSULFONA) + 01 CONECTOR ?Y? DE POLISSULFONA, SEM FUROS + 01 CONEXÃO ?COTOVELO? EM 90° DE POLISSULFONA + 01 CONEXÃO RETA DE POLISSULFONA Tamanho/capacidade:TRAQUÉIAS: 04 tubos corrugados de silicone de 750mm de comprimento e 19 mm de diâmetro interno. 01 tubo corrugado de silicone de 450 mm de comprimento por 19 mm de diâmetro interno para interligação do ventilador ao umidificador. CONECTORES: ? Conexão reta de 22MM (diâmetro externo e 19MM diâmetro interno) x 22MM (diâmetro externo e 19MM diâmetro interno) ? Conexão cotovelo 90° 22F X 22MM X 15F Forma de apresentação:KIT COM TODAS AS PEÇAS</v>
      </c>
      <c r="M1092" s="593" t="str">
        <f>IF(H:H=0,"",IF(ISERROR(VLOOKUP(H:H,produtos_escape2!$A$2:$D$2794,2,FALSE)),"Código não cadastrado",(VLOOKUP(H:H,produtos_escape2!$A$2:$D$2794,4,FALSE))))</f>
        <v>UN</v>
      </c>
      <c r="N1092" s="486">
        <v>35</v>
      </c>
      <c r="O1092" s="176" t="s">
        <v>1868</v>
      </c>
      <c r="P1092" s="486"/>
      <c r="Q1092" s="247">
        <v>270</v>
      </c>
      <c r="R1092" s="246">
        <f t="shared" si="38"/>
        <v>0</v>
      </c>
      <c r="S1092" s="177">
        <v>44123</v>
      </c>
      <c r="T1092" s="182"/>
      <c r="U1092" s="177"/>
      <c r="V1092" s="177"/>
      <c r="W1092" s="177"/>
      <c r="X1092" s="176"/>
      <c r="Y1092" s="177"/>
      <c r="Z1092" s="415">
        <v>5</v>
      </c>
      <c r="AA1092" s="488" t="s">
        <v>10313</v>
      </c>
      <c r="AB1092" s="594"/>
      <c r="AC1092" s="595"/>
      <c r="AD1092" s="596" t="str">
        <f>IF(AND(AC1092&lt;&gt;"",S1092&lt;&gt;""),NETWORKDAYS(AC1092,S1092,#REF!),"")</f>
        <v/>
      </c>
      <c r="AE1092" s="596" t="str">
        <f ca="1">IF(AND(AD1092="",AC1092=""),"",IF(OR(AD1092&lt;&gt;"",O1092="*CANCELADO"),"",NETWORKDAYS(AC1092,TODAY(),#REF!)))</f>
        <v/>
      </c>
      <c r="AF1092" s="597" t="str">
        <f>IFERROR(INDEX(produtos_escape2!M:M,MATCH(Controle!H1092,produtos_escape2!A:A,0)),"")</f>
        <v>CIRCUITO ADULTO VENTILAÇÃO</v>
      </c>
    </row>
    <row r="1093" spans="1:32" ht="14.25" customHeight="1">
      <c r="A1093" s="176" t="s">
        <v>9292</v>
      </c>
      <c r="B1093" s="176" t="s">
        <v>3608</v>
      </c>
      <c r="C1093" s="177">
        <v>44105</v>
      </c>
      <c r="D1093" s="176" t="s">
        <v>10034</v>
      </c>
      <c r="E1093" s="176" t="s">
        <v>1867</v>
      </c>
      <c r="F1093" s="259" t="s">
        <v>10035</v>
      </c>
      <c r="G1093" s="176">
        <v>1</v>
      </c>
      <c r="H1093" s="178">
        <v>37502</v>
      </c>
      <c r="I1093" s="592">
        <f t="shared" si="39"/>
        <v>1</v>
      </c>
      <c r="J1093" s="178" t="s">
        <v>816</v>
      </c>
      <c r="K1093" s="178" t="s">
        <v>816</v>
      </c>
      <c r="L1093" s="275" t="str">
        <f>IF(H:H=0,"",IF(ISERROR(VLOOKUP(H:H,produtos_escape2!$A$2:$B$2794,2,FALSE)),"Código não cadastrado",(VLOOKUP(H:H,produtos_escape2!$A$2:$B$2794,2,FALSE))))</f>
        <v xml:space="preserve">CASSETE HISTOLÓGICO de 4,0 x 3,0 cm, material plástico, com tampa removível, cor branca ou amarela, com aberturas retangulares de 5,0 x 1,0 mm. Aplicação (finalidade): Destinado ao processamento e inclusão de materiais de biópsia ou autópsia. Embalagem: Pacote com 500 Unidades. </v>
      </c>
      <c r="M1093" s="593" t="str">
        <f>IF(H:H=0,"",IF(ISERROR(VLOOKUP(H:H,produtos_escape2!$A$2:$D$2794,2,FALSE)),"Código não cadastrado",(VLOOKUP(H:H,produtos_escape2!$A$2:$D$2794,4,FALSE))))</f>
        <v>PC</v>
      </c>
      <c r="N1093" s="486">
        <v>16</v>
      </c>
      <c r="O1093" s="176" t="s">
        <v>1868</v>
      </c>
      <c r="P1093" s="486"/>
      <c r="Q1093" s="247">
        <v>100.65</v>
      </c>
      <c r="R1093" s="246">
        <f t="shared" si="38"/>
        <v>0</v>
      </c>
      <c r="S1093" s="177">
        <v>44119</v>
      </c>
      <c r="T1093" s="182"/>
      <c r="U1093" s="177"/>
      <c r="V1093" s="177"/>
      <c r="W1093" s="177"/>
      <c r="X1093" s="176"/>
      <c r="Y1093" s="177"/>
      <c r="Z1093" s="415">
        <v>5</v>
      </c>
      <c r="AA1093" s="488" t="s">
        <v>9784</v>
      </c>
      <c r="AB1093" s="594"/>
      <c r="AC1093" s="595"/>
      <c r="AD1093" s="596" t="str">
        <f>IF(AND(AC1093&lt;&gt;"",S1093&lt;&gt;""),NETWORKDAYS(AC1093,S1093,#REF!),"")</f>
        <v/>
      </c>
      <c r="AE1093" s="596" t="str">
        <f ca="1">IF(AND(AD1093="",AC1093=""),"",IF(OR(AD1093&lt;&gt;"",O1093="*CANCELADO"),"",NETWORKDAYS(AC1093,TODAY(),#REF!)))</f>
        <v/>
      </c>
      <c r="AF1093" s="597" t="str">
        <f>IFERROR(INDEX(produtos_escape2!M:M,MATCH(Controle!H1093,produtos_escape2!A:A,0)),"")</f>
        <v>CASSETE HISTOLÓGICO de 4,0 x 3,0 cm,</v>
      </c>
    </row>
    <row r="1094" spans="1:32" ht="14.25" customHeight="1">
      <c r="A1094" s="176" t="s">
        <v>9290</v>
      </c>
      <c r="B1094" s="176" t="s">
        <v>3608</v>
      </c>
      <c r="C1094" s="177">
        <v>44105</v>
      </c>
      <c r="D1094" s="176" t="s">
        <v>10038</v>
      </c>
      <c r="E1094" s="176" t="s">
        <v>3009</v>
      </c>
      <c r="F1094" s="259" t="s">
        <v>10039</v>
      </c>
      <c r="G1094" s="176">
        <v>1</v>
      </c>
      <c r="H1094" s="178">
        <v>36573</v>
      </c>
      <c r="I1094" s="592">
        <f t="shared" si="39"/>
        <v>2</v>
      </c>
      <c r="J1094" s="178" t="s">
        <v>816</v>
      </c>
      <c r="K1094" s="178" t="s">
        <v>816</v>
      </c>
      <c r="L1094" s="275" t="str">
        <f>IF(H:H=0,"",IF(ISERROR(VLOOKUP(H:H,produtos_escape2!$A$2:$B$2794,2,FALSE)),"Código não cadastrado",(VLOOKUP(H:H,produtos_escape2!$A$2:$B$2794,2,FALSE))))</f>
        <v>Parafina histológica, aspecto físico sólido, branca, ponto fusão 59 – 63 °c, apresentação em lentilha. Aplicação: Processamento de materiais de biópsias e peças cirúrgicas,para confecção de lâminas histológicas. Composição: Cera de petróleo Características adicionais: Aspecto: - Estado físico: Sólido - Forma: Lentilhas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094" s="593" t="str">
        <f>IF(H:H=0,"",IF(ISERROR(VLOOKUP(H:H,produtos_escape2!$A$2:$D$2794,2,FALSE)),"Código não cadastrado",(VLOOKUP(H:H,produtos_escape2!$A$2:$D$2794,4,FALSE))))</f>
        <v>KG</v>
      </c>
      <c r="N1094" s="486">
        <v>50</v>
      </c>
      <c r="O1094" s="176" t="s">
        <v>7392</v>
      </c>
      <c r="P1094" s="486">
        <v>50</v>
      </c>
      <c r="Q1094" s="247">
        <v>23</v>
      </c>
      <c r="R1094" s="246">
        <f t="shared" si="38"/>
        <v>1150</v>
      </c>
      <c r="S1094" s="177">
        <v>44112</v>
      </c>
      <c r="T1094" s="182">
        <v>1374</v>
      </c>
      <c r="U1094" s="177">
        <v>44112</v>
      </c>
      <c r="V1094" s="177">
        <v>44113</v>
      </c>
      <c r="W1094" s="177">
        <v>44125</v>
      </c>
      <c r="X1094" s="176">
        <v>17517</v>
      </c>
      <c r="Y1094" s="177">
        <v>44145</v>
      </c>
      <c r="Z1094" s="415">
        <v>6</v>
      </c>
      <c r="AA1094" s="488"/>
      <c r="AB1094" s="594"/>
      <c r="AC1094" s="595"/>
      <c r="AD1094" s="596" t="str">
        <f>IF(AND(AC1094&lt;&gt;"",S1094&lt;&gt;""),NETWORKDAYS(AC1094,S1094,#REF!),"")</f>
        <v/>
      </c>
      <c r="AE1094" s="596" t="str">
        <f ca="1">IF(AND(AD1094="",AC1094=""),"",IF(OR(AD1094&lt;&gt;"",O1094="*CANCELADO"),"",NETWORKDAYS(AC1094,TODAY(),#REF!)))</f>
        <v/>
      </c>
      <c r="AF1094" s="597" t="str">
        <f>IFERROR(INDEX(produtos_escape2!M:M,MATCH(Controle!H1094,produtos_escape2!A:A,0)),"")</f>
        <v>Parafina histológica,</v>
      </c>
    </row>
    <row r="1095" spans="1:32" ht="14.25" customHeight="1">
      <c r="A1095" s="176" t="s">
        <v>8187</v>
      </c>
      <c r="B1095" s="176" t="s">
        <v>7207</v>
      </c>
      <c r="C1095" s="177">
        <v>44105</v>
      </c>
      <c r="D1095" s="176" t="s">
        <v>10042</v>
      </c>
      <c r="E1095" s="176" t="s">
        <v>1866</v>
      </c>
      <c r="F1095" s="259" t="s">
        <v>10043</v>
      </c>
      <c r="G1095" s="176">
        <v>1</v>
      </c>
      <c r="H1095" s="178">
        <v>31706</v>
      </c>
      <c r="I1095" s="592">
        <f t="shared" si="39"/>
        <v>2</v>
      </c>
      <c r="J1095" s="178" t="s">
        <v>816</v>
      </c>
      <c r="K1095" s="178" t="s">
        <v>816</v>
      </c>
      <c r="L1095" s="275" t="str">
        <f>IF(H:H=0,"",IF(ISERROR(VLOOKUP(H:H,produtos_escape2!$A$2:$B$2794,2,FALSE)),"Código não cadastrado",(VLOOKUP(H:H,produtos_escape2!$A$2:$B$2794,2,FALSE))))</f>
        <v>MOLDES DE INCLUSÃO EM ALUMINIO PARA CASSETES - TAMANHO 30x24x5 MM</v>
      </c>
      <c r="M1095" s="593" t="str">
        <f>IF(H:H=0,"",IF(ISERROR(VLOOKUP(H:H,produtos_escape2!$A$2:$D$2794,2,FALSE)),"Código não cadastrado",(VLOOKUP(H:H,produtos_escape2!$A$2:$D$2794,4,FALSE))))</f>
        <v>UN</v>
      </c>
      <c r="N1095" s="486">
        <v>100</v>
      </c>
      <c r="O1095" s="176" t="s">
        <v>1868</v>
      </c>
      <c r="P1095" s="486"/>
      <c r="Q1095" s="247">
        <v>29</v>
      </c>
      <c r="R1095" s="246">
        <f t="shared" si="38"/>
        <v>0</v>
      </c>
      <c r="S1095" s="177">
        <v>44119</v>
      </c>
      <c r="T1095" s="182"/>
      <c r="U1095" s="177"/>
      <c r="V1095" s="177"/>
      <c r="W1095" s="177"/>
      <c r="X1095" s="176"/>
      <c r="Y1095" s="177"/>
      <c r="Z1095" s="415">
        <v>5</v>
      </c>
      <c r="AA1095" s="488" t="s">
        <v>9784</v>
      </c>
      <c r="AB1095" s="594"/>
      <c r="AC1095" s="595"/>
      <c r="AD1095" s="596" t="str">
        <f>IF(AND(AC1095&lt;&gt;"",S1095&lt;&gt;""),NETWORKDAYS(AC1095,S1095,#REF!),"")</f>
        <v/>
      </c>
      <c r="AE1095" s="596" t="str">
        <f ca="1">IF(AND(AD1095="",AC1095=""),"",IF(OR(AD1095&lt;&gt;"",O1095="*CANCELADO"),"",NETWORKDAYS(AC1095,TODAY(),#REF!)))</f>
        <v/>
      </c>
      <c r="AF1095" s="597" t="str">
        <f>IFERROR(INDEX(produtos_escape2!M:M,MATCH(Controle!H1095,produtos_escape2!A:A,0)),"")</f>
        <v xml:space="preserve">MOLDES DE INCLUSÃO </v>
      </c>
    </row>
    <row r="1096" spans="1:32" ht="14.25" customHeight="1">
      <c r="A1096" s="176" t="s">
        <v>8187</v>
      </c>
      <c r="B1096" s="176" t="s">
        <v>7207</v>
      </c>
      <c r="C1096" s="177">
        <v>44105</v>
      </c>
      <c r="D1096" s="176" t="s">
        <v>10042</v>
      </c>
      <c r="E1096" s="176" t="s">
        <v>1866</v>
      </c>
      <c r="F1096" s="259" t="s">
        <v>10043</v>
      </c>
      <c r="G1096" s="176">
        <v>2</v>
      </c>
      <c r="H1096" s="178">
        <v>31707</v>
      </c>
      <c r="I1096" s="592">
        <f t="shared" si="39"/>
        <v>2</v>
      </c>
      <c r="J1096" s="178" t="s">
        <v>816</v>
      </c>
      <c r="K1096" s="178" t="s">
        <v>816</v>
      </c>
      <c r="L1096" s="275" t="str">
        <f>IF(H:H=0,"",IF(ISERROR(VLOOKUP(H:H,produtos_escape2!$A$2:$B$2794,2,FALSE)),"Código não cadastrado",(VLOOKUP(H:H,produtos_escape2!$A$2:$B$2794,2,FALSE))))</f>
        <v>MOLDES DE INCLUSÃO EM ALUMINIO PARA CASSETES - TAMANHO 24x24x5 MM;</v>
      </c>
      <c r="M1096" s="593" t="str">
        <f>IF(H:H=0,"",IF(ISERROR(VLOOKUP(H:H,produtos_escape2!$A$2:$D$2794,2,FALSE)),"Código não cadastrado",(VLOOKUP(H:H,produtos_escape2!$A$2:$D$2794,4,FALSE))))</f>
        <v>UN</v>
      </c>
      <c r="N1096" s="486">
        <v>100</v>
      </c>
      <c r="O1096" s="176" t="s">
        <v>1868</v>
      </c>
      <c r="P1096" s="486"/>
      <c r="Q1096" s="247">
        <v>29</v>
      </c>
      <c r="R1096" s="246">
        <f t="shared" si="38"/>
        <v>0</v>
      </c>
      <c r="S1096" s="177">
        <v>44119</v>
      </c>
      <c r="T1096" s="182"/>
      <c r="U1096" s="177"/>
      <c r="V1096" s="177"/>
      <c r="W1096" s="177"/>
      <c r="X1096" s="176"/>
      <c r="Y1096" s="177"/>
      <c r="Z1096" s="415">
        <v>5</v>
      </c>
      <c r="AA1096" s="488" t="s">
        <v>9784</v>
      </c>
      <c r="AB1096" s="594"/>
      <c r="AC1096" s="595"/>
      <c r="AD1096" s="596" t="str">
        <f>IF(AND(AC1096&lt;&gt;"",S1096&lt;&gt;""),NETWORKDAYS(AC1096,S1096,#REF!),"")</f>
        <v/>
      </c>
      <c r="AE1096" s="596" t="str">
        <f ca="1">IF(AND(AD1096="",AC1096=""),"",IF(OR(AD1096&lt;&gt;"",O1096="*CANCELADO"),"",NETWORKDAYS(AC1096,TODAY(),#REF!)))</f>
        <v/>
      </c>
      <c r="AF1096" s="597" t="str">
        <f>IFERROR(INDEX(produtos_escape2!M:M,MATCH(Controle!H1096,produtos_escape2!A:A,0)),"")</f>
        <v xml:space="preserve">MOLDES DE INCLUSÃO </v>
      </c>
    </row>
    <row r="1097" spans="1:32" ht="14.25" customHeight="1">
      <c r="A1097" s="176" t="s">
        <v>8187</v>
      </c>
      <c r="B1097" s="176" t="s">
        <v>7207</v>
      </c>
      <c r="C1097" s="177">
        <v>44105</v>
      </c>
      <c r="D1097" s="176" t="s">
        <v>10042</v>
      </c>
      <c r="E1097" s="176" t="s">
        <v>1866</v>
      </c>
      <c r="F1097" s="259" t="s">
        <v>10043</v>
      </c>
      <c r="G1097" s="176">
        <v>3</v>
      </c>
      <c r="H1097" s="178">
        <v>31708</v>
      </c>
      <c r="I1097" s="592">
        <f t="shared" si="39"/>
        <v>2</v>
      </c>
      <c r="J1097" s="178" t="s">
        <v>816</v>
      </c>
      <c r="K1097" s="178" t="s">
        <v>816</v>
      </c>
      <c r="L1097" s="275" t="str">
        <f>IF(H:H=0,"",IF(ISERROR(VLOOKUP(H:H,produtos_escape2!$A$2:$B$2794,2,FALSE)),"Código não cadastrado",(VLOOKUP(H:H,produtos_escape2!$A$2:$B$2794,2,FALSE))))</f>
        <v>MOLDES DE INCLUSÃO EM ALUMINIO PARA CASSETES - - TAMANHO 15x15x5 MM;</v>
      </c>
      <c r="M1097" s="593" t="str">
        <f>IF(H:H=0,"",IF(ISERROR(VLOOKUP(H:H,produtos_escape2!$A$2:$D$2794,2,FALSE)),"Código não cadastrado",(VLOOKUP(H:H,produtos_escape2!$A$2:$D$2794,4,FALSE))))</f>
        <v>UN</v>
      </c>
      <c r="N1097" s="486">
        <v>50</v>
      </c>
      <c r="O1097" s="176" t="s">
        <v>1868</v>
      </c>
      <c r="P1097" s="486"/>
      <c r="Q1097" s="247">
        <v>29</v>
      </c>
      <c r="R1097" s="246">
        <f t="shared" si="38"/>
        <v>0</v>
      </c>
      <c r="S1097" s="177">
        <v>44119</v>
      </c>
      <c r="T1097" s="182"/>
      <c r="U1097" s="177"/>
      <c r="V1097" s="177"/>
      <c r="W1097" s="177"/>
      <c r="X1097" s="176"/>
      <c r="Y1097" s="177"/>
      <c r="Z1097" s="415">
        <v>5</v>
      </c>
      <c r="AA1097" s="488" t="s">
        <v>9784</v>
      </c>
      <c r="AB1097" s="594"/>
      <c r="AC1097" s="595"/>
      <c r="AD1097" s="596" t="str">
        <f>IF(AND(AC1097&lt;&gt;"",S1097&lt;&gt;""),NETWORKDAYS(AC1097,S1097,#REF!),"")</f>
        <v/>
      </c>
      <c r="AE1097" s="596" t="str">
        <f ca="1">IF(AND(AD1097="",AC1097=""),"",IF(OR(AD1097&lt;&gt;"",O1097="*CANCELADO"),"",NETWORKDAYS(AC1097,TODAY(),#REF!)))</f>
        <v/>
      </c>
      <c r="AF1097" s="597" t="str">
        <f>IFERROR(INDEX(produtos_escape2!M:M,MATCH(Controle!H1097,produtos_escape2!A:A,0)),"")</f>
        <v xml:space="preserve">MOLDES DE INCLUSÃO </v>
      </c>
    </row>
    <row r="1098" spans="1:32" ht="14.25" customHeight="1">
      <c r="A1098" s="176" t="s">
        <v>9316</v>
      </c>
      <c r="B1098" s="176" t="s">
        <v>3608</v>
      </c>
      <c r="C1098" s="177">
        <v>44105</v>
      </c>
      <c r="D1098" s="176" t="s">
        <v>10048</v>
      </c>
      <c r="E1098" s="176" t="s">
        <v>1867</v>
      </c>
      <c r="F1098" s="259" t="s">
        <v>10049</v>
      </c>
      <c r="G1098" s="176">
        <v>1</v>
      </c>
      <c r="H1098" s="178">
        <v>92403</v>
      </c>
      <c r="I1098" s="592">
        <f t="shared" si="39"/>
        <v>10</v>
      </c>
      <c r="J1098" s="178" t="s">
        <v>816</v>
      </c>
      <c r="K1098" s="178" t="s">
        <v>816</v>
      </c>
      <c r="L1098" s="275"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098" s="593" t="str">
        <f>IF(H:H=0,"",IF(ISERROR(VLOOKUP(H:H,produtos_escape2!$A$2:$D$2794,2,FALSE)),"Código não cadastrado",(VLOOKUP(H:H,produtos_escape2!$A$2:$D$2794,4,FALSE))))</f>
        <v>PAR</v>
      </c>
      <c r="N1098" s="486">
        <v>5000</v>
      </c>
      <c r="O1098" s="176" t="s">
        <v>7825</v>
      </c>
      <c r="P1098" s="486">
        <v>5000</v>
      </c>
      <c r="Q1098" s="247">
        <v>1.2746</v>
      </c>
      <c r="R1098" s="246">
        <f t="shared" si="38"/>
        <v>6373</v>
      </c>
      <c r="S1098" s="177">
        <v>44112</v>
      </c>
      <c r="T1098" s="182">
        <v>573938</v>
      </c>
      <c r="U1098" s="177">
        <v>44112</v>
      </c>
      <c r="V1098" s="177">
        <v>44123</v>
      </c>
      <c r="W1098" s="177">
        <v>44125</v>
      </c>
      <c r="X1098" s="176">
        <v>14550</v>
      </c>
      <c r="Y1098" s="177">
        <v>44141</v>
      </c>
      <c r="Z1098" s="415">
        <v>6</v>
      </c>
      <c r="AA1098" s="488"/>
      <c r="AB1098" s="594"/>
      <c r="AC1098" s="595"/>
      <c r="AD1098" s="596" t="str">
        <f>IF(AND(AC1098&lt;&gt;"",S1098&lt;&gt;""),NETWORKDAYS(AC1098,S1098,#REF!),"")</f>
        <v/>
      </c>
      <c r="AE1098" s="596" t="str">
        <f ca="1">IF(AND(AD1098="",AC1098=""),"",IF(OR(AD1098&lt;&gt;"",O1098="*CANCELADO"),"",NETWORKDAYS(AC1098,TODAY(),#REF!)))</f>
        <v/>
      </c>
      <c r="AF1098" s="597" t="str">
        <f>IFERROR(INDEX(produtos_escape2!M:M,MATCH(Controle!H1098,produtos_escape2!A:A,0)),"")</f>
        <v>LUVA CIRURGICA CONVENCIONAL Nº 8</v>
      </c>
    </row>
    <row r="1099" spans="1:32" ht="14.25" customHeight="1">
      <c r="A1099" s="176" t="s">
        <v>9316</v>
      </c>
      <c r="B1099" s="176" t="s">
        <v>3608</v>
      </c>
      <c r="C1099" s="177">
        <v>44105</v>
      </c>
      <c r="D1099" s="176" t="s">
        <v>10048</v>
      </c>
      <c r="E1099" s="176" t="s">
        <v>1867</v>
      </c>
      <c r="F1099" s="259" t="s">
        <v>10049</v>
      </c>
      <c r="G1099" s="176">
        <v>2</v>
      </c>
      <c r="H1099" s="178">
        <v>92410</v>
      </c>
      <c r="I1099" s="592">
        <f t="shared" si="39"/>
        <v>7</v>
      </c>
      <c r="J1099" s="178" t="s">
        <v>816</v>
      </c>
      <c r="K1099" s="178" t="s">
        <v>816</v>
      </c>
      <c r="L1099" s="275"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099" s="593" t="str">
        <f>IF(H:H=0,"",IF(ISERROR(VLOOKUP(H:H,produtos_escape2!$A$2:$D$2794,2,FALSE)),"Código não cadastrado",(VLOOKUP(H:H,produtos_escape2!$A$2:$D$2794,4,FALSE))))</f>
        <v>PAR</v>
      </c>
      <c r="N1099" s="486">
        <v>3000</v>
      </c>
      <c r="O1099" s="176" t="s">
        <v>7825</v>
      </c>
      <c r="P1099" s="486">
        <v>3000</v>
      </c>
      <c r="Q1099" s="247">
        <v>1.2746</v>
      </c>
      <c r="R1099" s="246">
        <f t="shared" si="38"/>
        <v>3823.7999999999997</v>
      </c>
      <c r="S1099" s="177">
        <v>44112</v>
      </c>
      <c r="T1099" s="182">
        <v>573938</v>
      </c>
      <c r="U1099" s="177">
        <v>44112</v>
      </c>
      <c r="V1099" s="177">
        <v>44123</v>
      </c>
      <c r="W1099" s="177">
        <v>44125</v>
      </c>
      <c r="X1099" s="176">
        <v>14550</v>
      </c>
      <c r="Y1099" s="177">
        <v>44141</v>
      </c>
      <c r="Z1099" s="415">
        <v>6</v>
      </c>
      <c r="AA1099" s="488"/>
      <c r="AB1099" s="594"/>
      <c r="AC1099" s="595"/>
      <c r="AD1099" s="596" t="str">
        <f>IF(AND(AC1099&lt;&gt;"",S1099&lt;&gt;""),NETWORKDAYS(AC1099,S1099,#REF!),"")</f>
        <v/>
      </c>
      <c r="AE1099" s="596" t="str">
        <f ca="1">IF(AND(AD1099="",AC1099=""),"",IF(OR(AD1099&lt;&gt;"",O1099="*CANCELADO"),"",NETWORKDAYS(AC1099,TODAY(),#REF!)))</f>
        <v/>
      </c>
      <c r="AF1099" s="597" t="str">
        <f>IFERROR(INDEX(produtos_escape2!M:M,MATCH(Controle!H1099,produtos_escape2!A:A,0)),"")</f>
        <v>LUVA CIRURGICA CONVENCIONAL Nº 6,5</v>
      </c>
    </row>
    <row r="1100" spans="1:32" ht="14.25" customHeight="1">
      <c r="A1100" s="176" t="s">
        <v>9308</v>
      </c>
      <c r="B1100" s="176" t="s">
        <v>3608</v>
      </c>
      <c r="C1100" s="177">
        <v>44105</v>
      </c>
      <c r="D1100" s="176" t="s">
        <v>10050</v>
      </c>
      <c r="E1100" s="176" t="s">
        <v>3009</v>
      </c>
      <c r="F1100" s="259" t="s">
        <v>10051</v>
      </c>
      <c r="G1100" s="176">
        <v>1</v>
      </c>
      <c r="H1100" s="178">
        <v>95007</v>
      </c>
      <c r="I1100" s="592">
        <f t="shared" si="39"/>
        <v>1</v>
      </c>
      <c r="J1100" s="178" t="s">
        <v>816</v>
      </c>
      <c r="K1100" s="178" t="s">
        <v>816</v>
      </c>
      <c r="L1100" s="275" t="str">
        <f>IF(H:H=0,"",IF(ISERROR(VLOOKUP(H:H,produtos_escape2!$A$2:$B$2794,2,FALSE)),"Código não cadastrado",(VLOOKUP(H:H,produtos_escape2!$A$2:$B$2794,2,FALSE))))</f>
        <v>ACIDO ACETICO GLACIAL P.A. 1000ML</v>
      </c>
      <c r="M1100" s="593" t="str">
        <f>IF(H:H=0,"",IF(ISERROR(VLOOKUP(H:H,produtos_escape2!$A$2:$D$2794,2,FALSE)),"Código não cadastrado",(VLOOKUP(H:H,produtos_escape2!$A$2:$D$2794,4,FALSE))))</f>
        <v>FR</v>
      </c>
      <c r="N1100" s="486">
        <v>2</v>
      </c>
      <c r="O1100" s="176" t="s">
        <v>1868</v>
      </c>
      <c r="P1100" s="486"/>
      <c r="Q1100" s="247"/>
      <c r="R1100" s="246">
        <f t="shared" si="38"/>
        <v>0</v>
      </c>
      <c r="S1100" s="177"/>
      <c r="T1100" s="182"/>
      <c r="U1100" s="177"/>
      <c r="V1100" s="177"/>
      <c r="W1100" s="177"/>
      <c r="X1100" s="176"/>
      <c r="Y1100" s="177"/>
      <c r="Z1100" s="415">
        <v>5</v>
      </c>
      <c r="AA1100" s="488" t="s">
        <v>8117</v>
      </c>
      <c r="AB1100" s="594"/>
      <c r="AC1100" s="595"/>
      <c r="AD1100" s="596" t="str">
        <f>IF(AND(AC1100&lt;&gt;"",S1100&lt;&gt;""),NETWORKDAYS(AC1100,S1100,#REF!),"")</f>
        <v/>
      </c>
      <c r="AE1100" s="596" t="str">
        <f ca="1">IF(AND(AD1100="",AC1100=""),"",IF(OR(AD1100&lt;&gt;"",O1100="*CANCELADO"),"",NETWORKDAYS(AC1100,TODAY(),#REF!)))</f>
        <v/>
      </c>
      <c r="AF1100" s="597" t="str">
        <f>IFERROR(INDEX(produtos_escape2!M:M,MATCH(Controle!H1100,produtos_escape2!A:A,0)),"")</f>
        <v>ACIDO ACETICO</v>
      </c>
    </row>
    <row r="1101" spans="1:32" ht="14.25" customHeight="1">
      <c r="A1101" s="176" t="s">
        <v>9307</v>
      </c>
      <c r="B1101" s="176" t="s">
        <v>3608</v>
      </c>
      <c r="C1101" s="177">
        <v>44105</v>
      </c>
      <c r="D1101" s="176" t="s">
        <v>10052</v>
      </c>
      <c r="E1101" s="176" t="s">
        <v>1866</v>
      </c>
      <c r="F1101" s="259" t="s">
        <v>10053</v>
      </c>
      <c r="G1101" s="176">
        <v>1</v>
      </c>
      <c r="H1101" s="178">
        <v>100304</v>
      </c>
      <c r="I1101" s="592">
        <f t="shared" si="39"/>
        <v>1</v>
      </c>
      <c r="J1101" s="178" t="s">
        <v>816</v>
      </c>
      <c r="K1101" s="178" t="s">
        <v>816</v>
      </c>
      <c r="L1101" s="275" t="str">
        <f>IF(H:H=0,"",IF(ISERROR(VLOOKUP(H:H,produtos_escape2!$A$2:$B$2794,2,FALSE)),"Código não cadastrado",(VLOOKUP(H:H,produtos_escape2!$A$2:$B$2794,2,FALSE))))</f>
        <v>ACIDO CLORIDRICO 30% COM BAIXO TEOR DE METAIS MASSA MOLECULAR: 36,46G/MOL FÓRMULA MOLECULAR: HCL ASPECTO FÍSICO: LÍQUIDO LÍMPIDO, INCOLOR/AMARELADO,  FUMEGANTE TEOR: 30% DE HCL IMPUREZAS: BAIXO TEOR DE METAIS, MÁXIMO DE HG 2 ΜG/KG NUMERO DE REFERENCIA QUIMICA CAS: 7647-01-0, APRESENTAÇÃO: FRASCO DE 250 ML</v>
      </c>
      <c r="M1101" s="593" t="str">
        <f>IF(H:H=0,"",IF(ISERROR(VLOOKUP(H:H,produtos_escape2!$A$2:$D$2794,2,FALSE)),"Código não cadastrado",(VLOOKUP(H:H,produtos_escape2!$A$2:$D$2794,4,FALSE))))</f>
        <v>FR</v>
      </c>
      <c r="N1101" s="486">
        <v>4</v>
      </c>
      <c r="O1101" s="176" t="s">
        <v>1868</v>
      </c>
      <c r="P1101" s="486"/>
      <c r="Q1101" s="247"/>
      <c r="R1101" s="246">
        <f t="shared" si="38"/>
        <v>0</v>
      </c>
      <c r="S1101" s="177">
        <v>44113</v>
      </c>
      <c r="T1101" s="182"/>
      <c r="U1101" s="177"/>
      <c r="V1101" s="177"/>
      <c r="W1101" s="177"/>
      <c r="X1101" s="176"/>
      <c r="Y1101" s="177"/>
      <c r="Z1101" s="415">
        <v>5</v>
      </c>
      <c r="AA1101" s="488" t="s">
        <v>8117</v>
      </c>
      <c r="AB1101" s="594"/>
      <c r="AC1101" s="595"/>
      <c r="AD1101" s="596" t="str">
        <f>IF(AND(AC1101&lt;&gt;"",S1101&lt;&gt;""),NETWORKDAYS(AC1101,S1101,#REF!),"")</f>
        <v/>
      </c>
      <c r="AE1101" s="596" t="str">
        <f ca="1">IF(AND(AD1101="",AC1101=""),"",IF(OR(AD1101&lt;&gt;"",O1101="*CANCELADO"),"",NETWORKDAYS(AC1101,TODAY(),#REF!)))</f>
        <v/>
      </c>
      <c r="AF1101" s="597" t="str">
        <f>IFERROR(INDEX(produtos_escape2!M:M,MATCH(Controle!H1101,produtos_escape2!A:A,0)),"")</f>
        <v>ACIDO CLORIDRICO 30%</v>
      </c>
    </row>
    <row r="1102" spans="1:32" ht="14.25" customHeight="1">
      <c r="A1102" s="176" t="s">
        <v>9306</v>
      </c>
      <c r="B1102" s="176" t="s">
        <v>3608</v>
      </c>
      <c r="C1102" s="177">
        <v>44105</v>
      </c>
      <c r="D1102" s="176" t="s">
        <v>10056</v>
      </c>
      <c r="E1102" s="176" t="s">
        <v>1867</v>
      </c>
      <c r="F1102" s="259" t="s">
        <v>10057</v>
      </c>
      <c r="G1102" s="176">
        <v>1</v>
      </c>
      <c r="H1102" s="178">
        <v>200040</v>
      </c>
      <c r="I1102" s="592">
        <f t="shared" si="39"/>
        <v>1</v>
      </c>
      <c r="J1102" s="178" t="s">
        <v>816</v>
      </c>
      <c r="K1102" s="178" t="s">
        <v>816</v>
      </c>
      <c r="L1102" s="275" t="str">
        <f>IF(H:H=0,"",IF(ISERROR(VLOOKUP(H:H,produtos_escape2!$A$2:$B$2794,2,FALSE)),"Código não cadastrado",(VLOOKUP(H:H,produtos_escape2!$A$2:$B$2794,2,FALSE))))</f>
        <v>FENOL ACS;PESO MOLECULAR: 94,11 G/MOL FÓRMULA QUÍMICA: C6H5OHASPECTO FÍSICO: CRISTAL INCOLOR, ALTAMENTE HIGROSCÓPICOTEOR DE ÁGUA MÁXIMO 0,5%.PUREZA MÍNIMA: 99% NÚMERO CAS: 108-95-2 APRESENTAÇÃO: FRASCO 1LITRO</v>
      </c>
      <c r="M1102" s="593" t="str">
        <f>IF(H:H=0,"",IF(ISERROR(VLOOKUP(H:H,produtos_escape2!$A$2:$D$2794,2,FALSE)),"Código não cadastrado",(VLOOKUP(H:H,produtos_escape2!$A$2:$D$2794,4,FALSE))))</f>
        <v>FR</v>
      </c>
      <c r="N1102" s="486">
        <v>2</v>
      </c>
      <c r="O1102" s="176" t="s">
        <v>3670</v>
      </c>
      <c r="P1102" s="486">
        <v>2</v>
      </c>
      <c r="Q1102" s="247">
        <v>92</v>
      </c>
      <c r="R1102" s="246">
        <f t="shared" si="38"/>
        <v>184</v>
      </c>
      <c r="S1102" s="177">
        <v>44130</v>
      </c>
      <c r="T1102" s="182">
        <v>3986</v>
      </c>
      <c r="U1102" s="177">
        <v>44144</v>
      </c>
      <c r="V1102" s="177">
        <v>44148</v>
      </c>
      <c r="W1102" s="177">
        <v>44152</v>
      </c>
      <c r="X1102" s="176">
        <v>3304</v>
      </c>
      <c r="Y1102" s="177">
        <v>44167</v>
      </c>
      <c r="Z1102" s="415">
        <v>6</v>
      </c>
      <c r="AA1102" s="488"/>
      <c r="AB1102" s="594"/>
      <c r="AC1102" s="595"/>
      <c r="AD1102" s="596" t="str">
        <f>IF(AND(AC1102&lt;&gt;"",S1102&lt;&gt;""),NETWORKDAYS(AC1102,S1102,#REF!),"")</f>
        <v/>
      </c>
      <c r="AE1102" s="596" t="str">
        <f ca="1">IF(AND(AD1102="",AC1102=""),"",IF(OR(AD1102&lt;&gt;"",O1102="*CANCELADO"),"",NETWORKDAYS(AC1102,TODAY(),#REF!)))</f>
        <v/>
      </c>
      <c r="AF1102" s="597" t="str">
        <f>IFERROR(INDEX(produtos_escape2!M:M,MATCH(Controle!H1102,produtos_escape2!A:A,0)),"")</f>
        <v>FENOL ACS;</v>
      </c>
    </row>
    <row r="1103" spans="1:32" ht="14.25" customHeight="1">
      <c r="A1103" s="176" t="s">
        <v>9305</v>
      </c>
      <c r="B1103" s="176" t="s">
        <v>3608</v>
      </c>
      <c r="C1103" s="177">
        <v>44105</v>
      </c>
      <c r="D1103" s="176" t="s">
        <v>10060</v>
      </c>
      <c r="E1103" s="176" t="s">
        <v>3009</v>
      </c>
      <c r="F1103" s="259" t="s">
        <v>10061</v>
      </c>
      <c r="G1103" s="176">
        <v>1</v>
      </c>
      <c r="H1103" s="178">
        <v>95351</v>
      </c>
      <c r="I1103" s="592">
        <f t="shared" si="39"/>
        <v>2</v>
      </c>
      <c r="J1103" s="178" t="s">
        <v>816</v>
      </c>
      <c r="K1103" s="178" t="s">
        <v>816</v>
      </c>
      <c r="L1103" s="275" t="str">
        <f>IF(H:H=0,"",IF(ISERROR(VLOOKUP(H:H,produtos_escape2!$A$2:$B$2794,2,FALSE)),"Código não cadastrado",(VLOOKUP(H:H,produtos_escape2!$A$2:$B$2794,2,FALSE))))</f>
        <v>FUCSINA BASICA, CI 42500, 25G</v>
      </c>
      <c r="M1103" s="593" t="str">
        <f>IF(H:H=0,"",IF(ISERROR(VLOOKUP(H:H,produtos_escape2!$A$2:$D$2794,2,FALSE)),"Código não cadastrado",(VLOOKUP(H:H,produtos_escape2!$A$2:$D$2794,4,FALSE))))</f>
        <v>FR</v>
      </c>
      <c r="N1103" s="486">
        <v>5</v>
      </c>
      <c r="O1103" s="176" t="s">
        <v>3670</v>
      </c>
      <c r="P1103" s="486">
        <v>5</v>
      </c>
      <c r="Q1103" s="247">
        <v>577.5</v>
      </c>
      <c r="R1103" s="246">
        <f t="shared" si="38"/>
        <v>2887.5</v>
      </c>
      <c r="S1103" s="177">
        <v>44112</v>
      </c>
      <c r="T1103" s="182">
        <v>3985</v>
      </c>
      <c r="U1103" s="177">
        <v>44144</v>
      </c>
      <c r="V1103" s="177">
        <v>44148</v>
      </c>
      <c r="W1103" s="177">
        <v>44152</v>
      </c>
      <c r="X1103" s="176">
        <v>3305</v>
      </c>
      <c r="Y1103" s="177">
        <v>44167</v>
      </c>
      <c r="Z1103" s="415">
        <v>6</v>
      </c>
      <c r="AA1103" s="488"/>
      <c r="AB1103" s="594"/>
      <c r="AC1103" s="595"/>
      <c r="AD1103" s="596" t="str">
        <f>IF(AND(AC1103&lt;&gt;"",S1103&lt;&gt;""),NETWORKDAYS(AC1103,S1103,#REF!),"")</f>
        <v/>
      </c>
      <c r="AE1103" s="596" t="str">
        <f ca="1">IF(AND(AD1103="",AC1103=""),"",IF(OR(AD1103&lt;&gt;"",O1103="*CANCELADO"),"",NETWORKDAYS(AC1103,TODAY(),#REF!)))</f>
        <v/>
      </c>
      <c r="AF1103" s="597" t="str">
        <f>IFERROR(INDEX(produtos_escape2!M:M,MATCH(Controle!H1103,produtos_escape2!A:A,0)),"")</f>
        <v>FUCSINA</v>
      </c>
    </row>
    <row r="1104" spans="1:32" ht="14.25" customHeight="1">
      <c r="A1104" s="176" t="s">
        <v>9296</v>
      </c>
      <c r="B1104" s="176" t="s">
        <v>3608</v>
      </c>
      <c r="C1104" s="177">
        <v>44105</v>
      </c>
      <c r="D1104" s="176" t="s">
        <v>10062</v>
      </c>
      <c r="E1104" s="176" t="s">
        <v>1866</v>
      </c>
      <c r="F1104" s="259" t="s">
        <v>10063</v>
      </c>
      <c r="G1104" s="176">
        <v>1</v>
      </c>
      <c r="H1104" s="178">
        <v>34010</v>
      </c>
      <c r="I1104" s="592">
        <f t="shared" si="39"/>
        <v>1</v>
      </c>
      <c r="J1104" s="178" t="s">
        <v>816</v>
      </c>
      <c r="K1104" s="178" t="s">
        <v>816</v>
      </c>
      <c r="L1104" s="275" t="str">
        <f>IF(H:H=0,"",IF(ISERROR(VLOOKUP(H:H,produtos_escape2!$A$2:$B$2794,2,FALSE)),"Código não cadastrado",(VLOOKUP(H:H,produtos_escape2!$A$2:$B$2794,2,FALSE))))</f>
        <v>CORANTE, TIPO HEMATOXILINA, ASPECTO FÍSICO PÓ - Corante, tipo Hematoxilina, aspecto físico pó, características adicionais CI 75290.</v>
      </c>
      <c r="M1104" s="593" t="str">
        <f>IF(H:H=0,"",IF(ISERROR(VLOOKUP(H:H,produtos_escape2!$A$2:$D$2794,2,FALSE)),"Código não cadastrado",(VLOOKUP(H:H,produtos_escape2!$A$2:$D$2794,4,FALSE))))</f>
        <v>FR</v>
      </c>
      <c r="N1104" s="486">
        <v>4</v>
      </c>
      <c r="O1104" s="176" t="s">
        <v>7392</v>
      </c>
      <c r="P1104" s="486">
        <v>1</v>
      </c>
      <c r="Q1104" s="247">
        <v>430</v>
      </c>
      <c r="R1104" s="246">
        <f t="shared" si="38"/>
        <v>430</v>
      </c>
      <c r="S1104" s="177">
        <v>44118</v>
      </c>
      <c r="T1104" s="182">
        <v>1388</v>
      </c>
      <c r="U1104" s="177">
        <v>44151</v>
      </c>
      <c r="V1104" s="177">
        <v>44152</v>
      </c>
      <c r="W1104" s="177">
        <v>44152</v>
      </c>
      <c r="X1104" s="176">
        <v>31397</v>
      </c>
      <c r="Y1104" s="177">
        <v>44167</v>
      </c>
      <c r="Z1104" s="415">
        <v>6</v>
      </c>
      <c r="AA1104" s="488"/>
      <c r="AB1104" s="594"/>
      <c r="AC1104" s="595"/>
      <c r="AD1104" s="596" t="str">
        <f>IF(AND(AC1104&lt;&gt;"",S1104&lt;&gt;""),NETWORKDAYS(AC1104,S1104,#REF!),"")</f>
        <v/>
      </c>
      <c r="AE1104" s="596" t="str">
        <f ca="1">IF(AND(AD1104="",AC1104=""),"",IF(OR(AD1104&lt;&gt;"",O1104="*CANCELADO"),"",NETWORKDAYS(AC1104,TODAY(),#REF!)))</f>
        <v/>
      </c>
      <c r="AF1104" s="597" t="str">
        <f>IFERROR(INDEX(produtos_escape2!M:M,MATCH(Controle!H1104,produtos_escape2!A:A,0)),"")</f>
        <v>HEMATOXILINA - Corante citológico e histológico básico para colorações de rotina (Papanicolau e H/E)</v>
      </c>
    </row>
    <row r="1105" spans="1:32" ht="14.25" customHeight="1">
      <c r="A1105" s="176" t="s">
        <v>9294</v>
      </c>
      <c r="B1105" s="176" t="s">
        <v>3608</v>
      </c>
      <c r="C1105" s="177">
        <v>44105</v>
      </c>
      <c r="D1105" s="176" t="s">
        <v>10064</v>
      </c>
      <c r="E1105" s="176" t="s">
        <v>1867</v>
      </c>
      <c r="F1105" s="259" t="s">
        <v>10065</v>
      </c>
      <c r="G1105" s="176">
        <v>1</v>
      </c>
      <c r="H1105" s="178">
        <v>95422</v>
      </c>
      <c r="I1105" s="592">
        <f t="shared" si="39"/>
        <v>2</v>
      </c>
      <c r="J1105" s="178" t="s">
        <v>816</v>
      </c>
      <c r="K1105" s="178" t="s">
        <v>816</v>
      </c>
      <c r="L1105" s="275" t="str">
        <f>IF(H:H=0,"",IF(ISERROR(VLOOKUP(H:H,produtos_escape2!$A$2:$B$2794,2,FALSE)),"Código não cadastrado",(VLOOKUP(H:H,produtos_escape2!$A$2:$B$2794,2,FALSE))))</f>
        <v>MEIO MONTAGEM P/MICROSC.BASE DE XILENO,100ML - REAGENTE PARA DIAGNÓSTICO CLÍNICO, TIPO SOLUÇÃO DE IMERSÃO, CARACTERÍSTICAS ADICIONAIS FIXAÇÃO DE LÂMINAS PARA MICROSCOPIA, COMPOSIÇÃO BÁSICA COMBINAÇÃO DE RESINAS SINTÉTICAS EM XILENO|Indice de refração (n 20/D): 1,490-1,500|Densidade (d 20 graus C/...</v>
      </c>
      <c r="M1105" s="593" t="str">
        <f>IF(H:H=0,"",IF(ISERROR(VLOOKUP(H:H,produtos_escape2!$A$2:$D$2794,2,FALSE)),"Código não cadastrado",(VLOOKUP(H:H,produtos_escape2!$A$2:$D$2794,4,FALSE))))</f>
        <v>FR</v>
      </c>
      <c r="N1105" s="486">
        <v>20</v>
      </c>
      <c r="O1105" s="176" t="s">
        <v>7540</v>
      </c>
      <c r="P1105" s="486">
        <v>6</v>
      </c>
      <c r="Q1105" s="247">
        <v>247.5</v>
      </c>
      <c r="R1105" s="246">
        <f t="shared" si="38"/>
        <v>1485</v>
      </c>
      <c r="S1105" s="177">
        <v>44112</v>
      </c>
      <c r="T1105" s="182">
        <v>775</v>
      </c>
      <c r="U1105" s="177">
        <v>44123</v>
      </c>
      <c r="V1105" s="177">
        <v>44123</v>
      </c>
      <c r="W1105" s="177">
        <v>44125</v>
      </c>
      <c r="X1105" s="176">
        <v>3302</v>
      </c>
      <c r="Y1105" s="177">
        <v>44140</v>
      </c>
      <c r="Z1105" s="415">
        <v>6</v>
      </c>
      <c r="AA1105" s="488"/>
      <c r="AB1105" s="594"/>
      <c r="AC1105" s="595"/>
      <c r="AD1105" s="596" t="str">
        <f>IF(AND(AC1105&lt;&gt;"",S1105&lt;&gt;""),NETWORKDAYS(AC1105,S1105,#REF!),"")</f>
        <v/>
      </c>
      <c r="AE1105" s="596" t="str">
        <f ca="1">IF(AND(AD1105="",AC1105=""),"",IF(OR(AD1105&lt;&gt;"",O1105="*CANCELADO"),"",NETWORKDAYS(AC1105,TODAY(),#REF!)))</f>
        <v/>
      </c>
      <c r="AF1105" s="597" t="str">
        <f>IFERROR(INDEX(produtos_escape2!M:M,MATCH(Controle!H1105,produtos_escape2!A:A,0)),"")</f>
        <v>MEIO MONTAGEM P/MICROSC</v>
      </c>
    </row>
    <row r="1106" spans="1:32" ht="14.25" customHeight="1">
      <c r="A1106" s="176" t="s">
        <v>8195</v>
      </c>
      <c r="B1106" s="176" t="s">
        <v>7207</v>
      </c>
      <c r="C1106" s="177">
        <v>44105</v>
      </c>
      <c r="D1106" s="176" t="s">
        <v>10090</v>
      </c>
      <c r="E1106" s="176" t="s">
        <v>3009</v>
      </c>
      <c r="F1106" s="259" t="s">
        <v>10066</v>
      </c>
      <c r="G1106" s="176">
        <v>1</v>
      </c>
      <c r="H1106" s="178">
        <v>20879</v>
      </c>
      <c r="I1106" s="592">
        <f t="shared" si="39"/>
        <v>6</v>
      </c>
      <c r="J1106" s="178" t="s">
        <v>816</v>
      </c>
      <c r="K1106" s="178" t="s">
        <v>816</v>
      </c>
      <c r="L1106" s="275"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106" s="593" t="str">
        <f>IF(H:H=0,"",IF(ISERROR(VLOOKUP(H:H,produtos_escape2!$A$2:$D$2794,2,FALSE)),"Código não cadastrado",(VLOOKUP(H:H,produtos_escape2!$A$2:$D$2794,4,FALSE))))</f>
        <v>MH</v>
      </c>
      <c r="N1106" s="486">
        <v>200</v>
      </c>
      <c r="O1106" s="176" t="s">
        <v>3671</v>
      </c>
      <c r="P1106" s="486">
        <v>198</v>
      </c>
      <c r="Q1106" s="247">
        <v>7.38</v>
      </c>
      <c r="R1106" s="246">
        <f t="shared" si="38"/>
        <v>1461.24</v>
      </c>
      <c r="S1106" s="177">
        <v>44112</v>
      </c>
      <c r="T1106" s="182">
        <v>789</v>
      </c>
      <c r="U1106" s="177">
        <v>44118</v>
      </c>
      <c r="V1106" s="177">
        <v>44119</v>
      </c>
      <c r="W1106" s="177">
        <v>44123</v>
      </c>
      <c r="X1106" s="176">
        <v>18129</v>
      </c>
      <c r="Y1106" s="177">
        <v>44146</v>
      </c>
      <c r="Z1106" s="415">
        <v>6</v>
      </c>
      <c r="AA1106" s="488"/>
      <c r="AB1106" s="594"/>
      <c r="AC1106" s="595"/>
      <c r="AD1106" s="596" t="str">
        <f>IF(AND(AC1106&lt;&gt;"",S1106&lt;&gt;""),NETWORKDAYS(AC1106,S1106,#REF!),"")</f>
        <v/>
      </c>
      <c r="AE1106" s="596" t="str">
        <f ca="1">IF(AND(AD1106="",AC1106=""),"",IF(OR(AD1106&lt;&gt;"",O1106="*CANCELADO"),"",NETWORKDAYS(AC1106,TODAY(),#REF!)))</f>
        <v/>
      </c>
      <c r="AF1106" s="597" t="str">
        <f>IFERROR(INDEX(produtos_escape2!M:M,MATCH(Controle!H1106,produtos_escape2!A:A,0)),"")</f>
        <v>ETIQUETA AUTO-ADESIVApara LABORATÓRIO</v>
      </c>
    </row>
    <row r="1107" spans="1:32" ht="14.25" customHeight="1">
      <c r="A1107" s="176" t="s">
        <v>8197</v>
      </c>
      <c r="B1107" s="176" t="s">
        <v>7207</v>
      </c>
      <c r="C1107" s="177">
        <v>44105</v>
      </c>
      <c r="D1107" s="176" t="s">
        <v>10091</v>
      </c>
      <c r="E1107" s="176" t="s">
        <v>1866</v>
      </c>
      <c r="F1107" s="259" t="s">
        <v>10067</v>
      </c>
      <c r="G1107" s="176">
        <v>1</v>
      </c>
      <c r="H1107" s="178">
        <v>18805</v>
      </c>
      <c r="I1107" s="592">
        <f t="shared" si="39"/>
        <v>1</v>
      </c>
      <c r="J1107" s="178" t="s">
        <v>816</v>
      </c>
      <c r="K1107" s="178" t="s">
        <v>816</v>
      </c>
      <c r="L1107" s="275" t="str">
        <f>IF(H:H=0,"",IF(ISERROR(VLOOKUP(H:H,produtos_escape2!$A$2:$B$2794,2,FALSE)),"Código não cadastrado",(VLOOKUP(H:H,produtos_escape2!$A$2:$B$2794,2,FALSE))))</f>
        <v>DISCO COMPACTO DVD R - GRAVÁVEL capacidade de 4.7GB, duração de 120 minutos</v>
      </c>
      <c r="M1107" s="593" t="str">
        <f>IF(H:H=0,"",IF(ISERROR(VLOOKUP(H:H,produtos_escape2!$A$2:$D$2794,2,FALSE)),"Código não cadastrado",(VLOOKUP(H:H,produtos_escape2!$A$2:$D$2794,4,FALSE))))</f>
        <v>UN</v>
      </c>
      <c r="N1107" s="486">
        <v>3000</v>
      </c>
      <c r="O1107" s="176" t="s">
        <v>3407</v>
      </c>
      <c r="P1107" s="486">
        <v>3000</v>
      </c>
      <c r="Q1107" s="247">
        <v>0.79900000000000004</v>
      </c>
      <c r="R1107" s="246">
        <f t="shared" si="38"/>
        <v>2397</v>
      </c>
      <c r="S1107" s="177">
        <v>44111</v>
      </c>
      <c r="T1107" s="182">
        <v>927</v>
      </c>
      <c r="U1107" s="177">
        <v>44112</v>
      </c>
      <c r="V1107" s="177">
        <v>44127</v>
      </c>
      <c r="W1107" s="177">
        <v>44133</v>
      </c>
      <c r="X1107" s="176">
        <v>18034</v>
      </c>
      <c r="Y1107" s="177">
        <v>44146</v>
      </c>
      <c r="Z1107" s="415">
        <v>6</v>
      </c>
      <c r="AA1107" s="488"/>
      <c r="AB1107" s="594"/>
      <c r="AC1107" s="595"/>
      <c r="AD1107" s="596" t="str">
        <f>IF(AND(AC1107&lt;&gt;"",S1107&lt;&gt;""),NETWORKDAYS(AC1107,S1107,#REF!),"")</f>
        <v/>
      </c>
      <c r="AE1107" s="596" t="str">
        <f ca="1">IF(AND(AD1107="",AC1107=""),"",IF(OR(AD1107&lt;&gt;"",O1107="*CANCELADO"),"",NETWORKDAYS(AC1107,TODAY(),#REF!)))</f>
        <v/>
      </c>
      <c r="AF1107" s="597" t="str">
        <f>IFERROR(INDEX(produtos_escape2!M:M,MATCH(Controle!H1107,produtos_escape2!A:A,0)),"")</f>
        <v>DISCO COMPACTO DVD R - GRAVÁVEL</v>
      </c>
    </row>
    <row r="1108" spans="1:32" ht="14.25" customHeight="1">
      <c r="A1108" s="176" t="s">
        <v>8197</v>
      </c>
      <c r="B1108" s="176" t="s">
        <v>7207</v>
      </c>
      <c r="C1108" s="177">
        <v>44105</v>
      </c>
      <c r="D1108" s="176" t="s">
        <v>10091</v>
      </c>
      <c r="E1108" s="176" t="s">
        <v>1866</v>
      </c>
      <c r="F1108" s="259" t="s">
        <v>10067</v>
      </c>
      <c r="G1108" s="176">
        <v>2</v>
      </c>
      <c r="H1108" s="178">
        <v>11929</v>
      </c>
      <c r="I1108" s="592">
        <f t="shared" si="39"/>
        <v>2</v>
      </c>
      <c r="J1108" s="178" t="s">
        <v>816</v>
      </c>
      <c r="K1108" s="178" t="s">
        <v>816</v>
      </c>
      <c r="L1108" s="275" t="str">
        <f>IF(H:H=0,"",IF(ISERROR(VLOOKUP(H:H,produtos_escape2!$A$2:$B$2794,2,FALSE)),"Código não cadastrado",(VLOOKUP(H:H,produtos_escape2!$A$2:$B$2794,2,FALSE))))</f>
        <v>CAPA PARA CD OU DVD,Características Técnicas Mínimas: 16cm x 13cm (comprimento x largura), com abertura, sendo, 14cm x 2cm de aba para fechamento sendo que na aba tem que existir um adesivo em toda sua extensão com proteção descartável</v>
      </c>
      <c r="M1108" s="593" t="str">
        <f>IF(H:H=0,"",IF(ISERROR(VLOOKUP(H:H,produtos_escape2!$A$2:$D$2794,2,FALSE)),"Código não cadastrado",(VLOOKUP(H:H,produtos_escape2!$A$2:$D$2794,4,FALSE))))</f>
        <v>UN</v>
      </c>
      <c r="N1108" s="486">
        <v>3000</v>
      </c>
      <c r="O1108" s="176" t="s">
        <v>3407</v>
      </c>
      <c r="P1108" s="486">
        <v>3000</v>
      </c>
      <c r="Q1108" s="247">
        <v>0.15</v>
      </c>
      <c r="R1108" s="246">
        <f t="shared" si="38"/>
        <v>450</v>
      </c>
      <c r="S1108" s="177">
        <v>44111</v>
      </c>
      <c r="T1108" s="182">
        <v>927</v>
      </c>
      <c r="U1108" s="177">
        <v>44112</v>
      </c>
      <c r="V1108" s="177">
        <v>44127</v>
      </c>
      <c r="W1108" s="177">
        <v>44133</v>
      </c>
      <c r="X1108" s="176">
        <v>18034</v>
      </c>
      <c r="Y1108" s="177">
        <v>44146</v>
      </c>
      <c r="Z1108" s="415">
        <v>6</v>
      </c>
      <c r="AA1108" s="488"/>
      <c r="AB1108" s="594"/>
      <c r="AC1108" s="595"/>
      <c r="AD1108" s="596" t="str">
        <f>IF(AND(AC1108&lt;&gt;"",S1108&lt;&gt;""),NETWORKDAYS(AC1108,S1108,#REF!),"")</f>
        <v/>
      </c>
      <c r="AE1108" s="596" t="str">
        <f ca="1">IF(AND(AD1108="",AC1108=""),"",IF(OR(AD1108&lt;&gt;"",O1108="*CANCELADO"),"",NETWORKDAYS(AC1108,TODAY(),#REF!)))</f>
        <v/>
      </c>
      <c r="AF1108" s="597" t="str">
        <f>IFERROR(INDEX(produtos_escape2!M:M,MATCH(Controle!H1108,produtos_escape2!A:A,0)),"")</f>
        <v>CAPA PARA CD OU DVD</v>
      </c>
    </row>
    <row r="1109" spans="1:32" ht="14.25" customHeight="1">
      <c r="A1109" s="176" t="s">
        <v>8193</v>
      </c>
      <c r="B1109" s="176" t="s">
        <v>7207</v>
      </c>
      <c r="C1109" s="177">
        <v>44105</v>
      </c>
      <c r="D1109" s="176" t="s">
        <v>10070</v>
      </c>
      <c r="E1109" s="176" t="s">
        <v>1867</v>
      </c>
      <c r="F1109" s="259" t="s">
        <v>10071</v>
      </c>
      <c r="G1109" s="176">
        <v>1</v>
      </c>
      <c r="H1109" s="178">
        <v>31229</v>
      </c>
      <c r="I1109" s="592">
        <f t="shared" si="39"/>
        <v>1</v>
      </c>
      <c r="J1109" s="178" t="s">
        <v>816</v>
      </c>
      <c r="K1109" s="178" t="s">
        <v>816</v>
      </c>
      <c r="L1109" s="275" t="str">
        <f>IF(H:H=0,"",IF(ISERROR(VLOOKUP(H:H,produtos_escape2!$A$2:$B$2794,2,FALSE)),"Código não cadastrado",(VLOOKUP(H:H,produtos_escape2!$A$2:$B$2794,2,FALSE))))</f>
        <v>NAVALHA PARA MICRÓTOMO, Aplicação: corte de parafina, Material: aço inoxidável, Dimensões: 70  a 80 mm de comprimento X 08mm de largura, Caracteristicas adicionais: uso laboratorial e descartável, perfil baixo, Unidade de fornecimento: caixa com 50 unidades</v>
      </c>
      <c r="M1109" s="593" t="str">
        <f>IF(H:H=0,"",IF(ISERROR(VLOOKUP(H:H,produtos_escape2!$A$2:$D$2794,2,FALSE)),"Código não cadastrado",(VLOOKUP(H:H,produtos_escape2!$A$2:$D$2794,4,FALSE))))</f>
        <v>CX</v>
      </c>
      <c r="N1109" s="486">
        <v>40</v>
      </c>
      <c r="O1109" s="176" t="s">
        <v>7392</v>
      </c>
      <c r="P1109" s="486">
        <v>5</v>
      </c>
      <c r="Q1109" s="247">
        <v>790</v>
      </c>
      <c r="R1109" s="246">
        <f t="shared" si="38"/>
        <v>3950</v>
      </c>
      <c r="S1109" s="177">
        <v>44112</v>
      </c>
      <c r="T1109" s="182">
        <v>1394</v>
      </c>
      <c r="U1109" s="177">
        <v>44168</v>
      </c>
      <c r="V1109" s="177">
        <v>44173</v>
      </c>
      <c r="W1109" s="177">
        <v>44173</v>
      </c>
      <c r="X1109" s="176" t="s">
        <v>10674</v>
      </c>
      <c r="Y1109" s="177"/>
      <c r="Z1109" s="415">
        <v>6</v>
      </c>
      <c r="AA1109" s="488"/>
      <c r="AB1109" s="594"/>
      <c r="AC1109" s="595"/>
      <c r="AD1109" s="596" t="str">
        <f>IF(AND(AC1109&lt;&gt;"",S1109&lt;&gt;""),NETWORKDAYS(AC1109,S1109,#REF!),"")</f>
        <v/>
      </c>
      <c r="AE1109" s="596" t="str">
        <f ca="1">IF(AND(AD1109="",AC1109=""),"",IF(OR(AD1109&lt;&gt;"",O1109="*CANCELADO"),"",NETWORKDAYS(AC1109,TODAY(),#REF!)))</f>
        <v/>
      </c>
      <c r="AF1109" s="597" t="str">
        <f>IFERROR(INDEX(produtos_escape2!M:M,MATCH(Controle!H1109,produtos_escape2!A:A,0)),"")</f>
        <v>NAVALHA PARA MICRÓTOMO</v>
      </c>
    </row>
    <row r="1110" spans="1:32" ht="14.25" customHeight="1">
      <c r="A1110" s="176" t="s">
        <v>9223</v>
      </c>
      <c r="B1110" s="176" t="s">
        <v>3608</v>
      </c>
      <c r="C1110" s="177">
        <v>44105</v>
      </c>
      <c r="D1110" s="176" t="s">
        <v>10083</v>
      </c>
      <c r="E1110" s="176" t="s">
        <v>1866</v>
      </c>
      <c r="F1110" s="259" t="s">
        <v>10085</v>
      </c>
      <c r="G1110" s="176">
        <v>1</v>
      </c>
      <c r="H1110" s="178">
        <v>92407</v>
      </c>
      <c r="I1110" s="592">
        <f t="shared" si="39"/>
        <v>3</v>
      </c>
      <c r="J1110" s="178" t="s">
        <v>816</v>
      </c>
      <c r="K1110" s="178" t="s">
        <v>816</v>
      </c>
      <c r="L1110" s="275" t="str">
        <f>IF(H:H=0,"",IF(ISERROR(VLOOKUP(H:H,produtos_escape2!$A$2:$B$2794,2,FALSE)),"Código não cadastrado",(VLOOKUP(H:H,produtos_escape2!$A$2:$B$2794,2,FALSE))))</f>
        <v>LUVA DE PROCEDIMENTO NÃO ESTÉRIL DE LÁTEX TAMANHO "P". Aplicação: uso em técnica não estéril como proteção do profissional. Material: látex íntegro. Tamanho: pequeno.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1110" s="593" t="str">
        <f>IF(H:H=0,"",IF(ISERROR(VLOOKUP(H:H,produtos_escape2!$A$2:$D$2794,2,FALSE)),"Código não cadastrado",(VLOOKUP(H:H,produtos_escape2!$A$2:$D$2794,4,FALSE))))</f>
        <v>UN</v>
      </c>
      <c r="N1110" s="486">
        <v>39500</v>
      </c>
      <c r="O1110" s="176" t="s">
        <v>7896</v>
      </c>
      <c r="P1110" s="486">
        <v>34100</v>
      </c>
      <c r="Q1110" s="247">
        <v>0.45</v>
      </c>
      <c r="R1110" s="246">
        <f t="shared" si="38"/>
        <v>15345</v>
      </c>
      <c r="S1110" s="177">
        <v>44109</v>
      </c>
      <c r="T1110" s="182">
        <v>46100</v>
      </c>
      <c r="U1110" s="177">
        <v>44110</v>
      </c>
      <c r="V1110" s="177">
        <v>44110</v>
      </c>
      <c r="W1110" s="177">
        <v>44113</v>
      </c>
      <c r="X1110" s="176">
        <v>14602</v>
      </c>
      <c r="Y1110" s="177">
        <v>44141</v>
      </c>
      <c r="Z1110" s="415">
        <v>6</v>
      </c>
      <c r="AA1110" s="488"/>
      <c r="AB1110" s="594"/>
      <c r="AC1110" s="595"/>
      <c r="AD1110" s="596" t="str">
        <f>IF(AND(AC1110&lt;&gt;"",S1110&lt;&gt;""),NETWORKDAYS(AC1110,S1110,#REF!),"")</f>
        <v/>
      </c>
      <c r="AE1110" s="596" t="str">
        <f ca="1">IF(AND(AD1110="",AC1110=""),"",IF(OR(AD1110&lt;&gt;"",O1110="*CANCELADO"),"",NETWORKDAYS(AC1110,TODAY(),#REF!)))</f>
        <v/>
      </c>
      <c r="AF1110" s="597" t="str">
        <f>IFERROR(INDEX(produtos_escape2!M:M,MATCH(Controle!H1110,produtos_escape2!A:A,0)),"")</f>
        <v>LUVA DE PROCEDIMENTO NÃO ESTÉRIL DE LÁTEX TAMANHO "P"</v>
      </c>
    </row>
    <row r="1111" spans="1:32" ht="14.25" customHeight="1">
      <c r="A1111" s="176" t="s">
        <v>9223</v>
      </c>
      <c r="B1111" s="176" t="s">
        <v>3608</v>
      </c>
      <c r="C1111" s="177">
        <v>44105</v>
      </c>
      <c r="D1111" s="176" t="s">
        <v>10083</v>
      </c>
      <c r="E1111" s="176" t="s">
        <v>1866</v>
      </c>
      <c r="F1111" s="259" t="s">
        <v>10085</v>
      </c>
      <c r="G1111" s="176">
        <v>2</v>
      </c>
      <c r="H1111" s="178">
        <v>92409</v>
      </c>
      <c r="I1111" s="592">
        <f t="shared" si="39"/>
        <v>3</v>
      </c>
      <c r="J1111" s="178" t="s">
        <v>816</v>
      </c>
      <c r="K1111" s="178" t="s">
        <v>816</v>
      </c>
      <c r="L1111" s="275"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1111" s="593" t="str">
        <f>IF(H:H=0,"",IF(ISERROR(VLOOKUP(H:H,produtos_escape2!$A$2:$D$2794,2,FALSE)),"Código não cadastrado",(VLOOKUP(H:H,produtos_escape2!$A$2:$D$2794,4,FALSE))))</f>
        <v>UN</v>
      </c>
      <c r="N1111" s="486">
        <v>71600</v>
      </c>
      <c r="O1111" s="176" t="s">
        <v>8923</v>
      </c>
      <c r="P1111" s="486">
        <v>14900</v>
      </c>
      <c r="Q1111" s="247">
        <v>0.48899999999999999</v>
      </c>
      <c r="R1111" s="246">
        <f t="shared" si="38"/>
        <v>7286.0999999999995</v>
      </c>
      <c r="S1111" s="177">
        <v>44109</v>
      </c>
      <c r="T1111" s="182">
        <v>3451</v>
      </c>
      <c r="U1111" s="177">
        <v>44110</v>
      </c>
      <c r="V1111" s="177">
        <v>44110</v>
      </c>
      <c r="W1111" s="177">
        <v>44111</v>
      </c>
      <c r="X1111" s="176">
        <v>14522</v>
      </c>
      <c r="Y1111" s="177">
        <v>44141</v>
      </c>
      <c r="Z1111" s="415">
        <v>6</v>
      </c>
      <c r="AA1111" s="488"/>
      <c r="AB1111" s="594"/>
      <c r="AC1111" s="595"/>
      <c r="AD1111" s="596" t="str">
        <f>IF(AND(AC1111&lt;&gt;"",S1111&lt;&gt;""),NETWORKDAYS(AC1111,S1111,#REF!),"")</f>
        <v/>
      </c>
      <c r="AE1111" s="596" t="str">
        <f ca="1">IF(AND(AD1111="",AC1111=""),"",IF(OR(AD1111&lt;&gt;"",O1111="*CANCELADO"),"",NETWORKDAYS(AC1111,TODAY(),#REF!)))</f>
        <v/>
      </c>
      <c r="AF1111" s="597" t="str">
        <f>IFERROR(INDEX(produtos_escape2!M:M,MATCH(Controle!H1111,produtos_escape2!A:A,0)),"")</f>
        <v>LUVA DE PROCEDIMENTO NÃO ESTÉRIL DE LÁTEX TAMANHO "G"</v>
      </c>
    </row>
    <row r="1112" spans="1:32" ht="14.25" customHeight="1">
      <c r="A1112" s="176" t="s">
        <v>9091</v>
      </c>
      <c r="B1112" s="176" t="s">
        <v>3608</v>
      </c>
      <c r="C1112" s="177">
        <v>44084</v>
      </c>
      <c r="D1112" s="176" t="s">
        <v>10080</v>
      </c>
      <c r="E1112" s="176" t="s">
        <v>8773</v>
      </c>
      <c r="F1112" s="259" t="s">
        <v>10086</v>
      </c>
      <c r="G1112" s="176">
        <v>1</v>
      </c>
      <c r="H1112" s="178">
        <v>90580</v>
      </c>
      <c r="I1112" s="592">
        <f t="shared" si="39"/>
        <v>7</v>
      </c>
      <c r="J1112" s="178" t="s">
        <v>816</v>
      </c>
      <c r="K1112" s="178" t="s">
        <v>816</v>
      </c>
      <c r="L1112" s="275" t="str">
        <f>IF(H:H=0,"",IF(ISERROR(VLOOKUP(H:H,produtos_escape2!$A$2:$B$2794,2,FALSE)),"Código não cadastrado",(VLOOKUP(H:H,produtos_escape2!$A$2:$B$2794,2,FALSE))))</f>
        <v>AGUA PARA INJETAVEIS AMPOLA 10 ML</v>
      </c>
      <c r="M1112" s="593" t="str">
        <f>IF(H:H=0,"",IF(ISERROR(VLOOKUP(H:H,produtos_escape2!$A$2:$D$2794,2,FALSE)),"Código não cadastrado",(VLOOKUP(H:H,produtos_escape2!$A$2:$D$2794,4,FALSE))))</f>
        <v>AMP</v>
      </c>
      <c r="N1112" s="486">
        <v>14000</v>
      </c>
      <c r="O1112" s="176" t="s">
        <v>1868</v>
      </c>
      <c r="P1112" s="486"/>
      <c r="Q1112" s="247"/>
      <c r="R1112" s="246">
        <f t="shared" si="38"/>
        <v>0</v>
      </c>
      <c r="S1112" s="177"/>
      <c r="T1112" s="182"/>
      <c r="U1112" s="177"/>
      <c r="V1112" s="177"/>
      <c r="W1112" s="177"/>
      <c r="X1112" s="176"/>
      <c r="Y1112" s="177"/>
      <c r="Z1112" s="415">
        <v>5</v>
      </c>
      <c r="AA1112" s="488" t="s">
        <v>10178</v>
      </c>
      <c r="AB1112" s="594"/>
      <c r="AC1112" s="595"/>
      <c r="AD1112" s="596" t="str">
        <f>IF(AND(AC1112&lt;&gt;"",S1112&lt;&gt;""),NETWORKDAYS(AC1112,S1112,#REF!),"")</f>
        <v/>
      </c>
      <c r="AE1112" s="596" t="str">
        <f ca="1">IF(AND(AD1112="",AC1112=""),"",IF(OR(AD1112&lt;&gt;"",O1112="*CANCELADO"),"",NETWORKDAYS(AC1112,TODAY(),#REF!)))</f>
        <v/>
      </c>
      <c r="AF1112" s="597" t="str">
        <f>IFERROR(INDEX(produtos_escape2!M:M,MATCH(Controle!H1112,produtos_escape2!A:A,0)),"")</f>
        <v xml:space="preserve"> AGUA PARA INJETAVEIS AMPOLA 10 ML</v>
      </c>
    </row>
    <row r="1113" spans="1:32" ht="14.25" customHeight="1">
      <c r="A1113" s="176" t="s">
        <v>9095</v>
      </c>
      <c r="B1113" s="176" t="s">
        <v>3608</v>
      </c>
      <c r="C1113" s="177">
        <v>44084</v>
      </c>
      <c r="D1113" s="176" t="s">
        <v>10081</v>
      </c>
      <c r="E1113" s="176" t="s">
        <v>1867</v>
      </c>
      <c r="F1113" s="259" t="s">
        <v>10087</v>
      </c>
      <c r="G1113" s="176">
        <v>1</v>
      </c>
      <c r="H1113" s="178">
        <v>90925</v>
      </c>
      <c r="I1113" s="592">
        <f t="shared" si="39"/>
        <v>8</v>
      </c>
      <c r="J1113" s="178" t="s">
        <v>816</v>
      </c>
      <c r="K1113" s="178" t="s">
        <v>816</v>
      </c>
      <c r="L1113" s="275" t="str">
        <f>IF(H:H=0,"",IF(ISERROR(VLOOKUP(H:H,produtos_escape2!$A$2:$B$2794,2,FALSE)),"Código não cadastrado",(VLOOKUP(H:H,produtos_escape2!$A$2:$B$2794,2,FALSE))))</f>
        <v>CEFAZOLINA SODICA PO PARA SOLUCAO INJETAVEL 1 G FRASCO AMPOLA</v>
      </c>
      <c r="M1113" s="593" t="str">
        <f>IF(H:H=0,"",IF(ISERROR(VLOOKUP(H:H,produtos_escape2!$A$2:$D$2794,2,FALSE)),"Código não cadastrado",(VLOOKUP(H:H,produtos_escape2!$A$2:$D$2794,4,FALSE))))</f>
        <v>AMP</v>
      </c>
      <c r="N1113" s="486">
        <v>1000</v>
      </c>
      <c r="O1113" s="176" t="s">
        <v>10075</v>
      </c>
      <c r="P1113" s="486">
        <v>600</v>
      </c>
      <c r="Q1113" s="247">
        <v>11.2</v>
      </c>
      <c r="R1113" s="246">
        <f t="shared" si="38"/>
        <v>6720</v>
      </c>
      <c r="S1113" s="177">
        <v>44112</v>
      </c>
      <c r="T1113" s="182">
        <v>9243</v>
      </c>
      <c r="U1113" s="177">
        <v>44118</v>
      </c>
      <c r="V1113" s="177">
        <v>44119</v>
      </c>
      <c r="W1113" s="177">
        <v>44125</v>
      </c>
      <c r="X1113" s="176">
        <v>15615</v>
      </c>
      <c r="Y1113" s="177">
        <v>44144</v>
      </c>
      <c r="Z1113" s="415">
        <v>6</v>
      </c>
      <c r="AA1113" s="488"/>
      <c r="AB1113" s="594"/>
      <c r="AC1113" s="595"/>
      <c r="AD1113" s="596" t="str">
        <f>IF(AND(AC1113&lt;&gt;"",S1113&lt;&gt;""),NETWORKDAYS(AC1113,S1113,#REF!),"")</f>
        <v/>
      </c>
      <c r="AE1113" s="596" t="str">
        <f ca="1">IF(AND(AD1113="",AC1113=""),"",IF(OR(AD1113&lt;&gt;"",O1113="*CANCELADO"),"",NETWORKDAYS(AC1113,TODAY(),#REF!)))</f>
        <v/>
      </c>
      <c r="AF1113" s="597" t="str">
        <f>IFERROR(INDEX(produtos_escape2!M:M,MATCH(Controle!H1113,produtos_escape2!A:A,0)),"")</f>
        <v>CEFAZOLINA SODICA PO PARA SOLUCAO INJETAVEL 1 G FRASCO AMPOLA</v>
      </c>
    </row>
    <row r="1114" spans="1:32" ht="14.25" customHeight="1">
      <c r="A1114" s="176" t="s">
        <v>9116</v>
      </c>
      <c r="B1114" s="176" t="s">
        <v>3608</v>
      </c>
      <c r="C1114" s="177">
        <v>44084</v>
      </c>
      <c r="D1114" s="176" t="s">
        <v>10082</v>
      </c>
      <c r="E1114" s="176" t="s">
        <v>3009</v>
      </c>
      <c r="F1114" s="259" t="s">
        <v>10088</v>
      </c>
      <c r="G1114" s="176">
        <v>1</v>
      </c>
      <c r="H1114" s="178">
        <v>90610</v>
      </c>
      <c r="I1114" s="592">
        <f t="shared" si="39"/>
        <v>11</v>
      </c>
      <c r="J1114" s="178" t="s">
        <v>816</v>
      </c>
      <c r="K1114" s="178" t="s">
        <v>816</v>
      </c>
      <c r="L1114" s="275" t="str">
        <f>IF(H:H=0,"",IF(ISERROR(VLOOKUP(H:H,produtos_escape2!$A$2:$B$2794,2,FALSE)),"Código não cadastrado",(VLOOKUP(H:H,produtos_escape2!$A$2:$B$2794,2,FALSE))))</f>
        <v>HEPARINA SODICA SOLUÇAO INJETAVEL 5000 UI/ML FRASCO AMPOLA 5 ML</v>
      </c>
      <c r="M1114" s="593" t="str">
        <f>IF(H:H=0,"",IF(ISERROR(VLOOKUP(H:H,produtos_escape2!$A$2:$D$2794,2,FALSE)),"Código não cadastrado",(VLOOKUP(H:H,produtos_escape2!$A$2:$D$2794,4,FALSE))))</f>
        <v>FA</v>
      </c>
      <c r="N1114" s="486">
        <v>300</v>
      </c>
      <c r="O1114" s="176" t="s">
        <v>10075</v>
      </c>
      <c r="P1114" s="486">
        <v>300</v>
      </c>
      <c r="Q1114" s="247">
        <v>23.4</v>
      </c>
      <c r="R1114" s="246">
        <f t="shared" si="38"/>
        <v>7020</v>
      </c>
      <c r="S1114" s="177">
        <v>44112</v>
      </c>
      <c r="T1114" s="182">
        <v>9242</v>
      </c>
      <c r="U1114" s="177">
        <v>44118</v>
      </c>
      <c r="V1114" s="177">
        <v>44119</v>
      </c>
      <c r="W1114" s="177">
        <v>44125</v>
      </c>
      <c r="X1114" s="176">
        <v>15641</v>
      </c>
      <c r="Y1114" s="177">
        <v>44144</v>
      </c>
      <c r="Z1114" s="415">
        <v>6</v>
      </c>
      <c r="AA1114" s="488"/>
      <c r="AB1114" s="594"/>
      <c r="AC1114" s="595"/>
      <c r="AD1114" s="596" t="str">
        <f>IF(AND(AC1114&lt;&gt;"",S1114&lt;&gt;""),NETWORKDAYS(AC1114,S1114,#REF!),"")</f>
        <v/>
      </c>
      <c r="AE1114" s="596" t="str">
        <f ca="1">IF(AND(AD1114="",AC1114=""),"",IF(OR(AD1114&lt;&gt;"",O1114="*CANCELADO"),"",NETWORKDAYS(AC1114,TODAY(),#REF!)))</f>
        <v/>
      </c>
      <c r="AF1114" s="597" t="str">
        <f>IFERROR(INDEX(produtos_escape2!M:M,MATCH(Controle!H1114,produtos_escape2!A:A,0)),"")</f>
        <v>HEPARINA SODICA SOLUÇAO INJETAVEL 5000 UI/ML FRASCO AMPOLA 5 ML</v>
      </c>
    </row>
    <row r="1115" spans="1:32" ht="14.25" customHeight="1">
      <c r="A1115" s="176" t="s">
        <v>9092</v>
      </c>
      <c r="B1115" s="176" t="s">
        <v>3608</v>
      </c>
      <c r="C1115" s="177">
        <v>44084</v>
      </c>
      <c r="D1115" s="176" t="s">
        <v>10084</v>
      </c>
      <c r="E1115" s="176" t="s">
        <v>3009</v>
      </c>
      <c r="F1115" s="259" t="s">
        <v>10089</v>
      </c>
      <c r="G1115" s="176">
        <v>1</v>
      </c>
      <c r="H1115" s="178">
        <v>90550</v>
      </c>
      <c r="I1115" s="592">
        <f t="shared" si="39"/>
        <v>9</v>
      </c>
      <c r="J1115" s="178" t="s">
        <v>816</v>
      </c>
      <c r="K1115" s="178" t="s">
        <v>816</v>
      </c>
      <c r="L1115" s="275" t="str">
        <f>IF(H:H=0,"",IF(ISERROR(VLOOKUP(H:H,produtos_escape2!$A$2:$B$2794,2,FALSE)),"Código não cadastrado",(VLOOKUP(H:H,produtos_escape2!$A$2:$B$2794,2,FALSE))))</f>
        <v xml:space="preserve">BICARBONATO DE SODIO SOLUCAO INJETAVEL 8,4 % (1 MEQ/ML) AMPOLA 10 ML  </v>
      </c>
      <c r="M1115" s="593" t="str">
        <f>IF(H:H=0,"",IF(ISERROR(VLOOKUP(H:H,produtos_escape2!$A$2:$D$2794,2,FALSE)),"Código não cadastrado",(VLOOKUP(H:H,produtos_escape2!$A$2:$D$2794,4,FALSE))))</f>
        <v>AMP</v>
      </c>
      <c r="N1115" s="486">
        <v>400</v>
      </c>
      <c r="O1115" s="176" t="s">
        <v>10075</v>
      </c>
      <c r="P1115" s="486">
        <v>400</v>
      </c>
      <c r="Q1115" s="247">
        <v>0.69</v>
      </c>
      <c r="R1115" s="246">
        <f t="shared" si="38"/>
        <v>276</v>
      </c>
      <c r="S1115" s="177">
        <v>44112</v>
      </c>
      <c r="T1115" s="182">
        <v>9567</v>
      </c>
      <c r="U1115" s="177">
        <v>44133</v>
      </c>
      <c r="V1115" s="177">
        <v>44134</v>
      </c>
      <c r="W1115" s="177">
        <v>44139</v>
      </c>
      <c r="X1115" s="176">
        <v>31404</v>
      </c>
      <c r="Y1115" s="177">
        <v>44167</v>
      </c>
      <c r="Z1115" s="415">
        <v>6</v>
      </c>
      <c r="AA1115" s="488"/>
      <c r="AB1115" s="594"/>
      <c r="AC1115" s="595"/>
      <c r="AD1115" s="596" t="str">
        <f>IF(AND(AC1115&lt;&gt;"",S1115&lt;&gt;""),NETWORKDAYS(AC1115,S1115,#REF!),"")</f>
        <v/>
      </c>
      <c r="AE1115" s="596" t="str">
        <f ca="1">IF(AND(AD1115="",AC1115=""),"",IF(OR(AD1115&lt;&gt;"",O1115="*CANCELADO"),"",NETWORKDAYS(AC1115,TODAY(),#REF!)))</f>
        <v/>
      </c>
      <c r="AF1115" s="597" t="str">
        <f>IFERROR(INDEX(produtos_escape2!M:M,MATCH(Controle!H1115,produtos_escape2!A:A,0)),"")</f>
        <v>BICARBONATO DE SODIO</v>
      </c>
    </row>
    <row r="1116" spans="1:32" ht="14.25" customHeight="1">
      <c r="A1116" s="176" t="s">
        <v>9099</v>
      </c>
      <c r="B1116" s="176" t="s">
        <v>3608</v>
      </c>
      <c r="C1116" s="177">
        <v>44084</v>
      </c>
      <c r="D1116" s="176" t="s">
        <v>10093</v>
      </c>
      <c r="E1116" s="176" t="s">
        <v>1866</v>
      </c>
      <c r="F1116" s="259" t="s">
        <v>10097</v>
      </c>
      <c r="G1116" s="176">
        <v>1</v>
      </c>
      <c r="H1116" s="178">
        <v>90261</v>
      </c>
      <c r="I1116" s="592">
        <f t="shared" si="39"/>
        <v>5</v>
      </c>
      <c r="J1116" s="178" t="s">
        <v>816</v>
      </c>
      <c r="K1116" s="178" t="s">
        <v>816</v>
      </c>
      <c r="L1116" s="275" t="str">
        <f>IF(H:H=0,"",IF(ISERROR(VLOOKUP(H:H,produtos_escape2!$A$2:$B$2794,2,FALSE)),"Código não cadastrado",(VLOOKUP(H:H,produtos_escape2!$A$2:$B$2794,2,FALSE))))</f>
        <v>DOPAMINA (CLORIDRATO) SOLUCAO INJETAVEL 5 MG/ML AMPOLA 10 ML</v>
      </c>
      <c r="M1116" s="593" t="str">
        <f>IF(H:H=0,"",IF(ISERROR(VLOOKUP(H:H,produtos_escape2!$A$2:$D$2794,2,FALSE)),"Código não cadastrado",(VLOOKUP(H:H,produtos_escape2!$A$2:$D$2794,4,FALSE))))</f>
        <v>AMP</v>
      </c>
      <c r="N1116" s="486">
        <v>200</v>
      </c>
      <c r="O1116" s="176" t="s">
        <v>4401</v>
      </c>
      <c r="P1116" s="486">
        <v>200</v>
      </c>
      <c r="Q1116" s="247">
        <v>2.39</v>
      </c>
      <c r="R1116" s="246">
        <f t="shared" si="38"/>
        <v>478</v>
      </c>
      <c r="S1116" s="177">
        <v>44113</v>
      </c>
      <c r="T1116" s="182">
        <v>2788991</v>
      </c>
      <c r="U1116" s="177">
        <v>44145</v>
      </c>
      <c r="V1116" s="177">
        <v>44148</v>
      </c>
      <c r="W1116" s="177">
        <v>44152</v>
      </c>
      <c r="X1116" s="176">
        <v>31409</v>
      </c>
      <c r="Y1116" s="177">
        <v>44167</v>
      </c>
      <c r="Z1116" s="415">
        <v>6</v>
      </c>
      <c r="AA1116" s="488"/>
      <c r="AB1116" s="594"/>
      <c r="AC1116" s="595"/>
      <c r="AD1116" s="596" t="str">
        <f>IF(AND(AC1116&lt;&gt;"",S1116&lt;&gt;""),NETWORKDAYS(AC1116,S1116,#REF!),"")</f>
        <v/>
      </c>
      <c r="AE1116" s="596" t="str">
        <f ca="1">IF(AND(AD1116="",AC1116=""),"",IF(OR(AD1116&lt;&gt;"",O1116="*CANCELADO"),"",NETWORKDAYS(AC1116,TODAY(),#REF!)))</f>
        <v/>
      </c>
      <c r="AF1116" s="597" t="str">
        <f>IFERROR(INDEX(produtos_escape2!M:M,MATCH(Controle!H1116,produtos_escape2!A:A,0)),"")</f>
        <v>DOPAMINA (CLORIDRATO) SOLUCAO INJETAVEL 5 MG/ML AMPOLA 10 ML</v>
      </c>
    </row>
    <row r="1117" spans="1:32" ht="14.25" customHeight="1">
      <c r="A1117" s="176" t="s">
        <v>9101</v>
      </c>
      <c r="B1117" s="176" t="s">
        <v>3608</v>
      </c>
      <c r="C1117" s="177">
        <v>44084</v>
      </c>
      <c r="D1117" s="176" t="s">
        <v>10094</v>
      </c>
      <c r="E1117" s="176" t="s">
        <v>8773</v>
      </c>
      <c r="F1117" s="259" t="s">
        <v>10140</v>
      </c>
      <c r="G1117" s="176">
        <v>1</v>
      </c>
      <c r="H1117" s="178">
        <v>90426</v>
      </c>
      <c r="I1117" s="592">
        <f t="shared" si="39"/>
        <v>3</v>
      </c>
      <c r="J1117" s="178" t="s">
        <v>816</v>
      </c>
      <c r="K1117" s="178" t="s">
        <v>816</v>
      </c>
      <c r="L1117" s="275" t="str">
        <f>IF(H:H=0,"",IF(ISERROR(VLOOKUP(H:H,produtos_escape2!$A$2:$B$2794,2,FALSE)),"Código não cadastrado",(VLOOKUP(H:H,produtos_escape2!$A$2:$B$2794,2,FALSE))))</f>
        <v>ENOXAPARINA SODICA SOLUCAO INJETAVEL 60 MG SERINGA PREENCHIDA 0,6 ML</v>
      </c>
      <c r="M1117" s="593" t="str">
        <f>IF(H:H=0,"",IF(ISERROR(VLOOKUP(H:H,produtos_escape2!$A$2:$D$2794,2,FALSE)),"Código não cadastrado",(VLOOKUP(H:H,produtos_escape2!$A$2:$D$2794,4,FALSE))))</f>
        <v>UN</v>
      </c>
      <c r="N1117" s="486">
        <v>700</v>
      </c>
      <c r="O1117" s="176" t="s">
        <v>4401</v>
      </c>
      <c r="P1117" s="486">
        <v>300</v>
      </c>
      <c r="Q1117" s="247">
        <v>30.12</v>
      </c>
      <c r="R1117" s="246">
        <f t="shared" si="38"/>
        <v>9036</v>
      </c>
      <c r="S1117" s="177">
        <v>44119</v>
      </c>
      <c r="T1117" s="182">
        <v>2767938</v>
      </c>
      <c r="U1117" s="177">
        <v>44120</v>
      </c>
      <c r="V1117" s="177">
        <v>44126</v>
      </c>
      <c r="W1117" s="177">
        <v>44139</v>
      </c>
      <c r="X1117" s="176">
        <v>31414</v>
      </c>
      <c r="Y1117" s="177">
        <v>44167</v>
      </c>
      <c r="Z1117" s="415">
        <v>6</v>
      </c>
      <c r="AA1117" s="488"/>
      <c r="AB1117" s="594"/>
      <c r="AC1117" s="595"/>
      <c r="AD1117" s="596" t="str">
        <f>IF(AND(AC1117&lt;&gt;"",S1117&lt;&gt;""),NETWORKDAYS(AC1117,S1117,#REF!),"")</f>
        <v/>
      </c>
      <c r="AE1117" s="596" t="str">
        <f ca="1">IF(AND(AD1117="",AC1117=""),"",IF(OR(AD1117&lt;&gt;"",O1117="*CANCELADO"),"",NETWORKDAYS(AC1117,TODAY(),#REF!)))</f>
        <v/>
      </c>
      <c r="AF1117" s="597" t="str">
        <f>IFERROR(INDEX(produtos_escape2!M:M,MATCH(Controle!H1117,produtos_escape2!A:A,0)),"")</f>
        <v>ENOXAPARINA SODICA SOLUCAO INJETAVEL 60 MG SERINGA PREENCHIDA 0</v>
      </c>
    </row>
    <row r="1118" spans="1:32" ht="14.25" customHeight="1">
      <c r="A1118" s="176" t="s">
        <v>9110</v>
      </c>
      <c r="B1118" s="176" t="s">
        <v>3608</v>
      </c>
      <c r="C1118" s="177">
        <v>44084</v>
      </c>
      <c r="D1118" s="176" t="s">
        <v>10095</v>
      </c>
      <c r="E1118" s="176" t="s">
        <v>1867</v>
      </c>
      <c r="F1118" s="259" t="s">
        <v>10098</v>
      </c>
      <c r="G1118" s="176">
        <v>1</v>
      </c>
      <c r="H1118" s="178">
        <v>90528</v>
      </c>
      <c r="I1118" s="592">
        <f t="shared" si="39"/>
        <v>3</v>
      </c>
      <c r="J1118" s="178" t="s">
        <v>816</v>
      </c>
      <c r="K1118" s="178" t="s">
        <v>816</v>
      </c>
      <c r="L1118" s="275" t="str">
        <f>IF(H:H=0,"",IF(ISERROR(VLOOKUP(H:H,produtos_escape2!$A$2:$B$2794,2,FALSE)),"Código não cadastrado",(VLOOKUP(H:H,produtos_escape2!$A$2:$B$2794,2,FALSE))))</f>
        <v>FITOMENADIONA (VITAMINA K) SOLUÇAO INJETAVEL INTRA-MUSCULAR 10 MG/ML AMPOLA 1 ML</v>
      </c>
      <c r="M1118" s="593" t="str">
        <f>IF(H:H=0,"",IF(ISERROR(VLOOKUP(H:H,produtos_escape2!$A$2:$D$2794,2,FALSE)),"Código não cadastrado",(VLOOKUP(H:H,produtos_escape2!$A$2:$D$2794,4,FALSE))))</f>
        <v>AMP</v>
      </c>
      <c r="N1118" s="486">
        <v>200</v>
      </c>
      <c r="O1118" s="176" t="s">
        <v>7268</v>
      </c>
      <c r="P1118" s="486">
        <v>200</v>
      </c>
      <c r="Q1118" s="247">
        <v>1.75</v>
      </c>
      <c r="R1118" s="246">
        <f t="shared" si="38"/>
        <v>350</v>
      </c>
      <c r="S1118" s="177">
        <v>44118</v>
      </c>
      <c r="T1118" s="182">
        <v>15689</v>
      </c>
      <c r="U1118" s="177">
        <v>44118</v>
      </c>
      <c r="V1118" s="177">
        <v>44119</v>
      </c>
      <c r="W1118" s="177">
        <v>44125</v>
      </c>
      <c r="X1118" s="176">
        <v>16573</v>
      </c>
      <c r="Y1118" s="177">
        <v>44145</v>
      </c>
      <c r="Z1118" s="415">
        <v>6</v>
      </c>
      <c r="AA1118" s="488"/>
      <c r="AB1118" s="594"/>
      <c r="AC1118" s="595"/>
      <c r="AD1118" s="596" t="str">
        <f>IF(AND(AC1118&lt;&gt;"",S1118&lt;&gt;""),NETWORKDAYS(AC1118,S1118,#REF!),"")</f>
        <v/>
      </c>
      <c r="AE1118" s="596" t="str">
        <f ca="1">IF(AND(AD1118="",AC1118=""),"",IF(OR(AD1118&lt;&gt;"",O1118="*CANCELADO"),"",NETWORKDAYS(AC1118,TODAY(),#REF!)))</f>
        <v/>
      </c>
      <c r="AF1118" s="597" t="str">
        <f>IFERROR(INDEX(produtos_escape2!M:M,MATCH(Controle!H1118,produtos_escape2!A:A,0)),"")</f>
        <v>FITOMENADIONA (VITAMINA K) SOLUÇAO INJETAVEL INTRA-MUSCULAR 10 MG/ML AMPOLA 1 ML</v>
      </c>
    </row>
    <row r="1119" spans="1:32" ht="14.25" customHeight="1">
      <c r="A1119" s="176" t="s">
        <v>9114</v>
      </c>
      <c r="B1119" s="176" t="s">
        <v>3608</v>
      </c>
      <c r="C1119" s="177">
        <v>44084</v>
      </c>
      <c r="D1119" s="176" t="s">
        <v>10096</v>
      </c>
      <c r="E1119" s="176" t="s">
        <v>3009</v>
      </c>
      <c r="F1119" s="259" t="s">
        <v>10099</v>
      </c>
      <c r="G1119" s="176">
        <v>1</v>
      </c>
      <c r="H1119" s="178">
        <v>90482</v>
      </c>
      <c r="I1119" s="592">
        <f t="shared" si="39"/>
        <v>3</v>
      </c>
      <c r="J1119" s="178" t="s">
        <v>816</v>
      </c>
      <c r="K1119" s="178" t="s">
        <v>816</v>
      </c>
      <c r="L1119" s="275" t="str">
        <f>IF(H:H=0,"",IF(ISERROR(VLOOKUP(H:H,produtos_escape2!$A$2:$B$2794,2,FALSE)),"Código não cadastrado",(VLOOKUP(H:H,produtos_escape2!$A$2:$B$2794,2,FALSE))))</f>
        <v>METOCLOPRAMIDA SOLUÇÃO INJETÁVEL 5MG/ML AMPOLA 2 ML</v>
      </c>
      <c r="M1119" s="593" t="str">
        <f>IF(H:H=0,"",IF(ISERROR(VLOOKUP(H:H,produtos_escape2!$A$2:$D$2794,2,FALSE)),"Código não cadastrado",(VLOOKUP(H:H,produtos_escape2!$A$2:$D$2794,4,FALSE))))</f>
        <v>AMP</v>
      </c>
      <c r="N1119" s="486">
        <v>1000</v>
      </c>
      <c r="O1119" s="176" t="s">
        <v>10075</v>
      </c>
      <c r="P1119" s="486">
        <v>1000</v>
      </c>
      <c r="Q1119" s="247">
        <v>0.52</v>
      </c>
      <c r="R1119" s="246">
        <f t="shared" si="38"/>
        <v>520</v>
      </c>
      <c r="S1119" s="177">
        <v>44112</v>
      </c>
      <c r="T1119" s="182">
        <v>9249</v>
      </c>
      <c r="U1119" s="177">
        <v>44118</v>
      </c>
      <c r="V1119" s="177">
        <v>44119</v>
      </c>
      <c r="W1119" s="177">
        <v>44125</v>
      </c>
      <c r="X1119" s="176">
        <v>16456</v>
      </c>
      <c r="Y1119" s="177">
        <v>44145</v>
      </c>
      <c r="Z1119" s="415">
        <v>6</v>
      </c>
      <c r="AA1119" s="488"/>
      <c r="AB1119" s="594"/>
      <c r="AC1119" s="595"/>
      <c r="AD1119" s="596" t="str">
        <f>IF(AND(AC1119&lt;&gt;"",S1119&lt;&gt;""),NETWORKDAYS(AC1119,S1119,#REF!),"")</f>
        <v/>
      </c>
      <c r="AE1119" s="596" t="str">
        <f ca="1">IF(AND(AD1119="",AC1119=""),"",IF(OR(AD1119&lt;&gt;"",O1119="*CANCELADO"),"",NETWORKDAYS(AC1119,TODAY(),#REF!)))</f>
        <v/>
      </c>
      <c r="AF1119" s="597" t="str">
        <f>IFERROR(INDEX(produtos_escape2!M:M,MATCH(Controle!H1119,produtos_escape2!A:A,0)),"")</f>
        <v>METOCLOPRAMIDA SOLUÇÃO INJETÁVEL 5MG/ML AMPOLA 2 ML</v>
      </c>
    </row>
    <row r="1120" spans="1:32" ht="14.25" customHeight="1">
      <c r="A1120" s="176" t="s">
        <v>9118</v>
      </c>
      <c r="B1120" s="176" t="s">
        <v>3608</v>
      </c>
      <c r="C1120" s="177">
        <v>44084</v>
      </c>
      <c r="D1120" s="176" t="s">
        <v>10103</v>
      </c>
      <c r="E1120" s="176" t="s">
        <v>1866</v>
      </c>
      <c r="F1120" s="259" t="s">
        <v>10100</v>
      </c>
      <c r="G1120" s="176">
        <v>1</v>
      </c>
      <c r="H1120" s="178">
        <v>90949</v>
      </c>
      <c r="I1120" s="592">
        <f t="shared" si="39"/>
        <v>9</v>
      </c>
      <c r="J1120" s="178" t="s">
        <v>816</v>
      </c>
      <c r="K1120" s="178" t="s">
        <v>816</v>
      </c>
      <c r="L1120" s="275" t="str">
        <f>IF(H:H=0,"",IF(ISERROR(VLOOKUP(H:H,produtos_escape2!$A$2:$B$2794,2,FALSE)),"Código não cadastrado",(VLOOKUP(H:H,produtos_escape2!$A$2:$B$2794,2,FALSE))))</f>
        <v>ONDANSETRONA SOLUÇAO INJETAVEL 2 MG/ML AMPOLA 4 ML</v>
      </c>
      <c r="M1120" s="593" t="str">
        <f>IF(H:H=0,"",IF(ISERROR(VLOOKUP(H:H,produtos_escape2!$A$2:$D$2794,2,FALSE)),"Código não cadastrado",(VLOOKUP(H:H,produtos_escape2!$A$2:$D$2794,4,FALSE))))</f>
        <v>AMP</v>
      </c>
      <c r="N1120" s="486">
        <v>3000</v>
      </c>
      <c r="O1120" s="176" t="s">
        <v>10148</v>
      </c>
      <c r="P1120" s="486">
        <v>1500</v>
      </c>
      <c r="Q1120" s="247">
        <v>1.27</v>
      </c>
      <c r="R1120" s="246">
        <f t="shared" si="38"/>
        <v>1905</v>
      </c>
      <c r="S1120" s="177">
        <v>44113</v>
      </c>
      <c r="T1120" s="182">
        <v>168083</v>
      </c>
      <c r="U1120" s="177">
        <v>44123</v>
      </c>
      <c r="V1120" s="177">
        <v>44130</v>
      </c>
      <c r="W1120" s="177">
        <v>44138</v>
      </c>
      <c r="X1120" s="176">
        <v>18150</v>
      </c>
      <c r="Y1120" s="177">
        <v>44146</v>
      </c>
      <c r="Z1120" s="415">
        <v>6</v>
      </c>
      <c r="AA1120" s="488" t="s">
        <v>10205</v>
      </c>
      <c r="AB1120" s="594"/>
      <c r="AC1120" s="595"/>
      <c r="AD1120" s="596" t="str">
        <f>IF(AND(AC1120&lt;&gt;"",S1120&lt;&gt;""),NETWORKDAYS(AC1120,S1120,#REF!),"")</f>
        <v/>
      </c>
      <c r="AE1120" s="596" t="str">
        <f ca="1">IF(AND(AD1120="",AC1120=""),"",IF(OR(AD1120&lt;&gt;"",O1120="*CANCELADO"),"",NETWORKDAYS(AC1120,TODAY(),#REF!)))</f>
        <v/>
      </c>
      <c r="AF1120" s="597" t="str">
        <f>IFERROR(INDEX(produtos_escape2!M:M,MATCH(Controle!H1120,produtos_escape2!A:A,0)),"")</f>
        <v>ONDANSETRONA SOLUÇAO INJETAVEL 2 MG/ML AMPOLA 4 ML</v>
      </c>
    </row>
    <row r="1121" spans="1:32" ht="14.25" customHeight="1">
      <c r="A1121" s="176" t="s">
        <v>9122</v>
      </c>
      <c r="B1121" s="176" t="s">
        <v>3608</v>
      </c>
      <c r="C1121" s="177">
        <v>44084</v>
      </c>
      <c r="D1121" s="176" t="s">
        <v>10102</v>
      </c>
      <c r="E1121" s="176" t="s">
        <v>1867</v>
      </c>
      <c r="F1121" s="259" t="s">
        <v>10101</v>
      </c>
      <c r="G1121" s="176">
        <v>1</v>
      </c>
      <c r="H1121" s="178">
        <v>90255</v>
      </c>
      <c r="I1121" s="592">
        <f t="shared" si="39"/>
        <v>8</v>
      </c>
      <c r="J1121" s="178" t="s">
        <v>816</v>
      </c>
      <c r="K1121" s="178" t="s">
        <v>816</v>
      </c>
      <c r="L1121" s="275" t="str">
        <f>IF(H:H=0,"",IF(ISERROR(VLOOKUP(H:H,produtos_escape2!$A$2:$B$2794,2,FALSE)),"Código não cadastrado",(VLOOKUP(H:H,produtos_escape2!$A$2:$B$2794,2,FALSE))))</f>
        <v>BROMOPRIDA SOLUCAO INJETAVEL 5MG/ML AMPOLA 2ML</v>
      </c>
      <c r="M1121" s="593" t="str">
        <f>IF(H:H=0,"",IF(ISERROR(VLOOKUP(H:H,produtos_escape2!$A$2:$D$2794,2,FALSE)),"Código não cadastrado",(VLOOKUP(H:H,produtos_escape2!$A$2:$D$2794,4,FALSE))))</f>
        <v>AMP</v>
      </c>
      <c r="N1121" s="486">
        <v>1000</v>
      </c>
      <c r="O1121" s="176" t="s">
        <v>7549</v>
      </c>
      <c r="P1121" s="486">
        <v>1000</v>
      </c>
      <c r="Q1121" s="247">
        <v>0.91</v>
      </c>
      <c r="R1121" s="246">
        <f t="shared" si="38"/>
        <v>910</v>
      </c>
      <c r="S1121" s="177">
        <v>44112</v>
      </c>
      <c r="T1121" s="182">
        <v>110727</v>
      </c>
      <c r="U1121" s="177">
        <v>44112</v>
      </c>
      <c r="V1121" s="177">
        <v>44117</v>
      </c>
      <c r="W1121" s="177">
        <v>44125</v>
      </c>
      <c r="X1121" s="176">
        <v>16630</v>
      </c>
      <c r="Y1121" s="177">
        <v>44145</v>
      </c>
      <c r="Z1121" s="415">
        <v>6</v>
      </c>
      <c r="AA1121" s="488"/>
      <c r="AB1121" s="594"/>
      <c r="AC1121" s="595"/>
      <c r="AD1121" s="596" t="str">
        <f>IF(AND(AC1121&lt;&gt;"",S1121&lt;&gt;""),NETWORKDAYS(AC1121,S1121,#REF!),"")</f>
        <v/>
      </c>
      <c r="AE1121" s="596" t="str">
        <f ca="1">IF(AND(AD1121="",AC1121=""),"",IF(OR(AD1121&lt;&gt;"",O1121="*CANCELADO"),"",NETWORKDAYS(AC1121,TODAY(),#REF!)))</f>
        <v/>
      </c>
      <c r="AF1121" s="597" t="str">
        <f>IFERROR(INDEX(produtos_escape2!M:M,MATCH(Controle!H1121,produtos_escape2!A:A,0)),"")</f>
        <v>BROMOPRIDA</v>
      </c>
    </row>
    <row r="1122" spans="1:32" ht="14.25" customHeight="1">
      <c r="A1122" s="176" t="s">
        <v>9124</v>
      </c>
      <c r="B1122" s="176" t="s">
        <v>3608</v>
      </c>
      <c r="C1122" s="177">
        <v>44084</v>
      </c>
      <c r="D1122" s="176" t="s">
        <v>10092</v>
      </c>
      <c r="E1122" s="176" t="s">
        <v>3009</v>
      </c>
      <c r="F1122" s="259" t="s">
        <v>10104</v>
      </c>
      <c r="G1122" s="176">
        <v>1</v>
      </c>
      <c r="H1122" s="178">
        <v>90260</v>
      </c>
      <c r="I1122" s="592">
        <f t="shared" si="39"/>
        <v>4</v>
      </c>
      <c r="J1122" s="178" t="s">
        <v>816</v>
      </c>
      <c r="K1122" s="178" t="s">
        <v>816</v>
      </c>
      <c r="L1122" s="275" t="str">
        <f>IF(H:H=0,"",IF(ISERROR(VLOOKUP(H:H,produtos_escape2!$A$2:$B$2794,2,FALSE)),"Código não cadastrado",(VLOOKUP(H:H,produtos_escape2!$A$2:$B$2794,2,FALSE))))</f>
        <v>DOBUTAMINA (CLORIDRATO) SOLUCAO INJETAVEL 12,5 MG/ML AMPOLA 20 ML</v>
      </c>
      <c r="M1122" s="593" t="str">
        <f>IF(H:H=0,"",IF(ISERROR(VLOOKUP(H:H,produtos_escape2!$A$2:$D$2794,2,FALSE)),"Código não cadastrado",(VLOOKUP(H:H,produtos_escape2!$A$2:$D$2794,4,FALSE))))</f>
        <v>AMP</v>
      </c>
      <c r="N1122" s="486">
        <v>100</v>
      </c>
      <c r="O1122" s="176" t="s">
        <v>7371</v>
      </c>
      <c r="P1122" s="486">
        <v>100</v>
      </c>
      <c r="Q1122" s="247">
        <v>6.5</v>
      </c>
      <c r="R1122" s="246">
        <f t="shared" si="38"/>
        <v>650</v>
      </c>
      <c r="S1122" s="177">
        <v>44112</v>
      </c>
      <c r="T1122" s="182">
        <v>384129</v>
      </c>
      <c r="U1122" s="177">
        <v>44112</v>
      </c>
      <c r="V1122" s="177">
        <v>44113</v>
      </c>
      <c r="W1122" s="177">
        <v>44113</v>
      </c>
      <c r="X1122" s="176">
        <v>14860</v>
      </c>
      <c r="Y1122" s="177">
        <v>44141</v>
      </c>
      <c r="Z1122" s="415">
        <v>6</v>
      </c>
      <c r="AA1122" s="488"/>
      <c r="AB1122" s="594"/>
      <c r="AC1122" s="595"/>
      <c r="AD1122" s="596" t="str">
        <f>IF(AND(AC1122&lt;&gt;"",S1122&lt;&gt;""),NETWORKDAYS(AC1122,S1122,#REF!),"")</f>
        <v/>
      </c>
      <c r="AE1122" s="596" t="str">
        <f ca="1">IF(AND(AD1122="",AC1122=""),"",IF(OR(AD1122&lt;&gt;"",O1122="*CANCELADO"),"",NETWORKDAYS(AC1122,TODAY(),#REF!)))</f>
        <v/>
      </c>
      <c r="AF1122" s="597" t="str">
        <f>IFERROR(INDEX(produtos_escape2!M:M,MATCH(Controle!H1122,produtos_escape2!A:A,0)),"")</f>
        <v>DOBUTAMINA (CLORIDRATO) SOLUCAO INJETAVEL 12</v>
      </c>
    </row>
    <row r="1123" spans="1:32" ht="14.25" customHeight="1">
      <c r="A1123" s="176" t="s">
        <v>9317</v>
      </c>
      <c r="B1123" s="176" t="s">
        <v>3608</v>
      </c>
      <c r="C1123" s="177">
        <v>44106</v>
      </c>
      <c r="D1123" s="176" t="s">
        <v>10105</v>
      </c>
      <c r="E1123" s="176" t="s">
        <v>1866</v>
      </c>
      <c r="F1123" s="259" t="s">
        <v>10106</v>
      </c>
      <c r="G1123" s="176">
        <v>1</v>
      </c>
      <c r="H1123" s="178">
        <v>90044</v>
      </c>
      <c r="I1123" s="592">
        <f t="shared" si="39"/>
        <v>1</v>
      </c>
      <c r="J1123" s="178" t="s">
        <v>816</v>
      </c>
      <c r="K1123" s="178" t="s">
        <v>816</v>
      </c>
      <c r="L1123" s="275" t="str">
        <f>IF(H:H=0,"",IF(ISERROR(VLOOKUP(H:H,produtos_escape2!$A$2:$B$2794,2,FALSE)),"Código não cadastrado",(VLOOKUP(H:H,produtos_escape2!$A$2:$B$2794,2,FALSE))))</f>
        <v>PETIDINA (CLORIDRATO) SOLUÇAO INJETAVEL 50 MG/ML AMPOLA 2 ML</v>
      </c>
      <c r="M1123" s="593" t="str">
        <f>IF(H:H=0,"",IF(ISERROR(VLOOKUP(H:H,produtos_escape2!$A$2:$D$2794,2,FALSE)),"Código não cadastrado",(VLOOKUP(H:H,produtos_escape2!$A$2:$D$2794,4,FALSE))))</f>
        <v>AMP</v>
      </c>
      <c r="N1123" s="486">
        <v>25</v>
      </c>
      <c r="O1123" s="176" t="s">
        <v>2989</v>
      </c>
      <c r="P1123" s="486">
        <v>25</v>
      </c>
      <c r="Q1123" s="247">
        <v>1.88</v>
      </c>
      <c r="R1123" s="246">
        <f t="shared" si="38"/>
        <v>47</v>
      </c>
      <c r="S1123" s="177">
        <v>44113</v>
      </c>
      <c r="T1123" s="182"/>
      <c r="U1123" s="177"/>
      <c r="V1123" s="177"/>
      <c r="W1123" s="177"/>
      <c r="X1123" s="176"/>
      <c r="Y1123" s="177"/>
      <c r="Z1123" s="415">
        <v>6</v>
      </c>
      <c r="AA1123" s="488"/>
      <c r="AB1123" s="594"/>
      <c r="AC1123" s="595"/>
      <c r="AD1123" s="596" t="str">
        <f>IF(AND(AC1123&lt;&gt;"",S1123&lt;&gt;""),NETWORKDAYS(AC1123,S1123,#REF!),"")</f>
        <v/>
      </c>
      <c r="AE1123" s="596" t="str">
        <f ca="1">IF(AND(AD1123="",AC1123=""),"",IF(OR(AD1123&lt;&gt;"",O1123="*CANCELADO"),"",NETWORKDAYS(AC1123,TODAY(),#REF!)))</f>
        <v/>
      </c>
      <c r="AF1123" s="597" t="str">
        <f>IFERROR(INDEX(produtos_escape2!M:M,MATCH(Controle!H1123,produtos_escape2!A:A,0)),"")</f>
        <v>PETIDINA</v>
      </c>
    </row>
    <row r="1124" spans="1:32" ht="14.25" customHeight="1">
      <c r="A1124" s="176" t="s">
        <v>9318</v>
      </c>
      <c r="B1124" s="176" t="s">
        <v>3608</v>
      </c>
      <c r="C1124" s="177">
        <v>44106</v>
      </c>
      <c r="D1124" s="176" t="s">
        <v>10109</v>
      </c>
      <c r="E1124" s="176" t="s">
        <v>8773</v>
      </c>
      <c r="F1124" s="259" t="s">
        <v>10110</v>
      </c>
      <c r="G1124" s="176">
        <v>1</v>
      </c>
      <c r="H1124" s="178">
        <v>90270</v>
      </c>
      <c r="I1124" s="592">
        <f t="shared" si="39"/>
        <v>2</v>
      </c>
      <c r="J1124" s="178" t="s">
        <v>816</v>
      </c>
      <c r="K1124" s="178" t="s">
        <v>816</v>
      </c>
      <c r="L1124" s="275" t="str">
        <f>IF(H:H=0,"",IF(ISERROR(VLOOKUP(H:H,produtos_escape2!$A$2:$B$2794,2,FALSE)),"Código não cadastrado",(VLOOKUP(H:H,produtos_escape2!$A$2:$B$2794,2,FALSE))))</f>
        <v>PROPOFOL EMULSAO INJETAVEL 10 MG/ML SERINGA PREENCHIDA 50 ML</v>
      </c>
      <c r="M1124" s="593" t="str">
        <f>IF(H:H=0,"",IF(ISERROR(VLOOKUP(H:H,produtos_escape2!$A$2:$D$2794,2,FALSE)),"Código não cadastrado",(VLOOKUP(H:H,produtos_escape2!$A$2:$D$2794,4,FALSE))))</f>
        <v>UN</v>
      </c>
      <c r="N1124" s="486">
        <v>200</v>
      </c>
      <c r="O1124" s="176" t="s">
        <v>1868</v>
      </c>
      <c r="P1124" s="486"/>
      <c r="Q1124" s="247"/>
      <c r="R1124" s="246">
        <f t="shared" si="38"/>
        <v>0</v>
      </c>
      <c r="S1124" s="177"/>
      <c r="T1124" s="182"/>
      <c r="U1124" s="177"/>
      <c r="V1124" s="177"/>
      <c r="W1124" s="177"/>
      <c r="X1124" s="176"/>
      <c r="Y1124" s="177"/>
      <c r="Z1124" s="415">
        <v>5</v>
      </c>
      <c r="AA1124" s="488" t="s">
        <v>10178</v>
      </c>
      <c r="AB1124" s="594"/>
      <c r="AC1124" s="595"/>
      <c r="AD1124" s="596" t="str">
        <f>IF(AND(AC1124&lt;&gt;"",S1124&lt;&gt;""),NETWORKDAYS(AC1124,S1124,#REF!),"")</f>
        <v/>
      </c>
      <c r="AE1124" s="596" t="str">
        <f ca="1">IF(AND(AD1124="",AC1124=""),"",IF(OR(AD1124&lt;&gt;"",O1124="*CANCELADO"),"",NETWORKDAYS(AC1124,TODAY(),#REF!)))</f>
        <v/>
      </c>
      <c r="AF1124" s="597" t="str">
        <f>IFERROR(INDEX(produtos_escape2!M:M,MATCH(Controle!H1124,produtos_escape2!A:A,0)),"")</f>
        <v>PROPOFOL EMULSAO INJETAVEL 10 MG/ML SERINGA PREENCHIDA 50 ML</v>
      </c>
    </row>
    <row r="1125" spans="1:32" ht="14.25" customHeight="1">
      <c r="A1125" s="176" t="s">
        <v>8207</v>
      </c>
      <c r="B1125" s="176" t="s">
        <v>7207</v>
      </c>
      <c r="C1125" s="177">
        <v>44106</v>
      </c>
      <c r="D1125" s="176" t="s">
        <v>10111</v>
      </c>
      <c r="E1125" s="176" t="s">
        <v>1867</v>
      </c>
      <c r="F1125" s="259" t="s">
        <v>10112</v>
      </c>
      <c r="G1125" s="176">
        <v>1</v>
      </c>
      <c r="H1125" s="178">
        <v>27494</v>
      </c>
      <c r="I1125" s="592">
        <f t="shared" si="39"/>
        <v>1</v>
      </c>
      <c r="J1125" s="178" t="s">
        <v>816</v>
      </c>
      <c r="K1125" s="178" t="s">
        <v>816</v>
      </c>
      <c r="L1125" s="275" t="str">
        <f>IF(H:H=0,"",IF(ISERROR(VLOOKUP(H:H,produtos_escape2!$A$2:$B$2794,2,FALSE)),"Código não cadastrado",(VLOOKUP(H:H,produtos_escape2!$A$2:$B$2794,2,FALSE))))</f>
        <v>MÁSCARA FACIAL MULTISTRAP ou similares para VNI - Tamanho: M, em plástico atóxico, flexível e transparente com coxim siliconado inflável, com abertura central com ganchos para fixação.</v>
      </c>
      <c r="M1125" s="593" t="str">
        <f>IF(H:H=0,"",IF(ISERROR(VLOOKUP(H:H,produtos_escape2!$A$2:$D$2794,2,FALSE)),"Código não cadastrado",(VLOOKUP(H:H,produtos_escape2!$A$2:$D$2794,4,FALSE))))</f>
        <v>UN</v>
      </c>
      <c r="N1125" s="486">
        <v>30</v>
      </c>
      <c r="O1125" s="176" t="s">
        <v>10488</v>
      </c>
      <c r="P1125" s="486">
        <v>10</v>
      </c>
      <c r="Q1125" s="247">
        <v>80</v>
      </c>
      <c r="R1125" s="246">
        <f t="shared" si="38"/>
        <v>800</v>
      </c>
      <c r="S1125" s="177">
        <v>44124</v>
      </c>
      <c r="T1125" s="182">
        <v>2421</v>
      </c>
      <c r="U1125" s="177">
        <v>44125</v>
      </c>
      <c r="V1125" s="177">
        <v>44133</v>
      </c>
      <c r="W1125" s="177">
        <v>44133</v>
      </c>
      <c r="X1125" s="176">
        <v>31420</v>
      </c>
      <c r="Y1125" s="177">
        <v>44167</v>
      </c>
      <c r="Z1125" s="415">
        <v>6</v>
      </c>
      <c r="AA1125" s="488" t="s">
        <v>10113</v>
      </c>
      <c r="AB1125" s="594"/>
      <c r="AC1125" s="595"/>
      <c r="AD1125" s="596" t="str">
        <f>IF(AND(AC1125&lt;&gt;"",S1125&lt;&gt;""),NETWORKDAYS(AC1125,S1125,#REF!),"")</f>
        <v/>
      </c>
      <c r="AE1125" s="596" t="str">
        <f ca="1">IF(AND(AD1125="",AC1125=""),"",IF(OR(AD1125&lt;&gt;"",O1125="*CANCELADO"),"",NETWORKDAYS(AC1125,TODAY(),#REF!)))</f>
        <v/>
      </c>
      <c r="AF1125" s="597" t="str">
        <f>IFERROR(INDEX(produtos_escape2!M:M,MATCH(Controle!H1125,produtos_escape2!A:A,0)),"")</f>
        <v>MÁSCARA FACIAL VNI - Tam.: M</v>
      </c>
    </row>
    <row r="1126" spans="1:32" ht="14.25" customHeight="1">
      <c r="A1126" s="176" t="s">
        <v>8207</v>
      </c>
      <c r="B1126" s="176" t="s">
        <v>7207</v>
      </c>
      <c r="C1126" s="177">
        <v>44106</v>
      </c>
      <c r="D1126" s="176" t="s">
        <v>10111</v>
      </c>
      <c r="E1126" s="176" t="s">
        <v>1867</v>
      </c>
      <c r="F1126" s="259" t="s">
        <v>10112</v>
      </c>
      <c r="G1126" s="176">
        <v>2</v>
      </c>
      <c r="H1126" s="178">
        <v>27495</v>
      </c>
      <c r="I1126" s="592">
        <f t="shared" si="39"/>
        <v>1</v>
      </c>
      <c r="J1126" s="178" t="s">
        <v>816</v>
      </c>
      <c r="K1126" s="178" t="s">
        <v>816</v>
      </c>
      <c r="L1126" s="275" t="str">
        <f>IF(H:H=0,"",IF(ISERROR(VLOOKUP(H:H,produtos_escape2!$A$2:$B$2794,2,FALSE)),"Código não cadastrado",(VLOOKUP(H:H,produtos_escape2!$A$2:$B$2794,2,FALSE))))</f>
        <v>MÁSCARA FACIAL MULTISTRAP ou similares para VNI - Tamanho: G, em plástico atóxico, flexível e transparente com coxim siliconado inflável, com abertura central com ganchos para fixação.</v>
      </c>
      <c r="M1126" s="593" t="str">
        <f>IF(H:H=0,"",IF(ISERROR(VLOOKUP(H:H,produtos_escape2!$A$2:$D$2794,2,FALSE)),"Código não cadastrado",(VLOOKUP(H:H,produtos_escape2!$A$2:$D$2794,4,FALSE))))</f>
        <v>UN</v>
      </c>
      <c r="N1126" s="486">
        <v>30</v>
      </c>
      <c r="O1126" s="176" t="s">
        <v>8252</v>
      </c>
      <c r="P1126" s="486">
        <v>10</v>
      </c>
      <c r="Q1126" s="247">
        <v>81.75</v>
      </c>
      <c r="R1126" s="246">
        <f t="shared" si="38"/>
        <v>817.5</v>
      </c>
      <c r="S1126" s="177">
        <v>44124</v>
      </c>
      <c r="T1126" s="182">
        <v>6136</v>
      </c>
      <c r="U1126" s="177">
        <v>44126</v>
      </c>
      <c r="V1126" s="177">
        <v>44127</v>
      </c>
      <c r="W1126" s="177">
        <v>44127</v>
      </c>
      <c r="X1126" s="176">
        <v>14905</v>
      </c>
      <c r="Y1126" s="177">
        <v>44141</v>
      </c>
      <c r="Z1126" s="415">
        <v>6</v>
      </c>
      <c r="AA1126" s="488" t="s">
        <v>10113</v>
      </c>
      <c r="AB1126" s="594"/>
      <c r="AC1126" s="595"/>
      <c r="AD1126" s="596" t="str">
        <f>IF(AND(AC1126&lt;&gt;"",S1126&lt;&gt;""),NETWORKDAYS(AC1126,S1126,#REF!),"")</f>
        <v/>
      </c>
      <c r="AE1126" s="596" t="str">
        <f ca="1">IF(AND(AD1126="",AC1126=""),"",IF(OR(AD1126&lt;&gt;"",O1126="*CANCELADO"),"",NETWORKDAYS(AC1126,TODAY(),#REF!)))</f>
        <v/>
      </c>
      <c r="AF1126" s="597" t="str">
        <f>IFERROR(INDEX(produtos_escape2!M:M,MATCH(Controle!H1126,produtos_escape2!A:A,0)),"")</f>
        <v>MÁSCARA FACIAL VNI - Tam.: G</v>
      </c>
    </row>
    <row r="1127" spans="1:32" ht="14.25" customHeight="1">
      <c r="A1127" s="176" t="s">
        <v>8172</v>
      </c>
      <c r="B1127" s="176" t="s">
        <v>7207</v>
      </c>
      <c r="C1127" s="177">
        <v>44061</v>
      </c>
      <c r="D1127" s="176" t="s">
        <v>10118</v>
      </c>
      <c r="E1127" s="176" t="s">
        <v>3009</v>
      </c>
      <c r="F1127" s="259" t="s">
        <v>10119</v>
      </c>
      <c r="G1127" s="176">
        <v>1</v>
      </c>
      <c r="H1127" s="178">
        <v>203134</v>
      </c>
      <c r="I1127" s="592">
        <f t="shared" si="39"/>
        <v>1</v>
      </c>
      <c r="J1127" s="178" t="s">
        <v>816</v>
      </c>
      <c r="K1127" s="178" t="s">
        <v>816</v>
      </c>
      <c r="L1127" s="275" t="str">
        <f>IF(H:H=0,"",IF(ISERROR(VLOOKUP(H:H,produtos_escape2!$A$2:$B$2794,2,FALSE)),"Código não cadastrado",(VLOOKUP(H:H,produtos_escape2!$A$2:$B$2794,2,FALSE))))</f>
        <v>PINÇA DE DISTRAÇÃO MÉDIA PARA OSTEOTOMIA DA TÍBIA, Aplicação:Cirurgia Ortopédica Material: Aço inoxidável AISI Tamanho:Largura da boca 8 mm; 220 mm,  Características: Pinça de distração óssea média para osteotomia da tíbia com trava de segurança.   As peças deverão apresentar um bom acabamento superficial. O material deverá ter tratamento térmico integral, a fim de atingir a dureza e a flexibilidade adequadas a um perfeito desempenho... Por ser composto com mais de um componente não deverá apresentar buracos, frestas ou folga quando montado.. O sistema de abertura deverá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v>
      </c>
      <c r="M1127" s="593" t="str">
        <f>IF(H:H=0,"",IF(ISERROR(VLOOKUP(H:H,produtos_escape2!$A$2:$D$2794,2,FALSE)),"Código não cadastrado",(VLOOKUP(H:H,produtos_escape2!$A$2:$D$2794,4,FALSE))))</f>
        <v>UN</v>
      </c>
      <c r="N1127" s="486">
        <v>4</v>
      </c>
      <c r="O1127" s="176" t="s">
        <v>10239</v>
      </c>
      <c r="P1127" s="486">
        <v>2</v>
      </c>
      <c r="Q1127" s="247">
        <v>900</v>
      </c>
      <c r="R1127" s="246">
        <f t="shared" si="38"/>
        <v>1800</v>
      </c>
      <c r="S1127" s="177">
        <v>44132</v>
      </c>
      <c r="T1127" s="182">
        <v>12110</v>
      </c>
      <c r="U1127" s="177">
        <v>44139</v>
      </c>
      <c r="V1127" s="177">
        <v>44147</v>
      </c>
      <c r="W1127" s="177">
        <v>44151</v>
      </c>
      <c r="X1127" s="176">
        <v>31296</v>
      </c>
      <c r="Y1127" s="177">
        <v>44167</v>
      </c>
      <c r="Z1127" s="415">
        <v>6</v>
      </c>
      <c r="AA1127" s="488"/>
      <c r="AB1127" s="594"/>
      <c r="AC1127" s="595"/>
      <c r="AD1127" s="596" t="str">
        <f>IF(AND(AC1127&lt;&gt;"",S1127&lt;&gt;""),NETWORKDAYS(AC1127,S1127,#REF!),"")</f>
        <v/>
      </c>
      <c r="AE1127" s="596" t="str">
        <f ca="1">IF(AND(AD1127="",AC1127=""),"",IF(OR(AD1127&lt;&gt;"",O1127="*CANCELADO"),"",NETWORKDAYS(AC1127,TODAY(),#REF!)))</f>
        <v/>
      </c>
      <c r="AF1127" s="597" t="str">
        <f>IFERROR(INDEX(produtos_escape2!M:M,MATCH(Controle!H1127,produtos_escape2!A:A,0)),"")</f>
        <v>PINÇA DE DISTRAÇÃO MÉDIA PARA OSTEOTOMIA DA TÍBIA</v>
      </c>
    </row>
    <row r="1128" spans="1:32" ht="14.25" customHeight="1">
      <c r="A1128" s="176" t="s">
        <v>8205</v>
      </c>
      <c r="B1128" s="176" t="s">
        <v>7207</v>
      </c>
      <c r="C1128" s="177">
        <v>44109</v>
      </c>
      <c r="D1128" s="176" t="s">
        <v>10122</v>
      </c>
      <c r="E1128" s="176" t="s">
        <v>1866</v>
      </c>
      <c r="F1128" s="259" t="s">
        <v>10123</v>
      </c>
      <c r="G1128" s="176">
        <v>1</v>
      </c>
      <c r="H1128" s="178">
        <v>35477</v>
      </c>
      <c r="I1128" s="592">
        <f t="shared" si="39"/>
        <v>3</v>
      </c>
      <c r="J1128" s="178" t="s">
        <v>816</v>
      </c>
      <c r="K1128" s="178" t="s">
        <v>816</v>
      </c>
      <c r="L1128" s="275" t="str">
        <f>IF(H:H=0,"",IF(ISERROR(VLOOKUP(H:H,produtos_escape2!$A$2:$B$2794,2,FALSE)),"Código não cadastrado",(VLOOKUP(H:H,produtos_escape2!$A$2:$B$2794,2,FALSE))))</f>
        <v>CAIXA ORGANIZADORA,Material: poliestireno de alta densidade e/ou polipropileno, Formato: retangular, Tamanho/Capacidade: 28 LITROS, Características Adicionais: reforçada, com tampa e presilhas, empilhável, Altura: mínimo 20 cm, Largura: mínimo 38,5 cm, Comprimento: mínimo 56,5 cm, Cor: a escolher.</v>
      </c>
      <c r="M1128" s="593" t="str">
        <f>IF(H:H=0,"",IF(ISERROR(VLOOKUP(H:H,produtos_escape2!$A$2:$D$2794,2,FALSE)),"Código não cadastrado",(VLOOKUP(H:H,produtos_escape2!$A$2:$D$2794,4,FALSE))))</f>
        <v>UN</v>
      </c>
      <c r="N1128" s="486">
        <v>5</v>
      </c>
      <c r="O1128" s="176" t="s">
        <v>1868</v>
      </c>
      <c r="P1128" s="486"/>
      <c r="Q1128" s="247"/>
      <c r="R1128" s="246">
        <f t="shared" si="38"/>
        <v>0</v>
      </c>
      <c r="S1128" s="177">
        <v>44117</v>
      </c>
      <c r="T1128" s="182"/>
      <c r="U1128" s="177"/>
      <c r="V1128" s="177"/>
      <c r="W1128" s="177"/>
      <c r="X1128" s="176"/>
      <c r="Y1128" s="177"/>
      <c r="Z1128" s="415">
        <v>5</v>
      </c>
      <c r="AA1128" s="488" t="s">
        <v>7474</v>
      </c>
      <c r="AB1128" s="594"/>
      <c r="AC1128" s="595"/>
      <c r="AD1128" s="596" t="str">
        <f>IF(AND(AC1128&lt;&gt;"",S1128&lt;&gt;""),NETWORKDAYS(AC1128,S1128,#REF!),"")</f>
        <v/>
      </c>
      <c r="AE1128" s="596" t="str">
        <f ca="1">IF(AND(AD1128="",AC1128=""),"",IF(OR(AD1128&lt;&gt;"",O1128="*CANCELADO"),"",NETWORKDAYS(AC1128,TODAY(),#REF!)))</f>
        <v/>
      </c>
      <c r="AF1128" s="597" t="str">
        <f>IFERROR(INDEX(produtos_escape2!M:M,MATCH(Controle!H1128,produtos_escape2!A:A,0)),"")</f>
        <v>CAIXA ORGANIZADORA</v>
      </c>
    </row>
    <row r="1129" spans="1:32" ht="14.25" customHeight="1">
      <c r="A1129" s="176" t="s">
        <v>9327</v>
      </c>
      <c r="B1129" s="176" t="s">
        <v>3608</v>
      </c>
      <c r="C1129" s="177">
        <v>44109</v>
      </c>
      <c r="D1129" s="176" t="s">
        <v>10125</v>
      </c>
      <c r="E1129" s="176" t="s">
        <v>1867</v>
      </c>
      <c r="F1129" s="259" t="s">
        <v>10124</v>
      </c>
      <c r="G1129" s="176">
        <v>1</v>
      </c>
      <c r="H1129" s="178">
        <v>90207</v>
      </c>
      <c r="I1129" s="592">
        <f t="shared" si="39"/>
        <v>7</v>
      </c>
      <c r="J1129" s="178" t="s">
        <v>816</v>
      </c>
      <c r="K1129" s="178" t="s">
        <v>816</v>
      </c>
      <c r="L1129" s="275" t="str">
        <f>IF(H:H=0,"",IF(ISERROR(VLOOKUP(H:H,produtos_escape2!$A$2:$B$2794,2,FALSE)),"Código não cadastrado",(VLOOKUP(H:H,produtos_escape2!$A$2:$B$2794,2,FALSE))))</f>
        <v xml:space="preserve">PROPOFOL EMULSAO INJETAVEL 10 MG/ML AMPOLA 20 ML </v>
      </c>
      <c r="M1129" s="593" t="str">
        <f>IF(H:H=0,"",IF(ISERROR(VLOOKUP(H:H,produtos_escape2!$A$2:$D$2794,2,FALSE)),"Código não cadastrado",(VLOOKUP(H:H,produtos_escape2!$A$2:$D$2794,4,FALSE))))</f>
        <v>AMP</v>
      </c>
      <c r="N1129" s="486">
        <v>1000</v>
      </c>
      <c r="O1129" s="176" t="s">
        <v>4401</v>
      </c>
      <c r="P1129" s="486">
        <v>300</v>
      </c>
      <c r="Q1129" s="247">
        <v>14.1</v>
      </c>
      <c r="R1129" s="246">
        <f t="shared" si="38"/>
        <v>4230</v>
      </c>
      <c r="S1129" s="177">
        <v>44125</v>
      </c>
      <c r="T1129" s="182">
        <v>2774600</v>
      </c>
      <c r="U1129" s="177">
        <v>44130</v>
      </c>
      <c r="V1129" s="177">
        <v>44133</v>
      </c>
      <c r="W1129" s="177">
        <v>44139</v>
      </c>
      <c r="X1129" s="176">
        <v>31416</v>
      </c>
      <c r="Y1129" s="177">
        <v>44167</v>
      </c>
      <c r="Z1129" s="415">
        <v>6</v>
      </c>
      <c r="AA1129" s="488"/>
      <c r="AB1129" s="594"/>
      <c r="AC1129" s="595"/>
      <c r="AD1129" s="596" t="str">
        <f>IF(AND(AC1129&lt;&gt;"",S1129&lt;&gt;""),NETWORKDAYS(AC1129,S1129,#REF!),"")</f>
        <v/>
      </c>
      <c r="AE1129" s="596" t="str">
        <f ca="1">IF(AND(AD1129="",AC1129=""),"",IF(OR(AD1129&lt;&gt;"",O1129="*CANCELADO"),"",NETWORKDAYS(AC1129,TODAY(),#REF!)))</f>
        <v/>
      </c>
      <c r="AF1129" s="597" t="str">
        <f>IFERROR(INDEX(produtos_escape2!M:M,MATCH(Controle!H1129,produtos_escape2!A:A,0)),"")</f>
        <v xml:space="preserve">PROPOFOL EMULSAO INJETAVEL 10 MG/ML AMPOLA 20 ML </v>
      </c>
    </row>
    <row r="1130" spans="1:32" ht="14.25" customHeight="1">
      <c r="A1130" s="176" t="s">
        <v>9329</v>
      </c>
      <c r="B1130" s="176" t="s">
        <v>3608</v>
      </c>
      <c r="C1130" s="177">
        <v>44110</v>
      </c>
      <c r="D1130" s="176" t="s">
        <v>10127</v>
      </c>
      <c r="E1130" s="176" t="s">
        <v>3009</v>
      </c>
      <c r="F1130" s="259" t="s">
        <v>10128</v>
      </c>
      <c r="G1130" s="176">
        <v>1</v>
      </c>
      <c r="H1130" s="178">
        <v>90295</v>
      </c>
      <c r="I1130" s="592">
        <f t="shared" si="39"/>
        <v>4</v>
      </c>
      <c r="J1130" s="178" t="s">
        <v>816</v>
      </c>
      <c r="K1130" s="178" t="s">
        <v>816</v>
      </c>
      <c r="L1130" s="275" t="str">
        <f>IF(H:H=0,"",IF(ISERROR(VLOOKUP(H:H,produtos_escape2!$A$2:$B$2794,2,FALSE)),"Código não cadastrado",(VLOOKUP(H:H,produtos_escape2!$A$2:$B$2794,2,FALSE))))</f>
        <v>METILDOPA COMPRIMIDO REVESTIDO 250 MG</v>
      </c>
      <c r="M1130" s="593" t="str">
        <f>IF(H:H=0,"",IF(ISERROR(VLOOKUP(H:H,produtos_escape2!$A$2:$D$2794,2,FALSE)),"Código não cadastrado",(VLOOKUP(H:H,produtos_escape2!$A$2:$D$2794,4,FALSE))))</f>
        <v>CP</v>
      </c>
      <c r="N1130" s="486">
        <v>500</v>
      </c>
      <c r="O1130" s="176" t="s">
        <v>1868</v>
      </c>
      <c r="P1130" s="486">
        <v>100</v>
      </c>
      <c r="Q1130" s="247"/>
      <c r="R1130" s="246">
        <f t="shared" si="38"/>
        <v>0</v>
      </c>
      <c r="S1130" s="177"/>
      <c r="T1130" s="182"/>
      <c r="U1130" s="177"/>
      <c r="V1130" s="177"/>
      <c r="W1130" s="177"/>
      <c r="X1130" s="176"/>
      <c r="Y1130" s="177"/>
      <c r="Z1130" s="415">
        <v>5</v>
      </c>
      <c r="AA1130" s="488" t="s">
        <v>7474</v>
      </c>
      <c r="AB1130" s="594"/>
      <c r="AC1130" s="595"/>
      <c r="AD1130" s="596" t="str">
        <f>IF(AND(AC1130&lt;&gt;"",S1130&lt;&gt;""),NETWORKDAYS(AC1130,S1130,#REF!),"")</f>
        <v/>
      </c>
      <c r="AE1130" s="596" t="str">
        <f ca="1">IF(AND(AD1130="",AC1130=""),"",IF(OR(AD1130&lt;&gt;"",O1130="*CANCELADO"),"",NETWORKDAYS(AC1130,TODAY(),#REF!)))</f>
        <v/>
      </c>
      <c r="AF1130" s="597" t="str">
        <f>IFERROR(INDEX(produtos_escape2!M:M,MATCH(Controle!H1130,produtos_escape2!A:A,0)),"")</f>
        <v>METILDOPA COMPRIMIDO REVESTIDO 250 MG</v>
      </c>
    </row>
    <row r="1131" spans="1:32" ht="14.25" customHeight="1">
      <c r="A1131" s="176" t="s">
        <v>9335</v>
      </c>
      <c r="B1131" s="176" t="s">
        <v>3608</v>
      </c>
      <c r="C1131" s="177">
        <v>44110</v>
      </c>
      <c r="D1131" s="176" t="s">
        <v>10129</v>
      </c>
      <c r="E1131" s="176" t="s">
        <v>1866</v>
      </c>
      <c r="F1131" s="259" t="s">
        <v>10130</v>
      </c>
      <c r="G1131" s="176">
        <v>1</v>
      </c>
      <c r="H1131" s="178">
        <v>90985</v>
      </c>
      <c r="I1131" s="592">
        <f t="shared" si="39"/>
        <v>4</v>
      </c>
      <c r="J1131" s="178" t="s">
        <v>816</v>
      </c>
      <c r="K1131" s="178" t="s">
        <v>816</v>
      </c>
      <c r="L1131" s="275" t="str">
        <f>IF(H:H=0,"",IF(ISERROR(VLOOKUP(H:H,produtos_escape2!$A$2:$B$2794,2,FALSE)),"Código não cadastrado",(VLOOKUP(H:H,produtos_escape2!$A$2:$B$2794,2,FALSE))))</f>
        <v>NITRATO DE PRATA SOLUCAO OFTALMICA 1 % FRASCO 2,5 A 5,0 ML</v>
      </c>
      <c r="M1131" s="593" t="str">
        <f>IF(H:H=0,"",IF(ISERROR(VLOOKUP(H:H,produtos_escape2!$A$2:$D$2794,2,FALSE)),"Código não cadastrado",(VLOOKUP(H:H,produtos_escape2!$A$2:$D$2794,4,FALSE))))</f>
        <v>FR</v>
      </c>
      <c r="N1131" s="486">
        <v>20</v>
      </c>
      <c r="O1131" s="176" t="s">
        <v>8452</v>
      </c>
      <c r="P1131" s="486">
        <v>20</v>
      </c>
      <c r="Q1131" s="247">
        <v>17.5</v>
      </c>
      <c r="R1131" s="246">
        <f t="shared" si="38"/>
        <v>350</v>
      </c>
      <c r="S1131" s="177">
        <v>44113</v>
      </c>
      <c r="T1131" s="182">
        <v>26162</v>
      </c>
      <c r="U1131" s="177">
        <v>44118</v>
      </c>
      <c r="V1131" s="177">
        <v>44120</v>
      </c>
      <c r="W1131" s="177">
        <v>44125</v>
      </c>
      <c r="X1131" s="176">
        <v>14946</v>
      </c>
      <c r="Y1131" s="177">
        <v>44141</v>
      </c>
      <c r="Z1131" s="415">
        <v>6</v>
      </c>
      <c r="AA1131" s="488"/>
      <c r="AB1131" s="594"/>
      <c r="AC1131" s="595"/>
      <c r="AD1131" s="596" t="str">
        <f>IF(AND(AC1131&lt;&gt;"",S1131&lt;&gt;""),NETWORKDAYS(AC1131,S1131,#REF!),"")</f>
        <v/>
      </c>
      <c r="AE1131" s="596" t="str">
        <f ca="1">IF(AND(AD1131="",AC1131=""),"",IF(OR(AD1131&lt;&gt;"",O1131="*CANCELADO"),"",NETWORKDAYS(AC1131,TODAY(),#REF!)))</f>
        <v/>
      </c>
      <c r="AF1131" s="597" t="str">
        <f>IFERROR(INDEX(produtos_escape2!M:M,MATCH(Controle!H1131,produtos_escape2!A:A,0)),"")</f>
        <v>NITRATO DE PRATA SOLUCAO OFTALMICA 1 % FRASCO 2</v>
      </c>
    </row>
    <row r="1132" spans="1:32" ht="14.25" customHeight="1">
      <c r="A1132" s="176" t="s">
        <v>9335</v>
      </c>
      <c r="B1132" s="176" t="s">
        <v>3608</v>
      </c>
      <c r="C1132" s="177">
        <v>44110</v>
      </c>
      <c r="D1132" s="176" t="s">
        <v>10131</v>
      </c>
      <c r="E1132" s="176" t="s">
        <v>8773</v>
      </c>
      <c r="F1132" s="259" t="s">
        <v>10132</v>
      </c>
      <c r="G1132" s="176">
        <v>1</v>
      </c>
      <c r="H1132" s="178">
        <v>34591</v>
      </c>
      <c r="I1132" s="592">
        <f t="shared" si="39"/>
        <v>2</v>
      </c>
      <c r="J1132" s="178" t="s">
        <v>816</v>
      </c>
      <c r="K1132" s="178" t="s">
        <v>816</v>
      </c>
      <c r="L1132" s="275" t="str">
        <f>IF(H:H=0,"",IF(ISERROR(VLOOKUP(H:H,produtos_escape2!$A$2:$B$2794,2,FALSE)),"Código não cadastrado",(VLOOKUP(H:H,produtos_escape2!$A$2:$B$2794,2,FALSE))))</f>
        <v>SULFATO DE MAGNESIO SOLUCAO INJETAVEL 10 % AMPOLA 10 ML</v>
      </c>
      <c r="M1132" s="593" t="str">
        <f>IF(H:H=0,"",IF(ISERROR(VLOOKUP(H:H,produtos_escape2!$A$2:$D$2794,2,FALSE)),"Código não cadastrado",(VLOOKUP(H:H,produtos_escape2!$A$2:$D$2794,4,FALSE))))</f>
        <v>AMP</v>
      </c>
      <c r="N1132" s="486">
        <v>300</v>
      </c>
      <c r="O1132" s="176" t="s">
        <v>8452</v>
      </c>
      <c r="P1132" s="486">
        <v>150</v>
      </c>
      <c r="Q1132" s="247">
        <v>6.25</v>
      </c>
      <c r="R1132" s="246">
        <f t="shared" ref="R1132:R1197" si="40">P1132*Q1132</f>
        <v>937.5</v>
      </c>
      <c r="S1132" s="177">
        <v>44119</v>
      </c>
      <c r="T1132" s="182">
        <v>26746</v>
      </c>
      <c r="U1132" s="177">
        <v>44126</v>
      </c>
      <c r="V1132" s="177">
        <v>44127</v>
      </c>
      <c r="W1132" s="177">
        <v>44139</v>
      </c>
      <c r="X1132" s="176">
        <v>31425</v>
      </c>
      <c r="Y1132" s="177">
        <v>44167</v>
      </c>
      <c r="Z1132" s="415">
        <v>6</v>
      </c>
      <c r="AA1132" s="488"/>
      <c r="AB1132" s="594"/>
      <c r="AC1132" s="595"/>
      <c r="AD1132" s="596" t="str">
        <f>IF(AND(AC1132&lt;&gt;"",S1132&lt;&gt;""),NETWORKDAYS(AC1132,S1132,#REF!),"")</f>
        <v/>
      </c>
      <c r="AE1132" s="596" t="str">
        <f ca="1">IF(AND(AD1132="",AC1132=""),"",IF(OR(AD1132&lt;&gt;"",O1132="*CANCELADO"),"",NETWORKDAYS(AC1132,TODAY(),#REF!)))</f>
        <v/>
      </c>
      <c r="AF1132" s="597" t="str">
        <f>IFERROR(INDEX(produtos_escape2!M:M,MATCH(Controle!H1132,produtos_escape2!A:A,0)),"")</f>
        <v>SULFATO DE MAGNESIO SOLUCAO INJETAVEL 10 % AMPOLA 10 ML</v>
      </c>
    </row>
    <row r="1133" spans="1:32" ht="14.25" customHeight="1">
      <c r="A1133" s="176" t="s">
        <v>9338</v>
      </c>
      <c r="B1133" s="176" t="s">
        <v>3608</v>
      </c>
      <c r="C1133" s="177">
        <v>44110</v>
      </c>
      <c r="D1133" s="176" t="s">
        <v>10136</v>
      </c>
      <c r="E1133" s="176" t="s">
        <v>1867</v>
      </c>
      <c r="F1133" s="259" t="s">
        <v>10135</v>
      </c>
      <c r="G1133" s="176">
        <v>1</v>
      </c>
      <c r="H1133" s="178">
        <v>92403</v>
      </c>
      <c r="I1133" s="592">
        <f t="shared" si="39"/>
        <v>10</v>
      </c>
      <c r="J1133" s="178" t="s">
        <v>816</v>
      </c>
      <c r="K1133" s="178" t="s">
        <v>816</v>
      </c>
      <c r="L1133" s="275"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33" s="593" t="str">
        <f>IF(H:H=0,"",IF(ISERROR(VLOOKUP(H:H,produtos_escape2!$A$2:$D$2794,2,FALSE)),"Código não cadastrado",(VLOOKUP(H:H,produtos_escape2!$A$2:$D$2794,4,FALSE))))</f>
        <v>PAR</v>
      </c>
      <c r="N1133" s="486">
        <v>5000</v>
      </c>
      <c r="O1133" s="176" t="s">
        <v>1868</v>
      </c>
      <c r="P1133" s="486"/>
      <c r="Q1133" s="247">
        <v>1.27</v>
      </c>
      <c r="R1133" s="246">
        <f t="shared" si="40"/>
        <v>0</v>
      </c>
      <c r="S1133" s="177">
        <v>44119</v>
      </c>
      <c r="T1133" s="182"/>
      <c r="U1133" s="177"/>
      <c r="V1133" s="177"/>
      <c r="W1133" s="177"/>
      <c r="X1133" s="176"/>
      <c r="Y1133" s="177"/>
      <c r="Z1133" s="415">
        <v>5</v>
      </c>
      <c r="AA1133" s="488" t="s">
        <v>10256</v>
      </c>
      <c r="AB1133" s="594"/>
      <c r="AC1133" s="595"/>
      <c r="AD1133" s="596" t="str">
        <f>IF(AND(AC1133&lt;&gt;"",S1133&lt;&gt;""),NETWORKDAYS(AC1133,S1133,#REF!),"")</f>
        <v/>
      </c>
      <c r="AE1133" s="596" t="str">
        <f ca="1">IF(AND(AD1133="",AC1133=""),"",IF(OR(AD1133&lt;&gt;"",O1133="*CANCELADO"),"",NETWORKDAYS(AC1133,TODAY(),#REF!)))</f>
        <v/>
      </c>
      <c r="AF1133" s="597" t="str">
        <f>IFERROR(INDEX(produtos_escape2!M:M,MATCH(Controle!H1133,produtos_escape2!A:A,0)),"")</f>
        <v>LUVA CIRURGICA CONVENCIONAL Nº 8</v>
      </c>
    </row>
    <row r="1134" spans="1:32" ht="14.25" customHeight="1">
      <c r="A1134" s="176" t="s">
        <v>9338</v>
      </c>
      <c r="B1134" s="176" t="s">
        <v>3608</v>
      </c>
      <c r="C1134" s="177">
        <v>44110</v>
      </c>
      <c r="D1134" s="176" t="s">
        <v>10136</v>
      </c>
      <c r="E1134" s="176" t="s">
        <v>1867</v>
      </c>
      <c r="F1134" s="259" t="s">
        <v>10135</v>
      </c>
      <c r="G1134" s="176">
        <v>2</v>
      </c>
      <c r="H1134" s="178">
        <v>92400</v>
      </c>
      <c r="I1134" s="592">
        <f t="shared" si="39"/>
        <v>5</v>
      </c>
      <c r="J1134" s="178" t="s">
        <v>816</v>
      </c>
      <c r="K1134" s="178" t="s">
        <v>816</v>
      </c>
      <c r="L1134" s="275"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34" s="593" t="str">
        <f>IF(H:H=0,"",IF(ISERROR(VLOOKUP(H:H,produtos_escape2!$A$2:$D$2794,2,FALSE)),"Código não cadastrado",(VLOOKUP(H:H,produtos_escape2!$A$2:$D$2794,4,FALSE))))</f>
        <v>PAR</v>
      </c>
      <c r="N1134" s="486">
        <v>2000</v>
      </c>
      <c r="O1134" s="176" t="s">
        <v>1868</v>
      </c>
      <c r="P1134" s="486"/>
      <c r="Q1134" s="247">
        <v>1.27</v>
      </c>
      <c r="R1134" s="246">
        <f t="shared" si="40"/>
        <v>0</v>
      </c>
      <c r="S1134" s="177">
        <v>44119</v>
      </c>
      <c r="T1134" s="182"/>
      <c r="U1134" s="177"/>
      <c r="V1134" s="177"/>
      <c r="W1134" s="177"/>
      <c r="X1134" s="176"/>
      <c r="Y1134" s="177"/>
      <c r="Z1134" s="415">
        <v>5</v>
      </c>
      <c r="AA1134" s="488" t="s">
        <v>9784</v>
      </c>
      <c r="AB1134" s="594"/>
      <c r="AC1134" s="595"/>
      <c r="AD1134" s="596" t="str">
        <f>IF(AND(AC1134&lt;&gt;"",S1134&lt;&gt;""),NETWORKDAYS(AC1134,S1134,#REF!),"")</f>
        <v/>
      </c>
      <c r="AE1134" s="596" t="str">
        <f ca="1">IF(AND(AD1134="",AC1134=""),"",IF(OR(AD1134&lt;&gt;"",O1134="*CANCELADO"),"",NETWORKDAYS(AC1134,TODAY(),#REF!)))</f>
        <v/>
      </c>
      <c r="AF1134" s="597" t="str">
        <f>IFERROR(INDEX(produtos_escape2!M:M,MATCH(Controle!H1134,produtos_escape2!A:A,0)),"")</f>
        <v>LUVA CIRURGICA CONVENCIONAL Nº 8,5</v>
      </c>
    </row>
    <row r="1135" spans="1:32" ht="14.25" customHeight="1">
      <c r="A1135" s="176" t="s">
        <v>9337</v>
      </c>
      <c r="B1135" s="176" t="s">
        <v>3608</v>
      </c>
      <c r="C1135" s="177">
        <v>44110</v>
      </c>
      <c r="D1135" s="176" t="s">
        <v>10134</v>
      </c>
      <c r="E1135" s="176" t="s">
        <v>3009</v>
      </c>
      <c r="F1135" s="259" t="s">
        <v>10137</v>
      </c>
      <c r="G1135" s="176">
        <v>1</v>
      </c>
      <c r="H1135" s="178">
        <v>92452</v>
      </c>
      <c r="I1135" s="592">
        <f t="shared" si="39"/>
        <v>2</v>
      </c>
      <c r="J1135" s="178" t="s">
        <v>816</v>
      </c>
      <c r="K1135" s="178" t="s">
        <v>816</v>
      </c>
      <c r="L1135" s="275" t="str">
        <f>IF(H:H=0,"",IF(ISERROR(VLOOKUP(H:H,produtos_escape2!$A$2:$B$2794,2,FALSE)),"Código não cadastrado",(VLOOKUP(H:H,produtos_escape2!$A$2:$B$2794,2,FALSE))))</f>
        <v>SONDA DE FOLEY 3 VIAS LÁTEX Nº 22. Aplicação: drenagem e controle da diurese e irrigação vesical. Material: látex atóxico.  Características Adicionais: estéril, descartável, confeccionada em látex siliconizado, medindo no mínimo 40cm, apresentando flexibilidade e maleabilidade adequada ao fim a que se destina; que não cause irritação ao paciente; com espessura uniforme e isento de manchas ou quaisquer defeitos, balão de no mínimo 30ml e boa distensibilidade. Válvula do balão fixa, que permita perfeita adaptação em seringas, com ponta arredondada e fechada, apresentando 2 orifícios ovais próximos a ponta, situados em lados opostos, delimitados e proporcionais ao diâmetro, isentos de rebarbas e ou saliências que possam traumatizar o paciente. Embalagem dupla, sendo a externa em papel grau cirúrgico e a interna em polietileno picotado nas extermidades, favorecendo a abertura em técnica asséptica e garantindo a integridede e esterilidade do produto. Apresentação: embalagem individual, acondicionada em caixa com 10 unidades. Unidade de Estoque: unidade (UN). Código SES: 092452.</v>
      </c>
      <c r="M1135" s="593" t="str">
        <f>IF(H:H=0,"",IF(ISERROR(VLOOKUP(H:H,produtos_escape2!$A$2:$D$2794,2,FALSE)),"Código não cadastrado",(VLOOKUP(H:H,produtos_escape2!$A$2:$D$2794,4,FALSE))))</f>
        <v>UN</v>
      </c>
      <c r="N1135" s="486">
        <v>50</v>
      </c>
      <c r="O1135" s="176" t="s">
        <v>7540</v>
      </c>
      <c r="P1135" s="486">
        <v>20</v>
      </c>
      <c r="Q1135" s="247">
        <v>6.83</v>
      </c>
      <c r="R1135" s="246">
        <f t="shared" si="40"/>
        <v>136.6</v>
      </c>
      <c r="S1135" s="177">
        <v>44125</v>
      </c>
      <c r="T1135" s="182"/>
      <c r="U1135" s="177"/>
      <c r="V1135" s="177"/>
      <c r="W1135" s="177"/>
      <c r="X1135" s="176"/>
      <c r="Y1135" s="177"/>
      <c r="Z1135" s="415">
        <v>6</v>
      </c>
      <c r="AA1135" s="488"/>
      <c r="AB1135" s="594"/>
      <c r="AC1135" s="595"/>
      <c r="AD1135" s="596" t="str">
        <f>IF(AND(AC1135&lt;&gt;"",S1135&lt;&gt;""),NETWORKDAYS(AC1135,S1135,#REF!),"")</f>
        <v/>
      </c>
      <c r="AE1135" s="596" t="str">
        <f ca="1">IF(AND(AD1135="",AC1135=""),"",IF(OR(AD1135&lt;&gt;"",O1135="*CANCELADO"),"",NETWORKDAYS(AC1135,TODAY(),#REF!)))</f>
        <v/>
      </c>
      <c r="AF1135" s="597" t="str">
        <f>IFERROR(INDEX(produtos_escape2!M:M,MATCH(Controle!H1135,produtos_escape2!A:A,0)),"")</f>
        <v>SONDA DE FOLEY 3 VIAS LÁTEX Nº 22</v>
      </c>
    </row>
    <row r="1136" spans="1:32" ht="14.25" customHeight="1">
      <c r="A1136" s="176" t="s">
        <v>9337</v>
      </c>
      <c r="B1136" s="176" t="s">
        <v>3608</v>
      </c>
      <c r="C1136" s="177">
        <v>44110</v>
      </c>
      <c r="D1136" s="176" t="s">
        <v>10134</v>
      </c>
      <c r="E1136" s="176" t="s">
        <v>3009</v>
      </c>
      <c r="F1136" s="259" t="s">
        <v>10137</v>
      </c>
      <c r="G1136" s="176">
        <v>2</v>
      </c>
      <c r="H1136" s="178">
        <v>92453</v>
      </c>
      <c r="I1136" s="592">
        <f t="shared" si="39"/>
        <v>1</v>
      </c>
      <c r="J1136" s="178" t="s">
        <v>816</v>
      </c>
      <c r="K1136" s="178" t="s">
        <v>816</v>
      </c>
      <c r="L1136" s="275" t="str">
        <f>IF(H:H=0,"",IF(ISERROR(VLOOKUP(H:H,produtos_escape2!$A$2:$B$2794,2,FALSE)),"Código não cadastrado",(VLOOKUP(H:H,produtos_escape2!$A$2:$B$2794,2,FALSE))))</f>
        <v xml:space="preserve">SONDA DE FOLEY 3 VIAS LÁTEX Nº 24. Aplicação: para drenagem e controle da diurese e irrigação vesical. Material: Látex. Características Adicionais: 3 vias,estéril, uso único, descartável, siliconizado, atóxico, medindo no mínimo 40 cm, apresentando flexibilidade e maleabilidade adequado ao fim a que se destina, que não cause irritação ao paciente, apresentando espessura uniforme, isento de manchas ou quaisquer defeitos, com válvula do balão fixa que permita perfeita adaptação em seringas, com balão com capacidade de 30 ml e boa distensibilidade, com ponta arredondada e fechada, apresentando 02 orifícios ovais próximos a ponta, situados em lados oposto, delimitados e proporcionais ao diâmetro do calibre, isentos de rebarbas e/ou saliências qeu possam traumatizar o paciente, com dupla embalagem, sendo a externa em papel cirúrgico e a interna em polietileno picotado nas extremidades, favorecendo a abertura em técnica asséptica e garantindo a integridade e esterilidade do produto. Apresentação: embalagem individual, acondicionada em caixa com 10 unidades. Unidade de Estoque: unidade. Código SES: 092453. </v>
      </c>
      <c r="M1136" s="593" t="str">
        <f>IF(H:H=0,"",IF(ISERROR(VLOOKUP(H:H,produtos_escape2!$A$2:$D$2794,2,FALSE)),"Código não cadastrado",(VLOOKUP(H:H,produtos_escape2!$A$2:$D$2794,4,FALSE))))</f>
        <v>UN</v>
      </c>
      <c r="N1136" s="486">
        <v>50</v>
      </c>
      <c r="O1136" s="176" t="s">
        <v>7540</v>
      </c>
      <c r="P1136" s="486">
        <v>20</v>
      </c>
      <c r="Q1136" s="247">
        <v>6.83</v>
      </c>
      <c r="R1136" s="246">
        <f t="shared" si="40"/>
        <v>136.6</v>
      </c>
      <c r="S1136" s="177">
        <v>44125</v>
      </c>
      <c r="T1136" s="182"/>
      <c r="U1136" s="177"/>
      <c r="V1136" s="177"/>
      <c r="W1136" s="177"/>
      <c r="X1136" s="176"/>
      <c r="Y1136" s="177"/>
      <c r="Z1136" s="415">
        <v>6</v>
      </c>
      <c r="AA1136" s="488"/>
      <c r="AB1136" s="594"/>
      <c r="AC1136" s="595"/>
      <c r="AD1136" s="596" t="str">
        <f>IF(AND(AC1136&lt;&gt;"",S1136&lt;&gt;""),NETWORKDAYS(AC1136,S1136,#REF!),"")</f>
        <v/>
      </c>
      <c r="AE1136" s="596" t="str">
        <f ca="1">IF(AND(AD1136="",AC1136=""),"",IF(OR(AD1136&lt;&gt;"",O1136="*CANCELADO"),"",NETWORKDAYS(AC1136,TODAY(),#REF!)))</f>
        <v/>
      </c>
      <c r="AF1136" s="597" t="str">
        <f>IFERROR(INDEX(produtos_escape2!M:M,MATCH(Controle!H1136,produtos_escape2!A:A,0)),"")</f>
        <v>SONDA DE FOLEY 3 VIAS LÁTEX Nº 24</v>
      </c>
    </row>
    <row r="1137" spans="1:32" ht="14.25" customHeight="1">
      <c r="A1137" s="176" t="s">
        <v>9405</v>
      </c>
      <c r="B1137" s="176" t="s">
        <v>3608</v>
      </c>
      <c r="C1137" s="177">
        <v>44113</v>
      </c>
      <c r="D1137" s="176" t="s">
        <v>10150</v>
      </c>
      <c r="E1137" s="176" t="s">
        <v>1866</v>
      </c>
      <c r="F1137" s="259" t="s">
        <v>10151</v>
      </c>
      <c r="G1137" s="176">
        <v>1</v>
      </c>
      <c r="H1137" s="178">
        <v>90111</v>
      </c>
      <c r="I1137" s="592">
        <f t="shared" si="39"/>
        <v>8</v>
      </c>
      <c r="J1137" s="178" t="s">
        <v>816</v>
      </c>
      <c r="K1137" s="178" t="s">
        <v>816</v>
      </c>
      <c r="L1137" s="275" t="str">
        <f>IF(H:H=0,"",IF(ISERROR(VLOOKUP(H:H,produtos_escape2!$A$2:$B$2794,2,FALSE)),"Código não cadastrado",(VLOOKUP(H:H,produtos_escape2!$A$2:$B$2794,2,FALSE))))</f>
        <v xml:space="preserve">MIDAZOLAM SOLUÇAO INJETAVEL 15 MG AMPOLA 3 ML </v>
      </c>
      <c r="M1137" s="593" t="str">
        <f>IF(H:H=0,"",IF(ISERROR(VLOOKUP(H:H,produtos_escape2!$A$2:$D$2794,2,FALSE)),"Código não cadastrado",(VLOOKUP(H:H,produtos_escape2!$A$2:$D$2794,4,FALSE))))</f>
        <v>AMP</v>
      </c>
      <c r="N1137" s="486">
        <v>1000</v>
      </c>
      <c r="O1137" s="176" t="s">
        <v>4401</v>
      </c>
      <c r="P1137" s="486">
        <v>1000</v>
      </c>
      <c r="Q1137" s="247">
        <v>3.5</v>
      </c>
      <c r="R1137" s="246">
        <f t="shared" si="40"/>
        <v>3500</v>
      </c>
      <c r="S1137" s="177">
        <v>44118</v>
      </c>
      <c r="T1137" s="182">
        <v>2766041</v>
      </c>
      <c r="U1137" s="177">
        <v>44119</v>
      </c>
      <c r="V1137" s="177">
        <v>44123</v>
      </c>
      <c r="W1137" s="177">
        <v>44125</v>
      </c>
      <c r="X1137" s="176">
        <v>18039</v>
      </c>
      <c r="Y1137" s="177">
        <v>44146</v>
      </c>
      <c r="Z1137" s="415">
        <v>6</v>
      </c>
      <c r="AA1137" s="488"/>
      <c r="AB1137" s="594"/>
      <c r="AC1137" s="595"/>
      <c r="AD1137" s="596" t="str">
        <f>IF(AND(AC1137&lt;&gt;"",S1137&lt;&gt;""),NETWORKDAYS(AC1137,S1137,#REF!),"")</f>
        <v/>
      </c>
      <c r="AE1137" s="596" t="str">
        <f ca="1">IF(AND(AD1137="",AC1137=""),"",IF(OR(AD1137&lt;&gt;"",O1137="*CANCELADO"),"",NETWORKDAYS(AC1137,TODAY(),#REF!)))</f>
        <v/>
      </c>
      <c r="AF1137" s="597" t="str">
        <f>IFERROR(INDEX(produtos_escape2!M:M,MATCH(Controle!H1137,produtos_escape2!A:A,0)),"")</f>
        <v xml:space="preserve">MIDAZOLAM SOLUÇAO INJETAVEL 15 MG AMPOLA 3 ML </v>
      </c>
    </row>
    <row r="1138" spans="1:32" ht="14.25" customHeight="1">
      <c r="A1138" s="176" t="s">
        <v>9383</v>
      </c>
      <c r="B1138" s="176" t="s">
        <v>3608</v>
      </c>
      <c r="C1138" s="177">
        <v>44113</v>
      </c>
      <c r="D1138" s="176" t="s">
        <v>10158</v>
      </c>
      <c r="E1138" s="176" t="s">
        <v>3009</v>
      </c>
      <c r="F1138" s="259" t="s">
        <v>10179</v>
      </c>
      <c r="G1138" s="176">
        <v>1</v>
      </c>
      <c r="H1138" s="178">
        <v>92408</v>
      </c>
      <c r="I1138" s="592">
        <f t="shared" si="39"/>
        <v>4</v>
      </c>
      <c r="J1138" s="178" t="s">
        <v>816</v>
      </c>
      <c r="K1138" s="178" t="s">
        <v>816</v>
      </c>
      <c r="L1138" s="275"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1138" s="593" t="str">
        <f>IF(H:H=0,"",IF(ISERROR(VLOOKUP(H:H,produtos_escape2!$A$2:$D$2794,2,FALSE)),"Código não cadastrado",(VLOOKUP(H:H,produtos_escape2!$A$2:$D$2794,4,FALSE))))</f>
        <v>UN</v>
      </c>
      <c r="N1138" s="486">
        <v>60000</v>
      </c>
      <c r="O1138" s="176" t="s">
        <v>7371</v>
      </c>
      <c r="P1138" s="486">
        <v>11000</v>
      </c>
      <c r="Q1138" s="247">
        <v>0.49990000000000001</v>
      </c>
      <c r="R1138" s="246">
        <f t="shared" si="40"/>
        <v>5498.9000000000005</v>
      </c>
      <c r="S1138" s="177">
        <v>44125</v>
      </c>
      <c r="T1138" s="182">
        <v>389571</v>
      </c>
      <c r="U1138" s="177">
        <v>44126</v>
      </c>
      <c r="V1138" s="177">
        <v>44127</v>
      </c>
      <c r="W1138" s="177">
        <v>44139</v>
      </c>
      <c r="X1138" s="176">
        <v>31433</v>
      </c>
      <c r="Y1138" s="177">
        <v>44167</v>
      </c>
      <c r="Z1138" s="415">
        <v>6</v>
      </c>
      <c r="AA1138" s="488" t="s">
        <v>10177</v>
      </c>
      <c r="AB1138" s="594"/>
      <c r="AC1138" s="595"/>
      <c r="AD1138" s="596" t="str">
        <f>IF(AND(AC1138&lt;&gt;"",S1138&lt;&gt;""),NETWORKDAYS(AC1138,S1138,#REF!),"")</f>
        <v/>
      </c>
      <c r="AE1138" s="596" t="str">
        <f ca="1">IF(AND(AD1138="",AC1138=""),"",IF(OR(AD1138&lt;&gt;"",O1138="*CANCELADO"),"",NETWORKDAYS(AC1138,TODAY(),#REF!)))</f>
        <v/>
      </c>
      <c r="AF1138" s="597" t="str">
        <f>IFERROR(INDEX(produtos_escape2!M:M,MATCH(Controle!H1138,produtos_escape2!A:A,0)),"")</f>
        <v>LUVA DE PROCEDIMENTO NÃO ESTÉRIL DE LÁTEX TAMANHO "M"</v>
      </c>
    </row>
    <row r="1139" spans="1:32" ht="14.25" customHeight="1">
      <c r="A1139" s="176" t="s">
        <v>10173</v>
      </c>
      <c r="B1139" s="176" t="s">
        <v>3608</v>
      </c>
      <c r="C1139" s="177">
        <v>44117</v>
      </c>
      <c r="D1139" s="176" t="s">
        <v>10174</v>
      </c>
      <c r="E1139" s="176"/>
      <c r="F1139" s="259" t="s">
        <v>10181</v>
      </c>
      <c r="G1139" s="176">
        <v>1</v>
      </c>
      <c r="H1139" s="178" t="s">
        <v>10175</v>
      </c>
      <c r="I1139" s="592"/>
      <c r="J1139" s="178"/>
      <c r="K1139" s="178"/>
      <c r="L1139" s="618" t="str">
        <f>IF(H:H=0,"",IF(ISERROR(VLOOKUP(H:H,produtos_escape2!$A$2:$B$2794,2,FALSE)),"Código não cadastrado",(VLOOKUP(H:H,produtos_escape2!$A$2:$B$2794,2,FALSE))))</f>
        <v>PLANILHA DE CORTES - FALTA DE RECURSOS</v>
      </c>
      <c r="M1139" s="593"/>
      <c r="N1139" s="486"/>
      <c r="O1139" s="176" t="s">
        <v>1868</v>
      </c>
      <c r="P1139" s="486"/>
      <c r="Q1139" s="247">
        <v>26000</v>
      </c>
      <c r="R1139" s="246">
        <f t="shared" si="40"/>
        <v>0</v>
      </c>
      <c r="S1139" s="177">
        <v>44120</v>
      </c>
      <c r="T1139" s="182"/>
      <c r="U1139" s="177"/>
      <c r="V1139" s="177"/>
      <c r="W1139" s="177"/>
      <c r="X1139" s="176"/>
      <c r="Y1139" s="177"/>
      <c r="Z1139" s="415">
        <v>5</v>
      </c>
      <c r="AA1139" s="488"/>
      <c r="AB1139" s="594"/>
      <c r="AC1139" s="595"/>
      <c r="AD1139" s="596" t="str">
        <f>IF(AND(AC1139&lt;&gt;"",S1139&lt;&gt;""),NETWORKDAYS(AC1139,S1139,#REF!),"")</f>
        <v/>
      </c>
      <c r="AE1139" s="596" t="str">
        <f ca="1">IF(AND(AD1139="",AC1139=""),"",IF(OR(AD1139&lt;&gt;"",O1139="*CANCELADO"),"",NETWORKDAYS(AC1139,TODAY(),#REF!)))</f>
        <v/>
      </c>
      <c r="AF1139" s="597">
        <f>IFERROR(INDEX(produtos_escape2!M:M,MATCH(Controle!H1139,produtos_escape2!A:A,0)),"")</f>
        <v>0</v>
      </c>
    </row>
    <row r="1140" spans="1:32" ht="14.25" customHeight="1">
      <c r="A1140" s="176" t="s">
        <v>10173</v>
      </c>
      <c r="B1140" s="176" t="s">
        <v>3608</v>
      </c>
      <c r="C1140" s="177">
        <v>44117</v>
      </c>
      <c r="D1140" s="176" t="s">
        <v>10174</v>
      </c>
      <c r="E1140" s="176"/>
      <c r="F1140" s="259" t="s">
        <v>10182</v>
      </c>
      <c r="G1140" s="176">
        <v>1</v>
      </c>
      <c r="H1140" s="178" t="s">
        <v>10175</v>
      </c>
      <c r="I1140" s="592"/>
      <c r="J1140" s="178"/>
      <c r="K1140" s="178"/>
      <c r="L1140" s="618" t="str">
        <f>IF(H:H=0,"",IF(ISERROR(VLOOKUP(H:H,produtos_escape2!$A$2:$B$2794,2,FALSE)),"Código não cadastrado",(VLOOKUP(H:H,produtos_escape2!$A$2:$B$2794,2,FALSE))))</f>
        <v>PLANILHA DE CORTES - FALTA DE RECURSOS</v>
      </c>
      <c r="M1140" s="593"/>
      <c r="N1140" s="486"/>
      <c r="O1140" s="176" t="s">
        <v>1868</v>
      </c>
      <c r="P1140" s="486"/>
      <c r="Q1140" s="247">
        <v>13000</v>
      </c>
      <c r="R1140" s="246">
        <f t="shared" si="40"/>
        <v>0</v>
      </c>
      <c r="S1140" s="177"/>
      <c r="T1140" s="182"/>
      <c r="U1140" s="177"/>
      <c r="V1140" s="177"/>
      <c r="W1140" s="177"/>
      <c r="X1140" s="176"/>
      <c r="Y1140" s="177"/>
      <c r="Z1140" s="415">
        <v>5</v>
      </c>
      <c r="AA1140" s="488"/>
      <c r="AB1140" s="594"/>
      <c r="AC1140" s="595"/>
      <c r="AD1140" s="596"/>
      <c r="AE1140" s="596"/>
      <c r="AF1140" s="597">
        <f>IFERROR(INDEX(produtos_escape2!M:M,MATCH(Controle!H1140,produtos_escape2!A:A,0)),"")</f>
        <v>0</v>
      </c>
    </row>
    <row r="1141" spans="1:32" ht="14.25" customHeight="1">
      <c r="A1141" s="176" t="s">
        <v>9396</v>
      </c>
      <c r="B1141" s="176" t="s">
        <v>3608</v>
      </c>
      <c r="C1141" s="177">
        <v>44113</v>
      </c>
      <c r="D1141" s="176" t="s">
        <v>10160</v>
      </c>
      <c r="E1141" s="176" t="s">
        <v>3009</v>
      </c>
      <c r="F1141" s="259" t="s">
        <v>10184</v>
      </c>
      <c r="G1141" s="176">
        <v>1</v>
      </c>
      <c r="H1141" s="178">
        <v>16050</v>
      </c>
      <c r="I1141" s="592">
        <f t="shared" ref="I1141:I1172" si="41">COUNTIF($H$3:$H$3041,H1141)</f>
        <v>2</v>
      </c>
      <c r="J1141" s="178" t="s">
        <v>816</v>
      </c>
      <c r="K1141" s="178" t="s">
        <v>816</v>
      </c>
      <c r="L1141" s="275" t="str">
        <f>IF(H:H=0,"",IF(ISERROR(VLOOKUP(H:H,produtos_escape2!$A$2:$B$2794,2,FALSE)),"Código não cadastrado",(VLOOKUP(H:H,produtos_escape2!$A$2:$B$2794,2,FALSE))))</f>
        <v>PLACA PRONTA PARA USO BIPARTIDA ÁGAR CLED / MAC CONKEY 90 X 15MM, Aplicação: identificação e isolamento microbiológico.</v>
      </c>
      <c r="M1141" s="593" t="str">
        <f>IF(H:H=0,"",IF(ISERROR(VLOOKUP(H:H,produtos_escape2!$A$2:$D$2794,2,FALSE)),"Código não cadastrado",(VLOOKUP(H:H,produtos_escape2!$A$2:$D$2794,4,FALSE))))</f>
        <v>UN</v>
      </c>
      <c r="N1141" s="486">
        <v>1000</v>
      </c>
      <c r="O1141" s="176" t="s">
        <v>1868</v>
      </c>
      <c r="P1141" s="486"/>
      <c r="Q1141" s="247"/>
      <c r="R1141" s="246">
        <f t="shared" si="40"/>
        <v>0</v>
      </c>
      <c r="S1141" s="177">
        <v>44127</v>
      </c>
      <c r="T1141" s="182"/>
      <c r="U1141" s="177"/>
      <c r="V1141" s="177"/>
      <c r="W1141" s="177"/>
      <c r="X1141" s="176"/>
      <c r="Y1141" s="177"/>
      <c r="Z1141" s="415">
        <v>5</v>
      </c>
      <c r="AA1141" s="488" t="s">
        <v>10185</v>
      </c>
      <c r="AB1141" s="594"/>
      <c r="AC1141" s="595"/>
      <c r="AD1141" s="596" t="str">
        <f>IF(AND(AC1141&lt;&gt;"",S1141&lt;&gt;""),NETWORKDAYS(AC1141,S1141,#REF!),"")</f>
        <v/>
      </c>
      <c r="AE1141" s="596" t="str">
        <f ca="1">IF(AND(AD1141="",AC1141=""),"",IF(OR(AD1141&lt;&gt;"",O1141="*CANCELADO"),"",NETWORKDAYS(AC1141,TODAY(),#REF!)))</f>
        <v/>
      </c>
      <c r="AF1141" s="597" t="str">
        <f>IFERROR(INDEX(produtos_escape2!M:M,MATCH(Controle!H1141,produtos_escape2!A:A,0)),"")</f>
        <v>PLACA PRONTA PARA USO BIPARTIDA ÁGAR CLED / MAC CONKEY 90 X 15MM</v>
      </c>
    </row>
    <row r="1142" spans="1:32" ht="14.25" customHeight="1">
      <c r="A1142" s="176" t="s">
        <v>9396</v>
      </c>
      <c r="B1142" s="176" t="s">
        <v>3608</v>
      </c>
      <c r="C1142" s="177">
        <v>44113</v>
      </c>
      <c r="D1142" s="176" t="s">
        <v>10160</v>
      </c>
      <c r="E1142" s="176" t="s">
        <v>3009</v>
      </c>
      <c r="F1142" s="259" t="s">
        <v>10184</v>
      </c>
      <c r="G1142" s="176">
        <v>2</v>
      </c>
      <c r="H1142" s="178">
        <v>95273</v>
      </c>
      <c r="I1142" s="592">
        <f t="shared" si="41"/>
        <v>2</v>
      </c>
      <c r="J1142" s="178" t="s">
        <v>816</v>
      </c>
      <c r="K1142" s="178" t="s">
        <v>816</v>
      </c>
      <c r="L1142" s="275" t="str">
        <f>IF(H:H=0,"",IF(ISERROR(VLOOKUP(H:H,produtos_escape2!$A$2:$B$2794,2,FALSE)),"Código não cadastrado",(VLOOKUP(H:H,produtos_escape2!$A$2:$B$2794,2,FALSE))))</f>
        <v>PLACA PRONTA PARA USO AGAR SANGUE 90 X 15MM</v>
      </c>
      <c r="M1142" s="593" t="str">
        <f>IF(H:H=0,"",IF(ISERROR(VLOOKUP(H:H,produtos_escape2!$A$2:$D$2794,2,FALSE)),"Código não cadastrado",(VLOOKUP(H:H,produtos_escape2!$A$2:$D$2794,4,FALSE))))</f>
        <v>UN</v>
      </c>
      <c r="N1142" s="486">
        <v>400</v>
      </c>
      <c r="O1142" s="176" t="s">
        <v>3670</v>
      </c>
      <c r="P1142" s="486">
        <v>720</v>
      </c>
      <c r="Q1142" s="247">
        <v>2.95</v>
      </c>
      <c r="R1142" s="246">
        <f t="shared" si="40"/>
        <v>2124</v>
      </c>
      <c r="S1142" s="177">
        <v>44127</v>
      </c>
      <c r="T1142" s="182">
        <v>3975</v>
      </c>
      <c r="U1142" s="177">
        <v>44138</v>
      </c>
      <c r="V1142" s="177">
        <v>44139</v>
      </c>
      <c r="W1142" s="177">
        <v>44151</v>
      </c>
      <c r="X1142" s="176">
        <v>3306</v>
      </c>
      <c r="Y1142" s="177">
        <v>44167</v>
      </c>
      <c r="Z1142" s="415">
        <v>6</v>
      </c>
      <c r="AA1142" s="488" t="s">
        <v>10185</v>
      </c>
      <c r="AB1142" s="594"/>
      <c r="AC1142" s="595"/>
      <c r="AD1142" s="596" t="str">
        <f>IF(AND(AC1142&lt;&gt;"",S1142&lt;&gt;""),NETWORKDAYS(AC1142,S1142,#REF!),"")</f>
        <v/>
      </c>
      <c r="AE1142" s="596" t="str">
        <f ca="1">IF(AND(AD1142="",AC1142=""),"",IF(OR(AD1142&lt;&gt;"",O1142="*CANCELADO"),"",NETWORKDAYS(AC1142,TODAY(),#REF!)))</f>
        <v/>
      </c>
      <c r="AF1142" s="597" t="str">
        <f>IFERROR(INDEX(produtos_escape2!M:M,MATCH(Controle!H1142,produtos_escape2!A:A,0)),"")</f>
        <v>PLACA PRONTA PARA USO AGAR SANGUE 90 X 15MM</v>
      </c>
    </row>
    <row r="1143" spans="1:32" ht="14.25" customHeight="1">
      <c r="A1143" s="176" t="s">
        <v>9396</v>
      </c>
      <c r="B1143" s="176" t="s">
        <v>3608</v>
      </c>
      <c r="C1143" s="177">
        <v>44113</v>
      </c>
      <c r="D1143" s="176" t="s">
        <v>10160</v>
      </c>
      <c r="E1143" s="176" t="s">
        <v>3009</v>
      </c>
      <c r="F1143" s="259" t="s">
        <v>10184</v>
      </c>
      <c r="G1143" s="176">
        <v>3</v>
      </c>
      <c r="H1143" s="178">
        <v>95277</v>
      </c>
      <c r="I1143" s="592">
        <f t="shared" si="41"/>
        <v>2</v>
      </c>
      <c r="J1143" s="178" t="s">
        <v>816</v>
      </c>
      <c r="K1143" s="178" t="s">
        <v>816</v>
      </c>
      <c r="L1143" s="275" t="str">
        <f>IF(H:H=0,"",IF(ISERROR(VLOOKUP(H:H,produtos_escape2!$A$2:$B$2794,2,FALSE)),"Código não cadastrado",(VLOOKUP(H:H,produtos_escape2!$A$2:$B$2794,2,FALSE))))</f>
        <v>PLACA PRONTA PARA USO AGAR MAC CONKEY 90 X 15MM</v>
      </c>
      <c r="M1143" s="593" t="str">
        <f>IF(H:H=0,"",IF(ISERROR(VLOOKUP(H:H,produtos_escape2!$A$2:$D$2794,2,FALSE)),"Código não cadastrado",(VLOOKUP(H:H,produtos_escape2!$A$2:$D$2794,4,FALSE))))</f>
        <v>UN</v>
      </c>
      <c r="N1143" s="486">
        <v>200</v>
      </c>
      <c r="O1143" s="176" t="s">
        <v>1868</v>
      </c>
      <c r="P1143" s="486"/>
      <c r="Q1143" s="247"/>
      <c r="R1143" s="246">
        <f t="shared" si="40"/>
        <v>0</v>
      </c>
      <c r="S1143" s="177">
        <v>44127</v>
      </c>
      <c r="T1143" s="182"/>
      <c r="U1143" s="177"/>
      <c r="V1143" s="177"/>
      <c r="W1143" s="177"/>
      <c r="X1143" s="176"/>
      <c r="Y1143" s="177"/>
      <c r="Z1143" s="415">
        <v>5</v>
      </c>
      <c r="AA1143" s="488" t="s">
        <v>10185</v>
      </c>
      <c r="AB1143" s="594"/>
      <c r="AC1143" s="595"/>
      <c r="AD1143" s="596" t="str">
        <f>IF(AND(AC1143&lt;&gt;"",S1143&lt;&gt;""),NETWORKDAYS(AC1143,S1143,#REF!),"")</f>
        <v/>
      </c>
      <c r="AE1143" s="596" t="str">
        <f ca="1">IF(AND(AD1143="",AC1143=""),"",IF(OR(AD1143&lt;&gt;"",O1143="*CANCELADO"),"",NETWORKDAYS(AC1143,TODAY(),#REF!)))</f>
        <v/>
      </c>
      <c r="AF1143" s="597" t="str">
        <f>IFERROR(INDEX(produtos_escape2!M:M,MATCH(Controle!H1143,produtos_escape2!A:A,0)),"")</f>
        <v>PLACA PRONTA PARA USO AGAR MAC CONKEY 90 X 15MM</v>
      </c>
    </row>
    <row r="1144" spans="1:32" ht="14.25" customHeight="1">
      <c r="A1144" s="176" t="s">
        <v>9396</v>
      </c>
      <c r="B1144" s="176" t="s">
        <v>3608</v>
      </c>
      <c r="C1144" s="177">
        <v>44113</v>
      </c>
      <c r="D1144" s="176" t="s">
        <v>10160</v>
      </c>
      <c r="E1144" s="176" t="s">
        <v>3009</v>
      </c>
      <c r="F1144" s="259" t="s">
        <v>10184</v>
      </c>
      <c r="G1144" s="176">
        <v>4</v>
      </c>
      <c r="H1144" s="178">
        <v>23063</v>
      </c>
      <c r="I1144" s="592">
        <f t="shared" si="41"/>
        <v>2</v>
      </c>
      <c r="J1144" s="178" t="s">
        <v>816</v>
      </c>
      <c r="K1144" s="178" t="s">
        <v>816</v>
      </c>
      <c r="L1144" s="275" t="str">
        <f>IF(H:H=0,"",IF(ISERROR(VLOOKUP(H:H,produtos_escape2!$A$2:$B$2794,2,FALSE)),"Código não cadastrado",(VLOOKUP(H:H,produtos_escape2!$A$2:$B$2794,2,FALSE))))</f>
        <v>AGAR SCREENING CROMOGENICO PARA IDENTIFICAÇAO DE BACTERIAS PRODUTORAS DE CARBAPENEMASE.  Aplicação: teste screening de identificação microbiológica em meio de cultura. Forma de apresentação: placas pronto uso.</v>
      </c>
      <c r="M1144" s="593" t="str">
        <f>IF(H:H=0,"",IF(ISERROR(VLOOKUP(H:H,produtos_escape2!$A$2:$D$2794,2,FALSE)),"Código não cadastrado",(VLOOKUP(H:H,produtos_escape2!$A$2:$D$2794,4,FALSE))))</f>
        <v>UN</v>
      </c>
      <c r="N1144" s="486">
        <v>120</v>
      </c>
      <c r="O1144" s="176" t="s">
        <v>3670</v>
      </c>
      <c r="P1144" s="486">
        <v>120</v>
      </c>
      <c r="Q1144" s="247">
        <v>7.5</v>
      </c>
      <c r="R1144" s="246">
        <f t="shared" si="40"/>
        <v>900</v>
      </c>
      <c r="S1144" s="177">
        <v>44127</v>
      </c>
      <c r="T1144" s="182">
        <v>3975</v>
      </c>
      <c r="U1144" s="177">
        <v>44138</v>
      </c>
      <c r="V1144" s="177">
        <v>44139</v>
      </c>
      <c r="W1144" s="177">
        <v>44151</v>
      </c>
      <c r="X1144" s="176">
        <v>3306</v>
      </c>
      <c r="Y1144" s="177">
        <v>44167</v>
      </c>
      <c r="Z1144" s="415">
        <v>6</v>
      </c>
      <c r="AA1144" s="488" t="s">
        <v>10185</v>
      </c>
      <c r="AB1144" s="594"/>
      <c r="AC1144" s="595"/>
      <c r="AD1144" s="596" t="str">
        <f>IF(AND(AC1144&lt;&gt;"",S1144&lt;&gt;""),NETWORKDAYS(AC1144,S1144,#REF!),"")</f>
        <v/>
      </c>
      <c r="AE1144" s="596" t="str">
        <f ca="1">IF(AND(AD1144="",AC1144=""),"",IF(OR(AD1144&lt;&gt;"",O1144="*CANCELADO"),"",NETWORKDAYS(AC1144,TODAY(),#REF!)))</f>
        <v/>
      </c>
      <c r="AF1144" s="597" t="str">
        <f>IFERROR(INDEX(produtos_escape2!M:M,MATCH(Controle!H1144,produtos_escape2!A:A,0)),"")</f>
        <v>AGAR SCREENING CROMOGENICO PARA IDENTIFICAÇAO DE BACTERIAS PRODUTORAS DE CARBAPENEMASE</v>
      </c>
    </row>
    <row r="1145" spans="1:32" ht="14.25" customHeight="1">
      <c r="A1145" s="176" t="s">
        <v>9396</v>
      </c>
      <c r="B1145" s="176" t="s">
        <v>3608</v>
      </c>
      <c r="C1145" s="177">
        <v>44113</v>
      </c>
      <c r="D1145" s="176" t="s">
        <v>10160</v>
      </c>
      <c r="E1145" s="176" t="s">
        <v>3009</v>
      </c>
      <c r="F1145" s="259" t="s">
        <v>10184</v>
      </c>
      <c r="G1145" s="176">
        <v>5</v>
      </c>
      <c r="H1145" s="178">
        <v>95279</v>
      </c>
      <c r="I1145" s="592">
        <f t="shared" si="41"/>
        <v>1</v>
      </c>
      <c r="J1145" s="178" t="s">
        <v>816</v>
      </c>
      <c r="K1145" s="178" t="s">
        <v>816</v>
      </c>
      <c r="L1145" s="275" t="str">
        <f>IF(H:H=0,"",IF(ISERROR(VLOOKUP(H:H,produtos_escape2!$A$2:$B$2794,2,FALSE)),"Código não cadastrado",(VLOOKUP(H:H,produtos_escape2!$A$2:$B$2794,2,FALSE))))</f>
        <v>PLACA PRONTA PARA USO MRSA 90 X 15MM</v>
      </c>
      <c r="M1145" s="593" t="str">
        <f>IF(H:H=0,"",IF(ISERROR(VLOOKUP(H:H,produtos_escape2!$A$2:$D$2794,2,FALSE)),"Código não cadastrado",(VLOOKUP(H:H,produtos_escape2!$A$2:$D$2794,4,FALSE))))</f>
        <v>UN</v>
      </c>
      <c r="N1145" s="486">
        <v>120</v>
      </c>
      <c r="O1145" s="176" t="s">
        <v>1868</v>
      </c>
      <c r="P1145" s="486"/>
      <c r="Q1145" s="247"/>
      <c r="R1145" s="246">
        <f t="shared" si="40"/>
        <v>0</v>
      </c>
      <c r="S1145" s="177">
        <v>44127</v>
      </c>
      <c r="T1145" s="182"/>
      <c r="U1145" s="177"/>
      <c r="V1145" s="177"/>
      <c r="W1145" s="177"/>
      <c r="X1145" s="176"/>
      <c r="Y1145" s="177"/>
      <c r="Z1145" s="415">
        <v>5</v>
      </c>
      <c r="AA1145" s="488" t="s">
        <v>10185</v>
      </c>
      <c r="AB1145" s="594"/>
      <c r="AC1145" s="595"/>
      <c r="AD1145" s="596" t="str">
        <f>IF(AND(AC1145&lt;&gt;"",S1145&lt;&gt;""),NETWORKDAYS(AC1145,S1145,#REF!),"")</f>
        <v/>
      </c>
      <c r="AE1145" s="596" t="str">
        <f ca="1">IF(AND(AD1145="",AC1145=""),"",IF(OR(AD1145&lt;&gt;"",O1145="*CANCELADO"),"",NETWORKDAYS(AC1145,TODAY(),#REF!)))</f>
        <v/>
      </c>
      <c r="AF1145" s="597" t="str">
        <f>IFERROR(INDEX(produtos_escape2!M:M,MATCH(Controle!H1145,produtos_escape2!A:A,0)),"")</f>
        <v>PLACA PRONTA PARA USO MRSA 90 X 15MM</v>
      </c>
    </row>
    <row r="1146" spans="1:32" ht="14.25" customHeight="1">
      <c r="A1146" s="176" t="s">
        <v>9450</v>
      </c>
      <c r="B1146" s="176" t="s">
        <v>3608</v>
      </c>
      <c r="C1146" s="177">
        <v>44123</v>
      </c>
      <c r="D1146" s="176" t="s">
        <v>10186</v>
      </c>
      <c r="E1146" s="176" t="s">
        <v>1867</v>
      </c>
      <c r="F1146" s="259" t="s">
        <v>10202</v>
      </c>
      <c r="G1146" s="176">
        <v>1</v>
      </c>
      <c r="H1146" s="178">
        <v>95789</v>
      </c>
      <c r="I1146" s="592">
        <f t="shared" si="41"/>
        <v>2</v>
      </c>
      <c r="J1146" s="178" t="s">
        <v>816</v>
      </c>
      <c r="K1146" s="178" t="s">
        <v>816</v>
      </c>
      <c r="L1146" s="275" t="str">
        <f>IF(H:H=0,"",IF(ISERROR(VLOOKUP(H:H,produtos_escape2!$A$2:$B$2794,2,FALSE)),"Código não cadastrado",(VLOOKUP(H:H,produtos_escape2!$A$2:$B$2794,2,FALSE))))</f>
        <v>CONJUNTO PARA DETERMINAÇAO DE ALBUMINA.Aplicação: analise bioquimica. Características adicionais: equipamento automatizado. Forma de Apresentação:conjunto (kit). 
Prazo de Validade: 75% do prazo de validade do produto.</v>
      </c>
      <c r="M1146" s="593" t="str">
        <f>IF(H:H=0,"",IF(ISERROR(VLOOKUP(H:H,produtos_escape2!$A$2:$D$2794,2,FALSE)),"Código não cadastrado",(VLOOKUP(H:H,produtos_escape2!$A$2:$D$2794,4,FALSE))))</f>
        <v>TE</v>
      </c>
      <c r="N1146" s="486">
        <v>5876</v>
      </c>
      <c r="O1146" s="176" t="s">
        <v>1868</v>
      </c>
      <c r="P1146" s="486"/>
      <c r="Q1146" s="247"/>
      <c r="R1146" s="246">
        <f t="shared" si="40"/>
        <v>0</v>
      </c>
      <c r="S1146" s="177">
        <v>44131</v>
      </c>
      <c r="T1146" s="182"/>
      <c r="U1146" s="177"/>
      <c r="V1146" s="177"/>
      <c r="W1146" s="177"/>
      <c r="X1146" s="176"/>
      <c r="Y1146" s="177"/>
      <c r="Z1146" s="415">
        <v>5</v>
      </c>
      <c r="AA1146" s="488" t="s">
        <v>10224</v>
      </c>
      <c r="AB1146" s="594"/>
      <c r="AC1146" s="595"/>
      <c r="AD1146" s="596" t="str">
        <f>IF(AND(AC1146&lt;&gt;"",S1146&lt;&gt;""),NETWORKDAYS(AC1146,S1146,#REF!),"")</f>
        <v/>
      </c>
      <c r="AE1146" s="596" t="str">
        <f ca="1">IF(AND(AD1146="",AC1146=""),"",IF(OR(AD1146&lt;&gt;"",O1146="*CANCELADO"),"",NETWORKDAYS(AC1146,TODAY(),#REF!)))</f>
        <v/>
      </c>
      <c r="AF1146" s="597" t="str">
        <f>IFERROR(INDEX(produtos_escape2!M:M,MATCH(Controle!H1146,produtos_escape2!A:A,0)),"")</f>
        <v>CONJUNTO PARA DETERMINAÇAO DE ALBUMINA</v>
      </c>
    </row>
    <row r="1147" spans="1:32" ht="14.25" customHeight="1">
      <c r="A1147" s="176" t="s">
        <v>9450</v>
      </c>
      <c r="B1147" s="176" t="s">
        <v>3608</v>
      </c>
      <c r="C1147" s="177">
        <v>44123</v>
      </c>
      <c r="D1147" s="176" t="s">
        <v>10186</v>
      </c>
      <c r="E1147" s="176" t="s">
        <v>1867</v>
      </c>
      <c r="F1147" s="259" t="s">
        <v>10202</v>
      </c>
      <c r="G1147" s="176">
        <v>2</v>
      </c>
      <c r="H1147" s="178">
        <v>95779</v>
      </c>
      <c r="I1147" s="592">
        <f t="shared" si="41"/>
        <v>3</v>
      </c>
      <c r="J1147" s="178" t="s">
        <v>816</v>
      </c>
      <c r="K1147" s="178" t="s">
        <v>816</v>
      </c>
      <c r="L1147" s="275" t="str">
        <f>IF(H:H=0,"",IF(ISERROR(VLOOKUP(H:H,produtos_escape2!$A$2:$B$2794,2,FALSE)),"Código não cadastrado",(VLOOKUP(H:H,produtos_escape2!$A$2:$B$2794,2,FALSE))))</f>
        <v>CONJUNTO PARA DETERMINAÇAO DE BILIRRUBINA. Aplicação:analise bioquimica. 
Características adicionais: equipamento automatizado. Forma de Apresentação:conjunto (kit). 
Prazo de Validade: 75% do prazo de validade do produto.</v>
      </c>
      <c r="M1147" s="593" t="str">
        <f>IF(H:H=0,"",IF(ISERROR(VLOOKUP(H:H,produtos_escape2!$A$2:$D$2794,2,FALSE)),"Código não cadastrado",(VLOOKUP(H:H,produtos_escape2!$A$2:$D$2794,4,FALSE))))</f>
        <v>TE</v>
      </c>
      <c r="N1147" s="486">
        <v>5472</v>
      </c>
      <c r="O1147" s="176" t="s">
        <v>1868</v>
      </c>
      <c r="P1147" s="486"/>
      <c r="Q1147" s="247"/>
      <c r="R1147" s="246">
        <f t="shared" si="40"/>
        <v>0</v>
      </c>
      <c r="S1147" s="177">
        <v>44131</v>
      </c>
      <c r="T1147" s="182"/>
      <c r="U1147" s="177"/>
      <c r="V1147" s="177"/>
      <c r="W1147" s="177"/>
      <c r="X1147" s="176"/>
      <c r="Y1147" s="177"/>
      <c r="Z1147" s="415">
        <v>5</v>
      </c>
      <c r="AA1147" s="488" t="s">
        <v>10224</v>
      </c>
      <c r="AB1147" s="594"/>
      <c r="AC1147" s="595"/>
      <c r="AD1147" s="596" t="str">
        <f>IF(AND(AC1147&lt;&gt;"",S1147&lt;&gt;""),NETWORKDAYS(AC1147,S1147,#REF!),"")</f>
        <v/>
      </c>
      <c r="AE1147" s="596" t="str">
        <f ca="1">IF(AND(AD1147="",AC1147=""),"",IF(OR(AD1147&lt;&gt;"",O1147="*CANCELADO"),"",NETWORKDAYS(AC1147,TODAY(),#REF!)))</f>
        <v/>
      </c>
      <c r="AF1147" s="597" t="str">
        <f>IFERROR(INDEX(produtos_escape2!M:M,MATCH(Controle!H1147,produtos_escape2!A:A,0)),"")</f>
        <v>CONJUNTO PARA DETERMINAÇAO DE BILIRRUBINA</v>
      </c>
    </row>
    <row r="1148" spans="1:32" ht="14.25" customHeight="1">
      <c r="A1148" s="176" t="s">
        <v>9450</v>
      </c>
      <c r="B1148" s="176" t="s">
        <v>3608</v>
      </c>
      <c r="C1148" s="177">
        <v>44123</v>
      </c>
      <c r="D1148" s="176" t="s">
        <v>10186</v>
      </c>
      <c r="E1148" s="176" t="s">
        <v>1867</v>
      </c>
      <c r="F1148" s="259" t="s">
        <v>10202</v>
      </c>
      <c r="G1148" s="176">
        <v>3</v>
      </c>
      <c r="H1148" s="178">
        <v>95775</v>
      </c>
      <c r="I1148" s="592">
        <f t="shared" si="41"/>
        <v>4</v>
      </c>
      <c r="J1148" s="178" t="s">
        <v>816</v>
      </c>
      <c r="K1148" s="178" t="s">
        <v>816</v>
      </c>
      <c r="L1148" s="275"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1148" s="593" t="str">
        <f>IF(H:H=0,"",IF(ISERROR(VLOOKUP(H:H,produtos_escape2!$A$2:$D$2794,2,FALSE)),"Código não cadastrado",(VLOOKUP(H:H,produtos_escape2!$A$2:$D$2794,4,FALSE))))</f>
        <v>TE</v>
      </c>
      <c r="N1148" s="486">
        <v>9772</v>
      </c>
      <c r="O1148" s="176" t="s">
        <v>9278</v>
      </c>
      <c r="P1148" s="486">
        <v>3244</v>
      </c>
      <c r="Q1148" s="247">
        <v>2.12</v>
      </c>
      <c r="R1148" s="246">
        <f t="shared" si="40"/>
        <v>6877.2800000000007</v>
      </c>
      <c r="S1148" s="177">
        <v>44131</v>
      </c>
      <c r="T1148" s="182">
        <v>158702</v>
      </c>
      <c r="U1148" s="177">
        <v>44134</v>
      </c>
      <c r="V1148" s="177">
        <v>44140</v>
      </c>
      <c r="W1148" s="177">
        <v>44148</v>
      </c>
      <c r="X1148" s="176">
        <v>31470</v>
      </c>
      <c r="Y1148" s="177">
        <v>44167</v>
      </c>
      <c r="Z1148" s="415">
        <v>6</v>
      </c>
      <c r="AA1148" s="488" t="s">
        <v>10203</v>
      </c>
      <c r="AB1148" s="594"/>
      <c r="AC1148" s="595"/>
      <c r="AD1148" s="596" t="str">
        <f>IF(AND(AC1148&lt;&gt;"",S1148&lt;&gt;""),NETWORKDAYS(AC1148,S1148,#REF!),"")</f>
        <v/>
      </c>
      <c r="AE1148" s="596" t="str">
        <f ca="1">IF(AND(AD1148="",AC1148=""),"",IF(OR(AD1148&lt;&gt;"",O1148="*CANCELADO"),"",NETWORKDAYS(AC1148,TODAY(),#REF!)))</f>
        <v/>
      </c>
      <c r="AF1148" s="597" t="str">
        <f>IFERROR(INDEX(produtos_escape2!M:M,MATCH(Controle!H1148,produtos_escape2!A:A,0)),"")</f>
        <v>CONJUNTO PARA DETERMINAÇAO DE CREATININA</v>
      </c>
    </row>
    <row r="1149" spans="1:32" ht="14.25" customHeight="1">
      <c r="A1149" s="176" t="s">
        <v>9450</v>
      </c>
      <c r="B1149" s="176" t="s">
        <v>3608</v>
      </c>
      <c r="C1149" s="177">
        <v>44123</v>
      </c>
      <c r="D1149" s="176" t="s">
        <v>10186</v>
      </c>
      <c r="E1149" s="176" t="s">
        <v>1867</v>
      </c>
      <c r="F1149" s="259" t="s">
        <v>10202</v>
      </c>
      <c r="G1149" s="176">
        <v>4</v>
      </c>
      <c r="H1149" s="178">
        <v>95778</v>
      </c>
      <c r="I1149" s="592">
        <f t="shared" si="41"/>
        <v>3</v>
      </c>
      <c r="J1149" s="178" t="s">
        <v>816</v>
      </c>
      <c r="K1149" s="178" t="s">
        <v>816</v>
      </c>
      <c r="L1149" s="275" t="str">
        <f>IF(H:H=0,"",IF(ISERROR(VLOOKUP(H:H,produtos_escape2!$A$2:$B$2794,2,FALSE)),"Código não cadastrado",(VLOOKUP(H:H,produtos_escape2!$A$2:$B$2794,2,FALSE))))</f>
        <v>CONJUNTO PARA DETERMINAÇAO DE LDH, Aplicação:analise bioquimica. Características adicionais: equipamento automatizado. Forma de Apresentação:conjunto (kit). Prazo de Validade: 75% do prazo de validade do produto. O reagente deve ser compatível com o equipamento CMD800i e vir acompanhado de todos os consumíveis necessários para seu funcionamento, como detergentes, calibradores e etc.</v>
      </c>
      <c r="M1149" s="593" t="str">
        <f>IF(H:H=0,"",IF(ISERROR(VLOOKUP(H:H,produtos_escape2!$A$2:$D$2794,2,FALSE)),"Código não cadastrado",(VLOOKUP(H:H,produtos_escape2!$A$2:$D$2794,4,FALSE))))</f>
        <v>TE</v>
      </c>
      <c r="N1149" s="486">
        <v>5142</v>
      </c>
      <c r="O1149" s="176" t="s">
        <v>1868</v>
      </c>
      <c r="P1149" s="486"/>
      <c r="Q1149" s="247"/>
      <c r="R1149" s="246">
        <f t="shared" si="40"/>
        <v>0</v>
      </c>
      <c r="S1149" s="177">
        <v>44131</v>
      </c>
      <c r="T1149" s="182"/>
      <c r="U1149" s="177"/>
      <c r="V1149" s="177"/>
      <c r="W1149" s="177"/>
      <c r="X1149" s="176"/>
      <c r="Y1149" s="177"/>
      <c r="Z1149" s="415">
        <v>5</v>
      </c>
      <c r="AA1149" s="488" t="s">
        <v>10224</v>
      </c>
      <c r="AB1149" s="594"/>
      <c r="AC1149" s="595"/>
      <c r="AD1149" s="596" t="str">
        <f>IF(AND(AC1149&lt;&gt;"",S1149&lt;&gt;""),NETWORKDAYS(AC1149,S1149,#REF!),"")</f>
        <v/>
      </c>
      <c r="AE1149" s="596" t="str">
        <f ca="1">IF(AND(AD1149="",AC1149=""),"",IF(OR(AD1149&lt;&gt;"",O1149="*CANCELADO"),"",NETWORKDAYS(AC1149,TODAY(),#REF!)))</f>
        <v/>
      </c>
      <c r="AF1149" s="597" t="str">
        <f>IFERROR(INDEX(produtos_escape2!M:M,MATCH(Controle!H1149,produtos_escape2!A:A,0)),"")</f>
        <v>CONJUNTO PARA DETERMINAÇAO DE LDH</v>
      </c>
    </row>
    <row r="1150" spans="1:32" ht="14.25" customHeight="1">
      <c r="A1150" s="176" t="s">
        <v>9450</v>
      </c>
      <c r="B1150" s="176" t="s">
        <v>3608</v>
      </c>
      <c r="C1150" s="177">
        <v>44123</v>
      </c>
      <c r="D1150" s="176" t="s">
        <v>10186</v>
      </c>
      <c r="E1150" s="176" t="s">
        <v>1867</v>
      </c>
      <c r="F1150" s="259" t="s">
        <v>10202</v>
      </c>
      <c r="G1150" s="176">
        <v>5</v>
      </c>
      <c r="H1150" s="178">
        <v>95772</v>
      </c>
      <c r="I1150" s="592">
        <f t="shared" si="41"/>
        <v>2</v>
      </c>
      <c r="J1150" s="178" t="s">
        <v>816</v>
      </c>
      <c r="K1150" s="178" t="s">
        <v>816</v>
      </c>
      <c r="L1150" s="275" t="str">
        <f>IF(H:H=0,"",IF(ISERROR(VLOOKUP(H:H,produtos_escape2!$A$2:$B$2794,2,FALSE)),"Código não cadastrado",(VLOOKUP(H:H,produtos_escape2!$A$2:$B$2794,2,FALSE))))</f>
        <v>CONJUNTO PARA DETERMINAÇAO DE TGO CINETICO, AUTOMAÇAO</v>
      </c>
      <c r="M1150" s="593" t="str">
        <f>IF(H:H=0,"",IF(ISERROR(VLOOKUP(H:H,produtos_escape2!$A$2:$D$2794,2,FALSE)),"Código não cadastrado",(VLOOKUP(H:H,produtos_escape2!$A$2:$D$2794,4,FALSE))))</f>
        <v>TE</v>
      </c>
      <c r="N1150" s="486">
        <v>11432</v>
      </c>
      <c r="O1150" s="176" t="s">
        <v>1868</v>
      </c>
      <c r="P1150" s="486"/>
      <c r="Q1150" s="247"/>
      <c r="R1150" s="246">
        <f t="shared" si="40"/>
        <v>0</v>
      </c>
      <c r="S1150" s="177">
        <v>44131</v>
      </c>
      <c r="T1150" s="182"/>
      <c r="U1150" s="177"/>
      <c r="V1150" s="177"/>
      <c r="W1150" s="177"/>
      <c r="X1150" s="176"/>
      <c r="Y1150" s="177"/>
      <c r="Z1150" s="415">
        <v>5</v>
      </c>
      <c r="AA1150" s="488" t="s">
        <v>10224</v>
      </c>
      <c r="AB1150" s="594"/>
      <c r="AC1150" s="595"/>
      <c r="AD1150" s="596" t="str">
        <f>IF(AND(AC1150&lt;&gt;"",S1150&lt;&gt;""),NETWORKDAYS(AC1150,S1150,#REF!),"")</f>
        <v/>
      </c>
      <c r="AE1150" s="596" t="str">
        <f ca="1">IF(AND(AD1150="",AC1150=""),"",IF(OR(AD1150&lt;&gt;"",O1150="*CANCELADO"),"",NETWORKDAYS(AC1150,TODAY(),#REF!)))</f>
        <v/>
      </c>
      <c r="AF1150" s="597" t="str">
        <f>IFERROR(INDEX(produtos_escape2!M:M,MATCH(Controle!H1150,produtos_escape2!A:A,0)),"")</f>
        <v>CONJUNTO PARA DETERMINAÇAO DE TGO CINETICO</v>
      </c>
    </row>
    <row r="1151" spans="1:32" ht="14.25" customHeight="1">
      <c r="A1151" s="176" t="s">
        <v>9450</v>
      </c>
      <c r="B1151" s="176" t="s">
        <v>3608</v>
      </c>
      <c r="C1151" s="177">
        <v>44123</v>
      </c>
      <c r="D1151" s="176" t="s">
        <v>10186</v>
      </c>
      <c r="E1151" s="176" t="s">
        <v>1867</v>
      </c>
      <c r="F1151" s="259" t="s">
        <v>10202</v>
      </c>
      <c r="G1151" s="176">
        <v>6</v>
      </c>
      <c r="H1151" s="178">
        <v>95773</v>
      </c>
      <c r="I1151" s="592">
        <f t="shared" si="41"/>
        <v>5</v>
      </c>
      <c r="J1151" s="178" t="s">
        <v>816</v>
      </c>
      <c r="K1151" s="178" t="s">
        <v>816</v>
      </c>
      <c r="L1151" s="275" t="str">
        <f>IF(H:H=0,"",IF(ISERROR(VLOOKUP(H:H,produtos_escape2!$A$2:$B$2794,2,FALSE)),"Código não cadastrado",(VLOOKUP(H:H,produtos_escape2!$A$2:$B$2794,2,FALSE))))</f>
        <v>CONJUNTO PARA DETERMINAÇAO DE TGP CINETICO, AUTOMAÇAO</v>
      </c>
      <c r="M1151" s="593" t="str">
        <f>IF(H:H=0,"",IF(ISERROR(VLOOKUP(H:H,produtos_escape2!$A$2:$D$2794,2,FALSE)),"Código não cadastrado",(VLOOKUP(H:H,produtos_escape2!$A$2:$D$2794,4,FALSE))))</f>
        <v>TE</v>
      </c>
      <c r="N1151" s="486">
        <v>11432</v>
      </c>
      <c r="O1151" s="176" t="s">
        <v>1868</v>
      </c>
      <c r="P1151" s="486"/>
      <c r="Q1151" s="247"/>
      <c r="R1151" s="246">
        <f t="shared" si="40"/>
        <v>0</v>
      </c>
      <c r="S1151" s="177">
        <v>44131</v>
      </c>
      <c r="T1151" s="182"/>
      <c r="U1151" s="177"/>
      <c r="V1151" s="177"/>
      <c r="W1151" s="177"/>
      <c r="X1151" s="176"/>
      <c r="Y1151" s="177"/>
      <c r="Z1151" s="415">
        <v>5</v>
      </c>
      <c r="AA1151" s="488" t="s">
        <v>10224</v>
      </c>
      <c r="AB1151" s="594"/>
      <c r="AC1151" s="595"/>
      <c r="AD1151" s="596" t="str">
        <f>IF(AND(AC1151&lt;&gt;"",S1151&lt;&gt;""),NETWORKDAYS(AC1151,S1151,#REF!),"")</f>
        <v/>
      </c>
      <c r="AE1151" s="596" t="str">
        <f ca="1">IF(AND(AD1151="",AC1151=""),"",IF(OR(AD1151&lt;&gt;"",O1151="*CANCELADO"),"",NETWORKDAYS(AC1151,TODAY(),#REF!)))</f>
        <v/>
      </c>
      <c r="AF1151" s="597" t="str">
        <f>IFERROR(INDEX(produtos_escape2!M:M,MATCH(Controle!H1151,produtos_escape2!A:A,0)),"")</f>
        <v>CONJUNTO PARA DETERMINAÇAO DE TGP CINETICO</v>
      </c>
    </row>
    <row r="1152" spans="1:32" ht="14.25" customHeight="1">
      <c r="A1152" s="176" t="s">
        <v>9450</v>
      </c>
      <c r="B1152" s="176" t="s">
        <v>3608</v>
      </c>
      <c r="C1152" s="177">
        <v>44123</v>
      </c>
      <c r="D1152" s="176" t="s">
        <v>10186</v>
      </c>
      <c r="E1152" s="176" t="s">
        <v>1867</v>
      </c>
      <c r="F1152" s="259" t="s">
        <v>10202</v>
      </c>
      <c r="G1152" s="176">
        <v>7</v>
      </c>
      <c r="H1152" s="178">
        <v>95771</v>
      </c>
      <c r="I1152" s="592">
        <f t="shared" si="41"/>
        <v>2</v>
      </c>
      <c r="J1152" s="178" t="s">
        <v>816</v>
      </c>
      <c r="K1152" s="178" t="s">
        <v>816</v>
      </c>
      <c r="L1152" s="275" t="str">
        <f>IF(H:H=0,"",IF(ISERROR(VLOOKUP(H:H,produtos_escape2!$A$2:$B$2794,2,FALSE)),"Código não cadastrado",(VLOOKUP(H:H,produtos_escape2!$A$2:$B$2794,2,FALSE))))</f>
        <v>CONJUNTO PARA DETERMINAÇAO DE UREIA ENZIMATICA, AUTOMAÇAO</v>
      </c>
      <c r="M1152" s="593" t="str">
        <f>IF(H:H=0,"",IF(ISERROR(VLOOKUP(H:H,produtos_escape2!$A$2:$D$2794,2,FALSE)),"Código não cadastrado",(VLOOKUP(H:H,produtos_escape2!$A$2:$D$2794,4,FALSE))))</f>
        <v>TE</v>
      </c>
      <c r="N1152" s="486">
        <v>12976</v>
      </c>
      <c r="O1152" s="176" t="s">
        <v>9278</v>
      </c>
      <c r="P1152" s="486">
        <v>3244</v>
      </c>
      <c r="Q1152" s="247">
        <v>1.72</v>
      </c>
      <c r="R1152" s="246">
        <f t="shared" si="40"/>
        <v>5579.68</v>
      </c>
      <c r="S1152" s="177">
        <v>44131</v>
      </c>
      <c r="T1152" s="182">
        <v>158702</v>
      </c>
      <c r="U1152" s="177">
        <v>44134</v>
      </c>
      <c r="V1152" s="177">
        <v>44140</v>
      </c>
      <c r="W1152" s="177">
        <v>44148</v>
      </c>
      <c r="X1152" s="176">
        <v>31470</v>
      </c>
      <c r="Y1152" s="177">
        <v>44167</v>
      </c>
      <c r="Z1152" s="415">
        <v>6</v>
      </c>
      <c r="AA1152" s="488" t="s">
        <v>10203</v>
      </c>
      <c r="AB1152" s="594"/>
      <c r="AC1152" s="595"/>
      <c r="AD1152" s="596" t="str">
        <f>IF(AND(AC1152&lt;&gt;"",S1152&lt;&gt;""),NETWORKDAYS(AC1152,S1152,#REF!),"")</f>
        <v/>
      </c>
      <c r="AE1152" s="596" t="str">
        <f ca="1">IF(AND(AD1152="",AC1152=""),"",IF(OR(AD1152&lt;&gt;"",O1152="*CANCELADO"),"",NETWORKDAYS(AC1152,TODAY(),#REF!)))</f>
        <v/>
      </c>
      <c r="AF1152" s="597" t="str">
        <f>IFERROR(INDEX(produtos_escape2!M:M,MATCH(Controle!H1152,produtos_escape2!A:A,0)),"")</f>
        <v>CONJUNTO PARA DETERMINAÇAO DE UREIA ENZIMATICA</v>
      </c>
    </row>
    <row r="1153" spans="1:32" ht="14.25" customHeight="1">
      <c r="A1153" s="176" t="s">
        <v>7470</v>
      </c>
      <c r="B1153" s="176" t="s">
        <v>1687</v>
      </c>
      <c r="C1153" s="177">
        <v>44124</v>
      </c>
      <c r="D1153" s="176" t="s">
        <v>10192</v>
      </c>
      <c r="E1153" s="176" t="s">
        <v>3008</v>
      </c>
      <c r="F1153" s="259" t="s">
        <v>10211</v>
      </c>
      <c r="G1153" s="176">
        <v>1</v>
      </c>
      <c r="H1153" s="178" t="s">
        <v>10193</v>
      </c>
      <c r="I1153" s="592">
        <f t="shared" si="41"/>
        <v>1</v>
      </c>
      <c r="J1153" s="178"/>
      <c r="K1153" s="178"/>
      <c r="L1153" s="275" t="str">
        <f>IF(H:H=0,"",IF(ISERROR(VLOOKUP(H:H,produtos_escape2!$A$2:$B$2794,2,FALSE)),"Código não cadastrado",(VLOOKUP(H:H,produtos_escape2!$A$2:$B$2794,2,FALSE))))</f>
        <v>CONSERTO DE Caneta de Alta Rotação DABI ATLANTE EXTRA TORQUE 605 - GDF 708166</v>
      </c>
      <c r="M1153" s="593" t="str">
        <f>IF(H:H=0,"",IF(ISERROR(VLOOKUP(H:H,produtos_escape2!$A$2:$D$2794,2,FALSE)),"Código não cadastrado",(VLOOKUP(H:H,produtos_escape2!$A$2:$D$2794,4,FALSE))))</f>
        <v>Serviço</v>
      </c>
      <c r="N1153" s="486">
        <v>1</v>
      </c>
      <c r="O1153" s="176" t="s">
        <v>9711</v>
      </c>
      <c r="P1153" s="486">
        <v>1</v>
      </c>
      <c r="Q1153" s="247">
        <v>490</v>
      </c>
      <c r="R1153" s="246">
        <f t="shared" si="40"/>
        <v>490</v>
      </c>
      <c r="S1153" s="177">
        <v>44182</v>
      </c>
      <c r="T1153" s="182"/>
      <c r="U1153" s="177"/>
      <c r="V1153" s="177"/>
      <c r="W1153" s="177"/>
      <c r="X1153" s="176"/>
      <c r="Y1153" s="177"/>
      <c r="Z1153" s="415">
        <v>6</v>
      </c>
      <c r="AA1153" s="488"/>
      <c r="AB1153" s="594"/>
      <c r="AC1153" s="595"/>
      <c r="AD1153" s="596" t="str">
        <f>IF(AND(AC1153&lt;&gt;"",S1153&lt;&gt;""),NETWORKDAYS(AC1153,S1153,#REF!),"")</f>
        <v/>
      </c>
      <c r="AE1153" s="596" t="str">
        <f ca="1">IF(AND(AD1153="",AC1153=""),"",IF(OR(AD1153&lt;&gt;"",O1153="*CANCELADO"),"",NETWORKDAYS(AC1153,TODAY(),#REF!)))</f>
        <v/>
      </c>
      <c r="AF1153" s="597">
        <f>IFERROR(INDEX(produtos_escape2!M:M,MATCH(Controle!H1153,produtos_escape2!A:A,0)),"")</f>
        <v>0</v>
      </c>
    </row>
    <row r="1154" spans="1:32" ht="14.25" customHeight="1">
      <c r="A1154" s="176" t="s">
        <v>7470</v>
      </c>
      <c r="B1154" s="176" t="s">
        <v>1687</v>
      </c>
      <c r="C1154" s="177">
        <v>44124</v>
      </c>
      <c r="D1154" s="176" t="s">
        <v>10192</v>
      </c>
      <c r="E1154" s="176" t="s">
        <v>3008</v>
      </c>
      <c r="F1154" s="259" t="s">
        <v>10211</v>
      </c>
      <c r="G1154" s="176">
        <v>2</v>
      </c>
      <c r="H1154" s="178" t="s">
        <v>4028</v>
      </c>
      <c r="I1154" s="592">
        <f t="shared" si="41"/>
        <v>1</v>
      </c>
      <c r="J1154" s="178"/>
      <c r="K1154" s="178"/>
      <c r="L1154" s="275" t="str">
        <f>IF(H:H=0,"",IF(ISERROR(VLOOKUP(H:H,produtos_escape2!$A$2:$B$2794,2,FALSE)),"Código não cadastrado",(VLOOKUP(H:H,produtos_escape2!$A$2:$B$2794,2,FALSE))))</f>
        <v>CONSERTO DE Caneta de Alta Rotação Pat.: 708144</v>
      </c>
      <c r="M1154" s="593" t="str">
        <f>IF(H:H=0,"",IF(ISERROR(VLOOKUP(H:H,produtos_escape2!$A$2:$D$2794,2,FALSE)),"Código não cadastrado",(VLOOKUP(H:H,produtos_escape2!$A$2:$D$2794,4,FALSE))))</f>
        <v>Serviço</v>
      </c>
      <c r="N1154" s="486">
        <v>1</v>
      </c>
      <c r="O1154" s="176" t="s">
        <v>9711</v>
      </c>
      <c r="P1154" s="486">
        <v>1</v>
      </c>
      <c r="Q1154" s="247">
        <v>490</v>
      </c>
      <c r="R1154" s="246">
        <f t="shared" si="40"/>
        <v>490</v>
      </c>
      <c r="S1154" s="177">
        <v>44182</v>
      </c>
      <c r="T1154" s="182"/>
      <c r="U1154" s="177"/>
      <c r="V1154" s="177"/>
      <c r="W1154" s="177"/>
      <c r="X1154" s="176"/>
      <c r="Y1154" s="177"/>
      <c r="Z1154" s="415">
        <v>6</v>
      </c>
      <c r="AA1154" s="488"/>
      <c r="AB1154" s="594"/>
      <c r="AC1154" s="595"/>
      <c r="AD1154" s="596" t="str">
        <f>IF(AND(AC1154&lt;&gt;"",S1154&lt;&gt;""),NETWORKDAYS(AC1154,S1154,#REF!),"")</f>
        <v/>
      </c>
      <c r="AE1154" s="596" t="str">
        <f ca="1">IF(AND(AD1154="",AC1154=""),"",IF(OR(AD1154&lt;&gt;"",O1154="*CANCELADO"),"",NETWORKDAYS(AC1154,TODAY(),#REF!)))</f>
        <v/>
      </c>
      <c r="AF1154" s="597">
        <f>IFERROR(INDEX(produtos_escape2!M:M,MATCH(Controle!H1154,produtos_escape2!A:A,0)),"")</f>
        <v>0</v>
      </c>
    </row>
    <row r="1155" spans="1:32" ht="14.25" customHeight="1">
      <c r="A1155" s="176" t="s">
        <v>7470</v>
      </c>
      <c r="B1155" s="176" t="s">
        <v>1687</v>
      </c>
      <c r="C1155" s="177">
        <v>44124</v>
      </c>
      <c r="D1155" s="176" t="s">
        <v>10192</v>
      </c>
      <c r="E1155" s="176" t="s">
        <v>3008</v>
      </c>
      <c r="F1155" s="259" t="s">
        <v>10211</v>
      </c>
      <c r="G1155" s="176">
        <v>3</v>
      </c>
      <c r="H1155" s="178" t="s">
        <v>4027</v>
      </c>
      <c r="I1155" s="592">
        <f t="shared" si="41"/>
        <v>1</v>
      </c>
      <c r="J1155" s="178"/>
      <c r="K1155" s="178"/>
      <c r="L1155" s="275" t="str">
        <f>IF(H:H=0,"",IF(ISERROR(VLOOKUP(H:H,produtos_escape2!$A$2:$B$2794,2,FALSE)),"Código não cadastrado",(VLOOKUP(H:H,produtos_escape2!$A$2:$B$2794,2,FALSE))))</f>
        <v>CONSERTO DE Caneta de Alta Rotação Pat.: 708482</v>
      </c>
      <c r="M1155" s="593" t="str">
        <f>IF(H:H=0,"",IF(ISERROR(VLOOKUP(H:H,produtos_escape2!$A$2:$D$2794,2,FALSE)),"Código não cadastrado",(VLOOKUP(H:H,produtos_escape2!$A$2:$D$2794,4,FALSE))))</f>
        <v>Serviço</v>
      </c>
      <c r="N1155" s="486">
        <v>1</v>
      </c>
      <c r="O1155" s="176" t="s">
        <v>9711</v>
      </c>
      <c r="P1155" s="486">
        <v>1</v>
      </c>
      <c r="Q1155" s="247">
        <v>490</v>
      </c>
      <c r="R1155" s="246">
        <f t="shared" si="40"/>
        <v>490</v>
      </c>
      <c r="S1155" s="177">
        <v>44182</v>
      </c>
      <c r="T1155" s="182"/>
      <c r="U1155" s="177"/>
      <c r="V1155" s="177"/>
      <c r="W1155" s="177"/>
      <c r="X1155" s="176"/>
      <c r="Y1155" s="177"/>
      <c r="Z1155" s="415">
        <v>6</v>
      </c>
      <c r="AA1155" s="488"/>
      <c r="AB1155" s="594"/>
      <c r="AC1155" s="595"/>
      <c r="AD1155" s="596" t="str">
        <f>IF(AND(AC1155&lt;&gt;"",S1155&lt;&gt;""),NETWORKDAYS(AC1155,S1155,#REF!),"")</f>
        <v/>
      </c>
      <c r="AE1155" s="596" t="str">
        <f ca="1">IF(AND(AD1155="",AC1155=""),"",IF(OR(AD1155&lt;&gt;"",O1155="*CANCELADO"),"",NETWORKDAYS(AC1155,TODAY(),#REF!)))</f>
        <v/>
      </c>
      <c r="AF1155" s="597">
        <f>IFERROR(INDEX(produtos_escape2!M:M,MATCH(Controle!H1155,produtos_escape2!A:A,0)),"")</f>
        <v>0</v>
      </c>
    </row>
    <row r="1156" spans="1:32" ht="14.25" customHeight="1">
      <c r="A1156" s="176" t="s">
        <v>7455</v>
      </c>
      <c r="B1156" s="176" t="s">
        <v>1687</v>
      </c>
      <c r="C1156" s="177">
        <v>44124</v>
      </c>
      <c r="D1156" s="176" t="s">
        <v>10195</v>
      </c>
      <c r="E1156" s="176" t="s">
        <v>3008</v>
      </c>
      <c r="F1156" s="259" t="s">
        <v>10212</v>
      </c>
      <c r="G1156" s="176">
        <v>1</v>
      </c>
      <c r="H1156" s="178" t="s">
        <v>7850</v>
      </c>
      <c r="I1156" s="592">
        <f t="shared" si="41"/>
        <v>3</v>
      </c>
      <c r="J1156" s="178"/>
      <c r="K1156" s="178"/>
      <c r="L1156" s="275" t="str">
        <f>IF(H:H=0,"",IF(ISERROR(VLOOKUP(H:H,produtos_escape2!$A$2:$B$2794,2,FALSE)),"Código não cadastrado",(VLOOKUP(H:H,produtos_escape2!$A$2:$B$2794,2,FALSE))))</f>
        <v xml:space="preserve">CONSERTO DE Conjunto de Perfuradores, Marca STRYKER, Nº. Patrimônio 1405495 (4 itens)
</v>
      </c>
      <c r="M1156" s="593" t="str">
        <f>IF(H:H=0,"",IF(ISERROR(VLOOKUP(H:H,produtos_escape2!$A$2:$D$2794,2,FALSE)),"Código não cadastrado",(VLOOKUP(H:H,produtos_escape2!$A$2:$D$2794,4,FALSE))))</f>
        <v>Serviço</v>
      </c>
      <c r="N1156" s="486">
        <v>1</v>
      </c>
      <c r="O1156" s="176" t="s">
        <v>1868</v>
      </c>
      <c r="P1156" s="486"/>
      <c r="Q1156" s="247"/>
      <c r="R1156" s="246">
        <f t="shared" si="40"/>
        <v>0</v>
      </c>
      <c r="S1156" s="177"/>
      <c r="T1156" s="182"/>
      <c r="U1156" s="177"/>
      <c r="V1156" s="177"/>
      <c r="W1156" s="177"/>
      <c r="X1156" s="176"/>
      <c r="Y1156" s="177"/>
      <c r="Z1156" s="415">
        <v>6</v>
      </c>
      <c r="AA1156" s="488" t="s">
        <v>10634</v>
      </c>
      <c r="AB1156" s="594"/>
      <c r="AC1156" s="595"/>
      <c r="AD1156" s="596" t="str">
        <f>IF(AND(AC1156&lt;&gt;"",S1156&lt;&gt;""),NETWORKDAYS(AC1156,S1156,#REF!),"")</f>
        <v/>
      </c>
      <c r="AE1156" s="596" t="str">
        <f ca="1">IF(AND(AD1156="",AC1156=""),"",IF(OR(AD1156&lt;&gt;"",O1156="*CANCELADO"),"",NETWORKDAYS(AC1156,TODAY(),#REF!)))</f>
        <v/>
      </c>
      <c r="AF1156" s="597">
        <f>IFERROR(INDEX(produtos_escape2!M:M,MATCH(Controle!H1156,produtos_escape2!A:A,0)),"")</f>
        <v>0</v>
      </c>
    </row>
    <row r="1157" spans="1:32" ht="14.25" customHeight="1">
      <c r="A1157" s="176" t="s">
        <v>7454</v>
      </c>
      <c r="B1157" s="176" t="s">
        <v>1687</v>
      </c>
      <c r="C1157" s="177">
        <v>44124</v>
      </c>
      <c r="D1157" s="176" t="s">
        <v>10199</v>
      </c>
      <c r="E1157" s="176" t="s">
        <v>3008</v>
      </c>
      <c r="F1157" s="259" t="s">
        <v>10213</v>
      </c>
      <c r="G1157" s="176">
        <v>1</v>
      </c>
      <c r="H1157" s="178" t="s">
        <v>3930</v>
      </c>
      <c r="I1157" s="592">
        <f t="shared" si="41"/>
        <v>1</v>
      </c>
      <c r="J1157" s="178"/>
      <c r="K1157" s="178"/>
      <c r="L1157" s="275" t="str">
        <f>IF(H:H=0,"",IF(ISERROR(VLOOKUP(H:H,produtos_escape2!$A$2:$B$2794,2,FALSE)),"Código não cadastrado",(VLOOKUP(H:H,produtos_escape2!$A$2:$B$2794,2,FALSE))))</f>
        <v>Conserto de uma centrifuga da marca FANEM, n°de Patrimônio 1152312​ MOD. 206 BL</v>
      </c>
      <c r="M1157" s="593" t="str">
        <f>IF(H:H=0,"",IF(ISERROR(VLOOKUP(H:H,produtos_escape2!$A$2:$D$2794,2,FALSE)),"Código não cadastrado",(VLOOKUP(H:H,produtos_escape2!$A$2:$D$2794,4,FALSE))))</f>
        <v>Serviço</v>
      </c>
      <c r="N1157" s="486">
        <v>1</v>
      </c>
      <c r="O1157" s="176" t="s">
        <v>8252</v>
      </c>
      <c r="P1157" s="486">
        <v>1</v>
      </c>
      <c r="Q1157" s="247">
        <v>2894.1</v>
      </c>
      <c r="R1157" s="246">
        <f t="shared" si="40"/>
        <v>2894.1</v>
      </c>
      <c r="S1157" s="177">
        <v>44182</v>
      </c>
      <c r="T1157" s="182"/>
      <c r="U1157" s="177"/>
      <c r="V1157" s="177"/>
      <c r="W1157" s="177"/>
      <c r="X1157" s="176"/>
      <c r="Y1157" s="177"/>
      <c r="Z1157" s="415">
        <v>6</v>
      </c>
      <c r="AA1157" s="488"/>
      <c r="AB1157" s="594"/>
      <c r="AC1157" s="595"/>
      <c r="AD1157" s="596" t="str">
        <f>IF(AND(AC1157&lt;&gt;"",S1157&lt;&gt;""),NETWORKDAYS(AC1157,S1157,#REF!),"")</f>
        <v/>
      </c>
      <c r="AE1157" s="596" t="str">
        <f ca="1">IF(AND(AD1157="",AC1157=""),"",IF(OR(AD1157&lt;&gt;"",O1157="*CANCELADO"),"",NETWORKDAYS(AC1157,TODAY(),#REF!)))</f>
        <v/>
      </c>
      <c r="AF1157" s="597">
        <f>IFERROR(INDEX(produtos_escape2!M:M,MATCH(Controle!H1157,produtos_escape2!A:A,0)),"")</f>
        <v>0</v>
      </c>
    </row>
    <row r="1158" spans="1:32" ht="14.25" customHeight="1">
      <c r="A1158" s="176" t="s">
        <v>9464</v>
      </c>
      <c r="B1158" s="176" t="s">
        <v>3608</v>
      </c>
      <c r="C1158" s="177">
        <v>44126</v>
      </c>
      <c r="D1158" s="176" t="s">
        <v>10215</v>
      </c>
      <c r="E1158" s="176" t="s">
        <v>1867</v>
      </c>
      <c r="F1158" s="259" t="s">
        <v>10214</v>
      </c>
      <c r="G1158" s="176">
        <v>1</v>
      </c>
      <c r="H1158" s="178">
        <v>95774</v>
      </c>
      <c r="I1158" s="592">
        <f t="shared" si="41"/>
        <v>4</v>
      </c>
      <c r="J1158" s="178" t="s">
        <v>816</v>
      </c>
      <c r="K1158" s="178" t="s">
        <v>816</v>
      </c>
      <c r="L1158" s="275"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1158" s="593" t="str">
        <f>IF(H:H=0,"",IF(ISERROR(VLOOKUP(H:H,produtos_escape2!$A$2:$D$2794,2,FALSE)),"Código não cadastrado",(VLOOKUP(H:H,produtos_escape2!$A$2:$D$2794,4,FALSE))))</f>
        <v>TE</v>
      </c>
      <c r="N1158" s="486">
        <v>1000</v>
      </c>
      <c r="O1158" s="176" t="s">
        <v>9278</v>
      </c>
      <c r="P1158" s="486">
        <v>970</v>
      </c>
      <c r="Q1158" s="247">
        <v>2.33</v>
      </c>
      <c r="R1158" s="246">
        <f t="shared" si="40"/>
        <v>2260.1</v>
      </c>
      <c r="S1158" s="177">
        <v>44131</v>
      </c>
      <c r="T1158" s="182">
        <v>158704</v>
      </c>
      <c r="U1158" s="177">
        <v>44134</v>
      </c>
      <c r="V1158" s="177">
        <v>44140</v>
      </c>
      <c r="W1158" s="177">
        <v>44148</v>
      </c>
      <c r="X1158" s="176">
        <v>31591</v>
      </c>
      <c r="Y1158" s="177">
        <v>44167</v>
      </c>
      <c r="Z1158" s="415">
        <v>6</v>
      </c>
      <c r="AA1158" s="488"/>
      <c r="AB1158" s="594"/>
      <c r="AC1158" s="595"/>
      <c r="AD1158" s="596" t="str">
        <f>IF(AND(AC1158&lt;&gt;"",S1158&lt;&gt;""),NETWORKDAYS(AC1158,S1158,#REF!),"")</f>
        <v/>
      </c>
      <c r="AE1158" s="596" t="str">
        <f ca="1">IF(AND(AD1158="",AC1158=""),"",IF(OR(AD1158&lt;&gt;"",O1158="*CANCELADO"),"",NETWORKDAYS(AC1158,TODAY(),#REF!)))</f>
        <v/>
      </c>
      <c r="AF1158" s="597" t="str">
        <f>IFERROR(INDEX(produtos_escape2!M:M,MATCH(Controle!H1158,produtos_escape2!A:A,0)),"")</f>
        <v>CONJUNTO PARA DETERMINAÇAO DE AMILASE CINETICO</v>
      </c>
    </row>
    <row r="1159" spans="1:32" ht="14.25" customHeight="1">
      <c r="A1159" s="641"/>
      <c r="B1159" s="641"/>
      <c r="C1159" s="641"/>
      <c r="D1159" s="641" t="s">
        <v>10241</v>
      </c>
      <c r="E1159" s="641"/>
      <c r="F1159" s="641" t="s">
        <v>10232</v>
      </c>
      <c r="G1159" s="641"/>
      <c r="H1159" s="178"/>
      <c r="I1159" s="640">
        <f t="shared" si="41"/>
        <v>0</v>
      </c>
      <c r="J1159" s="560"/>
      <c r="K1159" s="560"/>
      <c r="L1159" s="641" t="s">
        <v>10241</v>
      </c>
      <c r="M1159" s="642" t="str">
        <f>IF(H:H=0,"",IF(ISERROR(VLOOKUP(H:H,produtos_escape2!$A$2:$D$2794,2,FALSE)),"Código não cadastrado",(VLOOKUP(H:H,produtos_escape2!$A$2:$D$2794,4,FALSE))))</f>
        <v/>
      </c>
      <c r="N1159" s="643"/>
      <c r="O1159" s="560"/>
      <c r="P1159" s="643"/>
      <c r="Q1159" s="644">
        <v>995.77</v>
      </c>
      <c r="R1159" s="645">
        <f t="shared" si="40"/>
        <v>0</v>
      </c>
      <c r="S1159" s="639"/>
      <c r="T1159" s="646"/>
      <c r="U1159" s="639"/>
      <c r="V1159" s="639"/>
      <c r="W1159" s="639"/>
      <c r="X1159" s="560"/>
      <c r="Y1159" s="639"/>
      <c r="Z1159" s="415">
        <v>6</v>
      </c>
      <c r="AA1159" s="647" t="s">
        <v>10241</v>
      </c>
      <c r="AB1159" s="648"/>
      <c r="AC1159" s="649"/>
      <c r="AD1159" s="650" t="str">
        <f>IF(AND(AC1159&lt;&gt;"",S1159&lt;&gt;""),NETWORKDAYS(AC1159,S1159,#REF!),"")</f>
        <v/>
      </c>
      <c r="AE1159" s="650" t="str">
        <f ca="1">IF(AND(AD1159="",AC1159=""),"",IF(OR(AD1159&lt;&gt;"",O1159="*CANCELADO"),"",NETWORKDAYS(AC1159,TODAY(),#REF!)))</f>
        <v/>
      </c>
      <c r="AF1159" s="597" t="str">
        <f>IFERROR(INDEX(produtos_escape2!M:M,MATCH(Controle!H1159,produtos_escape2!A:A,0)),"")</f>
        <v/>
      </c>
    </row>
    <row r="1160" spans="1:32" ht="14.25" customHeight="1">
      <c r="A1160" s="176" t="s">
        <v>9468</v>
      </c>
      <c r="B1160" s="176" t="s">
        <v>3608</v>
      </c>
      <c r="C1160" s="177">
        <v>44132</v>
      </c>
      <c r="D1160" s="176" t="s">
        <v>10236</v>
      </c>
      <c r="E1160" s="176" t="s">
        <v>1866</v>
      </c>
      <c r="F1160" s="259" t="s">
        <v>10237</v>
      </c>
      <c r="G1160" s="176">
        <v>1</v>
      </c>
      <c r="H1160" s="178">
        <v>92408</v>
      </c>
      <c r="I1160" s="592">
        <f t="shared" si="41"/>
        <v>4</v>
      </c>
      <c r="J1160" s="178" t="s">
        <v>816</v>
      </c>
      <c r="K1160" s="178" t="s">
        <v>816</v>
      </c>
      <c r="L1160" s="275"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1160" s="593" t="str">
        <f>IF(H:H=0,"",IF(ISERROR(VLOOKUP(H:H,produtos_escape2!$A$2:$D$2794,2,FALSE)),"Código não cadastrado",(VLOOKUP(H:H,produtos_escape2!$A$2:$D$2794,4,FALSE))))</f>
        <v>UN</v>
      </c>
      <c r="N1160" s="486">
        <v>41000</v>
      </c>
      <c r="O1160" s="176" t="s">
        <v>7371</v>
      </c>
      <c r="P1160" s="486">
        <v>8000</v>
      </c>
      <c r="Q1160" s="247">
        <v>0.47199999999999998</v>
      </c>
      <c r="R1160" s="246">
        <f t="shared" si="40"/>
        <v>3776</v>
      </c>
      <c r="S1160" s="177">
        <v>44133</v>
      </c>
      <c r="T1160" s="182">
        <v>392917</v>
      </c>
      <c r="U1160" s="177">
        <v>44133</v>
      </c>
      <c r="V1160" s="177">
        <v>44134</v>
      </c>
      <c r="W1160" s="177">
        <v>44139</v>
      </c>
      <c r="X1160" s="176">
        <v>31609</v>
      </c>
      <c r="Y1160" s="177">
        <v>44167</v>
      </c>
      <c r="Z1160" s="415">
        <v>6</v>
      </c>
      <c r="AA1160" s="488"/>
      <c r="AB1160" s="594"/>
      <c r="AC1160" s="595"/>
      <c r="AD1160" s="596" t="str">
        <f>IF(AND(AC1160&lt;&gt;"",S1160&lt;&gt;""),NETWORKDAYS(AC1160,S1160,#REF!),"")</f>
        <v/>
      </c>
      <c r="AE1160" s="596" t="str">
        <f ca="1">IF(AND(AD1160="",AC1160=""),"",IF(OR(AD1160&lt;&gt;"",O1160="*CANCELADO"),"",NETWORKDAYS(AC1160,TODAY(),#REF!)))</f>
        <v/>
      </c>
      <c r="AF1160" s="597" t="str">
        <f>IFERROR(INDEX(produtos_escape2!M:M,MATCH(Controle!H1160,produtos_escape2!A:A,0)),"")</f>
        <v>LUVA DE PROCEDIMENTO NÃO ESTÉRIL DE LÁTEX TAMANHO "M"</v>
      </c>
    </row>
    <row r="1161" spans="1:32" ht="14.25" customHeight="1">
      <c r="A1161" s="176" t="s">
        <v>9385</v>
      </c>
      <c r="B1161" s="176" t="s">
        <v>3608</v>
      </c>
      <c r="C1161" s="177">
        <v>44113</v>
      </c>
      <c r="D1161" s="176" t="s">
        <v>10159</v>
      </c>
      <c r="E1161" s="176" t="s">
        <v>1866</v>
      </c>
      <c r="F1161" s="259" t="s">
        <v>10279</v>
      </c>
      <c r="G1161" s="176">
        <v>1</v>
      </c>
      <c r="H1161" s="178">
        <v>36169</v>
      </c>
      <c r="I1161" s="592">
        <f t="shared" si="41"/>
        <v>6</v>
      </c>
      <c r="J1161" s="178" t="s">
        <v>816</v>
      </c>
      <c r="K1161" s="178" t="s">
        <v>816</v>
      </c>
      <c r="L1161" s="275"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161" s="593" t="str">
        <f>IF(H:H=0,"",IF(ISERROR(VLOOKUP(H:H,produtos_escape2!$A$2:$D$2794,2,FALSE)),"Código não cadastrado",(VLOOKUP(H:H,produtos_escape2!$A$2:$D$2794,4,FALSE))))</f>
        <v>UN</v>
      </c>
      <c r="N1161" s="486">
        <v>5000</v>
      </c>
      <c r="O1161" s="176" t="s">
        <v>1868</v>
      </c>
      <c r="P1161" s="486"/>
      <c r="Q1161" s="247">
        <v>0.65</v>
      </c>
      <c r="R1161" s="246">
        <f t="shared" si="40"/>
        <v>0</v>
      </c>
      <c r="S1161" s="177">
        <v>44153</v>
      </c>
      <c r="T1161" s="182"/>
      <c r="U1161" s="177"/>
      <c r="V1161" s="177"/>
      <c r="W1161" s="177"/>
      <c r="X1161" s="176"/>
      <c r="Y1161" s="177"/>
      <c r="Z1161" s="415">
        <v>6</v>
      </c>
      <c r="AA1161" s="488" t="s">
        <v>10394</v>
      </c>
      <c r="AB1161" s="594"/>
      <c r="AC1161" s="595"/>
      <c r="AD1161" s="596" t="str">
        <f>IF(AND(AC1161&lt;&gt;"",S1161&lt;&gt;""),NETWORKDAYS(AC1161,S1161,#REF!),"")</f>
        <v/>
      </c>
      <c r="AE1161" s="596" t="str">
        <f ca="1">IF(AND(AD1161="",AC1161=""),"",IF(OR(AD1161&lt;&gt;"",O1161="*CANCELADO"),"",NETWORKDAYS(AC1161,TODAY(),#REF!)))</f>
        <v/>
      </c>
      <c r="AF1161" s="597" t="str">
        <f>IFERROR(INDEX(produtos_escape2!M:M,MATCH(Controle!H1161,produtos_escape2!A:A,0)),"")</f>
        <v>LUVA NITRÍLICA M</v>
      </c>
    </row>
    <row r="1162" spans="1:32" ht="14.25" customHeight="1">
      <c r="A1162" s="176" t="s">
        <v>9466</v>
      </c>
      <c r="B1162" s="176" t="s">
        <v>3608</v>
      </c>
      <c r="C1162" s="177">
        <v>44133</v>
      </c>
      <c r="D1162" s="176" t="s">
        <v>10250</v>
      </c>
      <c r="E1162" s="176" t="s">
        <v>1866</v>
      </c>
      <c r="F1162" s="259" t="s">
        <v>10280</v>
      </c>
      <c r="G1162" s="176">
        <v>1</v>
      </c>
      <c r="H1162" s="178">
        <v>92401</v>
      </c>
      <c r="I1162" s="592">
        <f t="shared" si="41"/>
        <v>9</v>
      </c>
      <c r="J1162" s="178" t="s">
        <v>816</v>
      </c>
      <c r="K1162" s="178" t="s">
        <v>816</v>
      </c>
      <c r="L1162" s="275"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62" s="593" t="str">
        <f>IF(H:H=0,"",IF(ISERROR(VLOOKUP(H:H,produtos_escape2!$A$2:$D$2794,2,FALSE)),"Código não cadastrado",(VLOOKUP(H:H,produtos_escape2!$A$2:$D$2794,4,FALSE))))</f>
        <v>PAR</v>
      </c>
      <c r="N1162" s="486">
        <v>5000</v>
      </c>
      <c r="O1162" s="176" t="s">
        <v>7268</v>
      </c>
      <c r="P1162" s="486">
        <v>5000</v>
      </c>
      <c r="Q1162" s="247">
        <v>1.23</v>
      </c>
      <c r="R1162" s="246">
        <f t="shared" si="40"/>
        <v>6150</v>
      </c>
      <c r="S1162" s="177">
        <v>44148</v>
      </c>
      <c r="T1162" s="182">
        <v>16294</v>
      </c>
      <c r="U1162" s="177">
        <v>44148</v>
      </c>
      <c r="V1162" s="177">
        <v>44148</v>
      </c>
      <c r="W1162" s="177">
        <v>44152</v>
      </c>
      <c r="X1162" s="176">
        <v>31618</v>
      </c>
      <c r="Y1162" s="177">
        <v>44167</v>
      </c>
      <c r="Z1162" s="415">
        <v>6</v>
      </c>
      <c r="AA1162" s="488" t="s">
        <v>10284</v>
      </c>
      <c r="AB1162" s="594"/>
      <c r="AC1162" s="595"/>
      <c r="AD1162" s="596" t="str">
        <f>IF(AND(AC1162&lt;&gt;"",S1162&lt;&gt;""),NETWORKDAYS(AC1162,S1162,#REF!),"")</f>
        <v/>
      </c>
      <c r="AE1162" s="596" t="str">
        <f ca="1">IF(AND(AD1162="",AC1162=""),"",IF(OR(AD1162&lt;&gt;"",O1162="*CANCELADO"),"",NETWORKDAYS(AC1162,TODAY(),#REF!)))</f>
        <v/>
      </c>
      <c r="AF1162" s="597" t="str">
        <f>IFERROR(INDEX(produtos_escape2!M:M,MATCH(Controle!H1162,produtos_escape2!A:A,0)),"")</f>
        <v>LUVA CIRURGICA CONVENCIONAL Nº 7</v>
      </c>
    </row>
    <row r="1163" spans="1:32" ht="14.25" customHeight="1">
      <c r="A1163" s="176" t="s">
        <v>9466</v>
      </c>
      <c r="B1163" s="176" t="s">
        <v>3608</v>
      </c>
      <c r="C1163" s="177">
        <v>44133</v>
      </c>
      <c r="D1163" s="176" t="s">
        <v>10250</v>
      </c>
      <c r="E1163" s="176" t="s">
        <v>1866</v>
      </c>
      <c r="F1163" s="259" t="s">
        <v>10280</v>
      </c>
      <c r="G1163" s="176">
        <v>2</v>
      </c>
      <c r="H1163" s="178">
        <v>92402</v>
      </c>
      <c r="I1163" s="592">
        <f t="shared" si="41"/>
        <v>9</v>
      </c>
      <c r="J1163" s="178" t="s">
        <v>816</v>
      </c>
      <c r="K1163" s="178" t="s">
        <v>816</v>
      </c>
      <c r="L1163" s="275"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63" s="593" t="str">
        <f>IF(H:H=0,"",IF(ISERROR(VLOOKUP(H:H,produtos_escape2!$A$2:$D$2794,2,FALSE)),"Código não cadastrado",(VLOOKUP(H:H,produtos_escape2!$A$2:$D$2794,4,FALSE))))</f>
        <v>PAR</v>
      </c>
      <c r="N1163" s="486">
        <v>5000</v>
      </c>
      <c r="O1163" s="176" t="s">
        <v>7268</v>
      </c>
      <c r="P1163" s="486">
        <v>5000</v>
      </c>
      <c r="Q1163" s="247">
        <v>1.23</v>
      </c>
      <c r="R1163" s="246">
        <f t="shared" si="40"/>
        <v>6150</v>
      </c>
      <c r="S1163" s="177">
        <v>44148</v>
      </c>
      <c r="T1163" s="182">
        <v>16294</v>
      </c>
      <c r="U1163" s="177">
        <v>44148</v>
      </c>
      <c r="V1163" s="177">
        <v>44148</v>
      </c>
      <c r="W1163" s="177">
        <v>44152</v>
      </c>
      <c r="X1163" s="176">
        <v>31618</v>
      </c>
      <c r="Y1163" s="177">
        <v>44167</v>
      </c>
      <c r="Z1163" s="415">
        <v>6</v>
      </c>
      <c r="AA1163" s="488" t="s">
        <v>10284</v>
      </c>
      <c r="AB1163" s="594"/>
      <c r="AC1163" s="595"/>
      <c r="AD1163" s="596" t="str">
        <f>IF(AND(AC1163&lt;&gt;"",S1163&lt;&gt;""),NETWORKDAYS(AC1163,S1163,#REF!),"")</f>
        <v/>
      </c>
      <c r="AE1163" s="596" t="str">
        <f ca="1">IF(AND(AD1163="",AC1163=""),"",IF(OR(AD1163&lt;&gt;"",O1163="*CANCELADO"),"",NETWORKDAYS(AC1163,TODAY(),#REF!)))</f>
        <v/>
      </c>
      <c r="AF1163" s="597" t="str">
        <f>IFERROR(INDEX(produtos_escape2!M:M,MATCH(Controle!H1163,produtos_escape2!A:A,0)),"")</f>
        <v>LUVA CIRURGICA CONVENCIONAL Nº 7</v>
      </c>
    </row>
    <row r="1164" spans="1:32" ht="14.25" customHeight="1">
      <c r="A1164" s="176" t="s">
        <v>9466</v>
      </c>
      <c r="B1164" s="176" t="s">
        <v>3608</v>
      </c>
      <c r="C1164" s="177">
        <v>44133</v>
      </c>
      <c r="D1164" s="176" t="s">
        <v>10250</v>
      </c>
      <c r="E1164" s="176" t="s">
        <v>1866</v>
      </c>
      <c r="F1164" s="259" t="s">
        <v>10280</v>
      </c>
      <c r="G1164" s="176">
        <v>3</v>
      </c>
      <c r="H1164" s="178">
        <v>92403</v>
      </c>
      <c r="I1164" s="592">
        <f t="shared" si="41"/>
        <v>10</v>
      </c>
      <c r="J1164" s="178" t="s">
        <v>816</v>
      </c>
      <c r="K1164" s="178" t="s">
        <v>816</v>
      </c>
      <c r="L1164" s="275"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64" s="593" t="str">
        <f>IF(H:H=0,"",IF(ISERROR(VLOOKUP(H:H,produtos_escape2!$A$2:$D$2794,2,FALSE)),"Código não cadastrado",(VLOOKUP(H:H,produtos_escape2!$A$2:$D$2794,4,FALSE))))</f>
        <v>PAR</v>
      </c>
      <c r="N1164" s="486">
        <v>5000</v>
      </c>
      <c r="O1164" s="176" t="s">
        <v>7337</v>
      </c>
      <c r="P1164" s="486">
        <v>5000</v>
      </c>
      <c r="Q1164" s="247">
        <v>1.25</v>
      </c>
      <c r="R1164" s="246">
        <f t="shared" si="40"/>
        <v>6250</v>
      </c>
      <c r="S1164" s="177">
        <v>44148</v>
      </c>
      <c r="T1164" s="182">
        <v>12571</v>
      </c>
      <c r="U1164" s="177">
        <v>44148</v>
      </c>
      <c r="V1164" s="177">
        <v>44148</v>
      </c>
      <c r="W1164" s="177">
        <v>44152</v>
      </c>
      <c r="X1164" s="176">
        <v>31624</v>
      </c>
      <c r="Y1164" s="177">
        <v>44167</v>
      </c>
      <c r="Z1164" s="415">
        <v>6</v>
      </c>
      <c r="AA1164" s="488" t="s">
        <v>10284</v>
      </c>
      <c r="AB1164" s="594"/>
      <c r="AC1164" s="595"/>
      <c r="AD1164" s="596" t="str">
        <f>IF(AND(AC1164&lt;&gt;"",S1164&lt;&gt;""),NETWORKDAYS(AC1164,S1164,#REF!),"")</f>
        <v/>
      </c>
      <c r="AE1164" s="596" t="str">
        <f ca="1">IF(AND(AD1164="",AC1164=""),"",IF(OR(AD1164&lt;&gt;"",O1164="*CANCELADO"),"",NETWORKDAYS(AC1164,TODAY(),#REF!)))</f>
        <v/>
      </c>
      <c r="AF1164" s="597" t="str">
        <f>IFERROR(INDEX(produtos_escape2!M:M,MATCH(Controle!H1164,produtos_escape2!A:A,0)),"")</f>
        <v>LUVA CIRURGICA CONVENCIONAL Nº 8</v>
      </c>
    </row>
    <row r="1165" spans="1:32" ht="14.25" customHeight="1">
      <c r="A1165" s="176" t="s">
        <v>9466</v>
      </c>
      <c r="B1165" s="176" t="s">
        <v>3608</v>
      </c>
      <c r="C1165" s="177">
        <v>44133</v>
      </c>
      <c r="D1165" s="176" t="s">
        <v>10250</v>
      </c>
      <c r="E1165" s="176" t="s">
        <v>1866</v>
      </c>
      <c r="F1165" s="259" t="s">
        <v>10280</v>
      </c>
      <c r="G1165" s="176">
        <v>4</v>
      </c>
      <c r="H1165" s="178">
        <v>92400</v>
      </c>
      <c r="I1165" s="592">
        <f t="shared" si="41"/>
        <v>5</v>
      </c>
      <c r="J1165" s="178" t="s">
        <v>816</v>
      </c>
      <c r="K1165" s="178" t="s">
        <v>816</v>
      </c>
      <c r="L1165" s="275" t="str">
        <f>IF(H:H=0,"",IF(ISERROR(VLOOKUP(H:H,produtos_escape2!$A$2:$B$2794,2,FALSE)),"Código não cadastrado",(VLOOKUP(H:H,produtos_escape2!$A$2:$B$2794,2,FALSE))))</f>
        <v xml:space="preserve">LUVA CIRURGICA CONVENCIONAL Nº 8,5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65" s="593" t="str">
        <f>IF(H:H=0,"",IF(ISERROR(VLOOKUP(H:H,produtos_escape2!$A$2:$D$2794,2,FALSE)),"Código não cadastrado",(VLOOKUP(H:H,produtos_escape2!$A$2:$D$2794,4,FALSE))))</f>
        <v>PAR</v>
      </c>
      <c r="N1165" s="486">
        <v>3000</v>
      </c>
      <c r="O1165" s="176" t="s">
        <v>7268</v>
      </c>
      <c r="P1165" s="486">
        <v>3000</v>
      </c>
      <c r="Q1165" s="247">
        <v>1.18</v>
      </c>
      <c r="R1165" s="246">
        <f t="shared" si="40"/>
        <v>3540</v>
      </c>
      <c r="S1165" s="177">
        <v>44148</v>
      </c>
      <c r="T1165" s="182">
        <v>16294</v>
      </c>
      <c r="U1165" s="177">
        <v>44148</v>
      </c>
      <c r="V1165" s="177">
        <v>44148</v>
      </c>
      <c r="W1165" s="177">
        <v>44152</v>
      </c>
      <c r="X1165" s="176">
        <v>31618</v>
      </c>
      <c r="Y1165" s="177">
        <v>44167</v>
      </c>
      <c r="Z1165" s="415">
        <v>6</v>
      </c>
      <c r="AA1165" s="488" t="s">
        <v>10284</v>
      </c>
      <c r="AB1165" s="594"/>
      <c r="AC1165" s="595"/>
      <c r="AD1165" s="596" t="str">
        <f>IF(AND(AC1165&lt;&gt;"",S1165&lt;&gt;""),NETWORKDAYS(AC1165,S1165,#REF!),"")</f>
        <v/>
      </c>
      <c r="AE1165" s="596" t="str">
        <f ca="1">IF(AND(AD1165="",AC1165=""),"",IF(OR(AD1165&lt;&gt;"",O1165="*CANCELADO"),"",NETWORKDAYS(AC1165,TODAY(),#REF!)))</f>
        <v/>
      </c>
      <c r="AF1165" s="597" t="str">
        <f>IFERROR(INDEX(produtos_escape2!M:M,MATCH(Controle!H1165,produtos_escape2!A:A,0)),"")</f>
        <v>LUVA CIRURGICA CONVENCIONAL Nº 8,5</v>
      </c>
    </row>
    <row r="1166" spans="1:32" ht="14.25" customHeight="1">
      <c r="A1166" s="176" t="s">
        <v>9466</v>
      </c>
      <c r="B1166" s="176" t="s">
        <v>3608</v>
      </c>
      <c r="C1166" s="177">
        <v>44133</v>
      </c>
      <c r="D1166" s="176" t="s">
        <v>10250</v>
      </c>
      <c r="E1166" s="176" t="s">
        <v>1866</v>
      </c>
      <c r="F1166" s="259" t="s">
        <v>10280</v>
      </c>
      <c r="G1166" s="176">
        <v>5</v>
      </c>
      <c r="H1166" s="178">
        <v>92410</v>
      </c>
      <c r="I1166" s="592">
        <f t="shared" si="41"/>
        <v>7</v>
      </c>
      <c r="J1166" s="178" t="s">
        <v>816</v>
      </c>
      <c r="K1166" s="178" t="s">
        <v>816</v>
      </c>
      <c r="L1166" s="275" t="str">
        <f>IF(H:H=0,"",IF(ISERROR(VLOOKUP(H:H,produtos_escape2!$A$2:$B$2794,2,FALSE)),"Código não cadastrado",(VLOOKUP(H:H,produtos_escape2!$A$2:$B$2794,2,FALSE))))</f>
        <v xml:space="preserve">LUVA CIRURGICA CONVENCIONAL Nº 6,5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166" s="593" t="str">
        <f>IF(H:H=0,"",IF(ISERROR(VLOOKUP(H:H,produtos_escape2!$A$2:$D$2794,2,FALSE)),"Código não cadastrado",(VLOOKUP(H:H,produtos_escape2!$A$2:$D$2794,4,FALSE))))</f>
        <v>PAR</v>
      </c>
      <c r="N1166" s="486">
        <v>3000</v>
      </c>
      <c r="O1166" s="176" t="s">
        <v>7337</v>
      </c>
      <c r="P1166" s="486">
        <v>3000</v>
      </c>
      <c r="Q1166" s="247">
        <v>1.25</v>
      </c>
      <c r="R1166" s="246">
        <f t="shared" si="40"/>
        <v>3750</v>
      </c>
      <c r="S1166" s="177">
        <v>44148</v>
      </c>
      <c r="T1166" s="182">
        <v>12571</v>
      </c>
      <c r="U1166" s="177">
        <v>44148</v>
      </c>
      <c r="V1166" s="177">
        <v>44148</v>
      </c>
      <c r="W1166" s="177">
        <v>44152</v>
      </c>
      <c r="X1166" s="176">
        <v>31624</v>
      </c>
      <c r="Y1166" s="177">
        <v>44167</v>
      </c>
      <c r="Z1166" s="415">
        <v>6</v>
      </c>
      <c r="AA1166" s="488" t="s">
        <v>10284</v>
      </c>
      <c r="AB1166" s="594"/>
      <c r="AC1166" s="595"/>
      <c r="AD1166" s="596" t="str">
        <f>IF(AND(AC1166&lt;&gt;"",S1166&lt;&gt;""),NETWORKDAYS(AC1166,S1166,#REF!),"")</f>
        <v/>
      </c>
      <c r="AE1166" s="596" t="str">
        <f ca="1">IF(AND(AD1166="",AC1166=""),"",IF(OR(AD1166&lt;&gt;"",O1166="*CANCELADO"),"",NETWORKDAYS(AC1166,TODAY(),#REF!)))</f>
        <v/>
      </c>
      <c r="AF1166" s="597" t="str">
        <f>IFERROR(INDEX(produtos_escape2!M:M,MATCH(Controle!H1166,produtos_escape2!A:A,0)),"")</f>
        <v>LUVA CIRURGICA CONVENCIONAL Nº 6,5</v>
      </c>
    </row>
    <row r="1167" spans="1:32" ht="14.25" customHeight="1">
      <c r="A1167" s="176" t="s">
        <v>9466</v>
      </c>
      <c r="B1167" s="176" t="s">
        <v>3608</v>
      </c>
      <c r="C1167" s="177">
        <v>44133</v>
      </c>
      <c r="D1167" s="176" t="s">
        <v>10250</v>
      </c>
      <c r="E1167" s="176" t="s">
        <v>1866</v>
      </c>
      <c r="F1167" s="259" t="s">
        <v>10280</v>
      </c>
      <c r="G1167" s="176">
        <v>6</v>
      </c>
      <c r="H1167" s="178">
        <v>92409</v>
      </c>
      <c r="I1167" s="592">
        <f t="shared" si="41"/>
        <v>3</v>
      </c>
      <c r="J1167" s="178" t="s">
        <v>816</v>
      </c>
      <c r="K1167" s="178" t="s">
        <v>816</v>
      </c>
      <c r="L1167" s="275" t="str">
        <f>IF(H:H=0,"",IF(ISERROR(VLOOKUP(H:H,produtos_escape2!$A$2:$B$2794,2,FALSE)),"Código não cadastrado",(VLOOKUP(H:H,produtos_escape2!$A$2:$B$2794,2,FALSE))))</f>
        <v>LUVA DE PROCEDIMENTO NÃO ESTÉRIL DE LÁTEX TAMANHO "G". Aplicação: uso em técnica não estéril como proteção do profissional. Material: látex íntegro. Tamanho: grande.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v>
      </c>
      <c r="M1167" s="593" t="str">
        <f>IF(H:H=0,"",IF(ISERROR(VLOOKUP(H:H,produtos_escape2!$A$2:$D$2794,2,FALSE)),"Código não cadastrado",(VLOOKUP(H:H,produtos_escape2!$A$2:$D$2794,4,FALSE))))</f>
        <v>UN</v>
      </c>
      <c r="N1167" s="486">
        <v>80000</v>
      </c>
      <c r="O1167" s="176" t="s">
        <v>7337</v>
      </c>
      <c r="P1167" s="486">
        <v>36200</v>
      </c>
      <c r="Q1167" s="247">
        <v>0.55000000000000004</v>
      </c>
      <c r="R1167" s="246">
        <f t="shared" si="40"/>
        <v>19910</v>
      </c>
      <c r="S1167" s="177">
        <v>44148</v>
      </c>
      <c r="T1167" s="182">
        <v>12571</v>
      </c>
      <c r="U1167" s="177">
        <v>44148</v>
      </c>
      <c r="V1167" s="177">
        <v>44148</v>
      </c>
      <c r="W1167" s="177">
        <v>44152</v>
      </c>
      <c r="X1167" s="176">
        <v>31624</v>
      </c>
      <c r="Y1167" s="177">
        <v>44167</v>
      </c>
      <c r="Z1167" s="415">
        <v>6</v>
      </c>
      <c r="AA1167" s="488" t="s">
        <v>10284</v>
      </c>
      <c r="AB1167" s="594"/>
      <c r="AC1167" s="595"/>
      <c r="AD1167" s="596" t="str">
        <f>IF(AND(AC1167&lt;&gt;"",S1167&lt;&gt;""),NETWORKDAYS(AC1167,S1167,#REF!),"")</f>
        <v/>
      </c>
      <c r="AE1167" s="596" t="str">
        <f ca="1">IF(AND(AD1167="",AC1167=""),"",IF(OR(AD1167&lt;&gt;"",O1167="*CANCELADO"),"",NETWORKDAYS(AC1167,TODAY(),#REF!)))</f>
        <v/>
      </c>
      <c r="AF1167" s="597" t="str">
        <f>IFERROR(INDEX(produtos_escape2!M:M,MATCH(Controle!H1167,produtos_escape2!A:A,0)),"")</f>
        <v>LUVA DE PROCEDIMENTO NÃO ESTÉRIL DE LÁTEX TAMANHO "G"</v>
      </c>
    </row>
    <row r="1168" spans="1:32" ht="14.25" customHeight="1">
      <c r="A1168" s="176" t="s">
        <v>9410</v>
      </c>
      <c r="B1168" s="176" t="s">
        <v>3608</v>
      </c>
      <c r="C1168" s="177">
        <v>44118</v>
      </c>
      <c r="D1168" s="176" t="s">
        <v>10167</v>
      </c>
      <c r="E1168" s="176" t="s">
        <v>1866</v>
      </c>
      <c r="F1168" s="259" t="s">
        <v>10281</v>
      </c>
      <c r="G1168" s="176">
        <v>1</v>
      </c>
      <c r="H1168" s="178">
        <v>33960</v>
      </c>
      <c r="I1168" s="592">
        <f t="shared" si="41"/>
        <v>3</v>
      </c>
      <c r="J1168" s="178" t="s">
        <v>816</v>
      </c>
      <c r="K1168" s="178" t="s">
        <v>816</v>
      </c>
      <c r="L1168" s="275" t="str">
        <f>IF(H:H=0,"",IF(ISERROR(VLOOKUP(H:H,produtos_escape2!$A$2:$B$2794,2,FALSE)),"Código não cadastrado",(VLOOKUP(H:H,produtos_escape2!$A$2:$B$2794,2,FALSE))))</f>
        <v>TESTE RÁPIDO PARA DETECÇÃO DOS ANTICORPOS IGG E IGM E ANTÍGENO NS1 PARA O VÍRUS DA DENGUE. Aplicação (finalidade): Destinado à detecção qualitativa dos anticorpos IgG e IgM e antígeno NS1 para o vírus da dengue. Características adicionais: Teste imucromatográfico rápido para a detecção qualitativa dos anticorpos IgG e IgM e antígeno NS1 para o vírus da dengue. Apresentação teste. Prazo de validade: No mínimo 75% da validade total registrada na embalagem do produto no momento da entrega. Embalagem: Teste embalado individualmente.</v>
      </c>
      <c r="M1168" s="593" t="str">
        <f>IF(H:H=0,"",IF(ISERROR(VLOOKUP(H:H,produtos_escape2!$A$2:$D$2794,2,FALSE)),"Código não cadastrado",(VLOOKUP(H:H,produtos_escape2!$A$2:$D$2794,4,FALSE))))</f>
        <v>TE</v>
      </c>
      <c r="N1168" s="486">
        <v>3000</v>
      </c>
      <c r="O1168" s="176" t="s">
        <v>4380</v>
      </c>
      <c r="P1168" s="486">
        <v>1000</v>
      </c>
      <c r="Q1168" s="247">
        <v>11.55</v>
      </c>
      <c r="R1168" s="246">
        <f t="shared" si="40"/>
        <v>11550</v>
      </c>
      <c r="S1168" s="177">
        <v>44153</v>
      </c>
      <c r="T1168" s="182">
        <v>259622</v>
      </c>
      <c r="U1168" s="177">
        <v>44165</v>
      </c>
      <c r="V1168" s="177">
        <v>44167</v>
      </c>
      <c r="W1168" s="177">
        <v>44173</v>
      </c>
      <c r="X1168" s="176" t="s">
        <v>10674</v>
      </c>
      <c r="Y1168" s="177"/>
      <c r="Z1168" s="415">
        <v>6</v>
      </c>
      <c r="AA1168" s="488" t="s">
        <v>10362</v>
      </c>
      <c r="AB1168" s="594"/>
      <c r="AC1168" s="595"/>
      <c r="AD1168" s="596" t="str">
        <f>IF(AND(AC1168&lt;&gt;"",S1168&lt;&gt;""),NETWORKDAYS(AC1168,S1168,#REF!),"")</f>
        <v/>
      </c>
      <c r="AE1168" s="596" t="str">
        <f ca="1">IF(AND(AD1168="",AC1168=""),"",IF(OR(AD1168&lt;&gt;"",O1168="*CANCELADO"),"",NETWORKDAYS(AC1168,TODAY(),#REF!)))</f>
        <v/>
      </c>
      <c r="AF1168" s="597" t="str">
        <f>IFERROR(INDEX(produtos_escape2!M:M,MATCH(Controle!H1168,produtos_escape2!A:A,0)),"")</f>
        <v>TESTE RÁPIDO PARA DIAGNÓSTICO DE DENGUE</v>
      </c>
    </row>
    <row r="1169" spans="1:32" ht="14.25" customHeight="1">
      <c r="A1169" s="176" t="s">
        <v>9410</v>
      </c>
      <c r="B1169" s="176" t="s">
        <v>3608</v>
      </c>
      <c r="C1169" s="177">
        <v>44118</v>
      </c>
      <c r="D1169" s="176" t="s">
        <v>10167</v>
      </c>
      <c r="E1169" s="176" t="s">
        <v>1866</v>
      </c>
      <c r="F1169" s="259" t="s">
        <v>10281</v>
      </c>
      <c r="G1169" s="176">
        <v>2</v>
      </c>
      <c r="H1169" s="178">
        <v>95617</v>
      </c>
      <c r="I1169" s="592">
        <f t="shared" si="41"/>
        <v>2</v>
      </c>
      <c r="J1169" s="178" t="s">
        <v>816</v>
      </c>
      <c r="K1169" s="178" t="s">
        <v>816</v>
      </c>
      <c r="L1169" s="275" t="str">
        <f>IF(H:H=0,"",IF(ISERROR(VLOOKUP(H:H,produtos_escape2!$A$2:$B$2794,2,FALSE)),"Código não cadastrado",(VLOOKUP(H:H,produtos_escape2!$A$2:$B$2794,2,FALSE))))</f>
        <v>TUBO PORTA-LAMINAS EM POLIPROP.C/FECH.HERMET. CAP.3 LAMINAS</v>
      </c>
      <c r="M1169" s="593" t="str">
        <f>IF(H:H=0,"",IF(ISERROR(VLOOKUP(H:H,produtos_escape2!$A$2:$D$2794,2,FALSE)),"Código não cadastrado",(VLOOKUP(H:H,produtos_escape2!$A$2:$D$2794,4,FALSE))))</f>
        <v>UN</v>
      </c>
      <c r="N1169" s="486">
        <v>3000</v>
      </c>
      <c r="O1169" s="176" t="s">
        <v>3670</v>
      </c>
      <c r="P1169" s="486">
        <v>3000</v>
      </c>
      <c r="Q1169" s="247">
        <v>0.30499999999999999</v>
      </c>
      <c r="R1169" s="246">
        <f t="shared" si="40"/>
        <v>915</v>
      </c>
      <c r="S1169" s="177">
        <v>44153</v>
      </c>
      <c r="T1169" s="182">
        <v>4026</v>
      </c>
      <c r="U1169" s="177">
        <v>44167</v>
      </c>
      <c r="V1169" s="177">
        <v>44169</v>
      </c>
      <c r="W1169" s="177">
        <v>44173</v>
      </c>
      <c r="X1169" s="176" t="s">
        <v>10674</v>
      </c>
      <c r="Y1169" s="177"/>
      <c r="Z1169" s="415">
        <v>6</v>
      </c>
      <c r="AA1169" s="488" t="s">
        <v>10282</v>
      </c>
      <c r="AB1169" s="594"/>
      <c r="AC1169" s="595"/>
      <c r="AD1169" s="596" t="str">
        <f>IF(AND(AC1169&lt;&gt;"",S1169&lt;&gt;""),NETWORKDAYS(AC1169,S1169,#REF!),"")</f>
        <v/>
      </c>
      <c r="AE1169" s="596" t="str">
        <f ca="1">IF(AND(AD1169="",AC1169=""),"",IF(OR(AD1169&lt;&gt;"",O1169="*CANCELADO"),"",NETWORKDAYS(AC1169,TODAY(),#REF!)))</f>
        <v/>
      </c>
      <c r="AF1169" s="597" t="str">
        <f>IFERROR(INDEX(produtos_escape2!M:M,MATCH(Controle!H1169,produtos_escape2!A:A,0)),"")</f>
        <v>TUBO PORTA-LAMINAS EM POLIPROP</v>
      </c>
    </row>
    <row r="1170" spans="1:32" ht="14.25" customHeight="1">
      <c r="A1170" s="176" t="s">
        <v>9462</v>
      </c>
      <c r="B1170" s="176" t="s">
        <v>3608</v>
      </c>
      <c r="C1170" s="177">
        <v>44131</v>
      </c>
      <c r="D1170" s="176" t="s">
        <v>10231</v>
      </c>
      <c r="E1170" s="176" t="s">
        <v>1866</v>
      </c>
      <c r="F1170" s="259" t="s">
        <v>10287</v>
      </c>
      <c r="G1170" s="176">
        <v>1</v>
      </c>
      <c r="H1170" s="178">
        <v>95504</v>
      </c>
      <c r="I1170" s="592">
        <f t="shared" si="41"/>
        <v>2</v>
      </c>
      <c r="J1170" s="178" t="s">
        <v>816</v>
      </c>
      <c r="K1170" s="178" t="s">
        <v>816</v>
      </c>
      <c r="L1170" s="275" t="str">
        <f>IF(H:H=0,"",IF(ISERROR(VLOOKUP(H:H,produtos_escape2!$A$2:$B$2794,2,FALSE)),"Código não cadastrado",(VLOOKUP(H:H,produtos_escape2!$A$2:$B$2794,2,FALSE))))</f>
        <v>PONTEIRA DESCARTÁVEL, POLIPROPILENO P/PIPETA MICROVOLUMÉTRICA 5 A 200 MCL PACOTE C/1000 UNIDADES. Estéril.</v>
      </c>
      <c r="M1170" s="593" t="str">
        <f>IF(H:H=0,"",IF(ISERROR(VLOOKUP(H:H,produtos_escape2!$A$2:$D$2794,2,FALSE)),"Código não cadastrado",(VLOOKUP(H:H,produtos_escape2!$A$2:$D$2794,4,FALSE))))</f>
        <v>PCT</v>
      </c>
      <c r="N1170" s="486">
        <v>1000</v>
      </c>
      <c r="O1170" s="176" t="s">
        <v>3670</v>
      </c>
      <c r="P1170" s="486">
        <v>50</v>
      </c>
      <c r="Q1170" s="247">
        <v>15</v>
      </c>
      <c r="R1170" s="246">
        <f t="shared" si="40"/>
        <v>750</v>
      </c>
      <c r="S1170" s="177">
        <v>44152</v>
      </c>
      <c r="T1170" s="182">
        <v>4037</v>
      </c>
      <c r="U1170" s="177">
        <v>44176</v>
      </c>
      <c r="V1170" s="177">
        <v>44176</v>
      </c>
      <c r="W1170" s="177">
        <v>44182</v>
      </c>
      <c r="X1170" s="176" t="s">
        <v>10674</v>
      </c>
      <c r="Y1170" s="177"/>
      <c r="Z1170" s="415">
        <v>6</v>
      </c>
      <c r="AA1170" s="488" t="s">
        <v>10283</v>
      </c>
      <c r="AB1170" s="594"/>
      <c r="AC1170" s="595"/>
      <c r="AD1170" s="596" t="str">
        <f>IF(AND(AC1170&lt;&gt;"",S1170&lt;&gt;""),NETWORKDAYS(AC1170,S1170,#REF!),"")</f>
        <v/>
      </c>
      <c r="AE1170" s="596" t="str">
        <f ca="1">IF(AND(AD1170="",AC1170=""),"",IF(OR(AD1170&lt;&gt;"",O1170="*CANCELADO"),"",NETWORKDAYS(AC1170,TODAY(),#REF!)))</f>
        <v/>
      </c>
      <c r="AF1170" s="597" t="str">
        <f>IFERROR(INDEX(produtos_escape2!M:M,MATCH(Controle!H1170,produtos_escape2!A:A,0)),"")</f>
        <v>PONTEIRA DESCARTÁVEL P/PIPETA MICROVOLUMÉTRICA 5 A 200 MCL</v>
      </c>
    </row>
    <row r="1171" spans="1:32" ht="14.25" customHeight="1">
      <c r="A1171" s="176" t="s">
        <v>9477</v>
      </c>
      <c r="B1171" s="176" t="s">
        <v>3608</v>
      </c>
      <c r="C1171" s="177">
        <v>44133</v>
      </c>
      <c r="D1171" s="176" t="s">
        <v>10246</v>
      </c>
      <c r="E1171" s="176" t="s">
        <v>1866</v>
      </c>
      <c r="F1171" s="259" t="s">
        <v>10288</v>
      </c>
      <c r="G1171" s="176">
        <v>1</v>
      </c>
      <c r="H1171" s="178">
        <v>91117</v>
      </c>
      <c r="I1171" s="592">
        <f t="shared" si="41"/>
        <v>3</v>
      </c>
      <c r="J1171" s="178" t="s">
        <v>816</v>
      </c>
      <c r="K1171" s="178" t="s">
        <v>816</v>
      </c>
      <c r="L1171" s="275" t="str">
        <f>IF(H:H=0,"",IF(ISERROR(VLOOKUP(H:H,produtos_escape2!$A$2:$B$2794,2,FALSE)),"Código não cadastrado",(VLOOKUP(H:H,produtos_escape2!$A$2:$B$2794,2,FALSE))))</f>
        <v>SOLUÇÃO LIMPADORA A BASE DE ENZIMAS, Aplicação: Limpeza com remoção de carga orgânica de qualquer instrumental cirúrgico ou dispositivo de saúde; Material: preparação multienzimática composta por, no mínimo, quatro enzimas pertencentes às famílias das amilases, lipases, proteases e carbohidrases; contendo tensoativos não-iônicos e/ou aniônicos. Tamanho/capacidade: 1 (um) litro; Características adicionais: preparação multienzimática para uso em temperatura ambiente ou aquecida em processos de limpeza manual ou automatizada. Solução de ação rápida, bacteriostática na forma concentrada, não-corrosiva para metais. Ação comprovada na redução de matéria orgânica, carga microbiana e biofilmes, mesmo na presença de sujidade ressecada para materiais em geral, incluindo endoscópios e fibroscópios. Biodegradável, pH neutro entre 6 e 8, mínima ou nenhuma formação de espuma. Não afetar ou danificar metais, plástico, borracha entre outras matérias primas utilizadas na saúde; sem odor agressivo na forma concentrada ou diluída. Forma de apresentação litro (solução concentrada);</v>
      </c>
      <c r="M1171" s="593" t="str">
        <f>IF(H:H=0,"",IF(ISERROR(VLOOKUP(H:H,produtos_escape2!$A$2:$D$2794,2,FALSE)),"Código não cadastrado",(VLOOKUP(H:H,produtos_escape2!$A$2:$D$2794,4,FALSE))))</f>
        <v>LT</v>
      </c>
      <c r="N1171" s="486">
        <v>80</v>
      </c>
      <c r="O1171" s="176" t="s">
        <v>4465</v>
      </c>
      <c r="P1171" s="486">
        <v>80</v>
      </c>
      <c r="Q1171" s="247">
        <v>16.5</v>
      </c>
      <c r="R1171" s="246">
        <f t="shared" si="40"/>
        <v>1320</v>
      </c>
      <c r="S1171" s="177">
        <v>44149</v>
      </c>
      <c r="T1171" s="182">
        <v>560</v>
      </c>
      <c r="U1171" s="177">
        <v>44151</v>
      </c>
      <c r="V1171" s="177">
        <v>44151</v>
      </c>
      <c r="W1171" s="177">
        <v>44152</v>
      </c>
      <c r="X1171" s="176">
        <v>31631</v>
      </c>
      <c r="Y1171" s="177">
        <v>44167</v>
      </c>
      <c r="Z1171" s="415">
        <v>6</v>
      </c>
      <c r="AA1171" s="488" t="s">
        <v>10284</v>
      </c>
      <c r="AB1171" s="594"/>
      <c r="AC1171" s="595"/>
      <c r="AD1171" s="596" t="str">
        <f>IF(AND(AC1171&lt;&gt;"",S1171&lt;&gt;""),NETWORKDAYS(AC1171,S1171,#REF!),"")</f>
        <v/>
      </c>
      <c r="AE1171" s="596" t="str">
        <f ca="1">IF(AND(AD1171="",AC1171=""),"",IF(OR(AD1171&lt;&gt;"",O1171="*CANCELADO"),"",NETWORKDAYS(AC1171,TODAY(),#REF!)))</f>
        <v/>
      </c>
      <c r="AF1171" s="597" t="str">
        <f>IFERROR(INDEX(produtos_escape2!M:M,MATCH(Controle!H1171,produtos_escape2!A:A,0)),"")</f>
        <v>SOLUÇÃO LIMPADORA A BASE DE ENZIMAS</v>
      </c>
    </row>
    <row r="1172" spans="1:32" ht="14.25" customHeight="1">
      <c r="A1172" s="176" t="s">
        <v>9492</v>
      </c>
      <c r="B1172" s="176" t="s">
        <v>3608</v>
      </c>
      <c r="C1172" s="177">
        <v>44144</v>
      </c>
      <c r="D1172" s="176" t="s">
        <v>10269</v>
      </c>
      <c r="E1172" s="176" t="s">
        <v>1866</v>
      </c>
      <c r="F1172" s="259" t="s">
        <v>10289</v>
      </c>
      <c r="G1172" s="176">
        <v>1</v>
      </c>
      <c r="H1172" s="178">
        <v>95046</v>
      </c>
      <c r="I1172" s="592">
        <f t="shared" si="41"/>
        <v>7</v>
      </c>
      <c r="J1172" s="178" t="s">
        <v>816</v>
      </c>
      <c r="K1172" s="178" t="s">
        <v>816</v>
      </c>
      <c r="L1172" s="275" t="str">
        <f>IF(H:H=0,"",IF(ISERROR(VLOOKUP(H:H,produtos_escape2!$A$2:$B$2794,2,FALSE)),"Código não cadastrado",(VLOOKUP(H:H,produtos_escape2!$A$2:$B$2794,2,FALSE))))</f>
        <v>ALCOOL ETILICO ABSOLUTO 99,5 GL, Aplicação: fixação de material em lâminas, Características Adicionais: líquido odor agradável inflamável, Forma De Apresentação: frasco 1000ml</v>
      </c>
      <c r="M1172" s="593" t="str">
        <f>IF(H:H=0,"",IF(ISERROR(VLOOKUP(H:H,produtos_escape2!$A$2:$D$2794,2,FALSE)),"Código não cadastrado",(VLOOKUP(H:H,produtos_escape2!$A$2:$D$2794,4,FALSE))))</f>
        <v>FR</v>
      </c>
      <c r="N1172" s="486">
        <v>120</v>
      </c>
      <c r="O1172" s="176" t="s">
        <v>7984</v>
      </c>
      <c r="P1172" s="486">
        <v>120</v>
      </c>
      <c r="Q1172" s="247">
        <v>6.45</v>
      </c>
      <c r="R1172" s="246">
        <f t="shared" si="40"/>
        <v>774</v>
      </c>
      <c r="S1172" s="177">
        <v>44149</v>
      </c>
      <c r="T1172" s="182">
        <v>167614</v>
      </c>
      <c r="U1172" s="177">
        <v>44151</v>
      </c>
      <c r="V1172" s="177">
        <v>44151</v>
      </c>
      <c r="W1172" s="177">
        <v>44152</v>
      </c>
      <c r="X1172" s="176">
        <v>31831</v>
      </c>
      <c r="Y1172" s="177">
        <v>44168</v>
      </c>
      <c r="Z1172" s="415">
        <v>6</v>
      </c>
      <c r="AA1172" s="488" t="s">
        <v>10286</v>
      </c>
      <c r="AB1172" s="594"/>
      <c r="AC1172" s="595"/>
      <c r="AD1172" s="596" t="str">
        <f>IF(AND(AC1172&lt;&gt;"",S1172&lt;&gt;""),NETWORKDAYS(AC1172,S1172,#REF!),"")</f>
        <v/>
      </c>
      <c r="AE1172" s="596" t="str">
        <f ca="1">IF(AND(AD1172="",AC1172=""),"",IF(OR(AD1172&lt;&gt;"",O1172="*CANCELADO"),"",NETWORKDAYS(AC1172,TODAY(),#REF!)))</f>
        <v/>
      </c>
      <c r="AF1172" s="597" t="str">
        <f>IFERROR(INDEX(produtos_escape2!M:M,MATCH(Controle!H1172,produtos_escape2!A:A,0)),"")</f>
        <v>ALCOOL ETILICO ABSOLUTO 99</v>
      </c>
    </row>
    <row r="1173" spans="1:32" ht="14.25" customHeight="1">
      <c r="A1173" s="176" t="s">
        <v>9403</v>
      </c>
      <c r="B1173" s="176" t="s">
        <v>3608</v>
      </c>
      <c r="C1173" s="177">
        <v>44113</v>
      </c>
      <c r="D1173" s="176" t="s">
        <v>10163</v>
      </c>
      <c r="E1173" s="176" t="s">
        <v>1866</v>
      </c>
      <c r="F1173" s="259" t="s">
        <v>10290</v>
      </c>
      <c r="G1173" s="176">
        <v>1</v>
      </c>
      <c r="H1173" s="178">
        <v>23027</v>
      </c>
      <c r="I1173" s="592">
        <f t="shared" ref="I1173:I1204" si="42">COUNTIF($H$3:$H$3041,H1173)</f>
        <v>5</v>
      </c>
      <c r="J1173" s="178" t="s">
        <v>816</v>
      </c>
      <c r="K1173" s="178" t="s">
        <v>816</v>
      </c>
      <c r="L1173" s="275" t="str">
        <f>IF(H:H=0,"",IF(ISERROR(VLOOKUP(H:H,produtos_escape2!$A$2:$B$2794,2,FALSE)),"Código não cadastrado",(VLOOKUP(H:H,produtos_escape2!$A$2:$B$2794,2,FALSE))))</f>
        <v>TUBO DE REPOSIÇÃO PARA GASTROSTOMIA, EM SILICONE GRAU MÉDICO,TRASPARENTE, COM FITA RADIOPACA AO LONGO DO SEU COMPRIMENTO, COM MARCAS EM CENTÍMETROS AO LONGO DO TUBO PARA FACILITAR A MEDIÇÃO,BALÃO DE SILICONE PARA FIXAÇÃO INTERNA E EXTRA POR UM ANEL DE SEGURANÇA EM SILICONE, VÁLVULA PARA ENCHIMENTO DO BALÃO. VIA DE ENTRADA PARA ALIMENTAÇÃO.ESTERELIZAÇÃO EM ÓXIDO DE ETILENO. COM PRAZO DE VALIDADE DE 75% DA DATA TOTAL DO PRODUTO.
***Tamanhos no Projeto Básico***</v>
      </c>
      <c r="M1173" s="593" t="str">
        <f>IF(H:H=0,"",IF(ISERROR(VLOOKUP(H:H,produtos_escape2!$A$2:$D$2794,2,FALSE)),"Código não cadastrado",(VLOOKUP(H:H,produtos_escape2!$A$2:$D$2794,4,FALSE))))</f>
        <v>UN</v>
      </c>
      <c r="N1173" s="486">
        <v>70</v>
      </c>
      <c r="O1173" s="176" t="s">
        <v>3663</v>
      </c>
      <c r="P1173" s="486">
        <v>70</v>
      </c>
      <c r="Q1173" s="247">
        <v>48</v>
      </c>
      <c r="R1173" s="246">
        <f t="shared" si="40"/>
        <v>3360</v>
      </c>
      <c r="S1173" s="177">
        <v>44149</v>
      </c>
      <c r="T1173" s="182">
        <v>1278608</v>
      </c>
      <c r="U1173" s="177">
        <v>44151</v>
      </c>
      <c r="V1173" s="177">
        <v>44155</v>
      </c>
      <c r="W1173" s="177">
        <v>44160</v>
      </c>
      <c r="X1173" s="176" t="s">
        <v>10674</v>
      </c>
      <c r="Y1173" s="177"/>
      <c r="Z1173" s="415">
        <v>6</v>
      </c>
      <c r="AA1173" s="488" t="s">
        <v>10164</v>
      </c>
      <c r="AB1173" s="594"/>
      <c r="AC1173" s="595"/>
      <c r="AD1173" s="596" t="str">
        <f>IF(AND(AC1173&lt;&gt;"",S1173&lt;&gt;""),NETWORKDAYS(AC1173,S1173,#REF!),"")</f>
        <v/>
      </c>
      <c r="AE1173" s="596" t="str">
        <f ca="1">IF(AND(AD1173="",AC1173=""),"",IF(OR(AD1173&lt;&gt;"",O1173="*CANCELADO"),"",NETWORKDAYS(AC1173,TODAY(),#REF!)))</f>
        <v/>
      </c>
      <c r="AF1173" s="597" t="str">
        <f>IFERROR(INDEX(produtos_escape2!M:M,MATCH(Controle!H1173,produtos_escape2!A:A,0)),"")</f>
        <v>TUBO DE REPOSIÇÃO PARA GASTROSTOMIA</v>
      </c>
    </row>
    <row r="1174" spans="1:32" ht="14.25" customHeight="1">
      <c r="A1174" s="176" t="s">
        <v>9460</v>
      </c>
      <c r="B1174" s="176" t="s">
        <v>3608</v>
      </c>
      <c r="C1174" s="177">
        <v>44131</v>
      </c>
      <c r="D1174" s="176" t="s">
        <v>10233</v>
      </c>
      <c r="E1174" s="176" t="s">
        <v>1866</v>
      </c>
      <c r="F1174" s="259" t="s">
        <v>10291</v>
      </c>
      <c r="G1174" s="176">
        <v>1</v>
      </c>
      <c r="H1174" s="178">
        <v>92555</v>
      </c>
      <c r="I1174" s="592">
        <f t="shared" si="42"/>
        <v>1</v>
      </c>
      <c r="J1174" s="178" t="s">
        <v>816</v>
      </c>
      <c r="K1174" s="178" t="s">
        <v>816</v>
      </c>
      <c r="L1174" s="275" t="str">
        <f>IF(H:H=0,"",IF(ISERROR(VLOOKUP(H:H,produtos_escape2!$A$2:$B$2794,2,FALSE)),"Código não cadastrado",(VLOOKUP(H:H,produtos_escape2!$A$2:$B$2794,2,FALSE))))</f>
        <v>FIO DE KIRSCHNER 1,5 X 300MM. Material aço inoxidável, comprimento 300mm, diâmetro 1,5mm. Autoclavável</v>
      </c>
      <c r="M1174" s="593" t="str">
        <f>IF(H:H=0,"",IF(ISERROR(VLOOKUP(H:H,produtos_escape2!$A$2:$D$2794,2,FALSE)),"Código não cadastrado",(VLOOKUP(H:H,produtos_escape2!$A$2:$D$2794,4,FALSE))))</f>
        <v>UN</v>
      </c>
      <c r="N1174" s="486">
        <v>100</v>
      </c>
      <c r="O1174" s="176" t="s">
        <v>7859</v>
      </c>
      <c r="P1174" s="486">
        <v>100</v>
      </c>
      <c r="Q1174" s="247">
        <v>14.5</v>
      </c>
      <c r="R1174" s="246">
        <f t="shared" si="40"/>
        <v>1450</v>
      </c>
      <c r="S1174" s="177">
        <v>44154</v>
      </c>
      <c r="T1174" s="182">
        <v>16969</v>
      </c>
      <c r="U1174" s="177">
        <v>44154</v>
      </c>
      <c r="V1174" s="177">
        <v>44155</v>
      </c>
      <c r="W1174" s="177">
        <v>44160</v>
      </c>
      <c r="X1174" s="176" t="s">
        <v>10674</v>
      </c>
      <c r="Y1174" s="177"/>
      <c r="Z1174" s="415">
        <v>6</v>
      </c>
      <c r="AA1174" s="488" t="s">
        <v>10283</v>
      </c>
      <c r="AB1174" s="594"/>
      <c r="AC1174" s="595"/>
      <c r="AD1174" s="596" t="str">
        <f>IF(AND(AC1174&lt;&gt;"",S1174&lt;&gt;""),NETWORKDAYS(AC1174,S1174,#REF!),"")</f>
        <v/>
      </c>
      <c r="AE1174" s="596" t="str">
        <f ca="1">IF(AND(AD1174="",AC1174=""),"",IF(OR(AD1174&lt;&gt;"",O1174="*CANCELADO"),"",NETWORKDAYS(AC1174,TODAY(),#REF!)))</f>
        <v/>
      </c>
      <c r="AF1174" s="597" t="str">
        <f>IFERROR(INDEX(produtos_escape2!M:M,MATCH(Controle!H1174,produtos_escape2!A:A,0)),"")</f>
        <v>FIO DE KIRSCHNER 1</v>
      </c>
    </row>
    <row r="1175" spans="1:32" ht="14.25" customHeight="1">
      <c r="A1175" s="176" t="s">
        <v>9490</v>
      </c>
      <c r="B1175" s="176" t="s">
        <v>3608</v>
      </c>
      <c r="C1175" s="177">
        <v>44144</v>
      </c>
      <c r="D1175" s="176" t="s">
        <v>10268</v>
      </c>
      <c r="E1175" s="176" t="s">
        <v>1866</v>
      </c>
      <c r="F1175" s="259" t="s">
        <v>10292</v>
      </c>
      <c r="G1175" s="203">
        <v>1</v>
      </c>
      <c r="H1175" s="178">
        <v>35897</v>
      </c>
      <c r="I1175" s="592">
        <f t="shared" si="42"/>
        <v>4</v>
      </c>
      <c r="J1175" s="178" t="s">
        <v>816</v>
      </c>
      <c r="K1175" s="178" t="s">
        <v>816</v>
      </c>
      <c r="L1175" s="275" t="str">
        <f>IF(H:H=0,"",IF(ISERROR(VLOOKUP(H:H,produtos_escape2!$A$2:$B$2794,2,FALSE)),"Código não cadastrado",(VLOOKUP(H:H,produtos_escape2!$A$2:$B$2794,2,FALSE))))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1175" s="593" t="str">
        <f>IF(H:H=0,"",IF(ISERROR(VLOOKUP(H:H,produtos_escape2!$A$2:$D$2794,2,FALSE)),"Código não cadastrado",(VLOOKUP(H:H,produtos_escape2!$A$2:$D$2794,4,FALSE))))</f>
        <v>UN</v>
      </c>
      <c r="N1175" s="486">
        <v>500</v>
      </c>
      <c r="O1175" s="176" t="s">
        <v>3663</v>
      </c>
      <c r="P1175" s="486">
        <v>250</v>
      </c>
      <c r="Q1175" s="247">
        <v>25.55</v>
      </c>
      <c r="R1175" s="246">
        <f t="shared" si="40"/>
        <v>6387.5</v>
      </c>
      <c r="S1175" s="177">
        <v>44160</v>
      </c>
      <c r="T1175" s="182">
        <v>1282325</v>
      </c>
      <c r="U1175" s="177">
        <v>44161</v>
      </c>
      <c r="V1175" s="177">
        <v>44166</v>
      </c>
      <c r="W1175" s="177">
        <v>44173</v>
      </c>
      <c r="X1175" s="176" t="s">
        <v>10674</v>
      </c>
      <c r="Y1175" s="177"/>
      <c r="Z1175" s="415">
        <v>6</v>
      </c>
      <c r="AA1175" s="488" t="s">
        <v>10286</v>
      </c>
      <c r="AB1175" s="594"/>
      <c r="AC1175" s="595"/>
      <c r="AD1175" s="596" t="str">
        <f>IF(AND(AC1175&lt;&gt;"",S1175&lt;&gt;""),NETWORKDAYS(AC1175,S1175,#REF!),"")</f>
        <v/>
      </c>
      <c r="AE1175" s="596" t="str">
        <f ca="1">IF(AND(AD1175="",AC1175=""),"",IF(OR(AD1175&lt;&gt;"",O1175="*CANCELADO"),"",NETWORKDAYS(AC1175,TODAY(),#REF!)))</f>
        <v/>
      </c>
      <c r="AF1175" s="597" t="str">
        <f>IFERROR(INDEX(produtos_escape2!M:M,MATCH(Controle!H1175,produtos_escape2!A:A,0)),"")</f>
        <v>AGULHA ANESTÉSICA RAQUIDIANA 27G</v>
      </c>
    </row>
    <row r="1176" spans="1:32" ht="14.25" customHeight="1">
      <c r="A1176" s="176" t="s">
        <v>9498</v>
      </c>
      <c r="B1176" s="176" t="s">
        <v>3608</v>
      </c>
      <c r="C1176" s="177">
        <v>44144</v>
      </c>
      <c r="D1176" s="176" t="s">
        <v>10265</v>
      </c>
      <c r="E1176" s="176" t="s">
        <v>1866</v>
      </c>
      <c r="F1176" s="259" t="s">
        <v>10293</v>
      </c>
      <c r="G1176" s="203">
        <v>1</v>
      </c>
      <c r="H1176" s="178">
        <v>90111</v>
      </c>
      <c r="I1176" s="592">
        <f t="shared" si="42"/>
        <v>8</v>
      </c>
      <c r="J1176" s="178" t="s">
        <v>816</v>
      </c>
      <c r="K1176" s="178" t="s">
        <v>816</v>
      </c>
      <c r="L1176" s="275" t="str">
        <f>IF(H:H=0,"",IF(ISERROR(VLOOKUP(H:H,produtos_escape2!$A$2:$B$2794,2,FALSE)),"Código não cadastrado",(VLOOKUP(H:H,produtos_escape2!$A$2:$B$2794,2,FALSE))))</f>
        <v xml:space="preserve">MIDAZOLAM SOLUÇAO INJETAVEL 15 MG AMPOLA 3 ML </v>
      </c>
      <c r="M1176" s="593" t="str">
        <f>IF(H:H=0,"",IF(ISERROR(VLOOKUP(H:H,produtos_escape2!$A$2:$D$2794,2,FALSE)),"Código não cadastrado",(VLOOKUP(H:H,produtos_escape2!$A$2:$D$2794,4,FALSE))))</f>
        <v>AMP</v>
      </c>
      <c r="N1176" s="486">
        <v>1000</v>
      </c>
      <c r="O1176" s="176" t="s">
        <v>7371</v>
      </c>
      <c r="P1176" s="486">
        <v>420</v>
      </c>
      <c r="Q1176" s="247">
        <v>5.3</v>
      </c>
      <c r="R1176" s="246">
        <f t="shared" si="40"/>
        <v>2226</v>
      </c>
      <c r="S1176" s="177">
        <v>44149</v>
      </c>
      <c r="T1176" s="182">
        <v>399576</v>
      </c>
      <c r="U1176" s="177">
        <v>44151</v>
      </c>
      <c r="V1176" s="177">
        <v>44152</v>
      </c>
      <c r="W1176" s="177">
        <v>44152</v>
      </c>
      <c r="X1176" s="176">
        <v>31838</v>
      </c>
      <c r="Y1176" s="177">
        <v>44168</v>
      </c>
      <c r="Z1176" s="415">
        <v>6</v>
      </c>
      <c r="AA1176" s="488" t="s">
        <v>10286</v>
      </c>
      <c r="AB1176" s="594"/>
      <c r="AC1176" s="595"/>
      <c r="AD1176" s="596" t="str">
        <f>IF(AND(AC1176&lt;&gt;"",S1176&lt;&gt;""),NETWORKDAYS(AC1176,S1176,#REF!),"")</f>
        <v/>
      </c>
      <c r="AE1176" s="596" t="str">
        <f ca="1">IF(AND(AD1176="",AC1176=""),"",IF(OR(AD1176&lt;&gt;"",O1176="*CANCELADO"),"",NETWORKDAYS(AC1176,TODAY(),#REF!)))</f>
        <v/>
      </c>
      <c r="AF1176" s="597" t="str">
        <f>IFERROR(INDEX(produtos_escape2!M:M,MATCH(Controle!H1176,produtos_escape2!A:A,0)),"")</f>
        <v xml:space="preserve">MIDAZOLAM SOLUÇAO INJETAVEL 15 MG AMPOLA 3 ML </v>
      </c>
    </row>
    <row r="1177" spans="1:32" ht="14.25" customHeight="1">
      <c r="A1177" s="176" t="s">
        <v>9498</v>
      </c>
      <c r="B1177" s="176" t="s">
        <v>3608</v>
      </c>
      <c r="C1177" s="177">
        <v>44144</v>
      </c>
      <c r="D1177" s="176" t="s">
        <v>10265</v>
      </c>
      <c r="E1177" s="176" t="s">
        <v>1866</v>
      </c>
      <c r="F1177" s="259" t="s">
        <v>10293</v>
      </c>
      <c r="G1177" s="203">
        <v>1</v>
      </c>
      <c r="H1177" s="178">
        <v>90111</v>
      </c>
      <c r="I1177" s="592">
        <f t="shared" si="42"/>
        <v>8</v>
      </c>
      <c r="J1177" s="178" t="s">
        <v>816</v>
      </c>
      <c r="K1177" s="178" t="s">
        <v>816</v>
      </c>
      <c r="L1177" s="275" t="str">
        <f>IF(H:H=0,"",IF(ISERROR(VLOOKUP(H:H,produtos_escape2!$A$2:$B$2794,2,FALSE)),"Código não cadastrado",(VLOOKUP(H:H,produtos_escape2!$A$2:$B$2794,2,FALSE))))</f>
        <v xml:space="preserve">MIDAZOLAM SOLUÇAO INJETAVEL 15 MG AMPOLA 3 ML </v>
      </c>
      <c r="M1177" s="593" t="str">
        <f>IF(H:H=0,"",IF(ISERROR(VLOOKUP(H:H,produtos_escape2!$A$2:$D$2794,2,FALSE)),"Código não cadastrado",(VLOOKUP(H:H,produtos_escape2!$A$2:$D$2794,4,FALSE))))</f>
        <v>AMP</v>
      </c>
      <c r="N1177" s="486">
        <v>1000</v>
      </c>
      <c r="O1177" s="176" t="s">
        <v>7371</v>
      </c>
      <c r="P1177" s="486">
        <v>580</v>
      </c>
      <c r="Q1177" s="247">
        <v>5.3</v>
      </c>
      <c r="R1177" s="246">
        <f t="shared" ref="R1177" si="43">P1177*Q1177</f>
        <v>3074</v>
      </c>
      <c r="S1177" s="177">
        <v>44149</v>
      </c>
      <c r="T1177" s="182">
        <v>400995</v>
      </c>
      <c r="U1177" s="177">
        <v>44153</v>
      </c>
      <c r="V1177" s="177">
        <v>44154</v>
      </c>
      <c r="W1177" s="177">
        <v>44181</v>
      </c>
      <c r="X1177" s="176" t="s">
        <v>10388</v>
      </c>
      <c r="Y1177" s="177"/>
      <c r="Z1177" s="415">
        <v>6</v>
      </c>
      <c r="AA1177" s="488" t="s">
        <v>10286</v>
      </c>
      <c r="AB1177" s="594"/>
      <c r="AC1177" s="595"/>
      <c r="AD1177" s="596" t="str">
        <f>IF(AND(AC1177&lt;&gt;"",S1177&lt;&gt;""),NETWORKDAYS(AC1177,S1177,#REF!),"")</f>
        <v/>
      </c>
      <c r="AE1177" s="596" t="str">
        <f ca="1">IF(AND(AD1177="",AC1177=""),"",IF(OR(AD1177&lt;&gt;"",O1177="*CANCELADO"),"",NETWORKDAYS(AC1177,TODAY(),#REF!)))</f>
        <v/>
      </c>
      <c r="AF1177" s="597" t="str">
        <f>IFERROR(INDEX(produtos_escape2!M:M,MATCH(Controle!H1177,produtos_escape2!A:A,0)),"")</f>
        <v xml:space="preserve">MIDAZOLAM SOLUÇAO INJETAVEL 15 MG AMPOLA 3 ML </v>
      </c>
    </row>
    <row r="1178" spans="1:32" ht="14.25" customHeight="1">
      <c r="A1178" s="176" t="s">
        <v>9505</v>
      </c>
      <c r="B1178" s="176" t="s">
        <v>3608</v>
      </c>
      <c r="C1178" s="177">
        <v>44144</v>
      </c>
      <c r="D1178" s="176" t="s">
        <v>10267</v>
      </c>
      <c r="E1178" s="176" t="s">
        <v>1866</v>
      </c>
      <c r="F1178" s="259" t="s">
        <v>10294</v>
      </c>
      <c r="G1178" s="203">
        <v>1</v>
      </c>
      <c r="H1178" s="178">
        <v>90011</v>
      </c>
      <c r="I1178" s="592">
        <f t="shared" si="42"/>
        <v>2</v>
      </c>
      <c r="J1178" s="178" t="s">
        <v>816</v>
      </c>
      <c r="K1178" s="178" t="s">
        <v>816</v>
      </c>
      <c r="L1178" s="275" t="str">
        <f>IF(H:H=0,"",IF(ISERROR(VLOOKUP(H:H,produtos_escape2!$A$2:$B$2794,2,FALSE)),"Código não cadastrado",(VLOOKUP(H:H,produtos_escape2!$A$2:$B$2794,2,FALSE))))</f>
        <v>FENTANILA SOLUCAO INJETAVEL 0,05 MG/ML AMPOLA 2 ML</v>
      </c>
      <c r="M1178" s="593" t="str">
        <f>IF(H:H=0,"",IF(ISERROR(VLOOKUP(H:H,produtos_escape2!$A$2:$D$2794,2,FALSE)),"Código não cadastrado",(VLOOKUP(H:H,produtos_escape2!$A$2:$D$2794,4,FALSE))))</f>
        <v>AMP</v>
      </c>
      <c r="N1178" s="486">
        <v>300</v>
      </c>
      <c r="O1178" s="176" t="s">
        <v>7371</v>
      </c>
      <c r="P1178" s="486">
        <v>300</v>
      </c>
      <c r="Q1178" s="247">
        <v>4.9800000000000004</v>
      </c>
      <c r="R1178" s="246">
        <f t="shared" si="40"/>
        <v>1494.0000000000002</v>
      </c>
      <c r="S1178" s="177">
        <v>44149</v>
      </c>
      <c r="T1178" s="182">
        <v>399596</v>
      </c>
      <c r="U1178" s="177">
        <v>44151</v>
      </c>
      <c r="V1178" s="177">
        <v>44151</v>
      </c>
      <c r="W1178" s="177">
        <v>44152</v>
      </c>
      <c r="X1178" s="176">
        <v>31844</v>
      </c>
      <c r="Y1178" s="177">
        <v>44168</v>
      </c>
      <c r="Z1178" s="415">
        <v>6</v>
      </c>
      <c r="AA1178" s="488" t="s">
        <v>10286</v>
      </c>
      <c r="AB1178" s="594"/>
      <c r="AC1178" s="595"/>
      <c r="AD1178" s="596" t="str">
        <f>IF(AND(AC1178&lt;&gt;"",S1178&lt;&gt;""),NETWORKDAYS(AC1178,S1178,#REF!),"")</f>
        <v/>
      </c>
      <c r="AE1178" s="596" t="str">
        <f ca="1">IF(AND(AD1178="",AC1178=""),"",IF(OR(AD1178&lt;&gt;"",O1178="*CANCELADO"),"",NETWORKDAYS(AC1178,TODAY(),#REF!)))</f>
        <v/>
      </c>
      <c r="AF1178" s="597" t="str">
        <f>IFERROR(INDEX(produtos_escape2!M:M,MATCH(Controle!H1178,produtos_escape2!A:A,0)),"")</f>
        <v>FENTANILA SOLUCAO INJETAVEL 0</v>
      </c>
    </row>
    <row r="1179" spans="1:32" ht="14.25" customHeight="1">
      <c r="A1179" s="176" t="s">
        <v>9503</v>
      </c>
      <c r="B1179" s="176" t="s">
        <v>3608</v>
      </c>
      <c r="C1179" s="177">
        <v>44144</v>
      </c>
      <c r="D1179" s="176" t="s">
        <v>10266</v>
      </c>
      <c r="E1179" s="176" t="s">
        <v>1866</v>
      </c>
      <c r="F1179" s="259" t="s">
        <v>10295</v>
      </c>
      <c r="G1179" s="203">
        <v>1</v>
      </c>
      <c r="H1179" s="178">
        <v>8829</v>
      </c>
      <c r="I1179" s="592">
        <f t="shared" si="42"/>
        <v>3</v>
      </c>
      <c r="J1179" s="178" t="s">
        <v>816</v>
      </c>
      <c r="K1179" s="178" t="s">
        <v>816</v>
      </c>
      <c r="L1179" s="275" t="str">
        <f>IF(H:H=0,"",IF(ISERROR(VLOOKUP(H:H,produtos_escape2!$A$2:$B$2794,2,FALSE)),"Código não cadastrado",(VLOOKUP(H:H,produtos_escape2!$A$2:$B$2794,2,FALSE))))</f>
        <v>CLONAZEPAM SOLUÇÃO ORAL 2,5 MG/ML FRASCO 20 ML</v>
      </c>
      <c r="M1179" s="593" t="str">
        <f>IF(H:H=0,"",IF(ISERROR(VLOOKUP(H:H,produtos_escape2!$A$2:$D$2794,2,FALSE)),"Código não cadastrado",(VLOOKUP(H:H,produtos_escape2!$A$2:$D$2794,4,FALSE))))</f>
        <v>FR</v>
      </c>
      <c r="N1179" s="486">
        <v>25</v>
      </c>
      <c r="O1179" s="176" t="s">
        <v>1868</v>
      </c>
      <c r="P1179" s="486"/>
      <c r="Q1179" s="247"/>
      <c r="R1179" s="246">
        <f t="shared" si="40"/>
        <v>0</v>
      </c>
      <c r="S1179" s="177">
        <v>44153</v>
      </c>
      <c r="T1179" s="182"/>
      <c r="U1179" s="177"/>
      <c r="V1179" s="177"/>
      <c r="W1179" s="177"/>
      <c r="X1179" s="176"/>
      <c r="Y1179" s="177"/>
      <c r="Z1179" s="415">
        <v>6</v>
      </c>
      <c r="AA1179" s="488" t="s">
        <v>10395</v>
      </c>
      <c r="AB1179" s="594"/>
      <c r="AC1179" s="595"/>
      <c r="AD1179" s="596" t="str">
        <f>IF(AND(AC1179&lt;&gt;"",S1179&lt;&gt;""),NETWORKDAYS(AC1179,S1179,#REF!),"")</f>
        <v/>
      </c>
      <c r="AE1179" s="596" t="str">
        <f ca="1">IF(AND(AD1179="",AC1179=""),"",IF(OR(AD1179&lt;&gt;"",O1179="*CANCELADO"),"",NETWORKDAYS(AC1179,TODAY(),#REF!)))</f>
        <v/>
      </c>
      <c r="AF1179" s="597" t="str">
        <f>IFERROR(INDEX(produtos_escape2!M:M,MATCH(Controle!H1179,produtos_escape2!A:A,0)),"")</f>
        <v>CLONAZEPAM SOLUÇÃO ORAL 2</v>
      </c>
    </row>
    <row r="1180" spans="1:32" ht="14.25" customHeight="1">
      <c r="A1180" s="176" t="s">
        <v>9346</v>
      </c>
      <c r="B1180" s="176" t="s">
        <v>3608</v>
      </c>
      <c r="C1180" s="177">
        <v>44113</v>
      </c>
      <c r="D1180" s="176" t="s">
        <v>10152</v>
      </c>
      <c r="E1180" s="176" t="s">
        <v>1867</v>
      </c>
      <c r="F1180" s="259" t="s">
        <v>10296</v>
      </c>
      <c r="G1180" s="203">
        <v>1</v>
      </c>
      <c r="H1180" s="178">
        <v>90425</v>
      </c>
      <c r="I1180" s="592">
        <f t="shared" si="42"/>
        <v>1</v>
      </c>
      <c r="J1180" s="178" t="s">
        <v>816</v>
      </c>
      <c r="K1180" s="178" t="s">
        <v>816</v>
      </c>
      <c r="L1180" s="275" t="str">
        <f>IF(H:H=0,"",IF(ISERROR(VLOOKUP(H:H,produtos_escape2!$A$2:$B$2794,2,FALSE)),"Código não cadastrado",(VLOOKUP(H:H,produtos_escape2!$A$2:$B$2794,2,FALSE))))</f>
        <v>ENOXAPARINA SODICA SOLUCAO INJETAVEL 80 MG SERINGA PREENCHIDA 0,8 ML</v>
      </c>
      <c r="M1180" s="593" t="str">
        <f>IF(H:H=0,"",IF(ISERROR(VLOOKUP(H:H,produtos_escape2!$A$2:$D$2794,2,FALSE)),"Código não cadastrado",(VLOOKUP(H:H,produtos_escape2!$A$2:$D$2794,4,FALSE))))</f>
        <v>UN</v>
      </c>
      <c r="N1180" s="486">
        <v>500</v>
      </c>
      <c r="O1180" s="176" t="s">
        <v>1868</v>
      </c>
      <c r="P1180" s="486"/>
      <c r="Q1180" s="247"/>
      <c r="R1180" s="246">
        <f t="shared" si="40"/>
        <v>0</v>
      </c>
      <c r="S1180" s="177">
        <v>44153</v>
      </c>
      <c r="T1180" s="182"/>
      <c r="U1180" s="177"/>
      <c r="V1180" s="177"/>
      <c r="W1180" s="177"/>
      <c r="X1180" s="176"/>
      <c r="Y1180" s="177"/>
      <c r="Z1180" s="415">
        <v>6</v>
      </c>
      <c r="AA1180" s="488" t="s">
        <v>9977</v>
      </c>
      <c r="AB1180" s="594"/>
      <c r="AC1180" s="595"/>
      <c r="AD1180" s="596" t="str">
        <f>IF(AND(AC1180&lt;&gt;"",S1180&lt;&gt;""),NETWORKDAYS(AC1180,S1180,#REF!),"")</f>
        <v/>
      </c>
      <c r="AE1180" s="596" t="str">
        <f ca="1">IF(AND(AD1180="",AC1180=""),"",IF(OR(AD1180&lt;&gt;"",O1180="*CANCELADO"),"",NETWORKDAYS(AC1180,TODAY(),#REF!)))</f>
        <v/>
      </c>
      <c r="AF1180" s="597" t="str">
        <f>IFERROR(INDEX(produtos_escape2!M:M,MATCH(Controle!H1180,produtos_escape2!A:A,0)),"")</f>
        <v>ENOXAPARINA SODICA SOLUCAO INJETAVEL 80 MG SERINGA PREENCHIDA 0</v>
      </c>
    </row>
    <row r="1181" spans="1:32" ht="14.25" customHeight="1">
      <c r="A1181" s="176" t="s">
        <v>9348</v>
      </c>
      <c r="B1181" s="176" t="s">
        <v>3608</v>
      </c>
      <c r="C1181" s="177">
        <v>44113</v>
      </c>
      <c r="D1181" s="176" t="s">
        <v>10153</v>
      </c>
      <c r="E1181" s="176" t="s">
        <v>1867</v>
      </c>
      <c r="F1181" s="259" t="s">
        <v>10297</v>
      </c>
      <c r="G1181" s="203">
        <v>1</v>
      </c>
      <c r="H1181" s="178">
        <v>10275</v>
      </c>
      <c r="I1181" s="592">
        <f t="shared" si="42"/>
        <v>5</v>
      </c>
      <c r="J1181" s="178" t="s">
        <v>816</v>
      </c>
      <c r="K1181" s="178" t="s">
        <v>816</v>
      </c>
      <c r="L1181" s="275" t="str">
        <f>IF(H:H=0,"",IF(ISERROR(VLOOKUP(H:H,produtos_escape2!$A$2:$B$2794,2,FALSE)),"Código não cadastrado",(VLOOKUP(H:H,produtos_escape2!$A$2:$B$2794,2,FALSE))))</f>
        <v>FLUCONAZOL SOLUCAO INJETAVEL 2 MG/ML BOLSA OU FRASCO 100 ML SISTEMA FECHADO DE INFUSAO. A bolsa ou frasco deve conter graduação volumétrica; permitir o escoamento total da solução, sem haver necessidade de entrada de ar. Conter um ou dois sítios. Se dois sítios - um autovedável e outro protegido por membrana e lacre de esterilidade para conexão do equipo, se um sítio - membrana autovedável. O sítio de conexão do equipo deve ser protegido por membrana e lacre de esterilidade, ser adaptável e moldável a qualquer equipo e não permitir sua desconexão e vazamento.</v>
      </c>
      <c r="M1181" s="593" t="str">
        <f>IF(H:H=0,"",IF(ISERROR(VLOOKUP(H:H,produtos_escape2!$A$2:$D$2794,2,FALSE)),"Código não cadastrado",(VLOOKUP(H:H,produtos_escape2!$A$2:$D$2794,4,FALSE))))</f>
        <v>UN</v>
      </c>
      <c r="N1181" s="486">
        <v>120</v>
      </c>
      <c r="O1181" s="176" t="s">
        <v>4401</v>
      </c>
      <c r="P1181" s="486">
        <v>120</v>
      </c>
      <c r="Q1181" s="247">
        <v>14</v>
      </c>
      <c r="R1181" s="246">
        <f t="shared" si="40"/>
        <v>1680</v>
      </c>
      <c r="S1181" s="177">
        <v>44153</v>
      </c>
      <c r="T1181" s="182">
        <v>2797442</v>
      </c>
      <c r="U1181" s="177">
        <v>44154</v>
      </c>
      <c r="V1181" s="177">
        <v>44158</v>
      </c>
      <c r="W1181" s="177">
        <v>44160</v>
      </c>
      <c r="X1181" s="176" t="s">
        <v>10674</v>
      </c>
      <c r="Y1181" s="177"/>
      <c r="Z1181" s="415">
        <v>6</v>
      </c>
      <c r="AA1181" s="488" t="s">
        <v>10282</v>
      </c>
      <c r="AB1181" s="594"/>
      <c r="AC1181" s="595"/>
      <c r="AD1181" s="596" t="str">
        <f>IF(AND(AC1181&lt;&gt;"",S1181&lt;&gt;""),NETWORKDAYS(AC1181,S1181,#REF!),"")</f>
        <v/>
      </c>
      <c r="AE1181" s="596" t="str">
        <f ca="1">IF(AND(AD1181="",AC1181=""),"",IF(OR(AD1181&lt;&gt;"",O1181="*CANCELADO"),"",NETWORKDAYS(AC1181,TODAY(),#REF!)))</f>
        <v/>
      </c>
      <c r="AF1181" s="597" t="str">
        <f>IFERROR(INDEX(produtos_escape2!M:M,MATCH(Controle!H1181,produtos_escape2!A:A,0)),"")</f>
        <v>FLUCONAZOL SOLUCAO INJETAVEL 2 MG/ML BOLSA OU FRASCO 100 ML SISTEMA FECHADO DE INFUSAO</v>
      </c>
    </row>
    <row r="1182" spans="1:32" ht="14.25" customHeight="1">
      <c r="A1182" s="176" t="s">
        <v>9350</v>
      </c>
      <c r="B1182" s="176" t="s">
        <v>3608</v>
      </c>
      <c r="C1182" s="177">
        <v>44113</v>
      </c>
      <c r="D1182" s="176" t="s">
        <v>10154</v>
      </c>
      <c r="E1182" s="176" t="s">
        <v>1867</v>
      </c>
      <c r="F1182" s="259" t="s">
        <v>10298</v>
      </c>
      <c r="G1182" s="203">
        <v>1</v>
      </c>
      <c r="H1182" s="178">
        <v>19399</v>
      </c>
      <c r="I1182" s="592">
        <f t="shared" si="42"/>
        <v>1</v>
      </c>
      <c r="J1182" s="178" t="s">
        <v>816</v>
      </c>
      <c r="K1182" s="178" t="s">
        <v>816</v>
      </c>
      <c r="L1182" s="275" t="str">
        <f>IF(H:H=0,"",IF(ISERROR(VLOOKUP(H:H,produtos_escape2!$A$2:$B$2794,2,FALSE)),"Código não cadastrado",(VLOOKUP(H:H,produtos_escape2!$A$2:$B$2794,2,FALSE))))</f>
        <v xml:space="preserve">CARVEDILOL COMPRIMIDO 3,125 MG. </v>
      </c>
      <c r="M1182" s="593" t="str">
        <f>IF(H:H=0,"",IF(ISERROR(VLOOKUP(H:H,produtos_escape2!$A$2:$D$2794,2,FALSE)),"Código não cadastrado",(VLOOKUP(H:H,produtos_escape2!$A$2:$D$2794,4,FALSE))))</f>
        <v>CP</v>
      </c>
      <c r="N1182" s="486">
        <v>550</v>
      </c>
      <c r="O1182" s="176" t="s">
        <v>1868</v>
      </c>
      <c r="P1182" s="486"/>
      <c r="Q1182" s="247"/>
      <c r="R1182" s="246">
        <f t="shared" si="40"/>
        <v>0</v>
      </c>
      <c r="S1182" s="177">
        <v>44153</v>
      </c>
      <c r="T1182" s="182"/>
      <c r="U1182" s="177"/>
      <c r="V1182" s="177"/>
      <c r="W1182" s="177"/>
      <c r="X1182" s="176"/>
      <c r="Y1182" s="177"/>
      <c r="Z1182" s="415">
        <v>6</v>
      </c>
      <c r="AA1182" s="488" t="s">
        <v>9977</v>
      </c>
      <c r="AB1182" s="594"/>
      <c r="AC1182" s="595"/>
      <c r="AD1182" s="596" t="str">
        <f>IF(AND(AC1182&lt;&gt;"",S1182&lt;&gt;""),NETWORKDAYS(AC1182,S1182,#REF!),"")</f>
        <v/>
      </c>
      <c r="AE1182" s="596" t="str">
        <f ca="1">IF(AND(AD1182="",AC1182=""),"",IF(OR(AD1182&lt;&gt;"",O1182="*CANCELADO"),"",NETWORKDAYS(AC1182,TODAY(),#REF!)))</f>
        <v/>
      </c>
      <c r="AF1182" s="597" t="str">
        <f>IFERROR(INDEX(produtos_escape2!M:M,MATCH(Controle!H1182,produtos_escape2!A:A,0)),"")</f>
        <v>CARVEDILOL COMPRIMIDO 3</v>
      </c>
    </row>
    <row r="1183" spans="1:32" ht="14.25" customHeight="1">
      <c r="A1183" s="176" t="s">
        <v>9352</v>
      </c>
      <c r="B1183" s="176" t="s">
        <v>3608</v>
      </c>
      <c r="C1183" s="177">
        <v>44113</v>
      </c>
      <c r="D1183" s="176" t="s">
        <v>10155</v>
      </c>
      <c r="E1183" s="176" t="s">
        <v>1867</v>
      </c>
      <c r="F1183" s="259" t="s">
        <v>10299</v>
      </c>
      <c r="G1183" s="203">
        <v>1</v>
      </c>
      <c r="H1183" s="178">
        <v>23384</v>
      </c>
      <c r="I1183" s="592">
        <f t="shared" si="42"/>
        <v>3</v>
      </c>
      <c r="J1183" s="178" t="s">
        <v>816</v>
      </c>
      <c r="K1183" s="178" t="s">
        <v>816</v>
      </c>
      <c r="L1183" s="275" t="str">
        <f>IF(H:H=0,"",IF(ISERROR(VLOOKUP(H:H,produtos_escape2!$A$2:$B$2794,2,FALSE)),"Código não cadastrado",(VLOOKUP(H:H,produtos_escape2!$A$2:$B$2794,2,FALSE))))</f>
        <v>HIDROXIDO DE ALUMINIO + HIDROXIDO DE MAGNESIO SUSPENSAO ORAL (60 MG + 40 MG)/ML FRASCO COM NO MINIMO 100 ML</v>
      </c>
      <c r="M1183" s="593" t="str">
        <f>IF(H:H=0,"",IF(ISERROR(VLOOKUP(H:H,produtos_escape2!$A$2:$D$2794,2,FALSE)),"Código não cadastrado",(VLOOKUP(H:H,produtos_escape2!$A$2:$D$2794,4,FALSE))))</f>
        <v>FR</v>
      </c>
      <c r="N1183" s="486">
        <v>60</v>
      </c>
      <c r="O1183" s="176" t="s">
        <v>1868</v>
      </c>
      <c r="P1183" s="486"/>
      <c r="Q1183" s="247"/>
      <c r="R1183" s="246">
        <f t="shared" si="40"/>
        <v>0</v>
      </c>
      <c r="S1183" s="177">
        <v>44153</v>
      </c>
      <c r="T1183" s="182"/>
      <c r="U1183" s="177"/>
      <c r="V1183" s="177"/>
      <c r="W1183" s="177"/>
      <c r="X1183" s="176"/>
      <c r="Y1183" s="177"/>
      <c r="Z1183" s="415">
        <v>6</v>
      </c>
      <c r="AA1183" s="488" t="s">
        <v>9977</v>
      </c>
      <c r="AB1183" s="594"/>
      <c r="AC1183" s="595"/>
      <c r="AD1183" s="596" t="str">
        <f>IF(AND(AC1183&lt;&gt;"",S1183&lt;&gt;""),NETWORKDAYS(AC1183,S1183,#REF!),"")</f>
        <v/>
      </c>
      <c r="AE1183" s="596" t="str">
        <f ca="1">IF(AND(AD1183="",AC1183=""),"",IF(OR(AD1183&lt;&gt;"",O1183="*CANCELADO"),"",NETWORKDAYS(AC1183,TODAY(),#REF!)))</f>
        <v/>
      </c>
      <c r="AF1183" s="597" t="str">
        <f>IFERROR(INDEX(produtos_escape2!M:M,MATCH(Controle!H1183,produtos_escape2!A:A,0)),"")</f>
        <v>HIDROXIDO DE ALUMINIO + HIDROXIDO DE MAGNESIO SUSPENSAO ORAL (60 MG + 40 MG)/ML FRASCO COM NO MINIMO 100 ML</v>
      </c>
    </row>
    <row r="1184" spans="1:32" ht="14.25" customHeight="1">
      <c r="A1184" s="176" t="s">
        <v>9379</v>
      </c>
      <c r="B1184" s="176" t="s">
        <v>3608</v>
      </c>
      <c r="C1184" s="177">
        <v>44113</v>
      </c>
      <c r="D1184" s="176" t="s">
        <v>10156</v>
      </c>
      <c r="E1184" s="176" t="s">
        <v>1867</v>
      </c>
      <c r="F1184" s="259" t="s">
        <v>10300</v>
      </c>
      <c r="G1184" s="203">
        <v>1</v>
      </c>
      <c r="H1184" s="178">
        <v>90354</v>
      </c>
      <c r="I1184" s="592">
        <f t="shared" si="42"/>
        <v>9</v>
      </c>
      <c r="J1184" s="178" t="s">
        <v>816</v>
      </c>
      <c r="K1184" s="178" t="s">
        <v>816</v>
      </c>
      <c r="L1184" s="275" t="str">
        <f>IF(H:H=0,"",IF(ISERROR(VLOOKUP(H:H,produtos_escape2!$A$2:$B$2794,2,FALSE)),"Código não cadastrado",(VLOOKUP(H:H,produtos_escape2!$A$2:$B$2794,2,FALSE))))</f>
        <v>LACTULOSE XAROPE 667 MG/ML FRASCO 120 ML
NÂO pode ser a Lactulife da Naturelife.</v>
      </c>
      <c r="M1184" s="593" t="str">
        <f>IF(H:H=0,"",IF(ISERROR(VLOOKUP(H:H,produtos_escape2!$A$2:$D$2794,2,FALSE)),"Código não cadastrado",(VLOOKUP(H:H,produtos_escape2!$A$2:$D$2794,4,FALSE))))</f>
        <v>FR</v>
      </c>
      <c r="N1184" s="486">
        <v>400</v>
      </c>
      <c r="O1184" s="176" t="s">
        <v>4379</v>
      </c>
      <c r="P1184" s="486">
        <v>400</v>
      </c>
      <c r="Q1184" s="247">
        <v>5.9</v>
      </c>
      <c r="R1184" s="246">
        <f t="shared" si="40"/>
        <v>2360</v>
      </c>
      <c r="S1184" s="177">
        <v>44153</v>
      </c>
      <c r="T1184" s="182">
        <v>16524</v>
      </c>
      <c r="U1184" s="177">
        <v>44153</v>
      </c>
      <c r="V1184" s="177">
        <v>44155</v>
      </c>
      <c r="W1184" s="177">
        <v>44160</v>
      </c>
      <c r="X1184" s="176" t="s">
        <v>10674</v>
      </c>
      <c r="Y1184" s="177"/>
      <c r="Z1184" s="415">
        <v>6</v>
      </c>
      <c r="AA1184" s="488" t="s">
        <v>10282</v>
      </c>
      <c r="AB1184" s="594"/>
      <c r="AC1184" s="595"/>
      <c r="AD1184" s="596" t="str">
        <f>IF(AND(AC1184&lt;&gt;"",S1184&lt;&gt;""),NETWORKDAYS(AC1184,S1184,#REF!),"")</f>
        <v/>
      </c>
      <c r="AE1184" s="596" t="str">
        <f ca="1">IF(AND(AD1184="",AC1184=""),"",IF(OR(AD1184&lt;&gt;"",O1184="*CANCELADO"),"",NETWORKDAYS(AC1184,TODAY(),#REF!)))</f>
        <v/>
      </c>
      <c r="AF1184" s="597" t="str">
        <f>IFERROR(INDEX(produtos_escape2!M:M,MATCH(Controle!H1184,produtos_escape2!A:A,0)),"")</f>
        <v>LACTULOSE XAROPE 667 MG/ML FRASCO 120 ML</v>
      </c>
    </row>
    <row r="1185" spans="1:32" ht="14.25" customHeight="1">
      <c r="A1185" s="176" t="s">
        <v>9381</v>
      </c>
      <c r="B1185" s="176" t="s">
        <v>3608</v>
      </c>
      <c r="C1185" s="177">
        <v>44113</v>
      </c>
      <c r="D1185" s="176" t="s">
        <v>10157</v>
      </c>
      <c r="E1185" s="176" t="s">
        <v>1867</v>
      </c>
      <c r="F1185" s="259" t="s">
        <v>10301</v>
      </c>
      <c r="G1185" s="203">
        <v>1</v>
      </c>
      <c r="H1185" s="178">
        <v>34859</v>
      </c>
      <c r="I1185" s="592">
        <f t="shared" si="42"/>
        <v>2</v>
      </c>
      <c r="J1185" s="178" t="s">
        <v>816</v>
      </c>
      <c r="K1185" s="178" t="s">
        <v>816</v>
      </c>
      <c r="L1185" s="275" t="str">
        <f>IF(H:H=0,"",IF(ISERROR(VLOOKUP(H:H,produtos_escape2!$A$2:$B$2794,2,FALSE)),"Código não cadastrado",(VLOOKUP(H:H,produtos_escape2!$A$2:$B$2794,2,FALSE))))</f>
        <v>TUBO DE SILICONE Nº 204, Tamanho/Capacidade: diâmetro interno: 6 mm, diâmetro externo: 12 mm, comprimento em unidade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colabar em suas paredes, com registro no Ministério da Saúde, Apresentação: embalado individualmente em saco plástico resistente.</v>
      </c>
      <c r="M1185" s="593" t="str">
        <f>IF(H:H=0,"",IF(ISERROR(VLOOKUP(H:H,produtos_escape2!$A$2:$D$2794,2,FALSE)),"Código não cadastrado",(VLOOKUP(H:H,produtos_escape2!$A$2:$D$2794,4,FALSE))))</f>
        <v>MT</v>
      </c>
      <c r="N1185" s="486">
        <v>120</v>
      </c>
      <c r="O1185" s="176" t="s">
        <v>4379</v>
      </c>
      <c r="P1185" s="486">
        <v>120</v>
      </c>
      <c r="Q1185" s="247">
        <v>7.1</v>
      </c>
      <c r="R1185" s="246">
        <f t="shared" si="40"/>
        <v>852</v>
      </c>
      <c r="S1185" s="177">
        <v>44152</v>
      </c>
      <c r="T1185" s="182">
        <v>16497</v>
      </c>
      <c r="U1185" s="177">
        <v>44152</v>
      </c>
      <c r="V1185" s="177">
        <v>44153</v>
      </c>
      <c r="W1185" s="177">
        <v>44160</v>
      </c>
      <c r="X1185" s="176" t="s">
        <v>10674</v>
      </c>
      <c r="Y1185" s="177"/>
      <c r="Z1185" s="415">
        <v>6</v>
      </c>
      <c r="AA1185" s="488" t="s">
        <v>10282</v>
      </c>
      <c r="AB1185" s="594"/>
      <c r="AC1185" s="595"/>
      <c r="AD1185" s="596" t="str">
        <f>IF(AND(AC1185&lt;&gt;"",S1185&lt;&gt;""),NETWORKDAYS(AC1185,S1185,#REF!),"")</f>
        <v/>
      </c>
      <c r="AE1185" s="596" t="str">
        <f ca="1">IF(AND(AD1185="",AC1185=""),"",IF(OR(AD1185&lt;&gt;"",O1185="*CANCELADO"),"",NETWORKDAYS(AC1185,TODAY(),#REF!)))</f>
        <v/>
      </c>
      <c r="AF1185" s="597" t="str">
        <f>IFERROR(INDEX(produtos_escape2!M:M,MATCH(Controle!H1185,produtos_escape2!A:A,0)),"")</f>
        <v>TUBO DE SILICONE Nº 204</v>
      </c>
    </row>
    <row r="1186" spans="1:32" ht="14.25" customHeight="1">
      <c r="A1186" s="176" t="s">
        <v>9397</v>
      </c>
      <c r="B1186" s="176" t="s">
        <v>3608</v>
      </c>
      <c r="C1186" s="177">
        <v>44113</v>
      </c>
      <c r="D1186" s="176" t="s">
        <v>10161</v>
      </c>
      <c r="E1186" s="176" t="s">
        <v>1867</v>
      </c>
      <c r="F1186" s="259" t="s">
        <v>10302</v>
      </c>
      <c r="G1186" s="203">
        <v>1</v>
      </c>
      <c r="H1186" s="178">
        <v>21593</v>
      </c>
      <c r="I1186" s="592">
        <f t="shared" si="42"/>
        <v>3</v>
      </c>
      <c r="J1186" s="178" t="s">
        <v>816</v>
      </c>
      <c r="K1186" s="178" t="s">
        <v>816</v>
      </c>
      <c r="L1186" s="275" t="str">
        <f>IF(H:H=0,"",IF(ISERROR(VLOOKUP(H:H,produtos_escape2!$A$2:$B$2794,2,FALSE)),"Código não cadastrado",(VLOOKUP(H:H,produtos_escape2!$A$2:$B$2794,2,FALSE))))</f>
        <v>OXICODONA COMPRIMIDO REVESTIDO DE LIBERAÇÃO CONTROLADA 20MG</v>
      </c>
      <c r="M1186" s="593" t="str">
        <f>IF(H:H=0,"",IF(ISERROR(VLOOKUP(H:H,produtos_escape2!$A$2:$D$2794,2,FALSE)),"Código não cadastrado",(VLOOKUP(H:H,produtos_escape2!$A$2:$D$2794,4,FALSE))))</f>
        <v>CP</v>
      </c>
      <c r="N1186" s="486">
        <v>168</v>
      </c>
      <c r="O1186" s="176" t="s">
        <v>7371</v>
      </c>
      <c r="P1186" s="486">
        <v>168</v>
      </c>
      <c r="Q1186" s="247">
        <v>13.76</v>
      </c>
      <c r="R1186" s="246">
        <f t="shared" si="40"/>
        <v>2311.6799999999998</v>
      </c>
      <c r="S1186" s="177">
        <v>44153</v>
      </c>
      <c r="T1186" s="182">
        <v>400984</v>
      </c>
      <c r="U1186" s="177">
        <v>44153</v>
      </c>
      <c r="V1186" s="177">
        <v>44155</v>
      </c>
      <c r="W1186" s="177">
        <v>44160</v>
      </c>
      <c r="X1186" s="176">
        <v>31857</v>
      </c>
      <c r="Y1186" s="177">
        <v>44168</v>
      </c>
      <c r="Z1186" s="415">
        <v>6</v>
      </c>
      <c r="AA1186" s="488" t="s">
        <v>10282</v>
      </c>
      <c r="AB1186" s="594"/>
      <c r="AC1186" s="595"/>
      <c r="AD1186" s="596" t="str">
        <f>IF(AND(AC1186&lt;&gt;"",S1186&lt;&gt;""),NETWORKDAYS(AC1186,S1186,#REF!),"")</f>
        <v/>
      </c>
      <c r="AE1186" s="596" t="str">
        <f ca="1">IF(AND(AD1186="",AC1186=""),"",IF(OR(AD1186&lt;&gt;"",O1186="*CANCELADO"),"",NETWORKDAYS(AC1186,TODAY(),#REF!)))</f>
        <v/>
      </c>
      <c r="AF1186" s="597" t="str">
        <f>IFERROR(INDEX(produtos_escape2!M:M,MATCH(Controle!H1186,produtos_escape2!A:A,0)),"")</f>
        <v>OXICODONA</v>
      </c>
    </row>
    <row r="1187" spans="1:32" ht="14.25" customHeight="1">
      <c r="A1187" s="176" t="s">
        <v>9399</v>
      </c>
      <c r="B1187" s="176" t="s">
        <v>3608</v>
      </c>
      <c r="C1187" s="177">
        <v>44113</v>
      </c>
      <c r="D1187" s="176" t="s">
        <v>10162</v>
      </c>
      <c r="E1187" s="176" t="s">
        <v>1867</v>
      </c>
      <c r="F1187" s="259" t="s">
        <v>10303</v>
      </c>
      <c r="G1187" s="203">
        <v>1</v>
      </c>
      <c r="H1187" s="178">
        <v>33729</v>
      </c>
      <c r="I1187" s="592">
        <f t="shared" si="42"/>
        <v>3</v>
      </c>
      <c r="J1187" s="178" t="s">
        <v>816</v>
      </c>
      <c r="K1187" s="178" t="s">
        <v>816</v>
      </c>
      <c r="L1187" s="275" t="str">
        <f>IF(H:H=0,"",IF(ISERROR(VLOOKUP(H:H,produtos_escape2!$A$2:$B$2794,2,FALSE)),"Código não cadastrado",(VLOOKUP(H:H,produtos_escape2!$A$2:$B$2794,2,FALSE))))</f>
        <v>DEXTROCETAMINA SOLUÇAO INJETAVEL 50MG/ML FRASCO-AMPOLA 2ML</v>
      </c>
      <c r="M1187" s="593" t="str">
        <f>IF(H:H=0,"",IF(ISERROR(VLOOKUP(H:H,produtos_escape2!$A$2:$D$2794,2,FALSE)),"Código não cadastrado",(VLOOKUP(H:H,produtos_escape2!$A$2:$D$2794,4,FALSE))))</f>
        <v>FA</v>
      </c>
      <c r="N1187" s="486">
        <v>400</v>
      </c>
      <c r="O1187" s="176" t="s">
        <v>4401</v>
      </c>
      <c r="P1187" s="486">
        <v>400</v>
      </c>
      <c r="Q1187" s="247">
        <v>13.6</v>
      </c>
      <c r="R1187" s="246">
        <f t="shared" si="40"/>
        <v>5440</v>
      </c>
      <c r="S1187" s="177">
        <v>44153</v>
      </c>
      <c r="T1187" s="182">
        <v>2797344</v>
      </c>
      <c r="U1187" s="177">
        <v>44154</v>
      </c>
      <c r="V1187" s="177">
        <v>44158</v>
      </c>
      <c r="W1187" s="177">
        <v>44160</v>
      </c>
      <c r="X1187" s="176" t="s">
        <v>10674</v>
      </c>
      <c r="Y1187" s="177"/>
      <c r="Z1187" s="415">
        <v>6</v>
      </c>
      <c r="AA1187" s="488" t="s">
        <v>10282</v>
      </c>
      <c r="AB1187" s="594"/>
      <c r="AC1187" s="595"/>
      <c r="AD1187" s="596" t="str">
        <f>IF(AND(AC1187&lt;&gt;"",S1187&lt;&gt;""),NETWORKDAYS(AC1187,S1187,#REF!),"")</f>
        <v/>
      </c>
      <c r="AE1187" s="596" t="str">
        <f ca="1">IF(AND(AD1187="",AC1187=""),"",IF(OR(AD1187&lt;&gt;"",O1187="*CANCELADO"),"",NETWORKDAYS(AC1187,TODAY(),#REF!)))</f>
        <v/>
      </c>
      <c r="AF1187" s="597" t="str">
        <f>IFERROR(INDEX(produtos_escape2!M:M,MATCH(Controle!H1187,produtos_escape2!A:A,0)),"")</f>
        <v>DEXTROCETAMINA SOLUÇAO INJETAVEL 50MG/ML FRASCO-AMPOLA 2ML</v>
      </c>
    </row>
    <row r="1188" spans="1:32" ht="14.25" customHeight="1">
      <c r="A1188" s="176" t="s">
        <v>9425</v>
      </c>
      <c r="B1188" s="176" t="s">
        <v>3608</v>
      </c>
      <c r="C1188" s="177">
        <v>44118</v>
      </c>
      <c r="D1188" s="176" t="s">
        <v>10166</v>
      </c>
      <c r="E1188" s="176" t="s">
        <v>1867</v>
      </c>
      <c r="F1188" s="259" t="s">
        <v>10304</v>
      </c>
      <c r="G1188" s="203">
        <v>1</v>
      </c>
      <c r="H1188" s="178">
        <v>90028</v>
      </c>
      <c r="I1188" s="592">
        <f t="shared" si="42"/>
        <v>5</v>
      </c>
      <c r="J1188" s="178" t="s">
        <v>816</v>
      </c>
      <c r="K1188" s="178" t="s">
        <v>816</v>
      </c>
      <c r="L1188" s="275" t="str">
        <f>IF(H:H=0,"",IF(ISERROR(VLOOKUP(H:H,produtos_escape2!$A$2:$B$2794,2,FALSE)),"Código não cadastrado",(VLOOKUP(H:H,produtos_escape2!$A$2:$B$2794,2,FALSE))))</f>
        <v>LIDOCAINA (CLORIDRATO) GELEIA 2 % BISNAGA 30 G</v>
      </c>
      <c r="M1188" s="593" t="str">
        <f>IF(H:H=0,"",IF(ISERROR(VLOOKUP(H:H,produtos_escape2!$A$2:$D$2794,2,FALSE)),"Código não cadastrado",(VLOOKUP(H:H,produtos_escape2!$A$2:$D$2794,4,FALSE))))</f>
        <v>BS</v>
      </c>
      <c r="N1188" s="486">
        <v>1000</v>
      </c>
      <c r="O1188" s="176" t="s">
        <v>10075</v>
      </c>
      <c r="P1188" s="486">
        <v>1000</v>
      </c>
      <c r="Q1188" s="247">
        <v>2.56</v>
      </c>
      <c r="R1188" s="246">
        <f t="shared" si="40"/>
        <v>2560</v>
      </c>
      <c r="S1188" s="177">
        <v>44153</v>
      </c>
      <c r="T1188" s="182">
        <v>10356</v>
      </c>
      <c r="U1188" s="177">
        <v>44179</v>
      </c>
      <c r="V1188" s="177">
        <v>44180</v>
      </c>
      <c r="W1188" s="177">
        <v>44182</v>
      </c>
      <c r="X1188" s="176" t="s">
        <v>10674</v>
      </c>
      <c r="Y1188" s="177"/>
      <c r="Z1188" s="415">
        <v>6</v>
      </c>
      <c r="AA1188" s="488" t="s">
        <v>10282</v>
      </c>
      <c r="AB1188" s="594"/>
      <c r="AC1188" s="595"/>
      <c r="AD1188" s="596" t="str">
        <f>IF(AND(AC1188&lt;&gt;"",S1188&lt;&gt;""),NETWORKDAYS(AC1188,S1188,#REF!),"")</f>
        <v/>
      </c>
      <c r="AE1188" s="596" t="str">
        <f ca="1">IF(AND(AD1188="",AC1188=""),"",IF(OR(AD1188&lt;&gt;"",O1188="*CANCELADO"),"",NETWORKDAYS(AC1188,TODAY(),#REF!)))</f>
        <v/>
      </c>
      <c r="AF1188" s="597" t="str">
        <f>IFERROR(INDEX(produtos_escape2!M:M,MATCH(Controle!H1188,produtos_escape2!A:A,0)),"")</f>
        <v>LIDOCAINA (CLORIDRATO) GELEIA 2 % BISNAGA 30 G</v>
      </c>
    </row>
    <row r="1189" spans="1:32" ht="14.25" customHeight="1">
      <c r="A1189" s="176" t="s">
        <v>9425</v>
      </c>
      <c r="B1189" s="176" t="s">
        <v>3608</v>
      </c>
      <c r="C1189" s="177">
        <v>44118</v>
      </c>
      <c r="D1189" s="176" t="s">
        <v>10166</v>
      </c>
      <c r="E1189" s="176" t="s">
        <v>1867</v>
      </c>
      <c r="F1189" s="259" t="s">
        <v>10304</v>
      </c>
      <c r="G1189" s="203">
        <v>2</v>
      </c>
      <c r="H1189" s="178">
        <v>5327</v>
      </c>
      <c r="I1189" s="592">
        <f t="shared" si="42"/>
        <v>2</v>
      </c>
      <c r="J1189" s="178" t="s">
        <v>816</v>
      </c>
      <c r="K1189" s="178" t="s">
        <v>816</v>
      </c>
      <c r="L1189" s="275" t="str">
        <f>IF(H:H=0,"",IF(ISERROR(VLOOKUP(H:H,produtos_escape2!$A$2:$B$2794,2,FALSE)),"Código não cadastrado",(VLOOKUP(H:H,produtos_escape2!$A$2:$B$2794,2,FALSE))))</f>
        <v>OXIBUTININA XAROPE 1 MG/ML FRASCO 120 ML.</v>
      </c>
      <c r="M1189" s="593" t="str">
        <f>IF(H:H=0,"",IF(ISERROR(VLOOKUP(H:H,produtos_escape2!$A$2:$D$2794,2,FALSE)),"Código não cadastrado",(VLOOKUP(H:H,produtos_escape2!$A$2:$D$2794,4,FALSE))))</f>
        <v>FR</v>
      </c>
      <c r="N1189" s="486">
        <v>500</v>
      </c>
      <c r="O1189" s="176" t="s">
        <v>10075</v>
      </c>
      <c r="P1189" s="486">
        <v>94</v>
      </c>
      <c r="Q1189" s="247">
        <v>37.97</v>
      </c>
      <c r="R1189" s="246">
        <f t="shared" ref="R1189" si="44">P1189*Q1189</f>
        <v>3569.18</v>
      </c>
      <c r="S1189" s="177">
        <v>44153</v>
      </c>
      <c r="T1189" s="182">
        <v>10196</v>
      </c>
      <c r="U1189" s="177">
        <v>44165</v>
      </c>
      <c r="V1189" s="177">
        <v>44167</v>
      </c>
      <c r="W1189" s="177">
        <v>44173</v>
      </c>
      <c r="X1189" s="176" t="s">
        <v>10674</v>
      </c>
      <c r="Y1189" s="177"/>
      <c r="Z1189" s="415">
        <v>6</v>
      </c>
      <c r="AA1189" s="488" t="s">
        <v>10282</v>
      </c>
      <c r="AB1189" s="594"/>
      <c r="AC1189" s="595"/>
      <c r="AD1189" s="596" t="str">
        <f>IF(AND(AC1189&lt;&gt;"",S1189&lt;&gt;""),NETWORKDAYS(AC1189,S1189,#REF!),"")</f>
        <v/>
      </c>
      <c r="AE1189" s="596" t="str">
        <f ca="1">IF(AND(AD1189="",AC1189=""),"",IF(OR(AD1189&lt;&gt;"",O1189="*CANCELADO"),"",NETWORKDAYS(AC1189,TODAY(),#REF!)))</f>
        <v/>
      </c>
      <c r="AF1189" s="597" t="str">
        <f>IFERROR(INDEX(produtos_escape2!M:M,MATCH(Controle!H1189,produtos_escape2!A:A,0)),"")</f>
        <v>OXIBUTININA XAROPE 1 MG/ML FRASCO 120 ML</v>
      </c>
    </row>
    <row r="1190" spans="1:32" ht="14.25" customHeight="1">
      <c r="A1190" s="176" t="s">
        <v>9425</v>
      </c>
      <c r="B1190" s="176" t="s">
        <v>3608</v>
      </c>
      <c r="C1190" s="177">
        <v>44118</v>
      </c>
      <c r="D1190" s="176" t="s">
        <v>10166</v>
      </c>
      <c r="E1190" s="176" t="s">
        <v>1867</v>
      </c>
      <c r="F1190" s="259" t="s">
        <v>10304</v>
      </c>
      <c r="G1190" s="203">
        <v>2</v>
      </c>
      <c r="H1190" s="178">
        <v>5327</v>
      </c>
      <c r="I1190" s="592">
        <f t="shared" si="42"/>
        <v>2</v>
      </c>
      <c r="J1190" s="178" t="s">
        <v>816</v>
      </c>
      <c r="K1190" s="178" t="s">
        <v>816</v>
      </c>
      <c r="L1190" s="275" t="str">
        <f>IF(H:H=0,"",IF(ISERROR(VLOOKUP(H:H,produtos_escape2!$A$2:$B$2794,2,FALSE)),"Código não cadastrado",(VLOOKUP(H:H,produtos_escape2!$A$2:$B$2794,2,FALSE))))</f>
        <v>OXIBUTININA XAROPE 1 MG/ML FRASCO 120 ML.</v>
      </c>
      <c r="M1190" s="593" t="str">
        <f>IF(H:H=0,"",IF(ISERROR(VLOOKUP(H:H,produtos_escape2!$A$2:$D$2794,2,FALSE)),"Código não cadastrado",(VLOOKUP(H:H,produtos_escape2!$A$2:$D$2794,4,FALSE))))</f>
        <v>FR</v>
      </c>
      <c r="N1190" s="486">
        <v>500</v>
      </c>
      <c r="O1190" s="176" t="s">
        <v>10075</v>
      </c>
      <c r="P1190" s="486">
        <v>26</v>
      </c>
      <c r="Q1190" s="247">
        <v>37.97</v>
      </c>
      <c r="R1190" s="246">
        <f t="shared" si="40"/>
        <v>987.22</v>
      </c>
      <c r="S1190" s="177">
        <v>44153</v>
      </c>
      <c r="T1190" s="182">
        <v>10356</v>
      </c>
      <c r="U1190" s="177">
        <v>44179</v>
      </c>
      <c r="V1190" s="177">
        <v>44180</v>
      </c>
      <c r="W1190" s="177">
        <v>44182</v>
      </c>
      <c r="X1190" s="176" t="s">
        <v>10674</v>
      </c>
      <c r="Y1190" s="177"/>
      <c r="Z1190" s="415">
        <v>6</v>
      </c>
      <c r="AA1190" s="488" t="s">
        <v>10282</v>
      </c>
      <c r="AB1190" s="594"/>
      <c r="AC1190" s="595"/>
      <c r="AD1190" s="596" t="str">
        <f>IF(AND(AC1190&lt;&gt;"",S1190&lt;&gt;""),NETWORKDAYS(AC1190,S1190,#REF!),"")</f>
        <v/>
      </c>
      <c r="AE1190" s="596" t="str">
        <f ca="1">IF(AND(AD1190="",AC1190=""),"",IF(OR(AD1190&lt;&gt;"",O1190="*CANCELADO"),"",NETWORKDAYS(AC1190,TODAY(),#REF!)))</f>
        <v/>
      </c>
      <c r="AF1190" s="597" t="str">
        <f>IFERROR(INDEX(produtos_escape2!M:M,MATCH(Controle!H1190,produtos_escape2!A:A,0)),"")</f>
        <v>OXIBUTININA XAROPE 1 MG/ML FRASCO 120 ML</v>
      </c>
    </row>
    <row r="1191" spans="1:32" ht="14.25" customHeight="1">
      <c r="A1191" s="176" t="s">
        <v>9407</v>
      </c>
      <c r="B1191" s="176" t="s">
        <v>3608</v>
      </c>
      <c r="C1191" s="177">
        <v>44118</v>
      </c>
      <c r="D1191" s="176" t="s">
        <v>10168</v>
      </c>
      <c r="E1191" s="176" t="s">
        <v>1867</v>
      </c>
      <c r="F1191" s="259" t="s">
        <v>10305</v>
      </c>
      <c r="G1191" s="203">
        <v>1</v>
      </c>
      <c r="H1191" s="178">
        <v>93119</v>
      </c>
      <c r="I1191" s="592">
        <f t="shared" si="42"/>
        <v>2</v>
      </c>
      <c r="J1191" s="178" t="s">
        <v>816</v>
      </c>
      <c r="K1191" s="178" t="s">
        <v>816</v>
      </c>
      <c r="L1191" s="275" t="str">
        <f>IF(H:H=0,"",IF(ISERROR(VLOOKUP(H:H,produtos_escape2!$A$2:$B$2794,2,FALSE)),"Código não cadastrado",(VLOOKUP(H:H,produtos_escape2!$A$2:$B$2794,2,FALSE))))</f>
        <v xml:space="preserve">LENCOL DE BORRACHA DE LATEX P/ ISOLAMENTO ABSOLUTO ESPESSURA MÉDIA COR ESCURA. Unidade de fornecimento: caixa com 26 unidade. Unidade de estoque: Caixa </v>
      </c>
      <c r="M1191" s="593" t="str">
        <f>IF(H:H=0,"",IF(ISERROR(VLOOKUP(H:H,produtos_escape2!$A$2:$D$2794,2,FALSE)),"Código não cadastrado",(VLOOKUP(H:H,produtos_escape2!$A$2:$D$2794,4,FALSE))))</f>
        <v>CX</v>
      </c>
      <c r="N1191" s="486">
        <v>20</v>
      </c>
      <c r="O1191" s="176" t="s">
        <v>3530</v>
      </c>
      <c r="P1191" s="486">
        <v>20</v>
      </c>
      <c r="Q1191" s="247">
        <v>27.8</v>
      </c>
      <c r="R1191" s="246">
        <f t="shared" si="40"/>
        <v>556</v>
      </c>
      <c r="S1191" s="177">
        <v>44154</v>
      </c>
      <c r="T1191" s="182">
        <v>1171</v>
      </c>
      <c r="U1191" s="177">
        <v>44165</v>
      </c>
      <c r="V1191" s="177">
        <v>44167</v>
      </c>
      <c r="W1191" s="177">
        <v>44173</v>
      </c>
      <c r="X1191" s="176" t="s">
        <v>10674</v>
      </c>
      <c r="Y1191" s="177"/>
      <c r="Z1191" s="415">
        <v>6</v>
      </c>
      <c r="AA1191" s="488" t="s">
        <v>10282</v>
      </c>
      <c r="AB1191" s="594"/>
      <c r="AC1191" s="595"/>
      <c r="AD1191" s="596" t="str">
        <f>IF(AND(AC1191&lt;&gt;"",S1191&lt;&gt;""),NETWORKDAYS(AC1191,S1191,#REF!),"")</f>
        <v/>
      </c>
      <c r="AE1191" s="596" t="str">
        <f ca="1">IF(AND(AD1191="",AC1191=""),"",IF(OR(AD1191&lt;&gt;"",O1191="*CANCELADO"),"",NETWORKDAYS(AC1191,TODAY(),#REF!)))</f>
        <v/>
      </c>
      <c r="AF1191" s="597" t="str">
        <f>IFERROR(INDEX(produtos_escape2!M:M,MATCH(Controle!H1191,produtos_escape2!A:A,0)),"")</f>
        <v>LENCOL DE BORRACHA</v>
      </c>
    </row>
    <row r="1192" spans="1:32" ht="14.25" customHeight="1">
      <c r="A1192" s="176" t="s">
        <v>9444</v>
      </c>
      <c r="B1192" s="176" t="s">
        <v>3608</v>
      </c>
      <c r="C1192" s="177">
        <v>44118</v>
      </c>
      <c r="D1192" s="176" t="s">
        <v>10169</v>
      </c>
      <c r="E1192" s="176" t="s">
        <v>1867</v>
      </c>
      <c r="F1192" s="259" t="s">
        <v>10306</v>
      </c>
      <c r="G1192" s="203">
        <v>1</v>
      </c>
      <c r="H1192" s="178">
        <v>95075</v>
      </c>
      <c r="I1192" s="592">
        <f t="shared" si="42"/>
        <v>1</v>
      </c>
      <c r="J1192" s="178" t="s">
        <v>816</v>
      </c>
      <c r="K1192" s="178" t="s">
        <v>816</v>
      </c>
      <c r="L1192" s="275" t="str">
        <f>IF(H:H=0,"",IF(ISERROR(VLOOKUP(H:H,produtos_escape2!$A$2:$B$2794,2,FALSE)),"Código não cadastrado",(VLOOKUP(H:H,produtos_escape2!$A$2:$B$2794,2,FALSE))))</f>
        <v>AZUL DE METILENO "B", CI 52015, 25G</v>
      </c>
      <c r="M1192" s="593" t="str">
        <f>IF(H:H=0,"",IF(ISERROR(VLOOKUP(H:H,produtos_escape2!$A$2:$D$2794,2,FALSE)),"Código não cadastrado",(VLOOKUP(H:H,produtos_escape2!$A$2:$D$2794,4,FALSE))))</f>
        <v>FR</v>
      </c>
      <c r="N1192" s="486">
        <v>2</v>
      </c>
      <c r="O1192" s="176" t="s">
        <v>3670</v>
      </c>
      <c r="P1192" s="486">
        <v>2</v>
      </c>
      <c r="Q1192" s="247">
        <v>36</v>
      </c>
      <c r="R1192" s="246">
        <f t="shared" si="40"/>
        <v>72</v>
      </c>
      <c r="S1192" s="177">
        <v>44160</v>
      </c>
      <c r="T1192" s="182"/>
      <c r="U1192" s="177"/>
      <c r="V1192" s="177"/>
      <c r="W1192" s="177"/>
      <c r="X1192" s="176"/>
      <c r="Y1192" s="177"/>
      <c r="Z1192" s="415">
        <v>6</v>
      </c>
      <c r="AA1192" s="488" t="s">
        <v>10282</v>
      </c>
      <c r="AB1192" s="594"/>
      <c r="AC1192" s="595"/>
      <c r="AD1192" s="596" t="str">
        <f>IF(AND(AC1192&lt;&gt;"",S1192&lt;&gt;""),NETWORKDAYS(AC1192,S1192,#REF!),"")</f>
        <v/>
      </c>
      <c r="AE1192" s="596" t="str">
        <f ca="1">IF(AND(AD1192="",AC1192=""),"",IF(OR(AD1192&lt;&gt;"",O1192="*CANCELADO"),"",NETWORKDAYS(AC1192,TODAY(),#REF!)))</f>
        <v/>
      </c>
      <c r="AF1192" s="597" t="str">
        <f>IFERROR(INDEX(produtos_escape2!M:M,MATCH(Controle!H1192,produtos_escape2!A:A,0)),"")</f>
        <v>AZUL DE METILENO "B"</v>
      </c>
    </row>
    <row r="1193" spans="1:32" ht="14.25" customHeight="1">
      <c r="A1193" s="176" t="s">
        <v>9427</v>
      </c>
      <c r="B1193" s="176" t="s">
        <v>3608</v>
      </c>
      <c r="C1193" s="177">
        <v>44118</v>
      </c>
      <c r="D1193" s="176" t="s">
        <v>10170</v>
      </c>
      <c r="E1193" s="176" t="s">
        <v>1867</v>
      </c>
      <c r="F1193" s="259" t="s">
        <v>10307</v>
      </c>
      <c r="G1193" s="203">
        <v>1</v>
      </c>
      <c r="H1193" s="178">
        <v>95292</v>
      </c>
      <c r="I1193" s="592">
        <f t="shared" si="42"/>
        <v>1</v>
      </c>
      <c r="J1193" s="178" t="s">
        <v>816</v>
      </c>
      <c r="K1193" s="178" t="s">
        <v>816</v>
      </c>
      <c r="L1193" s="275" t="str">
        <f>IF(H:H=0,"",IF(ISERROR(VLOOKUP(H:H,produtos_escape2!$A$2:$B$2794,2,FALSE)),"Código não cadastrado",(VLOOKUP(H:H,produtos_escape2!$A$2:$B$2794,2,FALSE))))</f>
        <v>EOSINA AZUL DE METILENO, SEG. GIEMSA|ASPECTO FÍSICO PÓ, APRESENTAÇÃO: FRASCO 25 GRAMAS</v>
      </c>
      <c r="M1193" s="593" t="str">
        <f>IF(H:H=0,"",IF(ISERROR(VLOOKUP(H:H,produtos_escape2!$A$2:$D$2794,2,FALSE)),"Código não cadastrado",(VLOOKUP(H:H,produtos_escape2!$A$2:$D$2794,4,FALSE))))</f>
        <v>UN</v>
      </c>
      <c r="N1193" s="486">
        <v>5</v>
      </c>
      <c r="O1193" s="176" t="s">
        <v>3670</v>
      </c>
      <c r="P1193" s="486">
        <v>5</v>
      </c>
      <c r="Q1193" s="247">
        <v>59</v>
      </c>
      <c r="R1193" s="246">
        <f t="shared" si="40"/>
        <v>295</v>
      </c>
      <c r="S1193" s="177">
        <v>44160</v>
      </c>
      <c r="T1193" s="182"/>
      <c r="U1193" s="177"/>
      <c r="V1193" s="177"/>
      <c r="W1193" s="177"/>
      <c r="X1193" s="176"/>
      <c r="Y1193" s="177"/>
      <c r="Z1193" s="415">
        <v>6</v>
      </c>
      <c r="AA1193" s="488" t="s">
        <v>10282</v>
      </c>
      <c r="AB1193" s="594"/>
      <c r="AC1193" s="595"/>
      <c r="AD1193" s="596" t="str">
        <f>IF(AND(AC1193&lt;&gt;"",S1193&lt;&gt;""),NETWORKDAYS(AC1193,S1193,#REF!),"")</f>
        <v/>
      </c>
      <c r="AE1193" s="596" t="str">
        <f ca="1">IF(AND(AD1193="",AC1193=""),"",IF(OR(AD1193&lt;&gt;"",O1193="*CANCELADO"),"",NETWORKDAYS(AC1193,TODAY(),#REF!)))</f>
        <v/>
      </c>
      <c r="AF1193" s="597" t="str">
        <f>IFERROR(INDEX(produtos_escape2!M:M,MATCH(Controle!H1193,produtos_escape2!A:A,0)),"")</f>
        <v>EOSINA AZUL</v>
      </c>
    </row>
    <row r="1194" spans="1:32" ht="14.25" customHeight="1">
      <c r="A1194" s="176" t="s">
        <v>9448</v>
      </c>
      <c r="B1194" s="176" t="s">
        <v>3608</v>
      </c>
      <c r="C1194" s="177">
        <v>44118</v>
      </c>
      <c r="D1194" s="176" t="s">
        <v>10180</v>
      </c>
      <c r="E1194" s="176" t="s">
        <v>1867</v>
      </c>
      <c r="F1194" s="259" t="s">
        <v>10308</v>
      </c>
      <c r="G1194" s="203">
        <v>1</v>
      </c>
      <c r="H1194" s="178">
        <v>90152</v>
      </c>
      <c r="I1194" s="592">
        <f t="shared" si="42"/>
        <v>2</v>
      </c>
      <c r="J1194" s="178" t="s">
        <v>816</v>
      </c>
      <c r="K1194" s="178" t="s">
        <v>816</v>
      </c>
      <c r="L1194" s="275" t="str">
        <f>IF(H:H=0,"",IF(ISERROR(VLOOKUP(H:H,produtos_escape2!$A$2:$B$2794,2,FALSE)),"Código não cadastrado",(VLOOKUP(H:H,produtos_escape2!$A$2:$B$2794,2,FALSE))))</f>
        <v>AMINOFILINA SOLUCAO INJETAVEL 24 MG/ML AMPOLA 10 ML</v>
      </c>
      <c r="M1194" s="593" t="str">
        <f>IF(H:H=0,"",IF(ISERROR(VLOOKUP(H:H,produtos_escape2!$A$2:$D$2794,2,FALSE)),"Código não cadastrado",(VLOOKUP(H:H,produtos_escape2!$A$2:$D$2794,4,FALSE))))</f>
        <v>AMP</v>
      </c>
      <c r="N1194" s="486">
        <v>100</v>
      </c>
      <c r="O1194" s="176" t="s">
        <v>7371</v>
      </c>
      <c r="P1194" s="486">
        <v>100</v>
      </c>
      <c r="Q1194" s="247">
        <v>1.046</v>
      </c>
      <c r="R1194" s="246">
        <f t="shared" si="40"/>
        <v>104.60000000000001</v>
      </c>
      <c r="S1194" s="177">
        <v>44154</v>
      </c>
      <c r="T1194" s="182">
        <v>401764</v>
      </c>
      <c r="U1194" s="177">
        <v>44154</v>
      </c>
      <c r="V1194" s="177">
        <v>44155</v>
      </c>
      <c r="W1194" s="177">
        <v>44160</v>
      </c>
      <c r="X1194" s="176" t="s">
        <v>10674</v>
      </c>
      <c r="Y1194" s="177"/>
      <c r="Z1194" s="415">
        <v>6</v>
      </c>
      <c r="AA1194" s="488" t="s">
        <v>10282</v>
      </c>
      <c r="AB1194" s="594"/>
      <c r="AC1194" s="595"/>
      <c r="AD1194" s="596" t="str">
        <f>IF(AND(AC1194&lt;&gt;"",S1194&lt;&gt;""),NETWORKDAYS(AC1194,S1194,#REF!),"")</f>
        <v/>
      </c>
      <c r="AE1194" s="596" t="str">
        <f ca="1">IF(AND(AD1194="",AC1194=""),"",IF(OR(AD1194&lt;&gt;"",O1194="*CANCELADO"),"",NETWORKDAYS(AC1194,TODAY(),#REF!)))</f>
        <v/>
      </c>
      <c r="AF1194" s="597" t="str">
        <f>IFERROR(INDEX(produtos_escape2!M:M,MATCH(Controle!H1194,produtos_escape2!A:A,0)),"")</f>
        <v>AMINOFILINA SOLUCAO INJETAVEL 24 MG/ML AMPOLA 10 ML</v>
      </c>
    </row>
    <row r="1195" spans="1:32" ht="14.25" customHeight="1">
      <c r="A1195" s="176" t="s">
        <v>9446</v>
      </c>
      <c r="B1195" s="176" t="s">
        <v>3608</v>
      </c>
      <c r="C1195" s="177">
        <v>44123</v>
      </c>
      <c r="D1195" s="176" t="s">
        <v>10188</v>
      </c>
      <c r="E1195" s="176" t="s">
        <v>1867</v>
      </c>
      <c r="F1195" s="259" t="s">
        <v>10309</v>
      </c>
      <c r="G1195" s="203">
        <v>1</v>
      </c>
      <c r="H1195" s="178">
        <v>90482</v>
      </c>
      <c r="I1195" s="592">
        <f t="shared" si="42"/>
        <v>3</v>
      </c>
      <c r="J1195" s="178" t="s">
        <v>816</v>
      </c>
      <c r="K1195" s="178" t="s">
        <v>816</v>
      </c>
      <c r="L1195" s="275" t="str">
        <f>IF(H:H=0,"",IF(ISERROR(VLOOKUP(H:H,produtos_escape2!$A$2:$B$2794,2,FALSE)),"Código não cadastrado",(VLOOKUP(H:H,produtos_escape2!$A$2:$B$2794,2,FALSE))))</f>
        <v>METOCLOPRAMIDA SOLUÇÃO INJETÁVEL 5MG/ML AMPOLA 2 ML</v>
      </c>
      <c r="M1195" s="593" t="str">
        <f>IF(H:H=0,"",IF(ISERROR(VLOOKUP(H:H,produtos_escape2!$A$2:$D$2794,2,FALSE)),"Código não cadastrado",(VLOOKUP(H:H,produtos_escape2!$A$2:$D$2794,4,FALSE))))</f>
        <v>AMP</v>
      </c>
      <c r="N1195" s="486">
        <v>1000</v>
      </c>
      <c r="O1195" s="176" t="s">
        <v>4379</v>
      </c>
      <c r="P1195" s="486">
        <v>960</v>
      </c>
      <c r="Q1195" s="247">
        <v>0.46</v>
      </c>
      <c r="R1195" s="246">
        <f t="shared" si="40"/>
        <v>441.6</v>
      </c>
      <c r="S1195" s="177">
        <v>44154</v>
      </c>
      <c r="T1195" s="182">
        <v>16576</v>
      </c>
      <c r="U1195" s="177">
        <v>44154</v>
      </c>
      <c r="V1195" s="177">
        <v>44155</v>
      </c>
      <c r="W1195" s="177">
        <v>44160</v>
      </c>
      <c r="X1195" s="176" t="s">
        <v>10674</v>
      </c>
      <c r="Y1195" s="177"/>
      <c r="Z1195" s="415">
        <v>6</v>
      </c>
      <c r="AA1195" s="488" t="s">
        <v>10282</v>
      </c>
      <c r="AB1195" s="594"/>
      <c r="AC1195" s="595"/>
      <c r="AD1195" s="596" t="str">
        <f>IF(AND(AC1195&lt;&gt;"",S1195&lt;&gt;""),NETWORKDAYS(AC1195,S1195,#REF!),"")</f>
        <v/>
      </c>
      <c r="AE1195" s="596" t="str">
        <f ca="1">IF(AND(AD1195="",AC1195=""),"",IF(OR(AD1195&lt;&gt;"",O1195="*CANCELADO"),"",NETWORKDAYS(AC1195,TODAY(),#REF!)))</f>
        <v/>
      </c>
      <c r="AF1195" s="597" t="str">
        <f>IFERROR(INDEX(produtos_escape2!M:M,MATCH(Controle!H1195,produtos_escape2!A:A,0)),"")</f>
        <v>METOCLOPRAMIDA SOLUÇÃO INJETÁVEL 5MG/ML AMPOLA 2 ML</v>
      </c>
    </row>
    <row r="1196" spans="1:32" s="651" customFormat="1" ht="14.25" customHeight="1">
      <c r="A1196" s="176" t="s">
        <v>9494</v>
      </c>
      <c r="B1196" s="176" t="s">
        <v>3608</v>
      </c>
      <c r="C1196" s="177">
        <v>44144</v>
      </c>
      <c r="D1196" s="176" t="s">
        <v>10270</v>
      </c>
      <c r="E1196" s="176" t="s">
        <v>1867</v>
      </c>
      <c r="F1196" s="259" t="s">
        <v>10310</v>
      </c>
      <c r="G1196" s="203">
        <v>1</v>
      </c>
      <c r="H1196" s="178">
        <v>92445</v>
      </c>
      <c r="I1196" s="592">
        <f t="shared" si="42"/>
        <v>8</v>
      </c>
      <c r="J1196" s="178" t="s">
        <v>816</v>
      </c>
      <c r="K1196" s="178" t="s">
        <v>816</v>
      </c>
      <c r="L1196" s="275" t="str">
        <f>IF(H:H=0,"",IF(ISERROR(VLOOKUP(H:H,produtos_escape2!$A$2:$B$2794,2,FALSE)),"Código não cadastrado",(VLOOKUP(H:H,produtos_escape2!$A$2:$B$2794,2,FALSE))))</f>
        <v>SONDA DE FOLEY 2 VIAS LÁTEX Nº 14.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092445. BR0279768</v>
      </c>
      <c r="M1196" s="593" t="str">
        <f>IF(H:H=0,"",IF(ISERROR(VLOOKUP(H:H,produtos_escape2!$A$2:$D$2794,2,FALSE)),"Código não cadastrado",(VLOOKUP(H:H,produtos_escape2!$A$2:$D$2794,4,FALSE))))</f>
        <v>UN</v>
      </c>
      <c r="N1196" s="486">
        <v>100</v>
      </c>
      <c r="O1196" s="176" t="s">
        <v>7984</v>
      </c>
      <c r="P1196" s="486">
        <v>100</v>
      </c>
      <c r="Q1196" s="247">
        <v>3.9</v>
      </c>
      <c r="R1196" s="246">
        <f t="shared" si="40"/>
        <v>390</v>
      </c>
      <c r="S1196" s="177">
        <v>44154</v>
      </c>
      <c r="T1196" s="182">
        <v>168092</v>
      </c>
      <c r="U1196" s="177">
        <v>44154</v>
      </c>
      <c r="V1196" s="177">
        <v>44155</v>
      </c>
      <c r="W1196" s="177">
        <v>44160</v>
      </c>
      <c r="X1196" s="176" t="s">
        <v>10674</v>
      </c>
      <c r="Y1196" s="177"/>
      <c r="Z1196" s="415">
        <v>6</v>
      </c>
      <c r="AA1196" s="488" t="s">
        <v>10286</v>
      </c>
      <c r="AB1196" s="594"/>
      <c r="AC1196" s="595"/>
      <c r="AD1196" s="596" t="str">
        <f>IF(AND(AC1196&lt;&gt;"",S1196&lt;&gt;""),NETWORKDAYS(AC1196,S1196,#REF!),"")</f>
        <v/>
      </c>
      <c r="AE1196" s="596" t="str">
        <f ca="1">IF(AND(AD1196="",AC1196=""),"",IF(OR(AD1196&lt;&gt;"",O1196="*CANCELADO"),"",NETWORKDAYS(AC1196,TODAY(),#REF!)))</f>
        <v/>
      </c>
      <c r="AF1196" s="597" t="str">
        <f>IFERROR(INDEX(produtos_escape2!M:M,MATCH(Controle!H1196,produtos_escape2!A:A,0)),"")</f>
        <v>SONDA DE FOLEY 2 VIAS LÁTEX Nº 14</v>
      </c>
    </row>
    <row r="1197" spans="1:32" ht="14.25" customHeight="1">
      <c r="A1197" s="176" t="s">
        <v>9494</v>
      </c>
      <c r="B1197" s="176" t="s">
        <v>3608</v>
      </c>
      <c r="C1197" s="177">
        <v>44144</v>
      </c>
      <c r="D1197" s="176" t="s">
        <v>10270</v>
      </c>
      <c r="E1197" s="176" t="s">
        <v>1867</v>
      </c>
      <c r="F1197" s="259" t="s">
        <v>10310</v>
      </c>
      <c r="G1197" s="203">
        <v>2</v>
      </c>
      <c r="H1197" s="178">
        <v>92448</v>
      </c>
      <c r="I1197" s="592">
        <f t="shared" si="42"/>
        <v>3</v>
      </c>
      <c r="J1197" s="178" t="s">
        <v>816</v>
      </c>
      <c r="K1197" s="178" t="s">
        <v>816</v>
      </c>
      <c r="L1197" s="275" t="str">
        <f>IF(H:H=0,"",IF(ISERROR(VLOOKUP(H:H,produtos_escape2!$A$2:$B$2794,2,FALSE)),"Código não cadastrado",(VLOOKUP(H:H,produtos_escape2!$A$2:$B$2794,2,FALSE))))</f>
        <v>SONDA DE FOLEY 2 VIAS LÁTEX Nº 20. Aplicação: para drenagem e controle da diurese e irrigação vesical. Material: Látex atóxico.  Características Adicionais: estéril, descartável, siliconizada, medindo no mínimo 40 cm, apresentando flexibilidade e maleabilidade adequado ao fim a que se destina, que não cause irritação ao paciente, apresentando espessura uniforme, isenta de manchas ou quaisquer defeitos, balão com capacidade de 05 a 15 ml e boa distensibilidade, com válvula fixa que permita perfeita adaptação em seringas. Ponta arredondada e fechada, apresentando 02 orifícios ovais situados em lados opostos, delimitados e proporcionais ao diâmetro, isentos de rebarbas e/ou saliências que possam traumatizar o paciente. Embalagem dupla, sendo a externa em papel grau cirúrgico e a interna em polietileno picotada nas extremidades, favorecendo a abertura em técnica asséptica e garantindo a integridade e esterilidade do produto. Apresentação: embalagem individual, acondicionada em caixa com 10 unidades. Unidade de Estoque: unidade (UN). Código SES: 092448. BR0279769</v>
      </c>
      <c r="M1197" s="593" t="str">
        <f>IF(H:H=0,"",IF(ISERROR(VLOOKUP(H:H,produtos_escape2!$A$2:$D$2794,2,FALSE)),"Código não cadastrado",(VLOOKUP(H:H,produtos_escape2!$A$2:$D$2794,4,FALSE))))</f>
        <v>UN</v>
      </c>
      <c r="N1197" s="486">
        <v>100</v>
      </c>
      <c r="O1197" s="176" t="s">
        <v>7984</v>
      </c>
      <c r="P1197" s="486">
        <v>100</v>
      </c>
      <c r="Q1197" s="247">
        <v>3.9</v>
      </c>
      <c r="R1197" s="246">
        <f t="shared" si="40"/>
        <v>390</v>
      </c>
      <c r="S1197" s="177">
        <v>44154</v>
      </c>
      <c r="T1197" s="182"/>
      <c r="U1197" s="177"/>
      <c r="V1197" s="177"/>
      <c r="W1197" s="177"/>
      <c r="X1197" s="176"/>
      <c r="Y1197" s="177"/>
      <c r="Z1197" s="415">
        <v>6</v>
      </c>
      <c r="AA1197" s="488" t="s">
        <v>10286</v>
      </c>
      <c r="AB1197" s="594"/>
      <c r="AC1197" s="595"/>
      <c r="AD1197" s="596" t="str">
        <f>IF(AND(AC1197&lt;&gt;"",S1197&lt;&gt;""),NETWORKDAYS(AC1197,S1197,#REF!),"")</f>
        <v/>
      </c>
      <c r="AE1197" s="596" t="str">
        <f ca="1">IF(AND(AD1197="",AC1197=""),"",IF(OR(AD1197&lt;&gt;"",O1197="*CANCELADO"),"",NETWORKDAYS(AC1197,TODAY(),#REF!)))</f>
        <v/>
      </c>
      <c r="AF1197" s="597" t="str">
        <f>IFERROR(INDEX(produtos_escape2!M:M,MATCH(Controle!H1197,produtos_escape2!A:A,0)),"")</f>
        <v>SONDA DE FOLEY 2 VIAS LÁTEX Nº 20</v>
      </c>
    </row>
    <row r="1198" spans="1:32" ht="14.25" customHeight="1">
      <c r="A1198" s="176" t="s">
        <v>9515</v>
      </c>
      <c r="B1198" s="176" t="s">
        <v>3608</v>
      </c>
      <c r="C1198" s="177">
        <v>44147</v>
      </c>
      <c r="D1198" s="176" t="s">
        <v>10312</v>
      </c>
      <c r="E1198" s="176" t="s">
        <v>1866</v>
      </c>
      <c r="F1198" s="259" t="s">
        <v>10311</v>
      </c>
      <c r="G1198" s="203">
        <v>1</v>
      </c>
      <c r="H1198" s="178">
        <v>92408</v>
      </c>
      <c r="I1198" s="592">
        <f t="shared" si="42"/>
        <v>4</v>
      </c>
      <c r="J1198" s="178" t="s">
        <v>816</v>
      </c>
      <c r="K1198" s="178" t="s">
        <v>816</v>
      </c>
      <c r="L1198" s="275" t="str">
        <f>IF(H:H=0,"",IF(ISERROR(VLOOKUP(H:H,produtos_escape2!$A$2:$B$2794,2,FALSE)),"Código não cadastrado",(VLOOKUP(H:H,produtos_escape2!$A$2:$B$2794,2,FALSE))))</f>
        <v xml:space="preserve">LUVA DE PROCEDIMENTO NÃO ESTÉRIL DE LÁTEX TAMANHO "M". Aplicação: uso em técnica não estéril como proteção do profissional. Material: látex íntegro. Tamanho: médio. Características Adicionais: ambidestra, lubrificada com pó bioabsorvível atóxico, que não cause danos ao organismo em condições normais de uso, devem apresentar boa resistência ao calçar, com látex íntegro,sem manchas, sem ponto de acúmulo látex e tamanho de acordo com a especificação, deve estar devidamente embalada de forma a permitir o empilhamento, transporte e armazenamento, a embalagem deve contero tamanho,o lote, a data de fabricação e de validade, conter número do C.A. Apresentação: embalagem contendo 100 (cem) unidades acondicionadas em caixa. Unidade De Estoque: unidade (UN), </v>
      </c>
      <c r="M1198" s="593" t="str">
        <f>IF(H:H=0,"",IF(ISERROR(VLOOKUP(H:H,produtos_escape2!$A$2:$D$2794,2,FALSE)),"Código não cadastrado",(VLOOKUP(H:H,produtos_escape2!$A$2:$D$2794,4,FALSE))))</f>
        <v>UN</v>
      </c>
      <c r="N1198" s="486">
        <v>35500</v>
      </c>
      <c r="O1198" s="176" t="s">
        <v>7371</v>
      </c>
      <c r="P1198" s="486">
        <v>30000</v>
      </c>
      <c r="Q1198" s="247">
        <v>0.55000000000000004</v>
      </c>
      <c r="R1198" s="246">
        <f t="shared" ref="R1198:R1257" si="45">P1198*Q1198</f>
        <v>16500</v>
      </c>
      <c r="S1198" s="177">
        <v>44148</v>
      </c>
      <c r="T1198" s="182">
        <v>399026</v>
      </c>
      <c r="U1198" s="177">
        <v>44148</v>
      </c>
      <c r="V1198" s="177">
        <v>44148</v>
      </c>
      <c r="W1198" s="177">
        <v>44152</v>
      </c>
      <c r="X1198" s="176">
        <v>31860</v>
      </c>
      <c r="Y1198" s="177">
        <v>44168</v>
      </c>
      <c r="Z1198" s="415">
        <v>6</v>
      </c>
      <c r="AA1198" s="488"/>
      <c r="AB1198" s="594"/>
      <c r="AC1198" s="595"/>
      <c r="AD1198" s="596" t="str">
        <f>IF(AND(AC1198&lt;&gt;"",S1198&lt;&gt;""),NETWORKDAYS(AC1198,S1198,#REF!),"")</f>
        <v/>
      </c>
      <c r="AE1198" s="596" t="str">
        <f ca="1">IF(AND(AD1198="",AC1198=""),"",IF(OR(AD1198&lt;&gt;"",O1198="*CANCELADO"),"",NETWORKDAYS(AC1198,TODAY(),#REF!)))</f>
        <v/>
      </c>
      <c r="AF1198" s="597" t="str">
        <f>IFERROR(INDEX(produtos_escape2!M:M,MATCH(Controle!H1198,produtos_escape2!A:A,0)),"")</f>
        <v>LUVA DE PROCEDIMENTO NÃO ESTÉRIL DE LÁTEX TAMANHO "M"</v>
      </c>
    </row>
    <row r="1199" spans="1:32" ht="14.25" customHeight="1">
      <c r="A1199" s="176" t="s">
        <v>9452</v>
      </c>
      <c r="B1199" s="176" t="s">
        <v>3608</v>
      </c>
      <c r="C1199" s="177">
        <v>44123</v>
      </c>
      <c r="D1199" s="176" t="s">
        <v>10187</v>
      </c>
      <c r="E1199" s="176" t="s">
        <v>3008</v>
      </c>
      <c r="F1199" s="259" t="s">
        <v>10314</v>
      </c>
      <c r="G1199" s="203">
        <v>1</v>
      </c>
      <c r="H1199" s="178">
        <v>5310</v>
      </c>
      <c r="I1199" s="592">
        <f t="shared" si="42"/>
        <v>2</v>
      </c>
      <c r="J1199" s="178" t="s">
        <v>816</v>
      </c>
      <c r="K1199" s="178" t="s">
        <v>816</v>
      </c>
      <c r="L1199" s="275" t="str">
        <f>IF(H:H=0,"",IF(ISERROR(VLOOKUP(H:H,produtos_escape2!$A$2:$B$2794,2,FALSE)),"Código não cadastrado",(VLOOKUP(H:H,produtos_escape2!$A$2:$B$2794,2,FALSE))))</f>
        <v xml:space="preserve">SWABS-LENÇO OU GAZE UMED. C/ALCOOL ISOPROPÍLICO 70% P/ ASSEPSIA DE PELE. Swab-lenço umedecido com álcool isopropílico 70%; medindo aproximadamente 3 cm x 6 cm (+/– 0,5 cm) aberto; Uso Descartável; Embalado individualmente em envelope sachê que garanta a integridade do produto. </v>
      </c>
      <c r="M1199" s="593" t="str">
        <f>IF(H:H=0,"",IF(ISERROR(VLOOKUP(H:H,produtos_escape2!$A$2:$D$2794,2,FALSE)),"Código não cadastrado",(VLOOKUP(H:H,produtos_escape2!$A$2:$D$2794,4,FALSE))))</f>
        <v>UN</v>
      </c>
      <c r="N1199" s="486">
        <v>3000</v>
      </c>
      <c r="O1199" s="176" t="s">
        <v>4379</v>
      </c>
      <c r="P1199" s="486">
        <v>3000</v>
      </c>
      <c r="Q1199" s="247">
        <v>7.0000000000000007E-2</v>
      </c>
      <c r="R1199" s="246">
        <f t="shared" si="45"/>
        <v>210.00000000000003</v>
      </c>
      <c r="S1199" s="177">
        <v>44151</v>
      </c>
      <c r="T1199" s="182">
        <v>16462</v>
      </c>
      <c r="U1199" s="177">
        <v>44151</v>
      </c>
      <c r="V1199" s="177">
        <v>44152</v>
      </c>
      <c r="W1199" s="177">
        <v>44152</v>
      </c>
      <c r="X1199" s="176">
        <v>31870</v>
      </c>
      <c r="Y1199" s="177">
        <v>44167</v>
      </c>
      <c r="Z1199" s="415">
        <v>6</v>
      </c>
      <c r="AA1199" s="488" t="s">
        <v>10282</v>
      </c>
      <c r="AB1199" s="594"/>
      <c r="AC1199" s="595"/>
      <c r="AD1199" s="596" t="str">
        <f>IF(AND(AC1199&lt;&gt;"",S1199&lt;&gt;""),NETWORKDAYS(AC1199,S1199,#REF!),"")</f>
        <v/>
      </c>
      <c r="AE1199" s="596" t="str">
        <f ca="1">IF(AND(AD1199="",AC1199=""),"",IF(OR(AD1199&lt;&gt;"",O1199="*CANCELADO"),"",NETWORKDAYS(AC1199,TODAY(),#REF!)))</f>
        <v/>
      </c>
      <c r="AF1199" s="597">
        <f>IFERROR(INDEX(produtos_escape2!M:M,MATCH(Controle!H1199,produtos_escape2!A:A,0)),"")</f>
        <v>0</v>
      </c>
    </row>
    <row r="1200" spans="1:32" ht="14.25" customHeight="1">
      <c r="A1200" s="176" t="s">
        <v>7456</v>
      </c>
      <c r="B1200" s="176" t="s">
        <v>1687</v>
      </c>
      <c r="C1200" s="177">
        <v>44124</v>
      </c>
      <c r="D1200" s="176" t="s">
        <v>10196</v>
      </c>
      <c r="E1200" s="176" t="s">
        <v>3008</v>
      </c>
      <c r="F1200" s="259" t="s">
        <v>10315</v>
      </c>
      <c r="G1200" s="203">
        <v>1</v>
      </c>
      <c r="H1200" s="178">
        <v>23150</v>
      </c>
      <c r="I1200" s="592">
        <f t="shared" si="42"/>
        <v>1</v>
      </c>
      <c r="J1200" s="178" t="s">
        <v>816</v>
      </c>
      <c r="K1200" s="178" t="s">
        <v>816</v>
      </c>
      <c r="L1200" s="275" t="str">
        <f>IF(H:H=0,"",IF(ISERROR(VLOOKUP(H:H,produtos_escape2!$A$2:$B$2794,2,FALSE)),"Código não cadastrado",(VLOOKUP(H:H,produtos_escape2!$A$2:$B$2794,2,FALSE))))</f>
        <v>CONJUNTO MANIFOLD PARA GÁS FREON ART. R-12/ 22/ 502 - 134ª: Aplicação: medir a quantidade de pressão de gás utilizado na refrigeração e em ar condicionado; Característica: corpo em bronze com gancho rotatório, escala dupla de pressões PSIG/ Kg/ Cm ², escala dupla de temperaturas em ºC/ ºF, indicador de umidade e visor inclusos no corpo, disponível em modelos para R134A, mangueira 60ö  125cm, manômetros anti-vibração com escalas coloridas para fácil leitura, protetor plástico para evitar danos prematuros, incluso jogo de mangueiras para cada modelo; Peso entre 1,300 Kg e 1,900 Kg dependendo da marca. Prazo de Validade: não há, Unidade de Estoque: unidade.</v>
      </c>
      <c r="M1200" s="593" t="str">
        <f>IF(H:H=0,"",IF(ISERROR(VLOOKUP(H:H,produtos_escape2!$A$2:$D$2794,2,FALSE)),"Código não cadastrado",(VLOOKUP(H:H,produtos_escape2!$A$2:$D$2794,4,FALSE))))</f>
        <v>UN</v>
      </c>
      <c r="N1200" s="486">
        <v>1</v>
      </c>
      <c r="O1200" s="176" t="s">
        <v>5740</v>
      </c>
      <c r="P1200" s="486">
        <v>1</v>
      </c>
      <c r="Q1200" s="247">
        <v>332.5</v>
      </c>
      <c r="R1200" s="246">
        <f t="shared" si="45"/>
        <v>332.5</v>
      </c>
      <c r="S1200" s="177">
        <v>44161</v>
      </c>
      <c r="T1200" s="182">
        <v>523254</v>
      </c>
      <c r="U1200" s="177">
        <v>44167</v>
      </c>
      <c r="V1200" s="177">
        <v>44175</v>
      </c>
      <c r="W1200" s="177">
        <v>44175</v>
      </c>
      <c r="X1200" s="176" t="s">
        <v>10674</v>
      </c>
      <c r="Y1200" s="177"/>
      <c r="Z1200" s="415">
        <v>6</v>
      </c>
      <c r="AA1200" s="488" t="s">
        <v>10282</v>
      </c>
      <c r="AB1200" s="594"/>
      <c r="AC1200" s="595"/>
      <c r="AD1200" s="596" t="str">
        <f>IF(AND(AC1200&lt;&gt;"",S1200&lt;&gt;""),NETWORKDAYS(AC1200,S1200,#REF!),"")</f>
        <v/>
      </c>
      <c r="AE1200" s="596" t="str">
        <f ca="1">IF(AND(AD1200="",AC1200=""),"",IF(OR(AD1200&lt;&gt;"",O1200="*CANCELADO"),"",NETWORKDAYS(AC1200,TODAY(),#REF!)))</f>
        <v/>
      </c>
      <c r="AF1200" s="597" t="str">
        <f>IFERROR(INDEX(produtos_escape2!M:M,MATCH(Controle!H1200,produtos_escape2!A:A,0)),"")</f>
        <v>CONJUNTO MANIFOLD PARA GÁS FREON ART. R-12/ 22/ 502 - 134ª:</v>
      </c>
    </row>
    <row r="1201" spans="1:32" ht="14.25" customHeight="1">
      <c r="A1201" s="176" t="s">
        <v>7456</v>
      </c>
      <c r="B1201" s="176" t="s">
        <v>1687</v>
      </c>
      <c r="C1201" s="177">
        <v>44124</v>
      </c>
      <c r="D1201" s="176" t="s">
        <v>10196</v>
      </c>
      <c r="E1201" s="176" t="s">
        <v>3008</v>
      </c>
      <c r="F1201" s="259" t="s">
        <v>10315</v>
      </c>
      <c r="G1201" s="203">
        <v>2</v>
      </c>
      <c r="H1201" s="178">
        <v>28772</v>
      </c>
      <c r="I1201" s="592">
        <f t="shared" si="42"/>
        <v>2</v>
      </c>
      <c r="J1201" s="178" t="s">
        <v>816</v>
      </c>
      <c r="K1201" s="178" t="s">
        <v>816</v>
      </c>
      <c r="L1201" s="275" t="str">
        <f>IF(H:H=0,"",IF(ISERROR(VLOOKUP(H:H,produtos_escape2!$A$2:$B$2794,2,FALSE)),"Código não cadastrado",(VLOOKUP(H:H,produtos_escape2!$A$2:$B$2794,2,FALSE))))</f>
        <v>Gás refrigerante, tipo r-134, aplicação sistema de geladeira, apresentação cilindro</v>
      </c>
      <c r="M1201" s="593" t="str">
        <f>IF(H:H=0,"",IF(ISERROR(VLOOKUP(H:H,produtos_escape2!$A$2:$D$2794,2,FALSE)),"Código não cadastrado",(VLOOKUP(H:H,produtos_escape2!$A$2:$D$2794,4,FALSE))))</f>
        <v>KG</v>
      </c>
      <c r="N1201" s="486">
        <v>1</v>
      </c>
      <c r="O1201" s="176" t="s">
        <v>5740</v>
      </c>
      <c r="P1201" s="486">
        <v>1</v>
      </c>
      <c r="Q1201" s="247">
        <v>70</v>
      </c>
      <c r="R1201" s="246">
        <f t="shared" si="45"/>
        <v>70</v>
      </c>
      <c r="S1201" s="177">
        <v>44161</v>
      </c>
      <c r="T1201" s="182">
        <v>523254</v>
      </c>
      <c r="U1201" s="177">
        <v>44167</v>
      </c>
      <c r="V1201" s="177">
        <v>44175</v>
      </c>
      <c r="W1201" s="177">
        <v>44175</v>
      </c>
      <c r="X1201" s="176" t="s">
        <v>10674</v>
      </c>
      <c r="Y1201" s="177"/>
      <c r="Z1201" s="415">
        <v>6</v>
      </c>
      <c r="AA1201" s="488" t="s">
        <v>10282</v>
      </c>
      <c r="AB1201" s="594"/>
      <c r="AC1201" s="595"/>
      <c r="AD1201" s="596" t="str">
        <f>IF(AND(AC1201&lt;&gt;"",S1201&lt;&gt;""),NETWORKDAYS(AC1201,S1201,#REF!),"")</f>
        <v/>
      </c>
      <c r="AE1201" s="596" t="str">
        <f ca="1">IF(AND(AD1201="",AC1201=""),"",IF(OR(AD1201&lt;&gt;"",O1201="*CANCELADO"),"",NETWORKDAYS(AC1201,TODAY(),#REF!)))</f>
        <v/>
      </c>
      <c r="AF1201" s="597" t="str">
        <f>IFERROR(INDEX(produtos_escape2!M:M,MATCH(Controle!H1201,produtos_escape2!A:A,0)),"")</f>
        <v>Gás refrigerante</v>
      </c>
    </row>
    <row r="1202" spans="1:32" ht="14.25" customHeight="1">
      <c r="A1202" s="176" t="s">
        <v>9454</v>
      </c>
      <c r="B1202" s="176" t="s">
        <v>3608</v>
      </c>
      <c r="C1202" s="177">
        <v>44125</v>
      </c>
      <c r="D1202" s="176" t="s">
        <v>10208</v>
      </c>
      <c r="E1202" s="176" t="s">
        <v>3008</v>
      </c>
      <c r="F1202" s="259" t="s">
        <v>10316</v>
      </c>
      <c r="G1202" s="203">
        <v>1</v>
      </c>
      <c r="H1202" s="178">
        <v>30972</v>
      </c>
      <c r="I1202" s="592">
        <f t="shared" si="42"/>
        <v>7</v>
      </c>
      <c r="J1202" s="178" t="s">
        <v>816</v>
      </c>
      <c r="K1202" s="178" t="s">
        <v>816</v>
      </c>
      <c r="L1202" s="275" t="str">
        <f>IF(H:H=0,"",IF(ISERROR(VLOOKUP(H:H,produtos_escape2!$A$2:$B$2794,2,FALSE)),"Código não cadastrado",(VLOOKUP(H:H,produtos_escape2!$A$2:$B$2794,2,FALSE))))</f>
        <v>CATETER NASAL ADULTO, EM SILICONE, TIPO ÓCULOS, PARA OXIGENOTERAPIA. Aplicação: oxigenoterapia em paciente adulto. Material: polivinil atóxico e silicone. Características Adicionais: com extensão mínima de 2,1 em PVC, flexível com ajuste e adaptação confortável, contendo um dispositivo que se adapte às narinas, todo em silicone flexível, com haste de sustentação sobre as orelhas (como óculos). Apresentação: embalagem individual, descartável, Unidade de Estoque: Unidade (UN). Não Estéril.</v>
      </c>
      <c r="M1202" s="593" t="str">
        <f>IF(H:H=0,"",IF(ISERROR(VLOOKUP(H:H,produtos_escape2!$A$2:$D$2794,2,FALSE)),"Código não cadastrado",(VLOOKUP(H:H,produtos_escape2!$A$2:$D$2794,4,FALSE))))</f>
        <v>UN</v>
      </c>
      <c r="N1202" s="486">
        <v>500</v>
      </c>
      <c r="O1202" s="176" t="s">
        <v>7371</v>
      </c>
      <c r="P1202" s="486">
        <v>500</v>
      </c>
      <c r="Q1202" s="247">
        <v>0.85</v>
      </c>
      <c r="R1202" s="246">
        <f t="shared" si="45"/>
        <v>425</v>
      </c>
      <c r="S1202" s="177">
        <v>44151</v>
      </c>
      <c r="T1202" s="182">
        <v>404011</v>
      </c>
      <c r="U1202" s="673">
        <v>44160</v>
      </c>
      <c r="V1202" s="673">
        <v>44160</v>
      </c>
      <c r="W1202" s="673">
        <v>44173</v>
      </c>
      <c r="X1202" s="672" t="s">
        <v>10674</v>
      </c>
      <c r="Y1202" s="177"/>
      <c r="Z1202" s="415">
        <v>6</v>
      </c>
      <c r="AA1202" s="488" t="s">
        <v>10282</v>
      </c>
      <c r="AB1202" s="594"/>
      <c r="AC1202" s="595"/>
      <c r="AD1202" s="596" t="str">
        <f>IF(AND(AC1202&lt;&gt;"",S1202&lt;&gt;""),NETWORKDAYS(AC1202,S1202,#REF!),"")</f>
        <v/>
      </c>
      <c r="AE1202" s="596" t="str">
        <f ca="1">IF(AND(AD1202="",AC1202=""),"",IF(OR(AD1202&lt;&gt;"",O1202="*CANCELADO"),"",NETWORKDAYS(AC1202,TODAY(),#REF!)))</f>
        <v/>
      </c>
      <c r="AF1202" s="597" t="str">
        <f>IFERROR(INDEX(produtos_escape2!M:M,MATCH(Controle!H1202,produtos_escape2!A:A,0)),"")</f>
        <v>CATETER NASAL ADULTO</v>
      </c>
    </row>
    <row r="1203" spans="1:32" ht="14.25" customHeight="1">
      <c r="A1203" s="176" t="s">
        <v>9456</v>
      </c>
      <c r="B1203" s="176" t="s">
        <v>3608</v>
      </c>
      <c r="C1203" s="177">
        <v>44125</v>
      </c>
      <c r="D1203" s="176" t="s">
        <v>10209</v>
      </c>
      <c r="E1203" s="176" t="s">
        <v>3008</v>
      </c>
      <c r="F1203" s="259" t="s">
        <v>10317</v>
      </c>
      <c r="G1203" s="203">
        <v>1</v>
      </c>
      <c r="H1203" s="178">
        <v>91207</v>
      </c>
      <c r="I1203" s="592">
        <f t="shared" si="42"/>
        <v>4</v>
      </c>
      <c r="J1203" s="178" t="s">
        <v>816</v>
      </c>
      <c r="K1203" s="178" t="s">
        <v>816</v>
      </c>
      <c r="L1203" s="275" t="str">
        <f>IF(H:H=0,"",IF(ISERROR(VLOOKUP(H:H,produtos_escape2!$A$2:$B$2794,2,FALSE)),"Código não cadastrado",(VLOOKUP(H:H,produtos_escape2!$A$2:$B$2794,2,FALSE))))</f>
        <v>CURATIVO DE HIDROFIBRA, ESTERIL. Composição: carboximetilcelulose associada à prata, estéril, não aderente. Tamanho: 15x15cm. Apresentação: embalagem individual.</v>
      </c>
      <c r="M1203" s="593" t="str">
        <f>IF(H:H=0,"",IF(ISERROR(VLOOKUP(H:H,produtos_escape2!$A$2:$D$2794,2,FALSE)),"Código não cadastrado",(VLOOKUP(H:H,produtos_escape2!$A$2:$D$2794,4,FALSE))))</f>
        <v>UN</v>
      </c>
      <c r="N1203" s="486">
        <v>200</v>
      </c>
      <c r="O1203" s="176" t="s">
        <v>7285</v>
      </c>
      <c r="P1203" s="486">
        <v>200</v>
      </c>
      <c r="Q1203" s="247">
        <v>49.5</v>
      </c>
      <c r="R1203" s="246">
        <f t="shared" si="45"/>
        <v>9900</v>
      </c>
      <c r="S1203" s="177">
        <v>44151</v>
      </c>
      <c r="T1203" s="182">
        <v>57606</v>
      </c>
      <c r="U1203" s="177">
        <v>44154</v>
      </c>
      <c r="V1203" s="177">
        <v>44161</v>
      </c>
      <c r="W1203" s="177">
        <v>44173</v>
      </c>
      <c r="X1203" s="176" t="s">
        <v>10674</v>
      </c>
      <c r="Y1203" s="177"/>
      <c r="Z1203" s="415">
        <v>6</v>
      </c>
      <c r="AA1203" s="488" t="s">
        <v>10282</v>
      </c>
      <c r="AB1203" s="594"/>
      <c r="AC1203" s="595"/>
      <c r="AD1203" s="596" t="str">
        <f>IF(AND(AC1203&lt;&gt;"",S1203&lt;&gt;""),NETWORKDAYS(AC1203,S1203,#REF!),"")</f>
        <v/>
      </c>
      <c r="AE1203" s="596" t="str">
        <f ca="1">IF(AND(AD1203="",AC1203=""),"",IF(OR(AD1203&lt;&gt;"",O1203="*CANCELADO"),"",NETWORKDAYS(AC1203,TODAY(),#REF!)))</f>
        <v/>
      </c>
      <c r="AF1203" s="597" t="str">
        <f>IFERROR(INDEX(produtos_escape2!M:M,MATCH(Controle!H1203,produtos_escape2!A:A,0)),"")</f>
        <v>CURATIVO DE HIDROFIBRA</v>
      </c>
    </row>
    <row r="1204" spans="1:32" ht="14.25" customHeight="1">
      <c r="A1204" s="176" t="s">
        <v>9458</v>
      </c>
      <c r="B1204" s="176" t="s">
        <v>3608</v>
      </c>
      <c r="C1204" s="177">
        <v>44125</v>
      </c>
      <c r="D1204" s="176" t="s">
        <v>10210</v>
      </c>
      <c r="E1204" s="176" t="s">
        <v>3008</v>
      </c>
      <c r="F1204" s="259" t="s">
        <v>10318</v>
      </c>
      <c r="G1204" s="203">
        <v>1</v>
      </c>
      <c r="H1204" s="178">
        <v>27783</v>
      </c>
      <c r="I1204" s="592">
        <f t="shared" si="42"/>
        <v>2</v>
      </c>
      <c r="J1204" s="178" t="s">
        <v>816</v>
      </c>
      <c r="K1204" s="178" t="s">
        <v>816</v>
      </c>
      <c r="L1204" s="275" t="str">
        <f>IF(H:H=0,"",IF(ISERROR(VLOOKUP(H:H,produtos_escape2!$A$2:$B$2794,2,FALSE)),"Código não cadastrado",(VLOOKUP(H:H,produtos_escape2!$A$2:$B$2794,2,FALSE))))</f>
        <v>COMPRESSA ALGODONADA PARA CURATIVO TIPO COXIM 15CM x 30CM ESTERIL. Aplicação: como cobertura primária e/ou secundária em feridas altamente exsudativas e/ou saguinolentas e para proteção de proeminências ósseas. Material: tecido de gaze 100% algodão e algodão hidrófilo. Cáracteríscias Adicionais: em 13 fios, com acabamento que não libere fiapos nem resíduos de algodãos, medindo aberta 15 cm x 60 cm, com ausência de amido, alvejante óptico, fiapos e sujidades, altamente absorvente. Embalagem com selagem que assegure a esterilidade do produto em papel grau cirúrgico, ou similar, que permita abertura e transferência em técnica asséptica, sem delaminar. Apresentação: embalagem individual acondicionadas em caixas. Unidade de estoque: Unidade (UN).  BR0283949.</v>
      </c>
      <c r="M1204" s="593" t="str">
        <f>IF(H:H=0,"",IF(ISERROR(VLOOKUP(H:H,produtos_escape2!$A$2:$D$2794,2,FALSE)),"Código não cadastrado",(VLOOKUP(H:H,produtos_escape2!$A$2:$D$2794,4,FALSE))))</f>
        <v>UN</v>
      </c>
      <c r="N1204" s="486">
        <v>1200</v>
      </c>
      <c r="O1204" s="176" t="s">
        <v>1868</v>
      </c>
      <c r="P1204" s="486"/>
      <c r="Q1204" s="247"/>
      <c r="R1204" s="246">
        <f t="shared" si="45"/>
        <v>0</v>
      </c>
      <c r="S1204" s="177"/>
      <c r="T1204" s="182"/>
      <c r="U1204" s="177"/>
      <c r="V1204" s="177"/>
      <c r="W1204" s="177"/>
      <c r="X1204" s="176"/>
      <c r="Y1204" s="177"/>
      <c r="Z1204" s="415">
        <v>6</v>
      </c>
      <c r="AA1204" s="488" t="s">
        <v>10328</v>
      </c>
      <c r="AB1204" s="594"/>
      <c r="AC1204" s="595"/>
      <c r="AD1204" s="596" t="str">
        <f>IF(AND(AC1204&lt;&gt;"",S1204&lt;&gt;""),NETWORKDAYS(AC1204,S1204,#REF!),"")</f>
        <v/>
      </c>
      <c r="AE1204" s="596" t="str">
        <f ca="1">IF(AND(AD1204="",AC1204=""),"",IF(OR(AD1204&lt;&gt;"",O1204="*CANCELADO"),"",NETWORKDAYS(AC1204,TODAY(),#REF!)))</f>
        <v/>
      </c>
      <c r="AF1204" s="597" t="str">
        <f>IFERROR(INDEX(produtos_escape2!M:M,MATCH(Controle!H1204,produtos_escape2!A:A,0)),"")</f>
        <v>COMPRESSA ALGODONADA PARA CURATIVO TIPO COXIM 15CM x 30CM ESTERIL</v>
      </c>
    </row>
    <row r="1205" spans="1:32" ht="14.25" customHeight="1">
      <c r="A1205" s="176" t="s">
        <v>9475</v>
      </c>
      <c r="B1205" s="176" t="s">
        <v>3608</v>
      </c>
      <c r="C1205" s="177">
        <v>44133</v>
      </c>
      <c r="D1205" s="176" t="s">
        <v>10247</v>
      </c>
      <c r="E1205" s="176" t="s">
        <v>3008</v>
      </c>
      <c r="F1205" s="259" t="s">
        <v>10319</v>
      </c>
      <c r="G1205" s="203">
        <v>1</v>
      </c>
      <c r="H1205" s="178">
        <v>92092</v>
      </c>
      <c r="I1205" s="592">
        <f t="shared" ref="I1205:I1236" si="46">COUNTIF($H$3:$H$3041,H1205)</f>
        <v>1</v>
      </c>
      <c r="J1205" s="178" t="s">
        <v>816</v>
      </c>
      <c r="K1205" s="178" t="s">
        <v>816</v>
      </c>
      <c r="L1205" s="275" t="str">
        <f>IF(H:H=0,"",IF(ISERROR(VLOOKUP(H:H,produtos_escape2!$A$2:$B$2794,2,FALSE)),"Código não cadastrado",(VLOOKUP(H:H,produtos_escape2!$A$2:$B$2794,2,FALSE))))</f>
        <v xml:space="preserve">Cânula para traqueostomia, material polivinil flexível, formato ponta arredondada, tamanho 04, características adicionais balão de baixa pressão, tipo estéril e descartável. </v>
      </c>
      <c r="M1205" s="593" t="str">
        <f>IF(H:H=0,"",IF(ISERROR(VLOOKUP(H:H,produtos_escape2!$A$2:$D$2794,2,FALSE)),"Código não cadastrado",(VLOOKUP(H:H,produtos_escape2!$A$2:$D$2794,4,FALSE))))</f>
        <v>UN</v>
      </c>
      <c r="N1205" s="486">
        <v>400</v>
      </c>
      <c r="O1205" s="176" t="s">
        <v>1868</v>
      </c>
      <c r="P1205" s="486"/>
      <c r="Q1205" s="247">
        <v>17.53</v>
      </c>
      <c r="R1205" s="246">
        <f t="shared" si="45"/>
        <v>0</v>
      </c>
      <c r="S1205" s="177">
        <v>44151</v>
      </c>
      <c r="T1205" s="182"/>
      <c r="U1205" s="177"/>
      <c r="V1205" s="177"/>
      <c r="W1205" s="177"/>
      <c r="X1205" s="176"/>
      <c r="Y1205" s="177"/>
      <c r="Z1205" s="415">
        <v>6</v>
      </c>
      <c r="AA1205" s="488" t="s">
        <v>10407</v>
      </c>
      <c r="AB1205" s="594"/>
      <c r="AC1205" s="595"/>
      <c r="AD1205" s="596" t="str">
        <f>IF(AND(AC1205&lt;&gt;"",S1205&lt;&gt;""),NETWORKDAYS(AC1205,S1205,#REF!),"")</f>
        <v/>
      </c>
      <c r="AE1205" s="596" t="str">
        <f ca="1">IF(AND(AD1205="",AC1205=""),"",IF(OR(AD1205&lt;&gt;"",O1205="*CANCELADO"),"",NETWORKDAYS(AC1205,TODAY(),#REF!)))</f>
        <v/>
      </c>
      <c r="AF1205" s="597" t="str">
        <f>IFERROR(INDEX(produtos_escape2!M:M,MATCH(Controle!H1205,produtos_escape2!A:A,0)),"")</f>
        <v>Cânula para traqueostomia</v>
      </c>
    </row>
    <row r="1206" spans="1:32" ht="14.25" customHeight="1">
      <c r="A1206" s="176" t="s">
        <v>7471</v>
      </c>
      <c r="B1206" s="176" t="s">
        <v>1687</v>
      </c>
      <c r="C1206" s="177">
        <v>44130</v>
      </c>
      <c r="D1206" s="176" t="s">
        <v>10234</v>
      </c>
      <c r="E1206" s="176" t="s">
        <v>3008</v>
      </c>
      <c r="F1206" s="259" t="s">
        <v>10320</v>
      </c>
      <c r="G1206" s="203">
        <v>1</v>
      </c>
      <c r="H1206" s="178">
        <v>35771</v>
      </c>
      <c r="I1206" s="592">
        <f t="shared" si="46"/>
        <v>2</v>
      </c>
      <c r="J1206" s="178" t="s">
        <v>816</v>
      </c>
      <c r="K1206" s="178" t="s">
        <v>816</v>
      </c>
      <c r="L1206" s="275" t="str">
        <f>IF(H:H=0,"",IF(ISERROR(VLOOKUP(H:H,produtos_escape2!$A$2:$B$2794,2,FALSE)),"Código não cadastrado",(VLOOKUP(H:H,produtos_escape2!$A$2:$B$2794,2,FALSE))))</f>
        <v>Sensor para Oximetria de Pulso (SPO²), tipo Y, para Oxímetro MINDRAY VS800 (neonatal).</v>
      </c>
      <c r="M1206" s="593" t="str">
        <f>IF(H:H=0,"",IF(ISERROR(VLOOKUP(H:H,produtos_escape2!$A$2:$D$2794,2,FALSE)),"Código não cadastrado",(VLOOKUP(H:H,produtos_escape2!$A$2:$D$2794,4,FALSE))))</f>
        <v>UN</v>
      </c>
      <c r="N1206" s="486">
        <v>20</v>
      </c>
      <c r="O1206" s="176" t="s">
        <v>1868</v>
      </c>
      <c r="P1206" s="486"/>
      <c r="Q1206" s="247"/>
      <c r="R1206" s="246">
        <f t="shared" si="45"/>
        <v>0</v>
      </c>
      <c r="S1206" s="177">
        <v>44167</v>
      </c>
      <c r="T1206" s="182"/>
      <c r="U1206" s="177"/>
      <c r="V1206" s="177"/>
      <c r="W1206" s="177"/>
      <c r="X1206" s="176"/>
      <c r="Y1206" s="177"/>
      <c r="Z1206" s="415">
        <v>6</v>
      </c>
      <c r="AA1206" s="488" t="s">
        <v>10283</v>
      </c>
      <c r="AB1206" s="594"/>
      <c r="AC1206" s="595"/>
      <c r="AD1206" s="596" t="str">
        <f>IF(AND(AC1206&lt;&gt;"",S1206&lt;&gt;""),NETWORKDAYS(AC1206,S1206,#REF!),"")</f>
        <v/>
      </c>
      <c r="AE1206" s="596" t="str">
        <f ca="1">IF(AND(AD1206="",AC1206=""),"",IF(OR(AD1206&lt;&gt;"",O1206="*CANCELADO"),"",NETWORKDAYS(AC1206,TODAY(),#REF!)))</f>
        <v/>
      </c>
      <c r="AF1206" s="597" t="str">
        <f>IFERROR(INDEX(produtos_escape2!M:M,MATCH(Controle!H1206,produtos_escape2!A:A,0)),"")</f>
        <v>Sensor para Oximetria de Pulso (SPO²)</v>
      </c>
    </row>
    <row r="1207" spans="1:32" ht="14.25" customHeight="1">
      <c r="A1207" s="176" t="s">
        <v>7471</v>
      </c>
      <c r="B1207" s="176" t="s">
        <v>1687</v>
      </c>
      <c r="C1207" s="177">
        <v>44130</v>
      </c>
      <c r="D1207" s="176" t="s">
        <v>10234</v>
      </c>
      <c r="E1207" s="176" t="s">
        <v>3008</v>
      </c>
      <c r="F1207" s="259" t="s">
        <v>10320</v>
      </c>
      <c r="G1207" s="203">
        <v>2</v>
      </c>
      <c r="H1207" s="178">
        <v>19084</v>
      </c>
      <c r="I1207" s="592">
        <f t="shared" si="46"/>
        <v>1</v>
      </c>
      <c r="J1207" s="178" t="s">
        <v>816</v>
      </c>
      <c r="K1207" s="178" t="s">
        <v>816</v>
      </c>
      <c r="L1207" s="275" t="str">
        <f>IF(H:H=0,"",IF(ISERROR(VLOOKUP(H:H,produtos_escape2!$A$2:$B$2794,2,FALSE)),"Código não cadastrado",(VLOOKUP(H:H,produtos_escape2!$A$2:$B$2794,2,FALSE))))</f>
        <v>SENSOR DE OXIMETRIA PARA EQUIPAMENTO OXP10 - EMAI. 1</v>
      </c>
      <c r="M1207" s="593" t="str">
        <f>IF(H:H=0,"",IF(ISERROR(VLOOKUP(H:H,produtos_escape2!$A$2:$D$2794,2,FALSE)),"Código não cadastrado",(VLOOKUP(H:H,produtos_escape2!$A$2:$D$2794,4,FALSE))))</f>
        <v>UM</v>
      </c>
      <c r="N1207" s="486">
        <v>20</v>
      </c>
      <c r="O1207" s="176" t="s">
        <v>1868</v>
      </c>
      <c r="P1207" s="486"/>
      <c r="Q1207" s="247"/>
      <c r="R1207" s="246">
        <f t="shared" si="45"/>
        <v>0</v>
      </c>
      <c r="S1207" s="177">
        <v>44168</v>
      </c>
      <c r="T1207" s="182"/>
      <c r="U1207" s="177"/>
      <c r="V1207" s="177"/>
      <c r="W1207" s="177"/>
      <c r="X1207" s="176"/>
      <c r="Y1207" s="177"/>
      <c r="Z1207" s="415">
        <v>6</v>
      </c>
      <c r="AA1207" s="488" t="s">
        <v>10283</v>
      </c>
      <c r="AB1207" s="594"/>
      <c r="AC1207" s="595"/>
      <c r="AD1207" s="596" t="str">
        <f>IF(AND(AC1207&lt;&gt;"",S1207&lt;&gt;""),NETWORKDAYS(AC1207,S1207,#REF!),"")</f>
        <v/>
      </c>
      <c r="AE1207" s="596" t="str">
        <f ca="1">IF(AND(AD1207="",AC1207=""),"",IF(OR(AD1207&lt;&gt;"",O1207="*CANCELADO"),"",NETWORKDAYS(AC1207,TODAY(),#REF!)))</f>
        <v/>
      </c>
      <c r="AF1207" s="597" t="str">
        <f>IFERROR(INDEX(produtos_escape2!M:M,MATCH(Controle!H1207,produtos_escape2!A:A,0)),"")</f>
        <v>SENSOR DE OXIMETRIA PARA EQUIPAMENTO OXP10 - EMAI. 1</v>
      </c>
    </row>
    <row r="1208" spans="1:32" ht="14.25" customHeight="1">
      <c r="A1208" s="176" t="s">
        <v>7471</v>
      </c>
      <c r="B1208" s="176" t="s">
        <v>1687</v>
      </c>
      <c r="C1208" s="177">
        <v>44130</v>
      </c>
      <c r="D1208" s="176" t="s">
        <v>10234</v>
      </c>
      <c r="E1208" s="176" t="s">
        <v>3008</v>
      </c>
      <c r="F1208" s="259" t="s">
        <v>10320</v>
      </c>
      <c r="G1208" s="203">
        <v>3</v>
      </c>
      <c r="H1208" s="178">
        <v>35511</v>
      </c>
      <c r="I1208" s="592">
        <f t="shared" si="46"/>
        <v>1</v>
      </c>
      <c r="J1208" s="178" t="s">
        <v>816</v>
      </c>
      <c r="K1208" s="178" t="s">
        <v>816</v>
      </c>
      <c r="L1208" s="275" t="str">
        <f>IF(H:H=0,"",IF(ISERROR(VLOOKUP(H:H,produtos_escape2!$A$2:$B$2794,2,FALSE)),"Código não cadastrado",(VLOOKUP(H:H,produtos_escape2!$A$2:$B$2794,2,FALSE))))</f>
        <v>Sensor neonatal tipo Y universal, confeccionado em silicone hospitalar de fácil limpeza e durabilidade, com cabo flexível de aproximadamente 3 m, com qualidade de leitura da saturação e frequência cardíaca do paciente. Os conectores devem seguir todas as normas e padrões internacionais, compatíveis com diversos modelos e marcas de oxímetros e monitores, podendo ser utilizados para uma checagem rápida ou monitoramento longo e continuo.'</v>
      </c>
      <c r="M1208" s="593" t="str">
        <f>IF(H:H=0,"",IF(ISERROR(VLOOKUP(H:H,produtos_escape2!$A$2:$D$2794,2,FALSE)),"Código não cadastrado",(VLOOKUP(H:H,produtos_escape2!$A$2:$D$2794,4,FALSE))))</f>
        <v>UN</v>
      </c>
      <c r="N1208" s="486">
        <v>20</v>
      </c>
      <c r="O1208" s="176" t="s">
        <v>1868</v>
      </c>
      <c r="P1208" s="486"/>
      <c r="Q1208" s="247"/>
      <c r="R1208" s="246">
        <f t="shared" si="45"/>
        <v>0</v>
      </c>
      <c r="S1208" s="177">
        <v>44169</v>
      </c>
      <c r="T1208" s="182"/>
      <c r="U1208" s="177"/>
      <c r="V1208" s="177"/>
      <c r="W1208" s="177"/>
      <c r="X1208" s="176"/>
      <c r="Y1208" s="177"/>
      <c r="Z1208" s="415">
        <v>6</v>
      </c>
      <c r="AA1208" s="488" t="s">
        <v>10283</v>
      </c>
      <c r="AB1208" s="594"/>
      <c r="AC1208" s="595"/>
      <c r="AD1208" s="596" t="str">
        <f>IF(AND(AC1208&lt;&gt;"",S1208&lt;&gt;""),NETWORKDAYS(AC1208,S1208,#REF!),"")</f>
        <v/>
      </c>
      <c r="AE1208" s="596" t="str">
        <f ca="1">IF(AND(AD1208="",AC1208=""),"",IF(OR(AD1208&lt;&gt;"",O1208="*CANCELADO"),"",NETWORKDAYS(AC1208,TODAY(),#REF!)))</f>
        <v/>
      </c>
      <c r="AF1208" s="597" t="str">
        <f>IFERROR(INDEX(produtos_escape2!M:M,MATCH(Controle!H1208,produtos_escape2!A:A,0)),"")</f>
        <v xml:space="preserve">Sensor neonatal tipo Y </v>
      </c>
    </row>
    <row r="1209" spans="1:32" ht="14.25" customHeight="1">
      <c r="A1209" s="176" t="s">
        <v>7471</v>
      </c>
      <c r="B1209" s="176" t="s">
        <v>1687</v>
      </c>
      <c r="C1209" s="177">
        <v>44130</v>
      </c>
      <c r="D1209" s="176" t="s">
        <v>10234</v>
      </c>
      <c r="E1209" s="176" t="s">
        <v>3008</v>
      </c>
      <c r="F1209" s="259" t="s">
        <v>10320</v>
      </c>
      <c r="G1209" s="203">
        <v>4</v>
      </c>
      <c r="H1209" s="178">
        <v>209</v>
      </c>
      <c r="I1209" s="592">
        <f t="shared" si="46"/>
        <v>1</v>
      </c>
      <c r="J1209" s="178" t="s">
        <v>816</v>
      </c>
      <c r="K1209" s="178" t="s">
        <v>816</v>
      </c>
      <c r="L1209" s="275" t="str">
        <f>IF(H:H=0,"",IF(ISERROR(VLOOKUP(H:H,produtos_escape2!$A$2:$B$2794,2,FALSE)),"Código não cadastrado",(VLOOKUP(H:H,produtos_escape2!$A$2:$B$2794,2,FALSE))))</f>
        <v>LÂMPADA UNIVERSAL, Aplicação: para uso em laringoscópio, Tensão: 2,5 Volts. Rosca Grossa, Características Adicionais: uso compatível com todas as marcas de laringoscópio.</v>
      </c>
      <c r="M1209" s="593" t="str">
        <f>IF(H:H=0,"",IF(ISERROR(VLOOKUP(H:H,produtos_escape2!$A$2:$D$2794,2,FALSE)),"Código não cadastrado",(VLOOKUP(H:H,produtos_escape2!$A$2:$D$2794,4,FALSE))))</f>
        <v>UN</v>
      </c>
      <c r="N1209" s="486">
        <v>100</v>
      </c>
      <c r="O1209" s="176" t="s">
        <v>1868</v>
      </c>
      <c r="P1209" s="486"/>
      <c r="Q1209" s="247"/>
      <c r="R1209" s="246">
        <f t="shared" si="45"/>
        <v>0</v>
      </c>
      <c r="S1209" s="177">
        <v>44170</v>
      </c>
      <c r="T1209" s="182"/>
      <c r="U1209" s="177"/>
      <c r="V1209" s="177"/>
      <c r="W1209" s="177"/>
      <c r="X1209" s="176"/>
      <c r="Y1209" s="177"/>
      <c r="Z1209" s="415">
        <v>6</v>
      </c>
      <c r="AA1209" s="488" t="s">
        <v>10283</v>
      </c>
      <c r="AB1209" s="594"/>
      <c r="AC1209" s="595"/>
      <c r="AD1209" s="596" t="str">
        <f>IF(AND(AC1209&lt;&gt;"",S1209&lt;&gt;""),NETWORKDAYS(AC1209,S1209,#REF!),"")</f>
        <v/>
      </c>
      <c r="AE1209" s="596" t="str">
        <f ca="1">IF(AND(AD1209="",AC1209=""),"",IF(OR(AD1209&lt;&gt;"",O1209="*CANCELADO"),"",NETWORKDAYS(AC1209,TODAY(),#REF!)))</f>
        <v/>
      </c>
      <c r="AF1209" s="597" t="str">
        <f>IFERROR(INDEX(produtos_escape2!M:M,MATCH(Controle!H1209,produtos_escape2!A:A,0)),"")</f>
        <v>LÂMPADA UNIVERSAL</v>
      </c>
    </row>
    <row r="1210" spans="1:32" ht="14.25" customHeight="1">
      <c r="A1210" s="176" t="s">
        <v>7471</v>
      </c>
      <c r="B1210" s="176" t="s">
        <v>1687</v>
      </c>
      <c r="C1210" s="177">
        <v>44130</v>
      </c>
      <c r="D1210" s="176" t="s">
        <v>10234</v>
      </c>
      <c r="E1210" s="176" t="s">
        <v>3008</v>
      </c>
      <c r="F1210" s="259" t="s">
        <v>10320</v>
      </c>
      <c r="G1210" s="203">
        <v>5</v>
      </c>
      <c r="H1210" s="178">
        <v>24543</v>
      </c>
      <c r="I1210" s="592">
        <f t="shared" si="46"/>
        <v>3</v>
      </c>
      <c r="J1210" s="178" t="s">
        <v>816</v>
      </c>
      <c r="K1210" s="178" t="s">
        <v>816</v>
      </c>
      <c r="L1210" s="275" t="str">
        <f>IF(H:H=0,"",IF(ISERROR(VLOOKUP(H:H,produtos_escape2!$A$2:$B$2794,2,FALSE)),"Código não cadastrado",(VLOOKUP(H:H,produtos_escape2!$A$2:$B$2794,2,FALSE))))</f>
        <v>LÂMPADA ALOGÊNEA, 12 volt's , 30 Wat's para uso em Microscópio em laboratório.</v>
      </c>
      <c r="M1210" s="593" t="str">
        <f>IF(H:H=0,"",IF(ISERROR(VLOOKUP(H:H,produtos_escape2!$A$2:$D$2794,2,FALSE)),"Código não cadastrado",(VLOOKUP(H:H,produtos_escape2!$A$2:$D$2794,4,FALSE))))</f>
        <v>UN</v>
      </c>
      <c r="N1210" s="486">
        <v>30</v>
      </c>
      <c r="O1210" s="176" t="s">
        <v>1868</v>
      </c>
      <c r="P1210" s="486"/>
      <c r="Q1210" s="247"/>
      <c r="R1210" s="246">
        <f t="shared" si="45"/>
        <v>0</v>
      </c>
      <c r="S1210" s="177">
        <v>44171</v>
      </c>
      <c r="T1210" s="182"/>
      <c r="U1210" s="177"/>
      <c r="V1210" s="177"/>
      <c r="W1210" s="177"/>
      <c r="X1210" s="176"/>
      <c r="Y1210" s="177"/>
      <c r="Z1210" s="415">
        <v>6</v>
      </c>
      <c r="AA1210" s="488" t="s">
        <v>10283</v>
      </c>
      <c r="AB1210" s="594"/>
      <c r="AC1210" s="595"/>
      <c r="AD1210" s="596" t="str">
        <f>IF(AND(AC1210&lt;&gt;"",S1210&lt;&gt;""),NETWORKDAYS(AC1210,S1210,#REF!),"")</f>
        <v/>
      </c>
      <c r="AE1210" s="596" t="str">
        <f ca="1">IF(AND(AD1210="",AC1210=""),"",IF(OR(AD1210&lt;&gt;"",O1210="*CANCELADO"),"",NETWORKDAYS(AC1210,TODAY(),#REF!)))</f>
        <v/>
      </c>
      <c r="AF1210" s="597" t="str">
        <f>IFERROR(INDEX(produtos_escape2!M:M,MATCH(Controle!H1210,produtos_escape2!A:A,0)),"")</f>
        <v>LÂMPADA ALOGÊNEA</v>
      </c>
    </row>
    <row r="1211" spans="1:32" ht="14.25" customHeight="1">
      <c r="A1211" s="176" t="s">
        <v>7471</v>
      </c>
      <c r="B1211" s="176" t="s">
        <v>1687</v>
      </c>
      <c r="C1211" s="177">
        <v>44130</v>
      </c>
      <c r="D1211" s="176" t="s">
        <v>10234</v>
      </c>
      <c r="E1211" s="176" t="s">
        <v>3008</v>
      </c>
      <c r="F1211" s="259" t="s">
        <v>10320</v>
      </c>
      <c r="G1211" s="203">
        <v>6</v>
      </c>
      <c r="H1211" s="178">
        <v>31885</v>
      </c>
      <c r="I1211" s="592">
        <f t="shared" si="46"/>
        <v>1</v>
      </c>
      <c r="J1211" s="178" t="s">
        <v>816</v>
      </c>
      <c r="K1211" s="178" t="s">
        <v>816</v>
      </c>
      <c r="L1211" s="275" t="str">
        <f>IF(H:H=0,"",IF(ISERROR(VLOOKUP(H:H,produtos_escape2!$A$2:$B$2794,2,FALSE)),"Código não cadastrado",(VLOOKUP(H:H,produtos_escape2!$A$2:$B$2794,2,FALSE))))</f>
        <v>LAMPÂDA PARA FOCO CIRURGICO, COMPATIVEL COM A MARCA MAQUET, MOD. BLUE - 80, REF. 64668 X IR 80W 22,8V.</v>
      </c>
      <c r="M1211" s="593" t="str">
        <f>IF(H:H=0,"",IF(ISERROR(VLOOKUP(H:H,produtos_escape2!$A$2:$D$2794,2,FALSE)),"Código não cadastrado",(VLOOKUP(H:H,produtos_escape2!$A$2:$D$2794,4,FALSE))))</f>
        <v>UN</v>
      </c>
      <c r="N1211" s="486">
        <v>20</v>
      </c>
      <c r="O1211" s="176" t="s">
        <v>1868</v>
      </c>
      <c r="P1211" s="486"/>
      <c r="Q1211" s="247"/>
      <c r="R1211" s="246">
        <f t="shared" si="45"/>
        <v>0</v>
      </c>
      <c r="S1211" s="177">
        <v>44172</v>
      </c>
      <c r="T1211" s="182"/>
      <c r="U1211" s="177"/>
      <c r="V1211" s="177"/>
      <c r="W1211" s="177"/>
      <c r="X1211" s="176"/>
      <c r="Y1211" s="177"/>
      <c r="Z1211" s="415">
        <v>6</v>
      </c>
      <c r="AA1211" s="488" t="s">
        <v>10283</v>
      </c>
      <c r="AB1211" s="594"/>
      <c r="AC1211" s="595"/>
      <c r="AD1211" s="596" t="str">
        <f>IF(AND(AC1211&lt;&gt;"",S1211&lt;&gt;""),NETWORKDAYS(AC1211,S1211,#REF!),"")</f>
        <v/>
      </c>
      <c r="AE1211" s="596" t="str">
        <f ca="1">IF(AND(AD1211="",AC1211=""),"",IF(OR(AD1211&lt;&gt;"",O1211="*CANCELADO"),"",NETWORKDAYS(AC1211,TODAY(),#REF!)))</f>
        <v/>
      </c>
      <c r="AF1211" s="597" t="str">
        <f>IFERROR(INDEX(produtos_escape2!M:M,MATCH(Controle!H1211,produtos_escape2!A:A,0)),"")</f>
        <v>LAMPÂDA PARA FOCO CIRURGICO</v>
      </c>
    </row>
    <row r="1212" spans="1:32" ht="14.25" customHeight="1">
      <c r="A1212" s="176" t="s">
        <v>9481</v>
      </c>
      <c r="B1212" s="176" t="s">
        <v>3608</v>
      </c>
      <c r="C1212" s="177">
        <v>44139</v>
      </c>
      <c r="D1212" s="176" t="s">
        <v>10263</v>
      </c>
      <c r="E1212" s="176" t="s">
        <v>3008</v>
      </c>
      <c r="F1212" s="259" t="s">
        <v>10321</v>
      </c>
      <c r="G1212" s="203">
        <v>1</v>
      </c>
      <c r="H1212" s="178">
        <v>92033</v>
      </c>
      <c r="I1212" s="592">
        <f t="shared" si="46"/>
        <v>3</v>
      </c>
      <c r="J1212" s="178" t="s">
        <v>816</v>
      </c>
      <c r="K1212" s="178" t="s">
        <v>816</v>
      </c>
      <c r="L1212" s="275" t="str">
        <f>IF(H:H=0,"",IF(ISERROR(VLOOKUP(H:H,produtos_escape2!$A$2:$B$2794,2,FALSE)),"Código não cadastrado",(VLOOKUP(H:H,produtos_escape2!$A$2:$B$2794,2,FALSE))))</f>
        <v>TUBO ENDOTRAQUEAL, MATERIAL PVC SILICONIZADO ATÓXICO, TAMANHO 7.0, APLICAÇÃO ORAL, CARACTERÍSTICAS ADICIONAIS CURVA PRÉ-FORMADA, TIPO CONECTOR ADAPTÁVEL,SUPERFÍCIE LISA, TRANSMITÂNCIA LINHA RADIOPACA DE PONTA A PONTA, COMPONENTES BALÃO DE ALTO VOLUME E BAIXA PRESSÃO, TIPO USO DESCARTÁVEL, ESTERILIDADE ESTÉRIL, EMBALAGEM INDIVIDUAL.</v>
      </c>
      <c r="M1212" s="593" t="str">
        <f>IF(H:H=0,"",IF(ISERROR(VLOOKUP(H:H,produtos_escape2!$A$2:$D$2794,2,FALSE)),"Código não cadastrado",(VLOOKUP(H:H,produtos_escape2!$A$2:$D$2794,4,FALSE))))</f>
        <v>UN</v>
      </c>
      <c r="N1212" s="486">
        <v>100</v>
      </c>
      <c r="O1212" s="176" t="s">
        <v>4357</v>
      </c>
      <c r="P1212" s="486">
        <v>50</v>
      </c>
      <c r="Q1212" s="247">
        <v>4.5199999999999996</v>
      </c>
      <c r="R1212" s="246">
        <f t="shared" si="45"/>
        <v>225.99999999999997</v>
      </c>
      <c r="S1212" s="177">
        <v>44175</v>
      </c>
      <c r="T1212" s="182">
        <v>2148</v>
      </c>
      <c r="U1212" s="177">
        <v>44176</v>
      </c>
      <c r="V1212" s="177">
        <v>44177</v>
      </c>
      <c r="W1212" s="177">
        <v>44182</v>
      </c>
      <c r="X1212" s="176" t="s">
        <v>10674</v>
      </c>
      <c r="Y1212" s="177"/>
      <c r="Z1212" s="415">
        <v>6</v>
      </c>
      <c r="AA1212" s="488" t="s">
        <v>10285</v>
      </c>
      <c r="AB1212" s="594"/>
      <c r="AC1212" s="595"/>
      <c r="AD1212" s="596" t="str">
        <f>IF(AND(AC1212&lt;&gt;"",S1212&lt;&gt;""),NETWORKDAYS(AC1212,S1212,#REF!),"")</f>
        <v/>
      </c>
      <c r="AE1212" s="596" t="str">
        <f ca="1">IF(AND(AD1212="",AC1212=""),"",IF(OR(AD1212&lt;&gt;"",O1212="*CANCELADO"),"",NETWORKDAYS(AC1212,TODAY(),#REF!)))</f>
        <v/>
      </c>
      <c r="AF1212" s="597" t="str">
        <f>IFERROR(INDEX(produtos_escape2!M:M,MATCH(Controle!H1212,produtos_escape2!A:A,0)),"")</f>
        <v>TUBO ENDOTRAQUEAL</v>
      </c>
    </row>
    <row r="1213" spans="1:32" ht="14.25" customHeight="1">
      <c r="A1213" s="176" t="s">
        <v>9481</v>
      </c>
      <c r="B1213" s="176" t="s">
        <v>3608</v>
      </c>
      <c r="C1213" s="177">
        <v>44139</v>
      </c>
      <c r="D1213" s="176" t="s">
        <v>10263</v>
      </c>
      <c r="E1213" s="176" t="s">
        <v>3008</v>
      </c>
      <c r="F1213" s="259" t="s">
        <v>10321</v>
      </c>
      <c r="G1213" s="203">
        <v>2</v>
      </c>
      <c r="H1213" s="178">
        <v>92034</v>
      </c>
      <c r="I1213" s="592">
        <f t="shared" si="46"/>
        <v>4</v>
      </c>
      <c r="J1213" s="178" t="s">
        <v>816</v>
      </c>
      <c r="K1213" s="178" t="s">
        <v>816</v>
      </c>
      <c r="L1213" s="275" t="str">
        <f>IF(H:H=0,"",IF(ISERROR(VLOOKUP(H:H,produtos_escape2!$A$2:$B$2794,2,FALSE)),"Código não cadastrado",(VLOOKUP(H:H,produtos_escape2!$A$2:$B$2794,2,FALSE))))</f>
        <v>TUBO ENDOTRAQUEAL, MATERIAL PVC SILICONIZADO ATÓXICO, TAMANHO 7,5, APLICAÇÃO ORAL, CARACTERÍSTICAS ADICIONAIS CURVA PRÉ-FORMADA, TIPO CONECTOR ADAPTÁVEL,SUPERFÍCIE LISA, TRANSMITÂNCIA LINHA RADIOPACA DE PONTA A PONTA, COMPONENTES BALÃO DE ALTO VOLUME E BAIXA PRESSÃO, TIPO USO DESCARTÁVEL, ESTERILIDADE ESTÉRIL, EMBALAGEM INDIVIDUAL.</v>
      </c>
      <c r="M1213" s="593" t="str">
        <f>IF(H:H=0,"",IF(ISERROR(VLOOKUP(H:H,produtos_escape2!$A$2:$D$2794,2,FALSE)),"Código não cadastrado",(VLOOKUP(H:H,produtos_escape2!$A$2:$D$2794,4,FALSE))))</f>
        <v>UN</v>
      </c>
      <c r="N1213" s="486">
        <v>100</v>
      </c>
      <c r="O1213" s="176" t="s">
        <v>4357</v>
      </c>
      <c r="P1213" s="486">
        <v>50</v>
      </c>
      <c r="Q1213" s="247">
        <v>4.5599999999999996</v>
      </c>
      <c r="R1213" s="246">
        <f t="shared" si="45"/>
        <v>227.99999999999997</v>
      </c>
      <c r="S1213" s="177">
        <v>44175</v>
      </c>
      <c r="T1213" s="182">
        <v>2148</v>
      </c>
      <c r="U1213" s="177">
        <v>44176</v>
      </c>
      <c r="V1213" s="177">
        <v>44177</v>
      </c>
      <c r="W1213" s="177">
        <v>44182</v>
      </c>
      <c r="X1213" s="176" t="s">
        <v>10674</v>
      </c>
      <c r="Y1213" s="177"/>
      <c r="Z1213" s="415">
        <v>6</v>
      </c>
      <c r="AA1213" s="488" t="s">
        <v>10285</v>
      </c>
      <c r="AB1213" s="594"/>
      <c r="AC1213" s="595"/>
      <c r="AD1213" s="596" t="str">
        <f>IF(AND(AC1213&lt;&gt;"",S1213&lt;&gt;""),NETWORKDAYS(AC1213,S1213,#REF!),"")</f>
        <v/>
      </c>
      <c r="AE1213" s="596" t="str">
        <f ca="1">IF(AND(AD1213="",AC1213=""),"",IF(OR(AD1213&lt;&gt;"",O1213="*CANCELADO"),"",NETWORKDAYS(AC1213,TODAY(),#REF!)))</f>
        <v/>
      </c>
      <c r="AF1213" s="597" t="str">
        <f>IFERROR(INDEX(produtos_escape2!M:M,MATCH(Controle!H1213,produtos_escape2!A:A,0)),"")</f>
        <v>TUBO ENDOTRAQUEAL</v>
      </c>
    </row>
    <row r="1214" spans="1:32" ht="14.25" customHeight="1">
      <c r="A1214" s="176" t="s">
        <v>9481</v>
      </c>
      <c r="B1214" s="176" t="s">
        <v>3608</v>
      </c>
      <c r="C1214" s="177">
        <v>44139</v>
      </c>
      <c r="D1214" s="176" t="s">
        <v>10263</v>
      </c>
      <c r="E1214" s="176" t="s">
        <v>3008</v>
      </c>
      <c r="F1214" s="259" t="s">
        <v>10321</v>
      </c>
      <c r="G1214" s="203">
        <v>3</v>
      </c>
      <c r="H1214" s="178">
        <v>92035</v>
      </c>
      <c r="I1214" s="592">
        <f t="shared" si="46"/>
        <v>6</v>
      </c>
      <c r="J1214" s="178" t="s">
        <v>816</v>
      </c>
      <c r="K1214" s="178" t="s">
        <v>816</v>
      </c>
      <c r="L1214" s="275" t="str">
        <f>IF(H:H=0,"",IF(ISERROR(VLOOKUP(H:H,produtos_escape2!$A$2:$B$2794,2,FALSE)),"Código não cadastrado",(VLOOKUP(H:H,produtos_escape2!$A$2:$B$2794,2,FALSE))))</f>
        <v>TUBO ENDOTRAQUEAL, MATERIAL PVC SILICONIZADO ATÓXICO, TAMANHO 8.0, APLICAÇÃO ORAL, CARACTERÍSTICAS ADICIONAIS CURVA PRÉ-FORMADA, TIPO CONECTOR ADAPTÁVEL,SUPERFÍCIE LISA, TRANSMITÂNCIA LINHA RADIOPACA DE PONTA A PONTA, COMPONENTES BALÃO DE ALTO VOLUME E BAIXA PRESSÃO, TIPO USO DESCARTÁVEL, ESTERILIDADE ESTÉRIL, EMBALAGEM INDIVIDUAL.</v>
      </c>
      <c r="M1214" s="593" t="str">
        <f>IF(H:H=0,"",IF(ISERROR(VLOOKUP(H:H,produtos_escape2!$A$2:$D$2794,2,FALSE)),"Código não cadastrado",(VLOOKUP(H:H,produtos_escape2!$A$2:$D$2794,4,FALSE))))</f>
        <v>UN</v>
      </c>
      <c r="N1214" s="486">
        <v>100</v>
      </c>
      <c r="O1214" s="176" t="s">
        <v>4357</v>
      </c>
      <c r="P1214" s="486">
        <v>50</v>
      </c>
      <c r="Q1214" s="247">
        <v>4.53</v>
      </c>
      <c r="R1214" s="246">
        <f t="shared" si="45"/>
        <v>226.5</v>
      </c>
      <c r="S1214" s="177">
        <v>44175</v>
      </c>
      <c r="T1214" s="182">
        <v>2148</v>
      </c>
      <c r="U1214" s="177">
        <v>44176</v>
      </c>
      <c r="V1214" s="177">
        <v>44177</v>
      </c>
      <c r="W1214" s="177">
        <v>44182</v>
      </c>
      <c r="X1214" s="176" t="s">
        <v>10674</v>
      </c>
      <c r="Y1214" s="177"/>
      <c r="Z1214" s="415">
        <v>6</v>
      </c>
      <c r="AA1214" s="488" t="s">
        <v>10285</v>
      </c>
      <c r="AB1214" s="594"/>
      <c r="AC1214" s="595"/>
      <c r="AD1214" s="596" t="str">
        <f>IF(AND(AC1214&lt;&gt;"",S1214&lt;&gt;""),NETWORKDAYS(AC1214,S1214,#REF!),"")</f>
        <v/>
      </c>
      <c r="AE1214" s="596" t="str">
        <f ca="1">IF(AND(AD1214="",AC1214=""),"",IF(OR(AD1214&lt;&gt;"",O1214="*CANCELADO"),"",NETWORKDAYS(AC1214,TODAY(),#REF!)))</f>
        <v/>
      </c>
      <c r="AF1214" s="597" t="str">
        <f>IFERROR(INDEX(produtos_escape2!M:M,MATCH(Controle!H1214,produtos_escape2!A:A,0)),"")</f>
        <v>TUBO ENDOTRAQUEAL</v>
      </c>
    </row>
    <row r="1215" spans="1:32" ht="14.25" customHeight="1">
      <c r="A1215" s="176" t="s">
        <v>9496</v>
      </c>
      <c r="B1215" s="176" t="s">
        <v>3608</v>
      </c>
      <c r="C1215" s="177">
        <v>44144</v>
      </c>
      <c r="D1215" s="176" t="s">
        <v>10271</v>
      </c>
      <c r="E1215" s="176" t="s">
        <v>3008</v>
      </c>
      <c r="F1215" s="259" t="s">
        <v>10322</v>
      </c>
      <c r="G1215" s="203">
        <v>1</v>
      </c>
      <c r="H1215" s="178">
        <v>12285</v>
      </c>
      <c r="I1215" s="592">
        <f t="shared" si="46"/>
        <v>1</v>
      </c>
      <c r="J1215" s="178" t="s">
        <v>816</v>
      </c>
      <c r="K1215" s="178" t="s">
        <v>816</v>
      </c>
      <c r="L1215" s="275" t="str">
        <f>IF(H:H=0,"",IF(ISERROR(VLOOKUP(H:H,produtos_escape2!$A$2:$B$2794,2,FALSE)),"Código não cadastrado",(VLOOKUP(H:H,produtos_escape2!$A$2:$B$2794,2,FALSE))))</f>
        <v xml:space="preserve">SISTEMA FECHADO DE ASPIRAÇÃO TRAQUEAL VIA CÂNULA DE TRAQUEOSTOMIA INFANTIL 12FR, ESTÉRIL. Tamanho/Capacidade: infantil-12 FR,adaptável a cânulas de traqueostomia de tamanhos 6.0 e 6.5,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012285. </v>
      </c>
      <c r="M1215" s="593" t="str">
        <f>IF(H:H=0,"",IF(ISERROR(VLOOKUP(H:H,produtos_escape2!$A$2:$D$2794,2,FALSE)),"Código não cadastrado",(VLOOKUP(H:H,produtos_escape2!$A$2:$D$2794,4,FALSE))))</f>
        <v>UN</v>
      </c>
      <c r="N1215" s="486">
        <v>10</v>
      </c>
      <c r="O1215" s="176" t="s">
        <v>1868</v>
      </c>
      <c r="P1215" s="486"/>
      <c r="Q1215" s="247"/>
      <c r="R1215" s="246">
        <f t="shared" si="45"/>
        <v>0</v>
      </c>
      <c r="S1215" s="177"/>
      <c r="T1215" s="182"/>
      <c r="U1215" s="177"/>
      <c r="V1215" s="177"/>
      <c r="W1215" s="177"/>
      <c r="X1215" s="176"/>
      <c r="Y1215" s="177"/>
      <c r="Z1215" s="415">
        <v>6</v>
      </c>
      <c r="AA1215" s="488" t="s">
        <v>10286</v>
      </c>
      <c r="AB1215" s="594"/>
      <c r="AC1215" s="595"/>
      <c r="AD1215" s="596" t="str">
        <f>IF(AND(AC1215&lt;&gt;"",S1215&lt;&gt;""),NETWORKDAYS(AC1215,S1215,#REF!),"")</f>
        <v/>
      </c>
      <c r="AE1215" s="596" t="str">
        <f ca="1">IF(AND(AD1215="",AC1215=""),"",IF(OR(AD1215&lt;&gt;"",O1215="*CANCELADO"),"",NETWORKDAYS(AC1215,TODAY(),#REF!)))</f>
        <v/>
      </c>
      <c r="AF1215" s="597" t="str">
        <f>IFERROR(INDEX(produtos_escape2!M:M,MATCH(Controle!H1215,produtos_escape2!A:A,0)),"")</f>
        <v>SISTEMA FECHADO DE ASPIRAÇÃO TRAQUEAL VIA CÂNULA DE TRAQUEOSTOMIA 12 FR INFANTIL</v>
      </c>
    </row>
    <row r="1216" spans="1:32" ht="14.25" customHeight="1">
      <c r="A1216" s="176" t="s">
        <v>9496</v>
      </c>
      <c r="B1216" s="176" t="s">
        <v>3608</v>
      </c>
      <c r="C1216" s="177">
        <v>44144</v>
      </c>
      <c r="D1216" s="176" t="s">
        <v>10271</v>
      </c>
      <c r="E1216" s="176" t="s">
        <v>3008</v>
      </c>
      <c r="F1216" s="259" t="s">
        <v>10322</v>
      </c>
      <c r="G1216" s="203">
        <v>2</v>
      </c>
      <c r="H1216" s="178">
        <v>12287</v>
      </c>
      <c r="I1216" s="592">
        <f t="shared" si="46"/>
        <v>1</v>
      </c>
      <c r="J1216" s="178" t="s">
        <v>816</v>
      </c>
      <c r="K1216" s="178" t="s">
        <v>816</v>
      </c>
      <c r="L1216" s="275" t="str">
        <f>IF(H:H=0,"",IF(ISERROR(VLOOKUP(H:H,produtos_escape2!$A$2:$B$2794,2,FALSE)),"Código não cadastrado",(VLOOKUP(H:H,produtos_escape2!$A$2:$B$2794,2,FALSE))))</f>
        <v xml:space="preserve">SISTEMA FECHADO DE ASPIRAÇÃO TRAQUEAL VIA CÂNULA DE TRAQUEOSTOMIA ADULTO 14FR, ESTÉRIL. Tamanho/Capacidade: adulto-14 FR,adaptável a cânulas de traqueostomia de tamanhos 7.0 e 7.5, Aplicação: aspiração de secreção traqueal via cânula de traqueostomia, Material: sonda de silicone e bainha de plástico ou silicone, Características Adicionais: estéril,flexível,com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012287. </v>
      </c>
      <c r="M1216" s="593" t="str">
        <f>IF(H:H=0,"",IF(ISERROR(VLOOKUP(H:H,produtos_escape2!$A$2:$D$2794,2,FALSE)),"Código não cadastrado",(VLOOKUP(H:H,produtos_escape2!$A$2:$D$2794,4,FALSE))))</f>
        <v>UN</v>
      </c>
      <c r="N1216" s="486">
        <v>10</v>
      </c>
      <c r="O1216" s="176" t="s">
        <v>4357</v>
      </c>
      <c r="P1216" s="486">
        <v>10</v>
      </c>
      <c r="Q1216" s="247">
        <v>97.18</v>
      </c>
      <c r="R1216" s="246">
        <f t="shared" si="45"/>
        <v>971.80000000000007</v>
      </c>
      <c r="S1216" s="177">
        <v>44174</v>
      </c>
      <c r="T1216" s="182"/>
      <c r="U1216" s="177"/>
      <c r="V1216" s="177"/>
      <c r="W1216" s="177"/>
      <c r="X1216" s="176"/>
      <c r="Y1216" s="177"/>
      <c r="Z1216" s="415">
        <v>6</v>
      </c>
      <c r="AA1216" s="488" t="s">
        <v>10286</v>
      </c>
      <c r="AB1216" s="594"/>
      <c r="AC1216" s="595"/>
      <c r="AD1216" s="596" t="str">
        <f>IF(AND(AC1216&lt;&gt;"",S1216&lt;&gt;""),NETWORKDAYS(AC1216,S1216,#REF!),"")</f>
        <v/>
      </c>
      <c r="AE1216" s="596" t="str">
        <f ca="1">IF(AND(AD1216="",AC1216=""),"",IF(OR(AD1216&lt;&gt;"",O1216="*CANCELADO"),"",NETWORKDAYS(AC1216,TODAY(),#REF!)))</f>
        <v/>
      </c>
      <c r="AF1216" s="597" t="str">
        <f>IFERROR(INDEX(produtos_escape2!M:M,MATCH(Controle!H1216,produtos_escape2!A:A,0)),"")</f>
        <v>SISTEMA FECHADO DE ASPIRAÇÃO TRAQUEAL ADULTO 14 FR</v>
      </c>
    </row>
    <row r="1217" spans="1:32" ht="14.25" customHeight="1">
      <c r="A1217" s="176" t="s">
        <v>9496</v>
      </c>
      <c r="B1217" s="176" t="s">
        <v>3608</v>
      </c>
      <c r="C1217" s="177">
        <v>44144</v>
      </c>
      <c r="D1217" s="176" t="s">
        <v>10271</v>
      </c>
      <c r="E1217" s="176" t="s">
        <v>3008</v>
      </c>
      <c r="F1217" s="259" t="s">
        <v>10322</v>
      </c>
      <c r="G1217" s="203">
        <v>3</v>
      </c>
      <c r="H1217" s="178">
        <v>12289</v>
      </c>
      <c r="I1217" s="592">
        <f t="shared" si="46"/>
        <v>6</v>
      </c>
      <c r="J1217" s="178" t="s">
        <v>816</v>
      </c>
      <c r="K1217" s="178" t="s">
        <v>816</v>
      </c>
      <c r="L1217" s="275" t="str">
        <f>IF(H:H=0,"",IF(ISERROR(VLOOKUP(H:H,produtos_escape2!$A$2:$B$2794,2,FALSE)),"Código não cadastrado",(VLOOKUP(H:H,produtos_escape2!$A$2:$B$2794,2,FALSE))))</f>
        <v>SISTEMA FECHADO DE ASPIRAÇÃO TRAQUEAL VIA CÂNULA DE TRAQUEOSTOMIA ADULTO 16 FR, ESTÉRIL. Aplicação: aspiração de secreção traqueal via cânula de traqueostomia, Material: sonda de silicone e bainha de plástico ou silicone, Características Adicionais:  adaptável a cânulas de traqueostomia de tamanhos 8.0, 8.5 e 9.0, flexível,com sonda graduada em centímetros, que não solta a tinta ,maleável,com orifícios na extremidade de aspiração e ponta arredondada,com bainha plástica,transparente,siliconizada ou não, envolvendo a sonda,conexão em ``Y`` ou em ``T`` para adaptação/encaixe ao tubo ou cânula de traqueostomia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012289. BR276325</v>
      </c>
      <c r="M1217" s="593" t="str">
        <f>IF(H:H=0,"",IF(ISERROR(VLOOKUP(H:H,produtos_escape2!$A$2:$D$2794,2,FALSE)),"Código não cadastrado",(VLOOKUP(H:H,produtos_escape2!$A$2:$D$2794,4,FALSE))))</f>
        <v>UN</v>
      </c>
      <c r="N1217" s="486">
        <v>10</v>
      </c>
      <c r="O1217" s="176" t="s">
        <v>1868</v>
      </c>
      <c r="P1217" s="486"/>
      <c r="Q1217" s="247"/>
      <c r="R1217" s="246">
        <f t="shared" si="45"/>
        <v>0</v>
      </c>
      <c r="S1217" s="177"/>
      <c r="T1217" s="182"/>
      <c r="U1217" s="177"/>
      <c r="V1217" s="177"/>
      <c r="W1217" s="177"/>
      <c r="X1217" s="176"/>
      <c r="Y1217" s="177"/>
      <c r="Z1217" s="415">
        <v>6</v>
      </c>
      <c r="AA1217" s="488" t="s">
        <v>10286</v>
      </c>
      <c r="AB1217" s="594"/>
      <c r="AC1217" s="595"/>
      <c r="AD1217" s="596" t="str">
        <f>IF(AND(AC1217&lt;&gt;"",S1217&lt;&gt;""),NETWORKDAYS(AC1217,S1217,#REF!),"")</f>
        <v/>
      </c>
      <c r="AE1217" s="596" t="str">
        <f ca="1">IF(AND(AD1217="",AC1217=""),"",IF(OR(AD1217&lt;&gt;"",O1217="*CANCELADO"),"",NETWORKDAYS(AC1217,TODAY(),#REF!)))</f>
        <v/>
      </c>
      <c r="AF1217" s="597" t="str">
        <f>IFERROR(INDEX(produtos_escape2!M:M,MATCH(Controle!H1217,produtos_escape2!A:A,0)),"")</f>
        <v>SISTEMA FECHADO DE ASPIRAÇÃO TRAQUEAL VIA CÂNULA DE TRAQUEOSTOMIA ADULTO 16 FR</v>
      </c>
    </row>
    <row r="1218" spans="1:32" ht="14.25" customHeight="1">
      <c r="A1218" s="176" t="s">
        <v>9496</v>
      </c>
      <c r="B1218" s="176" t="s">
        <v>3608</v>
      </c>
      <c r="C1218" s="177">
        <v>44144</v>
      </c>
      <c r="D1218" s="176" t="s">
        <v>10271</v>
      </c>
      <c r="E1218" s="176" t="s">
        <v>3008</v>
      </c>
      <c r="F1218" s="259" t="s">
        <v>10322</v>
      </c>
      <c r="G1218" s="203">
        <v>4</v>
      </c>
      <c r="H1218" s="178">
        <v>12290</v>
      </c>
      <c r="I1218" s="592">
        <f t="shared" si="46"/>
        <v>8</v>
      </c>
      <c r="J1218" s="178" t="s">
        <v>816</v>
      </c>
      <c r="K1218" s="178" t="s">
        <v>816</v>
      </c>
      <c r="L1218" s="275" t="str">
        <f>IF(H:H=0,"",IF(ISERROR(VLOOKUP(H:H,produtos_escape2!$A$2:$B$2794,2,FALSE)),"Código não cadastrado",(VLOOKUP(H:H,produtos_escape2!$A$2:$B$2794,2,FALSE))))</f>
        <v>SISTEMA FECHADO DE ASPIRAÇÃO TRAQUEAL VIA TUBO OROTRAQUEAL ADULTO 16 FR, ESTÉRIL. Aplicação: aspiração de secreção traqueal via tubo orotraqueal. Material: sonda de silicone e bainha de plástico ou silicone. Características Adicionais: adaptável a tubos de tamanho 8.0, 8.5 e 9.0, flexível,com sonda graduada em centímetros, que não solta a tinta ,maleável,com orifícios na extremidade de aspiração e ponta arredondada,com bainha plástica,transparente,siliconizada ou não,envolvendo a sonda,conexão em ``Y`` ou em ``T`` para adaptação/encaixe ao tubo ou cânula orotraqueal de um lado e circuito de ventilador mecânico do outro.Via de irrigação com válvula anti-refluxo para fluidificar secreções e realizar limpeza interna da sonda e válvula para controle de vácuo ergonômica e com trava por pressão.Com conector para administração de aerossol.Livre de látex, Apresentação: embalagem individual, Unidade De Estoque: unidade(UN), Código SES: 012290. BR276324</v>
      </c>
      <c r="M1218" s="593" t="str">
        <f>IF(H:H=0,"",IF(ISERROR(VLOOKUP(H:H,produtos_escape2!$A$2:$D$2794,2,FALSE)),"Código não cadastrado",(VLOOKUP(H:H,produtos_escape2!$A$2:$D$2794,4,FALSE))))</f>
        <v>UN</v>
      </c>
      <c r="N1218" s="486">
        <v>10</v>
      </c>
      <c r="O1218" s="176" t="s">
        <v>4357</v>
      </c>
      <c r="P1218" s="486">
        <v>10</v>
      </c>
      <c r="Q1218" s="247">
        <v>97.18</v>
      </c>
      <c r="R1218" s="246">
        <f t="shared" si="45"/>
        <v>971.80000000000007</v>
      </c>
      <c r="S1218" s="177">
        <v>44174</v>
      </c>
      <c r="T1218" s="182"/>
      <c r="U1218" s="177"/>
      <c r="V1218" s="177"/>
      <c r="W1218" s="177"/>
      <c r="X1218" s="176"/>
      <c r="Y1218" s="177"/>
      <c r="Z1218" s="415">
        <v>6</v>
      </c>
      <c r="AA1218" s="488" t="s">
        <v>10286</v>
      </c>
      <c r="AB1218" s="594"/>
      <c r="AC1218" s="595"/>
      <c r="AD1218" s="596" t="str">
        <f>IF(AND(AC1218&lt;&gt;"",S1218&lt;&gt;""),NETWORKDAYS(AC1218,S1218,#REF!),"")</f>
        <v/>
      </c>
      <c r="AE1218" s="596" t="str">
        <f ca="1">IF(AND(AD1218="",AC1218=""),"",IF(OR(AD1218&lt;&gt;"",O1218="*CANCELADO"),"",NETWORKDAYS(AC1218,TODAY(),#REF!)))</f>
        <v/>
      </c>
      <c r="AF1218" s="597" t="str">
        <f>IFERROR(INDEX(produtos_escape2!M:M,MATCH(Controle!H1218,produtos_escape2!A:A,0)),"")</f>
        <v>SISTEMA FECHADO DE ASPIRAÇÃO TRAQUEAL VIA TUBO OROTRAQUEAL ADULTO 16 FR</v>
      </c>
    </row>
    <row r="1219" spans="1:32" ht="14.25" customHeight="1">
      <c r="A1219" s="176" t="s">
        <v>8209</v>
      </c>
      <c r="B1219" s="176" t="s">
        <v>7207</v>
      </c>
      <c r="C1219" s="177">
        <v>44148</v>
      </c>
      <c r="D1219" s="176" t="s">
        <v>10342</v>
      </c>
      <c r="E1219" s="176" t="s">
        <v>3009</v>
      </c>
      <c r="F1219" s="259" t="s">
        <v>10343</v>
      </c>
      <c r="G1219" s="176">
        <v>1</v>
      </c>
      <c r="H1219" s="178">
        <v>51453</v>
      </c>
      <c r="I1219" s="592">
        <f t="shared" si="46"/>
        <v>6</v>
      </c>
      <c r="J1219" s="178" t="s">
        <v>816</v>
      </c>
      <c r="K1219" s="178" t="s">
        <v>816</v>
      </c>
      <c r="L1219" s="275"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1219" s="593" t="str">
        <f>IF(H:H=0,"",IF(ISERROR(VLOOKUP(H:H,produtos_escape2!$A$2:$D$2794,2,FALSE)),"Código não cadastrado",(VLOOKUP(H:H,produtos_escape2!$A$2:$D$2794,4,FALSE))))</f>
        <v>UN</v>
      </c>
      <c r="N1219" s="486">
        <v>10000</v>
      </c>
      <c r="O1219" s="176" t="s">
        <v>10411</v>
      </c>
      <c r="P1219" s="486">
        <v>2000</v>
      </c>
      <c r="Q1219" s="247">
        <v>0.66</v>
      </c>
      <c r="R1219" s="246">
        <f t="shared" ref="R1219" si="47">P1219*Q1219</f>
        <v>1320</v>
      </c>
      <c r="S1219" s="177">
        <v>44158</v>
      </c>
      <c r="T1219" s="182">
        <v>69</v>
      </c>
      <c r="U1219" s="177">
        <v>44158</v>
      </c>
      <c r="V1219" s="177">
        <v>44160</v>
      </c>
      <c r="W1219" s="177">
        <v>44160</v>
      </c>
      <c r="X1219" s="176" t="s">
        <v>10674</v>
      </c>
      <c r="Y1219" s="177"/>
      <c r="Z1219" s="415">
        <v>6</v>
      </c>
      <c r="AA1219" s="488"/>
      <c r="AB1219" s="594"/>
      <c r="AC1219" s="595"/>
      <c r="AD1219" s="596" t="str">
        <f>IF(AND(AC1219&lt;&gt;"",S1219&lt;&gt;""),NETWORKDAYS(AC1219,S1219,#REF!),"")</f>
        <v/>
      </c>
      <c r="AE1219" s="596" t="str">
        <f ca="1">IF(AND(AD1219="",AC1219=""),"",IF(OR(AD1219&lt;&gt;"",O1219="*CANCELADO"),"",NETWORKDAYS(AC1219,TODAY(),#REF!)))</f>
        <v/>
      </c>
      <c r="AF1219" s="597" t="str">
        <f>IFERROR(INDEX(produtos_escape2!M:M,MATCH(Controle!H1219,produtos_escape2!A:A,0)),"")</f>
        <v>GORRO DESCARTÁVEL</v>
      </c>
    </row>
    <row r="1220" spans="1:32" ht="14.25" customHeight="1">
      <c r="A1220" s="176" t="s">
        <v>8228</v>
      </c>
      <c r="B1220" s="176" t="s">
        <v>7207</v>
      </c>
      <c r="C1220" s="177">
        <v>44148</v>
      </c>
      <c r="D1220" s="176" t="s">
        <v>10341</v>
      </c>
      <c r="E1220" s="176" t="s">
        <v>3009</v>
      </c>
      <c r="F1220" s="259" t="s">
        <v>10344</v>
      </c>
      <c r="G1220" s="176">
        <v>1</v>
      </c>
      <c r="H1220" s="178">
        <v>63295</v>
      </c>
      <c r="I1220" s="592">
        <f t="shared" si="46"/>
        <v>8</v>
      </c>
      <c r="J1220" s="178" t="s">
        <v>816</v>
      </c>
      <c r="K1220" s="178" t="s">
        <v>816</v>
      </c>
      <c r="L1220" s="275"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1220" s="593" t="str">
        <f>IF(H:H=0,"",IF(ISERROR(VLOOKUP(H:H,produtos_escape2!$A$2:$D$2794,2,FALSE)),"Código não cadastrado",(VLOOKUP(H:H,produtos_escape2!$A$2:$D$2794,4,FALSE))))</f>
        <v>UN</v>
      </c>
      <c r="N1220" s="486">
        <v>20000</v>
      </c>
      <c r="O1220" s="176" t="s">
        <v>7051</v>
      </c>
      <c r="P1220" s="486">
        <v>20000</v>
      </c>
      <c r="Q1220" s="247">
        <v>0.12</v>
      </c>
      <c r="R1220" s="246">
        <f t="shared" si="45"/>
        <v>2400</v>
      </c>
      <c r="S1220" s="177">
        <v>44154</v>
      </c>
      <c r="T1220" s="182">
        <v>172</v>
      </c>
      <c r="U1220" s="177">
        <v>44155</v>
      </c>
      <c r="V1220" s="177">
        <v>44155</v>
      </c>
      <c r="W1220" s="177">
        <v>44158</v>
      </c>
      <c r="X1220" s="176" t="s">
        <v>10674</v>
      </c>
      <c r="Y1220" s="177"/>
      <c r="Z1220" s="415">
        <v>6</v>
      </c>
      <c r="AA1220" s="488"/>
      <c r="AB1220" s="594"/>
      <c r="AC1220" s="595"/>
      <c r="AD1220" s="596" t="str">
        <f>IF(AND(AC1220&lt;&gt;"",S1220&lt;&gt;""),NETWORKDAYS(AC1220,S1220,#REF!),"")</f>
        <v/>
      </c>
      <c r="AE1220" s="596" t="str">
        <f ca="1">IF(AND(AD1220="",AC1220=""),"",IF(OR(AD1220&lt;&gt;"",O1220="*CANCELADO"),"",NETWORKDAYS(AC1220,TODAY(),#REF!)))</f>
        <v/>
      </c>
      <c r="AF1220" s="597" t="str">
        <f>IFERROR(INDEX(produtos_escape2!M:M,MATCH(Controle!H1220,produtos_escape2!A:A,0)),"")</f>
        <v>TOUCA HOSPITALAR</v>
      </c>
    </row>
    <row r="1221" spans="1:32" ht="14.25" customHeight="1">
      <c r="A1221" s="176" t="s">
        <v>8211</v>
      </c>
      <c r="B1221" s="176" t="s">
        <v>7207</v>
      </c>
      <c r="C1221" s="177">
        <v>44148</v>
      </c>
      <c r="D1221" s="176" t="s">
        <v>10340</v>
      </c>
      <c r="E1221" s="176" t="s">
        <v>3009</v>
      </c>
      <c r="F1221" s="259" t="s">
        <v>10345</v>
      </c>
      <c r="G1221" s="176">
        <v>1</v>
      </c>
      <c r="H1221" s="178">
        <v>201158</v>
      </c>
      <c r="I1221" s="592">
        <f t="shared" si="46"/>
        <v>7</v>
      </c>
      <c r="J1221" s="178" t="s">
        <v>816</v>
      </c>
      <c r="K1221" s="178" t="s">
        <v>816</v>
      </c>
      <c r="L1221" s="275"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1221" s="593" t="str">
        <f>IF(H:H=0,"",IF(ISERROR(VLOOKUP(H:H,produtos_escape2!$A$2:$D$2794,2,FALSE)),"Código não cadastrado",(VLOOKUP(H:H,produtos_escape2!$A$2:$D$2794,4,FALSE))))</f>
        <v>PR</v>
      </c>
      <c r="N1221" s="486">
        <v>20000</v>
      </c>
      <c r="O1221" s="176" t="s">
        <v>1868</v>
      </c>
      <c r="P1221" s="486"/>
      <c r="Q1221" s="247"/>
      <c r="R1221" s="246">
        <f t="shared" ref="R1221" si="48">P1221*Q1221</f>
        <v>0</v>
      </c>
      <c r="S1221" s="177"/>
      <c r="T1221" s="182"/>
      <c r="U1221" s="177"/>
      <c r="V1221" s="177"/>
      <c r="W1221" s="177"/>
      <c r="X1221" s="176"/>
      <c r="Y1221" s="177"/>
      <c r="Z1221" s="415">
        <v>6</v>
      </c>
      <c r="AA1221" s="488" t="s">
        <v>10480</v>
      </c>
      <c r="AB1221" s="594"/>
      <c r="AC1221" s="595"/>
      <c r="AD1221" s="596" t="str">
        <f>IF(AND(AC1221&lt;&gt;"",S1221&lt;&gt;""),NETWORKDAYS(AC1221,S1221,#REF!),"")</f>
        <v/>
      </c>
      <c r="AE1221" s="596" t="str">
        <f ca="1">IF(AND(AD1221="",AC1221=""),"",IF(OR(AD1221&lt;&gt;"",O1221="*CANCELADO"),"",NETWORKDAYS(AC1221,TODAY(),#REF!)))</f>
        <v/>
      </c>
      <c r="AF1221" s="597" t="str">
        <f>IFERROR(INDEX(produtos_escape2!M:M,MATCH(Controle!H1221,produtos_escape2!A:A,0)),"")</f>
        <v>SAPATILHA DESCARTÁVEL</v>
      </c>
    </row>
    <row r="1222" spans="1:32" ht="14.25" customHeight="1">
      <c r="A1222" s="176" t="s">
        <v>9507</v>
      </c>
      <c r="B1222" s="176" t="s">
        <v>3608</v>
      </c>
      <c r="C1222" s="177">
        <v>44148</v>
      </c>
      <c r="D1222" s="176" t="s">
        <v>10346</v>
      </c>
      <c r="E1222" s="176" t="s">
        <v>3009</v>
      </c>
      <c r="F1222" s="259" t="s">
        <v>10347</v>
      </c>
      <c r="G1222" s="176">
        <v>1</v>
      </c>
      <c r="H1222" s="178">
        <v>36573</v>
      </c>
      <c r="I1222" s="592">
        <f t="shared" si="46"/>
        <v>2</v>
      </c>
      <c r="J1222" s="178" t="s">
        <v>816</v>
      </c>
      <c r="K1222" s="178" t="s">
        <v>816</v>
      </c>
      <c r="L1222" s="275" t="str">
        <f>IF(H:H=0,"",IF(ISERROR(VLOOKUP(H:H,produtos_escape2!$A$2:$B$2794,2,FALSE)),"Código não cadastrado",(VLOOKUP(H:H,produtos_escape2!$A$2:$B$2794,2,FALSE))))</f>
        <v>Parafina histológica, aspecto físico sólido, branca, ponto fusão 59 – 63 °c, apresentação em lentilha. Aplicação: Processamento de materiais de biópsias e peças cirúrgicas,para confecção de lâminas histológicas. Composição: Cera de petróleo Características adicionais: Aspecto: - Estado físico: Sólido - Forma: Lentilhas - Cor: Branca Odor: Baixo odor, porém característico de hidrocarbonetos. Ponto de fusão/ponto de congelamento: 59– 63 °C (ASTM D87)Ponto de fulgor: &gt; 200 °C (ASTM D-92); Densidade relativa: 0,790 à 80°C (água como padrão) Solubilidades: - Na água: Insolúvel -Em Tolueno: aproximadamente 14g/100g de tolueno à 20 °C.Prazo de validade: No mínimo 75% da validade total registrada na embalagem do produto no momento da entrega.</v>
      </c>
      <c r="M1222" s="593" t="str">
        <f>IF(H:H=0,"",IF(ISERROR(VLOOKUP(H:H,produtos_escape2!$A$2:$D$2794,2,FALSE)),"Código não cadastrado",(VLOOKUP(H:H,produtos_escape2!$A$2:$D$2794,4,FALSE))))</f>
        <v>KG</v>
      </c>
      <c r="N1222" s="486">
        <v>50</v>
      </c>
      <c r="O1222" s="176" t="s">
        <v>7051</v>
      </c>
      <c r="P1222" s="486">
        <v>50</v>
      </c>
      <c r="Q1222" s="247">
        <v>35</v>
      </c>
      <c r="R1222" s="246">
        <f t="shared" si="45"/>
        <v>1750</v>
      </c>
      <c r="S1222" s="177">
        <v>44166</v>
      </c>
      <c r="T1222" s="182">
        <v>180</v>
      </c>
      <c r="U1222" s="177">
        <v>44180</v>
      </c>
      <c r="V1222" s="177">
        <v>44181</v>
      </c>
      <c r="W1222" s="177">
        <v>44182</v>
      </c>
      <c r="X1222" s="176" t="s">
        <v>10674</v>
      </c>
      <c r="Y1222" s="177"/>
      <c r="Z1222" s="415">
        <v>6</v>
      </c>
      <c r="AA1222" s="488"/>
      <c r="AB1222" s="594"/>
      <c r="AC1222" s="595"/>
      <c r="AD1222" s="596" t="str">
        <f>IF(AND(AC1222&lt;&gt;"",S1222&lt;&gt;""),NETWORKDAYS(AC1222,S1222,#REF!),"")</f>
        <v/>
      </c>
      <c r="AE1222" s="596" t="str">
        <f ca="1">IF(AND(AD1222="",AC1222=""),"",IF(OR(AD1222&lt;&gt;"",O1222="*CANCELADO"),"",NETWORKDAYS(AC1222,TODAY(),#REF!)))</f>
        <v/>
      </c>
      <c r="AF1222" s="597" t="str">
        <f>IFERROR(INDEX(produtos_escape2!M:M,MATCH(Controle!H1222,produtos_escape2!A:A,0)),"")</f>
        <v>Parafina histológica,</v>
      </c>
    </row>
    <row r="1223" spans="1:32" ht="14.25" customHeight="1">
      <c r="A1223" s="176" t="s">
        <v>9509</v>
      </c>
      <c r="B1223" s="176" t="s">
        <v>3608</v>
      </c>
      <c r="C1223" s="177">
        <v>44148</v>
      </c>
      <c r="D1223" s="176" t="s">
        <v>10348</v>
      </c>
      <c r="E1223" s="176" t="s">
        <v>3009</v>
      </c>
      <c r="F1223" s="259" t="s">
        <v>10349</v>
      </c>
      <c r="G1223" s="176">
        <v>1</v>
      </c>
      <c r="H1223" s="178">
        <v>90975</v>
      </c>
      <c r="I1223" s="592">
        <f t="shared" si="46"/>
        <v>1</v>
      </c>
      <c r="J1223" s="178" t="s">
        <v>816</v>
      </c>
      <c r="K1223" s="178" t="s">
        <v>816</v>
      </c>
      <c r="L1223" s="275" t="str">
        <f>IF(H:H=0,"",IF(ISERROR(VLOOKUP(H:H,produtos_escape2!$A$2:$B$2794,2,FALSE)),"Código não cadastrado",(VLOOKUP(H:H,produtos_escape2!$A$2:$B$2794,2,FALSE))))</f>
        <v>ETOMIDATO SOLUÇAO INJETAVEL 2 MG/ML AMPOLA 10 ML</v>
      </c>
      <c r="M1223" s="593" t="str">
        <f>IF(H:H=0,"",IF(ISERROR(VLOOKUP(H:H,produtos_escape2!$A$2:$D$2794,2,FALSE)),"Código não cadastrado",(VLOOKUP(H:H,produtos_escape2!$A$2:$D$2794,4,FALSE))))</f>
        <v>AMP</v>
      </c>
      <c r="N1223" s="486">
        <v>50</v>
      </c>
      <c r="O1223" s="176" t="s">
        <v>2989</v>
      </c>
      <c r="P1223" s="486">
        <v>50</v>
      </c>
      <c r="Q1223" s="247">
        <v>13.78</v>
      </c>
      <c r="R1223" s="246">
        <f t="shared" si="45"/>
        <v>689</v>
      </c>
      <c r="S1223" s="177">
        <v>44166</v>
      </c>
      <c r="T1223" s="182">
        <v>139578</v>
      </c>
      <c r="U1223" s="177">
        <v>44166</v>
      </c>
      <c r="V1223" s="177">
        <v>44167</v>
      </c>
      <c r="W1223" s="177">
        <v>44173</v>
      </c>
      <c r="X1223" s="176" t="s">
        <v>10674</v>
      </c>
      <c r="Y1223" s="177"/>
      <c r="Z1223" s="415">
        <v>6</v>
      </c>
      <c r="AA1223" s="488"/>
      <c r="AB1223" s="594"/>
      <c r="AC1223" s="595"/>
      <c r="AD1223" s="596" t="str">
        <f>IF(AND(AC1223&lt;&gt;"",S1223&lt;&gt;""),NETWORKDAYS(AC1223,S1223,#REF!),"")</f>
        <v/>
      </c>
      <c r="AE1223" s="596" t="str">
        <f ca="1">IF(AND(AD1223="",AC1223=""),"",IF(OR(AD1223&lt;&gt;"",O1223="*CANCELADO"),"",NETWORKDAYS(AC1223,TODAY(),#REF!)))</f>
        <v/>
      </c>
      <c r="AF1223" s="597" t="str">
        <f>IFERROR(INDEX(produtos_escape2!M:M,MATCH(Controle!H1223,produtos_escape2!A:A,0)),"")</f>
        <v>ETOMIDATO SOLUÇAO INJETAVEL 2 MG/ML AMPOLA 10 ML</v>
      </c>
    </row>
    <row r="1224" spans="1:32" ht="14.25" customHeight="1">
      <c r="A1224" s="176" t="s">
        <v>9517</v>
      </c>
      <c r="B1224" s="176" t="s">
        <v>3608</v>
      </c>
      <c r="C1224" s="177">
        <v>44148</v>
      </c>
      <c r="D1224" s="176" t="s">
        <v>10350</v>
      </c>
      <c r="E1224" s="176" t="s">
        <v>3009</v>
      </c>
      <c r="F1224" s="259" t="s">
        <v>10351</v>
      </c>
      <c r="G1224" s="176">
        <v>1</v>
      </c>
      <c r="H1224" s="178">
        <v>90590</v>
      </c>
      <c r="I1224" s="592">
        <f t="shared" si="46"/>
        <v>4</v>
      </c>
      <c r="J1224" s="178" t="s">
        <v>816</v>
      </c>
      <c r="K1224" s="178" t="s">
        <v>816</v>
      </c>
      <c r="L1224" s="275" t="str">
        <f>IF(H:H=0,"",IF(ISERROR(VLOOKUP(H:H,produtos_escape2!$A$2:$B$2794,2,FALSE)),"Código não cadastrado",(VLOOKUP(H:H,produtos_escape2!$A$2:$B$2794,2,FALSE))))</f>
        <v>SACARATO DE HIDROXIDO DE FERRO III SOLUÇAO INJETAVEL ENDOVENOSA 20MG/ML AMPOLA 5ML</v>
      </c>
      <c r="M1224" s="593" t="str">
        <f>IF(H:H=0,"",IF(ISERROR(VLOOKUP(H:H,produtos_escape2!$A$2:$D$2794,2,FALSE)),"Código não cadastrado",(VLOOKUP(H:H,produtos_escape2!$A$2:$D$2794,4,FALSE))))</f>
        <v>AMP</v>
      </c>
      <c r="N1224" s="486">
        <v>900</v>
      </c>
      <c r="O1224" s="176" t="s">
        <v>1868</v>
      </c>
      <c r="P1224" s="486"/>
      <c r="Q1224" s="247"/>
      <c r="R1224" s="246">
        <f t="shared" si="45"/>
        <v>0</v>
      </c>
      <c r="S1224" s="177">
        <v>44151</v>
      </c>
      <c r="T1224" s="182"/>
      <c r="U1224" s="177"/>
      <c r="V1224" s="177"/>
      <c r="W1224" s="177"/>
      <c r="X1224" s="176"/>
      <c r="Y1224" s="177"/>
      <c r="Z1224" s="415">
        <v>6</v>
      </c>
      <c r="AA1224" s="488" t="s">
        <v>7318</v>
      </c>
      <c r="AB1224" s="594"/>
      <c r="AC1224" s="595"/>
      <c r="AD1224" s="596" t="str">
        <f>IF(AND(AC1224&lt;&gt;"",S1224&lt;&gt;""),NETWORKDAYS(AC1224,S1224,#REF!),"")</f>
        <v/>
      </c>
      <c r="AE1224" s="596" t="str">
        <f ca="1">IF(AND(AD1224="",AC1224=""),"",IF(OR(AD1224&lt;&gt;"",O1224="*CANCELADO"),"",NETWORKDAYS(AC1224,TODAY(),#REF!)))</f>
        <v/>
      </c>
      <c r="AF1224" s="597" t="str">
        <f>IFERROR(INDEX(produtos_escape2!M:M,MATCH(Controle!H1224,produtos_escape2!A:A,0)),"")</f>
        <v>SACARATO DE HIDROXIDO DE FERRO III SOLUÇAO INJETAVEL ENDOVENOSA 20MG/ML AMPOLA 5ML</v>
      </c>
    </row>
    <row r="1225" spans="1:32" ht="14.25" customHeight="1">
      <c r="A1225" s="176" t="s">
        <v>9519</v>
      </c>
      <c r="B1225" s="176" t="s">
        <v>3608</v>
      </c>
      <c r="C1225" s="177">
        <v>44148</v>
      </c>
      <c r="D1225" s="176" t="s">
        <v>10352</v>
      </c>
      <c r="E1225" s="176" t="s">
        <v>3009</v>
      </c>
      <c r="F1225" s="259" t="s">
        <v>10353</v>
      </c>
      <c r="G1225" s="176">
        <v>1</v>
      </c>
      <c r="H1225" s="178">
        <v>34859</v>
      </c>
      <c r="I1225" s="592">
        <f t="shared" si="46"/>
        <v>2</v>
      </c>
      <c r="J1225" s="178" t="s">
        <v>816</v>
      </c>
      <c r="K1225" s="178" t="s">
        <v>816</v>
      </c>
      <c r="L1225" s="275" t="str">
        <f>IF(H:H=0,"",IF(ISERROR(VLOOKUP(H:H,produtos_escape2!$A$2:$B$2794,2,FALSE)),"Código não cadastrado",(VLOOKUP(H:H,produtos_escape2!$A$2:$B$2794,2,FALSE))))</f>
        <v>TUBO DE SILICONE Nº 204, Tamanho/Capacidade: diâmetro interno: 6 mm, diâmetro externo: 12 mm, comprimento em unidade metros.  Aplicação: tubo extensor para oxigenoterapia, Material: 100% silicone, Características Adicionais: tubo 100% silicone, liso,macio,flexível, dureza do silicone de 40 SHORE A, com espessura regular na parede interna e externa, textura homogênea, ausência de resíduo interno, resistente a autoclavação (temperatura 134ºC) sem colabar em suas paredes, com registro no Ministério da Saúde, Apresentação: embalado individualmente em saco plástico resistente.</v>
      </c>
      <c r="M1225" s="593" t="str">
        <f>IF(H:H=0,"",IF(ISERROR(VLOOKUP(H:H,produtos_escape2!$A$2:$D$2794,2,FALSE)),"Código não cadastrado",(VLOOKUP(H:H,produtos_escape2!$A$2:$D$2794,4,FALSE))))</f>
        <v>MT</v>
      </c>
      <c r="N1225" s="486">
        <v>120</v>
      </c>
      <c r="O1225" s="176" t="s">
        <v>4379</v>
      </c>
      <c r="P1225" s="486">
        <v>120</v>
      </c>
      <c r="Q1225" s="247">
        <v>7.1</v>
      </c>
      <c r="R1225" s="246">
        <f t="shared" si="45"/>
        <v>852</v>
      </c>
      <c r="S1225" s="177">
        <v>44166</v>
      </c>
      <c r="T1225" s="182">
        <v>16834</v>
      </c>
      <c r="U1225" s="177">
        <v>44165</v>
      </c>
      <c r="V1225" s="177">
        <v>44165</v>
      </c>
      <c r="W1225" s="177">
        <v>44173</v>
      </c>
      <c r="X1225" s="176" t="s">
        <v>10674</v>
      </c>
      <c r="Y1225" s="177"/>
      <c r="Z1225" s="415">
        <v>6</v>
      </c>
      <c r="AA1225" s="488"/>
      <c r="AB1225" s="594"/>
      <c r="AC1225" s="595"/>
      <c r="AD1225" s="596" t="str">
        <f>IF(AND(AC1225&lt;&gt;"",S1225&lt;&gt;""),NETWORKDAYS(AC1225,S1225,#REF!),"")</f>
        <v/>
      </c>
      <c r="AE1225" s="596" t="str">
        <f ca="1">IF(AND(AD1225="",AC1225=""),"",IF(OR(AD1225&lt;&gt;"",O1225="*CANCELADO"),"",NETWORKDAYS(AC1225,TODAY(),#REF!)))</f>
        <v/>
      </c>
      <c r="AF1225" s="597" t="str">
        <f>IFERROR(INDEX(produtos_escape2!M:M,MATCH(Controle!H1225,produtos_escape2!A:A,0)),"")</f>
        <v>TUBO DE SILICONE Nº 204</v>
      </c>
    </row>
    <row r="1226" spans="1:32" ht="14.25" customHeight="1">
      <c r="A1226" s="176" t="s">
        <v>8234</v>
      </c>
      <c r="B1226" s="176" t="s">
        <v>7207</v>
      </c>
      <c r="C1226" s="177">
        <v>44152</v>
      </c>
      <c r="D1226" s="176" t="s">
        <v>10363</v>
      </c>
      <c r="E1226" s="176" t="s">
        <v>1866</v>
      </c>
      <c r="F1226" s="259" t="s">
        <v>10367</v>
      </c>
      <c r="G1226" s="176">
        <v>1</v>
      </c>
      <c r="H1226" s="178">
        <v>5221</v>
      </c>
      <c r="I1226" s="592">
        <f t="shared" si="46"/>
        <v>4</v>
      </c>
      <c r="J1226" s="178" t="s">
        <v>816</v>
      </c>
      <c r="K1226" s="178" t="s">
        <v>816</v>
      </c>
      <c r="L1226" s="275" t="str">
        <f>IF(H:H=0,"",IF(ISERROR(VLOOKUP(H:H,produtos_escape2!$A$2:$B$2794,2,FALSE)),"Código não cadastrado",(VLOOKUP(H:H,produtos_escape2!$A$2:$B$2794,2,FALSE))))</f>
        <v>SACO PLÁSTICO,Material: confeccionado com matéria-prima não reciclada, atóxico, onodoro, Cor: incolor, Largura: 40 cm, Altura: 60 cm, Espessura: 0,06 micras, Características Adicionais: bobinas picotadas de 40 cm de largura x 60 cm de comprimento, que permita boa selagem, Unidade De Fornecimento: bobina</v>
      </c>
      <c r="M1226" s="593" t="str">
        <f>IF(H:H=0,"",IF(ISERROR(VLOOKUP(H:H,produtos_escape2!$A$2:$D$2794,2,FALSE)),"Código não cadastrado",(VLOOKUP(H:H,produtos_escape2!$A$2:$D$2794,4,FALSE))))</f>
        <v>KG</v>
      </c>
      <c r="N1226" s="486">
        <v>400</v>
      </c>
      <c r="O1226" s="176" t="s">
        <v>7915</v>
      </c>
      <c r="P1226" s="486">
        <v>300</v>
      </c>
      <c r="Q1226" s="247">
        <v>15.8</v>
      </c>
      <c r="R1226" s="246">
        <f t="shared" si="45"/>
        <v>4740</v>
      </c>
      <c r="S1226" s="177">
        <v>44154</v>
      </c>
      <c r="T1226" s="182"/>
      <c r="U1226" s="177"/>
      <c r="V1226" s="177"/>
      <c r="W1226" s="177"/>
      <c r="X1226" s="176"/>
      <c r="Y1226" s="177"/>
      <c r="Z1226" s="415">
        <v>6</v>
      </c>
      <c r="AA1226" s="488"/>
      <c r="AB1226" s="594"/>
      <c r="AC1226" s="595"/>
      <c r="AD1226" s="596" t="str">
        <f>IF(AND(AC1226&lt;&gt;"",S1226&lt;&gt;""),NETWORKDAYS(AC1226,S1226,#REF!),"")</f>
        <v/>
      </c>
      <c r="AE1226" s="596" t="str">
        <f ca="1">IF(AND(AD1226="",AC1226=""),"",IF(OR(AD1226&lt;&gt;"",O1226="*CANCELADO"),"",NETWORKDAYS(AC1226,TODAY(),#REF!)))</f>
        <v/>
      </c>
      <c r="AF1226" s="597" t="str">
        <f>IFERROR(INDEX(produtos_escape2!M:M,MATCH(Controle!H1226,produtos_escape2!A:A,0)),"")</f>
        <v>SACO PLÁSTICO</v>
      </c>
    </row>
    <row r="1227" spans="1:32" ht="14.25" customHeight="1">
      <c r="A1227" s="176" t="s">
        <v>8236</v>
      </c>
      <c r="B1227" s="176" t="s">
        <v>7207</v>
      </c>
      <c r="C1227" s="177">
        <v>44152</v>
      </c>
      <c r="D1227" s="176" t="s">
        <v>10364</v>
      </c>
      <c r="E1227" s="176" t="s">
        <v>1866</v>
      </c>
      <c r="F1227" s="259" t="s">
        <v>10368</v>
      </c>
      <c r="G1227" s="176">
        <v>1</v>
      </c>
      <c r="H1227" s="178">
        <v>31635</v>
      </c>
      <c r="I1227" s="592">
        <f t="shared" si="46"/>
        <v>5</v>
      </c>
      <c r="J1227" s="178" t="s">
        <v>816</v>
      </c>
      <c r="K1227" s="178" t="s">
        <v>816</v>
      </c>
      <c r="L1227" s="275" t="str">
        <f>IF(H:H=0,"",IF(ISERROR(VLOOKUP(H:H,produtos_escape2!$A$2:$B$2794,2,FALSE)),"Código não cadastrado",(VLOOKUP(H:H,produtos_escape2!$A$2:$B$2794,2,FALSE))))</f>
        <v>ETIQUETA AUTOADESIVA, Cor: Vermelho, Tamanho: 2cm x 1cm com os dizeres: ATENÇÃO! MEDICAMENTO DE ALTA VIGILÂNCIA.</v>
      </c>
      <c r="M1227" s="593" t="str">
        <f>IF(H:H=0,"",IF(ISERROR(VLOOKUP(H:H,produtos_escape2!$A$2:$D$2794,2,FALSE)),"Código não cadastrado",(VLOOKUP(H:H,produtos_escape2!$A$2:$D$2794,4,FALSE))))</f>
        <v>UN</v>
      </c>
      <c r="N1227" s="486">
        <v>25000</v>
      </c>
      <c r="O1227" s="176" t="s">
        <v>3671</v>
      </c>
      <c r="P1227" s="486">
        <v>25000</v>
      </c>
      <c r="Q1227" s="247">
        <v>1.6500000000000001E-2</v>
      </c>
      <c r="R1227" s="246">
        <f t="shared" si="45"/>
        <v>412.5</v>
      </c>
      <c r="S1227" s="177">
        <v>44154</v>
      </c>
      <c r="T1227" s="182"/>
      <c r="U1227" s="177"/>
      <c r="V1227" s="177"/>
      <c r="W1227" s="177"/>
      <c r="X1227" s="176"/>
      <c r="Y1227" s="177"/>
      <c r="Z1227" s="415">
        <v>6</v>
      </c>
      <c r="AA1227" s="488"/>
      <c r="AB1227" s="594"/>
      <c r="AC1227" s="595"/>
      <c r="AD1227" s="596" t="str">
        <f>IF(AND(AC1227&lt;&gt;"",S1227&lt;&gt;""),NETWORKDAYS(AC1227,S1227,#REF!),"")</f>
        <v/>
      </c>
      <c r="AE1227" s="596" t="str">
        <f ca="1">IF(AND(AD1227="",AC1227=""),"",IF(OR(AD1227&lt;&gt;"",O1227="*CANCELADO"),"",NETWORKDAYS(AC1227,TODAY(),#REF!)))</f>
        <v/>
      </c>
      <c r="AF1227" s="597" t="str">
        <f>IFERROR(INDEX(produtos_escape2!M:M,MATCH(Controle!H1227,produtos_escape2!A:A,0)),"")</f>
        <v>ETIQUETA AUTOADESIVA</v>
      </c>
    </row>
    <row r="1228" spans="1:32" ht="14.25" customHeight="1">
      <c r="A1228" s="176" t="s">
        <v>8236</v>
      </c>
      <c r="B1228" s="176" t="s">
        <v>7207</v>
      </c>
      <c r="C1228" s="177">
        <v>44152</v>
      </c>
      <c r="D1228" s="176" t="s">
        <v>10364</v>
      </c>
      <c r="E1228" s="176" t="s">
        <v>1866</v>
      </c>
      <c r="F1228" s="259" t="s">
        <v>10368</v>
      </c>
      <c r="G1228" s="176">
        <v>2</v>
      </c>
      <c r="H1228" s="178">
        <v>31162</v>
      </c>
      <c r="I1228" s="592">
        <f t="shared" si="46"/>
        <v>1</v>
      </c>
      <c r="J1228" s="178" t="s">
        <v>816</v>
      </c>
      <c r="K1228" s="178" t="s">
        <v>816</v>
      </c>
      <c r="L1228" s="275" t="str">
        <f>IF(H:H=0,"",IF(ISERROR(VLOOKUP(H:H,produtos_escape2!$A$2:$B$2794,2,FALSE)),"Código não cadastrado",(VLOOKUP(H:H,produtos_escape2!$A$2:$B$2794,2,FALSE))))</f>
        <v>ETIQUETA AUTOADESIVA, Cor: Vermelho, Tamanho: 4cm x 5cm com os dizeres: ATENÇÃO! MEDICAMENTO DE ALTA VIGILÂNCIA.</v>
      </c>
      <c r="M1228" s="593" t="str">
        <f>IF(H:H=0,"",IF(ISERROR(VLOOKUP(H:H,produtos_escape2!$A$2:$D$2794,2,FALSE)),"Código não cadastrado",(VLOOKUP(H:H,produtos_escape2!$A$2:$D$2794,4,FALSE))))</f>
        <v>UN</v>
      </c>
      <c r="N1228" s="486">
        <v>5000</v>
      </c>
      <c r="O1228" s="176" t="s">
        <v>3671</v>
      </c>
      <c r="P1228" s="486">
        <v>5000</v>
      </c>
      <c r="Q1228" s="247">
        <v>0.05</v>
      </c>
      <c r="R1228" s="246">
        <f t="shared" si="45"/>
        <v>250</v>
      </c>
      <c r="S1228" s="177">
        <v>44154</v>
      </c>
      <c r="T1228" s="182"/>
      <c r="U1228" s="177"/>
      <c r="V1228" s="177"/>
      <c r="W1228" s="177"/>
      <c r="X1228" s="176"/>
      <c r="Y1228" s="177"/>
      <c r="Z1228" s="415">
        <v>6</v>
      </c>
      <c r="AA1228" s="488"/>
      <c r="AB1228" s="594"/>
      <c r="AC1228" s="595"/>
      <c r="AD1228" s="596" t="str">
        <f>IF(AND(AC1228&lt;&gt;"",S1228&lt;&gt;""),NETWORKDAYS(AC1228,S1228,#REF!),"")</f>
        <v/>
      </c>
      <c r="AE1228" s="596" t="str">
        <f ca="1">IF(AND(AD1228="",AC1228=""),"",IF(OR(AD1228&lt;&gt;"",O1228="*CANCELADO"),"",NETWORKDAYS(AC1228,TODAY(),#REF!)))</f>
        <v/>
      </c>
      <c r="AF1228" s="597" t="str">
        <f>IFERROR(INDEX(produtos_escape2!M:M,MATCH(Controle!H1228,produtos_escape2!A:A,0)),"")</f>
        <v>ETIQUETA AUTOADESIVA</v>
      </c>
    </row>
    <row r="1229" spans="1:32" ht="14.25" customHeight="1">
      <c r="A1229" s="176" t="s">
        <v>8238</v>
      </c>
      <c r="B1229" s="176" t="s">
        <v>7207</v>
      </c>
      <c r="C1229" s="177">
        <v>44152</v>
      </c>
      <c r="D1229" s="176" t="s">
        <v>10366</v>
      </c>
      <c r="E1229" s="176" t="s">
        <v>1866</v>
      </c>
      <c r="F1229" s="259" t="s">
        <v>10369</v>
      </c>
      <c r="G1229" s="176">
        <v>1</v>
      </c>
      <c r="H1229" s="178">
        <v>65666</v>
      </c>
      <c r="I1229" s="592">
        <f t="shared" si="46"/>
        <v>3</v>
      </c>
      <c r="J1229" s="178" t="s">
        <v>816</v>
      </c>
      <c r="K1229" s="178" t="s">
        <v>816</v>
      </c>
      <c r="L1229" s="275" t="str">
        <f>IF(H:H=0,"",IF(ISERROR(VLOOKUP(H:H,produtos_escape2!$A$2:$B$2794,2,FALSE)),"Código não cadastrado",(VLOOKUP(H:H,produtos_escape2!$A$2:$B$2794,2,FALSE))))</f>
        <v>ETIQUETA AUTO-ADESIVA TÉRMICA para FARMÁCIA, para fracionamento de medicamentos, Material: celulose vegetal em adesivo sintético, Tamanho Etiqueta: 38x10 mm, Aplicação: formulário contínuo, Número Colunas: 2, Cor: branca, Embalagem: em caixa. Deverá ser compatível com a impressora ZEBRA, modelo GC420d</v>
      </c>
      <c r="M1229" s="593" t="str">
        <f>IF(H:H=0,"",IF(ISERROR(VLOOKUP(H:H,produtos_escape2!$A$2:$D$2794,2,FALSE)),"Código não cadastrado",(VLOOKUP(H:H,produtos_escape2!$A$2:$D$2794,4,FALSE))))</f>
        <v>MH</v>
      </c>
      <c r="N1229" s="486">
        <v>300</v>
      </c>
      <c r="O1229" s="176" t="s">
        <v>3671</v>
      </c>
      <c r="P1229" s="486">
        <v>300</v>
      </c>
      <c r="Q1229" s="247">
        <v>15</v>
      </c>
      <c r="R1229" s="246">
        <f t="shared" si="45"/>
        <v>4500</v>
      </c>
      <c r="S1229" s="177">
        <v>44154</v>
      </c>
      <c r="T1229" s="182"/>
      <c r="U1229" s="177"/>
      <c r="V1229" s="177"/>
      <c r="W1229" s="177"/>
      <c r="X1229" s="176"/>
      <c r="Y1229" s="177"/>
      <c r="Z1229" s="415">
        <v>6</v>
      </c>
      <c r="AA1229" s="488"/>
      <c r="AB1229" s="594"/>
      <c r="AC1229" s="595"/>
      <c r="AD1229" s="596" t="str">
        <f>IF(AND(AC1229&lt;&gt;"",S1229&lt;&gt;""),NETWORKDAYS(AC1229,S1229,#REF!),"")</f>
        <v/>
      </c>
      <c r="AE1229" s="596" t="str">
        <f ca="1">IF(AND(AD1229="",AC1229=""),"",IF(OR(AD1229&lt;&gt;"",O1229="*CANCELADO"),"",NETWORKDAYS(AC1229,TODAY(),#REF!)))</f>
        <v/>
      </c>
      <c r="AF1229" s="597" t="str">
        <f>IFERROR(INDEX(produtos_escape2!M:M,MATCH(Controle!H1229,produtos_escape2!A:A,0)),"")</f>
        <v>ETIQUETA AUTO-ADESIVA para FARMÁCIA</v>
      </c>
    </row>
    <row r="1230" spans="1:32" ht="14.25" customHeight="1">
      <c r="A1230" s="176" t="s">
        <v>9560</v>
      </c>
      <c r="B1230" s="176" t="s">
        <v>3608</v>
      </c>
      <c r="C1230" s="177">
        <v>44153</v>
      </c>
      <c r="D1230" s="176" t="s">
        <v>10372</v>
      </c>
      <c r="E1230" s="176" t="s">
        <v>3009</v>
      </c>
      <c r="F1230" s="259" t="s">
        <v>10373</v>
      </c>
      <c r="G1230" s="176">
        <v>1</v>
      </c>
      <c r="H1230" s="178">
        <v>16050</v>
      </c>
      <c r="I1230" s="592">
        <f t="shared" si="46"/>
        <v>2</v>
      </c>
      <c r="J1230" s="178" t="s">
        <v>816</v>
      </c>
      <c r="K1230" s="178" t="s">
        <v>816</v>
      </c>
      <c r="L1230" s="275" t="str">
        <f>IF(H:H=0,"",IF(ISERROR(VLOOKUP(H:H,produtos_escape2!$A$2:$B$2794,2,FALSE)),"Código não cadastrado",(VLOOKUP(H:H,produtos_escape2!$A$2:$B$2794,2,FALSE))))</f>
        <v>PLACA PRONTA PARA USO BIPARTIDA ÁGAR CLED / MAC CONKEY 90 X 15MM, Aplicação: identificação e isolamento microbiológico.</v>
      </c>
      <c r="M1230" s="593" t="str">
        <f>IF(H:H=0,"",IF(ISERROR(VLOOKUP(H:H,produtos_escape2!$A$2:$D$2794,2,FALSE)),"Código não cadastrado",(VLOOKUP(H:H,produtos_escape2!$A$2:$D$2794,4,FALSE))))</f>
        <v>UN</v>
      </c>
      <c r="N1230" s="486">
        <v>1000</v>
      </c>
      <c r="O1230" s="176" t="s">
        <v>3670</v>
      </c>
      <c r="P1230" s="486">
        <v>1000</v>
      </c>
      <c r="Q1230" s="247">
        <v>2.9950000000000001</v>
      </c>
      <c r="R1230" s="246">
        <f t="shared" si="45"/>
        <v>2995</v>
      </c>
      <c r="S1230" s="177">
        <v>44166</v>
      </c>
      <c r="T1230" s="182">
        <v>4036</v>
      </c>
      <c r="U1230" s="177" t="s">
        <v>10654</v>
      </c>
      <c r="V1230" s="177">
        <v>44177</v>
      </c>
      <c r="W1230" s="177">
        <v>44182</v>
      </c>
      <c r="X1230" s="176" t="s">
        <v>10674</v>
      </c>
      <c r="Y1230" s="177"/>
      <c r="Z1230" s="415">
        <v>6</v>
      </c>
      <c r="AA1230" s="488"/>
      <c r="AB1230" s="594"/>
      <c r="AC1230" s="595"/>
      <c r="AD1230" s="596" t="str">
        <f>IF(AND(AC1230&lt;&gt;"",S1230&lt;&gt;""),NETWORKDAYS(AC1230,S1230,#REF!),"")</f>
        <v/>
      </c>
      <c r="AE1230" s="596" t="str">
        <f ca="1">IF(AND(AD1230="",AC1230=""),"",IF(OR(AD1230&lt;&gt;"",O1230="*CANCELADO"),"",NETWORKDAYS(AC1230,TODAY(),#REF!)))</f>
        <v/>
      </c>
      <c r="AF1230" s="597" t="str">
        <f>IFERROR(INDEX(produtos_escape2!M:M,MATCH(Controle!H1230,produtos_escape2!A:A,0)),"")</f>
        <v>PLACA PRONTA PARA USO BIPARTIDA ÁGAR CLED / MAC CONKEY 90 X 15MM</v>
      </c>
    </row>
    <row r="1231" spans="1:32" ht="14.25" customHeight="1">
      <c r="A1231" s="176" t="s">
        <v>9560</v>
      </c>
      <c r="B1231" s="176" t="s">
        <v>3608</v>
      </c>
      <c r="C1231" s="177">
        <v>44153</v>
      </c>
      <c r="D1231" s="176" t="s">
        <v>10372</v>
      </c>
      <c r="E1231" s="176" t="s">
        <v>3009</v>
      </c>
      <c r="F1231" s="259" t="s">
        <v>10373</v>
      </c>
      <c r="G1231" s="176">
        <v>2</v>
      </c>
      <c r="H1231" s="178">
        <v>95277</v>
      </c>
      <c r="I1231" s="592">
        <f t="shared" si="46"/>
        <v>2</v>
      </c>
      <c r="J1231" s="178" t="s">
        <v>816</v>
      </c>
      <c r="K1231" s="178" t="s">
        <v>816</v>
      </c>
      <c r="L1231" s="275" t="str">
        <f>IF(H:H=0,"",IF(ISERROR(VLOOKUP(H:H,produtos_escape2!$A$2:$B$2794,2,FALSE)),"Código não cadastrado",(VLOOKUP(H:H,produtos_escape2!$A$2:$B$2794,2,FALSE))))</f>
        <v>PLACA PRONTA PARA USO AGAR MAC CONKEY 90 X 15MM</v>
      </c>
      <c r="M1231" s="593" t="str">
        <f>IF(H:H=0,"",IF(ISERROR(VLOOKUP(H:H,produtos_escape2!$A$2:$D$2794,2,FALSE)),"Código não cadastrado",(VLOOKUP(H:H,produtos_escape2!$A$2:$D$2794,4,FALSE))))</f>
        <v>UN</v>
      </c>
      <c r="N1231" s="486">
        <v>200</v>
      </c>
      <c r="O1231" s="176" t="s">
        <v>3670</v>
      </c>
      <c r="P1231" s="486">
        <v>200</v>
      </c>
      <c r="Q1231" s="247">
        <v>2.46</v>
      </c>
      <c r="R1231" s="246">
        <f t="shared" si="45"/>
        <v>492</v>
      </c>
      <c r="S1231" s="177">
        <v>44166</v>
      </c>
      <c r="T1231" s="182">
        <v>4036</v>
      </c>
      <c r="U1231" s="177" t="s">
        <v>10654</v>
      </c>
      <c r="V1231" s="177">
        <v>44177</v>
      </c>
      <c r="W1231" s="177">
        <v>44182</v>
      </c>
      <c r="X1231" s="176" t="s">
        <v>10674</v>
      </c>
      <c r="Y1231" s="177"/>
      <c r="Z1231" s="415">
        <v>6</v>
      </c>
      <c r="AA1231" s="488"/>
      <c r="AB1231" s="594"/>
      <c r="AC1231" s="595"/>
      <c r="AD1231" s="596" t="str">
        <f>IF(AND(AC1231&lt;&gt;"",S1231&lt;&gt;""),NETWORKDAYS(AC1231,S1231,#REF!),"")</f>
        <v/>
      </c>
      <c r="AE1231" s="596" t="str">
        <f ca="1">IF(AND(AD1231="",AC1231=""),"",IF(OR(AD1231&lt;&gt;"",O1231="*CANCELADO"),"",NETWORKDAYS(AC1231,TODAY(),#REF!)))</f>
        <v/>
      </c>
      <c r="AF1231" s="597" t="str">
        <f>IFERROR(INDEX(produtos_escape2!M:M,MATCH(Controle!H1231,produtos_escape2!A:A,0)),"")</f>
        <v>PLACA PRONTA PARA USO AGAR MAC CONKEY 90 X 15MM</v>
      </c>
    </row>
    <row r="1232" spans="1:32" ht="14.25" customHeight="1">
      <c r="A1232" s="176" t="s">
        <v>9560</v>
      </c>
      <c r="B1232" s="176" t="s">
        <v>3608</v>
      </c>
      <c r="C1232" s="177">
        <v>44153</v>
      </c>
      <c r="D1232" s="176" t="s">
        <v>10372</v>
      </c>
      <c r="E1232" s="176" t="s">
        <v>3009</v>
      </c>
      <c r="F1232" s="259" t="s">
        <v>10373</v>
      </c>
      <c r="G1232" s="176">
        <v>3</v>
      </c>
      <c r="H1232" s="178">
        <v>23063</v>
      </c>
      <c r="I1232" s="592">
        <f t="shared" si="46"/>
        <v>2</v>
      </c>
      <c r="J1232" s="178" t="s">
        <v>816</v>
      </c>
      <c r="K1232" s="178" t="s">
        <v>816</v>
      </c>
      <c r="L1232" s="275" t="str">
        <f>IF(H:H=0,"",IF(ISERROR(VLOOKUP(H:H,produtos_escape2!$A$2:$B$2794,2,FALSE)),"Código não cadastrado",(VLOOKUP(H:H,produtos_escape2!$A$2:$B$2794,2,FALSE))))</f>
        <v>AGAR SCREENING CROMOGENICO PARA IDENTIFICAÇAO DE BACTERIAS PRODUTORAS DE CARBAPENEMASE.  Aplicação: teste screening de identificação microbiológica em meio de cultura. Forma de apresentação: placas pronto uso.</v>
      </c>
      <c r="M1232" s="593" t="str">
        <f>IF(H:H=0,"",IF(ISERROR(VLOOKUP(H:H,produtos_escape2!$A$2:$D$2794,2,FALSE)),"Código não cadastrado",(VLOOKUP(H:H,produtos_escape2!$A$2:$D$2794,4,FALSE))))</f>
        <v>UN</v>
      </c>
      <c r="N1232" s="486">
        <v>120</v>
      </c>
      <c r="O1232" s="176" t="s">
        <v>3670</v>
      </c>
      <c r="P1232" s="486">
        <v>120</v>
      </c>
      <c r="Q1232" s="247">
        <v>7.55</v>
      </c>
      <c r="R1232" s="246">
        <f t="shared" si="45"/>
        <v>906</v>
      </c>
      <c r="S1232" s="177">
        <v>44166</v>
      </c>
      <c r="T1232" s="182">
        <v>4036</v>
      </c>
      <c r="U1232" s="177" t="s">
        <v>10654</v>
      </c>
      <c r="V1232" s="177">
        <v>44177</v>
      </c>
      <c r="W1232" s="177">
        <v>44182</v>
      </c>
      <c r="X1232" s="176" t="s">
        <v>10674</v>
      </c>
      <c r="Y1232" s="177"/>
      <c r="Z1232" s="415">
        <v>6</v>
      </c>
      <c r="AA1232" s="488"/>
      <c r="AB1232" s="594"/>
      <c r="AC1232" s="595"/>
      <c r="AD1232" s="596" t="str">
        <f>IF(AND(AC1232&lt;&gt;"",S1232&lt;&gt;""),NETWORKDAYS(AC1232,S1232,#REF!),"")</f>
        <v/>
      </c>
      <c r="AE1232" s="596" t="str">
        <f ca="1">IF(AND(AD1232="",AC1232=""),"",IF(OR(AD1232&lt;&gt;"",O1232="*CANCELADO"),"",NETWORKDAYS(AC1232,TODAY(),#REF!)))</f>
        <v/>
      </c>
      <c r="AF1232" s="597" t="str">
        <f>IFERROR(INDEX(produtos_escape2!M:M,MATCH(Controle!H1232,produtos_escape2!A:A,0)),"")</f>
        <v>AGAR SCREENING CROMOGENICO PARA IDENTIFICAÇAO DE BACTERIAS PRODUTORAS DE CARBAPENEMASE</v>
      </c>
    </row>
    <row r="1233" spans="1:32" ht="14.25" customHeight="1">
      <c r="A1233" s="176" t="s">
        <v>9558</v>
      </c>
      <c r="B1233" s="176" t="s">
        <v>3608</v>
      </c>
      <c r="C1233" s="177">
        <v>44153</v>
      </c>
      <c r="D1233" s="176" t="s">
        <v>10374</v>
      </c>
      <c r="E1233" s="176" t="s">
        <v>3009</v>
      </c>
      <c r="F1233" s="259" t="s">
        <v>10375</v>
      </c>
      <c r="G1233" s="176">
        <v>1</v>
      </c>
      <c r="H1233" s="178">
        <v>36091</v>
      </c>
      <c r="I1233" s="592">
        <f t="shared" si="46"/>
        <v>2</v>
      </c>
      <c r="J1233" s="178" t="s">
        <v>816</v>
      </c>
      <c r="K1233" s="178" t="s">
        <v>816</v>
      </c>
      <c r="L1233" s="275" t="str">
        <f>IF(H:H=0,"",IF(ISERROR(VLOOKUP(H:H,produtos_escape2!$A$2:$B$2794,2,FALSE)),"Código não cadastrado",(VLOOKUP(H:H,produtos_escape2!$A$2:$B$2794,2,FALSE))))</f>
        <v>POLIDOCANOL 1% AMPOLA 2 ML</v>
      </c>
      <c r="M1233" s="593" t="str">
        <f>IF(H:H=0,"",IF(ISERROR(VLOOKUP(H:H,produtos_escape2!$A$2:$D$2794,2,FALSE)),"Código não cadastrado",(VLOOKUP(H:H,produtos_escape2!$A$2:$D$2794,4,FALSE))))</f>
        <v>AMP</v>
      </c>
      <c r="N1233" s="486">
        <v>20</v>
      </c>
      <c r="O1233" s="176" t="s">
        <v>7364</v>
      </c>
      <c r="P1233" s="486">
        <v>20</v>
      </c>
      <c r="Q1233" s="247">
        <v>7</v>
      </c>
      <c r="R1233" s="246">
        <f t="shared" si="45"/>
        <v>140</v>
      </c>
      <c r="S1233" s="177">
        <v>44166</v>
      </c>
      <c r="T1233" s="182"/>
      <c r="U1233" s="177"/>
      <c r="V1233" s="177"/>
      <c r="W1233" s="177"/>
      <c r="X1233" s="176"/>
      <c r="Y1233" s="177"/>
      <c r="Z1233" s="415">
        <v>6</v>
      </c>
      <c r="AA1233" s="488"/>
      <c r="AB1233" s="594"/>
      <c r="AC1233" s="595"/>
      <c r="AD1233" s="596" t="str">
        <f>IF(AND(AC1233&lt;&gt;"",S1233&lt;&gt;""),NETWORKDAYS(AC1233,S1233,#REF!),"")</f>
        <v/>
      </c>
      <c r="AE1233" s="596" t="str">
        <f ca="1">IF(AND(AD1233="",AC1233=""),"",IF(OR(AD1233&lt;&gt;"",O1233="*CANCELADO"),"",NETWORKDAYS(AC1233,TODAY(),#REF!)))</f>
        <v/>
      </c>
      <c r="AF1233" s="597" t="str">
        <f>IFERROR(INDEX(produtos_escape2!M:M,MATCH(Controle!H1233,produtos_escape2!A:A,0)),"")</f>
        <v>POLIDOCANOL 1</v>
      </c>
    </row>
    <row r="1234" spans="1:32" ht="14.25" customHeight="1">
      <c r="A1234" s="176" t="s">
        <v>9558</v>
      </c>
      <c r="B1234" s="176" t="s">
        <v>3608</v>
      </c>
      <c r="C1234" s="177">
        <v>44153</v>
      </c>
      <c r="D1234" s="176" t="s">
        <v>10374</v>
      </c>
      <c r="E1234" s="176" t="s">
        <v>3009</v>
      </c>
      <c r="F1234" s="259" t="s">
        <v>10375</v>
      </c>
      <c r="G1234" s="176">
        <v>2</v>
      </c>
      <c r="H1234" s="178">
        <v>28477</v>
      </c>
      <c r="I1234" s="592">
        <f t="shared" si="46"/>
        <v>2</v>
      </c>
      <c r="J1234" s="178" t="s">
        <v>816</v>
      </c>
      <c r="K1234" s="178" t="s">
        <v>816</v>
      </c>
      <c r="L1234" s="275" t="str">
        <f>IF(H:H=0,"",IF(ISERROR(VLOOKUP(H:H,produtos_escape2!$A$2:$B$2794,2,FALSE)),"Código não cadastrado",(VLOOKUP(H:H,produtos_escape2!$A$2:$B$2794,2,FALSE))))</f>
        <v>POLIDOCANOL 3% AMPOLA 2ML</v>
      </c>
      <c r="M1234" s="593" t="str">
        <f>IF(H:H=0,"",IF(ISERROR(VLOOKUP(H:H,produtos_escape2!$A$2:$D$2794,2,FALSE)),"Código não cadastrado",(VLOOKUP(H:H,produtos_escape2!$A$2:$D$2794,4,FALSE))))</f>
        <v>MT</v>
      </c>
      <c r="N1234" s="486">
        <v>20</v>
      </c>
      <c r="O1234" s="176" t="s">
        <v>7364</v>
      </c>
      <c r="P1234" s="486">
        <v>20</v>
      </c>
      <c r="Q1234" s="247">
        <v>7</v>
      </c>
      <c r="R1234" s="246">
        <f t="shared" si="45"/>
        <v>140</v>
      </c>
      <c r="S1234" s="177">
        <v>44166</v>
      </c>
      <c r="T1234" s="182"/>
      <c r="U1234" s="177"/>
      <c r="V1234" s="177"/>
      <c r="W1234" s="177"/>
      <c r="X1234" s="176"/>
      <c r="Y1234" s="177"/>
      <c r="Z1234" s="415">
        <v>6</v>
      </c>
      <c r="AA1234" s="488"/>
      <c r="AB1234" s="594"/>
      <c r="AC1234" s="595"/>
      <c r="AD1234" s="596" t="str">
        <f>IF(AND(AC1234&lt;&gt;"",S1234&lt;&gt;""),NETWORKDAYS(AC1234,S1234,#REF!),"")</f>
        <v/>
      </c>
      <c r="AE1234" s="596" t="str">
        <f ca="1">IF(AND(AD1234="",AC1234=""),"",IF(OR(AD1234&lt;&gt;"",O1234="*CANCELADO"),"",NETWORKDAYS(AC1234,TODAY(),#REF!)))</f>
        <v/>
      </c>
      <c r="AF1234" s="597" t="str">
        <f>IFERROR(INDEX(produtos_escape2!M:M,MATCH(Controle!H1234,produtos_escape2!A:A,0)),"")</f>
        <v>POLIDOCANOL 3% AMPOLA 2ML</v>
      </c>
    </row>
    <row r="1235" spans="1:32" ht="14.25" customHeight="1">
      <c r="A1235" s="176" t="s">
        <v>9556</v>
      </c>
      <c r="B1235" s="176" t="s">
        <v>3608</v>
      </c>
      <c r="C1235" s="177">
        <v>44153</v>
      </c>
      <c r="D1235" s="176" t="s">
        <v>10376</v>
      </c>
      <c r="E1235" s="176" t="s">
        <v>3009</v>
      </c>
      <c r="F1235" s="259" t="s">
        <v>10377</v>
      </c>
      <c r="G1235" s="176">
        <v>1</v>
      </c>
      <c r="H1235" s="178">
        <v>95131</v>
      </c>
      <c r="I1235" s="592">
        <f t="shared" si="46"/>
        <v>5</v>
      </c>
      <c r="J1235" s="178" t="s">
        <v>816</v>
      </c>
      <c r="K1235" s="178" t="s">
        <v>816</v>
      </c>
      <c r="L1235" s="275" t="str">
        <f>IF(H:H=0,"",IF(ISERROR(VLOOKUP(H:H,produtos_escape2!$A$2:$B$2794,2,FALSE)),"Código não cadastrado",(VLOOKUP(H:H,produtos_escape2!$A$2:$B$2794,2,FALSE))))</f>
        <v>CAL SODADA, Absorvedor de CO2. Utilizado em circuito respiratório de aparelhos de anestesia. Uso exclusivo em anestesia. Composição: 97% de hidróxido de cálcio, 3% de hidróxido de sódio, 0,03% de indicador de cor e 13 a 17 % de água. Apresentado na forma de filamento poroso de 3 mm de diâmetro. Embalagem de 5 litros (4,5 KG)</v>
      </c>
      <c r="M1235" s="593" t="str">
        <f>IF(H:H=0,"",IF(ISERROR(VLOOKUP(H:H,produtos_escape2!$A$2:$D$2794,2,FALSE)),"Código não cadastrado",(VLOOKUP(H:H,produtos_escape2!$A$2:$D$2794,4,FALSE))))</f>
        <v>KG</v>
      </c>
      <c r="N1235" s="486">
        <v>30</v>
      </c>
      <c r="O1235" s="176" t="s">
        <v>7371</v>
      </c>
      <c r="P1235" s="486">
        <v>27</v>
      </c>
      <c r="Q1235" s="247">
        <v>25.98</v>
      </c>
      <c r="R1235" s="246">
        <f t="shared" si="45"/>
        <v>701.46</v>
      </c>
      <c r="S1235" s="177">
        <v>44166</v>
      </c>
      <c r="T1235" s="182">
        <v>407383</v>
      </c>
      <c r="U1235" s="177">
        <v>44166</v>
      </c>
      <c r="V1235" s="177">
        <v>44167</v>
      </c>
      <c r="W1235" s="177">
        <v>44173</v>
      </c>
      <c r="X1235" s="176" t="s">
        <v>10674</v>
      </c>
      <c r="Y1235" s="177"/>
      <c r="Z1235" s="415">
        <v>6</v>
      </c>
      <c r="AA1235" s="488"/>
      <c r="AB1235" s="594"/>
      <c r="AC1235" s="595"/>
      <c r="AD1235" s="596" t="str">
        <f>IF(AND(AC1235&lt;&gt;"",S1235&lt;&gt;""),NETWORKDAYS(AC1235,S1235,#REF!),"")</f>
        <v/>
      </c>
      <c r="AE1235" s="596" t="str">
        <f ca="1">IF(AND(AD1235="",AC1235=""),"",IF(OR(AD1235&lt;&gt;"",O1235="*CANCELADO"),"",NETWORKDAYS(AC1235,TODAY(),#REF!)))</f>
        <v/>
      </c>
      <c r="AF1235" s="597" t="str">
        <f>IFERROR(INDEX(produtos_escape2!M:M,MATCH(Controle!H1235,produtos_escape2!A:A,0)),"")</f>
        <v>CAL SODADA</v>
      </c>
    </row>
    <row r="1236" spans="1:32" ht="14.25" customHeight="1">
      <c r="A1236" s="176" t="s">
        <v>9558</v>
      </c>
      <c r="B1236" s="176" t="s">
        <v>3608</v>
      </c>
      <c r="C1236" s="177">
        <v>44153</v>
      </c>
      <c r="D1236" s="176" t="s">
        <v>10378</v>
      </c>
      <c r="E1236" s="176" t="s">
        <v>3009</v>
      </c>
      <c r="F1236" s="259" t="s">
        <v>10379</v>
      </c>
      <c r="G1236" s="176">
        <v>1</v>
      </c>
      <c r="H1236" s="178">
        <v>19648</v>
      </c>
      <c r="I1236" s="592">
        <f t="shared" si="46"/>
        <v>2</v>
      </c>
      <c r="J1236" s="178" t="s">
        <v>816</v>
      </c>
      <c r="K1236" s="178" t="s">
        <v>816</v>
      </c>
      <c r="L1236" s="275" t="str">
        <f>IF(H:H=0,"",IF(ISERROR(VLOOKUP(H:H,produtos_escape2!$A$2:$B$2794,2,FALSE)),"Código não cadastrado",(VLOOKUP(H:H,produtos_escape2!$A$2:$B$2794,2,FALSE))))</f>
        <v>ALCOOL ETILICO HIDRATADO 70% (70°GL) FRASCO 1000ML</v>
      </c>
      <c r="M1236" s="593" t="str">
        <f>IF(H:H=0,"",IF(ISERROR(VLOOKUP(H:H,produtos_escape2!$A$2:$D$2794,2,FALSE)),"Código não cadastrado",(VLOOKUP(H:H,produtos_escape2!$A$2:$D$2794,4,FALSE))))</f>
        <v>FR</v>
      </c>
      <c r="N1236" s="486">
        <v>1000</v>
      </c>
      <c r="O1236" s="176" t="s">
        <v>10075</v>
      </c>
      <c r="P1236" s="486">
        <v>996</v>
      </c>
      <c r="Q1236" s="247">
        <v>2.99</v>
      </c>
      <c r="R1236" s="246">
        <f t="shared" si="45"/>
        <v>2978.0400000000004</v>
      </c>
      <c r="S1236" s="177">
        <v>44166</v>
      </c>
      <c r="T1236" s="182">
        <v>10240</v>
      </c>
      <c r="U1236" s="177">
        <v>44168</v>
      </c>
      <c r="V1236" s="177">
        <v>44169</v>
      </c>
      <c r="W1236" s="177">
        <v>44173</v>
      </c>
      <c r="X1236" s="176" t="s">
        <v>10674</v>
      </c>
      <c r="Y1236" s="177"/>
      <c r="Z1236" s="415">
        <v>6</v>
      </c>
      <c r="AA1236" s="488"/>
      <c r="AB1236" s="594"/>
      <c r="AC1236" s="595"/>
      <c r="AD1236" s="596" t="str">
        <f>IF(AND(AC1236&lt;&gt;"",S1236&lt;&gt;""),NETWORKDAYS(AC1236,S1236,#REF!),"")</f>
        <v/>
      </c>
      <c r="AE1236" s="596" t="str">
        <f ca="1">IF(AND(AD1236="",AC1236=""),"",IF(OR(AD1236&lt;&gt;"",O1236="*CANCELADO"),"",NETWORKDAYS(AC1236,TODAY(),#REF!)))</f>
        <v/>
      </c>
      <c r="AF1236" s="597" t="str">
        <f>IFERROR(INDEX(produtos_escape2!M:M,MATCH(Controle!H1236,produtos_escape2!A:A,0)),"")</f>
        <v>ALCOOL ETILICO HIDRATADO 70% (70°GL) FRASCO 1000ML</v>
      </c>
    </row>
    <row r="1237" spans="1:32" ht="14.25" customHeight="1">
      <c r="A1237" s="176" t="s">
        <v>9550</v>
      </c>
      <c r="B1237" s="176" t="s">
        <v>3608</v>
      </c>
      <c r="C1237" s="177">
        <v>44153</v>
      </c>
      <c r="D1237" s="176" t="s">
        <v>10380</v>
      </c>
      <c r="E1237" s="176" t="s">
        <v>3009</v>
      </c>
      <c r="F1237" s="259" t="s">
        <v>10381</v>
      </c>
      <c r="G1237" s="176">
        <v>1</v>
      </c>
      <c r="H1237" s="178">
        <v>90552</v>
      </c>
      <c r="I1237" s="592">
        <f t="shared" ref="I1237:I1267" si="49">COUNTIF($H$3:$H$3041,H1237)</f>
        <v>6</v>
      </c>
      <c r="J1237" s="178" t="s">
        <v>816</v>
      </c>
      <c r="K1237" s="178" t="s">
        <v>816</v>
      </c>
      <c r="L1237" s="275" t="str">
        <f>IF(H:H=0,"",IF(ISERROR(VLOOKUP(H:H,produtos_escape2!$A$2:$B$2794,2,FALSE)),"Código não cadastrado",(VLOOKUP(H:H,produtos_escape2!$A$2:$B$2794,2,FALSE))))</f>
        <v>CLORETO DE POTASSIO SOLUCAO INJETAVEL 10 % (1,34 MEQ/ML) AMPOLA 10 ML</v>
      </c>
      <c r="M1237" s="593" t="str">
        <f>IF(H:H=0,"",IF(ISERROR(VLOOKUP(H:H,produtos_escape2!$A$2:$D$2794,2,FALSE)),"Código não cadastrado",(VLOOKUP(H:H,produtos_escape2!$A$2:$D$2794,4,FALSE))))</f>
        <v>AMP</v>
      </c>
      <c r="N1237" s="486">
        <v>800</v>
      </c>
      <c r="O1237" s="176" t="s">
        <v>1868</v>
      </c>
      <c r="P1237" s="486"/>
      <c r="Q1237" s="247">
        <v>0.30225000000000002</v>
      </c>
      <c r="R1237" s="246">
        <f t="shared" si="45"/>
        <v>0</v>
      </c>
      <c r="S1237" s="177">
        <v>44166</v>
      </c>
      <c r="T1237" s="182"/>
      <c r="U1237" s="177"/>
      <c r="V1237" s="177"/>
      <c r="W1237" s="177"/>
      <c r="X1237" s="176"/>
      <c r="Y1237" s="177"/>
      <c r="Z1237" s="415">
        <v>6</v>
      </c>
      <c r="AA1237" s="488" t="s">
        <v>8214</v>
      </c>
      <c r="AB1237" s="594"/>
      <c r="AC1237" s="595"/>
      <c r="AD1237" s="596" t="str">
        <f>IF(AND(AC1237&lt;&gt;"",S1237&lt;&gt;""),NETWORKDAYS(AC1237,S1237,#REF!),"")</f>
        <v/>
      </c>
      <c r="AE1237" s="596" t="str">
        <f ca="1">IF(AND(AD1237="",AC1237=""),"",IF(OR(AD1237&lt;&gt;"",O1237="*CANCELADO"),"",NETWORKDAYS(AC1237,TODAY(),#REF!)))</f>
        <v/>
      </c>
      <c r="AF1237" s="597" t="str">
        <f>IFERROR(INDEX(produtos_escape2!M:M,MATCH(Controle!H1237,produtos_escape2!A:A,0)),"")</f>
        <v xml:space="preserve"> CLORETO DE POTASSIO SOLUCAO INJETAVEL 10 % (1</v>
      </c>
    </row>
    <row r="1238" spans="1:32" ht="14.25" customHeight="1">
      <c r="A1238" s="176" t="s">
        <v>9530</v>
      </c>
      <c r="B1238" s="176" t="s">
        <v>3608</v>
      </c>
      <c r="C1238" s="177">
        <v>44153</v>
      </c>
      <c r="D1238" s="176" t="s">
        <v>10382</v>
      </c>
      <c r="E1238" s="176" t="s">
        <v>3009</v>
      </c>
      <c r="F1238" s="259" t="s">
        <v>10383</v>
      </c>
      <c r="G1238" s="176">
        <v>1</v>
      </c>
      <c r="H1238" s="178">
        <v>90925</v>
      </c>
      <c r="I1238" s="592">
        <f t="shared" si="49"/>
        <v>8</v>
      </c>
      <c r="J1238" s="178" t="s">
        <v>816</v>
      </c>
      <c r="K1238" s="178" t="s">
        <v>816</v>
      </c>
      <c r="L1238" s="275" t="str">
        <f>IF(H:H=0,"",IF(ISERROR(VLOOKUP(H:H,produtos_escape2!$A$2:$B$2794,2,FALSE)),"Código não cadastrado",(VLOOKUP(H:H,produtos_escape2!$A$2:$B$2794,2,FALSE))))</f>
        <v>CEFAZOLINA SODICA PO PARA SOLUCAO INJETAVEL 1 G FRASCO AMPOLA</v>
      </c>
      <c r="M1238" s="593" t="str">
        <f>IF(H:H=0,"",IF(ISERROR(VLOOKUP(H:H,produtos_escape2!$A$2:$D$2794,2,FALSE)),"Código não cadastrado",(VLOOKUP(H:H,produtos_escape2!$A$2:$D$2794,4,FALSE))))</f>
        <v>AMP</v>
      </c>
      <c r="N1238" s="486">
        <v>1000</v>
      </c>
      <c r="O1238" s="176" t="s">
        <v>1868</v>
      </c>
      <c r="P1238" s="486"/>
      <c r="Q1238" s="247">
        <v>8.5</v>
      </c>
      <c r="R1238" s="246">
        <f t="shared" si="45"/>
        <v>0</v>
      </c>
      <c r="S1238" s="177"/>
      <c r="T1238" s="182"/>
      <c r="U1238" s="177"/>
      <c r="V1238" s="177"/>
      <c r="W1238" s="177"/>
      <c r="X1238" s="176"/>
      <c r="Y1238" s="177"/>
      <c r="Z1238" s="415">
        <v>6</v>
      </c>
      <c r="AA1238" s="488" t="s">
        <v>10511</v>
      </c>
      <c r="AB1238" s="594"/>
      <c r="AC1238" s="595"/>
      <c r="AD1238" s="596" t="str">
        <f>IF(AND(AC1238&lt;&gt;"",S1238&lt;&gt;""),NETWORKDAYS(AC1238,S1238,#REF!),"")</f>
        <v/>
      </c>
      <c r="AE1238" s="596" t="str">
        <f ca="1">IF(AND(AD1238="",AC1238=""),"",IF(OR(AD1238&lt;&gt;"",O1238="*CANCELADO"),"",NETWORKDAYS(AC1238,TODAY(),#REF!)))</f>
        <v/>
      </c>
      <c r="AF1238" s="597" t="str">
        <f>IFERROR(INDEX(produtos_escape2!M:M,MATCH(Controle!H1238,produtos_escape2!A:A,0)),"")</f>
        <v>CEFAZOLINA SODICA PO PARA SOLUCAO INJETAVEL 1 G FRASCO AMPOLA</v>
      </c>
    </row>
    <row r="1239" spans="1:32" ht="14.25" customHeight="1">
      <c r="A1239" s="176" t="s">
        <v>9523</v>
      </c>
      <c r="B1239" s="176" t="s">
        <v>3608</v>
      </c>
      <c r="C1239" s="177">
        <v>44153</v>
      </c>
      <c r="D1239" s="176" t="s">
        <v>10384</v>
      </c>
      <c r="E1239" s="176" t="s">
        <v>3009</v>
      </c>
      <c r="F1239" s="259" t="s">
        <v>10385</v>
      </c>
      <c r="G1239" s="176">
        <v>1</v>
      </c>
      <c r="H1239" s="178">
        <v>90255</v>
      </c>
      <c r="I1239" s="592">
        <f t="shared" si="49"/>
        <v>8</v>
      </c>
      <c r="J1239" s="178" t="s">
        <v>816</v>
      </c>
      <c r="K1239" s="178" t="s">
        <v>816</v>
      </c>
      <c r="L1239" s="275" t="str">
        <f>IF(H:H=0,"",IF(ISERROR(VLOOKUP(H:H,produtos_escape2!$A$2:$B$2794,2,FALSE)),"Código não cadastrado",(VLOOKUP(H:H,produtos_escape2!$A$2:$B$2794,2,FALSE))))</f>
        <v>BROMOPRIDA SOLUCAO INJETAVEL 5MG/ML AMPOLA 2ML</v>
      </c>
      <c r="M1239" s="593" t="str">
        <f>IF(H:H=0,"",IF(ISERROR(VLOOKUP(H:H,produtos_escape2!$A$2:$D$2794,2,FALSE)),"Código não cadastrado",(VLOOKUP(H:H,produtos_escape2!$A$2:$D$2794,4,FALSE))))</f>
        <v>AMP</v>
      </c>
      <c r="N1239" s="486">
        <v>1000</v>
      </c>
      <c r="O1239" s="176" t="s">
        <v>7549</v>
      </c>
      <c r="P1239" s="486">
        <v>1000</v>
      </c>
      <c r="Q1239" s="247">
        <v>0.91</v>
      </c>
      <c r="R1239" s="246">
        <f t="shared" si="45"/>
        <v>910</v>
      </c>
      <c r="S1239" s="177">
        <v>44166</v>
      </c>
      <c r="T1239" s="182">
        <v>112896</v>
      </c>
      <c r="U1239" s="177">
        <v>44167</v>
      </c>
      <c r="V1239" s="177">
        <v>44169</v>
      </c>
      <c r="W1239" s="177">
        <v>44173</v>
      </c>
      <c r="X1239" s="176" t="s">
        <v>10674</v>
      </c>
      <c r="Y1239" s="177"/>
      <c r="Z1239" s="415">
        <v>6</v>
      </c>
      <c r="AA1239" s="488"/>
      <c r="AB1239" s="594"/>
      <c r="AC1239" s="595"/>
      <c r="AD1239" s="596" t="str">
        <f>IF(AND(AC1239&lt;&gt;"",S1239&lt;&gt;""),NETWORKDAYS(AC1239,S1239,#REF!),"")</f>
        <v/>
      </c>
      <c r="AE1239" s="596" t="str">
        <f ca="1">IF(AND(AD1239="",AC1239=""),"",IF(OR(AD1239&lt;&gt;"",O1239="*CANCELADO"),"",NETWORKDAYS(AC1239,TODAY(),#REF!)))</f>
        <v/>
      </c>
      <c r="AF1239" s="597" t="str">
        <f>IFERROR(INDEX(produtos_escape2!M:M,MATCH(Controle!H1239,produtos_escape2!A:A,0)),"")</f>
        <v>BROMOPRIDA</v>
      </c>
    </row>
    <row r="1240" spans="1:32" ht="14.25" customHeight="1">
      <c r="A1240" s="176" t="s">
        <v>9562</v>
      </c>
      <c r="B1240" s="176" t="s">
        <v>3608</v>
      </c>
      <c r="C1240" s="177">
        <v>44154</v>
      </c>
      <c r="D1240" s="176" t="s">
        <v>10397</v>
      </c>
      <c r="E1240" s="176" t="s">
        <v>1866</v>
      </c>
      <c r="F1240" s="259" t="s">
        <v>10398</v>
      </c>
      <c r="G1240" s="176">
        <v>1</v>
      </c>
      <c r="H1240" s="178">
        <v>90610</v>
      </c>
      <c r="I1240" s="592">
        <f t="shared" si="49"/>
        <v>11</v>
      </c>
      <c r="J1240" s="178" t="s">
        <v>816</v>
      </c>
      <c r="K1240" s="178" t="s">
        <v>816</v>
      </c>
      <c r="L1240" s="275" t="str">
        <f>IF(H:H=0,"",IF(ISERROR(VLOOKUP(H:H,produtos_escape2!$A$2:$B$2794,2,FALSE)),"Código não cadastrado",(VLOOKUP(H:H,produtos_escape2!$A$2:$B$2794,2,FALSE))))</f>
        <v>HEPARINA SODICA SOLUÇAO INJETAVEL 5000 UI/ML FRASCO AMPOLA 5 ML</v>
      </c>
      <c r="M1240" s="593" t="str">
        <f>IF(H:H=0,"",IF(ISERROR(VLOOKUP(H:H,produtos_escape2!$A$2:$D$2794,2,FALSE)),"Código não cadastrado",(VLOOKUP(H:H,produtos_escape2!$A$2:$D$2794,4,FALSE))))</f>
        <v>FA</v>
      </c>
      <c r="N1240" s="486">
        <v>300</v>
      </c>
      <c r="O1240" s="176" t="s">
        <v>2989</v>
      </c>
      <c r="P1240" s="486">
        <v>200</v>
      </c>
      <c r="Q1240" s="247">
        <v>22.3</v>
      </c>
      <c r="R1240" s="246">
        <f t="shared" si="45"/>
        <v>4460</v>
      </c>
      <c r="S1240" s="177">
        <v>44160</v>
      </c>
      <c r="T1240" s="182">
        <v>138927</v>
      </c>
      <c r="U1240" s="177">
        <v>44160</v>
      </c>
      <c r="V1240" s="177">
        <v>44165</v>
      </c>
      <c r="W1240" s="177">
        <v>44173</v>
      </c>
      <c r="X1240" s="176" t="s">
        <v>10674</v>
      </c>
      <c r="Y1240" s="177"/>
      <c r="Z1240" s="415">
        <v>6</v>
      </c>
      <c r="AA1240" s="488"/>
      <c r="AB1240" s="594"/>
      <c r="AC1240" s="595"/>
      <c r="AD1240" s="596" t="str">
        <f>IF(AND(AC1240&lt;&gt;"",S1240&lt;&gt;""),NETWORKDAYS(AC1240,S1240,#REF!),"")</f>
        <v/>
      </c>
      <c r="AE1240" s="596" t="str">
        <f ca="1">IF(AND(AD1240="",AC1240=""),"",IF(OR(AD1240&lt;&gt;"",O1240="*CANCELADO"),"",NETWORKDAYS(AC1240,TODAY(),#REF!)))</f>
        <v/>
      </c>
      <c r="AF1240" s="597" t="str">
        <f>IFERROR(INDEX(produtos_escape2!M:M,MATCH(Controle!H1240,produtos_escape2!A:A,0)),"")</f>
        <v>HEPARINA SODICA SOLUÇAO INJETAVEL 5000 UI/ML FRASCO AMPOLA 5 ML</v>
      </c>
    </row>
    <row r="1241" spans="1:32" ht="14.25" customHeight="1">
      <c r="A1241" s="176" t="s">
        <v>9565</v>
      </c>
      <c r="B1241" s="176" t="s">
        <v>3608</v>
      </c>
      <c r="C1241" s="177">
        <v>44154</v>
      </c>
      <c r="D1241" s="176" t="s">
        <v>10399</v>
      </c>
      <c r="E1241" s="176" t="s">
        <v>1867</v>
      </c>
      <c r="F1241" s="259" t="s">
        <v>10400</v>
      </c>
      <c r="G1241" s="176">
        <v>1</v>
      </c>
      <c r="H1241" s="178">
        <v>90413</v>
      </c>
      <c r="I1241" s="592">
        <f t="shared" si="49"/>
        <v>4</v>
      </c>
      <c r="J1241" s="178" t="s">
        <v>816</v>
      </c>
      <c r="K1241" s="178" t="s">
        <v>816</v>
      </c>
      <c r="L1241" s="275" t="str">
        <f>IF(H:H=0,"",IF(ISERROR(VLOOKUP(H:H,produtos_escape2!$A$2:$B$2794,2,FALSE)),"Código não cadastrado",(VLOOKUP(H:H,produtos_escape2!$A$2:$B$2794,2,FALSE))))</f>
        <v>NITROPRUSSETO DE SODIO PO LIOFILIZADO OU SOLUCAO INJETAVEL 50 MG FRASCO-AMPOLA OU AMPOLA</v>
      </c>
      <c r="M1241" s="593" t="str">
        <f>IF(H:H=0,"",IF(ISERROR(VLOOKUP(H:H,produtos_escape2!$A$2:$D$2794,2,FALSE)),"Código não cadastrado",(VLOOKUP(H:H,produtos_escape2!$A$2:$D$2794,4,FALSE))))</f>
        <v>UN</v>
      </c>
      <c r="N1241" s="486">
        <v>70</v>
      </c>
      <c r="O1241" s="176" t="s">
        <v>10075</v>
      </c>
      <c r="P1241" s="486">
        <v>50</v>
      </c>
      <c r="Q1241" s="247">
        <v>13.96</v>
      </c>
      <c r="R1241" s="246">
        <f t="shared" ref="R1241" si="50">P1241*Q1241</f>
        <v>698</v>
      </c>
      <c r="S1241" s="177">
        <v>44160</v>
      </c>
      <c r="T1241" s="182">
        <v>10421</v>
      </c>
      <c r="U1241" s="177">
        <v>44182</v>
      </c>
      <c r="V1241" s="177">
        <v>44183</v>
      </c>
      <c r="W1241" s="177">
        <v>44186</v>
      </c>
      <c r="X1241" s="176" t="s">
        <v>10674</v>
      </c>
      <c r="Y1241" s="177"/>
      <c r="Z1241" s="415">
        <v>6</v>
      </c>
      <c r="AA1241" s="488"/>
      <c r="AB1241" s="594"/>
      <c r="AC1241" s="595"/>
      <c r="AD1241" s="596" t="str">
        <f>IF(AND(AC1241&lt;&gt;"",S1241&lt;&gt;""),NETWORKDAYS(AC1241,S1241,#REF!),"")</f>
        <v/>
      </c>
      <c r="AE1241" s="596" t="str">
        <f ca="1">IF(AND(AD1241="",AC1241=""),"",IF(OR(AD1241&lt;&gt;"",O1241="*CANCELADO"),"",NETWORKDAYS(AC1241,TODAY(),#REF!)))</f>
        <v/>
      </c>
      <c r="AF1241" s="597" t="str">
        <f>IFERROR(INDEX(produtos_escape2!M:M,MATCH(Controle!H1241,produtos_escape2!A:A,0)),"")</f>
        <v>NITROPRUSSETO DE SODIO</v>
      </c>
    </row>
    <row r="1242" spans="1:32" ht="14.25" customHeight="1">
      <c r="A1242" s="176" t="s">
        <v>9565</v>
      </c>
      <c r="B1242" s="176" t="s">
        <v>3608</v>
      </c>
      <c r="C1242" s="177">
        <v>44154</v>
      </c>
      <c r="D1242" s="176" t="s">
        <v>10399</v>
      </c>
      <c r="E1242" s="176" t="s">
        <v>1867</v>
      </c>
      <c r="F1242" s="259" t="s">
        <v>10400</v>
      </c>
      <c r="G1242" s="176">
        <v>1</v>
      </c>
      <c r="H1242" s="178">
        <v>90413</v>
      </c>
      <c r="I1242" s="592">
        <f t="shared" si="49"/>
        <v>4</v>
      </c>
      <c r="J1242" s="178" t="s">
        <v>816</v>
      </c>
      <c r="K1242" s="178" t="s">
        <v>816</v>
      </c>
      <c r="L1242" s="275" t="str">
        <f>IF(H:H=0,"",IF(ISERROR(VLOOKUP(H:H,produtos_escape2!$A$2:$B$2794,2,FALSE)),"Código não cadastrado",(VLOOKUP(H:H,produtos_escape2!$A$2:$B$2794,2,FALSE))))</f>
        <v>NITROPRUSSETO DE SODIO PO LIOFILIZADO OU SOLUCAO INJETAVEL 50 MG FRASCO-AMPOLA OU AMPOLA</v>
      </c>
      <c r="M1242" s="593" t="str">
        <f>IF(H:H=0,"",IF(ISERROR(VLOOKUP(H:H,produtos_escape2!$A$2:$D$2794,2,FALSE)),"Código não cadastrado",(VLOOKUP(H:H,produtos_escape2!$A$2:$D$2794,4,FALSE))))</f>
        <v>UN</v>
      </c>
      <c r="N1242" s="486">
        <v>70</v>
      </c>
      <c r="O1242" s="176" t="s">
        <v>10075</v>
      </c>
      <c r="P1242" s="486">
        <v>20</v>
      </c>
      <c r="Q1242" s="247">
        <v>13.96</v>
      </c>
      <c r="R1242" s="246">
        <f t="shared" si="45"/>
        <v>279.20000000000005</v>
      </c>
      <c r="S1242" s="177">
        <v>44160</v>
      </c>
      <c r="T1242" s="182"/>
      <c r="U1242" s="177"/>
      <c r="V1242" s="177"/>
      <c r="W1242" s="177"/>
      <c r="X1242" s="176"/>
      <c r="Y1242" s="177"/>
      <c r="Z1242" s="415">
        <v>6</v>
      </c>
      <c r="AA1242" s="488"/>
      <c r="AB1242" s="594"/>
      <c r="AC1242" s="595"/>
      <c r="AD1242" s="596" t="str">
        <f>IF(AND(AC1242&lt;&gt;"",S1242&lt;&gt;""),NETWORKDAYS(AC1242,S1242,#REF!),"")</f>
        <v/>
      </c>
      <c r="AE1242" s="596" t="str">
        <f ca="1">IF(AND(AD1242="",AC1242=""),"",IF(OR(AD1242&lt;&gt;"",O1242="*CANCELADO"),"",NETWORKDAYS(AC1242,TODAY(),#REF!)))</f>
        <v/>
      </c>
      <c r="AF1242" s="597" t="str">
        <f>IFERROR(INDEX(produtos_escape2!M:M,MATCH(Controle!H1242,produtos_escape2!A:A,0)),"")</f>
        <v>NITROPRUSSETO DE SODIO</v>
      </c>
    </row>
    <row r="1243" spans="1:32" ht="14.25" customHeight="1">
      <c r="A1243" s="176" t="s">
        <v>9567</v>
      </c>
      <c r="B1243" s="176" t="s">
        <v>3608</v>
      </c>
      <c r="C1243" s="177">
        <v>44154</v>
      </c>
      <c r="D1243" s="176" t="s">
        <v>10401</v>
      </c>
      <c r="E1243" s="176" t="s">
        <v>1866</v>
      </c>
      <c r="F1243" s="259" t="s">
        <v>10402</v>
      </c>
      <c r="G1243" s="176">
        <v>1</v>
      </c>
      <c r="H1243" s="178">
        <v>90580</v>
      </c>
      <c r="I1243" s="592">
        <f t="shared" si="49"/>
        <v>7</v>
      </c>
      <c r="J1243" s="178" t="s">
        <v>816</v>
      </c>
      <c r="K1243" s="178" t="s">
        <v>816</v>
      </c>
      <c r="L1243" s="275" t="str">
        <f>IF(H:H=0,"",IF(ISERROR(VLOOKUP(H:H,produtos_escape2!$A$2:$B$2794,2,FALSE)),"Código não cadastrado",(VLOOKUP(H:H,produtos_escape2!$A$2:$B$2794,2,FALSE))))</f>
        <v>AGUA PARA INJETAVEIS AMPOLA 10 ML</v>
      </c>
      <c r="M1243" s="593" t="str">
        <f>IF(H:H=0,"",IF(ISERROR(VLOOKUP(H:H,produtos_escape2!$A$2:$D$2794,2,FALSE)),"Código não cadastrado",(VLOOKUP(H:H,produtos_escape2!$A$2:$D$2794,4,FALSE))))</f>
        <v>AMP</v>
      </c>
      <c r="N1243" s="486">
        <v>16000</v>
      </c>
      <c r="O1243" s="176" t="s">
        <v>2989</v>
      </c>
      <c r="P1243" s="486">
        <v>16000</v>
      </c>
      <c r="Q1243" s="247">
        <v>0.26250000000000001</v>
      </c>
      <c r="R1243" s="246">
        <f t="shared" si="45"/>
        <v>4200</v>
      </c>
      <c r="S1243" s="177">
        <v>44159</v>
      </c>
      <c r="T1243" s="182">
        <v>138807</v>
      </c>
      <c r="U1243" s="177">
        <v>44159</v>
      </c>
      <c r="V1243" s="177">
        <v>44165</v>
      </c>
      <c r="W1243" s="177">
        <v>44173</v>
      </c>
      <c r="X1243" s="176" t="s">
        <v>10674</v>
      </c>
      <c r="Y1243" s="177"/>
      <c r="Z1243" s="415">
        <v>6</v>
      </c>
      <c r="AA1243" s="488"/>
      <c r="AB1243" s="594"/>
      <c r="AC1243" s="595"/>
      <c r="AD1243" s="596" t="str">
        <f>IF(AND(AC1243&lt;&gt;"",S1243&lt;&gt;""),NETWORKDAYS(AC1243,S1243,#REF!),"")</f>
        <v/>
      </c>
      <c r="AE1243" s="596" t="str">
        <f ca="1">IF(AND(AD1243="",AC1243=""),"",IF(OR(AD1243&lt;&gt;"",O1243="*CANCELADO"),"",NETWORKDAYS(AC1243,TODAY(),#REF!)))</f>
        <v/>
      </c>
      <c r="AF1243" s="597" t="str">
        <f>IFERROR(INDEX(produtos_escape2!M:M,MATCH(Controle!H1243,produtos_escape2!A:A,0)),"")</f>
        <v xml:space="preserve"> AGUA PARA INJETAVEIS AMPOLA 10 ML</v>
      </c>
    </row>
    <row r="1244" spans="1:32" ht="14.25" customHeight="1">
      <c r="A1244" s="176" t="s">
        <v>8242</v>
      </c>
      <c r="B1244" s="176" t="s">
        <v>7207</v>
      </c>
      <c r="C1244" s="177">
        <v>44154</v>
      </c>
      <c r="D1244" s="176" t="s">
        <v>10403</v>
      </c>
      <c r="E1244" s="176" t="s">
        <v>3009</v>
      </c>
      <c r="F1244" s="259" t="s">
        <v>10404</v>
      </c>
      <c r="G1244" s="176">
        <v>1</v>
      </c>
      <c r="H1244" s="178">
        <v>36214</v>
      </c>
      <c r="I1244" s="592">
        <f t="shared" si="49"/>
        <v>1</v>
      </c>
      <c r="J1244" s="178" t="s">
        <v>816</v>
      </c>
      <c r="K1244" s="178" t="s">
        <v>816</v>
      </c>
      <c r="L1244" s="275" t="str">
        <f>IF(H:H=0,"",IF(ISERROR(VLOOKUP(H:H,produtos_escape2!$A$2:$B$2794,2,FALSE)),"Código não cadastrado",(VLOOKUP(H:H,produtos_escape2!$A$2:$B$2794,2,FALSE))))</f>
        <v>LÂMPADA TUBULAR T8 LED 120CM, 18W, 6500K, BIVOLT.</v>
      </c>
      <c r="M1244" s="593" t="str">
        <f>IF(H:H=0,"",IF(ISERROR(VLOOKUP(H:H,produtos_escape2!$A$2:$D$2794,2,FALSE)),"Código não cadastrado",(VLOOKUP(H:H,produtos_escape2!$A$2:$D$2794,4,FALSE))))</f>
        <v>UN</v>
      </c>
      <c r="N1244" s="486">
        <v>100</v>
      </c>
      <c r="O1244" s="176" t="s">
        <v>3407</v>
      </c>
      <c r="P1244" s="486">
        <v>100</v>
      </c>
      <c r="Q1244" s="247">
        <v>19.98</v>
      </c>
      <c r="R1244" s="246">
        <f t="shared" si="45"/>
        <v>1998</v>
      </c>
      <c r="S1244" s="177">
        <v>44181</v>
      </c>
      <c r="T1244" s="182">
        <v>949</v>
      </c>
      <c r="U1244" s="177">
        <v>44186</v>
      </c>
      <c r="V1244" s="177">
        <v>44187</v>
      </c>
      <c r="W1244" s="177">
        <v>44187</v>
      </c>
      <c r="X1244" s="176" t="s">
        <v>10674</v>
      </c>
      <c r="Y1244" s="177"/>
      <c r="Z1244" s="415">
        <v>6</v>
      </c>
      <c r="AA1244" s="488"/>
      <c r="AB1244" s="594"/>
      <c r="AC1244" s="595"/>
      <c r="AD1244" s="596" t="str">
        <f>IF(AND(AC1244&lt;&gt;"",S1244&lt;&gt;""),NETWORKDAYS(AC1244,S1244,#REF!),"")</f>
        <v/>
      </c>
      <c r="AE1244" s="596" t="str">
        <f ca="1">IF(AND(AD1244="",AC1244=""),"",IF(OR(AD1244&lt;&gt;"",O1244="*CANCELADO"),"",NETWORKDAYS(AC1244,TODAY(),#REF!)))</f>
        <v/>
      </c>
      <c r="AF1244" s="597" t="str">
        <f>IFERROR(INDEX(produtos_escape2!M:M,MATCH(Controle!H1244,produtos_escape2!A:A,0)),"")</f>
        <v>LAMPADA LED 120cm 18w</v>
      </c>
    </row>
    <row r="1245" spans="1:32" ht="14.25" customHeight="1">
      <c r="A1245" s="176" t="s">
        <v>8242</v>
      </c>
      <c r="B1245" s="176" t="s">
        <v>7207</v>
      </c>
      <c r="C1245" s="177">
        <v>44154</v>
      </c>
      <c r="D1245" s="176" t="s">
        <v>10403</v>
      </c>
      <c r="E1245" s="176" t="s">
        <v>3009</v>
      </c>
      <c r="F1245" s="259" t="s">
        <v>10404</v>
      </c>
      <c r="G1245" s="176">
        <v>2</v>
      </c>
      <c r="H1245" s="178">
        <v>36215</v>
      </c>
      <c r="I1245" s="592">
        <f t="shared" si="49"/>
        <v>1</v>
      </c>
      <c r="J1245" s="178" t="s">
        <v>816</v>
      </c>
      <c r="K1245" s="178" t="s">
        <v>816</v>
      </c>
      <c r="L1245" s="275" t="str">
        <f>IF(H:H=0,"",IF(ISERROR(VLOOKUP(H:H,produtos_escape2!$A$2:$B$2794,2,FALSE)),"Código não cadastrado",(VLOOKUP(H:H,produtos_escape2!$A$2:$B$2794,2,FALSE))))</f>
        <v>LÂMPADA TUBULAR, T8, LED, 9/10W, 60CM, LUZ BRANCA FRIA, BIVOLT, 6.500 K.</v>
      </c>
      <c r="M1245" s="593" t="str">
        <f>IF(H:H=0,"",IF(ISERROR(VLOOKUP(H:H,produtos_escape2!$A$2:$D$2794,2,FALSE)),"Código não cadastrado",(VLOOKUP(H:H,produtos_escape2!$A$2:$D$2794,4,FALSE))))</f>
        <v>UN</v>
      </c>
      <c r="N1245" s="486">
        <v>50</v>
      </c>
      <c r="O1245" s="176" t="s">
        <v>1868</v>
      </c>
      <c r="P1245" s="486">
        <v>0</v>
      </c>
      <c r="Q1245" s="247">
        <v>18.989999999999998</v>
      </c>
      <c r="R1245" s="246">
        <f t="shared" si="45"/>
        <v>0</v>
      </c>
      <c r="S1245" s="177">
        <v>44181</v>
      </c>
      <c r="T1245" s="182"/>
      <c r="U1245" s="177"/>
      <c r="V1245" s="177"/>
      <c r="W1245" s="177"/>
      <c r="X1245" s="176"/>
      <c r="Y1245" s="177"/>
      <c r="Z1245" s="415">
        <v>6</v>
      </c>
      <c r="AA1245" s="488"/>
      <c r="AB1245" s="594"/>
      <c r="AC1245" s="595"/>
      <c r="AD1245" s="596" t="str">
        <f>IF(AND(AC1245&lt;&gt;"",S1245&lt;&gt;""),NETWORKDAYS(AC1245,S1245,#REF!),"")</f>
        <v/>
      </c>
      <c r="AE1245" s="596" t="str">
        <f ca="1">IF(AND(AD1245="",AC1245=""),"",IF(OR(AD1245&lt;&gt;"",O1245="*CANCELADO"),"",NETWORKDAYS(AC1245,TODAY(),#REF!)))</f>
        <v/>
      </c>
      <c r="AF1245" s="597" t="str">
        <f>IFERROR(INDEX(produtos_escape2!M:M,MATCH(Controle!H1245,produtos_escape2!A:A,0)),"")</f>
        <v>LAMPADA LED 60cm 9w</v>
      </c>
    </row>
    <row r="1246" spans="1:32" ht="14.25" customHeight="1">
      <c r="A1246" s="176" t="s">
        <v>8244</v>
      </c>
      <c r="B1246" s="176" t="s">
        <v>7207</v>
      </c>
      <c r="C1246" s="177">
        <v>44154</v>
      </c>
      <c r="D1246" s="176" t="s">
        <v>10405</v>
      </c>
      <c r="E1246" s="176" t="s">
        <v>1867</v>
      </c>
      <c r="F1246" s="259" t="s">
        <v>10406</v>
      </c>
      <c r="G1246" s="176">
        <v>1</v>
      </c>
      <c r="H1246" s="178">
        <v>11690</v>
      </c>
      <c r="I1246" s="592">
        <f t="shared" si="49"/>
        <v>1</v>
      </c>
      <c r="J1246" s="178" t="s">
        <v>816</v>
      </c>
      <c r="K1246" s="178" t="s">
        <v>816</v>
      </c>
      <c r="L1246" s="275" t="str">
        <f>IF(H:H=0,"",IF(ISERROR(VLOOKUP(H:H,produtos_escape2!$A$2:$B$2794,2,FALSE)),"Código não cadastrado",(VLOOKUP(H:H,produtos_escape2!$A$2:$B$2794,2,FALSE))))</f>
        <v>SIFÃO CAIXA SIFONADA,Material: PVC, Bitola: 1 pol x 40 mm|</v>
      </c>
      <c r="M1246" s="593" t="str">
        <f>IF(H:H=0,"",IF(ISERROR(VLOOKUP(H:H,produtos_escape2!$A$2:$D$2794,2,FALSE)),"Código não cadastrado",(VLOOKUP(H:H,produtos_escape2!$A$2:$D$2794,4,FALSE))))</f>
        <v>UN</v>
      </c>
      <c r="N1246" s="486">
        <v>20</v>
      </c>
      <c r="O1246" s="176" t="s">
        <v>4358</v>
      </c>
      <c r="P1246" s="486">
        <v>20</v>
      </c>
      <c r="Q1246" s="247">
        <v>5.59</v>
      </c>
      <c r="R1246" s="246">
        <f t="shared" si="45"/>
        <v>111.8</v>
      </c>
      <c r="S1246" s="177">
        <v>44160</v>
      </c>
      <c r="T1246" s="182">
        <v>1098</v>
      </c>
      <c r="U1246" s="177">
        <v>44162</v>
      </c>
      <c r="V1246" s="177">
        <v>44167</v>
      </c>
      <c r="W1246" s="177">
        <v>44173</v>
      </c>
      <c r="X1246" s="176" t="s">
        <v>10674</v>
      </c>
      <c r="Y1246" s="177"/>
      <c r="Z1246" s="415">
        <v>6</v>
      </c>
      <c r="AA1246" s="488"/>
      <c r="AB1246" s="594"/>
      <c r="AC1246" s="595"/>
      <c r="AD1246" s="596" t="str">
        <f>IF(AND(AC1246&lt;&gt;"",S1246&lt;&gt;""),NETWORKDAYS(AC1246,S1246,#REF!),"")</f>
        <v/>
      </c>
      <c r="AE1246" s="596" t="str">
        <f ca="1">IF(AND(AD1246="",AC1246=""),"",IF(OR(AD1246&lt;&gt;"",O1246="*CANCELADO"),"",NETWORKDAYS(AC1246,TODAY(),#REF!)))</f>
        <v/>
      </c>
      <c r="AF1246" s="597" t="str">
        <f>IFERROR(INDEX(produtos_escape2!M:M,MATCH(Controle!H1246,produtos_escape2!A:A,0)),"")</f>
        <v>SIFAO CAIXA SIFONADA</v>
      </c>
    </row>
    <row r="1247" spans="1:32" ht="14.25" customHeight="1">
      <c r="A1247" s="176" t="s">
        <v>9576</v>
      </c>
      <c r="B1247" s="176" t="s">
        <v>3608</v>
      </c>
      <c r="C1247" s="177">
        <v>44158</v>
      </c>
      <c r="D1247" s="176" t="s">
        <v>10412</v>
      </c>
      <c r="E1247" s="176" t="s">
        <v>1866</v>
      </c>
      <c r="F1247" s="259" t="s">
        <v>10418</v>
      </c>
      <c r="G1247" s="176">
        <v>1</v>
      </c>
      <c r="H1247" s="178">
        <v>90032</v>
      </c>
      <c r="I1247" s="592">
        <f t="shared" si="49"/>
        <v>11</v>
      </c>
      <c r="J1247" s="178" t="s">
        <v>816</v>
      </c>
      <c r="K1247" s="178" t="s">
        <v>816</v>
      </c>
      <c r="L1247" s="275" t="str">
        <f>IF(H:H=0,"",IF(ISERROR(VLOOKUP(H:H,produtos_escape2!$A$2:$B$2794,2,FALSE)),"Código não cadastrado",(VLOOKUP(H:H,produtos_escape2!$A$2:$B$2794,2,FALSE))))</f>
        <v>CISATRACURIO (BESILATO) SOLUCAO INJETAVEL 2 MG/ML AMPOLA 5 ML</v>
      </c>
      <c r="M1247" s="593" t="str">
        <f>IF(H:H=0,"",IF(ISERROR(VLOOKUP(H:H,produtos_escape2!$A$2:$D$2794,2,FALSE)),"Código não cadastrado",(VLOOKUP(H:H,produtos_escape2!$A$2:$D$2794,4,FALSE))))</f>
        <v>AMP</v>
      </c>
      <c r="N1247" s="486">
        <v>600</v>
      </c>
      <c r="O1247" s="176" t="s">
        <v>4401</v>
      </c>
      <c r="P1247" s="486">
        <v>370</v>
      </c>
      <c r="Q1247" s="247">
        <v>26.75</v>
      </c>
      <c r="R1247" s="246">
        <f t="shared" si="45"/>
        <v>9897.5</v>
      </c>
      <c r="S1247" s="177">
        <v>44160</v>
      </c>
      <c r="T1247" s="182">
        <v>2805079</v>
      </c>
      <c r="U1247" s="177">
        <v>44161</v>
      </c>
      <c r="V1247" s="177">
        <v>44166</v>
      </c>
      <c r="W1247" s="177">
        <v>44173</v>
      </c>
      <c r="X1247" s="176" t="s">
        <v>10674</v>
      </c>
      <c r="Y1247" s="177"/>
      <c r="Z1247" s="415">
        <v>6</v>
      </c>
      <c r="AA1247" s="488"/>
      <c r="AB1247" s="594"/>
      <c r="AC1247" s="595"/>
      <c r="AD1247" s="596" t="str">
        <f>IF(AND(AC1247&lt;&gt;"",S1247&lt;&gt;""),NETWORKDAYS(AC1247,S1247,#REF!),"")</f>
        <v/>
      </c>
      <c r="AE1247" s="596" t="str">
        <f ca="1">IF(AND(AD1247="",AC1247=""),"",IF(OR(AD1247&lt;&gt;"",O1247="*CANCELADO"),"",NETWORKDAYS(AC1247,TODAY(),#REF!)))</f>
        <v/>
      </c>
      <c r="AF1247" s="597" t="str">
        <f>IFERROR(INDEX(produtos_escape2!M:M,MATCH(Controle!H1247,produtos_escape2!A:A,0)),"")</f>
        <v>CISATRACURIO (BESILATO) SOLUCAO INJETAVEL 2 MG/ML AMPOLA 5 ML</v>
      </c>
    </row>
    <row r="1248" spans="1:32" ht="14.25" customHeight="1">
      <c r="A1248" s="176" t="s">
        <v>9580</v>
      </c>
      <c r="B1248" s="176" t="s">
        <v>3608</v>
      </c>
      <c r="C1248" s="177">
        <v>44158</v>
      </c>
      <c r="D1248" s="176" t="s">
        <v>10413</v>
      </c>
      <c r="E1248" s="176" t="s">
        <v>1866</v>
      </c>
      <c r="F1248" s="259" t="s">
        <v>10419</v>
      </c>
      <c r="G1248" s="176">
        <v>1</v>
      </c>
      <c r="H1248" s="178">
        <v>90458</v>
      </c>
      <c r="I1248" s="592">
        <f t="shared" si="49"/>
        <v>7</v>
      </c>
      <c r="J1248" s="178" t="s">
        <v>816</v>
      </c>
      <c r="K1248" s="178" t="s">
        <v>816</v>
      </c>
      <c r="L1248" s="275" t="str">
        <f>IF(H:H=0,"",IF(ISERROR(VLOOKUP(H:H,produtos_escape2!$A$2:$B$2794,2,FALSE)),"Código não cadastrado",(VLOOKUP(H:H,produtos_escape2!$A$2:$B$2794,2,FALSE))))</f>
        <v>ROCURÔNIO SOLUÇÃO INJETÁVEL 10 MG/ML FRASCO AMPOLA 5ML</v>
      </c>
      <c r="M1248" s="593" t="str">
        <f>IF(H:H=0,"",IF(ISERROR(VLOOKUP(H:H,produtos_escape2!$A$2:$D$2794,2,FALSE)),"Código não cadastrado",(VLOOKUP(H:H,produtos_escape2!$A$2:$D$2794,4,FALSE))))</f>
        <v>FA</v>
      </c>
      <c r="N1248" s="486">
        <v>300</v>
      </c>
      <c r="O1248" s="176" t="s">
        <v>4401</v>
      </c>
      <c r="P1248" s="486">
        <v>300</v>
      </c>
      <c r="Q1248" s="247">
        <v>20.5</v>
      </c>
      <c r="R1248" s="246">
        <f t="shared" si="45"/>
        <v>6150</v>
      </c>
      <c r="S1248" s="177">
        <v>44160</v>
      </c>
      <c r="T1248" s="182">
        <v>2805080</v>
      </c>
      <c r="U1248" s="177">
        <v>44161</v>
      </c>
      <c r="V1248" s="177">
        <v>44166</v>
      </c>
      <c r="W1248" s="177">
        <v>44173</v>
      </c>
      <c r="X1248" s="176" t="s">
        <v>10674</v>
      </c>
      <c r="Y1248" s="177"/>
      <c r="Z1248" s="415">
        <v>6</v>
      </c>
      <c r="AA1248" s="488"/>
      <c r="AB1248" s="594"/>
      <c r="AC1248" s="595"/>
      <c r="AD1248" s="596" t="str">
        <f>IF(AND(AC1248&lt;&gt;"",S1248&lt;&gt;""),NETWORKDAYS(AC1248,S1248,#REF!),"")</f>
        <v/>
      </c>
      <c r="AE1248" s="596" t="str">
        <f ca="1">IF(AND(AD1248="",AC1248=""),"",IF(OR(AD1248&lt;&gt;"",O1248="*CANCELADO"),"",NETWORKDAYS(AC1248,TODAY(),#REF!)))</f>
        <v/>
      </c>
      <c r="AF1248" s="597" t="str">
        <f>IFERROR(INDEX(produtos_escape2!M:M,MATCH(Controle!H1248,produtos_escape2!A:A,0)),"")</f>
        <v>ROCURÔNIO SOLUÇÃO INJETÁVEL 10 MG/ML FRASCO AMPOLA 5ML</v>
      </c>
    </row>
    <row r="1249" spans="1:32" ht="14.25" customHeight="1">
      <c r="A1249" s="176" t="s">
        <v>9588</v>
      </c>
      <c r="B1249" s="176" t="s">
        <v>3608</v>
      </c>
      <c r="C1249" s="177">
        <v>44158</v>
      </c>
      <c r="D1249" s="176" t="s">
        <v>10415</v>
      </c>
      <c r="E1249" s="176" t="s">
        <v>1866</v>
      </c>
      <c r="F1249" s="259" t="s">
        <v>10420</v>
      </c>
      <c r="G1249" s="176">
        <v>1</v>
      </c>
      <c r="H1249" s="178">
        <v>24668</v>
      </c>
      <c r="I1249" s="592">
        <f t="shared" si="49"/>
        <v>2</v>
      </c>
      <c r="J1249" s="178" t="s">
        <v>816</v>
      </c>
      <c r="K1249" s="178" t="s">
        <v>816</v>
      </c>
      <c r="L1249" s="275" t="str">
        <f>IF(H:H=0,"",IF(ISERROR(VLOOKUP(H:H,produtos_escape2!$A$2:$B$2794,2,FALSE)),"Código não cadastrado",(VLOOKUP(H:H,produtos_escape2!$A$2:$B$2794,2,FALSE))))</f>
        <v>CONTRASTE RADIOLOGICO NAO IONICO HIPOSMOLAR SOLUÇÃO INJETAVEL TEOR EM IODO DE 300MG/ML A 350 MG/ML FRASCO AMPOLA 50 ML</v>
      </c>
      <c r="M1249" s="593" t="str">
        <f>IF(H:H=0,"",IF(ISERROR(VLOOKUP(H:H,produtos_escape2!$A$2:$D$2794,2,FALSE)),"Código não cadastrado",(VLOOKUP(H:H,produtos_escape2!$A$2:$D$2794,4,FALSE))))</f>
        <v>FA</v>
      </c>
      <c r="N1249" s="486">
        <v>280</v>
      </c>
      <c r="O1249" s="176" t="s">
        <v>1868</v>
      </c>
      <c r="P1249" s="486"/>
      <c r="Q1249" s="247"/>
      <c r="R1249" s="246">
        <f>P1249*Q1249</f>
        <v>0</v>
      </c>
      <c r="S1249" s="177">
        <v>44160</v>
      </c>
      <c r="T1249" s="182"/>
      <c r="U1249" s="177"/>
      <c r="V1249" s="177"/>
      <c r="W1249" s="177"/>
      <c r="X1249" s="176"/>
      <c r="Y1249" s="177"/>
      <c r="Z1249" s="415">
        <v>6</v>
      </c>
      <c r="AA1249" s="488" t="s">
        <v>10475</v>
      </c>
      <c r="AB1249" s="594"/>
      <c r="AC1249" s="595"/>
      <c r="AD1249" s="596" t="str">
        <f>IF(AND(AC1249&lt;&gt;"",S1249&lt;&gt;""),NETWORKDAYS(AC1249,S1249,#REF!),"")</f>
        <v/>
      </c>
      <c r="AE1249" s="596" t="str">
        <f ca="1">IF(AND(AD1249="",AC1249=""),"",IF(OR(AD1249&lt;&gt;"",O1249="*CANCELADO"),"",NETWORKDAYS(AC1249,TODAY(),#REF!)))</f>
        <v/>
      </c>
      <c r="AF1249" s="597" t="str">
        <f>IFERROR(INDEX(produtos_escape2!M:M,MATCH(Controle!H1249,produtos_escape2!A:A,0)),"")</f>
        <v>CONTRASTE RADIOLOGICO NAO IONICO HIPOSMOLAR SOLUÇÃO INJETAVEL TEOR EM IODO DE 300MG/ML A 350 MG/ML FRASCO AMPOLA 50 ML</v>
      </c>
    </row>
    <row r="1250" spans="1:32" ht="14.25" customHeight="1">
      <c r="A1250" s="176" t="s">
        <v>9590</v>
      </c>
      <c r="B1250" s="176" t="s">
        <v>3608</v>
      </c>
      <c r="C1250" s="177">
        <v>44158</v>
      </c>
      <c r="D1250" s="176" t="s">
        <v>10414</v>
      </c>
      <c r="E1250" s="176" t="s">
        <v>1866</v>
      </c>
      <c r="F1250" s="259" t="s">
        <v>10421</v>
      </c>
      <c r="G1250" s="176">
        <v>1</v>
      </c>
      <c r="H1250" s="178">
        <v>8438</v>
      </c>
      <c r="I1250" s="592">
        <f t="shared" si="49"/>
        <v>2</v>
      </c>
      <c r="J1250" s="178" t="s">
        <v>816</v>
      </c>
      <c r="K1250" s="178" t="s">
        <v>816</v>
      </c>
      <c r="L1250" s="275" t="str">
        <f>IF(H:H=0,"",IF(ISERROR(VLOOKUP(H:H,produtos_escape2!$A$2:$B$2794,2,FALSE)),"Código não cadastrado",(VLOOKUP(H:H,produtos_escape2!$A$2:$B$2794,2,FALSE))))</f>
        <v>SOLUCAO PEROXIDO DE HIDROGENIO 90 A 92% + ACIDO ACETICO 8,0% + ÁCIDO PERACÉTICO 3,4% GALAO COM 5 LITROS (USO EXCLUSIVO PARA DESINFECÇAO DAS MAQUINAS DE HEMODIALISE FRESENIUS). Segundo a empresa que realiza manutenção da máquina, o único material compatível é da marca PURISTERIL.</v>
      </c>
      <c r="M1250" s="593" t="str">
        <f>IF(H:H=0,"",IF(ISERROR(VLOOKUP(H:H,produtos_escape2!$A$2:$D$2794,2,FALSE)),"Código não cadastrado",(VLOOKUP(H:H,produtos_escape2!$A$2:$D$2794,4,FALSE))))</f>
        <v>GL</v>
      </c>
      <c r="N1250" s="486">
        <v>20</v>
      </c>
      <c r="O1250" s="176" t="s">
        <v>1868</v>
      </c>
      <c r="P1250" s="486"/>
      <c r="Q1250" s="247">
        <v>123.42</v>
      </c>
      <c r="R1250" s="246">
        <f t="shared" si="45"/>
        <v>0</v>
      </c>
      <c r="S1250" s="177">
        <v>44175</v>
      </c>
      <c r="T1250" s="182"/>
      <c r="U1250" s="177"/>
      <c r="V1250" s="177"/>
      <c r="W1250" s="177"/>
      <c r="X1250" s="176"/>
      <c r="Y1250" s="177"/>
      <c r="Z1250" s="415">
        <v>6</v>
      </c>
      <c r="AA1250" s="488" t="s">
        <v>9616</v>
      </c>
      <c r="AB1250" s="594"/>
      <c r="AC1250" s="595"/>
      <c r="AD1250" s="596" t="str">
        <f>IF(AND(AC1250&lt;&gt;"",S1250&lt;&gt;""),NETWORKDAYS(AC1250,S1250,#REF!),"")</f>
        <v/>
      </c>
      <c r="AE1250" s="596" t="str">
        <f ca="1">IF(AND(AD1250="",AC1250=""),"",IF(OR(AD1250&lt;&gt;"",O1250="*CANCELADO"),"",NETWORKDAYS(AC1250,TODAY(),#REF!)))</f>
        <v/>
      </c>
      <c r="AF1250" s="597" t="str">
        <f>IFERROR(INDEX(produtos_escape2!M:M,MATCH(Controle!H1250,produtos_escape2!A:A,0)),"")</f>
        <v>SOLUCAO PEROXIDO DE HIDROGENIO 90 A 92% + ACIDO ACETICO 8</v>
      </c>
    </row>
    <row r="1251" spans="1:32" ht="14.25" customHeight="1">
      <c r="A1251" s="176" t="s">
        <v>9594</v>
      </c>
      <c r="B1251" s="176" t="s">
        <v>3608</v>
      </c>
      <c r="C1251" s="177">
        <v>44158</v>
      </c>
      <c r="D1251" s="176" t="s">
        <v>10416</v>
      </c>
      <c r="E1251" s="176" t="s">
        <v>1866</v>
      </c>
      <c r="F1251" s="259" t="s">
        <v>10422</v>
      </c>
      <c r="G1251" s="176">
        <v>1</v>
      </c>
      <c r="H1251" s="178">
        <v>90985</v>
      </c>
      <c r="I1251" s="592">
        <f t="shared" si="49"/>
        <v>4</v>
      </c>
      <c r="J1251" s="178" t="s">
        <v>816</v>
      </c>
      <c r="K1251" s="178" t="s">
        <v>816</v>
      </c>
      <c r="L1251" s="275" t="str">
        <f>IF(H:H=0,"",IF(ISERROR(VLOOKUP(H:H,produtos_escape2!$A$2:$B$2794,2,FALSE)),"Código não cadastrado",(VLOOKUP(H:H,produtos_escape2!$A$2:$B$2794,2,FALSE))))</f>
        <v>NITRATO DE PRATA SOLUCAO OFTALMICA 1 % FRASCO 2,5 A 5,0 ML</v>
      </c>
      <c r="M1251" s="593" t="str">
        <f>IF(H:H=0,"",IF(ISERROR(VLOOKUP(H:H,produtos_escape2!$A$2:$D$2794,2,FALSE)),"Código não cadastrado",(VLOOKUP(H:H,produtos_escape2!$A$2:$D$2794,4,FALSE))))</f>
        <v>FR</v>
      </c>
      <c r="N1251" s="486">
        <v>20</v>
      </c>
      <c r="O1251" s="176" t="s">
        <v>8452</v>
      </c>
      <c r="P1251" s="486">
        <v>20</v>
      </c>
      <c r="Q1251" s="247">
        <v>17.5</v>
      </c>
      <c r="R1251" s="246">
        <f t="shared" si="45"/>
        <v>350</v>
      </c>
      <c r="S1251" s="177">
        <v>44160</v>
      </c>
      <c r="T1251" s="182">
        <v>28862</v>
      </c>
      <c r="U1251" s="177">
        <v>44162</v>
      </c>
      <c r="V1251" s="177">
        <v>44165</v>
      </c>
      <c r="W1251" s="177">
        <v>44173</v>
      </c>
      <c r="X1251" s="176" t="s">
        <v>10674</v>
      </c>
      <c r="Y1251" s="177"/>
      <c r="Z1251" s="415">
        <v>6</v>
      </c>
      <c r="AA1251" s="488"/>
      <c r="AB1251" s="594"/>
      <c r="AC1251" s="595"/>
      <c r="AD1251" s="596" t="str">
        <f>IF(AND(AC1251&lt;&gt;"",S1251&lt;&gt;""),NETWORKDAYS(AC1251,S1251,#REF!),"")</f>
        <v/>
      </c>
      <c r="AE1251" s="596" t="str">
        <f ca="1">IF(AND(AD1251="",AC1251=""),"",IF(OR(AD1251&lt;&gt;"",O1251="*CANCELADO"),"",NETWORKDAYS(AC1251,TODAY(),#REF!)))</f>
        <v/>
      </c>
      <c r="AF1251" s="597" t="str">
        <f>IFERROR(INDEX(produtos_escape2!M:M,MATCH(Controle!H1251,produtos_escape2!A:A,0)),"")</f>
        <v>NITRATO DE PRATA SOLUCAO OFTALMICA 1 % FRASCO 2</v>
      </c>
    </row>
    <row r="1252" spans="1:32" ht="14.25" customHeight="1">
      <c r="A1252" s="176" t="s">
        <v>8232</v>
      </c>
      <c r="B1252" s="176" t="s">
        <v>7207</v>
      </c>
      <c r="C1252" s="177">
        <v>44158</v>
      </c>
      <c r="D1252" s="176" t="s">
        <v>10417</v>
      </c>
      <c r="E1252" s="176" t="s">
        <v>1866</v>
      </c>
      <c r="F1252" s="259" t="s">
        <v>10423</v>
      </c>
      <c r="G1252" s="176">
        <v>1</v>
      </c>
      <c r="H1252" s="178">
        <v>32735</v>
      </c>
      <c r="I1252" s="592">
        <f t="shared" si="49"/>
        <v>4</v>
      </c>
      <c r="J1252" s="178" t="s">
        <v>816</v>
      </c>
      <c r="K1252" s="178" t="s">
        <v>816</v>
      </c>
      <c r="L1252" s="275"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1252" s="593" t="str">
        <f>IF(H:H=0,"",IF(ISERROR(VLOOKUP(H:H,produtos_escape2!$A$2:$D$2794,2,FALSE)),"Código não cadastrado",(VLOOKUP(H:H,produtos_escape2!$A$2:$D$2794,4,FALSE))))</f>
        <v>RL</v>
      </c>
      <c r="N1252" s="486">
        <v>36</v>
      </c>
      <c r="O1252" s="176" t="s">
        <v>4432</v>
      </c>
      <c r="P1252" s="486">
        <v>36</v>
      </c>
      <c r="Q1252" s="247">
        <v>29.96</v>
      </c>
      <c r="R1252" s="246">
        <f t="shared" si="45"/>
        <v>1078.56</v>
      </c>
      <c r="S1252" s="177">
        <v>44160</v>
      </c>
      <c r="T1252" s="182">
        <v>9938</v>
      </c>
      <c r="U1252" s="177">
        <v>44173</v>
      </c>
      <c r="V1252" s="177">
        <v>44175</v>
      </c>
      <c r="W1252" s="177"/>
      <c r="X1252" s="176" t="s">
        <v>10674</v>
      </c>
      <c r="Y1252" s="177"/>
      <c r="Z1252" s="415">
        <v>6</v>
      </c>
      <c r="AA1252" s="488"/>
      <c r="AB1252" s="594"/>
      <c r="AC1252" s="595"/>
      <c r="AD1252" s="596" t="str">
        <f>IF(AND(AC1252&lt;&gt;"",S1252&lt;&gt;""),NETWORKDAYS(AC1252,S1252,#REF!),"")</f>
        <v/>
      </c>
      <c r="AE1252" s="596" t="str">
        <f ca="1">IF(AND(AD1252="",AC1252=""),"",IF(OR(AD1252&lt;&gt;"",O1252="*CANCELADO"),"",NETWORKDAYS(AC1252,TODAY(),#REF!)))</f>
        <v/>
      </c>
      <c r="AF1252" s="597" t="str">
        <f>IFERROR(INDEX(produtos_escape2!M:M,MATCH(Controle!H1252,produtos_escape2!A:A,0)),"")</f>
        <v>ETIQUETA ADESIVA TÉRMICA para Núcleo Segurança do Paciente</v>
      </c>
    </row>
    <row r="1253" spans="1:32" ht="14.25" customHeight="1">
      <c r="A1253" s="176" t="s">
        <v>9571</v>
      </c>
      <c r="B1253" s="176" t="s">
        <v>3608</v>
      </c>
      <c r="C1253" s="177">
        <v>44158</v>
      </c>
      <c r="D1253" s="176" t="s">
        <v>10424</v>
      </c>
      <c r="E1253" s="176" t="s">
        <v>3008</v>
      </c>
      <c r="F1253" s="259" t="s">
        <v>10425</v>
      </c>
      <c r="G1253" s="176">
        <v>1</v>
      </c>
      <c r="H1253" s="178">
        <v>95789</v>
      </c>
      <c r="I1253" s="592">
        <f t="shared" si="49"/>
        <v>2</v>
      </c>
      <c r="J1253" s="178" t="s">
        <v>816</v>
      </c>
      <c r="K1253" s="178" t="s">
        <v>816</v>
      </c>
      <c r="L1253" s="275" t="str">
        <f>IF(H:H=0,"",IF(ISERROR(VLOOKUP(H:H,produtos_escape2!$A$2:$B$2794,2,FALSE)),"Código não cadastrado",(VLOOKUP(H:H,produtos_escape2!$A$2:$B$2794,2,FALSE))))</f>
        <v>CONJUNTO PARA DETERMINAÇAO DE ALBUMINA.Aplicação: analise bioquimica. Características adicionais: equipamento automatizado. Forma de Apresentação:conjunto (kit). 
Prazo de Validade: 75% do prazo de validade do produto.</v>
      </c>
      <c r="M1253" s="593" t="str">
        <f>IF(H:H=0,"",IF(ISERROR(VLOOKUP(H:H,produtos_escape2!$A$2:$D$2794,2,FALSE)),"Código não cadastrado",(VLOOKUP(H:H,produtos_escape2!$A$2:$D$2794,4,FALSE))))</f>
        <v>TE</v>
      </c>
      <c r="N1253" s="486">
        <v>2938</v>
      </c>
      <c r="O1253" s="176" t="s">
        <v>1868</v>
      </c>
      <c r="P1253" s="486"/>
      <c r="Q1253" s="247"/>
      <c r="R1253" s="246">
        <f t="shared" si="45"/>
        <v>0</v>
      </c>
      <c r="S1253" s="177">
        <v>44173</v>
      </c>
      <c r="T1253" s="182"/>
      <c r="U1253" s="177"/>
      <c r="V1253" s="177"/>
      <c r="W1253" s="177"/>
      <c r="X1253" s="176"/>
      <c r="Y1253" s="177"/>
      <c r="Z1253" s="415">
        <v>6</v>
      </c>
      <c r="AA1253" s="488" t="s">
        <v>10531</v>
      </c>
      <c r="AB1253" s="594"/>
      <c r="AC1253" s="595"/>
      <c r="AD1253" s="596" t="str">
        <f>IF(AND(AC1253&lt;&gt;"",S1253&lt;&gt;""),NETWORKDAYS(AC1253,S1253,#REF!),"")</f>
        <v/>
      </c>
      <c r="AE1253" s="596" t="str">
        <f ca="1">IF(AND(AD1253="",AC1253=""),"",IF(OR(AD1253&lt;&gt;"",O1253="*CANCELADO"),"",NETWORKDAYS(AC1253,TODAY(),#REF!)))</f>
        <v/>
      </c>
      <c r="AF1253" s="597" t="str">
        <f>IFERROR(INDEX(produtos_escape2!M:M,MATCH(Controle!H1253,produtos_escape2!A:A,0)),"")</f>
        <v>CONJUNTO PARA DETERMINAÇAO DE ALBUMINA</v>
      </c>
    </row>
    <row r="1254" spans="1:32" ht="14.25" customHeight="1">
      <c r="A1254" s="176" t="s">
        <v>9571</v>
      </c>
      <c r="B1254" s="176" t="s">
        <v>3608</v>
      </c>
      <c r="C1254" s="177">
        <v>44158</v>
      </c>
      <c r="D1254" s="176" t="s">
        <v>10424</v>
      </c>
      <c r="E1254" s="176" t="s">
        <v>3008</v>
      </c>
      <c r="F1254" s="259" t="s">
        <v>10425</v>
      </c>
      <c r="G1254" s="176">
        <v>2</v>
      </c>
      <c r="H1254" s="178">
        <v>95774</v>
      </c>
      <c r="I1254" s="592">
        <f t="shared" si="49"/>
        <v>4</v>
      </c>
      <c r="J1254" s="178" t="s">
        <v>816</v>
      </c>
      <c r="K1254" s="178" t="s">
        <v>816</v>
      </c>
      <c r="L1254" s="275" t="str">
        <f>IF(H:H=0,"",IF(ISERROR(VLOOKUP(H:H,produtos_escape2!$A$2:$B$2794,2,FALSE)),"Código não cadastrado",(VLOOKUP(H:H,produtos_escape2!$A$2:$B$2794,2,FALSE))))</f>
        <v>CONJUNTO PARA DETERMINAÇAO DE AMILASE CINETICO, AUTOMAÇAO. Aplicação:analise bioquimica. Características adicionais: equipamento automatizado. Forma de Apresentação: conjunto (kit). Prazo de Validade: 75% do prazo de validade do produto.</v>
      </c>
      <c r="M1254" s="593" t="str">
        <f>IF(H:H=0,"",IF(ISERROR(VLOOKUP(H:H,produtos_escape2!$A$2:$D$2794,2,FALSE)),"Código não cadastrado",(VLOOKUP(H:H,produtos_escape2!$A$2:$D$2794,4,FALSE))))</f>
        <v>TE</v>
      </c>
      <c r="N1254" s="486">
        <v>1455</v>
      </c>
      <c r="O1254" s="176" t="s">
        <v>1868</v>
      </c>
      <c r="P1254" s="486"/>
      <c r="Q1254" s="247"/>
      <c r="R1254" s="246">
        <f t="shared" si="45"/>
        <v>0</v>
      </c>
      <c r="S1254" s="177">
        <v>44173</v>
      </c>
      <c r="T1254" s="182"/>
      <c r="U1254" s="177"/>
      <c r="V1254" s="177"/>
      <c r="W1254" s="177"/>
      <c r="X1254" s="176"/>
      <c r="Y1254" s="177"/>
      <c r="Z1254" s="415">
        <v>6</v>
      </c>
      <c r="AA1254" s="488" t="s">
        <v>10531</v>
      </c>
      <c r="AB1254" s="594"/>
      <c r="AC1254" s="595"/>
      <c r="AD1254" s="596" t="str">
        <f>IF(AND(AC1254&lt;&gt;"",S1254&lt;&gt;""),NETWORKDAYS(AC1254,S1254,#REF!),"")</f>
        <v/>
      </c>
      <c r="AE1254" s="596" t="str">
        <f ca="1">IF(AND(AD1254="",AC1254=""),"",IF(OR(AD1254&lt;&gt;"",O1254="*CANCELADO"),"",NETWORKDAYS(AC1254,TODAY(),#REF!)))</f>
        <v/>
      </c>
      <c r="AF1254" s="597" t="str">
        <f>IFERROR(INDEX(produtos_escape2!M:M,MATCH(Controle!H1254,produtos_escape2!A:A,0)),"")</f>
        <v>CONJUNTO PARA DETERMINAÇAO DE AMILASE CINETICO</v>
      </c>
    </row>
    <row r="1255" spans="1:32" ht="14.25" customHeight="1">
      <c r="A1255" s="176" t="s">
        <v>9571</v>
      </c>
      <c r="B1255" s="176" t="s">
        <v>3608</v>
      </c>
      <c r="C1255" s="177">
        <v>44158</v>
      </c>
      <c r="D1255" s="176" t="s">
        <v>10424</v>
      </c>
      <c r="E1255" s="176" t="s">
        <v>3008</v>
      </c>
      <c r="F1255" s="259" t="s">
        <v>10425</v>
      </c>
      <c r="G1255" s="176">
        <v>3</v>
      </c>
      <c r="H1255" s="178">
        <v>95790</v>
      </c>
      <c r="I1255" s="592">
        <f t="shared" si="49"/>
        <v>1</v>
      </c>
      <c r="J1255" s="178" t="s">
        <v>816</v>
      </c>
      <c r="K1255" s="178" t="s">
        <v>816</v>
      </c>
      <c r="L1255" s="275" t="str">
        <f>IF(H:H=0,"",IF(ISERROR(VLOOKUP(H:H,produtos_escape2!$A$2:$B$2794,2,FALSE)),"Código não cadastrado",(VLOOKUP(H:H,produtos_escape2!$A$2:$B$2794,2,FALSE))))</f>
        <v>CONJUNTO PARA DETERMINAÇAO DE BILIRRUBINA DIRETA Aplicação: analise bioquimica. Características adicionais: equipamento automatizado. For ma de Apresentação: conjunto (kit). Prazo de Validade: 75% do prazo de validade do produto. EQUIPAMENTO WIENER-LAB</v>
      </c>
      <c r="M1255" s="593" t="str">
        <f>IF(H:H=0,"",IF(ISERROR(VLOOKUP(H:H,produtos_escape2!$A$2:$D$2794,2,FALSE)),"Código não cadastrado",(VLOOKUP(H:H,produtos_escape2!$A$2:$D$2794,4,FALSE))))</f>
        <v>TE</v>
      </c>
      <c r="N1255" s="486">
        <v>3429</v>
      </c>
      <c r="O1255" s="176" t="s">
        <v>1868</v>
      </c>
      <c r="P1255" s="486"/>
      <c r="Q1255" s="247"/>
      <c r="R1255" s="246">
        <f t="shared" si="45"/>
        <v>0</v>
      </c>
      <c r="S1255" s="177">
        <v>44173</v>
      </c>
      <c r="T1255" s="182"/>
      <c r="U1255" s="177"/>
      <c r="V1255" s="177"/>
      <c r="W1255" s="177"/>
      <c r="X1255" s="176"/>
      <c r="Y1255" s="177"/>
      <c r="Z1255" s="415">
        <v>6</v>
      </c>
      <c r="AA1255" s="488" t="s">
        <v>10531</v>
      </c>
      <c r="AB1255" s="594"/>
      <c r="AC1255" s="595"/>
      <c r="AD1255" s="596" t="str">
        <f>IF(AND(AC1255&lt;&gt;"",S1255&lt;&gt;""),NETWORKDAYS(AC1255,S1255,#REF!),"")</f>
        <v/>
      </c>
      <c r="AE1255" s="596" t="str">
        <f ca="1">IF(AND(AD1255="",AC1255=""),"",IF(OR(AD1255&lt;&gt;"",O1255="*CANCELADO"),"",NETWORKDAYS(AC1255,TODAY(),#REF!)))</f>
        <v/>
      </c>
      <c r="AF1255" s="597" t="str">
        <f>IFERROR(INDEX(produtos_escape2!M:M,MATCH(Controle!H1255,produtos_escape2!A:A,0)),"")</f>
        <v>CONJUNTO PARA DETERMINAÇAO DE BILIRRUBINA DIRETA</v>
      </c>
    </row>
    <row r="1256" spans="1:32" ht="14.25" customHeight="1">
      <c r="A1256" s="176" t="s">
        <v>9571</v>
      </c>
      <c r="B1256" s="176" t="s">
        <v>3608</v>
      </c>
      <c r="C1256" s="177">
        <v>44158</v>
      </c>
      <c r="D1256" s="176" t="s">
        <v>10424</v>
      </c>
      <c r="E1256" s="176" t="s">
        <v>3008</v>
      </c>
      <c r="F1256" s="259" t="s">
        <v>10425</v>
      </c>
      <c r="G1256" s="176">
        <v>4</v>
      </c>
      <c r="H1256" s="178">
        <v>95779</v>
      </c>
      <c r="I1256" s="592">
        <f t="shared" si="49"/>
        <v>3</v>
      </c>
      <c r="J1256" s="178" t="s">
        <v>816</v>
      </c>
      <c r="K1256" s="178" t="s">
        <v>816</v>
      </c>
      <c r="L1256" s="275" t="str">
        <f>IF(H:H=0,"",IF(ISERROR(VLOOKUP(H:H,produtos_escape2!$A$2:$B$2794,2,FALSE)),"Código não cadastrado",(VLOOKUP(H:H,produtos_escape2!$A$2:$B$2794,2,FALSE))))</f>
        <v>CONJUNTO PARA DETERMINAÇAO DE BILIRRUBINA. Aplicação:analise bioquimica. 
Características adicionais: equipamento automatizado. Forma de Apresentação:conjunto (kit). 
Prazo de Validade: 75% do prazo de validade do produto.</v>
      </c>
      <c r="M1256" s="593" t="str">
        <f>IF(H:H=0,"",IF(ISERROR(VLOOKUP(H:H,produtos_escape2!$A$2:$D$2794,2,FALSE)),"Código não cadastrado",(VLOOKUP(H:H,produtos_escape2!$A$2:$D$2794,4,FALSE))))</f>
        <v>TE</v>
      </c>
      <c r="N1256" s="486">
        <v>3429</v>
      </c>
      <c r="O1256" s="176" t="s">
        <v>1868</v>
      </c>
      <c r="P1256" s="486"/>
      <c r="Q1256" s="247"/>
      <c r="R1256" s="246">
        <f t="shared" si="45"/>
        <v>0</v>
      </c>
      <c r="S1256" s="177">
        <v>44173</v>
      </c>
      <c r="T1256" s="182"/>
      <c r="U1256" s="177"/>
      <c r="V1256" s="177"/>
      <c r="W1256" s="177"/>
      <c r="X1256" s="176"/>
      <c r="Y1256" s="177"/>
      <c r="Z1256" s="415">
        <v>6</v>
      </c>
      <c r="AA1256" s="488" t="s">
        <v>10531</v>
      </c>
      <c r="AB1256" s="594"/>
      <c r="AC1256" s="595"/>
      <c r="AD1256" s="596" t="str">
        <f>IF(AND(AC1256&lt;&gt;"",S1256&lt;&gt;""),NETWORKDAYS(AC1256,S1256,#REF!),"")</f>
        <v/>
      </c>
      <c r="AE1256" s="596" t="str">
        <f ca="1">IF(AND(AD1256="",AC1256=""),"",IF(OR(AD1256&lt;&gt;"",O1256="*CANCELADO"),"",NETWORKDAYS(AC1256,TODAY(),#REF!)))</f>
        <v/>
      </c>
      <c r="AF1256" s="597" t="str">
        <f>IFERROR(INDEX(produtos_escape2!M:M,MATCH(Controle!H1256,produtos_escape2!A:A,0)),"")</f>
        <v>CONJUNTO PARA DETERMINAÇAO DE BILIRRUBINA</v>
      </c>
    </row>
    <row r="1257" spans="1:32" ht="14.25" customHeight="1">
      <c r="A1257" s="176" t="s">
        <v>9571</v>
      </c>
      <c r="B1257" s="176" t="s">
        <v>3608</v>
      </c>
      <c r="C1257" s="177">
        <v>44158</v>
      </c>
      <c r="D1257" s="176" t="s">
        <v>10424</v>
      </c>
      <c r="E1257" s="176" t="s">
        <v>3008</v>
      </c>
      <c r="F1257" s="259" t="s">
        <v>10425</v>
      </c>
      <c r="G1257" s="176">
        <v>5</v>
      </c>
      <c r="H1257" s="178">
        <v>95780</v>
      </c>
      <c r="I1257" s="592">
        <f t="shared" si="49"/>
        <v>1</v>
      </c>
      <c r="J1257" s="178" t="s">
        <v>816</v>
      </c>
      <c r="K1257" s="178" t="s">
        <v>816</v>
      </c>
      <c r="L1257" s="275" t="str">
        <f>IF(H:H=0,"",IF(ISERROR(VLOOKUP(H:H,produtos_escape2!$A$2:$B$2794,2,FALSE)),"Código não cadastrado",(VLOOKUP(H:H,produtos_escape2!$A$2:$B$2794,2,FALSE))))</f>
        <v>CONJUNTO PARA DETERMINAÇAO DE CALCIO. Aplicação:analise bioquimica. Características adicionais: equipamento automatizado. Forma de Apresentação:conjunto (kit). Prazo de Validade: 75% do prazo de validade do produto.</v>
      </c>
      <c r="M1257" s="593" t="str">
        <f>IF(H:H=0,"",IF(ISERROR(VLOOKUP(H:H,produtos_escape2!$A$2:$D$2794,2,FALSE)),"Código não cadastrado",(VLOOKUP(H:H,produtos_escape2!$A$2:$D$2794,4,FALSE))))</f>
        <v>TE</v>
      </c>
      <c r="N1257" s="486">
        <v>1560</v>
      </c>
      <c r="O1257" s="176" t="s">
        <v>1868</v>
      </c>
      <c r="P1257" s="486"/>
      <c r="Q1257" s="247"/>
      <c r="R1257" s="246">
        <f t="shared" si="45"/>
        <v>0</v>
      </c>
      <c r="S1257" s="177">
        <v>44173</v>
      </c>
      <c r="T1257" s="182"/>
      <c r="U1257" s="177"/>
      <c r="V1257" s="177"/>
      <c r="W1257" s="177"/>
      <c r="X1257" s="176"/>
      <c r="Y1257" s="177"/>
      <c r="Z1257" s="415">
        <v>6</v>
      </c>
      <c r="AA1257" s="488" t="s">
        <v>10531</v>
      </c>
      <c r="AB1257" s="594"/>
      <c r="AC1257" s="595"/>
      <c r="AD1257" s="596" t="str">
        <f>IF(AND(AC1257&lt;&gt;"",S1257&lt;&gt;""),NETWORKDAYS(AC1257,S1257,#REF!),"")</f>
        <v/>
      </c>
      <c r="AE1257" s="596" t="str">
        <f ca="1">IF(AND(AD1257="",AC1257=""),"",IF(OR(AD1257&lt;&gt;"",O1257="*CANCELADO"),"",NETWORKDAYS(AC1257,TODAY(),#REF!)))</f>
        <v/>
      </c>
      <c r="AF1257" s="597" t="str">
        <f>IFERROR(INDEX(produtos_escape2!M:M,MATCH(Controle!H1257,produtos_escape2!A:A,0)),"")</f>
        <v>CONJUNTO PARA DETERMINAÇAO DE CALCIO</v>
      </c>
    </row>
    <row r="1258" spans="1:32" ht="14.25" customHeight="1">
      <c r="A1258" s="176" t="s">
        <v>9571</v>
      </c>
      <c r="B1258" s="176" t="s">
        <v>3608</v>
      </c>
      <c r="C1258" s="177">
        <v>44158</v>
      </c>
      <c r="D1258" s="176" t="s">
        <v>10424</v>
      </c>
      <c r="E1258" s="176" t="s">
        <v>3008</v>
      </c>
      <c r="F1258" s="259" t="s">
        <v>10425</v>
      </c>
      <c r="G1258" s="176">
        <v>6</v>
      </c>
      <c r="H1258" s="178">
        <v>95775</v>
      </c>
      <c r="I1258" s="592">
        <f t="shared" si="49"/>
        <v>4</v>
      </c>
      <c r="J1258" s="178" t="s">
        <v>816</v>
      </c>
      <c r="K1258" s="178" t="s">
        <v>816</v>
      </c>
      <c r="L1258" s="275" t="str">
        <f>IF(H:H=0,"",IF(ISERROR(VLOOKUP(H:H,produtos_escape2!$A$2:$B$2794,2,FALSE)),"Código não cadastrado",(VLOOKUP(H:H,produtos_escape2!$A$2:$B$2794,2,FALSE))))</f>
        <v>CONJUNTO PARA DETERMINAÇAO DE CREATININA. Aplicação:analise bioquimica. Características adicionais: equipamento automatizado. Forma de Apresentação:conjunto (kit). 
Prazo de Validade: 75% do prazo de validade do produto.</v>
      </c>
      <c r="M1258" s="593" t="str">
        <f>IF(H:H=0,"",IF(ISERROR(VLOOKUP(H:H,produtos_escape2!$A$2:$D$2794,2,FALSE)),"Código não cadastrado",(VLOOKUP(H:H,produtos_escape2!$A$2:$D$2794,4,FALSE))))</f>
        <v>TE</v>
      </c>
      <c r="N1258" s="486">
        <v>6488</v>
      </c>
      <c r="O1258" s="176" t="s">
        <v>1868</v>
      </c>
      <c r="P1258" s="486"/>
      <c r="Q1258" s="247"/>
      <c r="R1258" s="246">
        <f t="shared" ref="R1258:R1322" si="51">P1258*Q1258</f>
        <v>0</v>
      </c>
      <c r="S1258" s="177">
        <v>44173</v>
      </c>
      <c r="T1258" s="182"/>
      <c r="U1258" s="177"/>
      <c r="V1258" s="177"/>
      <c r="W1258" s="177"/>
      <c r="X1258" s="176"/>
      <c r="Y1258" s="177"/>
      <c r="Z1258" s="415">
        <v>6</v>
      </c>
      <c r="AA1258" s="488" t="s">
        <v>10531</v>
      </c>
      <c r="AB1258" s="594"/>
      <c r="AC1258" s="595"/>
      <c r="AD1258" s="596" t="str">
        <f>IF(AND(AC1258&lt;&gt;"",S1258&lt;&gt;""),NETWORKDAYS(AC1258,S1258,#REF!),"")</f>
        <v/>
      </c>
      <c r="AE1258" s="596" t="str">
        <f ca="1">IF(AND(AD1258="",AC1258=""),"",IF(OR(AD1258&lt;&gt;"",O1258="*CANCELADO"),"",NETWORKDAYS(AC1258,TODAY(),#REF!)))</f>
        <v/>
      </c>
      <c r="AF1258" s="597" t="str">
        <f>IFERROR(INDEX(produtos_escape2!M:M,MATCH(Controle!H1258,produtos_escape2!A:A,0)),"")</f>
        <v>CONJUNTO PARA DETERMINAÇAO DE CREATININA</v>
      </c>
    </row>
    <row r="1259" spans="1:32" ht="14.25" customHeight="1">
      <c r="A1259" s="176" t="s">
        <v>9571</v>
      </c>
      <c r="B1259" s="176" t="s">
        <v>3608</v>
      </c>
      <c r="C1259" s="177">
        <v>44158</v>
      </c>
      <c r="D1259" s="176" t="s">
        <v>10424</v>
      </c>
      <c r="E1259" s="176" t="s">
        <v>3008</v>
      </c>
      <c r="F1259" s="259" t="s">
        <v>10425</v>
      </c>
      <c r="G1259" s="176">
        <v>7</v>
      </c>
      <c r="H1259" s="178">
        <v>95770</v>
      </c>
      <c r="I1259" s="592">
        <f t="shared" si="49"/>
        <v>1</v>
      </c>
      <c r="J1259" s="178" t="s">
        <v>816</v>
      </c>
      <c r="K1259" s="178" t="s">
        <v>816</v>
      </c>
      <c r="L1259" s="275" t="str">
        <f>IF(H:H=0,"",IF(ISERROR(VLOOKUP(H:H,produtos_escape2!$A$2:$B$2794,2,FALSE)),"Código não cadastrado",(VLOOKUP(H:H,produtos_escape2!$A$2:$B$2794,2,FALSE))))</f>
        <v>CONJUNTO PARA DETERMINAÇAO DE GLICOSE ENZIMATICA, Aplicação:analise bioquimica. Características adicionais: equipamento  automatizado. Forma de Apresentação:conjunto (kit). Prazo de Validade: 75% do prazo de validade do produto.</v>
      </c>
      <c r="M1259" s="593" t="str">
        <f>IF(H:H=0,"",IF(ISERROR(VLOOKUP(H:H,produtos_escape2!$A$2:$D$2794,2,FALSE)),"Código não cadastrado",(VLOOKUP(H:H,produtos_escape2!$A$2:$D$2794,4,FALSE))))</f>
        <v>TE</v>
      </c>
      <c r="N1259" s="486">
        <v>4570</v>
      </c>
      <c r="O1259" s="176" t="s">
        <v>1868</v>
      </c>
      <c r="P1259" s="486"/>
      <c r="Q1259" s="247"/>
      <c r="R1259" s="246">
        <f t="shared" si="51"/>
        <v>0</v>
      </c>
      <c r="S1259" s="177">
        <v>44173</v>
      </c>
      <c r="T1259" s="182"/>
      <c r="U1259" s="177"/>
      <c r="V1259" s="177"/>
      <c r="W1259" s="177"/>
      <c r="X1259" s="176"/>
      <c r="Y1259" s="177"/>
      <c r="Z1259" s="415">
        <v>6</v>
      </c>
      <c r="AA1259" s="488" t="s">
        <v>10531</v>
      </c>
      <c r="AB1259" s="594"/>
      <c r="AC1259" s="595"/>
      <c r="AD1259" s="596" t="str">
        <f>IF(AND(AC1259&lt;&gt;"",S1259&lt;&gt;""),NETWORKDAYS(AC1259,S1259,#REF!),"")</f>
        <v/>
      </c>
      <c r="AE1259" s="596" t="str">
        <f ca="1">IF(AND(AD1259="",AC1259=""),"",IF(OR(AD1259&lt;&gt;"",O1259="*CANCELADO"),"",NETWORKDAYS(AC1259,TODAY(),#REF!)))</f>
        <v/>
      </c>
      <c r="AF1259" s="597" t="str">
        <f>IFERROR(INDEX(produtos_escape2!M:M,MATCH(Controle!H1259,produtos_escape2!A:A,0)),"")</f>
        <v>CONJUNTO PARA DETERMINAÇAO DE GLICOSE ENZIMATICA</v>
      </c>
    </row>
    <row r="1260" spans="1:32" ht="14.25" customHeight="1">
      <c r="A1260" s="176" t="s">
        <v>9571</v>
      </c>
      <c r="B1260" s="176" t="s">
        <v>3608</v>
      </c>
      <c r="C1260" s="177">
        <v>44158</v>
      </c>
      <c r="D1260" s="176" t="s">
        <v>10424</v>
      </c>
      <c r="E1260" s="176" t="s">
        <v>3008</v>
      </c>
      <c r="F1260" s="259" t="s">
        <v>10425</v>
      </c>
      <c r="G1260" s="176">
        <v>8</v>
      </c>
      <c r="H1260" s="178">
        <v>95758</v>
      </c>
      <c r="I1260" s="592">
        <f t="shared" si="49"/>
        <v>4</v>
      </c>
      <c r="J1260" s="178" t="s">
        <v>816</v>
      </c>
      <c r="K1260" s="178" t="s">
        <v>816</v>
      </c>
      <c r="L1260" s="275" t="str">
        <f>IF(H:H=0,"",IF(ISERROR(VLOOKUP(H:H,produtos_escape2!$A$2:$B$2794,2,FALSE)),"Código não cadastrado",(VLOOKUP(H:H,produtos_escape2!$A$2:$B$2794,2,FALSE))))</f>
        <v>CONJUNTO PARA DETERMINAÇÃO DE GAMA GLUTAMIL TRANSFERASE. Aplicação:analise bioquimica. aracterísticas adicionais: equipamento automatizado. Forma de Apresentação:conjunto (kit). Prazo de Validade: 75% do prazo de validade do produto.</v>
      </c>
      <c r="M1260" s="593" t="str">
        <f>IF(H:H=0,"",IF(ISERROR(VLOOKUP(H:H,produtos_escape2!$A$2:$D$2794,2,FALSE)),"Código não cadastrado",(VLOOKUP(H:H,produtos_escape2!$A$2:$D$2794,4,FALSE))))</f>
        <v>TE</v>
      </c>
      <c r="N1260" s="486">
        <v>1428</v>
      </c>
      <c r="O1260" s="176" t="s">
        <v>1868</v>
      </c>
      <c r="P1260" s="486"/>
      <c r="Q1260" s="247"/>
      <c r="R1260" s="246">
        <f t="shared" si="51"/>
        <v>0</v>
      </c>
      <c r="S1260" s="177">
        <v>44173</v>
      </c>
      <c r="T1260" s="182"/>
      <c r="U1260" s="177"/>
      <c r="V1260" s="177"/>
      <c r="W1260" s="177"/>
      <c r="X1260" s="176"/>
      <c r="Y1260" s="177"/>
      <c r="Z1260" s="415">
        <v>6</v>
      </c>
      <c r="AA1260" s="488" t="s">
        <v>10531</v>
      </c>
      <c r="AB1260" s="594"/>
      <c r="AC1260" s="595"/>
      <c r="AD1260" s="596" t="str">
        <f>IF(AND(AC1260&lt;&gt;"",S1260&lt;&gt;""),NETWORKDAYS(AC1260,S1260,#REF!),"")</f>
        <v/>
      </c>
      <c r="AE1260" s="596" t="str">
        <f ca="1">IF(AND(AD1260="",AC1260=""),"",IF(OR(AD1260&lt;&gt;"",O1260="*CANCELADO"),"",NETWORKDAYS(AC1260,TODAY(),#REF!)))</f>
        <v/>
      </c>
      <c r="AF1260" s="597" t="str">
        <f>IFERROR(INDEX(produtos_escape2!M:M,MATCH(Controle!H1260,produtos_escape2!A:A,0)),"")</f>
        <v>CONJUNTO PARA DETERMINAÇÃO DE GAMA GLUTAMIL TRANSFERASE</v>
      </c>
    </row>
    <row r="1261" spans="1:32" ht="14.25" customHeight="1">
      <c r="A1261" s="176" t="s">
        <v>9571</v>
      </c>
      <c r="B1261" s="176" t="s">
        <v>3608</v>
      </c>
      <c r="C1261" s="177">
        <v>44158</v>
      </c>
      <c r="D1261" s="176" t="s">
        <v>10424</v>
      </c>
      <c r="E1261" s="176" t="s">
        <v>3008</v>
      </c>
      <c r="F1261" s="259" t="s">
        <v>10425</v>
      </c>
      <c r="G1261" s="176">
        <v>9</v>
      </c>
      <c r="H1261" s="178">
        <v>95760</v>
      </c>
      <c r="I1261" s="592">
        <f t="shared" si="49"/>
        <v>2</v>
      </c>
      <c r="J1261" s="178" t="s">
        <v>816</v>
      </c>
      <c r="K1261" s="178" t="s">
        <v>816</v>
      </c>
      <c r="L1261" s="275" t="str">
        <f>IF(H:H=0,"",IF(ISERROR(VLOOKUP(H:H,produtos_escape2!$A$2:$B$2794,2,FALSE)),"Código não cadastrado",(VLOOKUP(H:H,produtos_escape2!$A$2:$B$2794,2,FALSE))))</f>
        <v>CONJUNTO PARA DETERMINAÇAO DE HDL COLESTEROL, AUTOMAÇAO</v>
      </c>
      <c r="M1261" s="593" t="str">
        <f>IF(H:H=0,"",IF(ISERROR(VLOOKUP(H:H,produtos_escape2!$A$2:$D$2794,2,FALSE)),"Código não cadastrado",(VLOOKUP(H:H,produtos_escape2!$A$2:$D$2794,4,FALSE))))</f>
        <v>TE</v>
      </c>
      <c r="N1261" s="486">
        <v>727</v>
      </c>
      <c r="O1261" s="176" t="s">
        <v>1868</v>
      </c>
      <c r="P1261" s="486"/>
      <c r="Q1261" s="247"/>
      <c r="R1261" s="246">
        <f t="shared" si="51"/>
        <v>0</v>
      </c>
      <c r="S1261" s="177">
        <v>44173</v>
      </c>
      <c r="T1261" s="182"/>
      <c r="U1261" s="177"/>
      <c r="V1261" s="177"/>
      <c r="W1261" s="177"/>
      <c r="X1261" s="176"/>
      <c r="Y1261" s="177"/>
      <c r="Z1261" s="415">
        <v>6</v>
      </c>
      <c r="AA1261" s="488" t="s">
        <v>10531</v>
      </c>
      <c r="AB1261" s="594"/>
      <c r="AC1261" s="595"/>
      <c r="AD1261" s="596" t="str">
        <f>IF(AND(AC1261&lt;&gt;"",S1261&lt;&gt;""),NETWORKDAYS(AC1261,S1261,#REF!),"")</f>
        <v/>
      </c>
      <c r="AE1261" s="596" t="str">
        <f ca="1">IF(AND(AD1261="",AC1261=""),"",IF(OR(AD1261&lt;&gt;"",O1261="*CANCELADO"),"",NETWORKDAYS(AC1261,TODAY(),#REF!)))</f>
        <v/>
      </c>
      <c r="AF1261" s="597" t="str">
        <f>IFERROR(INDEX(produtos_escape2!M:M,MATCH(Controle!H1261,produtos_escape2!A:A,0)),"")</f>
        <v>CONJUNTO PARA DETERMINAÇAO DE HDL COLESTEROL</v>
      </c>
    </row>
    <row r="1262" spans="1:32" ht="14.25" customHeight="1">
      <c r="A1262" s="176" t="s">
        <v>9571</v>
      </c>
      <c r="B1262" s="176" t="s">
        <v>3608</v>
      </c>
      <c r="C1262" s="177">
        <v>44158</v>
      </c>
      <c r="D1262" s="176" t="s">
        <v>10424</v>
      </c>
      <c r="E1262" s="176" t="s">
        <v>3008</v>
      </c>
      <c r="F1262" s="259" t="s">
        <v>10426</v>
      </c>
      <c r="G1262" s="176">
        <v>1</v>
      </c>
      <c r="H1262" s="178">
        <v>95778</v>
      </c>
      <c r="I1262" s="592">
        <f t="shared" si="49"/>
        <v>3</v>
      </c>
      <c r="J1262" s="178" t="s">
        <v>816</v>
      </c>
      <c r="K1262" s="178" t="s">
        <v>816</v>
      </c>
      <c r="L1262" s="275" t="str">
        <f>IF(H:H=0,"",IF(ISERROR(VLOOKUP(H:H,produtos_escape2!$A$2:$B$2794,2,FALSE)),"Código não cadastrado",(VLOOKUP(H:H,produtos_escape2!$A$2:$B$2794,2,FALSE))))</f>
        <v>CONJUNTO PARA DETERMINAÇAO DE LDH, Aplicação:analise bioquimica. Características adicionais: equipamento automatizado. Forma de Apresentação:conjunto (kit). Prazo de Validade: 75% do prazo de validade do produto. O reagente deve ser compatível com o equipamento CMD800i e vir acompanhado de todos os consumíveis necessários para seu funcionamento, como detergentes, calibradores e etc.</v>
      </c>
      <c r="M1262" s="593" t="str">
        <f>IF(H:H=0,"",IF(ISERROR(VLOOKUP(H:H,produtos_escape2!$A$2:$D$2794,2,FALSE)),"Código não cadastrado",(VLOOKUP(H:H,produtos_escape2!$A$2:$D$2794,4,FALSE))))</f>
        <v>TE</v>
      </c>
      <c r="N1262" s="486">
        <v>1714</v>
      </c>
      <c r="O1262" s="176" t="s">
        <v>1868</v>
      </c>
      <c r="P1262" s="486"/>
      <c r="Q1262" s="247"/>
      <c r="R1262" s="246">
        <f t="shared" si="51"/>
        <v>0</v>
      </c>
      <c r="S1262" s="177">
        <v>44173</v>
      </c>
      <c r="T1262" s="182"/>
      <c r="U1262" s="177"/>
      <c r="V1262" s="177"/>
      <c r="W1262" s="177"/>
      <c r="X1262" s="176"/>
      <c r="Y1262" s="177"/>
      <c r="Z1262" s="415">
        <v>6</v>
      </c>
      <c r="AA1262" s="488" t="s">
        <v>10531</v>
      </c>
      <c r="AB1262" s="594"/>
      <c r="AC1262" s="595"/>
      <c r="AD1262" s="596" t="str">
        <f>IF(AND(AC1262&lt;&gt;"",S1262&lt;&gt;""),NETWORKDAYS(AC1262,S1262,#REF!),"")</f>
        <v/>
      </c>
      <c r="AE1262" s="596" t="str">
        <f ca="1">IF(AND(AD1262="",AC1262=""),"",IF(OR(AD1262&lt;&gt;"",O1262="*CANCELADO"),"",NETWORKDAYS(AC1262,TODAY(),#REF!)))</f>
        <v/>
      </c>
      <c r="AF1262" s="597" t="str">
        <f>IFERROR(INDEX(produtos_escape2!M:M,MATCH(Controle!H1262,produtos_escape2!A:A,0)),"")</f>
        <v>CONJUNTO PARA DETERMINAÇAO DE LDH</v>
      </c>
    </row>
    <row r="1263" spans="1:32" ht="14.25" customHeight="1">
      <c r="A1263" s="176" t="s">
        <v>9571</v>
      </c>
      <c r="B1263" s="176" t="s">
        <v>3608</v>
      </c>
      <c r="C1263" s="177">
        <v>44158</v>
      </c>
      <c r="D1263" s="176" t="s">
        <v>10424</v>
      </c>
      <c r="E1263" s="176" t="s">
        <v>3008</v>
      </c>
      <c r="F1263" s="259" t="s">
        <v>10426</v>
      </c>
      <c r="G1263" s="176">
        <v>2</v>
      </c>
      <c r="H1263" s="178">
        <v>95781</v>
      </c>
      <c r="I1263" s="592">
        <f t="shared" si="49"/>
        <v>4</v>
      </c>
      <c r="J1263" s="178" t="s">
        <v>816</v>
      </c>
      <c r="K1263" s="178" t="s">
        <v>816</v>
      </c>
      <c r="L1263" s="275" t="str">
        <f>IF(H:H=0,"",IF(ISERROR(VLOOKUP(H:H,produtos_escape2!$A$2:$B$2794,2,FALSE)),"Código não cadastrado",(VLOOKUP(H:H,produtos_escape2!$A$2:$B$2794,2,FALSE))))</f>
        <v>CONJUNTO PARA DETERMINAÇAO DE MAGNESIO. Aplicação:analise bioquimica. Características adicionais: equipamento automatizado. Forma de Apresentação:conjunto (kit). 
Prazo de Validade: 75% do prazo de validade do produto.</v>
      </c>
      <c r="M1263" s="593" t="str">
        <f>IF(H:H=0,"",IF(ISERROR(VLOOKUP(H:H,produtos_escape2!$A$2:$D$2794,2,FALSE)),"Código não cadastrado",(VLOOKUP(H:H,produtos_escape2!$A$2:$D$2794,4,FALSE))))</f>
        <v>TE</v>
      </c>
      <c r="N1263" s="486">
        <v>1212</v>
      </c>
      <c r="O1263" s="176" t="s">
        <v>1868</v>
      </c>
      <c r="P1263" s="486"/>
      <c r="Q1263" s="247"/>
      <c r="R1263" s="246">
        <f t="shared" si="51"/>
        <v>0</v>
      </c>
      <c r="S1263" s="177">
        <v>44173</v>
      </c>
      <c r="T1263" s="182"/>
      <c r="U1263" s="177"/>
      <c r="V1263" s="177"/>
      <c r="W1263" s="177"/>
      <c r="X1263" s="176"/>
      <c r="Y1263" s="177"/>
      <c r="Z1263" s="415">
        <v>6</v>
      </c>
      <c r="AA1263" s="488" t="s">
        <v>10531</v>
      </c>
      <c r="AB1263" s="594"/>
      <c r="AC1263" s="595"/>
      <c r="AD1263" s="596" t="str">
        <f>IF(AND(AC1263&lt;&gt;"",S1263&lt;&gt;""),NETWORKDAYS(AC1263,S1263,#REF!),"")</f>
        <v/>
      </c>
      <c r="AE1263" s="596" t="str">
        <f ca="1">IF(AND(AD1263="",AC1263=""),"",IF(OR(AD1263&lt;&gt;"",O1263="*CANCELADO"),"",NETWORKDAYS(AC1263,TODAY(),#REF!)))</f>
        <v/>
      </c>
      <c r="AF1263" s="597" t="str">
        <f>IFERROR(INDEX(produtos_escape2!M:M,MATCH(Controle!H1263,produtos_escape2!A:A,0)),"")</f>
        <v>CONJUNTO PARA DETERMINAÇAO DE MAGNESIO</v>
      </c>
    </row>
    <row r="1264" spans="1:32" ht="14.25" customHeight="1">
      <c r="A1264" s="176" t="s">
        <v>9571</v>
      </c>
      <c r="B1264" s="176" t="s">
        <v>3608</v>
      </c>
      <c r="C1264" s="177">
        <v>44158</v>
      </c>
      <c r="D1264" s="176" t="s">
        <v>10424</v>
      </c>
      <c r="E1264" s="176" t="s">
        <v>3008</v>
      </c>
      <c r="F1264" s="259" t="s">
        <v>10426</v>
      </c>
      <c r="G1264" s="176">
        <v>3</v>
      </c>
      <c r="H1264" s="178">
        <v>95772</v>
      </c>
      <c r="I1264" s="592">
        <f t="shared" si="49"/>
        <v>2</v>
      </c>
      <c r="J1264" s="178" t="s">
        <v>816</v>
      </c>
      <c r="K1264" s="178" t="s">
        <v>816</v>
      </c>
      <c r="L1264" s="275" t="str">
        <f>IF(H:H=0,"",IF(ISERROR(VLOOKUP(H:H,produtos_escape2!$A$2:$B$2794,2,FALSE)),"Código não cadastrado",(VLOOKUP(H:H,produtos_escape2!$A$2:$B$2794,2,FALSE))))</f>
        <v>CONJUNTO PARA DETERMINAÇAO DE TGO CINETICO, AUTOMAÇAO</v>
      </c>
      <c r="M1264" s="593" t="str">
        <f>IF(H:H=0,"",IF(ISERROR(VLOOKUP(H:H,produtos_escape2!$A$2:$D$2794,2,FALSE)),"Código não cadastrado",(VLOOKUP(H:H,produtos_escape2!$A$2:$D$2794,4,FALSE))))</f>
        <v>TE</v>
      </c>
      <c r="N1264" s="486">
        <v>4287</v>
      </c>
      <c r="O1264" s="176" t="s">
        <v>1868</v>
      </c>
      <c r="P1264" s="486"/>
      <c r="Q1264" s="247"/>
      <c r="R1264" s="246">
        <f t="shared" si="51"/>
        <v>0</v>
      </c>
      <c r="S1264" s="177">
        <v>44173</v>
      </c>
      <c r="T1264" s="182"/>
      <c r="U1264" s="177"/>
      <c r="V1264" s="177"/>
      <c r="W1264" s="177"/>
      <c r="X1264" s="176"/>
      <c r="Y1264" s="177"/>
      <c r="Z1264" s="415">
        <v>6</v>
      </c>
      <c r="AA1264" s="488" t="s">
        <v>10531</v>
      </c>
      <c r="AB1264" s="594"/>
      <c r="AC1264" s="595"/>
      <c r="AD1264" s="596" t="str">
        <f>IF(AND(AC1264&lt;&gt;"",S1264&lt;&gt;""),NETWORKDAYS(AC1264,S1264,#REF!),"")</f>
        <v/>
      </c>
      <c r="AE1264" s="596" t="str">
        <f ca="1">IF(AND(AD1264="",AC1264=""),"",IF(OR(AD1264&lt;&gt;"",O1264="*CANCELADO"),"",NETWORKDAYS(AC1264,TODAY(),#REF!)))</f>
        <v/>
      </c>
      <c r="AF1264" s="597" t="str">
        <f>IFERROR(INDEX(produtos_escape2!M:M,MATCH(Controle!H1264,produtos_escape2!A:A,0)),"")</f>
        <v>CONJUNTO PARA DETERMINAÇAO DE TGO CINETICO</v>
      </c>
    </row>
    <row r="1265" spans="1:32" ht="14.25" customHeight="1">
      <c r="A1265" s="176" t="s">
        <v>9571</v>
      </c>
      <c r="B1265" s="176" t="s">
        <v>3608</v>
      </c>
      <c r="C1265" s="177">
        <v>44158</v>
      </c>
      <c r="D1265" s="176" t="s">
        <v>10424</v>
      </c>
      <c r="E1265" s="176" t="s">
        <v>3008</v>
      </c>
      <c r="F1265" s="259" t="s">
        <v>10426</v>
      </c>
      <c r="G1265" s="176">
        <v>4</v>
      </c>
      <c r="H1265" s="178">
        <v>95773</v>
      </c>
      <c r="I1265" s="592">
        <f t="shared" si="49"/>
        <v>5</v>
      </c>
      <c r="J1265" s="178" t="s">
        <v>816</v>
      </c>
      <c r="K1265" s="178" t="s">
        <v>816</v>
      </c>
      <c r="L1265" s="275" t="str">
        <f>IF(H:H=0,"",IF(ISERROR(VLOOKUP(H:H,produtos_escape2!$A$2:$B$2794,2,FALSE)),"Código não cadastrado",(VLOOKUP(H:H,produtos_escape2!$A$2:$B$2794,2,FALSE))))</f>
        <v>CONJUNTO PARA DETERMINAÇAO DE TGP CINETICO, AUTOMAÇAO</v>
      </c>
      <c r="M1265" s="593" t="str">
        <f>IF(H:H=0,"",IF(ISERROR(VLOOKUP(H:H,produtos_escape2!$A$2:$D$2794,2,FALSE)),"Código não cadastrado",(VLOOKUP(H:H,produtos_escape2!$A$2:$D$2794,4,FALSE))))</f>
        <v>TE</v>
      </c>
      <c r="N1265" s="486">
        <v>4287</v>
      </c>
      <c r="O1265" s="176" t="s">
        <v>1868</v>
      </c>
      <c r="P1265" s="486"/>
      <c r="Q1265" s="247"/>
      <c r="R1265" s="246">
        <f t="shared" si="51"/>
        <v>0</v>
      </c>
      <c r="S1265" s="177">
        <v>44173</v>
      </c>
      <c r="T1265" s="182"/>
      <c r="U1265" s="177"/>
      <c r="V1265" s="177"/>
      <c r="W1265" s="177"/>
      <c r="X1265" s="176"/>
      <c r="Y1265" s="177"/>
      <c r="Z1265" s="415">
        <v>6</v>
      </c>
      <c r="AA1265" s="488" t="s">
        <v>10531</v>
      </c>
      <c r="AB1265" s="594"/>
      <c r="AC1265" s="595"/>
      <c r="AD1265" s="596" t="str">
        <f>IF(AND(AC1265&lt;&gt;"",S1265&lt;&gt;""),NETWORKDAYS(AC1265,S1265,#REF!),"")</f>
        <v/>
      </c>
      <c r="AE1265" s="596" t="str">
        <f ca="1">IF(AND(AD1265="",AC1265=""),"",IF(OR(AD1265&lt;&gt;"",O1265="*CANCELADO"),"",NETWORKDAYS(AC1265,TODAY(),#REF!)))</f>
        <v/>
      </c>
      <c r="AF1265" s="597" t="str">
        <f>IFERROR(INDEX(produtos_escape2!M:M,MATCH(Controle!H1265,produtos_escape2!A:A,0)),"")</f>
        <v>CONJUNTO PARA DETERMINAÇAO DE TGP CINETICO</v>
      </c>
    </row>
    <row r="1266" spans="1:32" ht="14.25" customHeight="1">
      <c r="A1266" s="176" t="s">
        <v>9571</v>
      </c>
      <c r="B1266" s="176" t="s">
        <v>3608</v>
      </c>
      <c r="C1266" s="177">
        <v>44158</v>
      </c>
      <c r="D1266" s="176" t="s">
        <v>10424</v>
      </c>
      <c r="E1266" s="176" t="s">
        <v>3008</v>
      </c>
      <c r="F1266" s="259" t="s">
        <v>10426</v>
      </c>
      <c r="G1266" s="176">
        <v>5</v>
      </c>
      <c r="H1266" s="178">
        <v>95771</v>
      </c>
      <c r="I1266" s="592">
        <f t="shared" si="49"/>
        <v>2</v>
      </c>
      <c r="J1266" s="178" t="s">
        <v>816</v>
      </c>
      <c r="K1266" s="178" t="s">
        <v>816</v>
      </c>
      <c r="L1266" s="275" t="str">
        <f>IF(H:H=0,"",IF(ISERROR(VLOOKUP(H:H,produtos_escape2!$A$2:$B$2794,2,FALSE)),"Código não cadastrado",(VLOOKUP(H:H,produtos_escape2!$A$2:$B$2794,2,FALSE))))</f>
        <v>CONJUNTO PARA DETERMINAÇAO DE UREIA ENZIMATICA, AUTOMAÇAO</v>
      </c>
      <c r="M1266" s="593" t="str">
        <f>IF(H:H=0,"",IF(ISERROR(VLOOKUP(H:H,produtos_escape2!$A$2:$D$2794,2,FALSE)),"Código não cadastrado",(VLOOKUP(H:H,produtos_escape2!$A$2:$D$2794,4,FALSE))))</f>
        <v>TE</v>
      </c>
      <c r="N1266" s="486">
        <v>6488</v>
      </c>
      <c r="O1266" s="176" t="s">
        <v>1868</v>
      </c>
      <c r="P1266" s="486"/>
      <c r="Q1266" s="247"/>
      <c r="R1266" s="246">
        <f t="shared" si="51"/>
        <v>0</v>
      </c>
      <c r="S1266" s="177">
        <v>44173</v>
      </c>
      <c r="T1266" s="182"/>
      <c r="U1266" s="177"/>
      <c r="V1266" s="177"/>
      <c r="W1266" s="177"/>
      <c r="X1266" s="176"/>
      <c r="Y1266" s="177"/>
      <c r="Z1266" s="415">
        <v>6</v>
      </c>
      <c r="AA1266" s="488" t="s">
        <v>10531</v>
      </c>
      <c r="AB1266" s="594"/>
      <c r="AC1266" s="595"/>
      <c r="AD1266" s="596" t="str">
        <f>IF(AND(AC1266&lt;&gt;"",S1266&lt;&gt;""),NETWORKDAYS(AC1266,S1266,#REF!),"")</f>
        <v/>
      </c>
      <c r="AE1266" s="596" t="str">
        <f ca="1">IF(AND(AD1266="",AC1266=""),"",IF(OR(AD1266&lt;&gt;"",O1266="*CANCELADO"),"",NETWORKDAYS(AC1266,TODAY(),#REF!)))</f>
        <v/>
      </c>
      <c r="AF1266" s="597" t="str">
        <f>IFERROR(INDEX(produtos_escape2!M:M,MATCH(Controle!H1266,produtos_escape2!A:A,0)),"")</f>
        <v>CONJUNTO PARA DETERMINAÇAO DE UREIA ENZIMATICA</v>
      </c>
    </row>
    <row r="1267" spans="1:32" ht="14.25" customHeight="1">
      <c r="A1267" s="176" t="s">
        <v>9571</v>
      </c>
      <c r="B1267" s="176" t="s">
        <v>3608</v>
      </c>
      <c r="C1267" s="177">
        <v>44158</v>
      </c>
      <c r="D1267" s="176" t="s">
        <v>10424</v>
      </c>
      <c r="E1267" s="176" t="s">
        <v>3008</v>
      </c>
      <c r="F1267" s="259" t="s">
        <v>10426</v>
      </c>
      <c r="G1267" s="176">
        <v>6</v>
      </c>
      <c r="H1267" s="178">
        <v>95312</v>
      </c>
      <c r="I1267" s="592">
        <f t="shared" si="49"/>
        <v>2</v>
      </c>
      <c r="J1267" s="178" t="s">
        <v>816</v>
      </c>
      <c r="K1267" s="178" t="s">
        <v>816</v>
      </c>
      <c r="L1267" s="275" t="str">
        <f>IF(H:H=0,"",IF(ISERROR(VLOOKUP(H:H,produtos_escape2!$A$2:$B$2794,2,FALSE)),"Código não cadastrado",(VLOOKUP(H:H,produtos_escape2!$A$2:$B$2794,2,FALSE))))</f>
        <v>CONJUNTO  PARA DETERMINAÇÃO DE PCR AUTOMAÇÃO</v>
      </c>
      <c r="M1267" s="593" t="str">
        <f>IF(H:H=0,"",IF(ISERROR(VLOOKUP(H:H,produtos_escape2!$A$2:$D$2794,2,FALSE)),"Código não cadastrado",(VLOOKUP(H:H,produtos_escape2!$A$2:$D$2794,4,FALSE))))</f>
        <v>CJ</v>
      </c>
      <c r="N1267" s="486">
        <v>600</v>
      </c>
      <c r="O1267" s="176" t="s">
        <v>1868</v>
      </c>
      <c r="P1267" s="486"/>
      <c r="Q1267" s="247"/>
      <c r="R1267" s="246">
        <f t="shared" si="51"/>
        <v>0</v>
      </c>
      <c r="S1267" s="177">
        <v>44173</v>
      </c>
      <c r="T1267" s="182"/>
      <c r="U1267" s="177"/>
      <c r="V1267" s="177"/>
      <c r="W1267" s="177"/>
      <c r="X1267" s="176"/>
      <c r="Y1267" s="177"/>
      <c r="Z1267" s="415">
        <v>6</v>
      </c>
      <c r="AA1267" s="488" t="s">
        <v>10531</v>
      </c>
      <c r="AB1267" s="594"/>
      <c r="AC1267" s="595"/>
      <c r="AD1267" s="596" t="str">
        <f>IF(AND(AC1267&lt;&gt;"",S1267&lt;&gt;""),NETWORKDAYS(AC1267,S1267,#REF!),"")</f>
        <v/>
      </c>
      <c r="AE1267" s="596" t="str">
        <f ca="1">IF(AND(AD1267="",AC1267=""),"",IF(OR(AD1267&lt;&gt;"",O1267="*CANCELADO"),"",NETWORKDAYS(AC1267,TODAY(),#REF!)))</f>
        <v/>
      </c>
      <c r="AF1267" s="597" t="str">
        <f>IFERROR(INDEX(produtos_escape2!M:M,MATCH(Controle!H1267,produtos_escape2!A:A,0)),"")</f>
        <v>CONJUNTO  PARA DETERMINAÇÃO DE PCR AUTOMAÇÃO</v>
      </c>
    </row>
    <row r="1268" spans="1:32" ht="14.25" customHeight="1">
      <c r="A1268" s="176" t="s">
        <v>9573</v>
      </c>
      <c r="B1268" s="176" t="s">
        <v>3608</v>
      </c>
      <c r="C1268" s="177">
        <v>44158</v>
      </c>
      <c r="D1268" s="176" t="s">
        <v>10427</v>
      </c>
      <c r="E1268" s="176" t="s">
        <v>3009</v>
      </c>
      <c r="F1268" s="259" t="s">
        <v>10428</v>
      </c>
      <c r="G1268" s="176">
        <v>1</v>
      </c>
      <c r="H1268" s="178">
        <v>95323</v>
      </c>
      <c r="I1268" s="592">
        <f t="shared" ref="I1268:I1269" si="52">COUNTIF($H$3:$H$3041,H1268)</f>
        <v>4</v>
      </c>
      <c r="J1268" s="178" t="s">
        <v>816</v>
      </c>
      <c r="K1268" s="178" t="s">
        <v>816</v>
      </c>
      <c r="L1268" s="275"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1268" s="593" t="str">
        <f>IF(H:H=0,"",IF(ISERROR(VLOOKUP(H:H,produtos_escape2!$A$2:$D$2794,2,FALSE)),"Código não cadastrado",(VLOOKUP(H:H,produtos_escape2!$A$2:$D$2794,4,FALSE))))</f>
        <v>FR</v>
      </c>
      <c r="N1268" s="486">
        <v>60</v>
      </c>
      <c r="O1268" s="176" t="s">
        <v>7337</v>
      </c>
      <c r="P1268" s="486">
        <v>26</v>
      </c>
      <c r="Q1268" s="247">
        <v>13</v>
      </c>
      <c r="R1268" s="246">
        <f t="shared" ref="R1268" si="53">P1268*Q1268</f>
        <v>338</v>
      </c>
      <c r="S1268" s="177">
        <v>44175</v>
      </c>
      <c r="T1268" s="182">
        <v>12817</v>
      </c>
      <c r="U1268" s="177">
        <v>44176</v>
      </c>
      <c r="V1268" s="177">
        <v>44177</v>
      </c>
      <c r="W1268" s="177">
        <v>44182</v>
      </c>
      <c r="X1268" s="176" t="s">
        <v>10674</v>
      </c>
      <c r="Y1268" s="177"/>
      <c r="Z1268" s="415">
        <v>6</v>
      </c>
      <c r="AA1268" s="488"/>
      <c r="AB1268" s="594"/>
      <c r="AC1268" s="595"/>
      <c r="AD1268" s="596" t="str">
        <f>IF(AND(AC1268&lt;&gt;"",S1268&lt;&gt;""),NETWORKDAYS(AC1268,S1268,#REF!),"")</f>
        <v/>
      </c>
      <c r="AE1268" s="596" t="str">
        <f ca="1">IF(AND(AD1268="",AC1268=""),"",IF(OR(AD1268&lt;&gt;"",O1268="*CANCELADO"),"",NETWORKDAYS(AC1268,TODAY(),#REF!)))</f>
        <v/>
      </c>
      <c r="AF1268" s="597" t="str">
        <f>IFERROR(INDEX(produtos_escape2!M:M,MATCH(Controle!H1268,produtos_escape2!A:A,0)),"")</f>
        <v>FORMOL COMERCIAL 37/40% 1000 ML - FORMALDEÍDO (FORMOL)</v>
      </c>
    </row>
    <row r="1269" spans="1:32" ht="14.25" customHeight="1">
      <c r="A1269" s="176" t="s">
        <v>9573</v>
      </c>
      <c r="B1269" s="176" t="s">
        <v>3608</v>
      </c>
      <c r="C1269" s="177">
        <v>44158</v>
      </c>
      <c r="D1269" s="176" t="s">
        <v>10427</v>
      </c>
      <c r="E1269" s="176" t="s">
        <v>3009</v>
      </c>
      <c r="F1269" s="259" t="s">
        <v>10428</v>
      </c>
      <c r="G1269" s="176">
        <v>1</v>
      </c>
      <c r="H1269" s="178">
        <v>95323</v>
      </c>
      <c r="I1269" s="592">
        <f t="shared" si="52"/>
        <v>4</v>
      </c>
      <c r="J1269" s="178" t="s">
        <v>816</v>
      </c>
      <c r="K1269" s="178" t="s">
        <v>816</v>
      </c>
      <c r="L1269" s="275" t="str">
        <f>IF(H:H=0,"",IF(ISERROR(VLOOKUP(H:H,produtos_escape2!$A$2:$B$2794,2,FALSE)),"Código não cadastrado",(VLOOKUP(H:H,produtos_escape2!$A$2:$B$2794,2,FALSE))))</f>
        <v>FORMOL COMERCIAL 37/40% 1000 ML - FORMALDEÍDO (FORMOL), ASPECTO FÍSICO LÍQUIDO INCOLOR, LÍMPIDO, FÓRMULA QUÍMICA H2CO, PESO MOLECULAR 30,03, GRAU DE PUREZA CONCENTRAÇÃO ENTRE 37 E 40, NÚMERO DE REFERÊNCIA QUÍMICA CAS 50-00-0</v>
      </c>
      <c r="M1269" s="593" t="str">
        <f>IF(H:H=0,"",IF(ISERROR(VLOOKUP(H:H,produtos_escape2!$A$2:$D$2794,2,FALSE)),"Código não cadastrado",(VLOOKUP(H:H,produtos_escape2!$A$2:$D$2794,4,FALSE))))</f>
        <v>FR</v>
      </c>
      <c r="N1269" s="486">
        <v>60</v>
      </c>
      <c r="O1269" s="176" t="s">
        <v>7337</v>
      </c>
      <c r="P1269" s="486">
        <v>34</v>
      </c>
      <c r="Q1269" s="247">
        <v>13</v>
      </c>
      <c r="R1269" s="246">
        <f t="shared" si="51"/>
        <v>442</v>
      </c>
      <c r="S1269" s="177">
        <v>44175</v>
      </c>
      <c r="T1269" s="182"/>
      <c r="U1269" s="177"/>
      <c r="V1269" s="177"/>
      <c r="W1269" s="177"/>
      <c r="X1269" s="176"/>
      <c r="Y1269" s="177"/>
      <c r="Z1269" s="415">
        <v>6</v>
      </c>
      <c r="AA1269" s="488"/>
      <c r="AB1269" s="594"/>
      <c r="AC1269" s="595"/>
      <c r="AD1269" s="596" t="str">
        <f>IF(AND(AC1269&lt;&gt;"",S1269&lt;&gt;""),NETWORKDAYS(AC1269,S1269,#REF!),"")</f>
        <v/>
      </c>
      <c r="AE1269" s="596" t="str">
        <f ca="1">IF(AND(AD1269="",AC1269=""),"",IF(OR(AD1269&lt;&gt;"",O1269="*CANCELADO"),"",NETWORKDAYS(AC1269,TODAY(),#REF!)))</f>
        <v/>
      </c>
      <c r="AF1269" s="597" t="str">
        <f>IFERROR(INDEX(produtos_escape2!M:M,MATCH(Controle!H1269,produtos_escape2!A:A,0)),"")</f>
        <v>FORMOL COMERCIAL 37/40% 1000 ML - FORMALDEÍDO (FORMOL)</v>
      </c>
    </row>
    <row r="1270" spans="1:32" ht="14.25" customHeight="1">
      <c r="A1270" s="176" t="s">
        <v>9586</v>
      </c>
      <c r="B1270" s="176" t="s">
        <v>3608</v>
      </c>
      <c r="C1270" s="177">
        <v>44158</v>
      </c>
      <c r="D1270" s="176" t="s">
        <v>10429</v>
      </c>
      <c r="E1270" s="176" t="s">
        <v>3009</v>
      </c>
      <c r="F1270" s="259" t="s">
        <v>10430</v>
      </c>
      <c r="G1270" s="176">
        <v>1</v>
      </c>
      <c r="H1270" s="178">
        <v>31716</v>
      </c>
      <c r="I1270" s="592">
        <f t="shared" ref="I1270:I1333" si="54">COUNTIF($H$3:$H$3041,H1270)</f>
        <v>2</v>
      </c>
      <c r="J1270" s="178" t="s">
        <v>816</v>
      </c>
      <c r="K1270" s="178" t="s">
        <v>816</v>
      </c>
      <c r="L1270" s="275" t="str">
        <f>IF(H:H=0,"",IF(ISERROR(VLOOKUP(H:H,produtos_escape2!$A$2:$B$2794,2,FALSE)),"Código não cadastrado",(VLOOKUP(H:H,produtos_escape2!$A$2:$B$2794,2,FALSE))))</f>
        <v>SIMETICONA EMULSAO OU SOLUÇAO OU SUSPENSAO ORAL GOTAS 75 MG/ML FRASCO 10 A 15 ML</v>
      </c>
      <c r="M1270" s="593" t="str">
        <f>IF(H:H=0,"",IF(ISERROR(VLOOKUP(H:H,produtos_escape2!$A$2:$D$2794,2,FALSE)),"Código não cadastrado",(VLOOKUP(H:H,produtos_escape2!$A$2:$D$2794,4,FALSE))))</f>
        <v>FR</v>
      </c>
      <c r="N1270" s="486">
        <v>1200</v>
      </c>
      <c r="O1270" s="176" t="s">
        <v>2989</v>
      </c>
      <c r="P1270" s="486">
        <v>1200</v>
      </c>
      <c r="Q1270" s="247">
        <v>0.83</v>
      </c>
      <c r="R1270" s="246">
        <f t="shared" si="51"/>
        <v>996</v>
      </c>
      <c r="S1270" s="177">
        <v>44175</v>
      </c>
      <c r="T1270" s="182"/>
      <c r="U1270" s="177"/>
      <c r="V1270" s="177"/>
      <c r="W1270" s="177"/>
      <c r="X1270" s="176"/>
      <c r="Y1270" s="177"/>
      <c r="Z1270" s="415">
        <v>6</v>
      </c>
      <c r="AA1270" s="488"/>
      <c r="AB1270" s="594"/>
      <c r="AC1270" s="595"/>
      <c r="AD1270" s="596" t="str">
        <f>IF(AND(AC1270&lt;&gt;"",S1270&lt;&gt;""),NETWORKDAYS(AC1270,S1270,#REF!),"")</f>
        <v/>
      </c>
      <c r="AE1270" s="596" t="str">
        <f ca="1">IF(AND(AD1270="",AC1270=""),"",IF(OR(AD1270&lt;&gt;"",O1270="*CANCELADO"),"",NETWORKDAYS(AC1270,TODAY(),#REF!)))</f>
        <v/>
      </c>
      <c r="AF1270" s="597" t="str">
        <f>IFERROR(INDEX(produtos_escape2!M:M,MATCH(Controle!H1270,produtos_escape2!A:A,0)),"")</f>
        <v>SIMETICONA EMULSAO OU SOLUÇAO OU SUSPENSAO ORAL GOTAS 75 MG/ML FRASCO 10 A 15 ML</v>
      </c>
    </row>
    <row r="1271" spans="1:32" ht="14.25" customHeight="1">
      <c r="A1271" s="176" t="s">
        <v>9592</v>
      </c>
      <c r="B1271" s="176" t="s">
        <v>3608</v>
      </c>
      <c r="C1271" s="177">
        <v>44158</v>
      </c>
      <c r="D1271" s="176" t="s">
        <v>10431</v>
      </c>
      <c r="E1271" s="176" t="s">
        <v>3009</v>
      </c>
      <c r="F1271" s="259" t="s">
        <v>10432</v>
      </c>
      <c r="G1271" s="176">
        <v>1</v>
      </c>
      <c r="H1271" s="178">
        <v>20833</v>
      </c>
      <c r="I1271" s="592">
        <f t="shared" si="54"/>
        <v>3</v>
      </c>
      <c r="J1271" s="178" t="s">
        <v>816</v>
      </c>
      <c r="K1271" s="178" t="s">
        <v>816</v>
      </c>
      <c r="L1271" s="275" t="str">
        <f>IF(H:H=0,"",IF(ISERROR(VLOOKUP(H:H,produtos_escape2!$A$2:$B$2794,2,FALSE)),"Código não cadastrado",(VLOOKUP(H:H,produtos_escape2!$A$2:$B$2794,2,FALSE))))</f>
        <v>ACICLOVIR POMADA OFTALMICA 0,03 G/G BISNAGA 4,5 G</v>
      </c>
      <c r="M1271" s="593" t="str">
        <f>IF(H:H=0,"",IF(ISERROR(VLOOKUP(H:H,produtos_escape2!$A$2:$D$2794,2,FALSE)),"Código não cadastrado",(VLOOKUP(H:H,produtos_escape2!$A$2:$D$2794,4,FALSE))))</f>
        <v>BS</v>
      </c>
      <c r="N1271" s="486">
        <v>10</v>
      </c>
      <c r="O1271" s="176" t="s">
        <v>8452</v>
      </c>
      <c r="P1271" s="486">
        <v>5</v>
      </c>
      <c r="Q1271" s="247">
        <v>61</v>
      </c>
      <c r="R1271" s="246">
        <f t="shared" si="51"/>
        <v>305</v>
      </c>
      <c r="S1271" s="177">
        <v>44175</v>
      </c>
      <c r="T1271" s="182">
        <v>29761</v>
      </c>
      <c r="U1271" s="177">
        <v>44179</v>
      </c>
      <c r="V1271" s="177">
        <v>44180</v>
      </c>
      <c r="W1271" s="177">
        <v>44182</v>
      </c>
      <c r="X1271" s="176" t="s">
        <v>10674</v>
      </c>
      <c r="Y1271" s="177"/>
      <c r="Z1271" s="415">
        <v>6</v>
      </c>
      <c r="AA1271" s="488"/>
      <c r="AB1271" s="594"/>
      <c r="AC1271" s="595"/>
      <c r="AD1271" s="596" t="str">
        <f>IF(AND(AC1271&lt;&gt;"",S1271&lt;&gt;""),NETWORKDAYS(AC1271,S1271,#REF!),"")</f>
        <v/>
      </c>
      <c r="AE1271" s="596" t="str">
        <f ca="1">IF(AND(AD1271="",AC1271=""),"",IF(OR(AD1271&lt;&gt;"",O1271="*CANCELADO"),"",NETWORKDAYS(AC1271,TODAY(),#REF!)))</f>
        <v/>
      </c>
      <c r="AF1271" s="597" t="str">
        <f>IFERROR(INDEX(produtos_escape2!M:M,MATCH(Controle!H1271,produtos_escape2!A:A,0)),"")</f>
        <v>ACICLOVIR POMADA OFTALMICA 0</v>
      </c>
    </row>
    <row r="1272" spans="1:32" ht="14.25" customHeight="1">
      <c r="A1272" s="176" t="s">
        <v>9601</v>
      </c>
      <c r="B1272" s="176" t="s">
        <v>3608</v>
      </c>
      <c r="C1272" s="177">
        <v>44158</v>
      </c>
      <c r="D1272" s="176" t="s">
        <v>10433</v>
      </c>
      <c r="E1272" s="176" t="s">
        <v>3009</v>
      </c>
      <c r="F1272" s="259" t="s">
        <v>10434</v>
      </c>
      <c r="G1272" s="176">
        <v>1</v>
      </c>
      <c r="H1272" s="178">
        <v>90845</v>
      </c>
      <c r="I1272" s="592">
        <f t="shared" si="54"/>
        <v>4</v>
      </c>
      <c r="J1272" s="178" t="s">
        <v>816</v>
      </c>
      <c r="K1272" s="178" t="s">
        <v>816</v>
      </c>
      <c r="L1272" s="275" t="str">
        <f>IF(H:H=0,"",IF(ISERROR(VLOOKUP(H:H,produtos_escape2!$A$2:$B$2794,2,FALSE)),"Código não cadastrado",(VLOOKUP(H:H,produtos_escape2!$A$2:$B$2794,2,FALSE))))</f>
        <v>TROPICAMIDA SOLUCAO OFTALMICA 10 MG/ML FRASCO 5 ML</v>
      </c>
      <c r="M1272" s="593" t="str">
        <f>IF(H:H=0,"",IF(ISERROR(VLOOKUP(H:H,produtos_escape2!$A$2:$D$2794,2,FALSE)),"Código não cadastrado",(VLOOKUP(H:H,produtos_escape2!$A$2:$D$2794,4,FALSE))))</f>
        <v>FR</v>
      </c>
      <c r="N1272" s="486">
        <v>10</v>
      </c>
      <c r="O1272" s="176" t="s">
        <v>2989</v>
      </c>
      <c r="P1272" s="486">
        <v>10</v>
      </c>
      <c r="Q1272" s="247">
        <v>11</v>
      </c>
      <c r="R1272" s="246">
        <f t="shared" si="51"/>
        <v>110</v>
      </c>
      <c r="S1272" s="177">
        <v>44175</v>
      </c>
      <c r="T1272" s="182">
        <v>140717</v>
      </c>
      <c r="U1272" s="177">
        <v>44176</v>
      </c>
      <c r="V1272" s="177">
        <v>44176</v>
      </c>
      <c r="W1272" s="177">
        <v>44182</v>
      </c>
      <c r="X1272" s="176" t="s">
        <v>10674</v>
      </c>
      <c r="Y1272" s="177"/>
      <c r="Z1272" s="415">
        <v>6</v>
      </c>
      <c r="AA1272" s="488"/>
      <c r="AB1272" s="594"/>
      <c r="AC1272" s="595"/>
      <c r="AD1272" s="596" t="str">
        <f>IF(AND(AC1272&lt;&gt;"",S1272&lt;&gt;""),NETWORKDAYS(AC1272,S1272,#REF!),"")</f>
        <v/>
      </c>
      <c r="AE1272" s="596" t="str">
        <f ca="1">IF(AND(AD1272="",AC1272=""),"",IF(OR(AD1272&lt;&gt;"",O1272="*CANCELADO"),"",NETWORKDAYS(AC1272,TODAY(),#REF!)))</f>
        <v/>
      </c>
      <c r="AF1272" s="597" t="str">
        <f>IFERROR(INDEX(produtos_escape2!M:M,MATCH(Controle!H1272,produtos_escape2!A:A,0)),"")</f>
        <v>TROPICAMIDA SOLUCAO OFTALMICA 10 MG/ML FRASCO 5 ML</v>
      </c>
    </row>
    <row r="1273" spans="1:32" ht="14.25" customHeight="1">
      <c r="A1273" s="176" t="s">
        <v>9604</v>
      </c>
      <c r="B1273" s="176" t="s">
        <v>3608</v>
      </c>
      <c r="C1273" s="177">
        <v>44158</v>
      </c>
      <c r="D1273" s="176" t="s">
        <v>10435</v>
      </c>
      <c r="E1273" s="176" t="s">
        <v>3009</v>
      </c>
      <c r="F1273" s="259" t="s">
        <v>10436</v>
      </c>
      <c r="G1273" s="176">
        <v>1</v>
      </c>
      <c r="H1273" s="178">
        <v>90843</v>
      </c>
      <c r="I1273" s="592">
        <f t="shared" si="54"/>
        <v>4</v>
      </c>
      <c r="J1273" s="178" t="s">
        <v>816</v>
      </c>
      <c r="K1273" s="178" t="s">
        <v>816</v>
      </c>
      <c r="L1273" s="275" t="str">
        <f>IF(H:H=0,"",IF(ISERROR(VLOOKUP(H:H,produtos_escape2!$A$2:$B$2794,2,FALSE)),"Código não cadastrado",(VLOOKUP(H:H,produtos_escape2!$A$2:$B$2794,2,FALSE))))</f>
        <v>FENILEFRINA (CLORIDRATO) SOLUCAO OFTALMICA 10 % FRASCO CONTA-GOTAS 5 ML</v>
      </c>
      <c r="M1273" s="593" t="str">
        <f>IF(H:H=0,"",IF(ISERROR(VLOOKUP(H:H,produtos_escape2!$A$2:$D$2794,2,FALSE)),"Código não cadastrado",(VLOOKUP(H:H,produtos_escape2!$A$2:$D$2794,4,FALSE))))</f>
        <v>FR</v>
      </c>
      <c r="N1273" s="486">
        <v>10</v>
      </c>
      <c r="O1273" s="176" t="s">
        <v>8452</v>
      </c>
      <c r="P1273" s="486">
        <v>10</v>
      </c>
      <c r="Q1273" s="247">
        <v>18.3</v>
      </c>
      <c r="R1273" s="246">
        <f t="shared" si="51"/>
        <v>183</v>
      </c>
      <c r="S1273" s="177">
        <v>44175</v>
      </c>
      <c r="T1273" s="182">
        <v>29717</v>
      </c>
      <c r="U1273" s="177">
        <v>44176</v>
      </c>
      <c r="V1273" s="177">
        <v>44177</v>
      </c>
      <c r="W1273" s="177">
        <v>44182</v>
      </c>
      <c r="X1273" s="176" t="s">
        <v>10674</v>
      </c>
      <c r="Y1273" s="177"/>
      <c r="Z1273" s="415">
        <v>6</v>
      </c>
      <c r="AA1273" s="488"/>
      <c r="AB1273" s="594"/>
      <c r="AC1273" s="595"/>
      <c r="AD1273" s="596" t="str">
        <f>IF(AND(AC1273&lt;&gt;"",S1273&lt;&gt;""),NETWORKDAYS(AC1273,S1273,#REF!),"")</f>
        <v/>
      </c>
      <c r="AE1273" s="596" t="str">
        <f ca="1">IF(AND(AD1273="",AC1273=""),"",IF(OR(AD1273&lt;&gt;"",O1273="*CANCELADO"),"",NETWORKDAYS(AC1273,TODAY(),#REF!)))</f>
        <v/>
      </c>
      <c r="AF1273" s="597" t="str">
        <f>IFERROR(INDEX(produtos_escape2!M:M,MATCH(Controle!H1273,produtos_escape2!A:A,0)),"")</f>
        <v>FENILEFRINA (CLORIDRATO) SOLUCAO OFTALMICA 10 % FRASCO CONTA-GOTAS 5 ML</v>
      </c>
    </row>
    <row r="1274" spans="1:32" ht="14.25" customHeight="1">
      <c r="A1274" s="176" t="s">
        <v>9619</v>
      </c>
      <c r="B1274" s="176" t="s">
        <v>3608</v>
      </c>
      <c r="C1274" s="177">
        <v>44158</v>
      </c>
      <c r="D1274" s="176" t="s">
        <v>10437</v>
      </c>
      <c r="E1274" s="176" t="s">
        <v>3009</v>
      </c>
      <c r="F1274" s="259" t="s">
        <v>10438</v>
      </c>
      <c r="G1274" s="176">
        <v>1</v>
      </c>
      <c r="H1274" s="178">
        <v>90315</v>
      </c>
      <c r="I1274" s="592">
        <f t="shared" si="54"/>
        <v>5</v>
      </c>
      <c r="J1274" s="178" t="s">
        <v>816</v>
      </c>
      <c r="K1274" s="178" t="s">
        <v>816</v>
      </c>
      <c r="L1274" s="275" t="str">
        <f>IF(H:H=0,"",IF(ISERROR(VLOOKUP(H:H,produtos_escape2!$A$2:$B$2794,2,FALSE)),"Código não cadastrado",(VLOOKUP(H:H,produtos_escape2!$A$2:$B$2794,2,FALSE))))</f>
        <v>CEFEPIMA PO PARA SOLUCAO INJETAVEL 1 G FRASCO-AMPOLA</v>
      </c>
      <c r="M1274" s="593" t="str">
        <f>IF(H:H=0,"",IF(ISERROR(VLOOKUP(H:H,produtos_escape2!$A$2:$D$2794,2,FALSE)),"Código não cadastrado",(VLOOKUP(H:H,produtos_escape2!$A$2:$D$2794,4,FALSE))))</f>
        <v>AMP</v>
      </c>
      <c r="N1274" s="486">
        <v>500</v>
      </c>
      <c r="O1274" s="176" t="s">
        <v>2989</v>
      </c>
      <c r="P1274" s="486">
        <v>12</v>
      </c>
      <c r="Q1274" s="247">
        <v>31.2</v>
      </c>
      <c r="R1274" s="246">
        <f t="shared" si="51"/>
        <v>374.4</v>
      </c>
      <c r="S1274" s="177">
        <v>44180</v>
      </c>
      <c r="T1274" s="182">
        <v>141108</v>
      </c>
      <c r="U1274" s="177">
        <v>44181</v>
      </c>
      <c r="V1274" s="177">
        <v>44183</v>
      </c>
      <c r="W1274" s="177">
        <v>44186</v>
      </c>
      <c r="X1274" s="176" t="s">
        <v>10674</v>
      </c>
      <c r="Y1274" s="177"/>
      <c r="Z1274" s="415">
        <v>6</v>
      </c>
      <c r="AA1274" s="488"/>
      <c r="AB1274" s="594"/>
      <c r="AC1274" s="595"/>
      <c r="AD1274" s="596" t="str">
        <f>IF(AND(AC1274&lt;&gt;"",S1274&lt;&gt;""),NETWORKDAYS(AC1274,S1274,#REF!),"")</f>
        <v/>
      </c>
      <c r="AE1274" s="596" t="str">
        <f ca="1">IF(AND(AD1274="",AC1274=""),"",IF(OR(AD1274&lt;&gt;"",O1274="*CANCELADO"),"",NETWORKDAYS(AC1274,TODAY(),#REF!)))</f>
        <v/>
      </c>
      <c r="AF1274" s="597" t="str">
        <f>IFERROR(INDEX(produtos_escape2!M:M,MATCH(Controle!H1274,produtos_escape2!A:A,0)),"")</f>
        <v>CEFEPIMA PO PARA SOLUCAO INJETAVEL 1 G FRASCO-AMPOLA</v>
      </c>
    </row>
    <row r="1275" spans="1:32" ht="14.25" customHeight="1">
      <c r="A1275" s="176" t="s">
        <v>9623</v>
      </c>
      <c r="B1275" s="176" t="s">
        <v>3608</v>
      </c>
      <c r="C1275" s="177">
        <v>44158</v>
      </c>
      <c r="D1275" s="176" t="s">
        <v>10439</v>
      </c>
      <c r="E1275" s="176" t="s">
        <v>3009</v>
      </c>
      <c r="F1275" s="259" t="s">
        <v>10440</v>
      </c>
      <c r="G1275" s="176">
        <v>1</v>
      </c>
      <c r="H1275" s="178">
        <v>18458</v>
      </c>
      <c r="I1275" s="592">
        <f t="shared" si="54"/>
        <v>3</v>
      </c>
      <c r="J1275" s="178" t="s">
        <v>816</v>
      </c>
      <c r="K1275" s="178" t="s">
        <v>816</v>
      </c>
      <c r="L1275" s="275" t="str">
        <f>IF(H:H=0,"",IF(ISERROR(VLOOKUP(H:H,produtos_escape2!$A$2:$B$2794,2,FALSE)),"Código não cadastrado",(VLOOKUP(H:H,produtos_escape2!$A$2:$B$2794,2,FALSE))))</f>
        <v>ANLODIPINO (BESILATO) COMPRIMIDO 5 MG</v>
      </c>
      <c r="M1275" s="593" t="str">
        <f>IF(H:H=0,"",IF(ISERROR(VLOOKUP(H:H,produtos_escape2!$A$2:$D$2794,2,FALSE)),"Código não cadastrado",(VLOOKUP(H:H,produtos_escape2!$A$2:$D$2794,4,FALSE))))</f>
        <v>CP</v>
      </c>
      <c r="N1275" s="486">
        <v>1800</v>
      </c>
      <c r="O1275" s="176" t="s">
        <v>10075</v>
      </c>
      <c r="P1275" s="486">
        <v>1800</v>
      </c>
      <c r="Q1275" s="247">
        <v>0.13</v>
      </c>
      <c r="R1275" s="246">
        <f t="shared" si="51"/>
        <v>234</v>
      </c>
      <c r="S1275" s="177">
        <v>44175</v>
      </c>
      <c r="T1275" s="182"/>
      <c r="U1275" s="177"/>
      <c r="V1275" s="177"/>
      <c r="W1275" s="177"/>
      <c r="X1275" s="176"/>
      <c r="Y1275" s="177"/>
      <c r="Z1275" s="415">
        <v>6</v>
      </c>
      <c r="AA1275" s="488"/>
      <c r="AB1275" s="594"/>
      <c r="AC1275" s="595"/>
      <c r="AD1275" s="596" t="str">
        <f>IF(AND(AC1275&lt;&gt;"",S1275&lt;&gt;""),NETWORKDAYS(AC1275,S1275,#REF!),"")</f>
        <v/>
      </c>
      <c r="AE1275" s="596" t="str">
        <f ca="1">IF(AND(AD1275="",AC1275=""),"",IF(OR(AD1275&lt;&gt;"",O1275="*CANCELADO"),"",NETWORKDAYS(AC1275,TODAY(),#REF!)))</f>
        <v/>
      </c>
      <c r="AF1275" s="597" t="str">
        <f>IFERROR(INDEX(produtos_escape2!M:M,MATCH(Controle!H1275,produtos_escape2!A:A,0)),"")</f>
        <v>ANLODIPINO</v>
      </c>
    </row>
    <row r="1276" spans="1:32" ht="14.25" customHeight="1">
      <c r="A1276" s="176" t="s">
        <v>9625</v>
      </c>
      <c r="B1276" s="176" t="s">
        <v>3608</v>
      </c>
      <c r="C1276" s="177">
        <v>44158</v>
      </c>
      <c r="D1276" s="176" t="s">
        <v>10441</v>
      </c>
      <c r="E1276" s="176" t="s">
        <v>3009</v>
      </c>
      <c r="F1276" s="259" t="s">
        <v>10442</v>
      </c>
      <c r="G1276" s="176">
        <v>1</v>
      </c>
      <c r="H1276" s="178">
        <v>90649</v>
      </c>
      <c r="I1276" s="592">
        <f t="shared" si="54"/>
        <v>1</v>
      </c>
      <c r="J1276" s="178" t="s">
        <v>816</v>
      </c>
      <c r="K1276" s="178" t="s">
        <v>816</v>
      </c>
      <c r="L1276" s="275" t="str">
        <f>IF(H:H=0,"",IF(ISERROR(VLOOKUP(H:H,produtos_escape2!$A$2:$B$2794,2,FALSE)),"Código não cadastrado",(VLOOKUP(H:H,produtos_escape2!$A$2:$B$2794,2,FALSE))))</f>
        <v>PREDNISONA COMPRIMIDO 20 MG.</v>
      </c>
      <c r="M1276" s="593" t="str">
        <f>IF(H:H=0,"",IF(ISERROR(VLOOKUP(H:H,produtos_escape2!$A$2:$D$2794,2,FALSE)),"Código não cadastrado",(VLOOKUP(H:H,produtos_escape2!$A$2:$D$2794,4,FALSE))))</f>
        <v>CP</v>
      </c>
      <c r="N1276" s="486">
        <v>300</v>
      </c>
      <c r="O1276" s="176" t="s">
        <v>2989</v>
      </c>
      <c r="P1276" s="486">
        <v>300</v>
      </c>
      <c r="Q1276" s="247">
        <v>0.20280000000000001</v>
      </c>
      <c r="R1276" s="246">
        <f t="shared" si="51"/>
        <v>60.84</v>
      </c>
      <c r="S1276" s="177">
        <v>44175</v>
      </c>
      <c r="T1276" s="182"/>
      <c r="U1276" s="177"/>
      <c r="V1276" s="177"/>
      <c r="W1276" s="177"/>
      <c r="X1276" s="176"/>
      <c r="Y1276" s="177"/>
      <c r="Z1276" s="415">
        <v>6</v>
      </c>
      <c r="AA1276" s="488"/>
      <c r="AB1276" s="594"/>
      <c r="AC1276" s="595"/>
      <c r="AD1276" s="596" t="str">
        <f>IF(AND(AC1276&lt;&gt;"",S1276&lt;&gt;""),NETWORKDAYS(AC1276,S1276,#REF!),"")</f>
        <v/>
      </c>
      <c r="AE1276" s="596" t="str">
        <f ca="1">IF(AND(AD1276="",AC1276=""),"",IF(OR(AD1276&lt;&gt;"",O1276="*CANCELADO"),"",NETWORKDAYS(AC1276,TODAY(),#REF!)))</f>
        <v/>
      </c>
      <c r="AF1276" s="597" t="str">
        <f>IFERROR(INDEX(produtos_escape2!M:M,MATCH(Controle!H1276,produtos_escape2!A:A,0)),"")</f>
        <v>PREDNISONA COMPRIMIDO 20 MG</v>
      </c>
    </row>
    <row r="1277" spans="1:32" ht="14.25" customHeight="1">
      <c r="A1277" s="176" t="s">
        <v>7482</v>
      </c>
      <c r="B1277" s="176" t="s">
        <v>1687</v>
      </c>
      <c r="C1277" s="177">
        <v>44158</v>
      </c>
      <c r="D1277" s="176" t="s">
        <v>10443</v>
      </c>
      <c r="E1277" s="176" t="s">
        <v>3008</v>
      </c>
      <c r="F1277" s="259" t="s">
        <v>10444</v>
      </c>
      <c r="G1277" s="176">
        <v>1</v>
      </c>
      <c r="H1277" s="178" t="s">
        <v>10445</v>
      </c>
      <c r="I1277" s="592">
        <f t="shared" si="54"/>
        <v>1</v>
      </c>
      <c r="J1277" s="178"/>
      <c r="K1277" s="178"/>
      <c r="L1277" s="275" t="str">
        <f>IF(H:H=0,"",IF(ISERROR(VLOOKUP(H:H,produtos_escape2!$A$2:$B$2794,2,FALSE)),"Código não cadastrado",(VLOOKUP(H:H,produtos_escape2!$A$2:$B$2794,2,FALSE))))</f>
        <v>Conserto do Ultrassom, marca: SONOSITE, modelo: M-TURBO, nº Patrimônio 132.753.</v>
      </c>
      <c r="M1277" s="593" t="str">
        <f>IF(H:H=0,"",IF(ISERROR(VLOOKUP(H:H,produtos_escape2!$A$2:$D$2794,2,FALSE)),"Código não cadastrado",(VLOOKUP(H:H,produtos_escape2!$A$2:$D$2794,4,FALSE))))</f>
        <v>Serviço</v>
      </c>
      <c r="N1277" s="486">
        <v>1</v>
      </c>
      <c r="O1277" s="176" t="s">
        <v>1868</v>
      </c>
      <c r="P1277" s="486"/>
      <c r="Q1277" s="247"/>
      <c r="R1277" s="246">
        <f t="shared" si="51"/>
        <v>0</v>
      </c>
      <c r="S1277" s="177">
        <v>44183</v>
      </c>
      <c r="T1277" s="182"/>
      <c r="U1277" s="177"/>
      <c r="V1277" s="177"/>
      <c r="W1277" s="177"/>
      <c r="X1277" s="176"/>
      <c r="Y1277" s="177"/>
      <c r="Z1277" s="415">
        <v>6</v>
      </c>
      <c r="AA1277" s="488" t="s">
        <v>10658</v>
      </c>
      <c r="AB1277" s="594"/>
      <c r="AC1277" s="595"/>
      <c r="AD1277" s="596" t="str">
        <f>IF(AND(AC1277&lt;&gt;"",S1277&lt;&gt;""),NETWORKDAYS(AC1277,S1277,#REF!),"")</f>
        <v/>
      </c>
      <c r="AE1277" s="596" t="str">
        <f ca="1">IF(AND(AD1277="",AC1277=""),"",IF(OR(AD1277&lt;&gt;"",O1277="*CANCELADO"),"",NETWORKDAYS(AC1277,TODAY(),#REF!)))</f>
        <v/>
      </c>
      <c r="AF1277" s="597">
        <f>IFERROR(INDEX(produtos_escape2!M:M,MATCH(Controle!H1277,produtos_escape2!A:A,0)),"")</f>
        <v>0</v>
      </c>
    </row>
    <row r="1278" spans="1:32" ht="14.25" customHeight="1">
      <c r="A1278" s="176" t="s">
        <v>7515</v>
      </c>
      <c r="B1278" s="176" t="s">
        <v>1687</v>
      </c>
      <c r="C1278" s="177">
        <v>44158</v>
      </c>
      <c r="D1278" s="176" t="s">
        <v>10447</v>
      </c>
      <c r="E1278" s="176" t="s">
        <v>3008</v>
      </c>
      <c r="F1278" s="259" t="s">
        <v>10448</v>
      </c>
      <c r="G1278" s="176">
        <v>1</v>
      </c>
      <c r="H1278" s="178" t="s">
        <v>10449</v>
      </c>
      <c r="I1278" s="592">
        <f t="shared" si="54"/>
        <v>1</v>
      </c>
      <c r="J1278" s="178"/>
      <c r="K1278" s="178"/>
      <c r="L1278" s="275" t="str">
        <f>IF(H:H=0,"",IF(ISERROR(VLOOKUP(H:H,produtos_escape2!$A$2:$B$2794,2,FALSE)),"Código não cadastrado",(VLOOKUP(H:H,produtos_escape2!$A$2:$B$2794,2,FALSE))))</f>
        <v>Conserto de REFRIGERADOR , MARCA ELETROSPITALAR, SERIE 171155, PAT. 1352608.</v>
      </c>
      <c r="M1278" s="593" t="str">
        <f>IF(H:H=0,"",IF(ISERROR(VLOOKUP(H:H,produtos_escape2!$A$2:$D$2794,2,FALSE)),"Código não cadastrado",(VLOOKUP(H:H,produtos_escape2!$A$2:$D$2794,4,FALSE))))</f>
        <v>Serviço</v>
      </c>
      <c r="N1278" s="486">
        <v>1</v>
      </c>
      <c r="O1278" s="176" t="s">
        <v>1868</v>
      </c>
      <c r="P1278" s="486"/>
      <c r="Q1278" s="247">
        <v>3758</v>
      </c>
      <c r="R1278" s="246">
        <f t="shared" si="51"/>
        <v>0</v>
      </c>
      <c r="S1278" s="177"/>
      <c r="T1278" s="182"/>
      <c r="U1278" s="177"/>
      <c r="V1278" s="177"/>
      <c r="W1278" s="177"/>
      <c r="X1278" s="176"/>
      <c r="Y1278" s="177"/>
      <c r="Z1278" s="415">
        <v>6</v>
      </c>
      <c r="AA1278" s="488" t="s">
        <v>10634</v>
      </c>
      <c r="AB1278" s="594"/>
      <c r="AC1278" s="595"/>
      <c r="AD1278" s="596" t="str">
        <f>IF(AND(AC1278&lt;&gt;"",S1278&lt;&gt;""),NETWORKDAYS(AC1278,S1278,#REF!),"")</f>
        <v/>
      </c>
      <c r="AE1278" s="596" t="str">
        <f ca="1">IF(AND(AD1278="",AC1278=""),"",IF(OR(AD1278&lt;&gt;"",O1278="*CANCELADO"),"",NETWORKDAYS(AC1278,TODAY(),#REF!)))</f>
        <v/>
      </c>
      <c r="AF1278" s="597">
        <f>IFERROR(INDEX(produtos_escape2!M:M,MATCH(Controle!H1278,produtos_escape2!A:A,0)),"")</f>
        <v>0</v>
      </c>
    </row>
    <row r="1279" spans="1:32" ht="14.25" customHeight="1">
      <c r="A1279" s="176" t="s">
        <v>7515</v>
      </c>
      <c r="B1279" s="176" t="s">
        <v>1687</v>
      </c>
      <c r="C1279" s="177">
        <v>44158</v>
      </c>
      <c r="D1279" s="176" t="s">
        <v>10447</v>
      </c>
      <c r="E1279" s="176" t="s">
        <v>3008</v>
      </c>
      <c r="F1279" s="259" t="s">
        <v>10448</v>
      </c>
      <c r="G1279" s="176">
        <v>2</v>
      </c>
      <c r="H1279" s="178" t="s">
        <v>10450</v>
      </c>
      <c r="I1279" s="592">
        <f t="shared" si="54"/>
        <v>1</v>
      </c>
      <c r="J1279" s="178"/>
      <c r="K1279" s="178"/>
      <c r="L1279" s="275" t="str">
        <f>IF(H:H=0,"",IF(ISERROR(VLOOKUP(H:H,produtos_escape2!$A$2:$B$2794,2,FALSE)),"Código não cadastrado",(VLOOKUP(H:H,produtos_escape2!$A$2:$B$2794,2,FALSE))))</f>
        <v>Conserto de REFRIGERADOR , MARCA ELETROSPITALAR, SERIE 171144, PAT. 1352609</v>
      </c>
      <c r="M1279" s="593" t="str">
        <f>IF(H:H=0,"",IF(ISERROR(VLOOKUP(H:H,produtos_escape2!$A$2:$D$2794,2,FALSE)),"Código não cadastrado",(VLOOKUP(H:H,produtos_escape2!$A$2:$D$2794,4,FALSE))))</f>
        <v>Serviço</v>
      </c>
      <c r="N1279" s="486">
        <v>1</v>
      </c>
      <c r="O1279" s="176" t="s">
        <v>1868</v>
      </c>
      <c r="P1279" s="486"/>
      <c r="Q1279" s="247">
        <v>3758</v>
      </c>
      <c r="R1279" s="246">
        <f t="shared" si="51"/>
        <v>0</v>
      </c>
      <c r="S1279" s="177"/>
      <c r="T1279" s="182"/>
      <c r="U1279" s="177"/>
      <c r="V1279" s="177"/>
      <c r="W1279" s="177"/>
      <c r="X1279" s="176"/>
      <c r="Y1279" s="177"/>
      <c r="Z1279" s="415">
        <v>6</v>
      </c>
      <c r="AA1279" s="488" t="s">
        <v>10634</v>
      </c>
      <c r="AB1279" s="594"/>
      <c r="AC1279" s="595"/>
      <c r="AD1279" s="596" t="str">
        <f>IF(AND(AC1279&lt;&gt;"",S1279&lt;&gt;""),NETWORKDAYS(AC1279,S1279,#REF!),"")</f>
        <v/>
      </c>
      <c r="AE1279" s="596" t="str">
        <f ca="1">IF(AND(AD1279="",AC1279=""),"",IF(OR(AD1279&lt;&gt;"",O1279="*CANCELADO"),"",NETWORKDAYS(AC1279,TODAY(),#REF!)))</f>
        <v/>
      </c>
      <c r="AF1279" s="597">
        <f>IFERROR(INDEX(produtos_escape2!M:M,MATCH(Controle!H1279,produtos_escape2!A:A,0)),"")</f>
        <v>0</v>
      </c>
    </row>
    <row r="1280" spans="1:32" ht="14.25" customHeight="1">
      <c r="A1280" s="176" t="s">
        <v>7515</v>
      </c>
      <c r="B1280" s="176" t="s">
        <v>1687</v>
      </c>
      <c r="C1280" s="177">
        <v>44158</v>
      </c>
      <c r="D1280" s="176" t="s">
        <v>10447</v>
      </c>
      <c r="E1280" s="176" t="s">
        <v>3008</v>
      </c>
      <c r="F1280" s="259" t="s">
        <v>10448</v>
      </c>
      <c r="G1280" s="176">
        <v>3</v>
      </c>
      <c r="H1280" s="178" t="s">
        <v>10451</v>
      </c>
      <c r="I1280" s="592">
        <f t="shared" si="54"/>
        <v>1</v>
      </c>
      <c r="J1280" s="178"/>
      <c r="K1280" s="178"/>
      <c r="L1280" s="275" t="str">
        <f>IF(H:H=0,"",IF(ISERROR(VLOOKUP(H:H,produtos_escape2!$A$2:$B$2794,2,FALSE)),"Código não cadastrado",(VLOOKUP(H:H,produtos_escape2!$A$2:$B$2794,2,FALSE))))</f>
        <v>Conserto de REFRIGERADOR , MARCA ELETROSPITALAR, SERIE 171148, PAT. 1352610.</v>
      </c>
      <c r="M1280" s="593" t="str">
        <f>IF(H:H=0,"",IF(ISERROR(VLOOKUP(H:H,produtos_escape2!$A$2:$D$2794,2,FALSE)),"Código não cadastrado",(VLOOKUP(H:H,produtos_escape2!$A$2:$D$2794,4,FALSE))))</f>
        <v>Serviço</v>
      </c>
      <c r="N1280" s="486">
        <v>1</v>
      </c>
      <c r="O1280" s="176" t="s">
        <v>1868</v>
      </c>
      <c r="P1280" s="486"/>
      <c r="Q1280" s="247">
        <v>3758</v>
      </c>
      <c r="R1280" s="246">
        <f t="shared" si="51"/>
        <v>0</v>
      </c>
      <c r="S1280" s="177"/>
      <c r="T1280" s="182"/>
      <c r="U1280" s="177"/>
      <c r="V1280" s="177"/>
      <c r="W1280" s="177"/>
      <c r="X1280" s="176"/>
      <c r="Y1280" s="177"/>
      <c r="Z1280" s="415">
        <v>6</v>
      </c>
      <c r="AA1280" s="488" t="s">
        <v>10634</v>
      </c>
      <c r="AB1280" s="594"/>
      <c r="AC1280" s="595"/>
      <c r="AD1280" s="596" t="str">
        <f>IF(AND(AC1280&lt;&gt;"",S1280&lt;&gt;""),NETWORKDAYS(AC1280,S1280,#REF!),"")</f>
        <v/>
      </c>
      <c r="AE1280" s="596" t="str">
        <f ca="1">IF(AND(AD1280="",AC1280=""),"",IF(OR(AD1280&lt;&gt;"",O1280="*CANCELADO"),"",NETWORKDAYS(AC1280,TODAY(),#REF!)))</f>
        <v/>
      </c>
      <c r="AF1280" s="597">
        <f>IFERROR(INDEX(produtos_escape2!M:M,MATCH(Controle!H1280,produtos_escape2!A:A,0)),"")</f>
        <v>0</v>
      </c>
    </row>
    <row r="1281" spans="1:32" ht="14.25" customHeight="1">
      <c r="A1281" s="176" t="s">
        <v>9630</v>
      </c>
      <c r="B1281" s="176" t="s">
        <v>7207</v>
      </c>
      <c r="C1281" s="177">
        <v>44159</v>
      </c>
      <c r="D1281" s="176" t="s">
        <v>10456</v>
      </c>
      <c r="E1281" s="176" t="s">
        <v>1866</v>
      </c>
      <c r="F1281" s="259" t="s">
        <v>10455</v>
      </c>
      <c r="G1281" s="176">
        <v>1</v>
      </c>
      <c r="H1281" s="178">
        <v>90207</v>
      </c>
      <c r="I1281" s="592">
        <f t="shared" si="54"/>
        <v>7</v>
      </c>
      <c r="J1281" s="178" t="s">
        <v>816</v>
      </c>
      <c r="K1281" s="178" t="s">
        <v>816</v>
      </c>
      <c r="L1281" s="275" t="str">
        <f>IF(H:H=0,"",IF(ISERROR(VLOOKUP(H:H,produtos_escape2!$A$2:$B$2794,2,FALSE)),"Código não cadastrado",(VLOOKUP(H:H,produtos_escape2!$A$2:$B$2794,2,FALSE))))</f>
        <v xml:space="preserve">PROPOFOL EMULSAO INJETAVEL 10 MG/ML AMPOLA 20 ML </v>
      </c>
      <c r="M1281" s="593" t="str">
        <f>IF(H:H=0,"",IF(ISERROR(VLOOKUP(H:H,produtos_escape2!$A$2:$D$2794,2,FALSE)),"Código não cadastrado",(VLOOKUP(H:H,produtos_escape2!$A$2:$D$2794,4,FALSE))))</f>
        <v>AMP</v>
      </c>
      <c r="N1281" s="486">
        <v>1000</v>
      </c>
      <c r="O1281" s="176" t="s">
        <v>10075</v>
      </c>
      <c r="P1281" s="486">
        <v>500</v>
      </c>
      <c r="Q1281" s="247">
        <v>13.44</v>
      </c>
      <c r="R1281" s="246">
        <f t="shared" si="51"/>
        <v>6720</v>
      </c>
      <c r="S1281" s="177">
        <v>44160</v>
      </c>
      <c r="T1281" s="182">
        <v>10099</v>
      </c>
      <c r="U1281" s="177">
        <v>44161</v>
      </c>
      <c r="V1281" s="177">
        <v>44165</v>
      </c>
      <c r="W1281" s="177">
        <v>44173</v>
      </c>
      <c r="X1281" s="176" t="s">
        <v>10674</v>
      </c>
      <c r="Y1281" s="177"/>
      <c r="Z1281" s="415">
        <v>6</v>
      </c>
      <c r="AA1281" s="488" t="s">
        <v>10689</v>
      </c>
      <c r="AB1281" s="594"/>
      <c r="AC1281" s="595"/>
      <c r="AD1281" s="596" t="str">
        <f>IF(AND(AC1281&lt;&gt;"",S1281&lt;&gt;""),NETWORKDAYS(AC1281,S1281,#REF!),"")</f>
        <v/>
      </c>
      <c r="AE1281" s="596" t="str">
        <f ca="1">IF(AND(AD1281="",AC1281=""),"",IF(OR(AD1281&lt;&gt;"",O1281="*CANCELADO"),"",NETWORKDAYS(AC1281,TODAY(),#REF!)))</f>
        <v/>
      </c>
      <c r="AF1281" s="597" t="str">
        <f>IFERROR(INDEX(produtos_escape2!M:M,MATCH(Controle!H1281,produtos_escape2!A:A,0)),"")</f>
        <v xml:space="preserve">PROPOFOL EMULSAO INJETAVEL 10 MG/ML AMPOLA 20 ML </v>
      </c>
    </row>
    <row r="1282" spans="1:32" ht="14.25" customHeight="1">
      <c r="A1282" s="176" t="s">
        <v>9631</v>
      </c>
      <c r="B1282" s="176" t="s">
        <v>3608</v>
      </c>
      <c r="C1282" s="177">
        <v>44159</v>
      </c>
      <c r="D1282" s="176" t="s">
        <v>10457</v>
      </c>
      <c r="E1282" s="176" t="s">
        <v>1867</v>
      </c>
      <c r="F1282" s="259" t="s">
        <v>10458</v>
      </c>
      <c r="G1282" s="176">
        <v>1</v>
      </c>
      <c r="H1282" s="178">
        <v>90126</v>
      </c>
      <c r="I1282" s="592">
        <f t="shared" si="54"/>
        <v>4</v>
      </c>
      <c r="J1282" s="178" t="s">
        <v>816</v>
      </c>
      <c r="K1282" s="178" t="s">
        <v>816</v>
      </c>
      <c r="L1282" s="275" t="str">
        <f>IF(H:H=0,"",IF(ISERROR(VLOOKUP(H:H,produtos_escape2!$A$2:$B$2794,2,FALSE)),"Código não cadastrado",(VLOOKUP(H:H,produtos_escape2!$A$2:$B$2794,2,FALSE))))</f>
        <v>HALOPERIDOL SOLUCAO INJETAVEL 5 MG/ML AMPOLA 1 ML</v>
      </c>
      <c r="M1282" s="593" t="str">
        <f>IF(H:H=0,"",IF(ISERROR(VLOOKUP(H:H,produtos_escape2!$A$2:$D$2794,2,FALSE)),"Código não cadastrado",(VLOOKUP(H:H,produtos_escape2!$A$2:$D$2794,4,FALSE))))</f>
        <v>AMP</v>
      </c>
      <c r="N1282" s="486">
        <v>150</v>
      </c>
      <c r="O1282" s="176" t="s">
        <v>2989</v>
      </c>
      <c r="P1282" s="486">
        <v>150</v>
      </c>
      <c r="Q1282" s="247">
        <v>1.2350000000000001</v>
      </c>
      <c r="R1282" s="246">
        <f t="shared" si="51"/>
        <v>185.25000000000003</v>
      </c>
      <c r="S1282" s="177">
        <v>44162</v>
      </c>
      <c r="T1282" s="182">
        <v>139244</v>
      </c>
      <c r="U1282" s="177">
        <v>44162</v>
      </c>
      <c r="V1282" s="177">
        <v>44166</v>
      </c>
      <c r="W1282" s="177">
        <v>44173</v>
      </c>
      <c r="X1282" s="176" t="s">
        <v>10674</v>
      </c>
      <c r="Y1282" s="177"/>
      <c r="Z1282" s="415">
        <v>6</v>
      </c>
      <c r="AA1282" s="488" t="s">
        <v>10689</v>
      </c>
      <c r="AB1282" s="594"/>
      <c r="AC1282" s="595"/>
      <c r="AD1282" s="596" t="str">
        <f>IF(AND(AC1282&lt;&gt;"",S1282&lt;&gt;""),NETWORKDAYS(AC1282,S1282,#REF!),"")</f>
        <v/>
      </c>
      <c r="AE1282" s="596" t="str">
        <f ca="1">IF(AND(AD1282="",AC1282=""),"",IF(OR(AD1282&lt;&gt;"",O1282="*CANCELADO"),"",NETWORKDAYS(AC1282,TODAY(),#REF!)))</f>
        <v/>
      </c>
      <c r="AF1282" s="597" t="str">
        <f>IFERROR(INDEX(produtos_escape2!M:M,MATCH(Controle!H1282,produtos_escape2!A:A,0)),"")</f>
        <v>HALOPERIDOL SOLUCAO INJETAVEL 5 MG/ML AMPOLA 1 ML</v>
      </c>
    </row>
    <row r="1283" spans="1:32" ht="14.25" customHeight="1">
      <c r="A1283" s="176" t="s">
        <v>9632</v>
      </c>
      <c r="B1283" s="176" t="s">
        <v>3608</v>
      </c>
      <c r="C1283" s="177">
        <v>44159</v>
      </c>
      <c r="D1283" s="176" t="s">
        <v>10459</v>
      </c>
      <c r="E1283" s="176" t="s">
        <v>1867</v>
      </c>
      <c r="F1283" s="259" t="s">
        <v>10461</v>
      </c>
      <c r="G1283" s="176">
        <v>1</v>
      </c>
      <c r="H1283" s="178">
        <v>90950</v>
      </c>
      <c r="I1283" s="592">
        <f t="shared" si="54"/>
        <v>4</v>
      </c>
      <c r="J1283" s="178" t="s">
        <v>816</v>
      </c>
      <c r="K1283" s="178" t="s">
        <v>816</v>
      </c>
      <c r="L1283" s="275" t="str">
        <f>IF(H:H=0,"",IF(ISERROR(VLOOKUP(H:H,produtos_escape2!$A$2:$B$2794,2,FALSE)),"Código não cadastrado",(VLOOKUP(H:H,produtos_escape2!$A$2:$B$2794,2,FALSE))))</f>
        <v>ONDANSETRONA COMPRIMIDO 8 MG</v>
      </c>
      <c r="M1283" s="593" t="str">
        <f>IF(H:H=0,"",IF(ISERROR(VLOOKUP(H:H,produtos_escape2!$A$2:$D$2794,2,FALSE)),"Código não cadastrado",(VLOOKUP(H:H,produtos_escape2!$A$2:$D$2794,4,FALSE))))</f>
        <v>CP</v>
      </c>
      <c r="N1283" s="486">
        <v>500</v>
      </c>
      <c r="O1283" s="176" t="s">
        <v>4401</v>
      </c>
      <c r="P1283" s="486">
        <v>500</v>
      </c>
      <c r="Q1283" s="247">
        <v>1.29</v>
      </c>
      <c r="R1283" s="246">
        <f t="shared" si="51"/>
        <v>645</v>
      </c>
      <c r="S1283" s="177">
        <v>44162</v>
      </c>
      <c r="T1283" s="182">
        <v>2807736</v>
      </c>
      <c r="U1283" s="177">
        <v>44165</v>
      </c>
      <c r="V1283" s="177">
        <v>44167</v>
      </c>
      <c r="W1283" s="177">
        <v>44173</v>
      </c>
      <c r="X1283" s="176" t="s">
        <v>10674</v>
      </c>
      <c r="Y1283" s="177"/>
      <c r="Z1283" s="415">
        <v>6</v>
      </c>
      <c r="AA1283" s="488" t="s">
        <v>10690</v>
      </c>
      <c r="AB1283" s="594"/>
      <c r="AC1283" s="595"/>
      <c r="AD1283" s="596" t="str">
        <f>IF(AND(AC1283&lt;&gt;"",S1283&lt;&gt;""),NETWORKDAYS(AC1283,S1283,#REF!),"")</f>
        <v/>
      </c>
      <c r="AE1283" s="596" t="str">
        <f ca="1">IF(AND(AD1283="",AC1283=""),"",IF(OR(AD1283&lt;&gt;"",O1283="*CANCELADO"),"",NETWORKDAYS(AC1283,TODAY(),#REF!)))</f>
        <v/>
      </c>
      <c r="AF1283" s="597" t="str">
        <f>IFERROR(INDEX(produtos_escape2!M:M,MATCH(Controle!H1283,produtos_escape2!A:A,0)),"")</f>
        <v>ONDANSETRONA COMPRIMIDO 8 MG</v>
      </c>
    </row>
    <row r="1284" spans="1:32" ht="14.25" customHeight="1">
      <c r="A1284" s="176" t="s">
        <v>9643</v>
      </c>
      <c r="B1284" s="176" t="s">
        <v>3608</v>
      </c>
      <c r="C1284" s="177">
        <v>44159</v>
      </c>
      <c r="D1284" s="176" t="s">
        <v>10460</v>
      </c>
      <c r="E1284" s="176" t="s">
        <v>1867</v>
      </c>
      <c r="F1284" s="259" t="s">
        <v>10463</v>
      </c>
      <c r="G1284" s="176">
        <v>1</v>
      </c>
      <c r="H1284" s="178">
        <v>90592</v>
      </c>
      <c r="I1284" s="592">
        <f t="shared" si="54"/>
        <v>4</v>
      </c>
      <c r="J1284" s="178" t="s">
        <v>816</v>
      </c>
      <c r="K1284" s="178" t="s">
        <v>816</v>
      </c>
      <c r="L1284" s="275" t="str">
        <f>IF(H:H=0,"",IF(ISERROR(VLOOKUP(H:H,produtos_escape2!$A$2:$B$2794,2,FALSE)),"Código não cadastrado",(VLOOKUP(H:H,produtos_escape2!$A$2:$B$2794,2,FALSE))))</f>
        <v xml:space="preserve">SULFATO FERROSO DRAGEA 40 MG </v>
      </c>
      <c r="M1284" s="593" t="str">
        <f>IF(H:H=0,"",IF(ISERROR(VLOOKUP(H:H,produtos_escape2!$A$2:$D$2794,2,FALSE)),"Código não cadastrado",(VLOOKUP(H:H,produtos_escape2!$A$2:$D$2794,4,FALSE))))</f>
        <v>DG</v>
      </c>
      <c r="N1284" s="486">
        <v>3000</v>
      </c>
      <c r="O1284" s="176" t="s">
        <v>1868</v>
      </c>
      <c r="P1284" s="486"/>
      <c r="Q1284" s="247"/>
      <c r="R1284" s="246">
        <f t="shared" si="51"/>
        <v>0</v>
      </c>
      <c r="S1284" s="177">
        <v>44169</v>
      </c>
      <c r="T1284" s="182"/>
      <c r="U1284" s="177"/>
      <c r="V1284" s="177"/>
      <c r="W1284" s="177"/>
      <c r="X1284" s="176"/>
      <c r="Y1284" s="177"/>
      <c r="Z1284" s="415">
        <v>6</v>
      </c>
      <c r="AA1284" s="488" t="s">
        <v>10520</v>
      </c>
      <c r="AB1284" s="594"/>
      <c r="AC1284" s="595"/>
      <c r="AD1284" s="596" t="str">
        <f>IF(AND(AC1284&lt;&gt;"",S1284&lt;&gt;""),NETWORKDAYS(AC1284,S1284,#REF!),"")</f>
        <v/>
      </c>
      <c r="AE1284" s="596" t="str">
        <f ca="1">IF(AND(AD1284="",AC1284=""),"",IF(OR(AD1284&lt;&gt;"",O1284="*CANCELADO"),"",NETWORKDAYS(AC1284,TODAY(),#REF!)))</f>
        <v/>
      </c>
      <c r="AF1284" s="597" t="str">
        <f>IFERROR(INDEX(produtos_escape2!M:M,MATCH(Controle!H1284,produtos_escape2!A:A,0)),"")</f>
        <v xml:space="preserve">SULFATO FERROSO DRAGEA 40 MG </v>
      </c>
    </row>
    <row r="1285" spans="1:32" ht="14.25" customHeight="1">
      <c r="A1285" s="176" t="s">
        <v>9646</v>
      </c>
      <c r="B1285" s="176" t="s">
        <v>3608</v>
      </c>
      <c r="C1285" s="177">
        <v>44159</v>
      </c>
      <c r="D1285" s="176" t="s">
        <v>10462</v>
      </c>
      <c r="E1285" s="176" t="s">
        <v>1867</v>
      </c>
      <c r="F1285" s="259" t="s">
        <v>10465</v>
      </c>
      <c r="G1285" s="176">
        <v>1</v>
      </c>
      <c r="H1285" s="178">
        <v>90528</v>
      </c>
      <c r="I1285" s="592">
        <f t="shared" si="54"/>
        <v>3</v>
      </c>
      <c r="J1285" s="178" t="s">
        <v>816</v>
      </c>
      <c r="K1285" s="178" t="s">
        <v>816</v>
      </c>
      <c r="L1285" s="275" t="str">
        <f>IF(H:H=0,"",IF(ISERROR(VLOOKUP(H:H,produtos_escape2!$A$2:$B$2794,2,FALSE)),"Código não cadastrado",(VLOOKUP(H:H,produtos_escape2!$A$2:$B$2794,2,FALSE))))</f>
        <v>FITOMENADIONA (VITAMINA K) SOLUÇAO INJETAVEL INTRA-MUSCULAR 10 MG/ML AMPOLA 1 ML</v>
      </c>
      <c r="M1285" s="593" t="str">
        <f>IF(H:H=0,"",IF(ISERROR(VLOOKUP(H:H,produtos_escape2!$A$2:$D$2794,2,FALSE)),"Código não cadastrado",(VLOOKUP(H:H,produtos_escape2!$A$2:$D$2794,4,FALSE))))</f>
        <v>AMP</v>
      </c>
      <c r="N1285" s="486">
        <v>200</v>
      </c>
      <c r="O1285" s="176" t="s">
        <v>1868</v>
      </c>
      <c r="P1285" s="486"/>
      <c r="Q1285" s="247"/>
      <c r="R1285" s="246">
        <f t="shared" si="51"/>
        <v>0</v>
      </c>
      <c r="S1285" s="177">
        <v>44166</v>
      </c>
      <c r="T1285" s="182"/>
      <c r="U1285" s="177"/>
      <c r="V1285" s="177"/>
      <c r="W1285" s="177"/>
      <c r="X1285" s="176"/>
      <c r="Y1285" s="177"/>
      <c r="Z1285" s="415">
        <v>6</v>
      </c>
      <c r="AA1285" s="488" t="s">
        <v>10489</v>
      </c>
      <c r="AB1285" s="594"/>
      <c r="AC1285" s="595"/>
      <c r="AD1285" s="596" t="str">
        <f>IF(AND(AC1285&lt;&gt;"",S1285&lt;&gt;""),NETWORKDAYS(AC1285,S1285,#REF!),"")</f>
        <v/>
      </c>
      <c r="AE1285" s="596" t="str">
        <f ca="1">IF(AND(AD1285="",AC1285=""),"",IF(OR(AD1285&lt;&gt;"",O1285="*CANCELADO"),"",NETWORKDAYS(AC1285,TODAY(),#REF!)))</f>
        <v/>
      </c>
      <c r="AF1285" s="597" t="str">
        <f>IFERROR(INDEX(produtos_escape2!M:M,MATCH(Controle!H1285,produtos_escape2!A:A,0)),"")</f>
        <v>FITOMENADIONA (VITAMINA K) SOLUÇAO INJETAVEL INTRA-MUSCULAR 10 MG/ML AMPOLA 1 ML</v>
      </c>
    </row>
    <row r="1286" spans="1:32" ht="14.25" customHeight="1">
      <c r="A1286" s="176" t="s">
        <v>9648</v>
      </c>
      <c r="B1286" s="176" t="s">
        <v>3608</v>
      </c>
      <c r="C1286" s="177">
        <v>44159</v>
      </c>
      <c r="D1286" s="176" t="s">
        <v>10464</v>
      </c>
      <c r="E1286" s="176" t="s">
        <v>1867</v>
      </c>
      <c r="F1286" s="259" t="s">
        <v>10467</v>
      </c>
      <c r="G1286" s="176">
        <v>1</v>
      </c>
      <c r="H1286" s="178">
        <v>90564</v>
      </c>
      <c r="I1286" s="592">
        <f t="shared" si="54"/>
        <v>2</v>
      </c>
      <c r="J1286" s="178" t="s">
        <v>816</v>
      </c>
      <c r="K1286" s="178" t="s">
        <v>816</v>
      </c>
      <c r="L1286" s="275" t="str">
        <f>IF(H:H=0,"",IF(ISERROR(VLOOKUP(H:H,produtos_escape2!$A$2:$B$2794,2,FALSE)),"Código não cadastrado",(VLOOKUP(H:H,produtos_escape2!$A$2:$B$2794,2,FALSE))))</f>
        <v>GLICONATO DE CALCIO SOLUÇAO INJETAVEL 100 MG/ML AMPOLA 10 ML</v>
      </c>
      <c r="M1286" s="593" t="str">
        <f>IF(H:H=0,"",IF(ISERROR(VLOOKUP(H:H,produtos_escape2!$A$2:$D$2794,2,FALSE)),"Código não cadastrado",(VLOOKUP(H:H,produtos_escape2!$A$2:$D$2794,4,FALSE))))</f>
        <v>AMP</v>
      </c>
      <c r="N1286" s="486">
        <v>400</v>
      </c>
      <c r="O1286" s="176" t="s">
        <v>2989</v>
      </c>
      <c r="P1286" s="486">
        <v>400</v>
      </c>
      <c r="Q1286" s="247">
        <v>1.8774999999999999</v>
      </c>
      <c r="R1286" s="246">
        <f t="shared" si="51"/>
        <v>751</v>
      </c>
      <c r="S1286" s="177">
        <v>44162</v>
      </c>
      <c r="T1286" s="182">
        <v>139237</v>
      </c>
      <c r="U1286" s="177">
        <v>44162</v>
      </c>
      <c r="V1286" s="177">
        <v>44166</v>
      </c>
      <c r="W1286" s="177">
        <v>44173</v>
      </c>
      <c r="X1286" s="176" t="s">
        <v>10674</v>
      </c>
      <c r="Y1286" s="177"/>
      <c r="Z1286" s="415">
        <v>6</v>
      </c>
      <c r="AA1286" s="488" t="s">
        <v>10689</v>
      </c>
      <c r="AB1286" s="594"/>
      <c r="AC1286" s="595"/>
      <c r="AD1286" s="596" t="str">
        <f>IF(AND(AC1286&lt;&gt;"",S1286&lt;&gt;""),NETWORKDAYS(AC1286,S1286,#REF!),"")</f>
        <v/>
      </c>
      <c r="AE1286" s="596" t="str">
        <f ca="1">IF(AND(AD1286="",AC1286=""),"",IF(OR(AD1286&lt;&gt;"",O1286="*CANCELADO"),"",NETWORKDAYS(AC1286,TODAY(),#REF!)))</f>
        <v/>
      </c>
      <c r="AF1286" s="597" t="str">
        <f>IFERROR(INDEX(produtos_escape2!M:M,MATCH(Controle!H1286,produtos_escape2!A:A,0)),"")</f>
        <v>GLICONATO DE CALCIO SOLUÇAO INJETAVEL 100 MG/ML AMPOLA 10 ML</v>
      </c>
    </row>
    <row r="1287" spans="1:32" ht="14.25" customHeight="1">
      <c r="A1287" s="176" t="s">
        <v>9650</v>
      </c>
      <c r="B1287" s="176" t="s">
        <v>3608</v>
      </c>
      <c r="C1287" s="177">
        <v>44159</v>
      </c>
      <c r="D1287" s="176" t="s">
        <v>10466</v>
      </c>
      <c r="E1287" s="176" t="s">
        <v>1867</v>
      </c>
      <c r="F1287" s="259" t="s">
        <v>10469</v>
      </c>
      <c r="G1287" s="176">
        <v>1</v>
      </c>
      <c r="H1287" s="178">
        <v>91108</v>
      </c>
      <c r="I1287" s="592">
        <f t="shared" si="54"/>
        <v>1</v>
      </c>
      <c r="J1287" s="178" t="s">
        <v>816</v>
      </c>
      <c r="K1287" s="178" t="s">
        <v>816</v>
      </c>
      <c r="L1287" s="275" t="str">
        <f>IF(H:H=0,"",IF(ISERROR(VLOOKUP(H:H,produtos_escape2!$A$2:$B$2794,2,FALSE)),"Código não cadastrado",(VLOOKUP(H:H,produtos_escape2!$A$2:$B$2794,2,FALSE))))</f>
        <v>COMPRESSA CAMPO OPERATORIO 45CM x 50CM NAO ESTERIL PACOTE COM 50 UND. Aplicação: absorção de fluídos e sangue em cavidade cirúrgica. Material: 100 % algodão. Características Adicionais: com alça de algodão, 04 camadas sobrepostas, cor branca, acabamento com auréola e bainha em overlock, com ausência de branco óptico, de amido, de sujidade e de fiapos, pesando, no mínimo, 35 gramas por compressa; deve oferecer absorção imediata de fluídos e sangue, deve permitir lavagem, secagem e esterilização com o mínimo de encolhimento, mantendo o padrão de qualidade que permita o uso. Embalagem plástica que garanta proteção ao produto durante transporte até o momento do uso. Apresentação: pacote plástico com 50 unidades. Unidade De Estoque: pacote (PCT). Código SES: 091108. BR0270013</v>
      </c>
      <c r="M1287" s="593" t="str">
        <f>IF(H:H=0,"",IF(ISERROR(VLOOKUP(H:H,produtos_escape2!$A$2:$D$2794,2,FALSE)),"Código não cadastrado",(VLOOKUP(H:H,produtos_escape2!$A$2:$D$2794,4,FALSE))))</f>
        <v>PC</v>
      </c>
      <c r="N1287" s="486">
        <v>10</v>
      </c>
      <c r="O1287" s="176" t="s">
        <v>9981</v>
      </c>
      <c r="P1287" s="486">
        <v>10</v>
      </c>
      <c r="Q1287" s="247">
        <v>65.58</v>
      </c>
      <c r="R1287" s="246">
        <f t="shared" si="51"/>
        <v>655.8</v>
      </c>
      <c r="S1287" s="177">
        <v>44168</v>
      </c>
      <c r="T1287" s="182">
        <v>134592</v>
      </c>
      <c r="U1287" s="177">
        <v>44169</v>
      </c>
      <c r="V1287" s="177">
        <v>44172</v>
      </c>
      <c r="W1287" s="177">
        <v>44173</v>
      </c>
      <c r="X1287" s="176" t="s">
        <v>10674</v>
      </c>
      <c r="Y1287" s="177"/>
      <c r="Z1287" s="415">
        <v>6</v>
      </c>
      <c r="AA1287" s="488" t="s">
        <v>10691</v>
      </c>
      <c r="AB1287" s="594"/>
      <c r="AC1287" s="595"/>
      <c r="AD1287" s="596" t="str">
        <f>IF(AND(AC1287&lt;&gt;"",S1287&lt;&gt;""),NETWORKDAYS(AC1287,S1287,#REF!),"")</f>
        <v/>
      </c>
      <c r="AE1287" s="596" t="str">
        <f ca="1">IF(AND(AD1287="",AC1287=""),"",IF(OR(AD1287&lt;&gt;"",O1287="*CANCELADO"),"",NETWORKDAYS(AC1287,TODAY(),#REF!)))</f>
        <v/>
      </c>
      <c r="AF1287" s="597" t="str">
        <f>IFERROR(INDEX(produtos_escape2!M:M,MATCH(Controle!H1287,produtos_escape2!A:A,0)),"")</f>
        <v>COMPRESSA CAMPO OPERATORIO 45CM x 50CM</v>
      </c>
    </row>
    <row r="1288" spans="1:32" ht="14.25" customHeight="1">
      <c r="A1288" s="176" t="s">
        <v>9652</v>
      </c>
      <c r="B1288" s="176" t="s">
        <v>3608</v>
      </c>
      <c r="C1288" s="177">
        <v>44159</v>
      </c>
      <c r="D1288" s="176" t="s">
        <v>10468</v>
      </c>
      <c r="E1288" s="176" t="s">
        <v>1867</v>
      </c>
      <c r="F1288" s="259" t="s">
        <v>10470</v>
      </c>
      <c r="G1288" s="176">
        <v>1</v>
      </c>
      <c r="H1288" s="178">
        <v>92425</v>
      </c>
      <c r="I1288" s="592">
        <f t="shared" si="54"/>
        <v>1</v>
      </c>
      <c r="J1288" s="178" t="s">
        <v>816</v>
      </c>
      <c r="K1288" s="178" t="s">
        <v>816</v>
      </c>
      <c r="L1288" s="275" t="str">
        <f>IF(H:H=0,"",IF(ISERROR(VLOOKUP(H:H,produtos_escape2!$A$2:$B$2794,2,FALSE)),"Código não cadastrado",(VLOOKUP(H:H,produtos_escape2!$A$2:$B$2794,2,FALSE))))</f>
        <v>SERRA DE GIGLI ACO INOX 500MM</v>
      </c>
      <c r="M1288" s="593" t="str">
        <f>IF(H:H=0,"",IF(ISERROR(VLOOKUP(H:H,produtos_escape2!$A$2:$D$2794,2,FALSE)),"Código não cadastrado",(VLOOKUP(H:H,produtos_escape2!$A$2:$D$2794,4,FALSE))))</f>
        <v>UN</v>
      </c>
      <c r="N1288" s="486">
        <v>30</v>
      </c>
      <c r="O1288" s="176" t="s">
        <v>3530</v>
      </c>
      <c r="P1288" s="486">
        <v>30</v>
      </c>
      <c r="Q1288" s="247">
        <v>18</v>
      </c>
      <c r="R1288" s="246">
        <f t="shared" si="51"/>
        <v>540</v>
      </c>
      <c r="S1288" s="177">
        <v>44162</v>
      </c>
      <c r="T1288" s="182">
        <v>1177</v>
      </c>
      <c r="U1288" s="177">
        <v>44168</v>
      </c>
      <c r="V1288" s="177">
        <v>44169</v>
      </c>
      <c r="W1288" s="177">
        <v>44173</v>
      </c>
      <c r="X1288" s="176" t="s">
        <v>10674</v>
      </c>
      <c r="Y1288" s="177"/>
      <c r="Z1288" s="415">
        <v>6</v>
      </c>
      <c r="AA1288" s="488" t="s">
        <v>10692</v>
      </c>
      <c r="AB1288" s="594"/>
      <c r="AC1288" s="595"/>
      <c r="AD1288" s="596" t="str">
        <f>IF(AND(AC1288&lt;&gt;"",S1288&lt;&gt;""),NETWORKDAYS(AC1288,S1288,#REF!),"")</f>
        <v/>
      </c>
      <c r="AE1288" s="596" t="str">
        <f ca="1">IF(AND(AD1288="",AC1288=""),"",IF(OR(AD1288&lt;&gt;"",O1288="*CANCELADO"),"",NETWORKDAYS(AC1288,TODAY(),#REF!)))</f>
        <v/>
      </c>
      <c r="AF1288" s="597" t="str">
        <f>IFERROR(INDEX(produtos_escape2!M:M,MATCH(Controle!H1288,produtos_escape2!A:A,0)),"")</f>
        <v>SERRA DE GIGLI ACO INOX 500MM</v>
      </c>
    </row>
    <row r="1289" spans="1:32" ht="14.25" customHeight="1">
      <c r="A1289" s="176" t="s">
        <v>9668</v>
      </c>
      <c r="B1289" s="176" t="s">
        <v>3608</v>
      </c>
      <c r="C1289" s="177">
        <v>44160</v>
      </c>
      <c r="D1289" s="176" t="s">
        <v>10476</v>
      </c>
      <c r="E1289" s="176" t="s">
        <v>3009</v>
      </c>
      <c r="F1289" s="259" t="s">
        <v>10477</v>
      </c>
      <c r="G1289" s="176">
        <v>1</v>
      </c>
      <c r="H1289" s="178">
        <v>36048</v>
      </c>
      <c r="I1289" s="592">
        <f t="shared" si="54"/>
        <v>5</v>
      </c>
      <c r="J1289" s="178" t="s">
        <v>816</v>
      </c>
      <c r="K1289" s="178" t="s">
        <v>816</v>
      </c>
      <c r="L1289" s="275"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1289" s="593" t="str">
        <f>IF(H:H=0,"",IF(ISERROR(VLOOKUP(H:H,produtos_escape2!$A$2:$D$2794,2,FALSE)),"Código não cadastrado",(VLOOKUP(H:H,produtos_escape2!$A$2:$D$2794,4,FALSE))))</f>
        <v>UN</v>
      </c>
      <c r="N1289" s="486">
        <v>30000</v>
      </c>
      <c r="O1289" s="176" t="s">
        <v>7825</v>
      </c>
      <c r="P1289" s="486">
        <v>5000</v>
      </c>
      <c r="Q1289" s="247">
        <v>0.81169999999999998</v>
      </c>
      <c r="R1289" s="246">
        <f t="shared" si="51"/>
        <v>4058.5</v>
      </c>
      <c r="S1289" s="177">
        <v>44180</v>
      </c>
      <c r="T1289" s="182"/>
      <c r="U1289" s="177"/>
      <c r="V1289" s="177"/>
      <c r="W1289" s="177"/>
      <c r="X1289" s="176"/>
      <c r="Y1289" s="177"/>
      <c r="Z1289" s="415">
        <v>6</v>
      </c>
      <c r="AA1289" s="488" t="s">
        <v>10693</v>
      </c>
      <c r="AB1289" s="594"/>
      <c r="AC1289" s="595"/>
      <c r="AD1289" s="596" t="str">
        <f>IF(AND(AC1289&lt;&gt;"",S1289&lt;&gt;""),NETWORKDAYS(AC1289,S1289,#REF!),"")</f>
        <v/>
      </c>
      <c r="AE1289" s="596" t="str">
        <f ca="1">IF(AND(AD1289="",AC1289=""),"",IF(OR(AD1289&lt;&gt;"",O1289="*CANCELADO"),"",NETWORKDAYS(AC1289,TODAY(),#REF!)))</f>
        <v/>
      </c>
      <c r="AF1289" s="597" t="str">
        <f>IFERROR(INDEX(produtos_escape2!M:M,MATCH(Controle!H1289,produtos_escape2!A:A,0)),"")</f>
        <v>LUVA NITRÍLICA P</v>
      </c>
    </row>
    <row r="1290" spans="1:32" ht="14.25" customHeight="1">
      <c r="A1290" s="176" t="s">
        <v>9668</v>
      </c>
      <c r="B1290" s="176" t="s">
        <v>3608</v>
      </c>
      <c r="C1290" s="177">
        <v>44160</v>
      </c>
      <c r="D1290" s="176" t="s">
        <v>10476</v>
      </c>
      <c r="E1290" s="176" t="s">
        <v>3009</v>
      </c>
      <c r="F1290" s="259" t="s">
        <v>10477</v>
      </c>
      <c r="G1290" s="176">
        <v>2</v>
      </c>
      <c r="H1290" s="178">
        <v>36169</v>
      </c>
      <c r="I1290" s="592">
        <f t="shared" si="54"/>
        <v>6</v>
      </c>
      <c r="J1290" s="178" t="s">
        <v>816</v>
      </c>
      <c r="K1290" s="178" t="s">
        <v>816</v>
      </c>
      <c r="L1290" s="275"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290" s="593" t="str">
        <f>IF(H:H=0,"",IF(ISERROR(VLOOKUP(H:H,produtos_escape2!$A$2:$D$2794,2,FALSE)),"Código não cadastrado",(VLOOKUP(H:H,produtos_escape2!$A$2:$D$2794,4,FALSE))))</f>
        <v>UN</v>
      </c>
      <c r="N1290" s="486">
        <v>30000</v>
      </c>
      <c r="O1290" s="176" t="s">
        <v>4109</v>
      </c>
      <c r="P1290" s="486">
        <v>20000</v>
      </c>
      <c r="Q1290" s="247">
        <v>0.80900000000000005</v>
      </c>
      <c r="R1290" s="246">
        <f t="shared" si="51"/>
        <v>16180.000000000002</v>
      </c>
      <c r="S1290" s="177">
        <v>44180</v>
      </c>
      <c r="T1290" s="182">
        <v>105190</v>
      </c>
      <c r="U1290" s="177">
        <v>44181</v>
      </c>
      <c r="V1290" s="177">
        <v>44182</v>
      </c>
      <c r="W1290" s="177">
        <v>44186</v>
      </c>
      <c r="X1290" s="176" t="s">
        <v>10674</v>
      </c>
      <c r="Y1290" s="177"/>
      <c r="Z1290" s="415">
        <v>6</v>
      </c>
      <c r="AA1290" s="488" t="s">
        <v>10693</v>
      </c>
      <c r="AB1290" s="594"/>
      <c r="AC1290" s="595"/>
      <c r="AD1290" s="596" t="str">
        <f>IF(AND(AC1290&lt;&gt;"",S1290&lt;&gt;""),NETWORKDAYS(AC1290,S1290,#REF!),"")</f>
        <v/>
      </c>
      <c r="AE1290" s="596" t="str">
        <f ca="1">IF(AND(AD1290="",AC1290=""),"",IF(OR(AD1290&lt;&gt;"",O1290="*CANCELADO"),"",NETWORKDAYS(AC1290,TODAY(),#REF!)))</f>
        <v/>
      </c>
      <c r="AF1290" s="597" t="str">
        <f>IFERROR(INDEX(produtos_escape2!M:M,MATCH(Controle!H1290,produtos_escape2!A:A,0)),"")</f>
        <v>LUVA NITRÍLICA M</v>
      </c>
    </row>
    <row r="1291" spans="1:32" ht="14.25" customHeight="1">
      <c r="A1291" s="176" t="s">
        <v>9668</v>
      </c>
      <c r="B1291" s="176" t="s">
        <v>3608</v>
      </c>
      <c r="C1291" s="177">
        <v>44160</v>
      </c>
      <c r="D1291" s="176" t="s">
        <v>10476</v>
      </c>
      <c r="E1291" s="176" t="s">
        <v>3009</v>
      </c>
      <c r="F1291" s="259" t="s">
        <v>10477</v>
      </c>
      <c r="G1291" s="176">
        <v>3</v>
      </c>
      <c r="H1291" s="178">
        <v>36052</v>
      </c>
      <c r="I1291" s="592">
        <f t="shared" si="54"/>
        <v>5</v>
      </c>
      <c r="J1291" s="178" t="s">
        <v>816</v>
      </c>
      <c r="K1291" s="178" t="s">
        <v>816</v>
      </c>
      <c r="L1291" s="275"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291" s="593" t="str">
        <f>IF(H:H=0,"",IF(ISERROR(VLOOKUP(H:H,produtos_escape2!$A$2:$D$2794,2,FALSE)),"Código não cadastrado",(VLOOKUP(H:H,produtos_escape2!$A$2:$D$2794,4,FALSE))))</f>
        <v>UN</v>
      </c>
      <c r="N1291" s="486">
        <v>30000</v>
      </c>
      <c r="O1291" s="176" t="s">
        <v>4109</v>
      </c>
      <c r="P1291" s="486">
        <v>5000</v>
      </c>
      <c r="Q1291" s="247">
        <v>0.83</v>
      </c>
      <c r="R1291" s="246">
        <f t="shared" si="51"/>
        <v>4150</v>
      </c>
      <c r="S1291" s="177">
        <v>44180</v>
      </c>
      <c r="T1291" s="182">
        <v>105190</v>
      </c>
      <c r="U1291" s="177">
        <v>44181</v>
      </c>
      <c r="V1291" s="177">
        <v>44182</v>
      </c>
      <c r="W1291" s="177">
        <v>44186</v>
      </c>
      <c r="X1291" s="176" t="s">
        <v>10674</v>
      </c>
      <c r="Y1291" s="177"/>
      <c r="Z1291" s="415">
        <v>6</v>
      </c>
      <c r="AA1291" s="488" t="s">
        <v>10693</v>
      </c>
      <c r="AB1291" s="594"/>
      <c r="AC1291" s="595"/>
      <c r="AD1291" s="596" t="str">
        <f>IF(AND(AC1291&lt;&gt;"",S1291&lt;&gt;""),NETWORKDAYS(AC1291,S1291,#REF!),"")</f>
        <v/>
      </c>
      <c r="AE1291" s="596" t="str">
        <f ca="1">IF(AND(AD1291="",AC1291=""),"",IF(OR(AD1291&lt;&gt;"",O1291="*CANCELADO"),"",NETWORKDAYS(AC1291,TODAY(),#REF!)))</f>
        <v/>
      </c>
      <c r="AF1291" s="597" t="str">
        <f>IFERROR(INDEX(produtos_escape2!M:M,MATCH(Controle!H1291,produtos_escape2!A:A,0)),"")</f>
        <v>LUVA NITRÍLICA G</v>
      </c>
    </row>
    <row r="1292" spans="1:32" ht="14.25" customHeight="1">
      <c r="A1292" s="176" t="s">
        <v>8211</v>
      </c>
      <c r="B1292" s="176" t="s">
        <v>7207</v>
      </c>
      <c r="C1292" s="177">
        <v>44148</v>
      </c>
      <c r="D1292" s="176" t="s">
        <v>10340</v>
      </c>
      <c r="E1292" s="176" t="s">
        <v>3009</v>
      </c>
      <c r="F1292" s="259" t="s">
        <v>10479</v>
      </c>
      <c r="G1292" s="176">
        <v>1</v>
      </c>
      <c r="H1292" s="178">
        <v>201158</v>
      </c>
      <c r="I1292" s="592">
        <f t="shared" si="54"/>
        <v>7</v>
      </c>
      <c r="J1292" s="178" t="s">
        <v>816</v>
      </c>
      <c r="K1292" s="178" t="s">
        <v>816</v>
      </c>
      <c r="L1292" s="275"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1292" s="593" t="str">
        <f>IF(H:H=0,"",IF(ISERROR(VLOOKUP(H:H,produtos_escape2!$A$2:$D$2794,2,FALSE)),"Código não cadastrado",(VLOOKUP(H:H,produtos_escape2!$A$2:$D$2794,4,FALSE))))</f>
        <v>PR</v>
      </c>
      <c r="N1292" s="486">
        <v>20000</v>
      </c>
      <c r="O1292" s="176" t="s">
        <v>7336</v>
      </c>
      <c r="P1292" s="486">
        <v>20000</v>
      </c>
      <c r="Q1292" s="247">
        <v>0.6</v>
      </c>
      <c r="R1292" s="246">
        <f t="shared" si="51"/>
        <v>12000</v>
      </c>
      <c r="S1292" s="177">
        <v>44183</v>
      </c>
      <c r="T1292" s="182"/>
      <c r="U1292" s="177"/>
      <c r="V1292" s="177"/>
      <c r="W1292" s="177"/>
      <c r="X1292" s="176"/>
      <c r="Y1292" s="177"/>
      <c r="Z1292" s="415">
        <v>6</v>
      </c>
      <c r="AA1292" s="488" t="s">
        <v>10694</v>
      </c>
      <c r="AB1292" s="594"/>
      <c r="AC1292" s="595"/>
      <c r="AD1292" s="596" t="str">
        <f>IF(AND(AC1292&lt;&gt;"",S1292&lt;&gt;""),NETWORKDAYS(AC1292,S1292,#REF!),"")</f>
        <v/>
      </c>
      <c r="AE1292" s="596" t="str">
        <f ca="1">IF(AND(AD1292="",AC1292=""),"",IF(OR(AD1292&lt;&gt;"",O1292="*CANCELADO"),"",NETWORKDAYS(AC1292,TODAY(),#REF!)))</f>
        <v/>
      </c>
      <c r="AF1292" s="597" t="str">
        <f>IFERROR(INDEX(produtos_escape2!M:M,MATCH(Controle!H1292,produtos_escape2!A:A,0)),"")</f>
        <v>SAPATILHA DESCARTÁVEL</v>
      </c>
    </row>
    <row r="1293" spans="1:32" ht="14.25" customHeight="1">
      <c r="A1293" s="176" t="s">
        <v>9665</v>
      </c>
      <c r="B1293" s="176" t="s">
        <v>3608</v>
      </c>
      <c r="C1293" s="177">
        <v>44161</v>
      </c>
      <c r="D1293" s="176" t="s">
        <v>10483</v>
      </c>
      <c r="E1293" s="176" t="s">
        <v>3009</v>
      </c>
      <c r="F1293" s="259" t="s">
        <v>10484</v>
      </c>
      <c r="G1293" s="176">
        <v>1</v>
      </c>
      <c r="H1293" s="178">
        <v>91122</v>
      </c>
      <c r="I1293" s="592">
        <f t="shared" si="54"/>
        <v>2</v>
      </c>
      <c r="J1293" s="178" t="s">
        <v>816</v>
      </c>
      <c r="K1293" s="178" t="s">
        <v>816</v>
      </c>
      <c r="L1293" s="275" t="str">
        <f>IF(H:H=0,"",IF(ISERROR(VLOOKUP(H:H,produtos_escape2!$A$2:$B$2794,2,FALSE)),"Código não cadastrado",(VLOOKUP(H:H,produtos_escape2!$A$2:$B$2794,2,FALSE))))</f>
        <v>EQUIPO INTERMEDIÁRIO 2 VIAS, 15 CM (+/-2CM), ESTÉRIL. Aplicação: duplicador de vias acessos aos dispositivos de administração de soluções parenterais. Material: PVC atóxico. Características adicionais: descartávelm, com conectores que encaixe com perfeição em equipos, seringas, etc, com protetores adequados que garantam a esterilidade do produto, com corta fluxo em todas as vias que não permita passagem de líquido quando totalmente fechado; com tubo plástico, atóxico, com boa flexibilidade, transparente e diâmetro do tubo uniforme nas duas vias, com conector distal que proporcione encaixe perfeito em agulhas, catéteres, etc, e com protetor.  Embalagem individual em papel grau cirúrgico, que permita a abertura em técnica asséptica, capaz de assegurar a esterilidade do produto durante o transporte, armazenamento, até o momento do uso</v>
      </c>
      <c r="M1293" s="593" t="str">
        <f>IF(H:H=0,"",IF(ISERROR(VLOOKUP(H:H,produtos_escape2!$A$2:$D$2794,2,FALSE)),"Código não cadastrado",(VLOOKUP(H:H,produtos_escape2!$A$2:$D$2794,4,FALSE))))</f>
        <v>UN</v>
      </c>
      <c r="N1293" s="486">
        <v>4000</v>
      </c>
      <c r="O1293" s="176" t="s">
        <v>3530</v>
      </c>
      <c r="P1293" s="486">
        <v>2000</v>
      </c>
      <c r="Q1293" s="247">
        <v>0.71</v>
      </c>
      <c r="R1293" s="246">
        <f t="shared" si="51"/>
        <v>1420</v>
      </c>
      <c r="S1293" s="177">
        <v>44175</v>
      </c>
      <c r="T1293" s="182">
        <v>1186</v>
      </c>
      <c r="U1293" s="177">
        <v>44181</v>
      </c>
      <c r="V1293" s="177">
        <v>44182</v>
      </c>
      <c r="W1293" s="177">
        <v>44186</v>
      </c>
      <c r="X1293" s="176" t="s">
        <v>10674</v>
      </c>
      <c r="Y1293" s="177"/>
      <c r="Z1293" s="415">
        <v>6</v>
      </c>
      <c r="AA1293" s="488" t="s">
        <v>10695</v>
      </c>
      <c r="AB1293" s="594"/>
      <c r="AC1293" s="595"/>
      <c r="AD1293" s="596" t="str">
        <f>IF(AND(AC1293&lt;&gt;"",S1293&lt;&gt;""),NETWORKDAYS(AC1293,S1293,#REF!),"")</f>
        <v/>
      </c>
      <c r="AE1293" s="596" t="str">
        <f ca="1">IF(AND(AD1293="",AC1293=""),"",IF(OR(AD1293&lt;&gt;"",O1293="*CANCELADO"),"",NETWORKDAYS(AC1293,TODAY(),#REF!)))</f>
        <v/>
      </c>
      <c r="AF1293" s="597" t="str">
        <f>IFERROR(INDEX(produtos_escape2!M:M,MATCH(Controle!H1293,produtos_escape2!A:A,0)),"")</f>
        <v>EQUIPO INTERMEDIÁRIO 2 VIAS</v>
      </c>
    </row>
    <row r="1294" spans="1:32" ht="14.25" customHeight="1">
      <c r="A1294" s="176" t="s">
        <v>9657</v>
      </c>
      <c r="B1294" s="176" t="s">
        <v>3608</v>
      </c>
      <c r="C1294" s="177">
        <v>44161</v>
      </c>
      <c r="D1294" s="176" t="s">
        <v>10536</v>
      </c>
      <c r="E1294" s="176" t="s">
        <v>3009</v>
      </c>
      <c r="F1294" s="259" t="s">
        <v>10485</v>
      </c>
      <c r="G1294" s="176">
        <v>1</v>
      </c>
      <c r="H1294" s="178">
        <v>34534</v>
      </c>
      <c r="I1294" s="592">
        <f t="shared" si="54"/>
        <v>7</v>
      </c>
      <c r="J1294" s="178" t="s">
        <v>816</v>
      </c>
      <c r="K1294" s="178" t="s">
        <v>816</v>
      </c>
      <c r="L1294" s="275" t="str">
        <f>IF(H:H=0,"",IF(ISERROR(VLOOKUP(H:H,produtos_escape2!$A$2:$B$2794,2,FALSE)),"Código não cadastrado",(VLOOKUP(H:H,produtos_escape2!$A$2:$B$2794,2,FALSE))))</f>
        <v xml:space="preserve">EQUIPO SIMPLES PARA INFUSÃO DE SOLUÇÕES PARENTERAIS, TIPO GRAVITACIONAL,INJETOR LATERAL MEMBRANA AUTO CICATRIZANTE. Aplicação: administração soluções parenterais. Características adicionais: Apirogênico, com ponta perfurante que permita conexão segura e facilite a introdução em recipientes de soluções sem risco de desconectar durante o uso, com protetor adequado; com câmara gotejadora transparente e flexível, com filtro de partículas 15 micra, entrada de ar com filtro hidrófobo e bacteriológico, que não permita vazamento em suas junções, com tubo gotejador no interior da mesma que assegure que 20 gotas sejam equivalentes a 1 ml; tubo transparente flexível, atóxico, com comprimento mínimo de 1,20m, com regulador de fluxo tipo rolete que garanta perfeito controle de gotejamento; injetor lateral com membrana autocicatrizante ou válvula Needle-Free, livre de látex; conector distal tipo 'luer-lock' giratório, que permita perfeita adaptação aos dispositivos de acesso venoso. Embalagem individual em papel grau cirúrgico, que permita a abertura em técnica asséptica, capaz de assegurar a esterilidade do produto durante o transporte, armazenamento, até o momento do uso. Apresentação: embalagem individual acondicionada em caixa. </v>
      </c>
      <c r="M1294" s="593" t="str">
        <f>IF(H:H=0,"",IF(ISERROR(VLOOKUP(H:H,produtos_escape2!$A$2:$D$2794,2,FALSE)),"Código não cadastrado",(VLOOKUP(H:H,produtos_escape2!$A$2:$D$2794,4,FALSE))))</f>
        <v>UN</v>
      </c>
      <c r="N1294" s="486">
        <v>6000</v>
      </c>
      <c r="O1294" s="176" t="s">
        <v>8849</v>
      </c>
      <c r="P1294" s="486">
        <v>6000</v>
      </c>
      <c r="Q1294" s="247">
        <v>0.75</v>
      </c>
      <c r="R1294" s="246">
        <f t="shared" si="51"/>
        <v>4500</v>
      </c>
      <c r="S1294" s="177">
        <v>44175</v>
      </c>
      <c r="T1294" s="182">
        <v>942</v>
      </c>
      <c r="U1294" s="177">
        <v>44176</v>
      </c>
      <c r="V1294" s="177">
        <v>44177</v>
      </c>
      <c r="W1294" s="177">
        <v>44182</v>
      </c>
      <c r="X1294" s="176" t="s">
        <v>10674</v>
      </c>
      <c r="Y1294" s="177"/>
      <c r="Z1294" s="415">
        <v>6</v>
      </c>
      <c r="AA1294" s="488" t="s">
        <v>10696</v>
      </c>
      <c r="AB1294" s="594"/>
      <c r="AC1294" s="595"/>
      <c r="AD1294" s="596" t="str">
        <f>IF(AND(AC1294&lt;&gt;"",S1294&lt;&gt;""),NETWORKDAYS(AC1294,S1294,#REF!),"")</f>
        <v/>
      </c>
      <c r="AE1294" s="596" t="str">
        <f ca="1">IF(AND(AD1294="",AC1294=""),"",IF(OR(AD1294&lt;&gt;"",O1294="*CANCELADO"),"",NETWORKDAYS(AC1294,TODAY(),#REF!)))</f>
        <v/>
      </c>
      <c r="AF1294" s="597" t="str">
        <f>IFERROR(INDEX(produtos_escape2!M:M,MATCH(Controle!H1294,produtos_escape2!A:A,0)),"")</f>
        <v>EQUIPO SIMPLES PARA INFUSÃO DE SOLUÇÕES PARENTERAIS</v>
      </c>
    </row>
    <row r="1295" spans="1:32" ht="14.25" customHeight="1">
      <c r="A1295" s="176" t="s">
        <v>9665</v>
      </c>
      <c r="B1295" s="176" t="s">
        <v>3608</v>
      </c>
      <c r="C1295" s="177">
        <v>44161</v>
      </c>
      <c r="D1295" s="176" t="s">
        <v>10486</v>
      </c>
      <c r="E1295" s="176" t="s">
        <v>3009</v>
      </c>
      <c r="F1295" s="259" t="s">
        <v>10487</v>
      </c>
      <c r="G1295" s="176">
        <v>1</v>
      </c>
      <c r="H1295" s="178">
        <v>91092</v>
      </c>
      <c r="I1295" s="592">
        <f t="shared" si="54"/>
        <v>4</v>
      </c>
      <c r="J1295" s="178" t="s">
        <v>816</v>
      </c>
      <c r="K1295" s="178" t="s">
        <v>816</v>
      </c>
      <c r="L1295" s="275" t="str">
        <f>IF(H:H=0,"",IF(ISERROR(VLOOKUP(H:H,produtos_escape2!$A$2:$B$2794,2,FALSE)),"Código não cadastrado",(VLOOKUP(H:H,produtos_escape2!$A$2:$B$2794,2,FALSE))))</f>
        <v>COLETOR DE URINA SISTEMA FECHADO, ESTÉRIL COM DISPOSITIVO DE COLETA. Aplicação: drenagem de urina através de uma sonda vesical. Tamanho/Capacidade: 2000 ml,  tubo conector com no mínimo 105 cm de comprimento. Características Adicionai: coletor com um dos lados transparente, resistente, sem vazamentos com gravação de 100/100 ml, graduação em um dos cantos para pequenos volumes até 100 ml, válvula anti refluxo,       ***tubo conector protegido para sonda com diâmetro interno igual ou superior a 0,5 cm***      , pinça ajustável ao longo do tubo, local para coleta de amostra distante no mínimo 20 cm do conector para sonda, suporte rígido e ajustável para fixação da bolsa ao leito, tubo de drenagem inferior com tampa e pinça regulável que não permita vazamento e com adaptador para fixação e proteção na parte central posterior à bolsa, estéril. Apresentação: embalagem individual. Unidade de Estoque: unidade (un), Código SES: 91092. BR0419371</v>
      </c>
      <c r="M1295" s="593" t="str">
        <f>IF(H:H=0,"",IF(ISERROR(VLOOKUP(H:H,produtos_escape2!$A$2:$D$2794,2,FALSE)),"Código não cadastrado",(VLOOKUP(H:H,produtos_escape2!$A$2:$D$2794,4,FALSE))))</f>
        <v>UN</v>
      </c>
      <c r="N1295" s="486">
        <v>500</v>
      </c>
      <c r="O1295" s="176" t="s">
        <v>4109</v>
      </c>
      <c r="P1295" s="486">
        <v>300</v>
      </c>
      <c r="Q1295" s="247">
        <v>3.54</v>
      </c>
      <c r="R1295" s="246">
        <f t="shared" si="51"/>
        <v>1062</v>
      </c>
      <c r="S1295" s="177">
        <v>44175</v>
      </c>
      <c r="T1295" s="182">
        <v>104648</v>
      </c>
      <c r="U1295" s="177">
        <v>44176</v>
      </c>
      <c r="V1295" s="177">
        <v>44177</v>
      </c>
      <c r="W1295" s="177">
        <v>44182</v>
      </c>
      <c r="X1295" s="176" t="s">
        <v>10674</v>
      </c>
      <c r="Y1295" s="177"/>
      <c r="Z1295" s="415">
        <v>6</v>
      </c>
      <c r="AA1295" s="488" t="s">
        <v>10695</v>
      </c>
      <c r="AB1295" s="594"/>
      <c r="AC1295" s="595"/>
      <c r="AD1295" s="596" t="str">
        <f>IF(AND(AC1295&lt;&gt;"",S1295&lt;&gt;""),NETWORKDAYS(AC1295,S1295,#REF!),"")</f>
        <v/>
      </c>
      <c r="AE1295" s="596" t="str">
        <f ca="1">IF(AND(AD1295="",AC1295=""),"",IF(OR(AD1295&lt;&gt;"",O1295="*CANCELADO"),"",NETWORKDAYS(AC1295,TODAY(),#REF!)))</f>
        <v/>
      </c>
      <c r="AF1295" s="597" t="str">
        <f>IFERROR(INDEX(produtos_escape2!M:M,MATCH(Controle!H1295,produtos_escape2!A:A,0)),"")</f>
        <v>COLETOR DE URINA SISTEMA FECHADO</v>
      </c>
    </row>
    <row r="1296" spans="1:32" ht="14.25" customHeight="1">
      <c r="A1296" s="176" t="s">
        <v>9675</v>
      </c>
      <c r="B1296" s="176" t="s">
        <v>3608</v>
      </c>
      <c r="C1296" s="177">
        <v>44166</v>
      </c>
      <c r="D1296" s="176" t="s">
        <v>10492</v>
      </c>
      <c r="E1296" s="176" t="s">
        <v>3009</v>
      </c>
      <c r="F1296" s="259" t="s">
        <v>10493</v>
      </c>
      <c r="G1296" s="176">
        <v>1</v>
      </c>
      <c r="H1296" s="178">
        <v>90111</v>
      </c>
      <c r="I1296" s="592">
        <f t="shared" si="54"/>
        <v>8</v>
      </c>
      <c r="J1296" s="178" t="s">
        <v>816</v>
      </c>
      <c r="K1296" s="178" t="s">
        <v>816</v>
      </c>
      <c r="L1296" s="275" t="str">
        <f>IF(H:H=0,"",IF(ISERROR(VLOOKUP(H:H,produtos_escape2!$A$2:$B$2794,2,FALSE)),"Código não cadastrado",(VLOOKUP(H:H,produtos_escape2!$A$2:$B$2794,2,FALSE))))</f>
        <v xml:space="preserve">MIDAZOLAM SOLUÇAO INJETAVEL 15 MG AMPOLA 3 ML </v>
      </c>
      <c r="M1296" s="593" t="str">
        <f>IF(H:H=0,"",IF(ISERROR(VLOOKUP(H:H,produtos_escape2!$A$2:$D$2794,2,FALSE)),"Código não cadastrado",(VLOOKUP(H:H,produtos_escape2!$A$2:$D$2794,4,FALSE))))</f>
        <v>AMP</v>
      </c>
      <c r="N1296" s="486">
        <v>1000</v>
      </c>
      <c r="O1296" s="176" t="s">
        <v>4401</v>
      </c>
      <c r="P1296" s="486">
        <v>1000</v>
      </c>
      <c r="Q1296" s="247">
        <v>4.1399999999999997</v>
      </c>
      <c r="R1296" s="246">
        <f t="shared" si="51"/>
        <v>4140</v>
      </c>
      <c r="S1296" s="177">
        <v>44175</v>
      </c>
      <c r="T1296" s="182">
        <v>2828767</v>
      </c>
      <c r="U1296" s="177">
        <v>44181</v>
      </c>
      <c r="V1296" s="177">
        <v>44187</v>
      </c>
      <c r="W1296" s="177">
        <v>44187</v>
      </c>
      <c r="X1296" s="176" t="s">
        <v>10674</v>
      </c>
      <c r="Y1296" s="177"/>
      <c r="Z1296" s="415">
        <v>6</v>
      </c>
      <c r="AA1296" s="488" t="s">
        <v>10689</v>
      </c>
      <c r="AB1296" s="594"/>
      <c r="AC1296" s="595"/>
      <c r="AD1296" s="596" t="str">
        <f>IF(AND(AC1296&lt;&gt;"",S1296&lt;&gt;""),NETWORKDAYS(AC1296,S1296,#REF!),"")</f>
        <v/>
      </c>
      <c r="AE1296" s="596" t="str">
        <f ca="1">IF(AND(AD1296="",AC1296=""),"",IF(OR(AD1296&lt;&gt;"",O1296="*CANCELADO"),"",NETWORKDAYS(AC1296,TODAY(),#REF!)))</f>
        <v/>
      </c>
      <c r="AF1296" s="597" t="str">
        <f>IFERROR(INDEX(produtos_escape2!M:M,MATCH(Controle!H1296,produtos_escape2!A:A,0)),"")</f>
        <v xml:space="preserve">MIDAZOLAM SOLUÇAO INJETAVEL 15 MG AMPOLA 3 ML </v>
      </c>
    </row>
    <row r="1297" spans="1:32" ht="14.25" customHeight="1">
      <c r="A1297" s="176" t="s">
        <v>8246</v>
      </c>
      <c r="B1297" s="176" t="s">
        <v>7207</v>
      </c>
      <c r="C1297" s="177">
        <v>44166</v>
      </c>
      <c r="D1297" s="176" t="s">
        <v>10494</v>
      </c>
      <c r="E1297" s="176" t="s">
        <v>3009</v>
      </c>
      <c r="F1297" s="259" t="s">
        <v>10495</v>
      </c>
      <c r="G1297" s="176">
        <v>1</v>
      </c>
      <c r="H1297" s="178">
        <v>15141</v>
      </c>
      <c r="I1297" s="592">
        <f t="shared" si="54"/>
        <v>1</v>
      </c>
      <c r="J1297" s="178" t="s">
        <v>816</v>
      </c>
      <c r="K1297" s="178" t="s">
        <v>816</v>
      </c>
      <c r="L1297" s="275" t="str">
        <f>IF(H:H=0,"",IF(ISERROR(VLOOKUP(H:H,produtos_escape2!$A$2:$B$2794,2,FALSE)),"Código não cadastrado",(VLOOKUP(H:H,produtos_escape2!$A$2:$B$2794,2,FALSE))))</f>
        <v>BACIA EM AÇO INOXIDÁVEL, Aplicação: recipientes de liquidos em geral, capacidade  de 3100 ml, medindo aproximadamente 32 cm de diâmetro, borda de 07 cm de altura;Material: Aço inoxidável AISI Características adicionais: A peça deverá apresentar um bom acabamento superficial e ser adequada ao trabalho a que se destina. O material deverá ter tratamento térmico integral, a fim de atingir a dureza e a flexibilidade adequada a um perfeito desempenho.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individual,Processo de esterilização:Não estéril, Forma de apresentação:  Unidade, Prazo de validade:   IndeterminadoV.</v>
      </c>
      <c r="M1297" s="593" t="str">
        <f>IF(H:H=0,"",IF(ISERROR(VLOOKUP(H:H,produtos_escape2!$A$2:$D$2794,2,FALSE)),"Código não cadastrado",(VLOOKUP(H:H,produtos_escape2!$A$2:$D$2794,4,FALSE))))</f>
        <v>UN</v>
      </c>
      <c r="N1297" s="486">
        <v>40</v>
      </c>
      <c r="O1297" s="176" t="s">
        <v>8240</v>
      </c>
      <c r="P1297" s="486">
        <v>40</v>
      </c>
      <c r="Q1297" s="247">
        <v>29.2</v>
      </c>
      <c r="R1297" s="246">
        <f t="shared" si="51"/>
        <v>1168</v>
      </c>
      <c r="S1297" s="177">
        <v>44181</v>
      </c>
      <c r="T1297" s="182"/>
      <c r="U1297" s="177"/>
      <c r="V1297" s="177"/>
      <c r="W1297" s="177"/>
      <c r="X1297" s="176"/>
      <c r="Y1297" s="177"/>
      <c r="Z1297" s="415">
        <v>6</v>
      </c>
      <c r="AA1297" s="488" t="s">
        <v>10697</v>
      </c>
      <c r="AB1297" s="594"/>
      <c r="AC1297" s="595"/>
      <c r="AD1297" s="596" t="str">
        <f>IF(AND(AC1297&lt;&gt;"",S1297&lt;&gt;""),NETWORKDAYS(AC1297,S1297,#REF!),"")</f>
        <v/>
      </c>
      <c r="AE1297" s="596" t="str">
        <f ca="1">IF(AND(AD1297="",AC1297=""),"",IF(OR(AD1297&lt;&gt;"",O1297="*CANCELADO"),"",NETWORKDAYS(AC1297,TODAY(),#REF!)))</f>
        <v/>
      </c>
      <c r="AF1297" s="597" t="str">
        <f>IFERROR(INDEX(produtos_escape2!M:M,MATCH(Controle!H1297,produtos_escape2!A:A,0)),"")</f>
        <v>BACIA EM AÇO INOXIDÁVEL</v>
      </c>
    </row>
    <row r="1298" spans="1:32" ht="14.25" customHeight="1">
      <c r="A1298" s="176" t="s">
        <v>9663</v>
      </c>
      <c r="B1298" s="176" t="s">
        <v>3608</v>
      </c>
      <c r="C1298" s="177">
        <v>44166</v>
      </c>
      <c r="D1298" s="176" t="s">
        <v>10498</v>
      </c>
      <c r="E1298" s="176" t="s">
        <v>3009</v>
      </c>
      <c r="F1298" s="259" t="s">
        <v>10499</v>
      </c>
      <c r="G1298" s="176">
        <v>1</v>
      </c>
      <c r="H1298" s="178">
        <v>95579</v>
      </c>
      <c r="I1298" s="592">
        <f t="shared" si="54"/>
        <v>1</v>
      </c>
      <c r="J1298" s="178" t="s">
        <v>816</v>
      </c>
      <c r="K1298" s="178" t="s">
        <v>816</v>
      </c>
      <c r="L1298" s="275" t="str">
        <f>IF(H:H=0,"",IF(ISERROR(VLOOKUP(H:H,produtos_escape2!$A$2:$B$2794,2,FALSE)),"Código não cadastrado",(VLOOKUP(H:H,produtos_escape2!$A$2:$B$2794,2,FALSE))))</f>
        <v>SWAB DESCARTAVEL COM MEIO DE STUART</v>
      </c>
      <c r="M1298" s="593" t="str">
        <f>IF(H:H=0,"",IF(ISERROR(VLOOKUP(H:H,produtos_escape2!$A$2:$D$2794,2,FALSE)),"Código não cadastrado",(VLOOKUP(H:H,produtos_escape2!$A$2:$D$2794,4,FALSE))))</f>
        <v>UN</v>
      </c>
      <c r="N1298" s="486">
        <v>500</v>
      </c>
      <c r="O1298" s="176" t="s">
        <v>7540</v>
      </c>
      <c r="P1298" s="486">
        <v>300</v>
      </c>
      <c r="Q1298" s="247">
        <v>5.36</v>
      </c>
      <c r="R1298" s="246">
        <f t="shared" si="51"/>
        <v>1608</v>
      </c>
      <c r="S1298" s="177">
        <v>44175</v>
      </c>
      <c r="T1298" s="182">
        <v>865</v>
      </c>
      <c r="U1298" s="177">
        <v>44181</v>
      </c>
      <c r="V1298" s="177">
        <v>44183</v>
      </c>
      <c r="W1298" s="177">
        <v>44186</v>
      </c>
      <c r="X1298" s="176" t="s">
        <v>10674</v>
      </c>
      <c r="Y1298" s="177"/>
      <c r="Z1298" s="415">
        <v>6</v>
      </c>
      <c r="AA1298" s="488" t="s">
        <v>10698</v>
      </c>
      <c r="AB1298" s="594"/>
      <c r="AC1298" s="595"/>
      <c r="AD1298" s="596" t="str">
        <f>IF(AND(AC1298&lt;&gt;"",S1298&lt;&gt;""),NETWORKDAYS(AC1298,S1298,#REF!),"")</f>
        <v/>
      </c>
      <c r="AE1298" s="596" t="str">
        <f ca="1">IF(AND(AD1298="",AC1298=""),"",IF(OR(AD1298&lt;&gt;"",O1298="*CANCELADO"),"",NETWORKDAYS(AC1298,TODAY(),#REF!)))</f>
        <v/>
      </c>
      <c r="AF1298" s="597" t="str">
        <f>IFERROR(INDEX(produtos_escape2!M:M,MATCH(Controle!H1298,produtos_escape2!A:A,0)),"")</f>
        <v>SWAB DESCARTAVEL COM MEIO DE STUART</v>
      </c>
    </row>
    <row r="1299" spans="1:32" ht="14.25" customHeight="1">
      <c r="A1299" s="176" t="s">
        <v>9674</v>
      </c>
      <c r="B1299" s="176" t="s">
        <v>3608</v>
      </c>
      <c r="C1299" s="177">
        <v>44166</v>
      </c>
      <c r="D1299" s="176" t="s">
        <v>10500</v>
      </c>
      <c r="E1299" s="176" t="s">
        <v>3009</v>
      </c>
      <c r="F1299" s="259" t="s">
        <v>10501</v>
      </c>
      <c r="G1299" s="176">
        <v>1</v>
      </c>
      <c r="H1299" s="178">
        <v>92556</v>
      </c>
      <c r="I1299" s="592">
        <f t="shared" si="54"/>
        <v>2</v>
      </c>
      <c r="J1299" s="178" t="s">
        <v>816</v>
      </c>
      <c r="K1299" s="178" t="s">
        <v>816</v>
      </c>
      <c r="L1299" s="275" t="str">
        <f>IF(H:H=0,"",IF(ISERROR(VLOOKUP(H:H,produtos_escape2!$A$2:$B$2794,2,FALSE)),"Código não cadastrado",(VLOOKUP(H:H,produtos_escape2!$A$2:$B$2794,2,FALSE))))</f>
        <v>FIO DE KIRSCHNER 2,0 X 300MM. Material aço inoxidável, comprimento 300mm, diâmetro 2,0mm. Autoclavável</v>
      </c>
      <c r="M1299" s="593" t="str">
        <f>IF(H:H=0,"",IF(ISERROR(VLOOKUP(H:H,produtos_escape2!$A$2:$D$2794,2,FALSE)),"Código não cadastrado",(VLOOKUP(H:H,produtos_escape2!$A$2:$D$2794,4,FALSE))))</f>
        <v>UN</v>
      </c>
      <c r="N1299" s="486">
        <v>100</v>
      </c>
      <c r="O1299" s="176" t="s">
        <v>1868</v>
      </c>
      <c r="P1299" s="486"/>
      <c r="Q1299" s="247"/>
      <c r="R1299" s="246">
        <f t="shared" si="51"/>
        <v>0</v>
      </c>
      <c r="S1299" s="177"/>
      <c r="T1299" s="182"/>
      <c r="U1299" s="177"/>
      <c r="V1299" s="177"/>
      <c r="W1299" s="177"/>
      <c r="X1299" s="176"/>
      <c r="Y1299" s="177"/>
      <c r="Z1299" s="415">
        <v>6</v>
      </c>
      <c r="AA1299" s="488" t="s">
        <v>10625</v>
      </c>
      <c r="AB1299" s="594"/>
      <c r="AC1299" s="595"/>
      <c r="AD1299" s="596" t="str">
        <f>IF(AND(AC1299&lt;&gt;"",S1299&lt;&gt;""),NETWORKDAYS(AC1299,S1299,#REF!),"")</f>
        <v/>
      </c>
      <c r="AE1299" s="596" t="str">
        <f ca="1">IF(AND(AD1299="",AC1299=""),"",IF(OR(AD1299&lt;&gt;"",O1299="*CANCELADO"),"",NETWORKDAYS(AC1299,TODAY(),#REF!)))</f>
        <v/>
      </c>
      <c r="AF1299" s="597" t="str">
        <f>IFERROR(INDEX(produtos_escape2!M:M,MATCH(Controle!H1299,produtos_escape2!A:A,0)),"")</f>
        <v>FIO DE KIRSCHNER 2</v>
      </c>
    </row>
    <row r="1300" spans="1:32" ht="14.25" customHeight="1">
      <c r="A1300" s="176" t="s">
        <v>9676</v>
      </c>
      <c r="B1300" s="176" t="s">
        <v>3608</v>
      </c>
      <c r="C1300" s="177">
        <v>44166</v>
      </c>
      <c r="D1300" s="176" t="s">
        <v>10502</v>
      </c>
      <c r="E1300" s="176" t="s">
        <v>3009</v>
      </c>
      <c r="F1300" s="259" t="s">
        <v>10503</v>
      </c>
      <c r="G1300" s="176">
        <v>1</v>
      </c>
      <c r="H1300" s="178">
        <v>90338</v>
      </c>
      <c r="I1300" s="592">
        <f t="shared" si="54"/>
        <v>1</v>
      </c>
      <c r="J1300" s="178" t="s">
        <v>816</v>
      </c>
      <c r="K1300" s="178" t="s">
        <v>816</v>
      </c>
      <c r="L1300" s="275" t="str">
        <f>IF(H:H=0,"",IF(ISERROR(VLOOKUP(H:H,produtos_escape2!$A$2:$B$2794,2,FALSE)),"Código não cadastrado",(VLOOKUP(H:H,produtos_escape2!$A$2:$B$2794,2,FALSE))))</f>
        <v>LEVOMEPROMAZINA SOLUCAO ORAL 4 % FRASCO 20 ML</v>
      </c>
      <c r="M1300" s="593" t="str">
        <f>IF(H:H=0,"",IF(ISERROR(VLOOKUP(H:H,produtos_escape2!$A$2:$D$2794,2,FALSE)),"Código não cadastrado",(VLOOKUP(H:H,produtos_escape2!$A$2:$D$2794,4,FALSE))))</f>
        <v>CP</v>
      </c>
      <c r="N1300" s="486">
        <v>10</v>
      </c>
      <c r="O1300" s="176" t="s">
        <v>4401</v>
      </c>
      <c r="P1300" s="486">
        <v>10</v>
      </c>
      <c r="Q1300" s="247">
        <v>8.98</v>
      </c>
      <c r="R1300" s="246">
        <f t="shared" si="51"/>
        <v>89.800000000000011</v>
      </c>
      <c r="S1300" s="177">
        <v>44175</v>
      </c>
      <c r="T1300" s="182">
        <v>2824524</v>
      </c>
      <c r="U1300" s="177">
        <v>44179</v>
      </c>
      <c r="V1300" s="177">
        <v>44177</v>
      </c>
      <c r="W1300" s="177">
        <v>44182</v>
      </c>
      <c r="X1300" s="176" t="s">
        <v>10674</v>
      </c>
      <c r="Y1300" s="177"/>
      <c r="Z1300" s="415">
        <v>6</v>
      </c>
      <c r="AA1300" s="488" t="s">
        <v>10690</v>
      </c>
      <c r="AB1300" s="594"/>
      <c r="AC1300" s="595"/>
      <c r="AD1300" s="596" t="str">
        <f>IF(AND(AC1300&lt;&gt;"",S1300&lt;&gt;""),NETWORKDAYS(AC1300,S1300,#REF!),"")</f>
        <v/>
      </c>
      <c r="AE1300" s="596" t="str">
        <f ca="1">IF(AND(AD1300="",AC1300=""),"",IF(OR(AD1300&lt;&gt;"",O1300="*CANCELADO"),"",NETWORKDAYS(AC1300,TODAY(),#REF!)))</f>
        <v/>
      </c>
      <c r="AF1300" s="597" t="str">
        <f>IFERROR(INDEX(produtos_escape2!M:M,MATCH(Controle!H1300,produtos_escape2!A:A,0)),"")</f>
        <v>LEVOMEPROMAZINA SOLUÇÃO</v>
      </c>
    </row>
    <row r="1301" spans="1:32" ht="14.25" customHeight="1">
      <c r="A1301" s="176" t="s">
        <v>8254</v>
      </c>
      <c r="B1301" s="176" t="s">
        <v>7207</v>
      </c>
      <c r="C1301" s="177">
        <v>44166</v>
      </c>
      <c r="D1301" s="176" t="s">
        <v>10506</v>
      </c>
      <c r="E1301" s="176" t="s">
        <v>3009</v>
      </c>
      <c r="F1301" s="259" t="s">
        <v>10507</v>
      </c>
      <c r="G1301" s="176">
        <v>1</v>
      </c>
      <c r="H1301" s="178">
        <v>562</v>
      </c>
      <c r="I1301" s="592">
        <f t="shared" si="54"/>
        <v>3</v>
      </c>
      <c r="J1301" s="178" t="s">
        <v>816</v>
      </c>
      <c r="K1301" s="178" t="s">
        <v>816</v>
      </c>
      <c r="L1301" s="275" t="str">
        <f>IF(H:H=0,"",IF(ISERROR(VLOOKUP(H:H,produtos_escape2!$A$2:$B$2794,2,FALSE)),"Código não cadastrado",(VLOOKUP(H:H,produtos_escape2!$A$2:$B$2794,2,FALSE))))</f>
        <v>DETERGENTE,Composição: ph neutro,glicerinado, Aspecto Físico: líquido, Aplicação: para pia, Características  Adicionais: Altamente Concentrado Biodegradável,ausência de    eletrolitos espessantes,Unidade De Fornecimento: frasco com 500 ml</v>
      </c>
      <c r="M1301" s="593" t="str">
        <f>IF(H:H=0,"",IF(ISERROR(VLOOKUP(H:H,produtos_escape2!$A$2:$D$2794,2,FALSE)),"Código não cadastrado",(VLOOKUP(H:H,produtos_escape2!$A$2:$D$2794,4,FALSE))))</f>
        <v>FR</v>
      </c>
      <c r="N1301" s="486">
        <v>2000</v>
      </c>
      <c r="O1301" s="176" t="s">
        <v>4465</v>
      </c>
      <c r="P1301" s="486">
        <v>2000</v>
      </c>
      <c r="Q1301" s="247">
        <v>1.35</v>
      </c>
      <c r="R1301" s="246">
        <f t="shared" si="51"/>
        <v>2700</v>
      </c>
      <c r="S1301" s="177">
        <v>44179</v>
      </c>
      <c r="T1301" s="182">
        <v>605</v>
      </c>
      <c r="U1301" s="177">
        <v>44182</v>
      </c>
      <c r="V1301" s="177">
        <v>44187</v>
      </c>
      <c r="W1301" s="177">
        <v>44187</v>
      </c>
      <c r="X1301" s="176" t="s">
        <v>10674</v>
      </c>
      <c r="Y1301" s="177"/>
      <c r="Z1301" s="415">
        <v>6</v>
      </c>
      <c r="AA1301" s="488" t="s">
        <v>10699</v>
      </c>
      <c r="AB1301" s="594"/>
      <c r="AC1301" s="595"/>
      <c r="AD1301" s="596" t="str">
        <f>IF(AND(AC1301&lt;&gt;"",S1301&lt;&gt;""),NETWORKDAYS(AC1301,S1301,#REF!),"")</f>
        <v/>
      </c>
      <c r="AE1301" s="596" t="str">
        <f ca="1">IF(AND(AD1301="",AC1301=""),"",IF(OR(AD1301&lt;&gt;"",O1301="*CANCELADO"),"",NETWORKDAYS(AC1301,TODAY(),#REF!)))</f>
        <v/>
      </c>
      <c r="AF1301" s="597" t="str">
        <f>IFERROR(INDEX(produtos_escape2!M:M,MATCH(Controle!H1301,produtos_escape2!A:A,0)),"")</f>
        <v>DETERGENTE</v>
      </c>
    </row>
    <row r="1302" spans="1:32" ht="14.25" customHeight="1">
      <c r="A1302" s="176" t="s">
        <v>8256</v>
      </c>
      <c r="B1302" s="176" t="s">
        <v>7207</v>
      </c>
      <c r="C1302" s="177">
        <v>44166</v>
      </c>
      <c r="D1302" s="176" t="s">
        <v>10508</v>
      </c>
      <c r="E1302" s="176" t="s">
        <v>3009</v>
      </c>
      <c r="F1302" s="259" t="s">
        <v>10509</v>
      </c>
      <c r="G1302" s="176">
        <v>1</v>
      </c>
      <c r="H1302" s="178">
        <v>27604</v>
      </c>
      <c r="I1302" s="592">
        <f t="shared" si="54"/>
        <v>3</v>
      </c>
      <c r="J1302" s="178" t="s">
        <v>816</v>
      </c>
      <c r="K1302" s="178" t="s">
        <v>816</v>
      </c>
      <c r="L1302" s="275" t="str">
        <f>IF(H:H=0,"",IF(ISERROR(VLOOKUP(H:H,produtos_escape2!$A$2:$B$2794,2,FALSE)),"Código não cadastrado",(VLOOKUP(H:H,produtos_escape2!$A$2:$B$2794,2,FALSE))))</f>
        <v xml:space="preserve">CORTINA HOSPITALAR: Cortina divisória hospitalar sem emendas, confeccionada em tecido Trevira 100% poliéster, com retardante de chamas para uso profissional. Possui tratamento de superfície com exclusivo processo bacteriostático que inibe o desenvolvimento de bactérias e fungos com altura de 1,75m sem emendas mais tela superior branca de 0,30m a 1m para adequação da distância do piso ao teto. Em nylon 100% com trama (interna) de 13x7mm com bordas de reforço superior e inferior, com ilhoses de latão cromado de 21mm, colocação a cada 0,15m. </v>
      </c>
      <c r="M1302" s="593" t="str">
        <f>IF(H:H=0,"",IF(ISERROR(VLOOKUP(H:H,produtos_escape2!$A$2:$D$2794,2,FALSE)),"Código não cadastrado",(VLOOKUP(H:H,produtos_escape2!$A$2:$D$2794,4,FALSE))))</f>
        <v>UN</v>
      </c>
      <c r="N1302" s="486">
        <v>97</v>
      </c>
      <c r="O1302" s="176" t="s">
        <v>1868</v>
      </c>
      <c r="P1302" s="486">
        <v>0</v>
      </c>
      <c r="Q1302" s="247">
        <v>178.75</v>
      </c>
      <c r="R1302" s="246">
        <f t="shared" si="51"/>
        <v>0</v>
      </c>
      <c r="S1302" s="177"/>
      <c r="T1302" s="182"/>
      <c r="U1302" s="177"/>
      <c r="V1302" s="177"/>
      <c r="W1302" s="177"/>
      <c r="X1302" s="176"/>
      <c r="Y1302" s="177"/>
      <c r="Z1302" s="415">
        <v>6</v>
      </c>
      <c r="AA1302" s="488" t="s">
        <v>10624</v>
      </c>
      <c r="AB1302" s="594"/>
      <c r="AC1302" s="595"/>
      <c r="AD1302" s="596" t="str">
        <f>IF(AND(AC1302&lt;&gt;"",S1302&lt;&gt;""),NETWORKDAYS(AC1302,S1302,#REF!),"")</f>
        <v/>
      </c>
      <c r="AE1302" s="596" t="str">
        <f ca="1">IF(AND(AD1302="",AC1302=""),"",IF(OR(AD1302&lt;&gt;"",O1302="*CANCELADO"),"",NETWORKDAYS(AC1302,TODAY(),#REF!)))</f>
        <v/>
      </c>
      <c r="AF1302" s="597" t="str">
        <f>IFERROR(INDEX(produtos_escape2!M:M,MATCH(Controle!H1302,produtos_escape2!A:A,0)),"")</f>
        <v>CORTINA HOSPITALAR</v>
      </c>
    </row>
    <row r="1303" spans="1:32" ht="14.25" customHeight="1">
      <c r="A1303" s="176" t="s">
        <v>9682</v>
      </c>
      <c r="B1303" s="176" t="s">
        <v>3608</v>
      </c>
      <c r="C1303" s="177">
        <v>44166</v>
      </c>
      <c r="D1303" s="176" t="s">
        <v>10512</v>
      </c>
      <c r="E1303" s="176" t="s">
        <v>3009</v>
      </c>
      <c r="F1303" s="259" t="s">
        <v>10513</v>
      </c>
      <c r="G1303" s="176">
        <v>1</v>
      </c>
      <c r="H1303" s="178">
        <v>11087</v>
      </c>
      <c r="I1303" s="592">
        <f t="shared" si="54"/>
        <v>3</v>
      </c>
      <c r="J1303" s="178" t="s">
        <v>816</v>
      </c>
      <c r="K1303" s="178" t="s">
        <v>816</v>
      </c>
      <c r="L1303" s="275" t="str">
        <f>IF(H:H=0,"",IF(ISERROR(VLOOKUP(H:H,produtos_escape2!$A$2:$B$2794,2,FALSE)),"Código não cadastrado",(VLOOKUP(H:H,produtos_escape2!$A$2:$B$2794,2,FALSE))))</f>
        <v>IBUPROFENO COMPRIMIDO 600 MG</v>
      </c>
      <c r="M1303" s="593" t="str">
        <f>IF(H:H=0,"",IF(ISERROR(VLOOKUP(H:H,produtos_escape2!$A$2:$D$2794,2,FALSE)),"Código não cadastrado",(VLOOKUP(H:H,produtos_escape2!$A$2:$D$2794,4,FALSE))))</f>
        <v>UN</v>
      </c>
      <c r="N1303" s="486">
        <v>5000</v>
      </c>
      <c r="O1303" s="176" t="s">
        <v>10075</v>
      </c>
      <c r="P1303" s="486">
        <v>3000</v>
      </c>
      <c r="Q1303" s="247">
        <v>0.22</v>
      </c>
      <c r="R1303" s="246">
        <f t="shared" si="51"/>
        <v>660</v>
      </c>
      <c r="S1303" s="177">
        <v>44175</v>
      </c>
      <c r="T1303" s="182">
        <v>10355</v>
      </c>
      <c r="U1303" s="177">
        <v>44179</v>
      </c>
      <c r="V1303" s="177">
        <v>44180</v>
      </c>
      <c r="W1303" s="177">
        <v>44182</v>
      </c>
      <c r="X1303" s="176" t="s">
        <v>10674</v>
      </c>
      <c r="Y1303" s="177"/>
      <c r="Z1303" s="415">
        <v>6</v>
      </c>
      <c r="AA1303" s="488" t="s">
        <v>10700</v>
      </c>
      <c r="AB1303" s="594"/>
      <c r="AC1303" s="595"/>
      <c r="AD1303" s="596" t="str">
        <f>IF(AND(AC1303&lt;&gt;"",S1303&lt;&gt;""),NETWORKDAYS(AC1303,S1303,#REF!),"")</f>
        <v/>
      </c>
      <c r="AE1303" s="596" t="str">
        <f ca="1">IF(AND(AD1303="",AC1303=""),"",IF(OR(AD1303&lt;&gt;"",O1303="*CANCELADO"),"",NETWORKDAYS(AC1303,TODAY(),#REF!)))</f>
        <v/>
      </c>
      <c r="AF1303" s="597" t="str">
        <f>IFERROR(INDEX(produtos_escape2!M:M,MATCH(Controle!H1303,produtos_escape2!A:A,0)),"")</f>
        <v>IBUPROFENO COMPRIMIDO 600 MG</v>
      </c>
    </row>
    <row r="1304" spans="1:32" ht="14.25" customHeight="1">
      <c r="A1304" s="176" t="s">
        <v>9680</v>
      </c>
      <c r="B1304" s="176" t="s">
        <v>3608</v>
      </c>
      <c r="C1304" s="177">
        <v>44166</v>
      </c>
      <c r="D1304" s="176" t="s">
        <v>10514</v>
      </c>
      <c r="E1304" s="176" t="s">
        <v>3009</v>
      </c>
      <c r="F1304" s="259" t="s">
        <v>10515</v>
      </c>
      <c r="G1304" s="176">
        <v>1</v>
      </c>
      <c r="H1304" s="178">
        <v>90426</v>
      </c>
      <c r="I1304" s="592">
        <f t="shared" si="54"/>
        <v>3</v>
      </c>
      <c r="J1304" s="178" t="s">
        <v>816</v>
      </c>
      <c r="K1304" s="178" t="s">
        <v>816</v>
      </c>
      <c r="L1304" s="275" t="str">
        <f>IF(H:H=0,"",IF(ISERROR(VLOOKUP(H:H,produtos_escape2!$A$2:$B$2794,2,FALSE)),"Código não cadastrado",(VLOOKUP(H:H,produtos_escape2!$A$2:$B$2794,2,FALSE))))</f>
        <v>ENOXAPARINA SODICA SOLUCAO INJETAVEL 60 MG SERINGA PREENCHIDA 0,6 ML</v>
      </c>
      <c r="M1304" s="593" t="str">
        <f>IF(H:H=0,"",IF(ISERROR(VLOOKUP(H:H,produtos_escape2!$A$2:$D$2794,2,FALSE)),"Código não cadastrado",(VLOOKUP(H:H,produtos_escape2!$A$2:$D$2794,4,FALSE))))</f>
        <v>UN</v>
      </c>
      <c r="N1304" s="486">
        <v>300</v>
      </c>
      <c r="O1304" s="176" t="s">
        <v>7896</v>
      </c>
      <c r="P1304" s="486">
        <v>300</v>
      </c>
      <c r="Q1304" s="247">
        <v>27.82</v>
      </c>
      <c r="R1304" s="246">
        <f t="shared" si="51"/>
        <v>8346</v>
      </c>
      <c r="S1304" s="177">
        <v>44175</v>
      </c>
      <c r="T1304" s="182">
        <v>48315</v>
      </c>
      <c r="U1304" s="177">
        <v>44176</v>
      </c>
      <c r="V1304" s="177">
        <v>44177</v>
      </c>
      <c r="W1304" s="177">
        <v>44182</v>
      </c>
      <c r="X1304" s="176" t="s">
        <v>10674</v>
      </c>
      <c r="Y1304" s="177"/>
      <c r="Z1304" s="415">
        <v>6</v>
      </c>
      <c r="AA1304" s="488" t="s">
        <v>10701</v>
      </c>
      <c r="AB1304" s="594"/>
      <c r="AC1304" s="595"/>
      <c r="AD1304" s="596" t="str">
        <f>IF(AND(AC1304&lt;&gt;"",S1304&lt;&gt;""),NETWORKDAYS(AC1304,S1304,#REF!),"")</f>
        <v/>
      </c>
      <c r="AE1304" s="596" t="str">
        <f ca="1">IF(AND(AD1304="",AC1304=""),"",IF(OR(AD1304&lt;&gt;"",O1304="*CANCELADO"),"",NETWORKDAYS(AC1304,TODAY(),#REF!)))</f>
        <v/>
      </c>
      <c r="AF1304" s="597" t="str">
        <f>IFERROR(INDEX(produtos_escape2!M:M,MATCH(Controle!H1304,produtos_escape2!A:A,0)),"")</f>
        <v>ENOXAPARINA SODICA SOLUCAO INJETAVEL 60 MG SERINGA PREENCHIDA 0</v>
      </c>
    </row>
    <row r="1305" spans="1:32" ht="14.25" customHeight="1">
      <c r="A1305" s="176" t="s">
        <v>9678</v>
      </c>
      <c r="B1305" s="176" t="s">
        <v>3608</v>
      </c>
      <c r="C1305" s="177">
        <v>44166</v>
      </c>
      <c r="D1305" s="176" t="s">
        <v>10516</v>
      </c>
      <c r="E1305" s="176" t="s">
        <v>3009</v>
      </c>
      <c r="F1305" s="259" t="s">
        <v>10517</v>
      </c>
      <c r="G1305" s="176">
        <v>1</v>
      </c>
      <c r="H1305" s="178">
        <v>90261</v>
      </c>
      <c r="I1305" s="592">
        <f t="shared" si="54"/>
        <v>5</v>
      </c>
      <c r="J1305" s="178" t="s">
        <v>816</v>
      </c>
      <c r="K1305" s="178" t="s">
        <v>816</v>
      </c>
      <c r="L1305" s="275" t="str">
        <f>IF(H:H=0,"",IF(ISERROR(VLOOKUP(H:H,produtos_escape2!$A$2:$B$2794,2,FALSE)),"Código não cadastrado",(VLOOKUP(H:H,produtos_escape2!$A$2:$B$2794,2,FALSE))))</f>
        <v>DOPAMINA (CLORIDRATO) SOLUCAO INJETAVEL 5 MG/ML AMPOLA 10 ML</v>
      </c>
      <c r="M1305" s="593" t="str">
        <f>IF(H:H=0,"",IF(ISERROR(VLOOKUP(H:H,produtos_escape2!$A$2:$D$2794,2,FALSE)),"Código não cadastrado",(VLOOKUP(H:H,produtos_escape2!$A$2:$D$2794,4,FALSE))))</f>
        <v>AMP</v>
      </c>
      <c r="N1305" s="486">
        <v>200</v>
      </c>
      <c r="O1305" s="176" t="s">
        <v>4401</v>
      </c>
      <c r="P1305" s="486">
        <v>200</v>
      </c>
      <c r="Q1305" s="247">
        <v>2.39</v>
      </c>
      <c r="R1305" s="246">
        <f t="shared" si="51"/>
        <v>478</v>
      </c>
      <c r="S1305" s="177">
        <v>44175</v>
      </c>
      <c r="T1305" s="182">
        <v>2825066</v>
      </c>
      <c r="U1305" s="177">
        <v>44179</v>
      </c>
      <c r="V1305" s="177">
        <v>44180</v>
      </c>
      <c r="W1305" s="177">
        <v>44186</v>
      </c>
      <c r="X1305" s="176" t="s">
        <v>10674</v>
      </c>
      <c r="Y1305" s="177"/>
      <c r="Z1305" s="415">
        <v>6</v>
      </c>
      <c r="AA1305" s="488" t="s">
        <v>10689</v>
      </c>
      <c r="AB1305" s="594"/>
      <c r="AC1305" s="595"/>
      <c r="AD1305" s="596" t="str">
        <f>IF(AND(AC1305&lt;&gt;"",S1305&lt;&gt;""),NETWORKDAYS(AC1305,S1305,#REF!),"")</f>
        <v/>
      </c>
      <c r="AE1305" s="596" t="str">
        <f ca="1">IF(AND(AD1305="",AC1305=""),"",IF(OR(AD1305&lt;&gt;"",O1305="*CANCELADO"),"",NETWORKDAYS(AC1305,TODAY(),#REF!)))</f>
        <v/>
      </c>
      <c r="AF1305" s="597" t="str">
        <f>IFERROR(INDEX(produtos_escape2!M:M,MATCH(Controle!H1305,produtos_escape2!A:A,0)),"")</f>
        <v>DOPAMINA (CLORIDRATO) SOLUCAO INJETAVEL 5 MG/ML AMPOLA 10 ML</v>
      </c>
    </row>
    <row r="1306" spans="1:32" ht="14.25" customHeight="1">
      <c r="A1306" s="176" t="s">
        <v>9677</v>
      </c>
      <c r="B1306" s="176" t="s">
        <v>3608</v>
      </c>
      <c r="C1306" s="177">
        <v>44166</v>
      </c>
      <c r="D1306" s="176" t="s">
        <v>10518</v>
      </c>
      <c r="E1306" s="176" t="s">
        <v>3009</v>
      </c>
      <c r="F1306" s="259" t="s">
        <v>10519</v>
      </c>
      <c r="G1306" s="176">
        <v>1</v>
      </c>
      <c r="H1306" s="178">
        <v>90550</v>
      </c>
      <c r="I1306" s="592">
        <f t="shared" si="54"/>
        <v>9</v>
      </c>
      <c r="J1306" s="178" t="s">
        <v>816</v>
      </c>
      <c r="K1306" s="178" t="s">
        <v>816</v>
      </c>
      <c r="L1306" s="275" t="str">
        <f>IF(H:H=0,"",IF(ISERROR(VLOOKUP(H:H,produtos_escape2!$A$2:$B$2794,2,FALSE)),"Código não cadastrado",(VLOOKUP(H:H,produtos_escape2!$A$2:$B$2794,2,FALSE))))</f>
        <v xml:space="preserve">BICARBONATO DE SODIO SOLUCAO INJETAVEL 8,4 % (1 MEQ/ML) AMPOLA 10 ML  </v>
      </c>
      <c r="M1306" s="593" t="str">
        <f>IF(H:H=0,"",IF(ISERROR(VLOOKUP(H:H,produtos_escape2!$A$2:$D$2794,2,FALSE)),"Código não cadastrado",(VLOOKUP(H:H,produtos_escape2!$A$2:$D$2794,4,FALSE))))</f>
        <v>AMP</v>
      </c>
      <c r="N1306" s="486">
        <v>400</v>
      </c>
      <c r="O1306" s="176" t="s">
        <v>7825</v>
      </c>
      <c r="P1306" s="486">
        <v>400</v>
      </c>
      <c r="Q1306" s="247">
        <v>0.7</v>
      </c>
      <c r="R1306" s="246">
        <f t="shared" si="51"/>
        <v>280</v>
      </c>
      <c r="S1306" s="177">
        <v>44175</v>
      </c>
      <c r="T1306" s="182"/>
      <c r="U1306" s="177"/>
      <c r="V1306" s="177"/>
      <c r="W1306" s="177"/>
      <c r="X1306" s="176"/>
      <c r="Y1306" s="177"/>
      <c r="Z1306" s="415">
        <v>6</v>
      </c>
      <c r="AA1306" s="488" t="s">
        <v>10689</v>
      </c>
      <c r="AB1306" s="594"/>
      <c r="AC1306" s="595"/>
      <c r="AD1306" s="596" t="str">
        <f>IF(AND(AC1306&lt;&gt;"",S1306&lt;&gt;""),NETWORKDAYS(AC1306,S1306,#REF!),"")</f>
        <v/>
      </c>
      <c r="AE1306" s="596" t="str">
        <f ca="1">IF(AND(AD1306="",AC1306=""),"",IF(OR(AD1306&lt;&gt;"",O1306="*CANCELADO"),"",NETWORKDAYS(AC1306,TODAY(),#REF!)))</f>
        <v/>
      </c>
      <c r="AF1306" s="597" t="str">
        <f>IFERROR(INDEX(produtos_escape2!M:M,MATCH(Controle!H1306,produtos_escape2!A:A,0)),"")</f>
        <v>BICARBONATO DE SODIO</v>
      </c>
    </row>
    <row r="1307" spans="1:32" ht="14.25" customHeight="1">
      <c r="A1307" s="176" t="s">
        <v>9685</v>
      </c>
      <c r="B1307" s="176" t="s">
        <v>3608</v>
      </c>
      <c r="C1307" s="177">
        <v>44169</v>
      </c>
      <c r="D1307" s="176" t="s">
        <v>10521</v>
      </c>
      <c r="E1307" s="176" t="s">
        <v>3009</v>
      </c>
      <c r="F1307" s="259" t="s">
        <v>10522</v>
      </c>
      <c r="G1307" s="176">
        <v>1</v>
      </c>
      <c r="H1307" s="178">
        <v>30284</v>
      </c>
      <c r="I1307" s="592">
        <f t="shared" si="54"/>
        <v>1</v>
      </c>
      <c r="J1307" s="178" t="s">
        <v>816</v>
      </c>
      <c r="K1307" s="178" t="s">
        <v>816</v>
      </c>
      <c r="L1307" s="275" t="str">
        <f>IF(H:H=0,"",IF(ISERROR(VLOOKUP(H:H,produtos_escape2!$A$2:$B$2794,2,FALSE)),"Código não cadastrado",(VLOOKUP(H:H,produtos_escape2!$A$2:$B$2794,2,FALSE))))</f>
        <v>SUGAMADEX SÓDICO SOLUÇÃO INJETÁVEL100 MG/ML FRASCO-AMPOLA 2 ML</v>
      </c>
      <c r="M1307" s="593" t="str">
        <f>IF(H:H=0,"",IF(ISERROR(VLOOKUP(H:H,produtos_escape2!$A$2:$D$2794,2,FALSE)),"Código não cadastrado",(VLOOKUP(H:H,produtos_escape2!$A$2:$D$2794,4,FALSE))))</f>
        <v>FA</v>
      </c>
      <c r="N1307" s="486">
        <v>60</v>
      </c>
      <c r="O1307" s="176" t="s">
        <v>1868</v>
      </c>
      <c r="P1307" s="486"/>
      <c r="Q1307" s="247">
        <v>296.64999999999998</v>
      </c>
      <c r="R1307" s="246">
        <f t="shared" si="51"/>
        <v>0</v>
      </c>
      <c r="S1307" s="177">
        <v>44176</v>
      </c>
      <c r="T1307" s="182"/>
      <c r="U1307" s="177"/>
      <c r="V1307" s="177"/>
      <c r="W1307" s="177"/>
      <c r="X1307" s="176"/>
      <c r="Y1307" s="177"/>
      <c r="Z1307" s="415">
        <v>6</v>
      </c>
      <c r="AA1307" s="488" t="s">
        <v>7318</v>
      </c>
      <c r="AB1307" s="594"/>
      <c r="AC1307" s="595"/>
      <c r="AD1307" s="596" t="str">
        <f>IF(AND(AC1307&lt;&gt;"",S1307&lt;&gt;""),NETWORKDAYS(AC1307,S1307,#REF!),"")</f>
        <v/>
      </c>
      <c r="AE1307" s="596" t="str">
        <f ca="1">IF(AND(AD1307="",AC1307=""),"",IF(OR(AD1307&lt;&gt;"",O1307="*CANCELADO"),"",NETWORKDAYS(AC1307,TODAY(),#REF!)))</f>
        <v/>
      </c>
      <c r="AF1307" s="597" t="str">
        <f>IFERROR(INDEX(produtos_escape2!M:M,MATCH(Controle!H1307,produtos_escape2!A:A,0)),"")</f>
        <v>SUGAMADEX SÓDICO SOLUÇÃO INJETÁVEL100 MG/ML FRASCO-AMPOLA 2 ML</v>
      </c>
    </row>
    <row r="1308" spans="1:32" ht="14.25" customHeight="1">
      <c r="A1308" s="176" t="s">
        <v>8258</v>
      </c>
      <c r="B1308" s="176" t="s">
        <v>7207</v>
      </c>
      <c r="C1308" s="177">
        <v>44172</v>
      </c>
      <c r="D1308" s="176" t="s">
        <v>10523</v>
      </c>
      <c r="E1308" s="176" t="s">
        <v>1866</v>
      </c>
      <c r="F1308" s="259" t="s">
        <v>10524</v>
      </c>
      <c r="G1308" s="176">
        <v>1</v>
      </c>
      <c r="H1308" s="178">
        <v>32783</v>
      </c>
      <c r="I1308" s="592">
        <f t="shared" si="54"/>
        <v>1</v>
      </c>
      <c r="J1308" s="178" t="s">
        <v>816</v>
      </c>
      <c r="K1308" s="178" t="s">
        <v>816</v>
      </c>
      <c r="L1308" s="275" t="str">
        <f>IF(H:H=0,"",IF(ISERROR(VLOOKUP(H:H,produtos_escape2!$A$2:$B$2794,2,FALSE)),"Código não cadastrado",(VLOOKUP(H:H,produtos_escape2!$A$2:$B$2794,2,FALSE))))</f>
        <v>CANETA DE BISTURI ELETROCIRÚRGICA AUTOCLAVAVEL. Aplicação: Cirurgias que necessitam de corte preciso e eletrocoagulação. Material: Deve possuir ranhuras no corpo para manter a firmeza e evitar deslize. Deve ter revestimento isolante e oeletrodo de inox revestido   com material termo resistente. Tamanho/capacidade: Canetamedindo 136 mm variação (+/-)  15 mm e o  eletrodo medindo 74 mm variação (+/-)  3 mm. Característica: As canetas eletrocirúrgicas, devem possuir cabo fixo no corpo da caneta, a cabeça da canetadeve ser removível para possibilitar a  troca  do eletrodo, este deve ser tipo faca, de aço inoxidável e encaixe hexagonal, permitindo um posicionamento, evitando que o mesmo saia de posição durante o uso. Acionamento de corte e coagulaçãopor botões (cores  diferentes) no corpo da caneta. Deve possuir sistema de segurança (isolamento) para evitar que líquidos entrem em contato com os sistemas elétricos.  Cabo de silicone, com três metros de comprimento, conector de três pinos para conexão com todos os tipos de equipamentos de bisturi do mercado. Devem suportar autoclavagem em temperatura de 134ºC.  Processo de Esterilização: Não estéril. Forma de apresentação: Unidade. Prazo de Validade: Indeterminado. Unidade de estoque: Unidade.</v>
      </c>
      <c r="M1308" s="593" t="str">
        <f>IF(H:H=0,"",IF(ISERROR(VLOOKUP(H:H,produtos_escape2!$A$2:$D$2794,2,FALSE)),"Código não cadastrado",(VLOOKUP(H:H,produtos_escape2!$A$2:$D$2794,4,FALSE))))</f>
        <v>UN</v>
      </c>
      <c r="N1308" s="486">
        <v>60</v>
      </c>
      <c r="O1308" s="176" t="s">
        <v>1868</v>
      </c>
      <c r="P1308" s="486"/>
      <c r="Q1308" s="247"/>
      <c r="R1308" s="246">
        <f t="shared" si="51"/>
        <v>0</v>
      </c>
      <c r="S1308" s="177">
        <v>44188</v>
      </c>
      <c r="T1308" s="182"/>
      <c r="U1308" s="177"/>
      <c r="V1308" s="177"/>
      <c r="W1308" s="177"/>
      <c r="X1308" s="176"/>
      <c r="Y1308" s="177"/>
      <c r="Z1308" s="415">
        <v>6</v>
      </c>
      <c r="AA1308" s="488" t="s">
        <v>10679</v>
      </c>
      <c r="AB1308" s="594"/>
      <c r="AC1308" s="595"/>
      <c r="AD1308" s="596" t="str">
        <f>IF(AND(AC1308&lt;&gt;"",S1308&lt;&gt;""),NETWORKDAYS(AC1308,S1308,#REF!),"")</f>
        <v/>
      </c>
      <c r="AE1308" s="596" t="str">
        <f ca="1">IF(AND(AD1308="",AC1308=""),"",IF(OR(AD1308&lt;&gt;"",O1308="*CANCELADO"),"",NETWORKDAYS(AC1308,TODAY(),#REF!)))</f>
        <v/>
      </c>
      <c r="AF1308" s="597" t="str">
        <f>IFERROR(INDEX(produtos_escape2!M:M,MATCH(Controle!H1308,produtos_escape2!A:A,0)),"")</f>
        <v>CANETA DE BISTURI ELETROCIRÚRGICA AUTOCLAVAVEL.</v>
      </c>
    </row>
    <row r="1309" spans="1:32" ht="14.25" customHeight="1">
      <c r="A1309" s="176" t="s">
        <v>9694</v>
      </c>
      <c r="B1309" s="176" t="s">
        <v>3608</v>
      </c>
      <c r="C1309" s="177">
        <v>44172</v>
      </c>
      <c r="D1309" s="176" t="s">
        <v>10527</v>
      </c>
      <c r="E1309" s="176" t="s">
        <v>3009</v>
      </c>
      <c r="F1309" s="259" t="s">
        <v>10528</v>
      </c>
      <c r="G1309" s="176">
        <v>1</v>
      </c>
      <c r="H1309" s="178">
        <v>10960</v>
      </c>
      <c r="I1309" s="592">
        <f t="shared" si="54"/>
        <v>5</v>
      </c>
      <c r="J1309" s="178" t="s">
        <v>816</v>
      </c>
      <c r="K1309" s="178" t="s">
        <v>816</v>
      </c>
      <c r="L1309" s="275" t="str">
        <f>IF(H:H=0,"",IF(ISERROR(VLOOKUP(H:H,produtos_escape2!$A$2:$B$2794,2,FALSE)),"Código não cadastrado",(VLOOKUP(H:H,produtos_escape2!$A$2:$B$2794,2,FALSE))))</f>
        <v>HIPOCLORITO DE SODIO A 1% FRASCO PLASTICO ESCURO 5000 ML</v>
      </c>
      <c r="M1309" s="593" t="str">
        <f>IF(H:H=0,"",IF(ISERROR(VLOOKUP(H:H,produtos_escape2!$A$2:$D$2794,2,FALSE)),"Código não cadastrado",(VLOOKUP(H:H,produtos_escape2!$A$2:$D$2794,4,FALSE))))</f>
        <v>FR</v>
      </c>
      <c r="N1309" s="486">
        <v>100</v>
      </c>
      <c r="O1309" s="176" t="s">
        <v>10075</v>
      </c>
      <c r="P1309" s="486">
        <v>100</v>
      </c>
      <c r="Q1309" s="247">
        <v>8.8800000000000008</v>
      </c>
      <c r="R1309" s="246">
        <f t="shared" si="51"/>
        <v>888.00000000000011</v>
      </c>
      <c r="S1309" s="177">
        <v>44182</v>
      </c>
      <c r="T1309" s="182"/>
      <c r="U1309" s="177"/>
      <c r="V1309" s="177"/>
      <c r="W1309" s="177"/>
      <c r="X1309" s="176"/>
      <c r="Y1309" s="177"/>
      <c r="Z1309" s="415">
        <v>6</v>
      </c>
      <c r="AA1309" s="488" t="s">
        <v>10702</v>
      </c>
      <c r="AB1309" s="594"/>
      <c r="AC1309" s="595"/>
      <c r="AD1309" s="596" t="str">
        <f>IF(AND(AC1309&lt;&gt;"",S1309&lt;&gt;""),NETWORKDAYS(AC1309,S1309,#REF!),"")</f>
        <v/>
      </c>
      <c r="AE1309" s="596" t="str">
        <f ca="1">IF(AND(AD1309="",AC1309=""),"",IF(OR(AD1309&lt;&gt;"",O1309="*CANCELADO"),"",NETWORKDAYS(AC1309,TODAY(),#REF!)))</f>
        <v/>
      </c>
      <c r="AF1309" s="597" t="str">
        <f>IFERROR(INDEX(produtos_escape2!M:M,MATCH(Controle!H1309,produtos_escape2!A:A,0)),"")</f>
        <v>HIPOCLORITO DE SODIO A 1% FRASCO PLASTICO ESCURO 5000 ML</v>
      </c>
    </row>
    <row r="1310" spans="1:32" ht="14.25" customHeight="1">
      <c r="A1310" s="176" t="s">
        <v>9689</v>
      </c>
      <c r="B1310" s="176" t="s">
        <v>3608</v>
      </c>
      <c r="C1310" s="177">
        <v>44172</v>
      </c>
      <c r="D1310" s="176" t="s">
        <v>10529</v>
      </c>
      <c r="E1310" s="176" t="s">
        <v>3009</v>
      </c>
      <c r="F1310" s="259" t="s">
        <v>10530</v>
      </c>
      <c r="G1310" s="176">
        <v>1</v>
      </c>
      <c r="H1310" s="178">
        <v>91120</v>
      </c>
      <c r="I1310" s="592">
        <f t="shared" si="54"/>
        <v>1</v>
      </c>
      <c r="J1310" s="178" t="s">
        <v>816</v>
      </c>
      <c r="K1310" s="178" t="s">
        <v>816</v>
      </c>
      <c r="L1310" s="275" t="str">
        <f>IF(H:H=0,"",IF(ISERROR(VLOOKUP(H:H,produtos_escape2!$A$2:$B$2794,2,FALSE)),"Código não cadastrado",(VLOOKUP(H:H,produtos_escape2!$A$2:$B$2794,2,FALSE))))</f>
        <v>CURATIVO COM FILME TRANSPARENTE PARA CATETER VASCULAR,Aplicação: cobertura de inserção de cateter vascular, aterial: composto por película transparente, com adesivo hipoalergênico, mpermeável à água e com barreira becteriana, permeável ao oxigênio e ao vapor d`água, Tamanho/Capacidade: 10 x 12 cm (+ ou - 1 cm), Processo De Esterilização: estéril, Forma De Apresentação: embalado ndividualmente, Prazo de validade: 75% do prazo total de validade do produto, Unidade De Estoque: unidade (UM), Código SES: 091120, Unidade De Fornecimento: unidade</v>
      </c>
      <c r="M1310" s="593" t="str">
        <f>IF(H:H=0,"",IF(ISERROR(VLOOKUP(H:H,produtos_escape2!$A$2:$D$2794,2,FALSE)),"Código não cadastrado",(VLOOKUP(H:H,produtos_escape2!$A$2:$D$2794,4,FALSE))))</f>
        <v>UN</v>
      </c>
      <c r="N1310" s="486">
        <v>500</v>
      </c>
      <c r="O1310" s="176" t="s">
        <v>4379</v>
      </c>
      <c r="P1310" s="486">
        <v>500</v>
      </c>
      <c r="Q1310" s="247">
        <v>3.68</v>
      </c>
      <c r="R1310" s="246">
        <f t="shared" si="51"/>
        <v>1840</v>
      </c>
      <c r="S1310" s="177">
        <v>44181</v>
      </c>
      <c r="T1310" s="182">
        <v>17243</v>
      </c>
      <c r="U1310" s="177">
        <v>44182</v>
      </c>
      <c r="V1310" s="177">
        <v>44182</v>
      </c>
      <c r="W1310" s="177">
        <v>44186</v>
      </c>
      <c r="X1310" s="176" t="s">
        <v>10674</v>
      </c>
      <c r="Y1310" s="177"/>
      <c r="Z1310" s="415">
        <v>6</v>
      </c>
      <c r="AA1310" s="488" t="s">
        <v>10695</v>
      </c>
      <c r="AB1310" s="594"/>
      <c r="AC1310" s="595"/>
      <c r="AD1310" s="596" t="str">
        <f>IF(AND(AC1310&lt;&gt;"",S1310&lt;&gt;""),NETWORKDAYS(AC1310,S1310,#REF!),"")</f>
        <v/>
      </c>
      <c r="AE1310" s="596" t="str">
        <f ca="1">IF(AND(AD1310="",AC1310=""),"",IF(OR(AD1310&lt;&gt;"",O1310="*CANCELADO"),"",NETWORKDAYS(AC1310,TODAY(),#REF!)))</f>
        <v/>
      </c>
      <c r="AF1310" s="597" t="str">
        <f>IFERROR(INDEX(produtos_escape2!M:M,MATCH(Controle!H1310,produtos_escape2!A:A,0)),"")</f>
        <v>CURATIVO COM FILME TRANSPARENTE PARA CATETER VASCULAR</v>
      </c>
    </row>
    <row r="1311" spans="1:32" ht="14.25" customHeight="1">
      <c r="A1311" s="176" t="s">
        <v>9696</v>
      </c>
      <c r="B1311" s="176" t="s">
        <v>3608</v>
      </c>
      <c r="C1311" s="177">
        <v>44173</v>
      </c>
      <c r="D1311" s="176" t="s">
        <v>10533</v>
      </c>
      <c r="E1311" s="176" t="s">
        <v>3009</v>
      </c>
      <c r="F1311" s="259" t="s">
        <v>10532</v>
      </c>
      <c r="G1311" s="176">
        <v>1</v>
      </c>
      <c r="H1311" s="178">
        <v>90192</v>
      </c>
      <c r="I1311" s="592">
        <f t="shared" si="54"/>
        <v>3</v>
      </c>
      <c r="J1311" s="178" t="s">
        <v>816</v>
      </c>
      <c r="K1311" s="178" t="s">
        <v>816</v>
      </c>
      <c r="L1311" s="275" t="str">
        <f>IF(H:H=0,"",IF(ISERROR(VLOOKUP(H:H,produtos_escape2!$A$2:$B$2794,2,FALSE)),"Código não cadastrado",(VLOOKUP(H:H,produtos_escape2!$A$2:$B$2794,2,FALSE))))</f>
        <v>MORFINA SOLUCAO INJETAVEL 1 MG/ML AMPOLA 2 ML</v>
      </c>
      <c r="M1311" s="593" t="str">
        <f>IF(H:H=0,"",IF(ISERROR(VLOOKUP(H:H,produtos_escape2!$A$2:$D$2794,2,FALSE)),"Código não cadastrado",(VLOOKUP(H:H,produtos_escape2!$A$2:$D$2794,4,FALSE))))</f>
        <v>AMP</v>
      </c>
      <c r="N1311" s="486">
        <v>50</v>
      </c>
      <c r="O1311" s="176" t="s">
        <v>7371</v>
      </c>
      <c r="P1311" s="486">
        <v>50</v>
      </c>
      <c r="Q1311" s="247">
        <v>5.37</v>
      </c>
      <c r="R1311" s="246">
        <f t="shared" si="51"/>
        <v>268.5</v>
      </c>
      <c r="S1311" s="177">
        <v>44182</v>
      </c>
      <c r="T1311" s="182">
        <v>417377</v>
      </c>
      <c r="U1311" s="177">
        <v>44187</v>
      </c>
      <c r="V1311" s="177">
        <v>44188</v>
      </c>
      <c r="W1311" s="177">
        <v>44188</v>
      </c>
      <c r="X1311" s="176" t="s">
        <v>10674</v>
      </c>
      <c r="Y1311" s="177"/>
      <c r="Z1311" s="415">
        <v>6</v>
      </c>
      <c r="AA1311" s="488" t="s">
        <v>10689</v>
      </c>
      <c r="AB1311" s="594"/>
      <c r="AC1311" s="595"/>
      <c r="AD1311" s="596" t="str">
        <f>IF(AND(AC1311&lt;&gt;"",S1311&lt;&gt;""),NETWORKDAYS(AC1311,S1311,#REF!),"")</f>
        <v/>
      </c>
      <c r="AE1311" s="596" t="str">
        <f ca="1">IF(AND(AD1311="",AC1311=""),"",IF(OR(AD1311&lt;&gt;"",O1311="*CANCELADO"),"",NETWORKDAYS(AC1311,TODAY(),#REF!)))</f>
        <v/>
      </c>
      <c r="AF1311" s="597" t="str">
        <f>IFERROR(INDEX(produtos_escape2!M:M,MATCH(Controle!H1311,produtos_escape2!A:A,0)),"")</f>
        <v>MORFINA SOLUÇÃO INJETAVEL</v>
      </c>
    </row>
    <row r="1312" spans="1:32" ht="14.25" customHeight="1">
      <c r="A1312" s="176" t="s">
        <v>9692</v>
      </c>
      <c r="B1312" s="176" t="s">
        <v>3608</v>
      </c>
      <c r="C1312" s="177">
        <v>44173</v>
      </c>
      <c r="D1312" s="176" t="s">
        <v>10534</v>
      </c>
      <c r="E1312" s="176" t="s">
        <v>3009</v>
      </c>
      <c r="F1312" s="259" t="s">
        <v>10535</v>
      </c>
      <c r="G1312" s="176">
        <v>1</v>
      </c>
      <c r="H1312" s="178">
        <v>91131</v>
      </c>
      <c r="I1312" s="592">
        <f t="shared" si="54"/>
        <v>1</v>
      </c>
      <c r="J1312" s="178" t="s">
        <v>816</v>
      </c>
      <c r="K1312" s="178" t="s">
        <v>816</v>
      </c>
      <c r="L1312" s="275" t="str">
        <f>IF(H:H=0,"",IF(ISERROR(VLOOKUP(H:H,produtos_escape2!$A$2:$B$2794,2,FALSE)),"Código não cadastrado",(VLOOKUP(H:H,produtos_escape2!$A$2:$B$2794,2,FALSE))))</f>
        <v>CURATIVO HIDROCOLÓIDE 15 CM x 15 CM, ESTÉRIL
CURATIVO HIDROCOLÓIDE, Tamanho/Capacidade: 15 x 15 cm, Características Adicionais: camada interna composta por hidrocolóide, que proporcione ambiente úmido facilitando a cicatrização, com camada externa composta por poliuretano, impermeável a líquidos e microrganismos, Processo De Esterilização: estéril, Forma De Apresentação: placas embaladas individualmente, Prazo de validade: 75% do prazo total de validade do produto, Unidade De Estoque: unidade (UN), Código SES: 091131, Unidade De Fornecimento: unidade, Aplicação: manutenção do meio úmido / Estimulação da angiogênese / Não aderência à ferida / Desbridamento autolítico e manutenção de temperatura, Material: composto de hidrocolóides e camada externa de poliuretano.</v>
      </c>
      <c r="M1312" s="593" t="str">
        <f>IF(H:H=0,"",IF(ISERROR(VLOOKUP(H:H,produtos_escape2!$A$2:$D$2794,2,FALSE)),"Código não cadastrado",(VLOOKUP(H:H,produtos_escape2!$A$2:$D$2794,4,FALSE))))</f>
        <v>UN</v>
      </c>
      <c r="N1312" s="486">
        <v>200</v>
      </c>
      <c r="O1312" s="176" t="s">
        <v>7285</v>
      </c>
      <c r="P1312" s="486">
        <v>200</v>
      </c>
      <c r="Q1312" s="247">
        <v>18</v>
      </c>
      <c r="R1312" s="246">
        <f t="shared" si="51"/>
        <v>3600</v>
      </c>
      <c r="S1312" s="177">
        <v>44181</v>
      </c>
      <c r="T1312" s="182">
        <v>57949</v>
      </c>
      <c r="U1312" s="177">
        <v>44183</v>
      </c>
      <c r="V1312" s="177">
        <v>44186</v>
      </c>
      <c r="W1312" s="177">
        <v>44186</v>
      </c>
      <c r="X1312" s="176" t="s">
        <v>10674</v>
      </c>
      <c r="Y1312" s="177"/>
      <c r="Z1312" s="415">
        <v>6</v>
      </c>
      <c r="AA1312" s="488" t="s">
        <v>10695</v>
      </c>
      <c r="AB1312" s="594"/>
      <c r="AC1312" s="595"/>
      <c r="AD1312" s="596" t="str">
        <f>IF(AND(AC1312&lt;&gt;"",S1312&lt;&gt;""),NETWORKDAYS(AC1312,S1312,#REF!),"")</f>
        <v/>
      </c>
      <c r="AE1312" s="596" t="str">
        <f ca="1">IF(AND(AD1312="",AC1312=""),"",IF(OR(AD1312&lt;&gt;"",O1312="*CANCELADO"),"",NETWORKDAYS(AC1312,TODAY(),#REF!)))</f>
        <v/>
      </c>
      <c r="AF1312" s="597" t="str">
        <f>IFERROR(INDEX(produtos_escape2!M:M,MATCH(Controle!H1312,produtos_escape2!A:A,0)),"")</f>
        <v>CURATIVO HIDROCOLÓIDE 15 CM x 15 CM</v>
      </c>
    </row>
    <row r="1313" spans="1:32" ht="14.25" customHeight="1">
      <c r="A1313" s="176" t="s">
        <v>7471</v>
      </c>
      <c r="B1313" s="176" t="s">
        <v>1687</v>
      </c>
      <c r="C1313" s="177">
        <v>44174</v>
      </c>
      <c r="D1313" s="176" t="s">
        <v>10537</v>
      </c>
      <c r="E1313" s="176" t="s">
        <v>3008</v>
      </c>
      <c r="F1313" s="259" t="s">
        <v>10538</v>
      </c>
      <c r="G1313" s="176">
        <v>1</v>
      </c>
      <c r="H1313" s="178" t="s">
        <v>10539</v>
      </c>
      <c r="I1313" s="592">
        <f t="shared" si="54"/>
        <v>2</v>
      </c>
      <c r="J1313" s="178"/>
      <c r="K1313" s="178"/>
      <c r="L1313" s="275" t="str">
        <f>IF(H:H=0,"",IF(ISERROR(VLOOKUP(H:H,produtos_escape2!$A$2:$B$2794,2,FALSE)),"Código não cadastrado",(VLOOKUP(H:H,produtos_escape2!$A$2:$B$2794,2,FALSE))))</f>
        <v>EMENDA PARLAMENTAR DESPESA CAPITAL</v>
      </c>
      <c r="M1313" s="593" t="str">
        <f>IF(H:H=0,"",IF(ISERROR(VLOOKUP(H:H,produtos_escape2!$A$2:$D$2794,2,FALSE)),"Código não cadastrado",(VLOOKUP(H:H,produtos_escape2!$A$2:$D$2794,4,FALSE))))</f>
        <v>Serviço</v>
      </c>
      <c r="N1313" s="486">
        <v>1</v>
      </c>
      <c r="O1313" s="176"/>
      <c r="P1313" s="486"/>
      <c r="Q1313" s="247"/>
      <c r="R1313" s="246">
        <f t="shared" si="51"/>
        <v>0</v>
      </c>
      <c r="S1313" s="177"/>
      <c r="T1313" s="182"/>
      <c r="U1313" s="177"/>
      <c r="V1313" s="177"/>
      <c r="W1313" s="177"/>
      <c r="X1313" s="176"/>
      <c r="Y1313" s="177"/>
      <c r="Z1313" s="415">
        <v>6</v>
      </c>
      <c r="AA1313" s="488" t="s">
        <v>10703</v>
      </c>
      <c r="AB1313" s="594"/>
      <c r="AC1313" s="595"/>
      <c r="AD1313" s="596" t="str">
        <f>IF(AND(AC1313&lt;&gt;"",S1313&lt;&gt;""),NETWORKDAYS(AC1313,S1313,#REF!),"")</f>
        <v/>
      </c>
      <c r="AE1313" s="596" t="str">
        <f ca="1">IF(AND(AD1313="",AC1313=""),"",IF(OR(AD1313&lt;&gt;"",O1313="*CANCELADO"),"",NETWORKDAYS(AC1313,TODAY(),#REF!)))</f>
        <v/>
      </c>
      <c r="AF1313" s="597">
        <f>IFERROR(INDEX(produtos_escape2!M:M,MATCH(Controle!H1313,produtos_escape2!A:A,0)),"")</f>
        <v>0</v>
      </c>
    </row>
    <row r="1314" spans="1:32" ht="14.25" customHeight="1">
      <c r="A1314" s="176" t="s">
        <v>9698</v>
      </c>
      <c r="B1314" s="176" t="s">
        <v>3608</v>
      </c>
      <c r="C1314" s="177">
        <v>44176</v>
      </c>
      <c r="D1314" s="176" t="s">
        <v>10545</v>
      </c>
      <c r="E1314" s="176" t="s">
        <v>3009</v>
      </c>
      <c r="F1314" s="259" t="s">
        <v>10546</v>
      </c>
      <c r="G1314" s="176">
        <v>1</v>
      </c>
      <c r="H1314" s="178">
        <v>90528</v>
      </c>
      <c r="I1314" s="592">
        <f t="shared" si="54"/>
        <v>3</v>
      </c>
      <c r="J1314" s="178" t="s">
        <v>816</v>
      </c>
      <c r="K1314" s="178" t="s">
        <v>816</v>
      </c>
      <c r="L1314" s="275" t="str">
        <f>IF(H:H=0,"",IF(ISERROR(VLOOKUP(H:H,produtos_escape2!$A$2:$B$2794,2,FALSE)),"Código não cadastrado",(VLOOKUP(H:H,produtos_escape2!$A$2:$B$2794,2,FALSE))))</f>
        <v>FITOMENADIONA (VITAMINA K) SOLUÇAO INJETAVEL INTRA-MUSCULAR 10 MG/ML AMPOLA 1 ML</v>
      </c>
      <c r="M1314" s="593" t="str">
        <f>IF(H:H=0,"",IF(ISERROR(VLOOKUP(H:H,produtos_escape2!$A$2:$D$2794,2,FALSE)),"Código não cadastrado",(VLOOKUP(H:H,produtos_escape2!$A$2:$D$2794,4,FALSE))))</f>
        <v>AMP</v>
      </c>
      <c r="N1314" s="486">
        <v>400</v>
      </c>
      <c r="O1314" s="176" t="s">
        <v>7371</v>
      </c>
      <c r="P1314" s="486">
        <v>400</v>
      </c>
      <c r="Q1314" s="247">
        <v>1.1539999999999999</v>
      </c>
      <c r="R1314" s="246">
        <f t="shared" si="51"/>
        <v>461.59999999999997</v>
      </c>
      <c r="S1314" s="177">
        <v>44182</v>
      </c>
      <c r="T1314" s="182">
        <v>417512</v>
      </c>
      <c r="U1314" s="177">
        <v>44187</v>
      </c>
      <c r="V1314" s="177">
        <v>44187</v>
      </c>
      <c r="W1314" s="177">
        <v>44188</v>
      </c>
      <c r="X1314" s="176" t="s">
        <v>10674</v>
      </c>
      <c r="Y1314" s="177"/>
      <c r="Z1314" s="415">
        <v>6</v>
      </c>
      <c r="AA1314" s="488" t="s">
        <v>10689</v>
      </c>
      <c r="AB1314" s="594"/>
      <c r="AC1314" s="595"/>
      <c r="AD1314" s="596" t="str">
        <f>IF(AND(AC1314&lt;&gt;"",S1314&lt;&gt;""),NETWORKDAYS(AC1314,S1314,#REF!),"")</f>
        <v/>
      </c>
      <c r="AE1314" s="596" t="str">
        <f ca="1">IF(AND(AD1314="",AC1314=""),"",IF(OR(AD1314&lt;&gt;"",O1314="*CANCELADO"),"",NETWORKDAYS(AC1314,TODAY(),#REF!)))</f>
        <v/>
      </c>
      <c r="AF1314" s="597" t="str">
        <f>IFERROR(INDEX(produtos_escape2!M:M,MATCH(Controle!H1314,produtos_escape2!A:A,0)),"")</f>
        <v>FITOMENADIONA (VITAMINA K) SOLUÇAO INJETAVEL INTRA-MUSCULAR 10 MG/ML AMPOLA 1 ML</v>
      </c>
    </row>
    <row r="1315" spans="1:32" ht="14.25" customHeight="1">
      <c r="A1315" s="176" t="s">
        <v>9702</v>
      </c>
      <c r="B1315" s="176" t="s">
        <v>3608</v>
      </c>
      <c r="C1315" s="177">
        <v>44176</v>
      </c>
      <c r="D1315" s="176" t="s">
        <v>10547</v>
      </c>
      <c r="E1315" s="176" t="s">
        <v>3009</v>
      </c>
      <c r="F1315" s="259" t="s">
        <v>10548</v>
      </c>
      <c r="G1315" s="176">
        <v>1</v>
      </c>
      <c r="H1315" s="178">
        <v>90592</v>
      </c>
      <c r="I1315" s="592">
        <f t="shared" si="54"/>
        <v>4</v>
      </c>
      <c r="J1315" s="178" t="s">
        <v>816</v>
      </c>
      <c r="K1315" s="178" t="s">
        <v>816</v>
      </c>
      <c r="L1315" s="275" t="str">
        <f>IF(H:H=0,"",IF(ISERROR(VLOOKUP(H:H,produtos_escape2!$A$2:$B$2794,2,FALSE)),"Código não cadastrado",(VLOOKUP(H:H,produtos_escape2!$A$2:$B$2794,2,FALSE))))</f>
        <v xml:space="preserve">SULFATO FERROSO DRAGEA 40 MG </v>
      </c>
      <c r="M1315" s="593" t="str">
        <f>IF(H:H=0,"",IF(ISERROR(VLOOKUP(H:H,produtos_escape2!$A$2:$D$2794,2,FALSE)),"Código não cadastrado",(VLOOKUP(H:H,produtos_escape2!$A$2:$D$2794,4,FALSE))))</f>
        <v>DG</v>
      </c>
      <c r="N1315" s="486">
        <v>5000</v>
      </c>
      <c r="O1315" s="176" t="s">
        <v>2989</v>
      </c>
      <c r="P1315" s="486">
        <v>5000</v>
      </c>
      <c r="Q1315" s="247">
        <v>4.3999999999999997E-2</v>
      </c>
      <c r="R1315" s="246">
        <f t="shared" si="51"/>
        <v>220</v>
      </c>
      <c r="S1315" s="177">
        <v>44181</v>
      </c>
      <c r="T1315" s="182">
        <v>141186</v>
      </c>
      <c r="U1315" s="177">
        <v>44182</v>
      </c>
      <c r="V1315" s="177">
        <v>44183</v>
      </c>
      <c r="W1315" s="177">
        <v>44186</v>
      </c>
      <c r="X1315" s="176" t="s">
        <v>10674</v>
      </c>
      <c r="Y1315" s="177"/>
      <c r="Z1315" s="415">
        <v>6</v>
      </c>
      <c r="AA1315" s="488" t="s">
        <v>10704</v>
      </c>
      <c r="AB1315" s="594"/>
      <c r="AC1315" s="595"/>
      <c r="AD1315" s="596" t="str">
        <f>IF(AND(AC1315&lt;&gt;"",S1315&lt;&gt;""),NETWORKDAYS(AC1315,S1315,#REF!),"")</f>
        <v/>
      </c>
      <c r="AE1315" s="596" t="str">
        <f ca="1">IF(AND(AD1315="",AC1315=""),"",IF(OR(AD1315&lt;&gt;"",O1315="*CANCELADO"),"",NETWORKDAYS(AC1315,TODAY(),#REF!)))</f>
        <v/>
      </c>
      <c r="AF1315" s="597" t="str">
        <f>IFERROR(INDEX(produtos_escape2!M:M,MATCH(Controle!H1315,produtos_escape2!A:A,0)),"")</f>
        <v xml:space="preserve">SULFATO FERROSO DRAGEA 40 MG </v>
      </c>
    </row>
    <row r="1316" spans="1:32" ht="14.25" customHeight="1">
      <c r="A1316" s="176" t="s">
        <v>9716</v>
      </c>
      <c r="B1316" s="176" t="s">
        <v>3608</v>
      </c>
      <c r="C1316" s="177">
        <v>44176</v>
      </c>
      <c r="D1316" s="176" t="s">
        <v>10549</v>
      </c>
      <c r="E1316" s="176" t="s">
        <v>3009</v>
      </c>
      <c r="F1316" s="259" t="s">
        <v>10550</v>
      </c>
      <c r="G1316" s="176">
        <v>1</v>
      </c>
      <c r="H1316" s="178">
        <v>90300</v>
      </c>
      <c r="I1316" s="592">
        <f t="shared" si="54"/>
        <v>1</v>
      </c>
      <c r="J1316" s="178" t="s">
        <v>816</v>
      </c>
      <c r="K1316" s="178" t="s">
        <v>816</v>
      </c>
      <c r="L1316" s="275" t="str">
        <f>IF(H:H=0,"",IF(ISERROR(VLOOKUP(H:H,produtos_escape2!$A$2:$B$2794,2,FALSE)),"Código não cadastrado",(VLOOKUP(H:H,produtos_escape2!$A$2:$B$2794,2,FALSE))))</f>
        <v>AMIODARONA (CLORIDRATO) COMPRIMIDO 200 MG</v>
      </c>
      <c r="M1316" s="593" t="str">
        <f>IF(H:H=0,"",IF(ISERROR(VLOOKUP(H:H,produtos_escape2!$A$2:$D$2794,2,FALSE)),"Código não cadastrado",(VLOOKUP(H:H,produtos_escape2!$A$2:$D$2794,4,FALSE))))</f>
        <v>CP</v>
      </c>
      <c r="N1316" s="486">
        <v>500</v>
      </c>
      <c r="O1316" s="176" t="s">
        <v>2989</v>
      </c>
      <c r="P1316" s="486">
        <v>500</v>
      </c>
      <c r="Q1316" s="247">
        <v>0.63800000000000001</v>
      </c>
      <c r="R1316" s="246">
        <f t="shared" si="51"/>
        <v>319</v>
      </c>
      <c r="S1316" s="177">
        <v>44181</v>
      </c>
      <c r="T1316" s="182"/>
      <c r="U1316" s="177"/>
      <c r="V1316" s="177"/>
      <c r="W1316" s="177"/>
      <c r="X1316" s="176"/>
      <c r="Y1316" s="177"/>
      <c r="Z1316" s="415">
        <v>6</v>
      </c>
      <c r="AA1316" s="488" t="s">
        <v>10690</v>
      </c>
      <c r="AB1316" s="594"/>
      <c r="AC1316" s="595"/>
      <c r="AD1316" s="596" t="str">
        <f>IF(AND(AC1316&lt;&gt;"",S1316&lt;&gt;""),NETWORKDAYS(AC1316,S1316,#REF!),"")</f>
        <v/>
      </c>
      <c r="AE1316" s="596" t="str">
        <f ca="1">IF(AND(AD1316="",AC1316=""),"",IF(OR(AD1316&lt;&gt;"",O1316="*CANCELADO"),"",NETWORKDAYS(AC1316,TODAY(),#REF!)))</f>
        <v/>
      </c>
      <c r="AF1316" s="597" t="str">
        <f>IFERROR(INDEX(produtos_escape2!M:M,MATCH(Controle!H1316,produtos_escape2!A:A,0)),"")</f>
        <v>AMIODARONA (CLORIDRATO) COMPRIMIDO 200 MG</v>
      </c>
    </row>
    <row r="1317" spans="1:32" ht="14.25" customHeight="1">
      <c r="A1317" s="176" t="s">
        <v>9718</v>
      </c>
      <c r="B1317" s="176" t="s">
        <v>3608</v>
      </c>
      <c r="C1317" s="177">
        <v>44176</v>
      </c>
      <c r="D1317" s="176" t="s">
        <v>10551</v>
      </c>
      <c r="E1317" s="176" t="s">
        <v>3009</v>
      </c>
      <c r="F1317" s="259" t="s">
        <v>10552</v>
      </c>
      <c r="G1317" s="176">
        <v>1</v>
      </c>
      <c r="H1317" s="178">
        <v>90313</v>
      </c>
      <c r="I1317" s="592">
        <f t="shared" si="54"/>
        <v>1</v>
      </c>
      <c r="J1317" s="178" t="s">
        <v>816</v>
      </c>
      <c r="K1317" s="178" t="s">
        <v>816</v>
      </c>
      <c r="L1317" s="275" t="str">
        <f>IF(H:H=0,"",IF(ISERROR(VLOOKUP(H:H,produtos_escape2!$A$2:$B$2794,2,FALSE)),"Código não cadastrado",(VLOOKUP(H:H,produtos_escape2!$A$2:$B$2794,2,FALSE))))</f>
        <v>INDAPAMIDA COMPRIMIDO LIBERAÇAO PROLONGADA 1,5 MG</v>
      </c>
      <c r="M1317" s="593" t="str">
        <f>IF(H:H=0,"",IF(ISERROR(VLOOKUP(H:H,produtos_escape2!$A$2:$D$2794,2,FALSE)),"Código não cadastrado",(VLOOKUP(H:H,produtos_escape2!$A$2:$D$2794,4,FALSE))))</f>
        <v>AMP</v>
      </c>
      <c r="N1317" s="486">
        <v>1000</v>
      </c>
      <c r="O1317" s="176" t="s">
        <v>10075</v>
      </c>
      <c r="P1317" s="486">
        <v>1000</v>
      </c>
      <c r="Q1317" s="247">
        <v>0.23</v>
      </c>
      <c r="R1317" s="246">
        <f t="shared" si="51"/>
        <v>230</v>
      </c>
      <c r="S1317" s="177">
        <v>44182</v>
      </c>
      <c r="T1317" s="182"/>
      <c r="U1317" s="177"/>
      <c r="V1317" s="177"/>
      <c r="W1317" s="177"/>
      <c r="X1317" s="176"/>
      <c r="Y1317" s="177"/>
      <c r="Z1317" s="415">
        <v>6</v>
      </c>
      <c r="AA1317" s="488" t="s">
        <v>10689</v>
      </c>
      <c r="AB1317" s="594"/>
      <c r="AC1317" s="595"/>
      <c r="AD1317" s="596" t="str">
        <f>IF(AND(AC1317&lt;&gt;"",S1317&lt;&gt;""),NETWORKDAYS(AC1317,S1317,#REF!),"")</f>
        <v/>
      </c>
      <c r="AE1317" s="596" t="str">
        <f ca="1">IF(AND(AD1317="",AC1317=""),"",IF(OR(AD1317&lt;&gt;"",O1317="*CANCELADO"),"",NETWORKDAYS(AC1317,TODAY(),#REF!)))</f>
        <v/>
      </c>
      <c r="AF1317" s="597" t="str">
        <f>IFERROR(INDEX(produtos_escape2!M:M,MATCH(Controle!H1317,produtos_escape2!A:A,0)),"")</f>
        <v>INDAPAMIDA COMPRIMIDO LIBERAÇAO PROLONGADA 1</v>
      </c>
    </row>
    <row r="1318" spans="1:32" ht="14.25" customHeight="1">
      <c r="A1318" s="176" t="s">
        <v>9720</v>
      </c>
      <c r="B1318" s="176" t="s">
        <v>3608</v>
      </c>
      <c r="C1318" s="177">
        <v>44176</v>
      </c>
      <c r="D1318" s="176" t="s">
        <v>10553</v>
      </c>
      <c r="E1318" s="176" t="s">
        <v>3009</v>
      </c>
      <c r="F1318" s="259" t="s">
        <v>10554</v>
      </c>
      <c r="G1318" s="176">
        <v>1</v>
      </c>
      <c r="H1318" s="178">
        <v>90040</v>
      </c>
      <c r="I1318" s="592">
        <f t="shared" si="54"/>
        <v>2</v>
      </c>
      <c r="J1318" s="178" t="s">
        <v>816</v>
      </c>
      <c r="K1318" s="178" t="s">
        <v>816</v>
      </c>
      <c r="L1318" s="275" t="str">
        <f>IF(H:H=0,"",IF(ISERROR(VLOOKUP(H:H,produtos_escape2!$A$2:$B$2794,2,FALSE)),"Código não cadastrado",(VLOOKUP(H:H,produtos_escape2!$A$2:$B$2794,2,FALSE))))</f>
        <v>CAPTOPRIL COMPRIMIDO SULCADO 25
MG</v>
      </c>
      <c r="M1318" s="593" t="str">
        <f>IF(H:H=0,"",IF(ISERROR(VLOOKUP(H:H,produtos_escape2!$A$2:$D$2794,2,FALSE)),"Código não cadastrado",(VLOOKUP(H:H,produtos_escape2!$A$2:$D$2794,4,FALSE))))</f>
        <v>CP</v>
      </c>
      <c r="N1318" s="486">
        <v>1000</v>
      </c>
      <c r="O1318" s="176" t="s">
        <v>9981</v>
      </c>
      <c r="P1318" s="486">
        <v>1000</v>
      </c>
      <c r="Q1318" s="247">
        <v>5.0333333333333334E-2</v>
      </c>
      <c r="R1318" s="246">
        <f t="shared" si="51"/>
        <v>50.333333333333336</v>
      </c>
      <c r="S1318" s="177">
        <v>44181</v>
      </c>
      <c r="T1318" s="182"/>
      <c r="U1318" s="177"/>
      <c r="V1318" s="177"/>
      <c r="W1318" s="177"/>
      <c r="X1318" s="176"/>
      <c r="Y1318" s="177"/>
      <c r="Z1318" s="415">
        <v>6</v>
      </c>
      <c r="AA1318" s="488" t="s">
        <v>10690</v>
      </c>
      <c r="AB1318" s="594"/>
      <c r="AC1318" s="595"/>
      <c r="AD1318" s="596" t="str">
        <f>IF(AND(AC1318&lt;&gt;"",S1318&lt;&gt;""),NETWORKDAYS(AC1318,S1318,#REF!),"")</f>
        <v/>
      </c>
      <c r="AE1318" s="596" t="str">
        <f ca="1">IF(AND(AD1318="",AC1318=""),"",IF(OR(AD1318&lt;&gt;"",O1318="*CANCELADO"),"",NETWORKDAYS(AC1318,TODAY(),#REF!)))</f>
        <v/>
      </c>
      <c r="AF1318" s="597" t="str">
        <f>IFERROR(INDEX(produtos_escape2!M:M,MATCH(Controle!H1318,produtos_escape2!A:A,0)),"")</f>
        <v>CAPTOPRIL COMPRIMIDO SULCADO 25</v>
      </c>
    </row>
    <row r="1319" spans="1:32" ht="14.25" customHeight="1">
      <c r="A1319" s="176" t="s">
        <v>9722</v>
      </c>
      <c r="B1319" s="176" t="s">
        <v>3608</v>
      </c>
      <c r="C1319" s="177">
        <v>44176</v>
      </c>
      <c r="D1319" s="176" t="s">
        <v>10555</v>
      </c>
      <c r="E1319" s="176" t="s">
        <v>3009</v>
      </c>
      <c r="F1319" s="259" t="s">
        <v>10556</v>
      </c>
      <c r="G1319" s="176">
        <v>1</v>
      </c>
      <c r="H1319" s="178">
        <v>90354</v>
      </c>
      <c r="I1319" s="592">
        <f t="shared" si="54"/>
        <v>9</v>
      </c>
      <c r="J1319" s="178" t="s">
        <v>816</v>
      </c>
      <c r="K1319" s="178" t="s">
        <v>816</v>
      </c>
      <c r="L1319" s="275" t="str">
        <f>IF(H:H=0,"",IF(ISERROR(VLOOKUP(H:H,produtos_escape2!$A$2:$B$2794,2,FALSE)),"Código não cadastrado",(VLOOKUP(H:H,produtos_escape2!$A$2:$B$2794,2,FALSE))))</f>
        <v>LACTULOSE XAROPE 667 MG/ML FRASCO 120 ML
NÂO pode ser a Lactulife da Naturelife.</v>
      </c>
      <c r="M1319" s="593" t="str">
        <f>IF(H:H=0,"",IF(ISERROR(VLOOKUP(H:H,produtos_escape2!$A$2:$D$2794,2,FALSE)),"Código não cadastrado",(VLOOKUP(H:H,produtos_escape2!$A$2:$D$2794,4,FALSE))))</f>
        <v>FR</v>
      </c>
      <c r="N1319" s="486">
        <v>200</v>
      </c>
      <c r="O1319" s="176" t="s">
        <v>4379</v>
      </c>
      <c r="P1319" s="486">
        <v>200</v>
      </c>
      <c r="Q1319" s="247">
        <v>5.99</v>
      </c>
      <c r="R1319" s="246">
        <f t="shared" si="51"/>
        <v>1198</v>
      </c>
      <c r="S1319" s="177">
        <v>44181</v>
      </c>
      <c r="T1319" s="182">
        <v>17244</v>
      </c>
      <c r="U1319" s="177">
        <v>44182</v>
      </c>
      <c r="V1319" s="177">
        <v>44183</v>
      </c>
      <c r="W1319" s="177">
        <v>44186</v>
      </c>
      <c r="X1319" s="176" t="s">
        <v>10674</v>
      </c>
      <c r="Y1319" s="177"/>
      <c r="Z1319" s="415">
        <v>6</v>
      </c>
      <c r="AA1319" s="488" t="s">
        <v>10705</v>
      </c>
      <c r="AB1319" s="594"/>
      <c r="AC1319" s="595"/>
      <c r="AD1319" s="596" t="str">
        <f>IF(AND(AC1319&lt;&gt;"",S1319&lt;&gt;""),NETWORKDAYS(AC1319,S1319,#REF!),"")</f>
        <v/>
      </c>
      <c r="AE1319" s="596" t="str">
        <f ca="1">IF(AND(AD1319="",AC1319=""),"",IF(OR(AD1319&lt;&gt;"",O1319="*CANCELADO"),"",NETWORKDAYS(AC1319,TODAY(),#REF!)))</f>
        <v/>
      </c>
      <c r="AF1319" s="597" t="str">
        <f>IFERROR(INDEX(produtos_escape2!M:M,MATCH(Controle!H1319,produtos_escape2!A:A,0)),"")</f>
        <v>LACTULOSE XAROPE 667 MG/ML FRASCO 120 ML</v>
      </c>
    </row>
    <row r="1320" spans="1:32" ht="14.25" customHeight="1">
      <c r="A1320" s="176" t="s">
        <v>9724</v>
      </c>
      <c r="B1320" s="176" t="s">
        <v>3608</v>
      </c>
      <c r="C1320" s="177">
        <v>44176</v>
      </c>
      <c r="D1320" s="176" t="s">
        <v>10557</v>
      </c>
      <c r="E1320" s="176" t="s">
        <v>3009</v>
      </c>
      <c r="F1320" s="259" t="s">
        <v>10558</v>
      </c>
      <c r="G1320" s="176">
        <v>1</v>
      </c>
      <c r="H1320" s="178">
        <v>90028</v>
      </c>
      <c r="I1320" s="592">
        <f t="shared" si="54"/>
        <v>5</v>
      </c>
      <c r="J1320" s="178" t="s">
        <v>816</v>
      </c>
      <c r="K1320" s="178" t="s">
        <v>816</v>
      </c>
      <c r="L1320" s="275" t="str">
        <f>IF(H:H=0,"",IF(ISERROR(VLOOKUP(H:H,produtos_escape2!$A$2:$B$2794,2,FALSE)),"Código não cadastrado",(VLOOKUP(H:H,produtos_escape2!$A$2:$B$2794,2,FALSE))))</f>
        <v>LIDOCAINA (CLORIDRATO) GELEIA 2 % BISNAGA 30 G</v>
      </c>
      <c r="M1320" s="593" t="str">
        <f>IF(H:H=0,"",IF(ISERROR(VLOOKUP(H:H,produtos_escape2!$A$2:$D$2794,2,FALSE)),"Código não cadastrado",(VLOOKUP(H:H,produtos_escape2!$A$2:$D$2794,4,FALSE))))</f>
        <v>BS</v>
      </c>
      <c r="N1320" s="486">
        <v>300</v>
      </c>
      <c r="O1320" s="176" t="s">
        <v>9981</v>
      </c>
      <c r="P1320" s="486">
        <v>300</v>
      </c>
      <c r="Q1320" s="247">
        <v>2.4</v>
      </c>
      <c r="R1320" s="246">
        <f t="shared" si="51"/>
        <v>720</v>
      </c>
      <c r="S1320" s="177">
        <v>44181</v>
      </c>
      <c r="T1320" s="182">
        <v>135521</v>
      </c>
      <c r="U1320" s="177">
        <v>44182</v>
      </c>
      <c r="V1320" s="177">
        <v>44183</v>
      </c>
      <c r="W1320" s="177">
        <v>44186</v>
      </c>
      <c r="X1320" s="176" t="s">
        <v>10674</v>
      </c>
      <c r="Y1320" s="177"/>
      <c r="Z1320" s="415">
        <v>6</v>
      </c>
      <c r="AA1320" s="488" t="s">
        <v>10706</v>
      </c>
      <c r="AB1320" s="594"/>
      <c r="AC1320" s="595"/>
      <c r="AD1320" s="596" t="str">
        <f>IF(AND(AC1320&lt;&gt;"",S1320&lt;&gt;""),NETWORKDAYS(AC1320,S1320,#REF!),"")</f>
        <v/>
      </c>
      <c r="AE1320" s="596" t="str">
        <f ca="1">IF(AND(AD1320="",AC1320=""),"",IF(OR(AD1320&lt;&gt;"",O1320="*CANCELADO"),"",NETWORKDAYS(AC1320,TODAY(),#REF!)))</f>
        <v/>
      </c>
      <c r="AF1320" s="597" t="str">
        <f>IFERROR(INDEX(produtos_escape2!M:M,MATCH(Controle!H1320,produtos_escape2!A:A,0)),"")</f>
        <v>LIDOCAINA (CLORIDRATO) GELEIA 2 % BISNAGA 30 G</v>
      </c>
    </row>
    <row r="1321" spans="1:32" ht="14.25" customHeight="1">
      <c r="A1321" s="176" t="s">
        <v>9726</v>
      </c>
      <c r="B1321" s="176" t="s">
        <v>3608</v>
      </c>
      <c r="C1321" s="177">
        <v>44176</v>
      </c>
      <c r="D1321" s="176" t="s">
        <v>10559</v>
      </c>
      <c r="E1321" s="176" t="s">
        <v>3009</v>
      </c>
      <c r="F1321" s="259" t="s">
        <v>10560</v>
      </c>
      <c r="G1321" s="176">
        <v>1</v>
      </c>
      <c r="H1321" s="178">
        <v>90070</v>
      </c>
      <c r="I1321" s="592">
        <f t="shared" si="54"/>
        <v>4</v>
      </c>
      <c r="J1321" s="178" t="s">
        <v>816</v>
      </c>
      <c r="K1321" s="178" t="s">
        <v>816</v>
      </c>
      <c r="L1321" s="275" t="str">
        <f>IF(H:H=0,"",IF(ISERROR(VLOOKUP(H:H,produtos_escape2!$A$2:$B$2794,2,FALSE)),"Código não cadastrado",(VLOOKUP(H:H,produtos_escape2!$A$2:$B$2794,2,FALSE))))</f>
        <v>VALPROATO DE SODIO XAROPE (EQUIVALENTE 250 MG/5 ML ACIDO VALPROICO) FRASCO 100 ML</v>
      </c>
      <c r="M1321" s="593" t="str">
        <f>IF(H:H=0,"",IF(ISERROR(VLOOKUP(H:H,produtos_escape2!$A$2:$D$2794,2,FALSE)),"Código não cadastrado",(VLOOKUP(H:H,produtos_escape2!$A$2:$D$2794,4,FALSE))))</f>
        <v>FR</v>
      </c>
      <c r="N1321" s="486">
        <v>15</v>
      </c>
      <c r="O1321" s="176" t="s">
        <v>9981</v>
      </c>
      <c r="P1321" s="486">
        <v>15</v>
      </c>
      <c r="Q1321" s="247">
        <v>4.6399999999999997</v>
      </c>
      <c r="R1321" s="246">
        <f t="shared" si="51"/>
        <v>69.599999999999994</v>
      </c>
      <c r="S1321" s="177">
        <v>44181</v>
      </c>
      <c r="T1321" s="182"/>
      <c r="U1321" s="177"/>
      <c r="V1321" s="177"/>
      <c r="W1321" s="177"/>
      <c r="X1321" s="176"/>
      <c r="Y1321" s="177"/>
      <c r="Z1321" s="415">
        <v>6</v>
      </c>
      <c r="AA1321" s="488" t="s">
        <v>10705</v>
      </c>
      <c r="AB1321" s="594"/>
      <c r="AC1321" s="595"/>
      <c r="AD1321" s="596" t="str">
        <f>IF(AND(AC1321&lt;&gt;"",S1321&lt;&gt;""),NETWORKDAYS(AC1321,S1321,#REF!),"")</f>
        <v/>
      </c>
      <c r="AE1321" s="596" t="str">
        <f ca="1">IF(AND(AD1321="",AC1321=""),"",IF(OR(AD1321&lt;&gt;"",O1321="*CANCELADO"),"",NETWORKDAYS(AC1321,TODAY(),#REF!)))</f>
        <v/>
      </c>
      <c r="AF1321" s="597" t="str">
        <f>IFERROR(INDEX(produtos_escape2!M:M,MATCH(Controle!H1321,produtos_escape2!A:A,0)),"")</f>
        <v>VALPROATO DE SODIO XAROPE (EQUIVALENTE 250 MG/5 ML ACIDO VALPROICO) FRASCO 100 ML</v>
      </c>
    </row>
    <row r="1322" spans="1:32" ht="14.25" customHeight="1">
      <c r="A1322" s="176" t="s">
        <v>9728</v>
      </c>
      <c r="B1322" s="176" t="s">
        <v>3608</v>
      </c>
      <c r="C1322" s="177">
        <v>44176</v>
      </c>
      <c r="D1322" s="176" t="s">
        <v>10561</v>
      </c>
      <c r="E1322" s="176" t="s">
        <v>3009</v>
      </c>
      <c r="F1322" s="259" t="s">
        <v>10562</v>
      </c>
      <c r="G1322" s="176">
        <v>1</v>
      </c>
      <c r="H1322" s="178">
        <v>90207</v>
      </c>
      <c r="I1322" s="592">
        <f t="shared" si="54"/>
        <v>7</v>
      </c>
      <c r="J1322" s="178" t="s">
        <v>816</v>
      </c>
      <c r="K1322" s="178" t="s">
        <v>816</v>
      </c>
      <c r="L1322" s="275" t="str">
        <f>IF(H:H=0,"",IF(ISERROR(VLOOKUP(H:H,produtos_escape2!$A$2:$B$2794,2,FALSE)),"Código não cadastrado",(VLOOKUP(H:H,produtos_escape2!$A$2:$B$2794,2,FALSE))))</f>
        <v xml:space="preserve">PROPOFOL EMULSAO INJETAVEL 10 MG/ML AMPOLA 20 ML </v>
      </c>
      <c r="M1322" s="593" t="str">
        <f>IF(H:H=0,"",IF(ISERROR(VLOOKUP(H:H,produtos_escape2!$A$2:$D$2794,2,FALSE)),"Código não cadastrado",(VLOOKUP(H:H,produtos_escape2!$A$2:$D$2794,4,FALSE))))</f>
        <v>AMP</v>
      </c>
      <c r="N1322" s="486">
        <v>1000</v>
      </c>
      <c r="O1322" s="176" t="s">
        <v>10075</v>
      </c>
      <c r="P1322" s="486">
        <v>1000</v>
      </c>
      <c r="Q1322" s="247">
        <v>13.65</v>
      </c>
      <c r="R1322" s="246">
        <f t="shared" si="51"/>
        <v>13650</v>
      </c>
      <c r="S1322" s="177">
        <v>44182</v>
      </c>
      <c r="T1322" s="182"/>
      <c r="U1322" s="177"/>
      <c r="V1322" s="177"/>
      <c r="W1322" s="177"/>
      <c r="X1322" s="176"/>
      <c r="Y1322" s="177"/>
      <c r="Z1322" s="415">
        <v>6</v>
      </c>
      <c r="AA1322" s="488" t="s">
        <v>10689</v>
      </c>
      <c r="AB1322" s="594"/>
      <c r="AC1322" s="595"/>
      <c r="AD1322" s="596" t="str">
        <f>IF(AND(AC1322&lt;&gt;"",S1322&lt;&gt;""),NETWORKDAYS(AC1322,S1322,#REF!),"")</f>
        <v/>
      </c>
      <c r="AE1322" s="596" t="str">
        <f ca="1">IF(AND(AD1322="",AC1322=""),"",IF(OR(AD1322&lt;&gt;"",O1322="*CANCELADO"),"",NETWORKDAYS(AC1322,TODAY(),#REF!)))</f>
        <v/>
      </c>
      <c r="AF1322" s="597" t="str">
        <f>IFERROR(INDEX(produtos_escape2!M:M,MATCH(Controle!H1322,produtos_escape2!A:A,0)),"")</f>
        <v xml:space="preserve">PROPOFOL EMULSAO INJETAVEL 10 MG/ML AMPOLA 20 ML </v>
      </c>
    </row>
    <row r="1323" spans="1:32" ht="14.25" customHeight="1">
      <c r="A1323" s="176" t="s">
        <v>9730</v>
      </c>
      <c r="B1323" s="176" t="s">
        <v>3608</v>
      </c>
      <c r="C1323" s="177">
        <v>44176</v>
      </c>
      <c r="D1323" s="176" t="s">
        <v>10563</v>
      </c>
      <c r="E1323" s="176" t="s">
        <v>3009</v>
      </c>
      <c r="F1323" s="259" t="s">
        <v>10564</v>
      </c>
      <c r="G1323" s="176">
        <v>1</v>
      </c>
      <c r="H1323" s="178">
        <v>90011</v>
      </c>
      <c r="I1323" s="592">
        <f t="shared" si="54"/>
        <v>2</v>
      </c>
      <c r="J1323" s="178" t="s">
        <v>816</v>
      </c>
      <c r="K1323" s="178" t="s">
        <v>816</v>
      </c>
      <c r="L1323" s="275" t="str">
        <f>IF(H:H=0,"",IF(ISERROR(VLOOKUP(H:H,produtos_escape2!$A$2:$B$2794,2,FALSE)),"Código não cadastrado",(VLOOKUP(H:H,produtos_escape2!$A$2:$B$2794,2,FALSE))))</f>
        <v>FENTANILA SOLUCAO INJETAVEL 0,05 MG/ML AMPOLA 2 ML</v>
      </c>
      <c r="M1323" s="593" t="str">
        <f>IF(H:H=0,"",IF(ISERROR(VLOOKUP(H:H,produtos_escape2!$A$2:$D$2794,2,FALSE)),"Código não cadastrado",(VLOOKUP(H:H,produtos_escape2!$A$2:$D$2794,4,FALSE))))</f>
        <v>AMP</v>
      </c>
      <c r="N1323" s="486">
        <v>300</v>
      </c>
      <c r="O1323" s="176" t="s">
        <v>4109</v>
      </c>
      <c r="P1323" s="486">
        <v>300</v>
      </c>
      <c r="Q1323" s="247">
        <v>2.1</v>
      </c>
      <c r="R1323" s="246">
        <f t="shared" ref="R1323:R1388" si="55">P1323*Q1323</f>
        <v>630</v>
      </c>
      <c r="S1323" s="177">
        <v>44182</v>
      </c>
      <c r="T1323" s="182">
        <v>105556</v>
      </c>
      <c r="U1323" s="177">
        <v>44183</v>
      </c>
      <c r="V1323" s="177">
        <v>44186</v>
      </c>
      <c r="W1323" s="177">
        <v>44186</v>
      </c>
      <c r="X1323" s="176" t="s">
        <v>10674</v>
      </c>
      <c r="Y1323" s="177"/>
      <c r="Z1323" s="415">
        <v>6</v>
      </c>
      <c r="AA1323" s="488" t="s">
        <v>10689</v>
      </c>
      <c r="AB1323" s="594"/>
      <c r="AC1323" s="595"/>
      <c r="AD1323" s="596" t="str">
        <f>IF(AND(AC1323&lt;&gt;"",S1323&lt;&gt;""),NETWORKDAYS(AC1323,S1323,#REF!),"")</f>
        <v/>
      </c>
      <c r="AE1323" s="596" t="str">
        <f ca="1">IF(AND(AD1323="",AC1323=""),"",IF(OR(AD1323&lt;&gt;"",O1323="*CANCELADO"),"",NETWORKDAYS(AC1323,TODAY(),#REF!)))</f>
        <v/>
      </c>
      <c r="AF1323" s="597" t="str">
        <f>IFERROR(INDEX(produtos_escape2!M:M,MATCH(Controle!H1323,produtos_escape2!A:A,0)),"")</f>
        <v>FENTANILA SOLUCAO INJETAVEL 0</v>
      </c>
    </row>
    <row r="1324" spans="1:32" ht="14.25" customHeight="1">
      <c r="A1324" s="176" t="s">
        <v>9735</v>
      </c>
      <c r="B1324" s="176" t="s">
        <v>3608</v>
      </c>
      <c r="C1324" s="177">
        <v>44176</v>
      </c>
      <c r="D1324" s="176" t="s">
        <v>10565</v>
      </c>
      <c r="E1324" s="176" t="s">
        <v>3009</v>
      </c>
      <c r="F1324" s="259" t="s">
        <v>10566</v>
      </c>
      <c r="G1324" s="176">
        <v>1</v>
      </c>
      <c r="H1324" s="178">
        <v>8829</v>
      </c>
      <c r="I1324" s="592">
        <f t="shared" si="54"/>
        <v>3</v>
      </c>
      <c r="J1324" s="178" t="s">
        <v>816</v>
      </c>
      <c r="K1324" s="178" t="s">
        <v>816</v>
      </c>
      <c r="L1324" s="275" t="str">
        <f>IF(H:H=0,"",IF(ISERROR(VLOOKUP(H:H,produtos_escape2!$A$2:$B$2794,2,FALSE)),"Código não cadastrado",(VLOOKUP(H:H,produtos_escape2!$A$2:$B$2794,2,FALSE))))</f>
        <v>CLONAZEPAM SOLUÇÃO ORAL 2,5 MG/ML FRASCO 20 ML</v>
      </c>
      <c r="M1324" s="593" t="str">
        <f>IF(H:H=0,"",IF(ISERROR(VLOOKUP(H:H,produtos_escape2!$A$2:$D$2794,2,FALSE)),"Código não cadastrado",(VLOOKUP(H:H,produtos_escape2!$A$2:$D$2794,4,FALSE))))</f>
        <v>FR</v>
      </c>
      <c r="N1324" s="486">
        <v>40</v>
      </c>
      <c r="O1324" s="176" t="s">
        <v>7371</v>
      </c>
      <c r="P1324" s="486">
        <v>40</v>
      </c>
      <c r="Q1324" s="247">
        <v>2.15</v>
      </c>
      <c r="R1324" s="246">
        <f t="shared" si="55"/>
        <v>86</v>
      </c>
      <c r="S1324" s="177">
        <v>44182</v>
      </c>
      <c r="T1324" s="182">
        <v>417391</v>
      </c>
      <c r="U1324" s="177">
        <v>44187</v>
      </c>
      <c r="V1324" s="177">
        <v>44187</v>
      </c>
      <c r="W1324" s="177">
        <v>44188</v>
      </c>
      <c r="X1324" s="176" t="s">
        <v>10674</v>
      </c>
      <c r="Y1324" s="177"/>
      <c r="Z1324" s="415">
        <v>6</v>
      </c>
      <c r="AA1324" s="488" t="s">
        <v>10707</v>
      </c>
      <c r="AB1324" s="594"/>
      <c r="AC1324" s="595"/>
      <c r="AD1324" s="596" t="str">
        <f>IF(AND(AC1324&lt;&gt;"",S1324&lt;&gt;""),NETWORKDAYS(AC1324,S1324,#REF!),"")</f>
        <v/>
      </c>
      <c r="AE1324" s="596" t="str">
        <f ca="1">IF(AND(AD1324="",AC1324=""),"",IF(OR(AD1324&lt;&gt;"",O1324="*CANCELADO"),"",NETWORKDAYS(AC1324,TODAY(),#REF!)))</f>
        <v/>
      </c>
      <c r="AF1324" s="597" t="str">
        <f>IFERROR(INDEX(produtos_escape2!M:M,MATCH(Controle!H1324,produtos_escape2!A:A,0)),"")</f>
        <v>CLONAZEPAM SOLUÇÃO ORAL 2</v>
      </c>
    </row>
    <row r="1325" spans="1:32" ht="14.25" customHeight="1">
      <c r="A1325" s="176" t="s">
        <v>9737</v>
      </c>
      <c r="B1325" s="176" t="s">
        <v>3608</v>
      </c>
      <c r="C1325" s="177">
        <v>44176</v>
      </c>
      <c r="D1325" s="176" t="s">
        <v>10567</v>
      </c>
      <c r="E1325" s="176" t="s">
        <v>1866</v>
      </c>
      <c r="F1325" s="259" t="s">
        <v>10568</v>
      </c>
      <c r="G1325" s="176">
        <v>1</v>
      </c>
      <c r="H1325" s="178">
        <v>95273</v>
      </c>
      <c r="I1325" s="592">
        <f t="shared" si="54"/>
        <v>2</v>
      </c>
      <c r="J1325" s="178" t="s">
        <v>816</v>
      </c>
      <c r="K1325" s="178" t="s">
        <v>816</v>
      </c>
      <c r="L1325" s="275" t="str">
        <f>IF(H:H=0,"",IF(ISERROR(VLOOKUP(H:H,produtos_escape2!$A$2:$B$2794,2,FALSE)),"Código não cadastrado",(VLOOKUP(H:H,produtos_escape2!$A$2:$B$2794,2,FALSE))))</f>
        <v>PLACA PRONTA PARA USO AGAR SANGUE 90 X 15MM</v>
      </c>
      <c r="M1325" s="593" t="str">
        <f>IF(H:H=0,"",IF(ISERROR(VLOOKUP(H:H,produtos_escape2!$A$2:$D$2794,2,FALSE)),"Código não cadastrado",(VLOOKUP(H:H,produtos_escape2!$A$2:$D$2794,4,FALSE))))</f>
        <v>UN</v>
      </c>
      <c r="N1325" s="486">
        <v>1000</v>
      </c>
      <c r="O1325" s="176" t="s">
        <v>3670</v>
      </c>
      <c r="P1325" s="486">
        <v>1000</v>
      </c>
      <c r="Q1325" s="247">
        <v>3.18</v>
      </c>
      <c r="R1325" s="246">
        <f t="shared" si="55"/>
        <v>3180</v>
      </c>
      <c r="S1325" s="177">
        <v>44180</v>
      </c>
      <c r="T1325" s="182"/>
      <c r="U1325" s="177"/>
      <c r="V1325" s="177"/>
      <c r="W1325" s="177"/>
      <c r="X1325" s="176"/>
      <c r="Y1325" s="177"/>
      <c r="Z1325" s="415">
        <v>6</v>
      </c>
      <c r="AA1325" s="488" t="s">
        <v>10698</v>
      </c>
      <c r="AB1325" s="594"/>
      <c r="AC1325" s="595"/>
      <c r="AD1325" s="596" t="str">
        <f>IF(AND(AC1325&lt;&gt;"",S1325&lt;&gt;""),NETWORKDAYS(AC1325,S1325,#REF!),"")</f>
        <v/>
      </c>
      <c r="AE1325" s="596" t="str">
        <f ca="1">IF(AND(AD1325="",AC1325=""),"",IF(OR(AD1325&lt;&gt;"",O1325="*CANCELADO"),"",NETWORKDAYS(AC1325,TODAY(),#REF!)))</f>
        <v/>
      </c>
      <c r="AF1325" s="597" t="str">
        <f>IFERROR(INDEX(produtos_escape2!M:M,MATCH(Controle!H1325,produtos_escape2!A:A,0)),"")</f>
        <v>PLACA PRONTA PARA USO AGAR SANGUE 90 X 15MM</v>
      </c>
    </row>
    <row r="1326" spans="1:32" ht="14.25" customHeight="1">
      <c r="A1326" s="176" t="s">
        <v>9739</v>
      </c>
      <c r="B1326" s="176" t="s">
        <v>3608</v>
      </c>
      <c r="C1326" s="177">
        <v>44179</v>
      </c>
      <c r="D1326" s="176" t="s">
        <v>10569</v>
      </c>
      <c r="E1326" s="176" t="s">
        <v>3009</v>
      </c>
      <c r="F1326" s="259" t="s">
        <v>10570</v>
      </c>
      <c r="G1326" s="176">
        <v>1</v>
      </c>
      <c r="H1326" s="178">
        <v>19943</v>
      </c>
      <c r="I1326" s="592">
        <f t="shared" si="54"/>
        <v>1</v>
      </c>
      <c r="J1326" s="178" t="s">
        <v>816</v>
      </c>
      <c r="K1326" s="178" t="s">
        <v>816</v>
      </c>
      <c r="L1326" s="275" t="str">
        <f>IF(H:H=0,"",IF(ISERROR(VLOOKUP(H:H,produtos_escape2!$A$2:$B$2794,2,FALSE)),"Código não cadastrado",(VLOOKUP(H:H,produtos_escape2!$A$2:$B$2794,2,FALSE))))</f>
        <v xml:space="preserve">LUVA PARA PROCEDIMENTO NAO ESTERIL EM LATEX AMBIDESTRA TAMANHO MEDIO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v>
      </c>
      <c r="M1326" s="593" t="str">
        <f>IF(H:H=0,"",IF(ISERROR(VLOOKUP(H:H,produtos_escape2!$A$2:$D$2794,2,FALSE)),"Código não cadastrado",(VLOOKUP(H:H,produtos_escape2!$A$2:$D$2794,4,FALSE))))</f>
        <v>UN</v>
      </c>
      <c r="N1326" s="486">
        <v>60000</v>
      </c>
      <c r="O1326" s="176" t="s">
        <v>7472</v>
      </c>
      <c r="P1326" s="486">
        <v>39200</v>
      </c>
      <c r="Q1326" s="247">
        <v>0.86</v>
      </c>
      <c r="R1326" s="246">
        <f t="shared" si="55"/>
        <v>33712</v>
      </c>
      <c r="S1326" s="177">
        <v>44182</v>
      </c>
      <c r="T1326" s="182"/>
      <c r="U1326" s="177"/>
      <c r="V1326" s="177"/>
      <c r="W1326" s="177"/>
      <c r="X1326" s="176"/>
      <c r="Y1326" s="177"/>
      <c r="Z1326" s="415">
        <v>6</v>
      </c>
      <c r="AA1326" s="488" t="s">
        <v>10708</v>
      </c>
      <c r="AB1326" s="594"/>
      <c r="AC1326" s="595"/>
      <c r="AD1326" s="596" t="str">
        <f>IF(AND(AC1326&lt;&gt;"",S1326&lt;&gt;""),NETWORKDAYS(AC1326,S1326,#REF!),"")</f>
        <v/>
      </c>
      <c r="AE1326" s="596" t="str">
        <f ca="1">IF(AND(AD1326="",AC1326=""),"",IF(OR(AD1326&lt;&gt;"",O1326="*CANCELADO"),"",NETWORKDAYS(AC1326,TODAY(),#REF!)))</f>
        <v/>
      </c>
      <c r="AF1326" s="597" t="str">
        <f>IFERROR(INDEX(produtos_escape2!M:M,MATCH(Controle!H1326,produtos_escape2!A:A,0)),"")</f>
        <v>LUVA PARA PROCEDIMENTO MEDIO</v>
      </c>
    </row>
    <row r="1327" spans="1:32" ht="14.25" customHeight="1">
      <c r="A1327" s="176" t="s">
        <v>9739</v>
      </c>
      <c r="B1327" s="176" t="s">
        <v>3608</v>
      </c>
      <c r="C1327" s="177">
        <v>44179</v>
      </c>
      <c r="D1327" s="176" t="s">
        <v>10569</v>
      </c>
      <c r="E1327" s="176" t="s">
        <v>3009</v>
      </c>
      <c r="F1327" s="259" t="s">
        <v>10570</v>
      </c>
      <c r="G1327" s="176">
        <v>2</v>
      </c>
      <c r="H1327" s="178">
        <v>19944</v>
      </c>
      <c r="I1327" s="592">
        <f t="shared" si="54"/>
        <v>1</v>
      </c>
      <c r="J1327" s="178" t="s">
        <v>816</v>
      </c>
      <c r="K1327" s="178" t="s">
        <v>816</v>
      </c>
      <c r="L1327" s="275" t="str">
        <f>IF(H:H=0,"",IF(ISERROR(VLOOKUP(H:H,produtos_escape2!$A$2:$B$2794,2,FALSE)),"Código não cadastrado",(VLOOKUP(H:H,produtos_escape2!$A$2:$B$2794,2,FALSE))))</f>
        <v xml:space="preserve">LUVA PARA PROCEDIMENTO NAO ESTERIL EM LATEX AMBIDESTRA TAMANHO GRANDE LIVRE DE PÓ. Uso em procedimento não estéril como proteção do profissional. Material látex íntegro. caracteristícas adicionais: ambidestra, livre de pó, devem apresentar boa resistência ao calçar, com látex íntegro, sem manchas, sem ponto de acumulo de látex. Deve estar devidamente embalada de forma a permitir o empilhamento, transporte e armazenamento, a embalagem deve conter o tamanho, o lote, a data de fabricação e de validade. 
Apresentação: embalagem contendo 100 (cem) unidades, acondicionadas em caixas.
</v>
      </c>
      <c r="M1327" s="593" t="str">
        <f>IF(H:H=0,"",IF(ISERROR(VLOOKUP(H:H,produtos_escape2!$A$2:$D$2794,2,FALSE)),"Código não cadastrado",(VLOOKUP(H:H,produtos_escape2!$A$2:$D$2794,4,FALSE))))</f>
        <v>UN</v>
      </c>
      <c r="N1327" s="486">
        <v>60000</v>
      </c>
      <c r="O1327" s="176" t="s">
        <v>10488</v>
      </c>
      <c r="P1327" s="486">
        <v>55500</v>
      </c>
      <c r="Q1327" s="247">
        <v>0.9</v>
      </c>
      <c r="R1327" s="246">
        <f t="shared" si="55"/>
        <v>49950</v>
      </c>
      <c r="S1327" s="177">
        <v>44182</v>
      </c>
      <c r="T1327" s="182"/>
      <c r="U1327" s="177"/>
      <c r="V1327" s="177"/>
      <c r="W1327" s="177"/>
      <c r="X1327" s="176"/>
      <c r="Y1327" s="177"/>
      <c r="Z1327" s="415">
        <v>6</v>
      </c>
      <c r="AA1327" s="488" t="s">
        <v>10708</v>
      </c>
      <c r="AB1327" s="594"/>
      <c r="AC1327" s="595"/>
      <c r="AD1327" s="596" t="str">
        <f>IF(AND(AC1327&lt;&gt;"",S1327&lt;&gt;""),NETWORKDAYS(AC1327,S1327,#REF!),"")</f>
        <v/>
      </c>
      <c r="AE1327" s="596" t="str">
        <f ca="1">IF(AND(AD1327="",AC1327=""),"",IF(OR(AD1327&lt;&gt;"",O1327="*CANCELADO"),"",NETWORKDAYS(AC1327,TODAY(),#REF!)))</f>
        <v/>
      </c>
      <c r="AF1327" s="597" t="str">
        <f>IFERROR(INDEX(produtos_escape2!M:M,MATCH(Controle!H1327,produtos_escape2!A:A,0)),"")</f>
        <v>LUVA PARA PROCEDIMENTO GRANDE</v>
      </c>
    </row>
    <row r="1328" spans="1:32" ht="14.25" customHeight="1">
      <c r="A1328" s="176" t="s">
        <v>8305</v>
      </c>
      <c r="B1328" s="176" t="s">
        <v>7207</v>
      </c>
      <c r="C1328" s="177">
        <v>44179</v>
      </c>
      <c r="D1328" s="176" t="s">
        <v>10571</v>
      </c>
      <c r="E1328" s="176" t="s">
        <v>3008</v>
      </c>
      <c r="F1328" s="259" t="s">
        <v>10572</v>
      </c>
      <c r="G1328" s="176">
        <v>1</v>
      </c>
      <c r="H1328" s="178">
        <v>51453</v>
      </c>
      <c r="I1328" s="592">
        <f t="shared" si="54"/>
        <v>6</v>
      </c>
      <c r="J1328" s="178" t="s">
        <v>816</v>
      </c>
      <c r="K1328" s="178" t="s">
        <v>816</v>
      </c>
      <c r="L1328" s="275" t="str">
        <f>IF(H:H=0,"",IF(ISERROR(VLOOKUP(H:H,produtos_escape2!$A$2:$B$2794,2,FALSE)),"Código não cadastrado",(VLOOKUP(H:H,produtos_escape2!$A$2:$B$2794,2,FALSE))))</f>
        <v>GORRO DESCARTÁVEL,Material: em falso tecido, viscose poliéster ou polipropileno, Gramatura: mínima de 30g/m²,   Cor: azul ou verde, Formato: anatômico que permita ajuste perfeito à cabeça, Dimensões: mínimas de : parte central 12cm de largura, 25cm de comprimento, aba de 13cm de largura e 80cm de comprimento.</v>
      </c>
      <c r="M1328" s="593" t="str">
        <f>IF(H:H=0,"",IF(ISERROR(VLOOKUP(H:H,produtos_escape2!$A$2:$D$2794,2,FALSE)),"Código não cadastrado",(VLOOKUP(H:H,produtos_escape2!$A$2:$D$2794,4,FALSE))))</f>
        <v>UN</v>
      </c>
      <c r="N1328" s="486">
        <v>20000</v>
      </c>
      <c r="O1328" s="176" t="s">
        <v>10685</v>
      </c>
      <c r="P1328" s="486">
        <v>20000</v>
      </c>
      <c r="Q1328" s="247">
        <v>0.8</v>
      </c>
      <c r="R1328" s="246">
        <f t="shared" si="55"/>
        <v>16000</v>
      </c>
      <c r="S1328" s="177">
        <v>44189</v>
      </c>
      <c r="T1328" s="182"/>
      <c r="U1328" s="177"/>
      <c r="V1328" s="177"/>
      <c r="W1328" s="177"/>
      <c r="X1328" s="176"/>
      <c r="Y1328" s="177"/>
      <c r="Z1328" s="415">
        <v>6</v>
      </c>
      <c r="AA1328" s="488" t="s">
        <v>10709</v>
      </c>
      <c r="AB1328" s="594"/>
      <c r="AC1328" s="595"/>
      <c r="AD1328" s="596" t="str">
        <f>IF(AND(AC1328&lt;&gt;"",S1328&lt;&gt;""),NETWORKDAYS(AC1328,S1328,#REF!),"")</f>
        <v/>
      </c>
      <c r="AE1328" s="596" t="str">
        <f ca="1">IF(AND(AD1328="",AC1328=""),"",IF(OR(AD1328&lt;&gt;"",O1328="*CANCELADO"),"",NETWORKDAYS(AC1328,TODAY(),#REF!)))</f>
        <v/>
      </c>
      <c r="AF1328" s="597" t="str">
        <f>IFERROR(INDEX(produtos_escape2!M:M,MATCH(Controle!H1328,produtos_escape2!A:A,0)),"")</f>
        <v>GORRO DESCARTÁVEL</v>
      </c>
    </row>
    <row r="1329" spans="1:32" ht="14.25" customHeight="1">
      <c r="A1329" s="176" t="s">
        <v>8301</v>
      </c>
      <c r="B1329" s="176" t="s">
        <v>7207</v>
      </c>
      <c r="C1329" s="177">
        <v>44179</v>
      </c>
      <c r="D1329" s="176" t="s">
        <v>10573</v>
      </c>
      <c r="E1329" s="176" t="s">
        <v>3008</v>
      </c>
      <c r="F1329" s="259" t="s">
        <v>10574</v>
      </c>
      <c r="G1329" s="176">
        <v>1</v>
      </c>
      <c r="H1329" s="178">
        <v>63295</v>
      </c>
      <c r="I1329" s="592">
        <f t="shared" si="54"/>
        <v>8</v>
      </c>
      <c r="J1329" s="178" t="s">
        <v>816</v>
      </c>
      <c r="K1329" s="178" t="s">
        <v>816</v>
      </c>
      <c r="L1329" s="275" t="str">
        <f>IF(H:H=0,"",IF(ISERROR(VLOOKUP(H:H,produtos_escape2!$A$2:$B$2794,2,FALSE)),"Código não cadastrado",(VLOOKUP(H:H,produtos_escape2!$A$2:$B$2794,2,FALSE))))</f>
        <v>TOUCA HOSPITALAR DESCARTÁVEL,Material: tecido não tecido, Tipo Uso: descartável, Gramatura: 20 g/m², Características Adicionais:  com elástico em toda volta (tipo elastex)</v>
      </c>
      <c r="M1329" s="593" t="str">
        <f>IF(H:H=0,"",IF(ISERROR(VLOOKUP(H:H,produtos_escape2!$A$2:$D$2794,2,FALSE)),"Código não cadastrado",(VLOOKUP(H:H,produtos_escape2!$A$2:$D$2794,4,FALSE))))</f>
        <v>UN</v>
      </c>
      <c r="N1329" s="486">
        <v>30000</v>
      </c>
      <c r="O1329" s="176" t="s">
        <v>8240</v>
      </c>
      <c r="P1329" s="486">
        <v>30000</v>
      </c>
      <c r="Q1329" s="247">
        <v>0.15</v>
      </c>
      <c r="R1329" s="246">
        <f t="shared" si="55"/>
        <v>4500</v>
      </c>
      <c r="S1329" s="177">
        <v>44183</v>
      </c>
      <c r="T1329" s="182" t="s">
        <v>10668</v>
      </c>
      <c r="U1329" s="177">
        <v>44186</v>
      </c>
      <c r="V1329" s="177"/>
      <c r="W1329" s="177"/>
      <c r="X1329" s="176" t="s">
        <v>10674</v>
      </c>
      <c r="Y1329" s="177"/>
      <c r="Z1329" s="415">
        <v>6</v>
      </c>
      <c r="AA1329" s="488" t="s">
        <v>10710</v>
      </c>
      <c r="AB1329" s="594"/>
      <c r="AC1329" s="595"/>
      <c r="AD1329" s="596" t="str">
        <f>IF(AND(AC1329&lt;&gt;"",S1329&lt;&gt;""),NETWORKDAYS(AC1329,S1329,#REF!),"")</f>
        <v/>
      </c>
      <c r="AE1329" s="596" t="str">
        <f ca="1">IF(AND(AD1329="",AC1329=""),"",IF(OR(AD1329&lt;&gt;"",O1329="*CANCELADO"),"",NETWORKDAYS(AC1329,TODAY(),#REF!)))</f>
        <v/>
      </c>
      <c r="AF1329" s="597" t="str">
        <f>IFERROR(INDEX(produtos_escape2!M:M,MATCH(Controle!H1329,produtos_escape2!A:A,0)),"")</f>
        <v>TOUCA HOSPITALAR</v>
      </c>
    </row>
    <row r="1330" spans="1:32" ht="14.25" customHeight="1">
      <c r="A1330" s="176" t="s">
        <v>8299</v>
      </c>
      <c r="B1330" s="176" t="s">
        <v>7207</v>
      </c>
      <c r="C1330" s="177">
        <v>44179</v>
      </c>
      <c r="D1330" s="176" t="s">
        <v>10575</v>
      </c>
      <c r="E1330" s="176" t="s">
        <v>3008</v>
      </c>
      <c r="F1330" s="259" t="s">
        <v>10576</v>
      </c>
      <c r="G1330" s="176">
        <v>1</v>
      </c>
      <c r="H1330" s="178">
        <v>20879</v>
      </c>
      <c r="I1330" s="592">
        <f t="shared" si="54"/>
        <v>6</v>
      </c>
      <c r="J1330" s="178" t="s">
        <v>816</v>
      </c>
      <c r="K1330" s="178" t="s">
        <v>816</v>
      </c>
      <c r="L1330" s="275"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330" s="593" t="str">
        <f>IF(H:H=0,"",IF(ISERROR(VLOOKUP(H:H,produtos_escape2!$A$2:$D$2794,2,FALSE)),"Código não cadastrado",(VLOOKUP(H:H,produtos_escape2!$A$2:$D$2794,4,FALSE))))</f>
        <v>MH</v>
      </c>
      <c r="N1330" s="486">
        <v>400</v>
      </c>
      <c r="O1330" s="176" t="s">
        <v>3530</v>
      </c>
      <c r="P1330" s="486">
        <v>267</v>
      </c>
      <c r="Q1330" s="247">
        <v>8.85</v>
      </c>
      <c r="R1330" s="246">
        <f t="shared" si="55"/>
        <v>2362.9499999999998</v>
      </c>
      <c r="S1330" s="177">
        <v>44183</v>
      </c>
      <c r="T1330" s="182" t="s">
        <v>10670</v>
      </c>
      <c r="U1330" s="177">
        <v>44186</v>
      </c>
      <c r="V1330" s="177"/>
      <c r="W1330" s="177"/>
      <c r="X1330" s="176" t="s">
        <v>10674</v>
      </c>
      <c r="Y1330" s="177"/>
      <c r="Z1330" s="415">
        <v>6</v>
      </c>
      <c r="AA1330" s="488" t="s">
        <v>10711</v>
      </c>
      <c r="AB1330" s="594"/>
      <c r="AC1330" s="595"/>
      <c r="AD1330" s="596" t="str">
        <f>IF(AND(AC1330&lt;&gt;"",S1330&lt;&gt;""),NETWORKDAYS(AC1330,S1330,#REF!),"")</f>
        <v/>
      </c>
      <c r="AE1330" s="596" t="str">
        <f ca="1">IF(AND(AD1330="",AC1330=""),"",IF(OR(AD1330&lt;&gt;"",O1330="*CANCELADO"),"",NETWORKDAYS(AC1330,TODAY(),#REF!)))</f>
        <v/>
      </c>
      <c r="AF1330" s="597" t="str">
        <f>IFERROR(INDEX(produtos_escape2!M:M,MATCH(Controle!H1330,produtos_escape2!A:A,0)),"")</f>
        <v>ETIQUETA AUTO-ADESIVApara LABORATÓRIO</v>
      </c>
    </row>
    <row r="1331" spans="1:32" ht="14.25" customHeight="1">
      <c r="A1331" s="176" t="s">
        <v>8299</v>
      </c>
      <c r="B1331" s="176" t="s">
        <v>7207</v>
      </c>
      <c r="C1331" s="177">
        <v>44179</v>
      </c>
      <c r="D1331" s="176" t="s">
        <v>10575</v>
      </c>
      <c r="E1331" s="176" t="s">
        <v>3008</v>
      </c>
      <c r="F1331" s="259" t="s">
        <v>10576</v>
      </c>
      <c r="G1331" s="176">
        <v>1</v>
      </c>
      <c r="H1331" s="178">
        <v>20879</v>
      </c>
      <c r="I1331" s="592">
        <f t="shared" si="54"/>
        <v>6</v>
      </c>
      <c r="J1331" s="178" t="s">
        <v>816</v>
      </c>
      <c r="K1331" s="178" t="s">
        <v>816</v>
      </c>
      <c r="L1331" s="275" t="str">
        <f>IF(H:H=0,"",IF(ISERROR(VLOOKUP(H:H,produtos_escape2!$A$2:$B$2794,2,FALSE)),"Código não cadastrado",(VLOOKUP(H:H,produtos_escape2!$A$2:$B$2794,2,FALSE))))</f>
        <v>ETIQUETA AUTO-ADESIVApara LABORATÓRIO, Material: celulose vegetal em adesivo sintético, Tamanho Etiqueta: 50 x 27 mm, Aplicação: uso em impressora térmica Zebra TLP 2844-Z, Número Colunas: 02, Cor: branca, Características Adicionais: cantos arredondados, sem impressão, para uso em sistema informatizado de laboratório, Unidade De Fornecimento: em rolos contendo 03 milheiros.</v>
      </c>
      <c r="M1331" s="593" t="str">
        <f>IF(H:H=0,"",IF(ISERROR(VLOOKUP(H:H,produtos_escape2!$A$2:$D$2794,2,FALSE)),"Código não cadastrado",(VLOOKUP(H:H,produtos_escape2!$A$2:$D$2794,4,FALSE))))</f>
        <v>MH</v>
      </c>
      <c r="N1331" s="486">
        <v>400</v>
      </c>
      <c r="O1331" s="176" t="s">
        <v>3530</v>
      </c>
      <c r="P1331" s="486">
        <v>133</v>
      </c>
      <c r="Q1331" s="247">
        <v>8.85</v>
      </c>
      <c r="R1331" s="246">
        <f t="shared" ref="R1331" si="56">P1331*Q1331</f>
        <v>1177.05</v>
      </c>
      <c r="S1331" s="177">
        <v>44183</v>
      </c>
      <c r="T1331" s="182"/>
      <c r="U1331" s="177"/>
      <c r="V1331" s="177"/>
      <c r="W1331" s="177"/>
      <c r="X1331" s="176"/>
      <c r="Y1331" s="177"/>
      <c r="Z1331" s="415">
        <v>6</v>
      </c>
      <c r="AA1331" s="488" t="s">
        <v>10711</v>
      </c>
      <c r="AB1331" s="594"/>
      <c r="AC1331" s="595"/>
      <c r="AD1331" s="596" t="str">
        <f>IF(AND(AC1331&lt;&gt;"",S1331&lt;&gt;""),NETWORKDAYS(AC1331,S1331,#REF!),"")</f>
        <v/>
      </c>
      <c r="AE1331" s="596" t="str">
        <f ca="1">IF(AND(AD1331="",AC1331=""),"",IF(OR(AD1331&lt;&gt;"",O1331="*CANCELADO"),"",NETWORKDAYS(AC1331,TODAY(),#REF!)))</f>
        <v/>
      </c>
      <c r="AF1331" s="597" t="str">
        <f>IFERROR(INDEX(produtos_escape2!M:M,MATCH(Controle!H1331,produtos_escape2!A:A,0)),"")</f>
        <v>ETIQUETA AUTO-ADESIVApara LABORATÓRIO</v>
      </c>
    </row>
    <row r="1332" spans="1:32" ht="14.25" customHeight="1">
      <c r="A1332" s="176" t="s">
        <v>9741</v>
      </c>
      <c r="B1332" s="176" t="s">
        <v>3608</v>
      </c>
      <c r="C1332" s="177">
        <v>44179</v>
      </c>
      <c r="D1332" s="176" t="s">
        <v>10577</v>
      </c>
      <c r="E1332" s="176" t="s">
        <v>3009</v>
      </c>
      <c r="F1332" s="259" t="s">
        <v>10578</v>
      </c>
      <c r="G1332" s="176">
        <v>1</v>
      </c>
      <c r="H1332" s="178">
        <v>36048</v>
      </c>
      <c r="I1332" s="592">
        <f t="shared" si="54"/>
        <v>5</v>
      </c>
      <c r="J1332" s="178" t="s">
        <v>816</v>
      </c>
      <c r="K1332" s="178" t="s">
        <v>816</v>
      </c>
      <c r="L1332" s="275" t="str">
        <f>IF(H:H=0,"",IF(ISERROR(VLOOKUP(H:H,produtos_escape2!$A$2:$B$2794,2,FALSE)),"Código não cadastrado",(VLOOKUP(H:H,produtos_escape2!$A$2:$B$2794,2,FALSE))))</f>
        <v xml:space="preserve">LUVA NITRÍLICA PARA PROCEDIMENTO NÃO CIRÚRGICO, TAMANHO P,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 </v>
      </c>
      <c r="M1332" s="593" t="str">
        <f>IF(H:H=0,"",IF(ISERROR(VLOOKUP(H:H,produtos_escape2!$A$2:$D$2794,2,FALSE)),"Código não cadastrado",(VLOOKUP(H:H,produtos_escape2!$A$2:$D$2794,4,FALSE))))</f>
        <v>UN</v>
      </c>
      <c r="N1332" s="486">
        <v>30000</v>
      </c>
      <c r="O1332" s="176" t="s">
        <v>4109</v>
      </c>
      <c r="P1332" s="486">
        <v>30000</v>
      </c>
      <c r="Q1332" s="247">
        <v>0.83</v>
      </c>
      <c r="R1332" s="246">
        <f t="shared" si="55"/>
        <v>24900</v>
      </c>
      <c r="S1332" s="177">
        <v>44182</v>
      </c>
      <c r="T1332" s="182">
        <v>105564</v>
      </c>
      <c r="U1332" s="177">
        <v>44183</v>
      </c>
      <c r="V1332" s="177">
        <v>44186</v>
      </c>
      <c r="W1332" s="177">
        <v>44186</v>
      </c>
      <c r="X1332" s="176" t="s">
        <v>10674</v>
      </c>
      <c r="Y1332" s="177"/>
      <c r="Z1332" s="415">
        <v>6</v>
      </c>
      <c r="AA1332" s="488" t="s">
        <v>10693</v>
      </c>
      <c r="AB1332" s="594"/>
      <c r="AC1332" s="595"/>
      <c r="AD1332" s="596" t="str">
        <f>IF(AND(AC1332&lt;&gt;"",S1332&lt;&gt;""),NETWORKDAYS(AC1332,S1332,#REF!),"")</f>
        <v/>
      </c>
      <c r="AE1332" s="596" t="str">
        <f ca="1">IF(AND(AD1332="",AC1332=""),"",IF(OR(AD1332&lt;&gt;"",O1332="*CANCELADO"),"",NETWORKDAYS(AC1332,TODAY(),#REF!)))</f>
        <v/>
      </c>
      <c r="AF1332" s="597" t="str">
        <f>IFERROR(INDEX(produtos_escape2!M:M,MATCH(Controle!H1332,produtos_escape2!A:A,0)),"")</f>
        <v>LUVA NITRÍLICA P</v>
      </c>
    </row>
    <row r="1333" spans="1:32" ht="14.25" customHeight="1">
      <c r="A1333" s="176" t="s">
        <v>9741</v>
      </c>
      <c r="B1333" s="176" t="s">
        <v>3608</v>
      </c>
      <c r="C1333" s="177">
        <v>44179</v>
      </c>
      <c r="D1333" s="176" t="s">
        <v>10577</v>
      </c>
      <c r="E1333" s="176" t="s">
        <v>3009</v>
      </c>
      <c r="F1333" s="259" t="s">
        <v>10578</v>
      </c>
      <c r="G1333" s="176">
        <v>2</v>
      </c>
      <c r="H1333" s="178">
        <v>36169</v>
      </c>
      <c r="I1333" s="592">
        <f t="shared" si="54"/>
        <v>6</v>
      </c>
      <c r="J1333" s="178" t="s">
        <v>816</v>
      </c>
      <c r="K1333" s="178" t="s">
        <v>816</v>
      </c>
      <c r="L1333" s="275" t="str">
        <f>IF(H:H=0,"",IF(ISERROR(VLOOKUP(H:H,produtos_escape2!$A$2:$B$2794,2,FALSE)),"Código não cadastrado",(VLOOKUP(H:H,produtos_escape2!$A$2:$B$2794,2,FALSE))))</f>
        <v>LUVA NITRÍLICA PARA PROCEDIMENTO NÃO CIRÚRGICO, TAMANHO M,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333" s="593" t="str">
        <f>IF(H:H=0,"",IF(ISERROR(VLOOKUP(H:H,produtos_escape2!$A$2:$D$2794,2,FALSE)),"Código não cadastrado",(VLOOKUP(H:H,produtos_escape2!$A$2:$D$2794,4,FALSE))))</f>
        <v>UN</v>
      </c>
      <c r="N1333" s="486">
        <v>30000</v>
      </c>
      <c r="O1333" s="176" t="s">
        <v>4109</v>
      </c>
      <c r="P1333" s="486">
        <v>30000</v>
      </c>
      <c r="Q1333" s="247">
        <v>0.83</v>
      </c>
      <c r="R1333" s="246">
        <f t="shared" si="55"/>
        <v>24900</v>
      </c>
      <c r="S1333" s="177">
        <v>44182</v>
      </c>
      <c r="T1333" s="182">
        <v>105564</v>
      </c>
      <c r="U1333" s="177">
        <v>44183</v>
      </c>
      <c r="V1333" s="177">
        <v>44186</v>
      </c>
      <c r="W1333" s="177">
        <v>44186</v>
      </c>
      <c r="X1333" s="176" t="s">
        <v>10674</v>
      </c>
      <c r="Y1333" s="177"/>
      <c r="Z1333" s="415">
        <v>6</v>
      </c>
      <c r="AA1333" s="488" t="s">
        <v>10693</v>
      </c>
      <c r="AB1333" s="594"/>
      <c r="AC1333" s="595"/>
      <c r="AD1333" s="596" t="str">
        <f>IF(AND(AC1333&lt;&gt;"",S1333&lt;&gt;""),NETWORKDAYS(AC1333,S1333,#REF!),"")</f>
        <v/>
      </c>
      <c r="AE1333" s="596" t="str">
        <f ca="1">IF(AND(AD1333="",AC1333=""),"",IF(OR(AD1333&lt;&gt;"",O1333="*CANCELADO"),"",NETWORKDAYS(AC1333,TODAY(),#REF!)))</f>
        <v/>
      </c>
      <c r="AF1333" s="597" t="str">
        <f>IFERROR(INDEX(produtos_escape2!M:M,MATCH(Controle!H1333,produtos_escape2!A:A,0)),"")</f>
        <v>LUVA NITRÍLICA M</v>
      </c>
    </row>
    <row r="1334" spans="1:32" ht="14.25" customHeight="1">
      <c r="A1334" s="176" t="s">
        <v>9741</v>
      </c>
      <c r="B1334" s="176" t="s">
        <v>3608</v>
      </c>
      <c r="C1334" s="177">
        <v>44179</v>
      </c>
      <c r="D1334" s="176" t="s">
        <v>10577</v>
      </c>
      <c r="E1334" s="176" t="s">
        <v>3009</v>
      </c>
      <c r="F1334" s="259" t="s">
        <v>10578</v>
      </c>
      <c r="G1334" s="176">
        <v>3</v>
      </c>
      <c r="H1334" s="178">
        <v>36052</v>
      </c>
      <c r="I1334" s="592">
        <f t="shared" ref="I1334:I1397" si="57">COUNTIF($H$3:$H$3041,H1334)</f>
        <v>5</v>
      </c>
      <c r="J1334" s="178" t="s">
        <v>816</v>
      </c>
      <c r="K1334" s="178" t="s">
        <v>816</v>
      </c>
      <c r="L1334" s="275"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334" s="593" t="str">
        <f>IF(H:H=0,"",IF(ISERROR(VLOOKUP(H:H,produtos_escape2!$A$2:$D$2794,2,FALSE)),"Código não cadastrado",(VLOOKUP(H:H,produtos_escape2!$A$2:$D$2794,4,FALSE))))</f>
        <v>UN</v>
      </c>
      <c r="N1334" s="486">
        <v>30000</v>
      </c>
      <c r="O1334" s="176" t="s">
        <v>8240</v>
      </c>
      <c r="P1334" s="486">
        <v>13000</v>
      </c>
      <c r="Q1334" s="247">
        <v>1.04</v>
      </c>
      <c r="R1334" s="246">
        <f t="shared" ref="R1334" si="58">P1334*Q1334</f>
        <v>13520</v>
      </c>
      <c r="S1334" s="177">
        <v>44182</v>
      </c>
      <c r="T1334" s="182">
        <v>125</v>
      </c>
      <c r="U1334" s="177">
        <v>44183</v>
      </c>
      <c r="V1334" s="177">
        <v>44187</v>
      </c>
      <c r="W1334" s="177">
        <v>44188</v>
      </c>
      <c r="X1334" s="176" t="s">
        <v>10674</v>
      </c>
      <c r="Y1334" s="177"/>
      <c r="Z1334" s="415">
        <v>6</v>
      </c>
      <c r="AA1334" s="488" t="s">
        <v>10693</v>
      </c>
      <c r="AB1334" s="594"/>
      <c r="AC1334" s="595"/>
      <c r="AD1334" s="596" t="str">
        <f>IF(AND(AC1334&lt;&gt;"",S1334&lt;&gt;""),NETWORKDAYS(AC1334,S1334,#REF!),"")</f>
        <v/>
      </c>
      <c r="AE1334" s="596" t="str">
        <f ca="1">IF(AND(AD1334="",AC1334=""),"",IF(OR(AD1334&lt;&gt;"",O1334="*CANCELADO"),"",NETWORKDAYS(AC1334,TODAY(),#REF!)))</f>
        <v/>
      </c>
      <c r="AF1334" s="597" t="str">
        <f>IFERROR(INDEX(produtos_escape2!M:M,MATCH(Controle!H1334,produtos_escape2!A:A,0)),"")</f>
        <v>LUVA NITRÍLICA G</v>
      </c>
    </row>
    <row r="1335" spans="1:32" ht="14.25" customHeight="1">
      <c r="A1335" s="176" t="s">
        <v>9741</v>
      </c>
      <c r="B1335" s="176" t="s">
        <v>3608</v>
      </c>
      <c r="C1335" s="177">
        <v>44179</v>
      </c>
      <c r="D1335" s="176" t="s">
        <v>10577</v>
      </c>
      <c r="E1335" s="176" t="s">
        <v>3009</v>
      </c>
      <c r="F1335" s="259" t="s">
        <v>10578</v>
      </c>
      <c r="G1335" s="176">
        <v>3</v>
      </c>
      <c r="H1335" s="178">
        <v>36052</v>
      </c>
      <c r="I1335" s="592">
        <f t="shared" si="57"/>
        <v>5</v>
      </c>
      <c r="J1335" s="178" t="s">
        <v>816</v>
      </c>
      <c r="K1335" s="178" t="s">
        <v>816</v>
      </c>
      <c r="L1335" s="275" t="str">
        <f>IF(H:H=0,"",IF(ISERROR(VLOOKUP(H:H,produtos_escape2!$A$2:$B$2794,2,FALSE)),"Código não cadastrado",(VLOOKUP(H:H,produtos_escape2!$A$2:$B$2794,2,FALSE))))</f>
        <v>LUVA NITRÍLICA PARA PROCEDIMENTO NÃO CIRÚRGICO, TAMANHO G, NÃO ESTÉRIL. Material: nitrílica, isenta de látex e sem pó. Indicação: uso por profissionais que apresentem hipersensibilidade ao látex ou ao pó e que atuam no atendimento pré-hospitalar, para proteção contra agentes biológicos, sangue e fluidos corporais. Informações adicionais: Ambidestra, isenta de pó, boa elasticidade, uso único, punho com bainha e com marcação do CA. Embalada em material que garanta a integridade do produto, contendo externamente os dados de identificação do produto, procedência, validade do lote, registro no MS, Certificado de Aprovação (CA). Apresentação: Caixa com 100 unidades.</v>
      </c>
      <c r="M1335" s="593" t="str">
        <f>IF(H:H=0,"",IF(ISERROR(VLOOKUP(H:H,produtos_escape2!$A$2:$D$2794,2,FALSE)),"Código não cadastrado",(VLOOKUP(H:H,produtos_escape2!$A$2:$D$2794,4,FALSE))))</f>
        <v>UN</v>
      </c>
      <c r="N1335" s="486">
        <v>30000</v>
      </c>
      <c r="O1335" s="176" t="s">
        <v>8240</v>
      </c>
      <c r="P1335" s="486">
        <v>17000</v>
      </c>
      <c r="Q1335" s="247">
        <v>1.04</v>
      </c>
      <c r="R1335" s="246">
        <f t="shared" si="55"/>
        <v>17680</v>
      </c>
      <c r="S1335" s="177">
        <v>44182</v>
      </c>
      <c r="T1335" s="182"/>
      <c r="U1335" s="177"/>
      <c r="V1335" s="177"/>
      <c r="W1335" s="177"/>
      <c r="X1335" s="176"/>
      <c r="Y1335" s="177"/>
      <c r="Z1335" s="415">
        <v>6</v>
      </c>
      <c r="AA1335" s="488" t="s">
        <v>10693</v>
      </c>
      <c r="AB1335" s="594"/>
      <c r="AC1335" s="595"/>
      <c r="AD1335" s="596" t="str">
        <f>IF(AND(AC1335&lt;&gt;"",S1335&lt;&gt;""),NETWORKDAYS(AC1335,S1335,#REF!),"")</f>
        <v/>
      </c>
      <c r="AE1335" s="596" t="str">
        <f ca="1">IF(AND(AD1335="",AC1335=""),"",IF(OR(AD1335&lt;&gt;"",O1335="*CANCELADO"),"",NETWORKDAYS(AC1335,TODAY(),#REF!)))</f>
        <v/>
      </c>
      <c r="AF1335" s="597" t="str">
        <f>IFERROR(INDEX(produtos_escape2!M:M,MATCH(Controle!H1335,produtos_escape2!A:A,0)),"")</f>
        <v>LUVA NITRÍLICA G</v>
      </c>
    </row>
    <row r="1336" spans="1:32" ht="14.25" customHeight="1">
      <c r="A1336" s="176" t="s">
        <v>8339</v>
      </c>
      <c r="B1336" s="176" t="s">
        <v>7207</v>
      </c>
      <c r="C1336" s="177">
        <v>44179</v>
      </c>
      <c r="D1336" s="176" t="s">
        <v>10579</v>
      </c>
      <c r="E1336" s="176" t="s">
        <v>1865</v>
      </c>
      <c r="F1336" s="259" t="s">
        <v>10580</v>
      </c>
      <c r="G1336" s="176">
        <v>1</v>
      </c>
      <c r="H1336" s="178">
        <v>36966</v>
      </c>
      <c r="I1336" s="592">
        <f t="shared" si="57"/>
        <v>1</v>
      </c>
      <c r="J1336" s="178" t="s">
        <v>816</v>
      </c>
      <c r="K1336" s="178" t="s">
        <v>816</v>
      </c>
      <c r="L1336" s="275" t="str">
        <f>IF(H:H=0,"",IF(ISERROR(VLOOKUP(H:H,produtos_escape2!$A$2:$B$2794,2,FALSE)),"Código não cadastrado",(VLOOKUP(H:H,produtos_escape2!$A$2:$B$2794,2,FALSE))))</f>
        <v xml:space="preserve">CAMISOLA ADULTO Tamanho G. De acordo com as normas ABNT NBR 16060:2012; NBR 14726:2001 e NBR 12071:2002. Aplicação: para pacientes adultos. Material: tecido tela pré-lavado e pré encolhido, liso, cor amarelo claro, em tecido composição sarja 2:1;  67% poliéster e 33% algodão, gramatura mínima 225 gr/m², com variação de ±5%. Linha 100% algodão. Manequim: 44/46. Características: conjunto feito com costura dupla com linha 100% algodão, com acabamento em overlock com linha 100% algodão.
MEDIDAS:
Comprimento total (soma da extensão posterior do tronco com o comprimento da cintura ao terço distal da coxa): 120 cm
comprimento da cintura ao terço distal da coxa): 120 cm
Perímetro do pescoço: 41 cm
Perímetro do tórax: 110 cm
Contorno de cava: 53 cm
Comprimento manga curta: 24,5 cm
Perímetro do bíceps: 40 cm
Comprimento ombro a ombro: 50 cm
Extensão posterior do tronco: 47 cm
Dimensões dos bolsos: 20 X 16 cm
Decote redondo com gola careca. Fechamento transpassado da camisola com velcro com costura reforçada. O transpasse interno deverá ser fixado com duas tiras de 3 cm de largura e 20 cm de comprimento, com velcro, que atravessam duas pequenas aberturas na lateral da camisola (A primeira abertura deverá ser a 5 cm abaixo da cava e, a segunda, na cintura). As tiras deverão se fixar, separadamente, na lateral direita. O transpasse externo também deverá ser fixado com velco no ombro esquerdo, descendo até 10 cm abaixo da cintura. Gola com 3 cm de largura e barras das mangas e da camisola com 5 cm de largura. A camisola deverá possuir dois bolsos, um em cada lateral inferior, medindo 20 X 16 cm. A camisola deverá ter etiqueta indicando o nome da peça e o tamanho.
Tingimento do tecido em Idanthrem, gramatura mínima 225 gr/m², com variação de ±5%. Variação de medidas do produto acabado ± 2 cm.
Apresentar na parte frontal superior esquerda da camisola a logomarca SES-DF medindo 15x15cm na cor preta tingida em Idanthrem.
Forma de Apresentação: embalagem primária em saco plástico com no máximo 10 unidades e secundária em caixa de papelão com no máximo 100 unidades. Unidade de Estoque: Unidade. Unidade de fornecimento: Unidade.
</v>
      </c>
      <c r="M1336" s="593" t="str">
        <f>IF(H:H=0,"",IF(ISERROR(VLOOKUP(H:H,produtos_escape2!$A$2:$D$2794,2,FALSE)),"Código não cadastrado",(VLOOKUP(H:H,produtos_escape2!$A$2:$D$2794,4,FALSE))))</f>
        <v>UN</v>
      </c>
      <c r="N1336" s="486">
        <v>400</v>
      </c>
      <c r="O1336" s="176" t="s">
        <v>4149</v>
      </c>
      <c r="P1336" s="486">
        <v>400</v>
      </c>
      <c r="Q1336" s="247">
        <v>24.9</v>
      </c>
      <c r="R1336" s="246">
        <f t="shared" si="55"/>
        <v>9960</v>
      </c>
      <c r="S1336" s="177">
        <v>44181</v>
      </c>
      <c r="T1336" s="182"/>
      <c r="U1336" s="177"/>
      <c r="V1336" s="177"/>
      <c r="W1336" s="177"/>
      <c r="X1336" s="176"/>
      <c r="Y1336" s="177"/>
      <c r="Z1336" s="415">
        <v>6</v>
      </c>
      <c r="AA1336" s="488" t="s">
        <v>10693</v>
      </c>
      <c r="AB1336" s="594"/>
      <c r="AC1336" s="595"/>
      <c r="AD1336" s="596" t="str">
        <f>IF(AND(AC1336&lt;&gt;"",S1336&lt;&gt;""),NETWORKDAYS(AC1336,S1336,#REF!),"")</f>
        <v/>
      </c>
      <c r="AE1336" s="596" t="str">
        <f ca="1">IF(AND(AD1336="",AC1336=""),"",IF(OR(AD1336&lt;&gt;"",O1336="*CANCELADO"),"",NETWORKDAYS(AC1336,TODAY(),#REF!)))</f>
        <v/>
      </c>
      <c r="AF1336" s="597" t="str">
        <f>IFERROR(INDEX(produtos_escape2!M:M,MATCH(Controle!H1336,produtos_escape2!A:A,0)),"")</f>
        <v>CAMISOLA ADULTO Tamanho G. De acordo com as normas ABNT NBR 16060:2012; NBR 14726:2001 e NBR 12071:2002.</v>
      </c>
    </row>
    <row r="1337" spans="1:32" ht="14.25" customHeight="1">
      <c r="A1337" s="176" t="s">
        <v>8334</v>
      </c>
      <c r="B1337" s="176" t="s">
        <v>7207</v>
      </c>
      <c r="C1337" s="177">
        <v>44179</v>
      </c>
      <c r="D1337" s="176" t="s">
        <v>10583</v>
      </c>
      <c r="E1337" s="176" t="s">
        <v>1866</v>
      </c>
      <c r="F1337" s="259" t="s">
        <v>10584</v>
      </c>
      <c r="G1337" s="176">
        <v>1</v>
      </c>
      <c r="H1337" s="178">
        <v>16184</v>
      </c>
      <c r="I1337" s="592">
        <f t="shared" si="57"/>
        <v>1</v>
      </c>
      <c r="J1337" s="178" t="s">
        <v>816</v>
      </c>
      <c r="K1337" s="178" t="s">
        <v>816</v>
      </c>
      <c r="L1337" s="275" t="str">
        <f>IF(H:H=0,"",IF(ISERROR(VLOOKUP(H:H,produtos_escape2!$A$2:$B$2794,2,FALSE)),"Código não cadastrado",(VLOOKUP(H:H,produtos_escape2!$A$2:$B$2794,2,FALSE))))</f>
        <v xml:space="preserve">CONJUNTO PRIVATIVO ENFERMAGEM CENTRO CIRÚRGICO E HEMODINÂMICA Tamanho M.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40/42. Características: conjunto feito com costura dupla com linha 100% algodão, com acabamento em overlock com linha 100% algodão.
MEDIDAS:
CAMISA:
Comprimento total (soma da extensão posterior do tronco com o comprimento da cintura ao terço proximal da coxa): 80 cm
Perímetro do pescoço: 39 cm
Perímetro do tórax: 102 cm
Contorno de cava: 51cm
Comprimento manga curta: 23,5 cm
Perímetro do bíceps:36 cm
Comprimento ombro a ombro: 48 cm
Extensão posterior do tronco: 45 cm
Dimensões dos bolsos: 20 X 16 cm
CALÇA:
Perímetro da cintura: 84 cm
Perímetro do quadril: 102 cm
Perímetro da coxa e perna: 55 cm
Comprimento da cintura ao solo: 110 cm
Altura do entrepernas: 81 cm
Comprimento consolidado do gancho dianteiro e do gancho traseiro: 67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1337" s="593" t="str">
        <f>IF(H:H=0,"",IF(ISERROR(VLOOKUP(H:H,produtos_escape2!$A$2:$D$2794,2,FALSE)),"Código não cadastrado",(VLOOKUP(H:H,produtos_escape2!$A$2:$D$2794,4,FALSE))))</f>
        <v>UN</v>
      </c>
      <c r="N1337" s="486">
        <v>500</v>
      </c>
      <c r="O1337" s="176" t="s">
        <v>1868</v>
      </c>
      <c r="P1337" s="486"/>
      <c r="Q1337" s="247"/>
      <c r="R1337" s="246">
        <f t="shared" si="55"/>
        <v>0</v>
      </c>
      <c r="S1337" s="177">
        <v>44188</v>
      </c>
      <c r="T1337" s="182"/>
      <c r="U1337" s="177"/>
      <c r="V1337" s="177"/>
      <c r="W1337" s="177"/>
      <c r="X1337" s="176"/>
      <c r="Y1337" s="177"/>
      <c r="Z1337" s="415">
        <v>6</v>
      </c>
      <c r="AA1337" s="488" t="s">
        <v>10679</v>
      </c>
      <c r="AB1337" s="594"/>
      <c r="AC1337" s="595"/>
      <c r="AD1337" s="596" t="str">
        <f>IF(AND(AC1337&lt;&gt;"",S1337&lt;&gt;""),NETWORKDAYS(AC1337,S1337,#REF!),"")</f>
        <v/>
      </c>
      <c r="AE1337" s="596" t="str">
        <f ca="1">IF(AND(AD1337="",AC1337=""),"",IF(OR(AD1337&lt;&gt;"",O1337="*CANCELADO"),"",NETWORKDAYS(AC1337,TODAY(),#REF!)))</f>
        <v/>
      </c>
      <c r="AF1337" s="597" t="str">
        <f>IFERROR(INDEX(produtos_escape2!M:M,MATCH(Controle!H1337,produtos_escape2!A:A,0)),"")</f>
        <v>CONJUNTO PRIVATIVO ENFERMAGEM CENTRO CIRÚRGICO E HEMODINÂMICA  Tamanho M. De acordo com as normas ABNT NBR 16060:2012; NBR 14726:2001 e NBR 12071:2002.</v>
      </c>
    </row>
    <row r="1338" spans="1:32" ht="14.25" customHeight="1">
      <c r="A1338" s="176" t="s">
        <v>8334</v>
      </c>
      <c r="B1338" s="176" t="s">
        <v>7207</v>
      </c>
      <c r="C1338" s="177">
        <v>44179</v>
      </c>
      <c r="D1338" s="176" t="s">
        <v>10583</v>
      </c>
      <c r="E1338" s="176" t="s">
        <v>1866</v>
      </c>
      <c r="F1338" s="259" t="s">
        <v>10584</v>
      </c>
      <c r="G1338" s="176">
        <v>2</v>
      </c>
      <c r="H1338" s="178">
        <v>16185</v>
      </c>
      <c r="I1338" s="592">
        <f t="shared" si="57"/>
        <v>2</v>
      </c>
      <c r="J1338" s="178" t="s">
        <v>816</v>
      </c>
      <c r="K1338" s="178" t="s">
        <v>816</v>
      </c>
      <c r="L1338" s="275" t="str">
        <f>IF(H:H=0,"",IF(ISERROR(VLOOKUP(H:H,produtos_escape2!$A$2:$B$2794,2,FALSE)),"Código não cadastrado",(VLOOKUP(H:H,produtos_escape2!$A$2:$B$2794,2,FALSE))))</f>
        <v xml:space="preserve">CONJUNTO PRIVATIVO ENFERMAGEM CENTRO CIRÚRGICO E HEMODINÂMICA  Tamanho 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44/46. Características: conjunto feito com costura dupla com linha 100% algodão, com acabamento em overlock com linha 100% algodão. MEDIDAS: CAMISA: Comprimento total (soma da extensão posterior do tronco com o comprimento da cintura ao terço proximal da coxa): 85 cm; Perímetro do pescoço: 46 cm; Perímetro do tórax: 110 cm: Contorno de cava: 53 cm; Comprimento manga curta: 24,5 cm; Perímetro do bíceps: 40 cm; Comprimento ombro a ombro: 50 cm; Extensão posterior do tronco: 47 cm; Dimensões dos bolsos: 20 X 16 cm: CALÇA: Perímetro da cintura: 92 cm; Perímetro do quadril: 110 cm; Perímetro da coxa e perna: 65 cm; Comprimento da cintura ao solo: 114 cm; Altura do entrepernas: 83 cm; Comprimento  consolidado do gancho dianteiro e do gancho traseiro: 71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1338" s="593" t="str">
        <f>IF(H:H=0,"",IF(ISERROR(VLOOKUP(H:H,produtos_escape2!$A$2:$D$2794,2,FALSE)),"Código não cadastrado",(VLOOKUP(H:H,produtos_escape2!$A$2:$D$2794,4,FALSE))))</f>
        <v>UN</v>
      </c>
      <c r="N1338" s="486">
        <v>500</v>
      </c>
      <c r="O1338" s="176" t="s">
        <v>1868</v>
      </c>
      <c r="P1338" s="486"/>
      <c r="Q1338" s="247"/>
      <c r="R1338" s="246">
        <f t="shared" si="55"/>
        <v>0</v>
      </c>
      <c r="S1338" s="177">
        <v>44188</v>
      </c>
      <c r="T1338" s="182"/>
      <c r="U1338" s="177"/>
      <c r="V1338" s="177"/>
      <c r="W1338" s="177"/>
      <c r="X1338" s="176"/>
      <c r="Y1338" s="177"/>
      <c r="Z1338" s="415">
        <v>6</v>
      </c>
      <c r="AA1338" s="488" t="s">
        <v>10679</v>
      </c>
      <c r="AB1338" s="594"/>
      <c r="AC1338" s="595"/>
      <c r="AD1338" s="596" t="str">
        <f>IF(AND(AC1338&lt;&gt;"",S1338&lt;&gt;""),NETWORKDAYS(AC1338,S1338,#REF!),"")</f>
        <v/>
      </c>
      <c r="AE1338" s="596" t="str">
        <f ca="1">IF(AND(AD1338="",AC1338=""),"",IF(OR(AD1338&lt;&gt;"",O1338="*CANCELADO"),"",NETWORKDAYS(AC1338,TODAY(),#REF!)))</f>
        <v/>
      </c>
      <c r="AF1338" s="597" t="str">
        <f>IFERROR(INDEX(produtos_escape2!M:M,MATCH(Controle!H1338,produtos_escape2!A:A,0)),"")</f>
        <v>CONJUNTO PRIVATIVO ENFERMAGEM CENTRO CIRURGICO E HEMODINAMICA</v>
      </c>
    </row>
    <row r="1339" spans="1:32" ht="14.25" customHeight="1">
      <c r="A1339" s="176" t="s">
        <v>8334</v>
      </c>
      <c r="B1339" s="176" t="s">
        <v>7207</v>
      </c>
      <c r="C1339" s="177">
        <v>44179</v>
      </c>
      <c r="D1339" s="176" t="s">
        <v>10583</v>
      </c>
      <c r="E1339" s="176" t="s">
        <v>1866</v>
      </c>
      <c r="F1339" s="259" t="s">
        <v>10584</v>
      </c>
      <c r="G1339" s="176">
        <v>3</v>
      </c>
      <c r="H1339" s="178">
        <v>16186</v>
      </c>
      <c r="I1339" s="592">
        <f t="shared" si="57"/>
        <v>2</v>
      </c>
      <c r="J1339" s="178" t="s">
        <v>816</v>
      </c>
      <c r="K1339" s="178" t="s">
        <v>816</v>
      </c>
      <c r="L1339" s="275" t="str">
        <f>IF(H:H=0,"",IF(ISERROR(VLOOKUP(H:H,produtos_escape2!$A$2:$B$2794,2,FALSE)),"Código não cadastrado",(VLOOKUP(H:H,produtos_escape2!$A$2:$B$2794,2,FALSE))))</f>
        <v xml:space="preserve">CONJUNTO PRIVATIVO ENFERMAGEM  CENTRO CIRÚRGICO E HEMODINÂMICA  Tamanho GG. De acordo com as normas ABNT NBR 16060:2012; NBR 14726:2001 e NBR 12071:2002. Aplicação: para servidor da Enfermagem que atua em Centro Cirúrgico e Hemodinâmica. Material: tecido tela pré-lavado e pré encolhido, liso, cor verde oliva, em tecido composição sarja 2:1;  67% poliéster e 33% algodão, gramatura mínima 225 gr/m², com variação de ±5%. Linha 100% algodão. Manequim: 48/50. Características: conjunto feito com costura dupla com linha 100% algodão, com acabamento em overlock com linha 100% algodão. MEDIDAS: CAMISA: Comprimento total (soma da extensão posterior do tronco com o comprimento da cintura ao terço proximal da coxa): 90 cm; Perímetro do pescoço: 50 cm;Perímetro do tórax: 118 cm; Contorno de cava: 55 cm; Comprimento manga curta: 25,5 cm; Perímetro do bíceps: 44 cm; Comprimento ombro a ombro: 52 cm; Extensão posterior do tronco: 48,5 cm; Dimensões dos bolsos: 20 X 16 cm; CALÇA:
Perímetro da cintura: 100 cm; Perímetro do quadril: 118 cm; Perímetro da coxa e perna: 75 cm; Comprimento da cintura ao solo: 115 cm; Altura do entrepernas: 85 cm; Comprimento  consolidado do gancho dianteiro e do gancho traseiro: 75 cm; Decote redondo com gola careca. Gola com 3 cm de largura; barras das mangas com 5 cm de largura e barras das pernas com 08 cm de largura; sendo gola e barras das mangas e das pernas em ribana branca dupla de 100% poliéster. A ribana das barras das mangas e das pernas deverá ficar ajustada de maneira firme e confortável ao corpo do indivíduo. A camisa deverá possuir dois bolsos, um em cada lateral inferior, medindo 20 X 16 cm. A cintura da calça deverá possuir cós com 04 (quatro) cm, por onde passa um elástico e possuir costura reforçada. O conjunto deverá ter etiqueta indicando o tamanho na camisa e da calça. Tingimento do tecido em Idanthrem, gramatura mínima de 225 gr/m², com variação de ±3%. Variação de medidas do produto acabado ± 2 cm. Apresentar na parte frontal superior esquerda da camisa e na coxa esquerda da calça    logomarca SES-DF medindo 15x15cm e, abaixo, escrito ENFERMAGEM CC/HD, em letra maiúscula tamanho da fonte 4 cm, ambos na cor branca tingida em Idanthrem. Forma de Apresentação: embalagem primária em saco plástico com no máximo 10 unidades e secundária em caixa de papelão com no máximo 100 unidades. Unidade de Estoque: Unidade. Unidade de fornecimento: Unidade.
</v>
      </c>
      <c r="M1339" s="593" t="str">
        <f>IF(H:H=0,"",IF(ISERROR(VLOOKUP(H:H,produtos_escape2!$A$2:$D$2794,2,FALSE)),"Código não cadastrado",(VLOOKUP(H:H,produtos_escape2!$A$2:$D$2794,4,FALSE))))</f>
        <v>UN</v>
      </c>
      <c r="N1339" s="486">
        <v>500</v>
      </c>
      <c r="O1339" s="176" t="s">
        <v>1868</v>
      </c>
      <c r="P1339" s="486"/>
      <c r="Q1339" s="247"/>
      <c r="R1339" s="246">
        <f t="shared" si="55"/>
        <v>0</v>
      </c>
      <c r="S1339" s="177">
        <v>44188</v>
      </c>
      <c r="T1339" s="182"/>
      <c r="U1339" s="177"/>
      <c r="V1339" s="177"/>
      <c r="W1339" s="177"/>
      <c r="X1339" s="176"/>
      <c r="Y1339" s="177"/>
      <c r="Z1339" s="415">
        <v>6</v>
      </c>
      <c r="AA1339" s="488" t="s">
        <v>10679</v>
      </c>
      <c r="AB1339" s="594"/>
      <c r="AC1339" s="595"/>
      <c r="AD1339" s="596" t="str">
        <f>IF(AND(AC1339&lt;&gt;"",S1339&lt;&gt;""),NETWORKDAYS(AC1339,S1339,#REF!),"")</f>
        <v/>
      </c>
      <c r="AE1339" s="596" t="str">
        <f ca="1">IF(AND(AD1339="",AC1339=""),"",IF(OR(AD1339&lt;&gt;"",O1339="*CANCELADO"),"",NETWORKDAYS(AC1339,TODAY(),#REF!)))</f>
        <v/>
      </c>
      <c r="AF1339" s="597" t="str">
        <f>IFERROR(INDEX(produtos_escape2!M:M,MATCH(Controle!H1339,produtos_escape2!A:A,0)),"")</f>
        <v>CONJUNTO PRIVATIVO ENFERMAGEM CENTRO CIRURGICO E HEMODINAMICA</v>
      </c>
    </row>
    <row r="1340" spans="1:32" ht="14.25" customHeight="1">
      <c r="A1340" s="176" t="s">
        <v>8330</v>
      </c>
      <c r="B1340" s="176" t="s">
        <v>7207</v>
      </c>
      <c r="C1340" s="177">
        <v>44179</v>
      </c>
      <c r="D1340" s="176" t="s">
        <v>10587</v>
      </c>
      <c r="E1340" s="176" t="s">
        <v>1865</v>
      </c>
      <c r="F1340" s="259" t="s">
        <v>10588</v>
      </c>
      <c r="G1340" s="176">
        <v>1</v>
      </c>
      <c r="H1340" s="178">
        <v>17012</v>
      </c>
      <c r="I1340" s="592">
        <f t="shared" si="57"/>
        <v>1</v>
      </c>
      <c r="J1340" s="178" t="s">
        <v>816</v>
      </c>
      <c r="K1340" s="178" t="s">
        <v>816</v>
      </c>
      <c r="L1340" s="275" t="str">
        <f>IF(H:H=0,"",IF(ISERROR(VLOOKUP(H:H,produtos_escape2!$A$2:$B$2794,2,FALSE)),"Código não cadastrado",(VLOOKUP(H:H,produtos_escape2!$A$2:$B$2794,2,FALSE))))</f>
        <v>ROLO DE POSICIONAMENTO,Características Mínimas: grande. Confeccionado em espuma; revestido em couvin, medindo 60 x 20 cm (variação de +/- 5%).
Código do Item: 3.3.90.30.36.01.1503.000003-01</v>
      </c>
      <c r="M1340" s="593" t="str">
        <f>IF(H:H=0,"",IF(ISERROR(VLOOKUP(H:H,produtos_escape2!$A$2:$D$2794,2,FALSE)),"Código não cadastrado",(VLOOKUP(H:H,produtos_escape2!$A$2:$D$2794,4,FALSE))))</f>
        <v>UN</v>
      </c>
      <c r="N1340" s="486">
        <v>150</v>
      </c>
      <c r="O1340" s="176" t="s">
        <v>1868</v>
      </c>
      <c r="P1340" s="486"/>
      <c r="Q1340" s="247"/>
      <c r="R1340" s="246">
        <f t="shared" si="55"/>
        <v>0</v>
      </c>
      <c r="S1340" s="177">
        <v>44188</v>
      </c>
      <c r="T1340" s="182"/>
      <c r="U1340" s="177"/>
      <c r="V1340" s="177"/>
      <c r="W1340" s="177"/>
      <c r="X1340" s="176"/>
      <c r="Y1340" s="177"/>
      <c r="Z1340" s="415">
        <v>6</v>
      </c>
      <c r="AA1340" s="488" t="s">
        <v>10679</v>
      </c>
      <c r="AB1340" s="594"/>
      <c r="AC1340" s="595"/>
      <c r="AD1340" s="596" t="str">
        <f>IF(AND(AC1340&lt;&gt;"",S1340&lt;&gt;""),NETWORKDAYS(AC1340,S1340,#REF!),"")</f>
        <v/>
      </c>
      <c r="AE1340" s="596" t="str">
        <f ca="1">IF(AND(AD1340="",AC1340=""),"",IF(OR(AD1340&lt;&gt;"",O1340="*CANCELADO"),"",NETWORKDAYS(AC1340,TODAY(),#REF!)))</f>
        <v/>
      </c>
      <c r="AF1340" s="597" t="str">
        <f>IFERROR(INDEX(produtos_escape2!M:M,MATCH(Controle!H1340,produtos_escape2!A:A,0)),"")</f>
        <v>ROLO DE POSICIONAMENTO,</v>
      </c>
    </row>
    <row r="1341" spans="1:32" ht="14.25" customHeight="1">
      <c r="A1341" s="176" t="s">
        <v>8327</v>
      </c>
      <c r="B1341" s="176" t="s">
        <v>7207</v>
      </c>
      <c r="C1341" s="177">
        <v>44179</v>
      </c>
      <c r="D1341" s="176" t="s">
        <v>10591</v>
      </c>
      <c r="E1341" s="176" t="s">
        <v>1865</v>
      </c>
      <c r="F1341" s="259" t="s">
        <v>10592</v>
      </c>
      <c r="G1341" s="176">
        <v>1</v>
      </c>
      <c r="H1341" s="178">
        <v>20508</v>
      </c>
      <c r="I1341" s="592">
        <f t="shared" si="57"/>
        <v>1</v>
      </c>
      <c r="J1341" s="178" t="s">
        <v>816</v>
      </c>
      <c r="K1341" s="178" t="s">
        <v>816</v>
      </c>
      <c r="L1341" s="275" t="str">
        <f>IF(H:H=0,"",IF(ISERROR(VLOOKUP(H:H,produtos_escape2!$A$2:$B$2794,2,FALSE)),"Código não cadastrado",(VLOOKUP(H:H,produtos_escape2!$A$2:$B$2794,2,FALSE))))</f>
        <v>TRAVESSEIRO, Material: Revestido em courvim, preenchimento 100% espuma, Dimensões: 54 x 34 cm.</v>
      </c>
      <c r="M1341" s="593" t="str">
        <f>IF(H:H=0,"",IF(ISERROR(VLOOKUP(H:H,produtos_escape2!$A$2:$D$2794,2,FALSE)),"Código não cadastrado",(VLOOKUP(H:H,produtos_escape2!$A$2:$D$2794,4,FALSE))))</f>
        <v>UN</v>
      </c>
      <c r="N1341" s="486">
        <v>60</v>
      </c>
      <c r="O1341" s="176" t="s">
        <v>1868</v>
      </c>
      <c r="P1341" s="486"/>
      <c r="Q1341" s="247"/>
      <c r="R1341" s="246">
        <f t="shared" si="55"/>
        <v>0</v>
      </c>
      <c r="S1341" s="177">
        <v>44188</v>
      </c>
      <c r="T1341" s="182"/>
      <c r="U1341" s="177"/>
      <c r="V1341" s="177"/>
      <c r="W1341" s="177"/>
      <c r="X1341" s="176"/>
      <c r="Y1341" s="177"/>
      <c r="Z1341" s="415">
        <v>6</v>
      </c>
      <c r="AA1341" s="488" t="s">
        <v>10679</v>
      </c>
      <c r="AB1341" s="594"/>
      <c r="AC1341" s="595"/>
      <c r="AD1341" s="596" t="str">
        <f>IF(AND(AC1341&lt;&gt;"",S1341&lt;&gt;""),NETWORKDAYS(AC1341,S1341,#REF!),"")</f>
        <v/>
      </c>
      <c r="AE1341" s="596" t="str">
        <f ca="1">IF(AND(AD1341="",AC1341=""),"",IF(OR(AD1341&lt;&gt;"",O1341="*CANCELADO"),"",NETWORKDAYS(AC1341,TODAY(),#REF!)))</f>
        <v/>
      </c>
      <c r="AF1341" s="597" t="str">
        <f>IFERROR(INDEX(produtos_escape2!M:M,MATCH(Controle!H1341,produtos_escape2!A:A,0)),"")</f>
        <v>TRAVESSEIRO</v>
      </c>
    </row>
    <row r="1342" spans="1:32" ht="14.25" customHeight="1">
      <c r="A1342" s="176" t="s">
        <v>8327</v>
      </c>
      <c r="B1342" s="176" t="s">
        <v>7207</v>
      </c>
      <c r="C1342" s="177">
        <v>44179</v>
      </c>
      <c r="D1342" s="176" t="s">
        <v>10591</v>
      </c>
      <c r="E1342" s="176" t="s">
        <v>1865</v>
      </c>
      <c r="F1342" s="259" t="s">
        <v>10592</v>
      </c>
      <c r="G1342" s="176">
        <v>2</v>
      </c>
      <c r="H1342" s="178">
        <v>14006</v>
      </c>
      <c r="I1342" s="592">
        <f t="shared" si="57"/>
        <v>1</v>
      </c>
      <c r="J1342" s="178" t="s">
        <v>816</v>
      </c>
      <c r="K1342" s="178" t="s">
        <v>816</v>
      </c>
      <c r="L1342" s="275" t="str">
        <f>IF(H:H=0,"",IF(ISERROR(VLOOKUP(H:H,produtos_escape2!$A$2:$B$2794,2,FALSE)),"Código não cadastrado",(VLOOKUP(H:H,produtos_escape2!$A$2:$B$2794,2,FALSE))))</f>
        <v>FRONHA ADULTO, Aplicação: forrar travesseiro de paciente, Material: tecido liso, cor branca, 50% algodão e 50% poliéster, Linha 100% algodão, Tamanho: 50x70cm, Características: Peça simples com costuras laterais, fechamento tipo envelope, Tecido tela 50% algodão 50% poliéster  fio 30, 105 no urdume e 75 na trama, tingimento em idantrem encolhimento 5% no Urdume e 3% na trama, peso mínimo 126g/m², Apresentar na fronha a logomarca da SES-DF medindo 15x15cm centralizada e sigla do hospital em todos os cantos, Forma de Apresentação: Embalagem primária em saco plástico com 10 unidades e secundaria em caixa de papelão com no máximo 100 unidades, Unidade de Estoque: Unidade, Unidade de fornecimento: Unidade</v>
      </c>
      <c r="M1342" s="593" t="str">
        <f>IF(H:H=0,"",IF(ISERROR(VLOOKUP(H:H,produtos_escape2!$A$2:$D$2794,2,FALSE)),"Código não cadastrado",(VLOOKUP(H:H,produtos_escape2!$A$2:$D$2794,4,FALSE))))</f>
        <v>UN</v>
      </c>
      <c r="N1342" s="486">
        <v>120</v>
      </c>
      <c r="O1342" s="176" t="s">
        <v>1868</v>
      </c>
      <c r="P1342" s="486"/>
      <c r="Q1342" s="247"/>
      <c r="R1342" s="246">
        <f t="shared" si="55"/>
        <v>0</v>
      </c>
      <c r="S1342" s="177">
        <v>44188</v>
      </c>
      <c r="T1342" s="182"/>
      <c r="U1342" s="177"/>
      <c r="V1342" s="177"/>
      <c r="W1342" s="177"/>
      <c r="X1342" s="176"/>
      <c r="Y1342" s="177"/>
      <c r="Z1342" s="415">
        <v>6</v>
      </c>
      <c r="AA1342" s="488" t="s">
        <v>10679</v>
      </c>
      <c r="AB1342" s="594"/>
      <c r="AC1342" s="595"/>
      <c r="AD1342" s="596" t="str">
        <f>IF(AND(AC1342&lt;&gt;"",S1342&lt;&gt;""),NETWORKDAYS(AC1342,S1342,#REF!),"")</f>
        <v/>
      </c>
      <c r="AE1342" s="596" t="str">
        <f ca="1">IF(AND(AD1342="",AC1342=""),"",IF(OR(AD1342&lt;&gt;"",O1342="*CANCELADO"),"",NETWORKDAYS(AC1342,TODAY(),#REF!)))</f>
        <v/>
      </c>
      <c r="AF1342" s="597" t="str">
        <f>IFERROR(INDEX(produtos_escape2!M:M,MATCH(Controle!H1342,produtos_escape2!A:A,0)),"")</f>
        <v>FRONHA ADULTO</v>
      </c>
    </row>
    <row r="1343" spans="1:32" ht="14.25" customHeight="1">
      <c r="A1343" s="176" t="s">
        <v>8374</v>
      </c>
      <c r="B1343" s="176" t="s">
        <v>7207</v>
      </c>
      <c r="C1343" s="177">
        <v>44179</v>
      </c>
      <c r="D1343" s="176" t="s">
        <v>10593</v>
      </c>
      <c r="E1343" s="176"/>
      <c r="F1343" s="259" t="s">
        <v>10594</v>
      </c>
      <c r="G1343" s="176">
        <v>1</v>
      </c>
      <c r="H1343" s="178">
        <v>35207</v>
      </c>
      <c r="I1343" s="592">
        <f t="shared" si="57"/>
        <v>1</v>
      </c>
      <c r="J1343" s="178" t="s">
        <v>816</v>
      </c>
      <c r="K1343" s="178" t="s">
        <v>816</v>
      </c>
      <c r="L1343" s="275" t="str">
        <f>IF(H:H=0,"",IF(ISERROR(VLOOKUP(H:H,produtos_escape2!$A$2:$B$2794,2,FALSE)),"Código não cadastrado",(VLOOKUP(H:H,produtos_escape2!$A$2:$B$2794,2,FALSE))))</f>
        <v>Código não cadastrado</v>
      </c>
      <c r="M1343" s="593" t="str">
        <f>IF(H:H=0,"",IF(ISERROR(VLOOKUP(H:H,produtos_escape2!$A$2:$D$2794,2,FALSE)),"Código não cadastrado",(VLOOKUP(H:H,produtos_escape2!$A$2:$D$2794,4,FALSE))))</f>
        <v>Código não cadastrado</v>
      </c>
      <c r="N1343" s="486">
        <v>6</v>
      </c>
      <c r="O1343" s="176" t="s">
        <v>1868</v>
      </c>
      <c r="P1343" s="486"/>
      <c r="Q1343" s="247"/>
      <c r="R1343" s="246">
        <f t="shared" si="55"/>
        <v>0</v>
      </c>
      <c r="S1343" s="177"/>
      <c r="T1343" s="182"/>
      <c r="U1343" s="177"/>
      <c r="V1343" s="177"/>
      <c r="W1343" s="177"/>
      <c r="X1343" s="176"/>
      <c r="Y1343" s="177"/>
      <c r="Z1343" s="415">
        <v>6</v>
      </c>
      <c r="AA1343" s="488" t="s">
        <v>10712</v>
      </c>
      <c r="AB1343" s="594"/>
      <c r="AC1343" s="595"/>
      <c r="AD1343" s="596" t="str">
        <f>IF(AND(AC1343&lt;&gt;"",S1343&lt;&gt;""),NETWORKDAYS(AC1343,S1343,#REF!),"")</f>
        <v/>
      </c>
      <c r="AE1343" s="596" t="str">
        <f ca="1">IF(AND(AD1343="",AC1343=""),"",IF(OR(AD1343&lt;&gt;"",O1343="*CANCELADO"),"",NETWORKDAYS(AC1343,TODAY(),#REF!)))</f>
        <v/>
      </c>
      <c r="AF1343" s="597" t="str">
        <f>IFERROR(INDEX(produtos_escape2!M:M,MATCH(Controle!H1343,produtos_escape2!A:A,0)),"")</f>
        <v/>
      </c>
    </row>
    <row r="1344" spans="1:32" ht="14.25" customHeight="1">
      <c r="A1344" s="176" t="s">
        <v>8303</v>
      </c>
      <c r="B1344" s="176" t="s">
        <v>7207</v>
      </c>
      <c r="C1344" s="177">
        <v>44179</v>
      </c>
      <c r="D1344" s="176" t="s">
        <v>10595</v>
      </c>
      <c r="E1344" s="176"/>
      <c r="F1344" s="259" t="s">
        <v>10596</v>
      </c>
      <c r="G1344" s="176">
        <v>1</v>
      </c>
      <c r="H1344" s="178">
        <v>201158</v>
      </c>
      <c r="I1344" s="592">
        <f t="shared" si="57"/>
        <v>7</v>
      </c>
      <c r="J1344" s="667"/>
      <c r="K1344" s="667"/>
      <c r="L1344" s="275" t="str">
        <f>IF(H:H=0,"",IF(ISERROR(VLOOKUP(H:H,produtos_escape2!$A$2:$B$2794,2,FALSE)),"Código não cadastrado",(VLOOKUP(H:H,produtos_escape2!$A$2:$B$2794,2,FALSE))))</f>
        <v>SAPATILHA DESCARTÁVEL. Material: polipropileno antiderrapante, Características Adicionais: gramatura mínima de 40g/m², resistente, com acabamento elástico que permita bom ajuste e cobertura completa do calçado até o tornozelo. Tamanho com aproximadamente 35 cm de comprimento por 20 cm de altura. Embalagem com 50 pares (100 unidades). Unidade de estoque: par (PAR). Unidade de fornecimento: par.</v>
      </c>
      <c r="M1344" s="593" t="str">
        <f>IF(H:H=0,"",IF(ISERROR(VLOOKUP(H:H,produtos_escape2!$A$2:$D$2794,2,FALSE)),"Código não cadastrado",(VLOOKUP(H:H,produtos_escape2!$A$2:$D$2794,4,FALSE))))</f>
        <v>PR</v>
      </c>
      <c r="N1344" s="486">
        <v>20000</v>
      </c>
      <c r="O1344" s="176" t="s">
        <v>1868</v>
      </c>
      <c r="P1344" s="486"/>
      <c r="Q1344" s="247"/>
      <c r="R1344" s="246">
        <f t="shared" si="55"/>
        <v>0</v>
      </c>
      <c r="S1344" s="177"/>
      <c r="T1344" s="182"/>
      <c r="U1344" s="177"/>
      <c r="V1344" s="177"/>
      <c r="W1344" s="177"/>
      <c r="X1344" s="176"/>
      <c r="Y1344" s="177"/>
      <c r="Z1344" s="415">
        <v>6</v>
      </c>
      <c r="AA1344" s="488" t="s">
        <v>10636</v>
      </c>
      <c r="AB1344" s="594"/>
      <c r="AC1344" s="595"/>
      <c r="AD1344" s="596" t="str">
        <f>IF(AND(AC1344&lt;&gt;"",S1344&lt;&gt;""),NETWORKDAYS(AC1344,S1344,#REF!),"")</f>
        <v/>
      </c>
      <c r="AE1344" s="596" t="str">
        <f ca="1">IF(AND(AD1344="",AC1344=""),"",IF(OR(AD1344&lt;&gt;"",O1344="*CANCELADO"),"",NETWORKDAYS(AC1344,TODAY(),#REF!)))</f>
        <v/>
      </c>
      <c r="AF1344" s="597" t="str">
        <f>IFERROR(INDEX(produtos_escape2!M:M,MATCH(Controle!H1344,produtos_escape2!A:A,0)),"")</f>
        <v>SAPATILHA DESCARTÁVEL</v>
      </c>
    </row>
    <row r="1345" spans="1:32" ht="14.25" customHeight="1">
      <c r="A1345" s="176" t="s">
        <v>8307</v>
      </c>
      <c r="B1345" s="176" t="s">
        <v>7207</v>
      </c>
      <c r="C1345" s="177">
        <v>44179</v>
      </c>
      <c r="D1345" s="176" t="s">
        <v>10597</v>
      </c>
      <c r="E1345" s="176" t="s">
        <v>1866</v>
      </c>
      <c r="F1345" s="259" t="s">
        <v>10598</v>
      </c>
      <c r="G1345" s="176">
        <v>1</v>
      </c>
      <c r="H1345" s="178">
        <v>33094</v>
      </c>
      <c r="I1345" s="592">
        <f t="shared" si="57"/>
        <v>1</v>
      </c>
      <c r="J1345" s="178" t="s">
        <v>4381</v>
      </c>
      <c r="K1345" s="178" t="s">
        <v>4381</v>
      </c>
      <c r="L1345" s="275" t="str">
        <f>IF(H:H=0,"",IF(ISERROR(VLOOKUP(H:H,produtos_escape2!$A$2:$B$2794,2,FALSE)),"Código não cadastrado",(VLOOKUP(H:H,produtos_escape2!$A$2:$B$2794,2,FALSE))))</f>
        <v>FRALDA DESCARTÁVEL ADULTO G  DE 70 A 90KG, Material: forro interno em falso tecido microperfurado, manta de celulose regular e flocos absorventes, com acabamento em elástico regular e próximo à manta de celulose, cobertura externa impermeável em polietileno, indicador de umidade  que muda de cor alertando para a mudança da fralda, quatro fitas trilaminadas reposicionáveis para ajuste (tipo abre e fecha), Tipo Uso: adulto de 70 a 90 kg, Formato: anatômico que proporcione conforto e segurança aos movimentos do corpo, com barreira protetora delicada para evitar extravazamentos, indicador de umidade, espessa camada de gel superabsorvente, cobertura interna hipoalergênica.  Tamanho: G, Tamanho Cintura: entre 115 e 155 cm, Tipo Fixação: abre e fecha (fita adesiva trilaminada). Atender à NBR 12005 e 14797. Embalagem: pacotes de 8 a 20 unidades acondicionados em caixas de papelão ou fardos</v>
      </c>
      <c r="M1345" s="593" t="str">
        <f>IF(H:H=0,"",IF(ISERROR(VLOOKUP(H:H,produtos_escape2!$A$2:$D$2794,2,FALSE)),"Código não cadastrado",(VLOOKUP(H:H,produtos_escape2!$A$2:$D$2794,4,FALSE))))</f>
        <v>UN</v>
      </c>
      <c r="N1345" s="486">
        <v>20000</v>
      </c>
      <c r="O1345" s="176" t="s">
        <v>7371</v>
      </c>
      <c r="P1345" s="486">
        <v>19968</v>
      </c>
      <c r="Q1345" s="247">
        <v>1.06</v>
      </c>
      <c r="R1345" s="246">
        <f t="shared" si="55"/>
        <v>21166.080000000002</v>
      </c>
      <c r="S1345" s="177">
        <v>44181</v>
      </c>
      <c r="T1345" s="182">
        <v>415738</v>
      </c>
      <c r="U1345" s="177">
        <v>44182</v>
      </c>
      <c r="V1345" s="177">
        <v>44187</v>
      </c>
      <c r="W1345" s="177">
        <v>44187</v>
      </c>
      <c r="X1345" s="176" t="s">
        <v>10674</v>
      </c>
      <c r="Y1345" s="177"/>
      <c r="Z1345" s="415">
        <v>6</v>
      </c>
      <c r="AA1345" s="488" t="s">
        <v>10713</v>
      </c>
      <c r="AB1345" s="594"/>
      <c r="AC1345" s="595"/>
      <c r="AD1345" s="596" t="str">
        <f>IF(AND(AC1345&lt;&gt;"",S1345&lt;&gt;""),NETWORKDAYS(AC1345,S1345,#REF!),"")</f>
        <v/>
      </c>
      <c r="AE1345" s="596" t="str">
        <f ca="1">IF(AND(AD1345="",AC1345=""),"",IF(OR(AD1345&lt;&gt;"",O1345="*CANCELADO"),"",NETWORKDAYS(AC1345,TODAY(),#REF!)))</f>
        <v/>
      </c>
      <c r="AF1345" s="597" t="str">
        <f>IFERROR(INDEX(produtos_escape2!M:M,MATCH(Controle!H1345,produtos_escape2!A:A,0)),"")</f>
        <v>FRALDA DESCARTÁVEL ADULTO G  DE 70 A 90KG</v>
      </c>
    </row>
    <row r="1346" spans="1:32" ht="14.25" customHeight="1">
      <c r="A1346" s="176" t="s">
        <v>8307</v>
      </c>
      <c r="B1346" s="176" t="s">
        <v>7207</v>
      </c>
      <c r="C1346" s="177">
        <v>44179</v>
      </c>
      <c r="D1346" s="176" t="s">
        <v>10597</v>
      </c>
      <c r="E1346" s="176" t="s">
        <v>1866</v>
      </c>
      <c r="F1346" s="259" t="s">
        <v>10598</v>
      </c>
      <c r="G1346" s="176">
        <v>2</v>
      </c>
      <c r="H1346" s="178">
        <v>33095</v>
      </c>
      <c r="I1346" s="592">
        <f t="shared" si="57"/>
        <v>2</v>
      </c>
      <c r="J1346" s="178" t="s">
        <v>816</v>
      </c>
      <c r="K1346" s="178" t="s">
        <v>816</v>
      </c>
      <c r="L1346" s="275" t="str">
        <f>IF(H:H=0,"",IF(ISERROR(VLOOKUP(H:H,produtos_escape2!$A$2:$B$2794,2,FALSE)),"Código não cadastrado",(VLOOKUP(H:H,produtos_escape2!$A$2:$B$2794,2,FALSE))))</f>
        <v>FRALDA DESCARTÁVEL ADULTO XG, acima de 90 KG, Material: forro interno em falso tecido microperfurado, manta de celulose regular, com flocos absorventes, com acabamento regular, cobertura externa impermeável em polietileno, com indicador de umidade. Fita adesiva trilaminada. Uso: adulto com peso acima de 90 kg. Características Adicionais: formato anatômico proporcionando conforto e segurança aos movimentos do corpo; indicador de umidade, que muda de cor alertando para a mudança da fralda; com quatro fitas reposicionáveis para ajuste (tipo abre e fecha); cobertura interna hipoalergênica; espessa camada gel superabsorvente; barreiras antivazamento que proporcione proteção extra e evite transbordamento.  Que atenda a NBR 12005 e NBR 14797.  Tamanho da cintura: de 140 a 165 cm. Embalagem: pacotes com 07 a 20 unidades,</v>
      </c>
      <c r="M1346" s="593" t="str">
        <f>IF(H:H=0,"",IF(ISERROR(VLOOKUP(H:H,produtos_escape2!$A$2:$D$2794,2,FALSE)),"Código não cadastrado",(VLOOKUP(H:H,produtos_escape2!$A$2:$D$2794,4,FALSE))))</f>
        <v>UN</v>
      </c>
      <c r="N1346" s="486">
        <v>20000</v>
      </c>
      <c r="O1346" s="176" t="s">
        <v>7371</v>
      </c>
      <c r="P1346" s="486">
        <v>19968</v>
      </c>
      <c r="Q1346" s="247">
        <v>1.1200000000000001</v>
      </c>
      <c r="R1346" s="246">
        <f t="shared" si="55"/>
        <v>22364.160000000003</v>
      </c>
      <c r="S1346" s="177">
        <v>44181</v>
      </c>
      <c r="T1346" s="182">
        <v>415738</v>
      </c>
      <c r="U1346" s="177">
        <v>44182</v>
      </c>
      <c r="V1346" s="177">
        <v>44187</v>
      </c>
      <c r="W1346" s="177">
        <v>44187</v>
      </c>
      <c r="X1346" s="176" t="s">
        <v>10674</v>
      </c>
      <c r="Y1346" s="177"/>
      <c r="Z1346" s="415">
        <v>6</v>
      </c>
      <c r="AA1346" s="488" t="s">
        <v>10713</v>
      </c>
      <c r="AB1346" s="594"/>
      <c r="AC1346" s="595"/>
      <c r="AD1346" s="596" t="str">
        <f>IF(AND(AC1346&lt;&gt;"",S1346&lt;&gt;""),NETWORKDAYS(AC1346,S1346,#REF!),"")</f>
        <v/>
      </c>
      <c r="AE1346" s="596" t="str">
        <f ca="1">IF(AND(AD1346="",AC1346=""),"",IF(OR(AD1346&lt;&gt;"",O1346="*CANCELADO"),"",NETWORKDAYS(AC1346,TODAY(),#REF!)))</f>
        <v/>
      </c>
      <c r="AF1346" s="597" t="str">
        <f>IFERROR(INDEX(produtos_escape2!M:M,MATCH(Controle!H1346,produtos_escape2!A:A,0)),"")</f>
        <v>FRALDA DESCARTÁVEL ADULTO XG</v>
      </c>
    </row>
    <row r="1347" spans="1:32" ht="14.25" customHeight="1">
      <c r="A1347" s="176" t="s">
        <v>8316</v>
      </c>
      <c r="B1347" s="176" t="s">
        <v>7207</v>
      </c>
      <c r="C1347" s="177">
        <v>44179</v>
      </c>
      <c r="D1347" s="176" t="s">
        <v>10599</v>
      </c>
      <c r="E1347" s="176" t="s">
        <v>1866</v>
      </c>
      <c r="F1347" s="259" t="s">
        <v>10600</v>
      </c>
      <c r="G1347" s="176">
        <v>1</v>
      </c>
      <c r="H1347" s="178">
        <v>12832</v>
      </c>
      <c r="I1347" s="592">
        <f t="shared" si="57"/>
        <v>2</v>
      </c>
      <c r="J1347" s="178" t="s">
        <v>816</v>
      </c>
      <c r="K1347" s="178" t="s">
        <v>816</v>
      </c>
      <c r="L1347" s="275" t="str">
        <f>IF(H:H=0,"",IF(ISERROR(VLOOKUP(H:H,produtos_escape2!$A$2:$B$2794,2,FALSE)),"Código não cadastrado",(VLOOKUP(H:H,produtos_escape2!$A$2:$B$2794,2,FALSE))))</f>
        <v>JALECO EM MICROFIBRA, Material: 100% algodão, fio 40, gramatura de 180 g/m2, Tamanho: P,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1347" s="593" t="str">
        <f>IF(H:H=0,"",IF(ISERROR(VLOOKUP(H:H,produtos_escape2!$A$2:$D$2794,2,FALSE)),"Código não cadastrado",(VLOOKUP(H:H,produtos_escape2!$A$2:$D$2794,4,FALSE))))</f>
        <v>UN</v>
      </c>
      <c r="N1347" s="486">
        <v>30</v>
      </c>
      <c r="O1347" s="176" t="s">
        <v>1868</v>
      </c>
      <c r="P1347" s="486"/>
      <c r="Q1347" s="247"/>
      <c r="R1347" s="246">
        <f t="shared" si="55"/>
        <v>0</v>
      </c>
      <c r="S1347" s="177">
        <v>44188</v>
      </c>
      <c r="T1347" s="182"/>
      <c r="U1347" s="177"/>
      <c r="V1347" s="177"/>
      <c r="W1347" s="177"/>
      <c r="X1347" s="176"/>
      <c r="Y1347" s="177"/>
      <c r="Z1347" s="415">
        <v>6</v>
      </c>
      <c r="AA1347" s="488" t="s">
        <v>10679</v>
      </c>
      <c r="AB1347" s="594"/>
      <c r="AC1347" s="595"/>
      <c r="AD1347" s="596" t="str">
        <f>IF(AND(AC1347&lt;&gt;"",S1347&lt;&gt;""),NETWORKDAYS(AC1347,S1347,#REF!),"")</f>
        <v/>
      </c>
      <c r="AE1347" s="596" t="str">
        <f ca="1">IF(AND(AD1347="",AC1347=""),"",IF(OR(AD1347&lt;&gt;"",O1347="*CANCELADO"),"",NETWORKDAYS(AC1347,TODAY(),#REF!)))</f>
        <v/>
      </c>
      <c r="AF1347" s="597" t="str">
        <f>IFERROR(INDEX(produtos_escape2!M:M,MATCH(Controle!H1347,produtos_escape2!A:A,0)),"")</f>
        <v>JALECO P</v>
      </c>
    </row>
    <row r="1348" spans="1:32" ht="14.25" customHeight="1">
      <c r="A1348" s="176" t="s">
        <v>8316</v>
      </c>
      <c r="B1348" s="176" t="s">
        <v>7207</v>
      </c>
      <c r="C1348" s="177">
        <v>44179</v>
      </c>
      <c r="D1348" s="176" t="s">
        <v>10599</v>
      </c>
      <c r="E1348" s="176" t="s">
        <v>1866</v>
      </c>
      <c r="F1348" s="259" t="s">
        <v>10600</v>
      </c>
      <c r="G1348" s="176">
        <v>2</v>
      </c>
      <c r="H1348" s="178">
        <v>12835</v>
      </c>
      <c r="I1348" s="592">
        <f t="shared" si="57"/>
        <v>2</v>
      </c>
      <c r="J1348" s="178" t="s">
        <v>816</v>
      </c>
      <c r="K1348" s="178" t="s">
        <v>816</v>
      </c>
      <c r="L1348" s="275" t="str">
        <f>IF(H:H=0,"",IF(ISERROR(VLOOKUP(H:H,produtos_escape2!$A$2:$B$2794,2,FALSE)),"Código não cadastrado",(VLOOKUP(H:H,produtos_escape2!$A$2:$B$2794,2,FALSE))))</f>
        <v>JALECO EM MICROFIBRA, Material: 100% algodão, fio 40, gramatura de 180 g/m2, Tamanho: M,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1348" s="593" t="str">
        <f>IF(H:H=0,"",IF(ISERROR(VLOOKUP(H:H,produtos_escape2!$A$2:$D$2794,2,FALSE)),"Código não cadastrado",(VLOOKUP(H:H,produtos_escape2!$A$2:$D$2794,4,FALSE))))</f>
        <v>UN</v>
      </c>
      <c r="N1348" s="486">
        <v>50</v>
      </c>
      <c r="O1348" s="176" t="s">
        <v>1868</v>
      </c>
      <c r="P1348" s="486"/>
      <c r="Q1348" s="247"/>
      <c r="R1348" s="246">
        <f t="shared" si="55"/>
        <v>0</v>
      </c>
      <c r="S1348" s="177">
        <v>44188</v>
      </c>
      <c r="T1348" s="182"/>
      <c r="U1348" s="177"/>
      <c r="V1348" s="177"/>
      <c r="W1348" s="177"/>
      <c r="X1348" s="176"/>
      <c r="Y1348" s="177"/>
      <c r="Z1348" s="415">
        <v>6</v>
      </c>
      <c r="AA1348" s="488" t="s">
        <v>10679</v>
      </c>
      <c r="AB1348" s="594"/>
      <c r="AC1348" s="595"/>
      <c r="AD1348" s="596" t="str">
        <f>IF(AND(AC1348&lt;&gt;"",S1348&lt;&gt;""),NETWORKDAYS(AC1348,S1348,#REF!),"")</f>
        <v/>
      </c>
      <c r="AE1348" s="596" t="str">
        <f ca="1">IF(AND(AD1348="",AC1348=""),"",IF(OR(AD1348&lt;&gt;"",O1348="*CANCELADO"),"",NETWORKDAYS(AC1348,TODAY(),#REF!)))</f>
        <v/>
      </c>
      <c r="AF1348" s="597" t="str">
        <f>IFERROR(INDEX(produtos_escape2!M:M,MATCH(Controle!H1348,produtos_escape2!A:A,0)),"")</f>
        <v>JALECO M</v>
      </c>
    </row>
    <row r="1349" spans="1:32" ht="14.25" customHeight="1">
      <c r="A1349" s="176" t="s">
        <v>8316</v>
      </c>
      <c r="B1349" s="176" t="s">
        <v>7207</v>
      </c>
      <c r="C1349" s="177">
        <v>44179</v>
      </c>
      <c r="D1349" s="176" t="s">
        <v>10599</v>
      </c>
      <c r="E1349" s="176" t="s">
        <v>1866</v>
      </c>
      <c r="F1349" s="259" t="s">
        <v>10600</v>
      </c>
      <c r="G1349" s="176">
        <v>3</v>
      </c>
      <c r="H1349" s="178">
        <v>12836</v>
      </c>
      <c r="I1349" s="592">
        <f t="shared" si="57"/>
        <v>2</v>
      </c>
      <c r="J1349" s="178" t="s">
        <v>816</v>
      </c>
      <c r="K1349" s="178" t="s">
        <v>816</v>
      </c>
      <c r="L1349" s="275" t="str">
        <f>IF(H:H=0,"",IF(ISERROR(VLOOKUP(H:H,produtos_escape2!$A$2:$B$2794,2,FALSE)),"Código não cadastrado",(VLOOKUP(H:H,produtos_escape2!$A$2:$B$2794,2,FALSE))))</f>
        <v>JALECO EM MICROFIBRA, Material: 100% algodão, fio 40, gramatura de 180 g/m2, Tamanho: G, Cor: branca, Aplicação: consultórios e afins, Comprimento: abaixo do joelho, Características Adicionais: com mangas longas do tipo canhão, com bolsos superiores, com identificação do órgão/entidade bordado na manga direita e esquerta, embalado individualmente, Inscrição: símbolo do Governo do Distrito Federal na manga direita e símbolo da Secretaria de Segurança Pública na manga esquerda.</v>
      </c>
      <c r="M1349" s="593" t="str">
        <f>IF(H:H=0,"",IF(ISERROR(VLOOKUP(H:H,produtos_escape2!$A$2:$D$2794,2,FALSE)),"Código não cadastrado",(VLOOKUP(H:H,produtos_escape2!$A$2:$D$2794,4,FALSE))))</f>
        <v>UN</v>
      </c>
      <c r="N1349" s="486">
        <v>50</v>
      </c>
      <c r="O1349" s="176" t="s">
        <v>1868</v>
      </c>
      <c r="P1349" s="486"/>
      <c r="Q1349" s="247"/>
      <c r="R1349" s="246">
        <f t="shared" si="55"/>
        <v>0</v>
      </c>
      <c r="S1349" s="177">
        <v>44188</v>
      </c>
      <c r="T1349" s="182"/>
      <c r="U1349" s="177"/>
      <c r="V1349" s="177"/>
      <c r="W1349" s="177"/>
      <c r="X1349" s="176"/>
      <c r="Y1349" s="177"/>
      <c r="Z1349" s="415">
        <v>6</v>
      </c>
      <c r="AA1349" s="488" t="s">
        <v>10679</v>
      </c>
      <c r="AB1349" s="594"/>
      <c r="AC1349" s="595"/>
      <c r="AD1349" s="596" t="str">
        <f>IF(AND(AC1349&lt;&gt;"",S1349&lt;&gt;""),NETWORKDAYS(AC1349,S1349,#REF!),"")</f>
        <v/>
      </c>
      <c r="AE1349" s="596" t="str">
        <f ca="1">IF(AND(AD1349="",AC1349=""),"",IF(OR(AD1349&lt;&gt;"",O1349="*CANCELADO"),"",NETWORKDAYS(AC1349,TODAY(),#REF!)))</f>
        <v/>
      </c>
      <c r="AF1349" s="597" t="str">
        <f>IFERROR(INDEX(produtos_escape2!M:M,MATCH(Controle!H1349,produtos_escape2!A:A,0)),"")</f>
        <v>JALECO G</v>
      </c>
    </row>
    <row r="1350" spans="1:32" ht="14.25" customHeight="1">
      <c r="A1350" s="176" t="s">
        <v>10601</v>
      </c>
      <c r="B1350" s="176" t="s">
        <v>7207</v>
      </c>
      <c r="C1350" s="177">
        <v>44179</v>
      </c>
      <c r="D1350" s="176" t="s">
        <v>10602</v>
      </c>
      <c r="E1350" s="176" t="s">
        <v>1865</v>
      </c>
      <c r="F1350" s="259" t="s">
        <v>10603</v>
      </c>
      <c r="G1350" s="176">
        <v>1</v>
      </c>
      <c r="H1350" s="178">
        <v>19343</v>
      </c>
      <c r="I1350" s="592">
        <f t="shared" si="57"/>
        <v>4</v>
      </c>
      <c r="J1350" s="178" t="s">
        <v>816</v>
      </c>
      <c r="K1350" s="178" t="s">
        <v>816</v>
      </c>
      <c r="L1350" s="275" t="str">
        <f>IF(H:H=0,"",IF(ISERROR(VLOOKUP(H:H,produtos_escape2!$A$2:$B$2794,2,FALSE)),"Código não cadastrado",(VLOOKUP(H:H,produtos_escape2!$A$2:$B$2794,2,FALSE))))</f>
        <v>DISCO COMPACTO, Capacidade: CD R, 700 Mb, Tempo Duração: 80 min, Características Adicionais: gravável, Unidade de Fornecimento: envelope com 1 unidade</v>
      </c>
      <c r="M1350" s="593" t="str">
        <f>IF(H:H=0,"",IF(ISERROR(VLOOKUP(H:H,produtos_escape2!$A$2:$D$2794,2,FALSE)),"Código não cadastrado",(VLOOKUP(H:H,produtos_escape2!$A$2:$D$2794,4,FALSE))))</f>
        <v>UIN</v>
      </c>
      <c r="N1350" s="486">
        <v>5000</v>
      </c>
      <c r="O1350" s="176" t="s">
        <v>3407</v>
      </c>
      <c r="P1350" s="486">
        <v>5000</v>
      </c>
      <c r="Q1350" s="247">
        <v>0.68899999999999995</v>
      </c>
      <c r="R1350" s="246">
        <f t="shared" si="55"/>
        <v>3444.9999999999995</v>
      </c>
      <c r="S1350" s="177">
        <v>44181</v>
      </c>
      <c r="T1350" s="182">
        <v>952</v>
      </c>
      <c r="U1350" s="177">
        <v>44186</v>
      </c>
      <c r="V1350" s="177">
        <v>44187</v>
      </c>
      <c r="W1350" s="177">
        <v>44187</v>
      </c>
      <c r="X1350" s="176" t="s">
        <v>10674</v>
      </c>
      <c r="Y1350" s="177"/>
      <c r="Z1350" s="415">
        <v>6</v>
      </c>
      <c r="AA1350" s="488" t="s">
        <v>10714</v>
      </c>
      <c r="AB1350" s="594"/>
      <c r="AC1350" s="595"/>
      <c r="AD1350" s="596" t="str">
        <f>IF(AND(AC1350&lt;&gt;"",S1350&lt;&gt;""),NETWORKDAYS(AC1350,S1350,#REF!),"")</f>
        <v/>
      </c>
      <c r="AE1350" s="596" t="str">
        <f ca="1">IF(AND(AD1350="",AC1350=""),"",IF(OR(AD1350&lt;&gt;"",O1350="*CANCELADO"),"",NETWORKDAYS(AC1350,TODAY(),#REF!)))</f>
        <v/>
      </c>
      <c r="AF1350" s="597" t="str">
        <f>IFERROR(INDEX(produtos_escape2!M:M,MATCH(Controle!H1350,produtos_escape2!A:A,0)),"")</f>
        <v>DISCO CD-R GRAVÁVEL</v>
      </c>
    </row>
    <row r="1351" spans="1:32" ht="14.25" customHeight="1">
      <c r="A1351" s="176" t="s">
        <v>10601</v>
      </c>
      <c r="B1351" s="176" t="s">
        <v>7207</v>
      </c>
      <c r="C1351" s="177">
        <v>44179</v>
      </c>
      <c r="D1351" s="176" t="s">
        <v>10602</v>
      </c>
      <c r="E1351" s="176" t="s">
        <v>1865</v>
      </c>
      <c r="F1351" s="259" t="s">
        <v>10603</v>
      </c>
      <c r="G1351" s="176">
        <v>2</v>
      </c>
      <c r="H1351" s="178">
        <v>11929</v>
      </c>
      <c r="I1351" s="592">
        <f t="shared" si="57"/>
        <v>2</v>
      </c>
      <c r="J1351" s="178" t="s">
        <v>816</v>
      </c>
      <c r="K1351" s="178" t="s">
        <v>816</v>
      </c>
      <c r="L1351" s="275" t="str">
        <f>IF(H:H=0,"",IF(ISERROR(VLOOKUP(H:H,produtos_escape2!$A$2:$B$2794,2,FALSE)),"Código não cadastrado",(VLOOKUP(H:H,produtos_escape2!$A$2:$B$2794,2,FALSE))))</f>
        <v>CAPA PARA CD OU DVD,Características Técnicas Mínimas: 16cm x 13cm (comprimento x largura), com abertura, sendo, 14cm x 2cm de aba para fechamento sendo que na aba tem que existir um adesivo em toda sua extensão com proteção descartável</v>
      </c>
      <c r="M1351" s="593" t="str">
        <f>IF(H:H=0,"",IF(ISERROR(VLOOKUP(H:H,produtos_escape2!$A$2:$D$2794,2,FALSE)),"Código não cadastrado",(VLOOKUP(H:H,produtos_escape2!$A$2:$D$2794,4,FALSE))))</f>
        <v>UN</v>
      </c>
      <c r="N1351" s="486">
        <v>5000</v>
      </c>
      <c r="O1351" s="176" t="s">
        <v>3407</v>
      </c>
      <c r="P1351" s="486">
        <v>5000</v>
      </c>
      <c r="Q1351" s="247">
        <v>0.15</v>
      </c>
      <c r="R1351" s="246">
        <f t="shared" si="55"/>
        <v>750</v>
      </c>
      <c r="S1351" s="177">
        <v>44181</v>
      </c>
      <c r="T1351" s="182">
        <v>952</v>
      </c>
      <c r="U1351" s="177">
        <v>44186</v>
      </c>
      <c r="V1351" s="177">
        <v>44187</v>
      </c>
      <c r="W1351" s="177">
        <v>44187</v>
      </c>
      <c r="X1351" s="176" t="s">
        <v>10674</v>
      </c>
      <c r="Y1351" s="177"/>
      <c r="Z1351" s="415">
        <v>6</v>
      </c>
      <c r="AA1351" s="488" t="s">
        <v>10700</v>
      </c>
      <c r="AB1351" s="594"/>
      <c r="AC1351" s="595"/>
      <c r="AD1351" s="596" t="str">
        <f>IF(AND(AC1351&lt;&gt;"",S1351&lt;&gt;""),NETWORKDAYS(AC1351,S1351,#REF!),"")</f>
        <v/>
      </c>
      <c r="AE1351" s="596" t="str">
        <f ca="1">IF(AND(AD1351="",AC1351=""),"",IF(OR(AD1351&lt;&gt;"",O1351="*CANCELADO"),"",NETWORKDAYS(AC1351,TODAY(),#REF!)))</f>
        <v/>
      </c>
      <c r="AF1351" s="597" t="str">
        <f>IFERROR(INDEX(produtos_escape2!M:M,MATCH(Controle!H1351,produtos_escape2!A:A,0)),"")</f>
        <v>CAPA PARA CD OU DVD</v>
      </c>
    </row>
    <row r="1352" spans="1:32" ht="14.25" customHeight="1">
      <c r="A1352" s="176" t="s">
        <v>8321</v>
      </c>
      <c r="B1352" s="176" t="s">
        <v>7207</v>
      </c>
      <c r="C1352" s="177">
        <v>44179</v>
      </c>
      <c r="D1352" s="176" t="s">
        <v>10605</v>
      </c>
      <c r="E1352" s="176" t="s">
        <v>1865</v>
      </c>
      <c r="F1352" s="259" t="s">
        <v>10604</v>
      </c>
      <c r="G1352" s="176">
        <v>1</v>
      </c>
      <c r="H1352" s="178">
        <v>25128</v>
      </c>
      <c r="I1352" s="592">
        <f t="shared" si="57"/>
        <v>2</v>
      </c>
      <c r="J1352" s="178" t="s">
        <v>816</v>
      </c>
      <c r="K1352" s="178" t="s">
        <v>816</v>
      </c>
      <c r="L1352" s="275" t="str">
        <f>IF(H:H=0,"",IF(ISERROR(VLOOKUP(H:H,produtos_escape2!$A$2:$B$2794,2,FALSE)),"Código não cadastrado",(VLOOKUP(H:H,produtos_escape2!$A$2:$B$2794,2,FALSE))))</f>
        <v>SUPORTE PARA COLETOR PERFUROCORTANTE, confeccionado em arame BTC comum e pintura epoxy eletrostática, Capacidade: 3,0 Litros.</v>
      </c>
      <c r="M1352" s="593" t="str">
        <f>IF(H:H=0,"",IF(ISERROR(VLOOKUP(H:H,produtos_escape2!$A$2:$D$2794,2,FALSE)),"Código não cadastrado",(VLOOKUP(H:H,produtos_escape2!$A$2:$D$2794,4,FALSE))))</f>
        <v>UN</v>
      </c>
      <c r="N1352" s="486">
        <v>100</v>
      </c>
      <c r="O1352" s="176" t="s">
        <v>1868</v>
      </c>
      <c r="P1352" s="486"/>
      <c r="Q1352" s="247"/>
      <c r="R1352" s="246">
        <f t="shared" si="55"/>
        <v>0</v>
      </c>
      <c r="S1352" s="177">
        <v>44188</v>
      </c>
      <c r="T1352" s="182"/>
      <c r="U1352" s="177"/>
      <c r="V1352" s="177"/>
      <c r="W1352" s="177"/>
      <c r="X1352" s="176"/>
      <c r="Y1352" s="177"/>
      <c r="Z1352" s="415">
        <v>6</v>
      </c>
      <c r="AA1352" s="488" t="s">
        <v>10679</v>
      </c>
      <c r="AB1352" s="594"/>
      <c r="AC1352" s="595"/>
      <c r="AD1352" s="596" t="str">
        <f>IF(AND(AC1352&lt;&gt;"",S1352&lt;&gt;""),NETWORKDAYS(AC1352,S1352,#REF!),"")</f>
        <v/>
      </c>
      <c r="AE1352" s="596" t="str">
        <f ca="1">IF(AND(AD1352="",AC1352=""),"",IF(OR(AD1352&lt;&gt;"",O1352="*CANCELADO"),"",NETWORKDAYS(AC1352,TODAY(),#REF!)))</f>
        <v/>
      </c>
      <c r="AF1352" s="597" t="str">
        <f>IFERROR(INDEX(produtos_escape2!M:M,MATCH(Controle!H1352,produtos_escape2!A:A,0)),"")</f>
        <v>SUPORTE PARA COLETOR PERFUROCORTANTE 3L</v>
      </c>
    </row>
    <row r="1353" spans="1:32" ht="14.25" customHeight="1">
      <c r="A1353" s="176" t="s">
        <v>8321</v>
      </c>
      <c r="B1353" s="176" t="s">
        <v>7207</v>
      </c>
      <c r="C1353" s="177">
        <v>44179</v>
      </c>
      <c r="D1353" s="176" t="s">
        <v>10605</v>
      </c>
      <c r="E1353" s="176" t="s">
        <v>1865</v>
      </c>
      <c r="F1353" s="259" t="s">
        <v>10604</v>
      </c>
      <c r="G1353" s="176">
        <v>2</v>
      </c>
      <c r="H1353" s="178">
        <v>25129</v>
      </c>
      <c r="I1353" s="592">
        <f t="shared" si="57"/>
        <v>2</v>
      </c>
      <c r="J1353" s="178" t="s">
        <v>816</v>
      </c>
      <c r="K1353" s="178" t="s">
        <v>816</v>
      </c>
      <c r="L1353" s="275" t="str">
        <f>IF(H:H=0,"",IF(ISERROR(VLOOKUP(H:H,produtos_escape2!$A$2:$B$2794,2,FALSE)),"Código não cadastrado",(VLOOKUP(H:H,produtos_escape2!$A$2:$B$2794,2,FALSE))))</f>
        <v>SUPORTE PARA COLETOR PERFUROCORTANTE, confeccionado em arame BTC comum e pintura epoxy eletrostática, Capacidade: 7,0 Litros.</v>
      </c>
      <c r="M1353" s="593" t="str">
        <f>IF(H:H=0,"",IF(ISERROR(VLOOKUP(H:H,produtos_escape2!$A$2:$D$2794,2,FALSE)),"Código não cadastrado",(VLOOKUP(H:H,produtos_escape2!$A$2:$D$2794,4,FALSE))))</f>
        <v>UN</v>
      </c>
      <c r="N1353" s="486">
        <v>100</v>
      </c>
      <c r="O1353" s="176" t="s">
        <v>1868</v>
      </c>
      <c r="P1353" s="486"/>
      <c r="Q1353" s="247"/>
      <c r="R1353" s="246">
        <f t="shared" si="55"/>
        <v>0</v>
      </c>
      <c r="S1353" s="177">
        <v>44188</v>
      </c>
      <c r="T1353" s="182"/>
      <c r="U1353" s="177"/>
      <c r="V1353" s="177"/>
      <c r="W1353" s="177"/>
      <c r="X1353" s="176"/>
      <c r="Y1353" s="177"/>
      <c r="Z1353" s="415">
        <v>6</v>
      </c>
      <c r="AA1353" s="488" t="s">
        <v>10679</v>
      </c>
      <c r="AB1353" s="594"/>
      <c r="AC1353" s="595"/>
      <c r="AD1353" s="596" t="str">
        <f>IF(AND(AC1353&lt;&gt;"",S1353&lt;&gt;""),NETWORKDAYS(AC1353,S1353,#REF!),"")</f>
        <v/>
      </c>
      <c r="AE1353" s="596" t="str">
        <f ca="1">IF(AND(AD1353="",AC1353=""),"",IF(OR(AD1353&lt;&gt;"",O1353="*CANCELADO"),"",NETWORKDAYS(AC1353,TODAY(),#REF!)))</f>
        <v/>
      </c>
      <c r="AF1353" s="597" t="str">
        <f>IFERROR(INDEX(produtos_escape2!M:M,MATCH(Controle!H1353,produtos_escape2!A:A,0)),"")</f>
        <v>SUPORTE PARA COLETOR PERFUROCORTANTE 7L</v>
      </c>
    </row>
    <row r="1354" spans="1:32" ht="14.25" customHeight="1">
      <c r="A1354" s="176" t="s">
        <v>8321</v>
      </c>
      <c r="B1354" s="176" t="s">
        <v>7207</v>
      </c>
      <c r="C1354" s="177">
        <v>44179</v>
      </c>
      <c r="D1354" s="176" t="s">
        <v>10605</v>
      </c>
      <c r="E1354" s="176" t="s">
        <v>1865</v>
      </c>
      <c r="F1354" s="259" t="s">
        <v>10604</v>
      </c>
      <c r="G1354" s="176">
        <v>3</v>
      </c>
      <c r="H1354" s="178">
        <v>25130</v>
      </c>
      <c r="I1354" s="592">
        <f t="shared" si="57"/>
        <v>2</v>
      </c>
      <c r="J1354" s="178" t="s">
        <v>816</v>
      </c>
      <c r="K1354" s="178" t="s">
        <v>816</v>
      </c>
      <c r="L1354" s="275" t="str">
        <f>IF(H:H=0,"",IF(ISERROR(VLOOKUP(H:H,produtos_escape2!$A$2:$B$2794,2,FALSE)),"Código não cadastrado",(VLOOKUP(H:H,produtos_escape2!$A$2:$B$2794,2,FALSE))))</f>
        <v>SUPORTE PARA COLETOR PERFUROCORTANTE, Confeccionado em arame BTC comum e pintura epoxy eletrostática, Capacidade: 13,0 Litros.</v>
      </c>
      <c r="M1354" s="593" t="str">
        <f>IF(H:H=0,"",IF(ISERROR(VLOOKUP(H:H,produtos_escape2!$A$2:$D$2794,2,FALSE)),"Código não cadastrado",(VLOOKUP(H:H,produtos_escape2!$A$2:$D$2794,4,FALSE))))</f>
        <v>UN</v>
      </c>
      <c r="N1354" s="486">
        <v>100</v>
      </c>
      <c r="O1354" s="176" t="s">
        <v>1868</v>
      </c>
      <c r="P1354" s="486"/>
      <c r="Q1354" s="247"/>
      <c r="R1354" s="246">
        <f t="shared" si="55"/>
        <v>0</v>
      </c>
      <c r="S1354" s="177">
        <v>44188</v>
      </c>
      <c r="T1354" s="182"/>
      <c r="U1354" s="177"/>
      <c r="V1354" s="177"/>
      <c r="W1354" s="177"/>
      <c r="X1354" s="176"/>
      <c r="Y1354" s="177"/>
      <c r="Z1354" s="415">
        <v>6</v>
      </c>
      <c r="AA1354" s="488" t="s">
        <v>10679</v>
      </c>
      <c r="AB1354" s="594"/>
      <c r="AC1354" s="595"/>
      <c r="AD1354" s="596" t="str">
        <f>IF(AND(AC1354&lt;&gt;"",S1354&lt;&gt;""),NETWORKDAYS(AC1354,S1354,#REF!),"")</f>
        <v/>
      </c>
      <c r="AE1354" s="596" t="str">
        <f ca="1">IF(AND(AD1354="",AC1354=""),"",IF(OR(AD1354&lt;&gt;"",O1354="*CANCELADO"),"",NETWORKDAYS(AC1354,TODAY(),#REF!)))</f>
        <v/>
      </c>
      <c r="AF1354" s="597" t="str">
        <f>IFERROR(INDEX(produtos_escape2!M:M,MATCH(Controle!H1354,produtos_escape2!A:A,0)),"")</f>
        <v>SUPORTE PARA COLETOR PERFUROCORTANTE</v>
      </c>
    </row>
    <row r="1355" spans="1:32" ht="14.25" customHeight="1">
      <c r="A1355" s="176" t="s">
        <v>8320</v>
      </c>
      <c r="B1355" s="176" t="s">
        <v>7207</v>
      </c>
      <c r="C1355" s="177">
        <v>44179</v>
      </c>
      <c r="D1355" s="176" t="s">
        <v>10606</v>
      </c>
      <c r="E1355" s="176" t="s">
        <v>1866</v>
      </c>
      <c r="F1355" s="259" t="s">
        <v>10607</v>
      </c>
      <c r="G1355" s="176">
        <v>1</v>
      </c>
      <c r="H1355" s="178">
        <v>17140</v>
      </c>
      <c r="I1355" s="592">
        <f t="shared" si="57"/>
        <v>2</v>
      </c>
      <c r="J1355" s="178" t="s">
        <v>816</v>
      </c>
      <c r="K1355" s="178" t="s">
        <v>816</v>
      </c>
      <c r="L1355" s="275" t="str">
        <f>IF(H:H=0,"",IF(ISERROR(VLOOKUP(H:H,produtos_escape2!$A$2:$B$2794,2,FALSE)),"Código não cadastrado",(VLOOKUP(H:H,produtos_escape2!$A$2:$B$2794,2,FALSE))))</f>
        <v>CABO DE BISTURI NR 04, LONGO 23 CM</v>
      </c>
      <c r="M1355" s="593" t="str">
        <f>IF(H:H=0,"",IF(ISERROR(VLOOKUP(H:H,produtos_escape2!$A$2:$D$2794,2,FALSE)),"Código não cadastrado",(VLOOKUP(H:H,produtos_escape2!$A$2:$D$2794,4,FALSE))))</f>
        <v>UN</v>
      </c>
      <c r="N1355" s="486">
        <v>100</v>
      </c>
      <c r="O1355" s="176" t="s">
        <v>1868</v>
      </c>
      <c r="P1355" s="486"/>
      <c r="Q1355" s="247">
        <v>14.7</v>
      </c>
      <c r="R1355" s="246">
        <f t="shared" si="55"/>
        <v>0</v>
      </c>
      <c r="S1355" s="177">
        <v>44188</v>
      </c>
      <c r="T1355" s="182"/>
      <c r="U1355" s="177"/>
      <c r="V1355" s="177"/>
      <c r="W1355" s="177"/>
      <c r="X1355" s="176"/>
      <c r="Y1355" s="177"/>
      <c r="Z1355" s="415">
        <v>6</v>
      </c>
      <c r="AA1355" s="488" t="s">
        <v>10679</v>
      </c>
      <c r="AB1355" s="594"/>
      <c r="AC1355" s="595"/>
      <c r="AD1355" s="596" t="str">
        <f>IF(AND(AC1355&lt;&gt;"",S1355&lt;&gt;""),NETWORKDAYS(AC1355,S1355,#REF!),"")</f>
        <v/>
      </c>
      <c r="AE1355" s="596" t="str">
        <f ca="1">IF(AND(AD1355="",AC1355=""),"",IF(OR(AD1355&lt;&gt;"",O1355="*CANCELADO"),"",NETWORKDAYS(AC1355,TODAY(),#REF!)))</f>
        <v/>
      </c>
      <c r="AF1355" s="597" t="str">
        <f>IFERROR(INDEX(produtos_escape2!M:M,MATCH(Controle!H1355,produtos_escape2!A:A,0)),"")</f>
        <v>CABO BISTURI 4</v>
      </c>
    </row>
    <row r="1356" spans="1:32" ht="14.25" customHeight="1">
      <c r="A1356" s="176" t="s">
        <v>8320</v>
      </c>
      <c r="B1356" s="176" t="s">
        <v>7207</v>
      </c>
      <c r="C1356" s="177">
        <v>44179</v>
      </c>
      <c r="D1356" s="176" t="s">
        <v>10606</v>
      </c>
      <c r="E1356" s="176" t="s">
        <v>1866</v>
      </c>
      <c r="F1356" s="259" t="s">
        <v>10607</v>
      </c>
      <c r="G1356" s="176">
        <v>2</v>
      </c>
      <c r="H1356" s="178">
        <v>18615</v>
      </c>
      <c r="I1356" s="592">
        <f t="shared" si="57"/>
        <v>2</v>
      </c>
      <c r="J1356" s="178" t="s">
        <v>816</v>
      </c>
      <c r="K1356" s="178" t="s">
        <v>816</v>
      </c>
      <c r="L1356" s="275" t="str">
        <f>IF(H:H=0,"",IF(ISERROR(VLOOKUP(H:H,produtos_escape2!$A$2:$B$2794,2,FALSE)),"Código não cadastrado",(VLOOKUP(H:H,produtos_escape2!$A$2:$B$2794,2,FALSE))))</f>
        <v>CABO DE BISTURI NUMERO 3 LONGO</v>
      </c>
      <c r="M1356" s="593" t="str">
        <f>IF(H:H=0,"",IF(ISERROR(VLOOKUP(H:H,produtos_escape2!$A$2:$D$2794,2,FALSE)),"Código não cadastrado",(VLOOKUP(H:H,produtos_escape2!$A$2:$D$2794,4,FALSE))))</f>
        <v>UN</v>
      </c>
      <c r="N1356" s="486">
        <v>100</v>
      </c>
      <c r="O1356" s="176" t="s">
        <v>1868</v>
      </c>
      <c r="P1356" s="486"/>
      <c r="Q1356" s="247">
        <v>38</v>
      </c>
      <c r="R1356" s="246">
        <f t="shared" si="55"/>
        <v>0</v>
      </c>
      <c r="S1356" s="177">
        <v>44188</v>
      </c>
      <c r="T1356" s="182"/>
      <c r="U1356" s="177"/>
      <c r="V1356" s="177"/>
      <c r="W1356" s="177"/>
      <c r="X1356" s="176"/>
      <c r="Y1356" s="177"/>
      <c r="Z1356" s="415">
        <v>6</v>
      </c>
      <c r="AA1356" s="488" t="s">
        <v>10679</v>
      </c>
      <c r="AB1356" s="594"/>
      <c r="AC1356" s="595"/>
      <c r="AD1356" s="596" t="str">
        <f>IF(AND(AC1356&lt;&gt;"",S1356&lt;&gt;""),NETWORKDAYS(AC1356,S1356,#REF!),"")</f>
        <v/>
      </c>
      <c r="AE1356" s="596" t="str">
        <f ca="1">IF(AND(AD1356="",AC1356=""),"",IF(OR(AD1356&lt;&gt;"",O1356="*CANCELADO"),"",NETWORKDAYS(AC1356,TODAY(),#REF!)))</f>
        <v/>
      </c>
      <c r="AF1356" s="597" t="str">
        <f>IFERROR(INDEX(produtos_escape2!M:M,MATCH(Controle!H1356,produtos_escape2!A:A,0)),"")</f>
        <v>CABO BISTURI 3</v>
      </c>
    </row>
    <row r="1357" spans="1:32" ht="14.25" customHeight="1">
      <c r="A1357" s="176" t="s">
        <v>8320</v>
      </c>
      <c r="B1357" s="176" t="s">
        <v>7207</v>
      </c>
      <c r="C1357" s="177">
        <v>44179</v>
      </c>
      <c r="D1357" s="176" t="s">
        <v>10606</v>
      </c>
      <c r="E1357" s="176" t="s">
        <v>1866</v>
      </c>
      <c r="F1357" s="259" t="s">
        <v>10607</v>
      </c>
      <c r="G1357" s="176">
        <v>3</v>
      </c>
      <c r="H1357" s="178">
        <v>15144</v>
      </c>
      <c r="I1357" s="592">
        <f t="shared" si="57"/>
        <v>2</v>
      </c>
      <c r="J1357" s="178" t="s">
        <v>816</v>
      </c>
      <c r="K1357" s="178" t="s">
        <v>816</v>
      </c>
      <c r="L1357" s="275" t="str">
        <f>IF(H:H=0,"",IF(ISERROR(VLOOKUP(H:H,produtos_escape2!$A$2:$B$2794,2,FALSE)),"Código não cadastrado",(VLOOKUP(H:H,produtos_escape2!$A$2:$B$2794,2,FALSE))))</f>
        <v>CABO DE BISTURI N.07 EM ACO INOX</v>
      </c>
      <c r="M1357" s="593" t="str">
        <f>IF(H:H=0,"",IF(ISERROR(VLOOKUP(H:H,produtos_escape2!$A$2:$D$2794,2,FALSE)),"Código não cadastrado",(VLOOKUP(H:H,produtos_escape2!$A$2:$D$2794,4,FALSE))))</f>
        <v>UN</v>
      </c>
      <c r="N1357" s="486">
        <v>100</v>
      </c>
      <c r="O1357" s="176" t="s">
        <v>1868</v>
      </c>
      <c r="P1357" s="486"/>
      <c r="Q1357" s="247">
        <v>12.17</v>
      </c>
      <c r="R1357" s="246">
        <f t="shared" si="55"/>
        <v>0</v>
      </c>
      <c r="S1357" s="177">
        <v>44188</v>
      </c>
      <c r="T1357" s="182"/>
      <c r="U1357" s="177"/>
      <c r="V1357" s="177"/>
      <c r="W1357" s="177"/>
      <c r="X1357" s="176"/>
      <c r="Y1357" s="177"/>
      <c r="Z1357" s="415">
        <v>6</v>
      </c>
      <c r="AA1357" s="488" t="s">
        <v>10679</v>
      </c>
      <c r="AB1357" s="594"/>
      <c r="AC1357" s="595"/>
      <c r="AD1357" s="596" t="str">
        <f>IF(AND(AC1357&lt;&gt;"",S1357&lt;&gt;""),NETWORKDAYS(AC1357,S1357,#REF!),"")</f>
        <v/>
      </c>
      <c r="AE1357" s="596" t="str">
        <f ca="1">IF(AND(AD1357="",AC1357=""),"",IF(OR(AD1357&lt;&gt;"",O1357="*CANCELADO"),"",NETWORKDAYS(AC1357,TODAY(),#REF!)))</f>
        <v/>
      </c>
      <c r="AF1357" s="597" t="str">
        <f>IFERROR(INDEX(produtos_escape2!M:M,MATCH(Controle!H1357,produtos_escape2!A:A,0)),"")</f>
        <v>CABO DE BISTURI N.07 EM ACO INOX</v>
      </c>
    </row>
    <row r="1358" spans="1:32" ht="14.25" customHeight="1">
      <c r="A1358" s="176" t="s">
        <v>8320</v>
      </c>
      <c r="B1358" s="176" t="s">
        <v>7207</v>
      </c>
      <c r="C1358" s="177">
        <v>44179</v>
      </c>
      <c r="D1358" s="176" t="s">
        <v>10606</v>
      </c>
      <c r="E1358" s="176" t="s">
        <v>1866</v>
      </c>
      <c r="F1358" s="259" t="s">
        <v>10607</v>
      </c>
      <c r="G1358" s="176">
        <v>4</v>
      </c>
      <c r="H1358" s="178">
        <v>203010</v>
      </c>
      <c r="I1358" s="592">
        <f t="shared" si="57"/>
        <v>2</v>
      </c>
      <c r="J1358" s="178" t="s">
        <v>816</v>
      </c>
      <c r="K1358" s="178" t="s">
        <v>816</v>
      </c>
      <c r="L1358" s="275" t="str">
        <f>IF(H:H=0,"",IF(ISERROR(VLOOKUP(H:H,produtos_escape2!$A$2:$B$2794,2,FALSE)),"Código não cadastrado",(VLOOKUP(H:H,produtos_escape2!$A$2:$B$2794,2,FALSE))))</f>
        <v>CUBA REDONDA, Aplicação:Recipiente para soluções.Material: Aço inoxidável AISI,Tamanho: 150 ml, Características adicionais: A peça deverá apresentar um bom acabamento superficial e ser adequada ao trabalho a que se destina. O material deverá ter tratamento térmico integral a fim de atingir a dureza adequada a um perfeito desempenho. O polimento deverá ser isento de buracos ou defeitos superficiais que possam provocar manchas ou corrosão. Cada peça deverá ter uma gravação a laser com clara identificação do fabricante e código / lote de identificação da data de fabricação, iniciais da instituição (SES-DF). Embalagem individual.Não estéril, Forma de apresentação:  Unidade, Prazo de validade: Indeterminado.</v>
      </c>
      <c r="M1358" s="593" t="str">
        <f>IF(H:H=0,"",IF(ISERROR(VLOOKUP(H:H,produtos_escape2!$A$2:$D$2794,2,FALSE)),"Código não cadastrado",(VLOOKUP(H:H,produtos_escape2!$A$2:$D$2794,4,FALSE))))</f>
        <v>UN</v>
      </c>
      <c r="N1358" s="486">
        <v>20</v>
      </c>
      <c r="O1358" s="176" t="s">
        <v>1868</v>
      </c>
      <c r="P1358" s="486"/>
      <c r="Q1358" s="247">
        <v>13.47</v>
      </c>
      <c r="R1358" s="246">
        <f t="shared" si="55"/>
        <v>0</v>
      </c>
      <c r="S1358" s="177">
        <v>44188</v>
      </c>
      <c r="T1358" s="182"/>
      <c r="U1358" s="177"/>
      <c r="V1358" s="177"/>
      <c r="W1358" s="177"/>
      <c r="X1358" s="176"/>
      <c r="Y1358" s="177"/>
      <c r="Z1358" s="415">
        <v>6</v>
      </c>
      <c r="AA1358" s="488" t="s">
        <v>10679</v>
      </c>
      <c r="AB1358" s="594"/>
      <c r="AC1358" s="595"/>
      <c r="AD1358" s="596" t="str">
        <f>IF(AND(AC1358&lt;&gt;"",S1358&lt;&gt;""),NETWORKDAYS(AC1358,S1358,#REF!),"")</f>
        <v/>
      </c>
      <c r="AE1358" s="596" t="str">
        <f ca="1">IF(AND(AD1358="",AC1358=""),"",IF(OR(AD1358&lt;&gt;"",O1358="*CANCELADO"),"",NETWORKDAYS(AC1358,TODAY(),#REF!)))</f>
        <v/>
      </c>
      <c r="AF1358" s="597">
        <f>IFERROR(INDEX(produtos_escape2!M:M,MATCH(Controle!H1358,produtos_escape2!A:A,0)),"")</f>
        <v>0</v>
      </c>
    </row>
    <row r="1359" spans="1:32" ht="14.25" customHeight="1">
      <c r="A1359" s="176" t="s">
        <v>8320</v>
      </c>
      <c r="B1359" s="176" t="s">
        <v>7207</v>
      </c>
      <c r="C1359" s="177">
        <v>44179</v>
      </c>
      <c r="D1359" s="176" t="s">
        <v>10606</v>
      </c>
      <c r="E1359" s="176" t="s">
        <v>1866</v>
      </c>
      <c r="F1359" s="259" t="s">
        <v>10607</v>
      </c>
      <c r="G1359" s="176">
        <v>5</v>
      </c>
      <c r="H1359" s="178">
        <v>31528</v>
      </c>
      <c r="I1359" s="592">
        <f t="shared" si="57"/>
        <v>2</v>
      </c>
      <c r="J1359" s="178" t="s">
        <v>816</v>
      </c>
      <c r="K1359" s="178" t="s">
        <v>816</v>
      </c>
      <c r="L1359" s="275" t="str">
        <f>IF(H:H=0,"",IF(ISERROR(VLOOKUP(H:H,produtos_escape2!$A$2:$B$2794,2,FALSE)),"Código não cadastrado",(VLOOKUP(H:H,produtos_escape2!$A$2:$B$2794,2,FALSE))))</f>
        <v>PORTA AGULHA MAYO HEGAR SEM VÍDEA, Aplicação: Fixação da agulha em sutura de tecidos, Material: Aço inoxidável AISI, Tamanho: 200 mm, Características: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Quando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a laser com clara identificação do fabricante e código / lote de identificação da data de fabricação, iniciais da instituição (SES-DF). Embalagem individual, Processo de esterilização: Não estéril, Forma de apresentação: Unidade, Prazo de validade: Indeterminado.</v>
      </c>
      <c r="M1359" s="593" t="str">
        <f>IF(H:H=0,"",IF(ISERROR(VLOOKUP(H:H,produtos_escape2!$A$2:$D$2794,2,FALSE)),"Código não cadastrado",(VLOOKUP(H:H,produtos_escape2!$A$2:$D$2794,4,FALSE))))</f>
        <v>UN</v>
      </c>
      <c r="N1359" s="486">
        <v>50</v>
      </c>
      <c r="O1359" s="176" t="s">
        <v>9183</v>
      </c>
      <c r="P1359" s="486">
        <v>30</v>
      </c>
      <c r="Q1359" s="247">
        <v>33.380000000000003</v>
      </c>
      <c r="R1359" s="246">
        <f t="shared" si="55"/>
        <v>1001.4000000000001</v>
      </c>
      <c r="S1359" s="177">
        <v>44188</v>
      </c>
      <c r="T1359" s="182"/>
      <c r="U1359" s="177"/>
      <c r="V1359" s="177"/>
      <c r="W1359" s="177"/>
      <c r="X1359" s="176"/>
      <c r="Y1359" s="177"/>
      <c r="Z1359" s="415">
        <v>6</v>
      </c>
      <c r="AA1359" s="488" t="s">
        <v>10715</v>
      </c>
      <c r="AB1359" s="594"/>
      <c r="AC1359" s="595"/>
      <c r="AD1359" s="596" t="str">
        <f>IF(AND(AC1359&lt;&gt;"",S1359&lt;&gt;""),NETWORKDAYS(AC1359,S1359,#REF!),"")</f>
        <v/>
      </c>
      <c r="AE1359" s="596" t="str">
        <f ca="1">IF(AND(AD1359="",AC1359=""),"",IF(OR(AD1359&lt;&gt;"",O1359="*CANCELADO"),"",NETWORKDAYS(AC1359,TODAY(),#REF!)))</f>
        <v/>
      </c>
      <c r="AF1359" s="597">
        <f>IFERROR(INDEX(produtos_escape2!M:M,MATCH(Controle!H1359,produtos_escape2!A:A,0)),"")</f>
        <v>0</v>
      </c>
    </row>
    <row r="1360" spans="1:32" ht="14.25" customHeight="1">
      <c r="A1360" s="176" t="s">
        <v>8320</v>
      </c>
      <c r="B1360" s="176" t="s">
        <v>7207</v>
      </c>
      <c r="C1360" s="177">
        <v>44179</v>
      </c>
      <c r="D1360" s="176" t="s">
        <v>10606</v>
      </c>
      <c r="E1360" s="176" t="s">
        <v>1866</v>
      </c>
      <c r="F1360" s="259" t="s">
        <v>10607</v>
      </c>
      <c r="G1360" s="176">
        <v>6</v>
      </c>
      <c r="H1360" s="178">
        <v>203104</v>
      </c>
      <c r="I1360" s="592">
        <f t="shared" si="57"/>
        <v>2</v>
      </c>
      <c r="J1360" s="178" t="s">
        <v>816</v>
      </c>
      <c r="K1360" s="178" t="s">
        <v>816</v>
      </c>
      <c r="L1360" s="275" t="str">
        <f>IF(H:H=0,"",IF(ISERROR(VLOOKUP(H:H,produtos_escape2!$A$2:$B$2794,2,FALSE)),"Código não cadastrado",(VLOOKUP(H:H,produtos_escape2!$A$2:$B$2794,2,FALSE))))</f>
        <v>PORTA AGULHA MAYO HEGAR, Aplicação: Sutura.Material:aço inoxidável AISI,Tamanho: 140 mm mmCaracterísticas adicionais: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Apresentar uma serrilha que realize uma pega adequada da agulha. Cada peça deverá ter uma gravação eletroquímica com clara identificação do fabricante e código/lote de identificação da data de fabricação, iniciais da instituição (SES-DF). Embalagem individual.Processo de esterilização: Não estéril, Forma de apresentação: Unidade.Prazo de validade: Indeterminado.</v>
      </c>
      <c r="M1360" s="593" t="str">
        <f>IF(H:H=0,"",IF(ISERROR(VLOOKUP(H:H,produtos_escape2!$A$2:$D$2794,2,FALSE)),"Código não cadastrado",(VLOOKUP(H:H,produtos_escape2!$A$2:$D$2794,4,FALSE))))</f>
        <v>UN</v>
      </c>
      <c r="N1360" s="486">
        <v>30</v>
      </c>
      <c r="O1360" s="176" t="s">
        <v>1868</v>
      </c>
      <c r="P1360" s="486"/>
      <c r="Q1360" s="247">
        <v>18.98</v>
      </c>
      <c r="R1360" s="246">
        <f t="shared" si="55"/>
        <v>0</v>
      </c>
      <c r="S1360" s="177">
        <v>44188</v>
      </c>
      <c r="T1360" s="182"/>
      <c r="U1360" s="177"/>
      <c r="V1360" s="177"/>
      <c r="W1360" s="177"/>
      <c r="X1360" s="176"/>
      <c r="Y1360" s="177"/>
      <c r="Z1360" s="415">
        <v>6</v>
      </c>
      <c r="AA1360" s="488" t="s">
        <v>10679</v>
      </c>
      <c r="AB1360" s="594"/>
      <c r="AC1360" s="595"/>
      <c r="AD1360" s="596" t="str">
        <f>IF(AND(AC1360&lt;&gt;"",S1360&lt;&gt;""),NETWORKDAYS(AC1360,S1360,#REF!),"")</f>
        <v/>
      </c>
      <c r="AE1360" s="596" t="str">
        <f ca="1">IF(AND(AD1360="",AC1360=""),"",IF(OR(AD1360&lt;&gt;"",O1360="*CANCELADO"),"",NETWORKDAYS(AC1360,TODAY(),#REF!)))</f>
        <v/>
      </c>
      <c r="AF1360" s="597">
        <f>IFERROR(INDEX(produtos_escape2!M:M,MATCH(Controle!H1360,produtos_escape2!A:A,0)),"")</f>
        <v>0</v>
      </c>
    </row>
    <row r="1361" spans="1:32" ht="14.25" customHeight="1">
      <c r="A1361" s="176" t="s">
        <v>8320</v>
      </c>
      <c r="B1361" s="176" t="s">
        <v>7207</v>
      </c>
      <c r="C1361" s="177">
        <v>44179</v>
      </c>
      <c r="D1361" s="176" t="s">
        <v>10606</v>
      </c>
      <c r="E1361" s="176" t="s">
        <v>1866</v>
      </c>
      <c r="F1361" s="259" t="s">
        <v>10607</v>
      </c>
      <c r="G1361" s="176">
        <v>7</v>
      </c>
      <c r="H1361" s="178">
        <v>31532</v>
      </c>
      <c r="I1361" s="592">
        <f t="shared" si="57"/>
        <v>2</v>
      </c>
      <c r="J1361" s="178" t="s">
        <v>816</v>
      </c>
      <c r="K1361" s="178" t="s">
        <v>816</v>
      </c>
      <c r="L1361" s="275" t="str">
        <f>IF(H:H=0,"",IF(ISERROR(VLOOKUP(H:H,produtos_escape2!$A$2:$B$2794,2,FALSE)),"Código não cadastrado",(VLOOKUP(H:H,produtos_escape2!$A$2:$B$2794,2,FALSE))))</f>
        <v>PORTA AGULHA RYDER, Aplicação: Sutura microvascular, Material: Aço inoxidável AISI, Tamanho: 180 mm,  Características Adicionais  : As pontas deverão ser bem delicadas, com bom acabamento. A peça não deverá apresentar buracos, frestas ou folga no encaixe. A cremalheira deverá ter um funcionamento suave e progressivo, sem trancos e sem escapar com facilidade. O funcionamento geral da peça deverá ser suave, sem raspar no encaixe, sem machucar os dedos e o polimento deverá ser o mais perfeito possível, naturalmente compatível com a aplicação a qual se destina o instrumento. Por se tratar de porta-agulha com pastilha de tungstênio:- a junção entre a pastilha e o porta-agulha não deverá apresentar poros, nem falhas;- a pastilha de tungstênio não poderá descolar do porta-agulha com facilidade; - apresentar os anéis dourados para identificar que se tratam de porta-agulha com pastilha de tungstênio.  Cada peça deverá ter uma gravação eletroquímica com clara identificação do fabricante e código / lote de identificação da data de fabricação, iniciais da instituição (SES-DF). Embalagem individual, Processo de Esterilização: Não estéril , Forma de apresentação: Unidade., Prazo de Validade: Indeterminado.</v>
      </c>
      <c r="M1361" s="593" t="str">
        <f>IF(H:H=0,"",IF(ISERROR(VLOOKUP(H:H,produtos_escape2!$A$2:$D$2794,2,FALSE)),"Código não cadastrado",(VLOOKUP(H:H,produtos_escape2!$A$2:$D$2794,4,FALSE))))</f>
        <v>UN</v>
      </c>
      <c r="N1361" s="486">
        <v>5</v>
      </c>
      <c r="O1361" s="176" t="s">
        <v>9183</v>
      </c>
      <c r="P1361" s="486">
        <v>4</v>
      </c>
      <c r="Q1361" s="247">
        <v>175.5</v>
      </c>
      <c r="R1361" s="246">
        <f t="shared" si="55"/>
        <v>702</v>
      </c>
      <c r="S1361" s="177">
        <v>44188</v>
      </c>
      <c r="T1361" s="182"/>
      <c r="U1361" s="177"/>
      <c r="V1361" s="177"/>
      <c r="W1361" s="177"/>
      <c r="X1361" s="176"/>
      <c r="Y1361" s="177"/>
      <c r="Z1361" s="415">
        <v>6</v>
      </c>
      <c r="AA1361" s="488" t="s">
        <v>10715</v>
      </c>
      <c r="AB1361" s="594"/>
      <c r="AC1361" s="595"/>
      <c r="AD1361" s="596" t="str">
        <f>IF(AND(AC1361&lt;&gt;"",S1361&lt;&gt;""),NETWORKDAYS(AC1361,S1361,#REF!),"")</f>
        <v/>
      </c>
      <c r="AE1361" s="596" t="str">
        <f ca="1">IF(AND(AD1361="",AC1361=""),"",IF(OR(AD1361&lt;&gt;"",O1361="*CANCELADO"),"",NETWORKDAYS(AC1361,TODAY(),#REF!)))</f>
        <v/>
      </c>
      <c r="AF1361" s="597">
        <f>IFERROR(INDEX(produtos_escape2!M:M,MATCH(Controle!H1361,produtos_escape2!A:A,0)),"")</f>
        <v>0</v>
      </c>
    </row>
    <row r="1362" spans="1:32" ht="14.25" customHeight="1">
      <c r="A1362" s="176" t="s">
        <v>8320</v>
      </c>
      <c r="B1362" s="176" t="s">
        <v>7207</v>
      </c>
      <c r="C1362" s="177">
        <v>44179</v>
      </c>
      <c r="D1362" s="176" t="s">
        <v>10606</v>
      </c>
      <c r="E1362" s="176" t="s">
        <v>1866</v>
      </c>
      <c r="F1362" s="259" t="s">
        <v>10607</v>
      </c>
      <c r="G1362" s="176">
        <v>8</v>
      </c>
      <c r="H1362" s="178">
        <v>23391</v>
      </c>
      <c r="I1362" s="592">
        <f t="shared" si="57"/>
        <v>2</v>
      </c>
      <c r="J1362" s="178" t="s">
        <v>816</v>
      </c>
      <c r="K1362" s="178" t="s">
        <v>816</v>
      </c>
      <c r="L1362" s="275" t="str">
        <f>IF(H:H=0,"",IF(ISERROR(VLOOKUP(H:H,produtos_escape2!$A$2:$B$2794,2,FALSE)),"Código não cadastrado",(VLOOKUP(H:H,produtos_escape2!$A$2:$B$2794,2,FALSE))))</f>
        <v>TESOURA DE MAYO CURVA 26cm; Aplicação: Instrumental Cirúrgico; Material: Produto confeccionado em aço inoxidável AISI-420, tamanho 16,5 cm, embalagem plástica individual, constando os dados de identificação, procedência e rastreabilidade, Garantia 10 anos contra defeitos de fabricação, fabricado de acordo com padrões internacionais e qualidade, normas da ABNT, CE. Registro Ministério da Saúde; Tamanho: 26cm; Processo de esterelização: não estéril; Forma de apresentação: embalagem individual; Prazo de validade: 10 anos contra defeito de fabricação; Unidade de estoque: unidade</v>
      </c>
      <c r="M1362" s="593" t="str">
        <f>IF(H:H=0,"",IF(ISERROR(VLOOKUP(H:H,produtos_escape2!$A$2:$D$2794,2,FALSE)),"Código não cadastrado",(VLOOKUP(H:H,produtos_escape2!$A$2:$D$2794,4,FALSE))))</f>
        <v>UN</v>
      </c>
      <c r="N1362" s="486">
        <v>50</v>
      </c>
      <c r="O1362" s="176" t="s">
        <v>1868</v>
      </c>
      <c r="P1362" s="486"/>
      <c r="Q1362" s="247">
        <v>190</v>
      </c>
      <c r="R1362" s="246">
        <f t="shared" si="55"/>
        <v>0</v>
      </c>
      <c r="S1362" s="177">
        <v>44188</v>
      </c>
      <c r="T1362" s="182"/>
      <c r="U1362" s="177"/>
      <c r="V1362" s="177"/>
      <c r="W1362" s="177"/>
      <c r="X1362" s="176"/>
      <c r="Y1362" s="177"/>
      <c r="Z1362" s="415">
        <v>6</v>
      </c>
      <c r="AA1362" s="488" t="s">
        <v>10679</v>
      </c>
      <c r="AB1362" s="594"/>
      <c r="AC1362" s="595"/>
      <c r="AD1362" s="596" t="str">
        <f>IF(AND(AC1362&lt;&gt;"",S1362&lt;&gt;""),NETWORKDAYS(AC1362,S1362,#REF!),"")</f>
        <v/>
      </c>
      <c r="AE1362" s="596" t="str">
        <f ca="1">IF(AND(AD1362="",AC1362=""),"",IF(OR(AD1362&lt;&gt;"",O1362="*CANCELADO"),"",NETWORKDAYS(AC1362,TODAY(),#REF!)))</f>
        <v/>
      </c>
      <c r="AF1362" s="597" t="str">
        <f>IFERROR(INDEX(produtos_escape2!M:M,MATCH(Controle!H1362,produtos_escape2!A:A,0)),"")</f>
        <v>TESOURA DE MAYO 26</v>
      </c>
    </row>
    <row r="1363" spans="1:32" ht="14.25" customHeight="1">
      <c r="A1363" s="176" t="s">
        <v>8320</v>
      </c>
      <c r="B1363" s="176" t="s">
        <v>7207</v>
      </c>
      <c r="C1363" s="177">
        <v>44179</v>
      </c>
      <c r="D1363" s="176" t="s">
        <v>10606</v>
      </c>
      <c r="E1363" s="176" t="s">
        <v>1866</v>
      </c>
      <c r="F1363" s="259" t="s">
        <v>10607</v>
      </c>
      <c r="G1363" s="176">
        <v>9</v>
      </c>
      <c r="H1363" s="178">
        <v>202456</v>
      </c>
      <c r="I1363" s="592">
        <f t="shared" si="57"/>
        <v>2</v>
      </c>
      <c r="J1363" s="178" t="s">
        <v>816</v>
      </c>
      <c r="K1363" s="178" t="s">
        <v>816</v>
      </c>
      <c r="L1363" s="275" t="str">
        <f>IF(H:H=0,"",IF(ISERROR(VLOOKUP(H:H,produtos_escape2!$A$2:$B$2794,2,FALSE)),"Código não cadastrado",(VLOOKUP(H:H,produtos_escape2!$A$2:$B$2794,2,FALSE))))</f>
        <v>TESOURA  DE MAYO RETA, Aplicação: Cirurgia Vascular, Material: Aço inoxidável AISI, Tamanho: 220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Quando se tratar de tesouras com inserto de metal duro, deverão possuir os anéis dourados para fins de identificação. A peça deverá ter uma gravação com clara identificação do fabricante, iniciais da instituição (SES-DF) e código/lote de identificação da data de fabricação, Processo de Esterilização: Não estéril , Forma de apresentação: Unidade, Prazo de Validade: Indeterminado.</v>
      </c>
      <c r="M1363" s="593" t="str">
        <f>IF(H:H=0,"",IF(ISERROR(VLOOKUP(H:H,produtos_escape2!$A$2:$D$2794,2,FALSE)),"Código não cadastrado",(VLOOKUP(H:H,produtos_escape2!$A$2:$D$2794,4,FALSE))))</f>
        <v>UM</v>
      </c>
      <c r="N1363" s="486">
        <v>50</v>
      </c>
      <c r="O1363" s="176" t="s">
        <v>1868</v>
      </c>
      <c r="P1363" s="486"/>
      <c r="Q1363" s="247">
        <v>36.33</v>
      </c>
      <c r="R1363" s="246">
        <f t="shared" si="55"/>
        <v>0</v>
      </c>
      <c r="S1363" s="177">
        <v>44188</v>
      </c>
      <c r="T1363" s="182"/>
      <c r="U1363" s="177"/>
      <c r="V1363" s="177"/>
      <c r="W1363" s="177"/>
      <c r="X1363" s="176"/>
      <c r="Y1363" s="177"/>
      <c r="Z1363" s="415">
        <v>6</v>
      </c>
      <c r="AA1363" s="488" t="s">
        <v>10679</v>
      </c>
      <c r="AB1363" s="594"/>
      <c r="AC1363" s="595"/>
      <c r="AD1363" s="596" t="str">
        <f>IF(AND(AC1363&lt;&gt;"",S1363&lt;&gt;""),NETWORKDAYS(AC1363,S1363,#REF!),"")</f>
        <v/>
      </c>
      <c r="AE1363" s="596" t="str">
        <f ca="1">IF(AND(AD1363="",AC1363=""),"",IF(OR(AD1363&lt;&gt;"",O1363="*CANCELADO"),"",NETWORKDAYS(AC1363,TODAY(),#REF!)))</f>
        <v/>
      </c>
      <c r="AF1363" s="597" t="str">
        <f>IFERROR(INDEX(produtos_escape2!M:M,MATCH(Controle!H1363,produtos_escape2!A:A,0)),"")</f>
        <v>TESOURA DE MAYO 220</v>
      </c>
    </row>
    <row r="1364" spans="1:32" ht="14.25" customHeight="1">
      <c r="A1364" s="176" t="s">
        <v>8320</v>
      </c>
      <c r="B1364" s="176" t="s">
        <v>7207</v>
      </c>
      <c r="C1364" s="177">
        <v>44179</v>
      </c>
      <c r="D1364" s="176" t="s">
        <v>10606</v>
      </c>
      <c r="E1364" s="176" t="s">
        <v>1866</v>
      </c>
      <c r="F1364" s="259" t="s">
        <v>10607</v>
      </c>
      <c r="G1364" s="176">
        <v>10</v>
      </c>
      <c r="H1364" s="178">
        <v>14289</v>
      </c>
      <c r="I1364" s="592">
        <f t="shared" si="57"/>
        <v>2</v>
      </c>
      <c r="J1364" s="178" t="s">
        <v>816</v>
      </c>
      <c r="K1364" s="178" t="s">
        <v>816</v>
      </c>
      <c r="L1364" s="275" t="str">
        <f>IF(H:H=0,"",IF(ISERROR(VLOOKUP(H:H,produtos_escape2!$A$2:$B$2794,2,FALSE)),"Código não cadastrado",(VLOOKUP(H:H,produtos_escape2!$A$2:$B$2794,2,FALSE))))</f>
        <v>TESOURA METZEMBAUM RETA, APLICAÇÃO: CIRURGIA VASCULAR, MATERIAL: AÇO INOXIDÁVEL AISI , TAMANHO: 180 MM</v>
      </c>
      <c r="M1364" s="593" t="str">
        <f>IF(H:H=0,"",IF(ISERROR(VLOOKUP(H:H,produtos_escape2!$A$2:$D$2794,2,FALSE)),"Código não cadastrado",(VLOOKUP(H:H,produtos_escape2!$A$2:$D$2794,4,FALSE))))</f>
        <v>UN</v>
      </c>
      <c r="N1364" s="486">
        <v>40</v>
      </c>
      <c r="O1364" s="176" t="s">
        <v>1868</v>
      </c>
      <c r="P1364" s="486"/>
      <c r="Q1364" s="247">
        <v>28.1</v>
      </c>
      <c r="R1364" s="246">
        <f t="shared" si="55"/>
        <v>0</v>
      </c>
      <c r="S1364" s="177">
        <v>44188</v>
      </c>
      <c r="T1364" s="182"/>
      <c r="U1364" s="177"/>
      <c r="V1364" s="177"/>
      <c r="W1364" s="177"/>
      <c r="X1364" s="176"/>
      <c r="Y1364" s="177"/>
      <c r="Z1364" s="415">
        <v>6</v>
      </c>
      <c r="AA1364" s="488" t="s">
        <v>10679</v>
      </c>
      <c r="AB1364" s="594"/>
      <c r="AC1364" s="595"/>
      <c r="AD1364" s="596" t="str">
        <f>IF(AND(AC1364&lt;&gt;"",S1364&lt;&gt;""),NETWORKDAYS(AC1364,S1364,#REF!),"")</f>
        <v/>
      </c>
      <c r="AE1364" s="596" t="str">
        <f ca="1">IF(AND(AD1364="",AC1364=""),"",IF(OR(AD1364&lt;&gt;"",O1364="*CANCELADO"),"",NETWORKDAYS(AC1364,TODAY(),#REF!)))</f>
        <v/>
      </c>
      <c r="AF1364" s="597" t="str">
        <f>IFERROR(INDEX(produtos_escape2!M:M,MATCH(Controle!H1364,produtos_escape2!A:A,0)),"")</f>
        <v>TESOURA METZEMBAUM RETA</v>
      </c>
    </row>
    <row r="1365" spans="1:32" ht="14.25" customHeight="1">
      <c r="A1365" s="176" t="s">
        <v>8320</v>
      </c>
      <c r="B1365" s="176" t="s">
        <v>7207</v>
      </c>
      <c r="C1365" s="177">
        <v>44179</v>
      </c>
      <c r="D1365" s="176" t="s">
        <v>10606</v>
      </c>
      <c r="E1365" s="176" t="s">
        <v>1866</v>
      </c>
      <c r="F1365" s="259" t="s">
        <v>10607</v>
      </c>
      <c r="G1365" s="176">
        <v>11</v>
      </c>
      <c r="H1365" s="178">
        <v>202871</v>
      </c>
      <c r="I1365" s="592">
        <f t="shared" si="57"/>
        <v>2</v>
      </c>
      <c r="J1365" s="178" t="s">
        <v>816</v>
      </c>
      <c r="K1365" s="178" t="s">
        <v>816</v>
      </c>
      <c r="L1365" s="275" t="str">
        <f>IF(H:H=0,"",IF(ISERROR(VLOOKUP(H:H,produtos_escape2!$A$2:$B$2794,2,FALSE)),"Código não cadastrado",(VLOOKUP(H:H,produtos_escape2!$A$2:$B$2794,2,FALSE))))</f>
        <v>TESOURA METZEMBAUM RETA, Material: Aço inoxidável AISI, Tamanho: 200 mm,  Características Adicionais: As tesouras deverão ter um tratamento térmico integral, a fim de atingir a dureza e a flexibilidade adequadas a um perfeito desempenho. Os parafusos das articulações deverão estar devidamente regulados a fim de que o funcionamento da tesoura seja suave e progressivo sem ferir ou mascar os tecidos e, ao mesmo tempo, não desgaste excessivamente em função do atrito de uma lâmina contra a outra. As pontas deverão ser delicadas e adequadas ao trabalho a que se destinam. O peso deverá ser o menor possível e o polimento isento de buracos ou defeitos superficiais que possam provocar manchas ou corrosão.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1365" s="593" t="str">
        <f>IF(H:H=0,"",IF(ISERROR(VLOOKUP(H:H,produtos_escape2!$A$2:$D$2794,2,FALSE)),"Código não cadastrado",(VLOOKUP(H:H,produtos_escape2!$A$2:$D$2794,4,FALSE))))</f>
        <v>UN</v>
      </c>
      <c r="N1365" s="486">
        <v>150</v>
      </c>
      <c r="O1365" s="176" t="s">
        <v>9183</v>
      </c>
      <c r="P1365" s="486">
        <v>70</v>
      </c>
      <c r="Q1365" s="247">
        <v>32.700000000000003</v>
      </c>
      <c r="R1365" s="246">
        <f t="shared" si="55"/>
        <v>2289</v>
      </c>
      <c r="S1365" s="177">
        <v>44188</v>
      </c>
      <c r="T1365" s="182"/>
      <c r="U1365" s="177"/>
      <c r="V1365" s="177"/>
      <c r="W1365" s="177"/>
      <c r="X1365" s="176"/>
      <c r="Y1365" s="177"/>
      <c r="Z1365" s="415">
        <v>6</v>
      </c>
      <c r="AA1365" s="488" t="s">
        <v>10716</v>
      </c>
      <c r="AB1365" s="594"/>
      <c r="AC1365" s="595"/>
      <c r="AD1365" s="596" t="str">
        <f>IF(AND(AC1365&lt;&gt;"",S1365&lt;&gt;""),NETWORKDAYS(AC1365,S1365,#REF!),"")</f>
        <v/>
      </c>
      <c r="AE1365" s="596" t="str">
        <f ca="1">IF(AND(AD1365="",AC1365=""),"",IF(OR(AD1365&lt;&gt;"",O1365="*CANCELADO"),"",NETWORKDAYS(AC1365,TODAY(),#REF!)))</f>
        <v/>
      </c>
      <c r="AF1365" s="597" t="str">
        <f>IFERROR(INDEX(produtos_escape2!M:M,MATCH(Controle!H1365,produtos_escape2!A:A,0)),"")</f>
        <v>TESOURA METZEMBAUM 200</v>
      </c>
    </row>
    <row r="1366" spans="1:32" ht="14.25" customHeight="1">
      <c r="A1366" s="176" t="s">
        <v>8320</v>
      </c>
      <c r="B1366" s="176" t="s">
        <v>7207</v>
      </c>
      <c r="C1366" s="177">
        <v>44179</v>
      </c>
      <c r="D1366" s="176" t="s">
        <v>10606</v>
      </c>
      <c r="E1366" s="176" t="s">
        <v>1866</v>
      </c>
      <c r="F1366" s="259" t="s">
        <v>10607</v>
      </c>
      <c r="G1366" s="176">
        <v>12</v>
      </c>
      <c r="H1366" s="178">
        <v>200831</v>
      </c>
      <c r="I1366" s="592">
        <f t="shared" si="57"/>
        <v>2</v>
      </c>
      <c r="J1366" s="178" t="s">
        <v>816</v>
      </c>
      <c r="K1366" s="178" t="s">
        <v>816</v>
      </c>
      <c r="L1366" s="275" t="str">
        <f>IF(H:H=0,"",IF(ISERROR(VLOOKUP(H:H,produtos_escape2!$A$2:$B$2794,2,FALSE)),"Código não cadastrado",(VLOOKUP(H:H,produtos_escape2!$A$2:$B$2794,2,FALSE))))</f>
        <v>VALVULA DE DOYEN, Aplicação: sub-pubiana, Tamanho: pequena</v>
      </c>
      <c r="M1366" s="593" t="str">
        <f>IF(H:H=0,"",IF(ISERROR(VLOOKUP(H:H,produtos_escape2!$A$2:$D$2794,2,FALSE)),"Código não cadastrado",(VLOOKUP(H:H,produtos_escape2!$A$2:$D$2794,4,FALSE))))</f>
        <v>UN</v>
      </c>
      <c r="N1366" s="486">
        <v>4</v>
      </c>
      <c r="O1366" s="176" t="s">
        <v>1868</v>
      </c>
      <c r="P1366" s="486"/>
      <c r="Q1366" s="247">
        <v>210.39</v>
      </c>
      <c r="R1366" s="246">
        <f t="shared" si="55"/>
        <v>0</v>
      </c>
      <c r="S1366" s="177">
        <v>44188</v>
      </c>
      <c r="T1366" s="182"/>
      <c r="U1366" s="177"/>
      <c r="V1366" s="177"/>
      <c r="W1366" s="177"/>
      <c r="X1366" s="176"/>
      <c r="Y1366" s="177"/>
      <c r="Z1366" s="415">
        <v>6</v>
      </c>
      <c r="AA1366" s="488" t="s">
        <v>10679</v>
      </c>
      <c r="AB1366" s="594"/>
      <c r="AC1366" s="595"/>
      <c r="AD1366" s="596" t="str">
        <f>IF(AND(AC1366&lt;&gt;"",S1366&lt;&gt;""),NETWORKDAYS(AC1366,S1366,#REF!),"")</f>
        <v/>
      </c>
      <c r="AE1366" s="596" t="str">
        <f ca="1">IF(AND(AD1366="",AC1366=""),"",IF(OR(AD1366&lt;&gt;"",O1366="*CANCELADO"),"",NETWORKDAYS(AC1366,TODAY(),#REF!)))</f>
        <v/>
      </c>
      <c r="AF1366" s="597" t="str">
        <f>IFERROR(INDEX(produtos_escape2!M:M,MATCH(Controle!H1366,produtos_escape2!A:A,0)),"")</f>
        <v>VALVULA DE DOYEN</v>
      </c>
    </row>
    <row r="1367" spans="1:32" ht="14.25" customHeight="1">
      <c r="A1367" s="176" t="s">
        <v>8345</v>
      </c>
      <c r="B1367" s="176" t="s">
        <v>7207</v>
      </c>
      <c r="C1367" s="177">
        <v>44179</v>
      </c>
      <c r="D1367" s="176" t="s">
        <v>10608</v>
      </c>
      <c r="E1367" s="176" t="s">
        <v>1866</v>
      </c>
      <c r="F1367" s="259" t="s">
        <v>10609</v>
      </c>
      <c r="G1367" s="176">
        <v>1</v>
      </c>
      <c r="H1367" s="178">
        <v>15205</v>
      </c>
      <c r="I1367" s="592">
        <f t="shared" si="57"/>
        <v>2</v>
      </c>
      <c r="J1367" s="178" t="s">
        <v>816</v>
      </c>
      <c r="K1367" s="178" t="s">
        <v>816</v>
      </c>
      <c r="L1367" s="275" t="str">
        <f>IF(H:H=0,"",IF(ISERROR(VLOOKUP(H:H,produtos_escape2!$A$2:$B$2794,2,FALSE)),"Código não cadastrado",(VLOOKUP(H:H,produtos_escape2!$A$2:$B$2794,2,FALSE))))</f>
        <v>PINÇA ALLIS, Aplicação: Apreensão e Hemostasia, Material: Aço inoxidável AISI, Tamanho: 200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 Processo de Esterilização: Não estéril , Forma de apresentação: Unidade, Prazo de Validade: Indeterminado.</v>
      </c>
      <c r="M1367" s="593" t="str">
        <f>IF(H:H=0,"",IF(ISERROR(VLOOKUP(H:H,produtos_escape2!$A$2:$D$2794,2,FALSE)),"Código não cadastrado",(VLOOKUP(H:H,produtos_escape2!$A$2:$D$2794,4,FALSE))))</f>
        <v>UN</v>
      </c>
      <c r="N1367" s="486">
        <v>40</v>
      </c>
      <c r="O1367" s="176" t="s">
        <v>9183</v>
      </c>
      <c r="P1367" s="486">
        <v>23</v>
      </c>
      <c r="Q1367" s="247">
        <v>37.57</v>
      </c>
      <c r="R1367" s="246">
        <f t="shared" si="55"/>
        <v>864.11</v>
      </c>
      <c r="S1367" s="177">
        <v>44188</v>
      </c>
      <c r="T1367" s="182"/>
      <c r="U1367" s="177"/>
      <c r="V1367" s="177"/>
      <c r="W1367" s="177"/>
      <c r="X1367" s="176"/>
      <c r="Y1367" s="177"/>
      <c r="Z1367" s="415">
        <v>6</v>
      </c>
      <c r="AA1367" s="488" t="s">
        <v>10697</v>
      </c>
      <c r="AB1367" s="594"/>
      <c r="AC1367" s="595"/>
      <c r="AD1367" s="596" t="str">
        <f>IF(AND(AC1367&lt;&gt;"",S1367&lt;&gt;""),NETWORKDAYS(AC1367,S1367,#REF!),"")</f>
        <v/>
      </c>
      <c r="AE1367" s="596" t="str">
        <f ca="1">IF(AND(AD1367="",AC1367=""),"",IF(OR(AD1367&lt;&gt;"",O1367="*CANCELADO"),"",NETWORKDAYS(AC1367,TODAY(),#REF!)))</f>
        <v/>
      </c>
      <c r="AF1367" s="597">
        <f>IFERROR(INDEX(produtos_escape2!M:M,MATCH(Controle!H1367,produtos_escape2!A:A,0)),"")</f>
        <v>0</v>
      </c>
    </row>
    <row r="1368" spans="1:32" ht="14.25" customHeight="1">
      <c r="A1368" s="176" t="s">
        <v>8345</v>
      </c>
      <c r="B1368" s="176" t="s">
        <v>7207</v>
      </c>
      <c r="C1368" s="177">
        <v>44179</v>
      </c>
      <c r="D1368" s="176" t="s">
        <v>10608</v>
      </c>
      <c r="E1368" s="176" t="s">
        <v>1866</v>
      </c>
      <c r="F1368" s="259" t="s">
        <v>10609</v>
      </c>
      <c r="G1368" s="176">
        <v>2</v>
      </c>
      <c r="H1368" s="178">
        <v>15215</v>
      </c>
      <c r="I1368" s="592">
        <f t="shared" si="57"/>
        <v>2</v>
      </c>
      <c r="J1368" s="178" t="s">
        <v>816</v>
      </c>
      <c r="K1368" s="178" t="s">
        <v>816</v>
      </c>
      <c r="L1368" s="275" t="str">
        <f>IF(H:H=0,"",IF(ISERROR(VLOOKUP(H:H,produtos_escape2!$A$2:$B$2794,2,FALSE)),"Código não cadastrado",(VLOOKUP(H:H,produtos_escape2!$A$2:$B$2794,2,FALSE))))</f>
        <v>Pinça Baby cock de 25 mm</v>
      </c>
      <c r="M1368" s="593" t="str">
        <f>IF(H:H=0,"",IF(ISERROR(VLOOKUP(H:H,produtos_escape2!$A$2:$D$2794,2,FALSE)),"Código não cadastrado",(VLOOKUP(H:H,produtos_escape2!$A$2:$D$2794,4,FALSE))))</f>
        <v>UN</v>
      </c>
      <c r="N1368" s="486">
        <v>20</v>
      </c>
      <c r="O1368" s="176" t="s">
        <v>1868</v>
      </c>
      <c r="P1368" s="486"/>
      <c r="Q1368" s="247">
        <v>82.45</v>
      </c>
      <c r="R1368" s="246">
        <f t="shared" si="55"/>
        <v>0</v>
      </c>
      <c r="S1368" s="177">
        <v>44188</v>
      </c>
      <c r="T1368" s="182"/>
      <c r="U1368" s="177"/>
      <c r="V1368" s="177"/>
      <c r="W1368" s="177"/>
      <c r="X1368" s="176"/>
      <c r="Y1368" s="177"/>
      <c r="Z1368" s="415">
        <v>6</v>
      </c>
      <c r="AA1368" s="488" t="s">
        <v>10679</v>
      </c>
      <c r="AB1368" s="594"/>
      <c r="AC1368" s="595"/>
      <c r="AD1368" s="596" t="str">
        <f>IF(AND(AC1368&lt;&gt;"",S1368&lt;&gt;""),NETWORKDAYS(AC1368,S1368,#REF!),"")</f>
        <v/>
      </c>
      <c r="AE1368" s="596" t="str">
        <f ca="1">IF(AND(AD1368="",AC1368=""),"",IF(OR(AD1368&lt;&gt;"",O1368="*CANCELADO"),"",NETWORKDAYS(AC1368,TODAY(),#REF!)))</f>
        <v/>
      </c>
      <c r="AF1368" s="597" t="str">
        <f>IFERROR(INDEX(produtos_escape2!M:M,MATCH(Controle!H1368,produtos_escape2!A:A,0)),"")</f>
        <v>Pinça Baby cock de 25 mm</v>
      </c>
    </row>
    <row r="1369" spans="1:32" ht="14.25" customHeight="1">
      <c r="A1369" s="176" t="s">
        <v>8345</v>
      </c>
      <c r="B1369" s="176" t="s">
        <v>7207</v>
      </c>
      <c r="C1369" s="177">
        <v>44179</v>
      </c>
      <c r="D1369" s="176" t="s">
        <v>10608</v>
      </c>
      <c r="E1369" s="176" t="s">
        <v>1866</v>
      </c>
      <c r="F1369" s="259" t="s">
        <v>10609</v>
      </c>
      <c r="G1369" s="176">
        <v>3</v>
      </c>
      <c r="H1369" s="178">
        <v>12973</v>
      </c>
      <c r="I1369" s="592">
        <f t="shared" si="57"/>
        <v>2</v>
      </c>
      <c r="J1369" s="178" t="s">
        <v>816</v>
      </c>
      <c r="K1369" s="178" t="s">
        <v>816</v>
      </c>
      <c r="L1369" s="275" t="str">
        <f>IF(H:H=0,"",IF(ISERROR(VLOOKUP(H:H,produtos_escape2!$A$2:$B$2794,2,FALSE)),"Código não cadastrado",(VLOOKUP(H:H,produtos_escape2!$A$2:$B$2794,2,FALSE))))</f>
        <v>PINÇA BACKAUS, Aplicação: pinça de campo, Material: Aço inoxidável AISI, Tamanho: 110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1369" s="593" t="str">
        <f>IF(H:H=0,"",IF(ISERROR(VLOOKUP(H:H,produtos_escape2!$A$2:$D$2794,2,FALSE)),"Código não cadastrado",(VLOOKUP(H:H,produtos_escape2!$A$2:$D$2794,4,FALSE))))</f>
        <v>UN</v>
      </c>
      <c r="N1369" s="486">
        <v>200</v>
      </c>
      <c r="O1369" s="176" t="s">
        <v>9183</v>
      </c>
      <c r="P1369" s="486">
        <v>179</v>
      </c>
      <c r="Q1369" s="247">
        <v>17.59</v>
      </c>
      <c r="R1369" s="246">
        <f t="shared" si="55"/>
        <v>3148.61</v>
      </c>
      <c r="S1369" s="177">
        <v>44188</v>
      </c>
      <c r="T1369" s="182"/>
      <c r="U1369" s="177"/>
      <c r="V1369" s="177"/>
      <c r="W1369" s="177"/>
      <c r="X1369" s="176"/>
      <c r="Y1369" s="177"/>
      <c r="Z1369" s="415">
        <v>6</v>
      </c>
      <c r="AA1369" s="488" t="s">
        <v>10717</v>
      </c>
      <c r="AB1369" s="594"/>
      <c r="AC1369" s="595"/>
      <c r="AD1369" s="596" t="str">
        <f>IF(AND(AC1369&lt;&gt;"",S1369&lt;&gt;""),NETWORKDAYS(AC1369,S1369,#REF!),"")</f>
        <v/>
      </c>
      <c r="AE1369" s="596" t="str">
        <f ca="1">IF(AND(AD1369="",AC1369=""),"",IF(OR(AD1369&lt;&gt;"",O1369="*CANCELADO"),"",NETWORKDAYS(AC1369,TODAY(),#REF!)))</f>
        <v/>
      </c>
      <c r="AF1369" s="597" t="str">
        <f>IFERROR(INDEX(produtos_escape2!M:M,MATCH(Controle!H1369,produtos_escape2!A:A,0)),"")</f>
        <v>PINÇA BACKAUS 110</v>
      </c>
    </row>
    <row r="1370" spans="1:32" ht="14.25" customHeight="1">
      <c r="A1370" s="176" t="s">
        <v>8345</v>
      </c>
      <c r="B1370" s="176" t="s">
        <v>7207</v>
      </c>
      <c r="C1370" s="177">
        <v>44179</v>
      </c>
      <c r="D1370" s="176" t="s">
        <v>10608</v>
      </c>
      <c r="E1370" s="176" t="s">
        <v>1866</v>
      </c>
      <c r="F1370" s="259" t="s">
        <v>10609</v>
      </c>
      <c r="G1370" s="176">
        <v>4</v>
      </c>
      <c r="H1370" s="178">
        <v>15213</v>
      </c>
      <c r="I1370" s="592">
        <f t="shared" si="57"/>
        <v>2</v>
      </c>
      <c r="J1370" s="178" t="s">
        <v>816</v>
      </c>
      <c r="K1370" s="178" t="s">
        <v>816</v>
      </c>
      <c r="L1370" s="275" t="str">
        <f>IF(H:H=0,"",IF(ISERROR(VLOOKUP(H:H,produtos_escape2!$A$2:$B$2794,2,FALSE)),"Código não cadastrado",(VLOOKUP(H:H,produtos_escape2!$A$2:$B$2794,2,FALSE))))</f>
        <v>PINÇA BACKAUS, Aplicação: pinça de campo, Material: Aço inoxidável AISI, Tamanho: 130 mm, A pinça deverá ter as pontas pontiagudas e precisas para fazer adequadamente a apreensão dos campos cirúrgicos.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campos.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1370" s="593" t="str">
        <f>IF(H:H=0,"",IF(ISERROR(VLOOKUP(H:H,produtos_escape2!$A$2:$D$2794,2,FALSE)),"Código não cadastrado",(VLOOKUP(H:H,produtos_escape2!$A$2:$D$2794,4,FALSE))))</f>
        <v>UN</v>
      </c>
      <c r="N1370" s="486">
        <v>200</v>
      </c>
      <c r="O1370" s="176" t="s">
        <v>9183</v>
      </c>
      <c r="P1370" s="486">
        <v>200</v>
      </c>
      <c r="Q1370" s="247">
        <v>17.59</v>
      </c>
      <c r="R1370" s="246">
        <f t="shared" si="55"/>
        <v>3518</v>
      </c>
      <c r="S1370" s="177">
        <v>44188</v>
      </c>
      <c r="T1370" s="182"/>
      <c r="U1370" s="177"/>
      <c r="V1370" s="177"/>
      <c r="W1370" s="177"/>
      <c r="X1370" s="176"/>
      <c r="Y1370" s="177"/>
      <c r="Z1370" s="415">
        <v>6</v>
      </c>
      <c r="AA1370" s="488" t="s">
        <v>10697</v>
      </c>
      <c r="AB1370" s="594"/>
      <c r="AC1370" s="595"/>
      <c r="AD1370" s="596" t="str">
        <f>IF(AND(AC1370&lt;&gt;"",S1370&lt;&gt;""),NETWORKDAYS(AC1370,S1370,#REF!),"")</f>
        <v/>
      </c>
      <c r="AE1370" s="596" t="str">
        <f ca="1">IF(AND(AD1370="",AC1370=""),"",IF(OR(AD1370&lt;&gt;"",O1370="*CANCELADO"),"",NETWORKDAYS(AC1370,TODAY(),#REF!)))</f>
        <v/>
      </c>
      <c r="AF1370" s="597" t="str">
        <f>IFERROR(INDEX(produtos_escape2!M:M,MATCH(Controle!H1370,produtos_escape2!A:A,0)),"")</f>
        <v>PINÇA BACKAUS</v>
      </c>
    </row>
    <row r="1371" spans="1:32" ht="14.25" customHeight="1">
      <c r="A1371" s="176" t="s">
        <v>8345</v>
      </c>
      <c r="B1371" s="176" t="s">
        <v>7207</v>
      </c>
      <c r="C1371" s="177">
        <v>44179</v>
      </c>
      <c r="D1371" s="176" t="s">
        <v>10608</v>
      </c>
      <c r="E1371" s="176" t="s">
        <v>1866</v>
      </c>
      <c r="F1371" s="259" t="s">
        <v>10609</v>
      </c>
      <c r="G1371" s="176">
        <v>5</v>
      </c>
      <c r="H1371" s="178">
        <v>23433</v>
      </c>
      <c r="I1371" s="592">
        <f t="shared" si="57"/>
        <v>2</v>
      </c>
      <c r="J1371" s="178" t="s">
        <v>816</v>
      </c>
      <c r="K1371" s="178" t="s">
        <v>816</v>
      </c>
      <c r="L1371" s="275" t="str">
        <f>IF(H:H=0,"",IF(ISERROR(VLOOKUP(H:H,produtos_escape2!$A$2:$B$2794,2,FALSE)),"Código não cadastrado",(VLOOKUP(H:H,produtos_escape2!$A$2:$B$2794,2,FALSE))))</f>
        <v>PINÇA BULDOG CURVO 11cm; Aplicação: instrumental cirúrgico; Material: Produto confeccionado em aço inoxidável AISI-420, tamanho 11cm, embalagem plástica individual, constando os dados de identificação, procedência e rastreabilidade, Garantia de 10 anos contra defeitos de fabricação, fabricado de acordo com padrões internacionais de qualidade, normas da ABNT, CE. Registro Ministério da Saúde; Tamanho: 11 cm ; Processo de esterilização: não estéril; Forma de apresentação: embalagem individual; Prazo de validade: 10 anos contra defeito de fabricação; Unidade de estoque: unidade</v>
      </c>
      <c r="M1371" s="593" t="str">
        <f>IF(H:H=0,"",IF(ISERROR(VLOOKUP(H:H,produtos_escape2!$A$2:$D$2794,2,FALSE)),"Código não cadastrado",(VLOOKUP(H:H,produtos_escape2!$A$2:$D$2794,4,FALSE))))</f>
        <v>UN</v>
      </c>
      <c r="N1371" s="486">
        <v>20</v>
      </c>
      <c r="O1371" s="176" t="s">
        <v>10678</v>
      </c>
      <c r="P1371" s="486">
        <v>12</v>
      </c>
      <c r="Q1371" s="247">
        <v>92.3</v>
      </c>
      <c r="R1371" s="246">
        <f t="shared" si="55"/>
        <v>1107.5999999999999</v>
      </c>
      <c r="S1371" s="177">
        <v>44188</v>
      </c>
      <c r="T1371" s="182"/>
      <c r="U1371" s="177"/>
      <c r="V1371" s="177"/>
      <c r="W1371" s="177"/>
      <c r="X1371" s="176"/>
      <c r="Y1371" s="177"/>
      <c r="Z1371" s="415">
        <v>6</v>
      </c>
      <c r="AA1371" s="488" t="s">
        <v>10718</v>
      </c>
      <c r="AB1371" s="594"/>
      <c r="AC1371" s="595"/>
      <c r="AD1371" s="596" t="str">
        <f>IF(AND(AC1371&lt;&gt;"",S1371&lt;&gt;""),NETWORKDAYS(AC1371,S1371,#REF!),"")</f>
        <v/>
      </c>
      <c r="AE1371" s="596" t="str">
        <f ca="1">IF(AND(AD1371="",AC1371=""),"",IF(OR(AD1371&lt;&gt;"",O1371="*CANCELADO"),"",NETWORKDAYS(AC1371,TODAY(),#REF!)))</f>
        <v/>
      </c>
      <c r="AF1371" s="597" t="str">
        <f>IFERROR(INDEX(produtos_escape2!M:M,MATCH(Controle!H1371,produtos_escape2!A:A,0)),"")</f>
        <v>PÍNÇA BULDOG CURVO 11</v>
      </c>
    </row>
    <row r="1372" spans="1:32" ht="14.25" customHeight="1">
      <c r="A1372" s="176" t="s">
        <v>8345</v>
      </c>
      <c r="B1372" s="176" t="s">
        <v>7207</v>
      </c>
      <c r="C1372" s="177">
        <v>44179</v>
      </c>
      <c r="D1372" s="176" t="s">
        <v>10608</v>
      </c>
      <c r="E1372" s="176" t="s">
        <v>1866</v>
      </c>
      <c r="F1372" s="259" t="s">
        <v>10609</v>
      </c>
      <c r="G1372" s="176">
        <v>6</v>
      </c>
      <c r="H1372" s="178">
        <v>23434</v>
      </c>
      <c r="I1372" s="592">
        <f t="shared" si="57"/>
        <v>2</v>
      </c>
      <c r="J1372" s="178" t="s">
        <v>816</v>
      </c>
      <c r="K1372" s="178" t="s">
        <v>816</v>
      </c>
      <c r="L1372" s="275" t="str">
        <f>IF(H:H=0,"",IF(ISERROR(VLOOKUP(H:H,produtos_escape2!$A$2:$B$2794,2,FALSE)),"Código não cadastrado",(VLOOKUP(H:H,produtos_escape2!$A$2:$B$2794,2,FALSE))))</f>
        <v>PINÇA BULDOG RETO 9cm; Aplicação: instrumental cirúrgico; Material: Produto confeccionado em aço inoxidável AISI-420, tamanho 9cm, embalagem plástica individual, constando os dados de identificação, procedência e rastreabilidade, Garantia de 10 anos contra defeitos de fabricação, fabricado de acordo com padrões internacionais de qualidade, normas da ABNT, CE. Registro Ministério da Saúde; Tamanho: 09 cm ; Processo de esterilização: não estéril; Forma de apresentação: embalagem individual; Prazo de validade: 10 anos contra defeito de fabricação; Unidade de estoque: unidade</v>
      </c>
      <c r="M1372" s="593" t="str">
        <f>IF(H:H=0,"",IF(ISERROR(VLOOKUP(H:H,produtos_escape2!$A$2:$D$2794,2,FALSE)),"Código não cadastrado",(VLOOKUP(H:H,produtos_escape2!$A$2:$D$2794,4,FALSE))))</f>
        <v>UN</v>
      </c>
      <c r="N1372" s="486">
        <v>20</v>
      </c>
      <c r="O1372" s="176" t="s">
        <v>10678</v>
      </c>
      <c r="P1372" s="486">
        <v>12</v>
      </c>
      <c r="Q1372" s="247">
        <v>92.3</v>
      </c>
      <c r="R1372" s="246">
        <f t="shared" si="55"/>
        <v>1107.5999999999999</v>
      </c>
      <c r="S1372" s="177">
        <v>44188</v>
      </c>
      <c r="T1372" s="182"/>
      <c r="U1372" s="177"/>
      <c r="V1372" s="177"/>
      <c r="W1372" s="177"/>
      <c r="X1372" s="176"/>
      <c r="Y1372" s="177"/>
      <c r="Z1372" s="415">
        <v>6</v>
      </c>
      <c r="AA1372" s="488" t="s">
        <v>10718</v>
      </c>
      <c r="AB1372" s="594"/>
      <c r="AC1372" s="595"/>
      <c r="AD1372" s="596" t="str">
        <f>IF(AND(AC1372&lt;&gt;"",S1372&lt;&gt;""),NETWORKDAYS(AC1372,S1372,#REF!),"")</f>
        <v/>
      </c>
      <c r="AE1372" s="596" t="str">
        <f ca="1">IF(AND(AD1372="",AC1372=""),"",IF(OR(AD1372&lt;&gt;"",O1372="*CANCELADO"),"",NETWORKDAYS(AC1372,TODAY(),#REF!)))</f>
        <v/>
      </c>
      <c r="AF1372" s="597" t="str">
        <f>IFERROR(INDEX(produtos_escape2!M:M,MATCH(Controle!H1372,produtos_escape2!A:A,0)),"")</f>
        <v>PINÇA BULDOG RETA 9</v>
      </c>
    </row>
    <row r="1373" spans="1:32" ht="14.25" customHeight="1">
      <c r="A1373" s="176" t="s">
        <v>8345</v>
      </c>
      <c r="B1373" s="176" t="s">
        <v>7207</v>
      </c>
      <c r="C1373" s="177">
        <v>44179</v>
      </c>
      <c r="D1373" s="176" t="s">
        <v>10608</v>
      </c>
      <c r="E1373" s="176" t="s">
        <v>1866</v>
      </c>
      <c r="F1373" s="259" t="s">
        <v>10609</v>
      </c>
      <c r="G1373" s="176">
        <v>7</v>
      </c>
      <c r="H1373" s="178">
        <v>15247</v>
      </c>
      <c r="I1373" s="592">
        <f t="shared" si="57"/>
        <v>2</v>
      </c>
      <c r="J1373" s="178" t="s">
        <v>816</v>
      </c>
      <c r="K1373" s="178" t="s">
        <v>816</v>
      </c>
      <c r="L1373" s="275" t="str">
        <f>IF(H:H=0,"",IF(ISERROR(VLOOKUP(H:H,produtos_escape2!$A$2:$B$2794,2,FALSE)),"Código não cadastrado",(VLOOKUP(H:H,produtos_escape2!$A$2:$B$2794,2,FALSE))))</f>
        <v>Pinça Crile curva 14 cm</v>
      </c>
      <c r="M1373" s="593" t="str">
        <f>IF(H:H=0,"",IF(ISERROR(VLOOKUP(H:H,produtos_escape2!$A$2:$D$2794,2,FALSE)),"Código não cadastrado",(VLOOKUP(H:H,produtos_escape2!$A$2:$D$2794,4,FALSE))))</f>
        <v>UN</v>
      </c>
      <c r="N1373" s="486">
        <v>150</v>
      </c>
      <c r="O1373" s="176" t="s">
        <v>9183</v>
      </c>
      <c r="P1373" s="486">
        <v>50</v>
      </c>
      <c r="Q1373" s="247">
        <v>19.57</v>
      </c>
      <c r="R1373" s="246">
        <f t="shared" si="55"/>
        <v>978.5</v>
      </c>
      <c r="S1373" s="177">
        <v>44188</v>
      </c>
      <c r="T1373" s="182"/>
      <c r="U1373" s="177"/>
      <c r="V1373" s="177"/>
      <c r="W1373" s="177"/>
      <c r="X1373" s="176"/>
      <c r="Y1373" s="177"/>
      <c r="Z1373" s="415">
        <v>6</v>
      </c>
      <c r="AA1373" s="488" t="s">
        <v>10697</v>
      </c>
      <c r="AB1373" s="594"/>
      <c r="AC1373" s="595"/>
      <c r="AD1373" s="596" t="str">
        <f>IF(AND(AC1373&lt;&gt;"",S1373&lt;&gt;""),NETWORKDAYS(AC1373,S1373,#REF!),"")</f>
        <v/>
      </c>
      <c r="AE1373" s="596" t="str">
        <f ca="1">IF(AND(AD1373="",AC1373=""),"",IF(OR(AD1373&lt;&gt;"",O1373="*CANCELADO"),"",NETWORKDAYS(AC1373,TODAY(),#REF!)))</f>
        <v/>
      </c>
      <c r="AF1373" s="597" t="str">
        <f>IFERROR(INDEX(produtos_escape2!M:M,MATCH(Controle!H1373,produtos_escape2!A:A,0)),"")</f>
        <v>Pinça Crile curva 14 cm</v>
      </c>
    </row>
    <row r="1374" spans="1:32" ht="14.25" customHeight="1">
      <c r="A1374" s="176" t="s">
        <v>8345</v>
      </c>
      <c r="B1374" s="176" t="s">
        <v>7207</v>
      </c>
      <c r="C1374" s="177">
        <v>44179</v>
      </c>
      <c r="D1374" s="176" t="s">
        <v>10608</v>
      </c>
      <c r="E1374" s="176" t="s">
        <v>1866</v>
      </c>
      <c r="F1374" s="259" t="s">
        <v>10609</v>
      </c>
      <c r="G1374" s="176">
        <v>8</v>
      </c>
      <c r="H1374" s="178">
        <v>203296</v>
      </c>
      <c r="I1374" s="592">
        <f t="shared" si="57"/>
        <v>2</v>
      </c>
      <c r="J1374" s="178" t="s">
        <v>816</v>
      </c>
      <c r="K1374" s="178" t="s">
        <v>816</v>
      </c>
      <c r="L1374" s="275" t="str">
        <f>IF(H:H=0,"",IF(ISERROR(VLOOKUP(H:H,produtos_escape2!$A$2:$B$2794,2,FALSE)),"Código não cadastrado",(VLOOKUP(H:H,produtos_escape2!$A$2:$B$2794,2,FALSE))))</f>
        <v>PINÇA CRILLER RETA, Aplicação: Hemostasia, Material: Aço inoxidável AISI, Tamanho: 140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 Forma de Apresentação: Unidade, Prazo de Validade: Indeterminado.</v>
      </c>
      <c r="M1374" s="593" t="str">
        <f>IF(H:H=0,"",IF(ISERROR(VLOOKUP(H:H,produtos_escape2!$A$2:$D$2794,2,FALSE)),"Código não cadastrado",(VLOOKUP(H:H,produtos_escape2!$A$2:$D$2794,4,FALSE))))</f>
        <v>UN</v>
      </c>
      <c r="N1374" s="486">
        <v>50</v>
      </c>
      <c r="O1374" s="176" t="s">
        <v>9183</v>
      </c>
      <c r="P1374" s="486">
        <v>50</v>
      </c>
      <c r="Q1374" s="247">
        <v>19.57</v>
      </c>
      <c r="R1374" s="246">
        <f t="shared" si="55"/>
        <v>978.5</v>
      </c>
      <c r="S1374" s="177">
        <v>44188</v>
      </c>
      <c r="T1374" s="182"/>
      <c r="U1374" s="177"/>
      <c r="V1374" s="177"/>
      <c r="W1374" s="177"/>
      <c r="X1374" s="176"/>
      <c r="Y1374" s="177"/>
      <c r="Z1374" s="415">
        <v>6</v>
      </c>
      <c r="AA1374" s="488" t="s">
        <v>10716</v>
      </c>
      <c r="AB1374" s="594"/>
      <c r="AC1374" s="595"/>
      <c r="AD1374" s="596" t="str">
        <f>IF(AND(AC1374&lt;&gt;"",S1374&lt;&gt;""),NETWORKDAYS(AC1374,S1374,#REF!),"")</f>
        <v/>
      </c>
      <c r="AE1374" s="596" t="str">
        <f ca="1">IF(AND(AD1374="",AC1374=""),"",IF(OR(AD1374&lt;&gt;"",O1374="*CANCELADO"),"",NETWORKDAYS(AC1374,TODAY(),#REF!)))</f>
        <v/>
      </c>
      <c r="AF1374" s="597">
        <f>IFERROR(INDEX(produtos_escape2!M:M,MATCH(Controle!H1374,produtos_escape2!A:A,0)),"")</f>
        <v>0</v>
      </c>
    </row>
    <row r="1375" spans="1:32" ht="14.25" customHeight="1">
      <c r="A1375" s="176" t="s">
        <v>8345</v>
      </c>
      <c r="B1375" s="176" t="s">
        <v>7207</v>
      </c>
      <c r="C1375" s="177">
        <v>44179</v>
      </c>
      <c r="D1375" s="176" t="s">
        <v>10608</v>
      </c>
      <c r="E1375" s="176" t="s">
        <v>1866</v>
      </c>
      <c r="F1375" s="259" t="s">
        <v>10609</v>
      </c>
      <c r="G1375" s="176">
        <v>9</v>
      </c>
      <c r="H1375" s="178">
        <v>23213</v>
      </c>
      <c r="I1375" s="592">
        <f t="shared" si="57"/>
        <v>2</v>
      </c>
      <c r="J1375" s="178" t="s">
        <v>816</v>
      </c>
      <c r="K1375" s="178" t="s">
        <v>816</v>
      </c>
      <c r="L1375" s="275" t="str">
        <f>IF(H:H=0,"",IF(ISERROR(VLOOKUP(H:H,produtos_escape2!$A$2:$B$2794,2,FALSE)),"Código não cadastrado",(VLOOKUP(H:H,produtos_escape2!$A$2:$B$2794,2,FALSE))))</f>
        <v>PINÇA DE DISSECÇÃO Anatômica COM DENTE 16cm: Aplicação: uso médico. Tipo: instrumental para dissecção anatômica; Material: em aço inoxidável.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1375" s="593" t="str">
        <f>IF(H:H=0,"",IF(ISERROR(VLOOKUP(H:H,produtos_escape2!$A$2:$D$2794,2,FALSE)),"Código não cadastrado",(VLOOKUP(H:H,produtos_escape2!$A$2:$D$2794,4,FALSE))))</f>
        <v>UN</v>
      </c>
      <c r="N1375" s="486">
        <v>10</v>
      </c>
      <c r="O1375" s="176" t="s">
        <v>9183</v>
      </c>
      <c r="P1375" s="486">
        <v>10</v>
      </c>
      <c r="Q1375" s="247">
        <v>11.89</v>
      </c>
      <c r="R1375" s="246">
        <f t="shared" si="55"/>
        <v>118.9</v>
      </c>
      <c r="S1375" s="177">
        <v>44188</v>
      </c>
      <c r="T1375" s="182"/>
      <c r="U1375" s="177"/>
      <c r="V1375" s="177"/>
      <c r="W1375" s="177"/>
      <c r="X1375" s="176"/>
      <c r="Y1375" s="177"/>
      <c r="Z1375" s="415">
        <v>6</v>
      </c>
      <c r="AA1375" s="488" t="s">
        <v>10718</v>
      </c>
      <c r="AB1375" s="594"/>
      <c r="AC1375" s="595"/>
      <c r="AD1375" s="596" t="str">
        <f>IF(AND(AC1375&lt;&gt;"",S1375&lt;&gt;""),NETWORKDAYS(AC1375,S1375,#REF!),"")</f>
        <v/>
      </c>
      <c r="AE1375" s="596" t="str">
        <f ca="1">IF(AND(AD1375="",AC1375=""),"",IF(OR(AD1375&lt;&gt;"",O1375="*CANCELADO"),"",NETWORKDAYS(AC1375,TODAY(),#REF!)))</f>
        <v/>
      </c>
      <c r="AF1375" s="597" t="str">
        <f>IFERROR(INDEX(produtos_escape2!M:M,MATCH(Controle!H1375,produtos_escape2!A:A,0)),"")</f>
        <v>Pinça dissecção com dente de 16 cm</v>
      </c>
    </row>
    <row r="1376" spans="1:32" ht="14.25" customHeight="1">
      <c r="A1376" s="176" t="s">
        <v>8345</v>
      </c>
      <c r="B1376" s="176" t="s">
        <v>7207</v>
      </c>
      <c r="C1376" s="177">
        <v>44179</v>
      </c>
      <c r="D1376" s="176" t="s">
        <v>10608</v>
      </c>
      <c r="E1376" s="176" t="s">
        <v>1866</v>
      </c>
      <c r="F1376" s="259" t="s">
        <v>10609</v>
      </c>
      <c r="G1376" s="176">
        <v>10</v>
      </c>
      <c r="H1376" s="178">
        <v>23211</v>
      </c>
      <c r="I1376" s="592">
        <f t="shared" si="57"/>
        <v>2</v>
      </c>
      <c r="J1376" s="178" t="s">
        <v>816</v>
      </c>
      <c r="K1376" s="178" t="s">
        <v>816</v>
      </c>
      <c r="L1376" s="275" t="str">
        <f>IF(H:H=0,"",IF(ISERROR(VLOOKUP(H:H,produtos_escape2!$A$2:$B$2794,2,FALSE)),"Código não cadastrado",(VLOOKUP(H:H,produtos_escape2!$A$2:$B$2794,2,FALSE))))</f>
        <v>PINÇA DE DISSECÇÃO Anatômica SEM DENTE 16cm: Aplicação: uso médico - Tipo: instrumental para dissecção anatômica; Material: em aço inoxidável - Conformidade: produto em conformidade com legislação em vigor; Tamanho: dimensões 160 mm; Características: a peça deverá ter uma gravação com clara identificação do fabricante, iniciais da instituição (SES_DF) e código/lote de identificação da data de fabricação. Embalagem individual; Processo de Esterelização: não estéril; Forma de Apresentação: unidade; Unidade de Estoque: unidade.</v>
      </c>
      <c r="M1376" s="593" t="str">
        <f>IF(H:H=0,"",IF(ISERROR(VLOOKUP(H:H,produtos_escape2!$A$2:$D$2794,2,FALSE)),"Código não cadastrado",(VLOOKUP(H:H,produtos_escape2!$A$2:$D$2794,4,FALSE))))</f>
        <v>UN</v>
      </c>
      <c r="N1376" s="486">
        <v>10</v>
      </c>
      <c r="O1376" s="176" t="s">
        <v>9183</v>
      </c>
      <c r="P1376" s="486">
        <v>10</v>
      </c>
      <c r="Q1376" s="247">
        <v>12.79</v>
      </c>
      <c r="R1376" s="246">
        <f t="shared" si="55"/>
        <v>127.89999999999999</v>
      </c>
      <c r="S1376" s="177">
        <v>44188</v>
      </c>
      <c r="T1376" s="182"/>
      <c r="U1376" s="177"/>
      <c r="V1376" s="177"/>
      <c r="W1376" s="177"/>
      <c r="X1376" s="176"/>
      <c r="Y1376" s="177"/>
      <c r="Z1376" s="415">
        <v>6</v>
      </c>
      <c r="AA1376" s="488" t="s">
        <v>10718</v>
      </c>
      <c r="AB1376" s="594"/>
      <c r="AC1376" s="595"/>
      <c r="AD1376" s="596" t="str">
        <f>IF(AND(AC1376&lt;&gt;"",S1376&lt;&gt;""),NETWORKDAYS(AC1376,S1376,#REF!),"")</f>
        <v/>
      </c>
      <c r="AE1376" s="596" t="str">
        <f ca="1">IF(AND(AD1376="",AC1376=""),"",IF(OR(AD1376&lt;&gt;"",O1376="*CANCELADO"),"",NETWORKDAYS(AC1376,TODAY(),#REF!)))</f>
        <v/>
      </c>
      <c r="AF1376" s="597" t="str">
        <f>IFERROR(INDEX(produtos_escape2!M:M,MATCH(Controle!H1376,produtos_escape2!A:A,0)),"")</f>
        <v>Pinça dissecção sem dente de rato 16 cm</v>
      </c>
    </row>
    <row r="1377" spans="1:32" ht="14.25" customHeight="1">
      <c r="A1377" s="176" t="s">
        <v>8346</v>
      </c>
      <c r="B1377" s="176" t="s">
        <v>7207</v>
      </c>
      <c r="C1377" s="177">
        <v>44180</v>
      </c>
      <c r="D1377" s="176" t="s">
        <v>10619</v>
      </c>
      <c r="E1377" s="176" t="s">
        <v>1866</v>
      </c>
      <c r="F1377" s="259" t="s">
        <v>10613</v>
      </c>
      <c r="G1377" s="176">
        <v>1</v>
      </c>
      <c r="H1377" s="178">
        <v>23405</v>
      </c>
      <c r="I1377" s="592">
        <f t="shared" si="57"/>
        <v>2</v>
      </c>
      <c r="J1377" s="178" t="s">
        <v>816</v>
      </c>
      <c r="K1377" s="178" t="s">
        <v>816</v>
      </c>
      <c r="L1377" s="275" t="str">
        <f>IF(H:H=0,"",IF(ISERROR(VLOOKUP(H:H,produtos_escape2!$A$2:$B$2794,2,FALSE)),"Código não cadastrado",(VLOOKUP(H:H,produtos_escape2!$A$2:$B$2794,2,FALSE))))</f>
        <v>PINÇA DENTE DE RATO 21 cm; Aplicação: Instrumental cirúrgico; Material: Pinça dente rato, produto confeccionado em aço inoxidável AISI-420, tamano 21cm, embalagem plástica individual, constando os dados de identificação, procedência e rastreabilidade, Garantia 10 anos contra defeitos de fabricação, fabricado de acordo com padrões internacionais de qualidade, normas da ABNT, CE. Registro Ministério da Saúde; Tamanho: 21cm; Processo de esterilização: não estéril; Forma de apresentação: embalagem individual: Prazo de validade: 10 anos contra defeitos de fabricação; Unidade de estoque: unidade</v>
      </c>
      <c r="M1377" s="593" t="str">
        <f>IF(H:H=0,"",IF(ISERROR(VLOOKUP(H:H,produtos_escape2!$A$2:$D$2794,2,FALSE)),"Código não cadastrado",(VLOOKUP(H:H,produtos_escape2!$A$2:$D$2794,4,FALSE))))</f>
        <v>UN</v>
      </c>
      <c r="N1377" s="486">
        <v>10</v>
      </c>
      <c r="O1377" s="176" t="s">
        <v>9183</v>
      </c>
      <c r="P1377" s="486">
        <v>10</v>
      </c>
      <c r="Q1377" s="247">
        <v>19.5</v>
      </c>
      <c r="R1377" s="246">
        <f t="shared" si="55"/>
        <v>195</v>
      </c>
      <c r="S1377" s="177">
        <v>44188</v>
      </c>
      <c r="T1377" s="182"/>
      <c r="U1377" s="177"/>
      <c r="V1377" s="177"/>
      <c r="W1377" s="177"/>
      <c r="X1377" s="176"/>
      <c r="Y1377" s="177"/>
      <c r="Z1377" s="415">
        <v>6</v>
      </c>
      <c r="AA1377" s="488" t="s">
        <v>10718</v>
      </c>
      <c r="AB1377" s="594"/>
      <c r="AC1377" s="595"/>
      <c r="AD1377" s="596" t="str">
        <f>IF(AND(AC1377&lt;&gt;"",S1377&lt;&gt;""),NETWORKDAYS(AC1377,S1377,#REF!),"")</f>
        <v/>
      </c>
      <c r="AE1377" s="596" t="str">
        <f ca="1">IF(AND(AD1377="",AC1377=""),"",IF(OR(AD1377&lt;&gt;"",O1377="*CANCELADO"),"",NETWORKDAYS(AC1377,TODAY(),#REF!)))</f>
        <v/>
      </c>
      <c r="AF1377" s="597">
        <f>IFERROR(INDEX(produtos_escape2!M:M,MATCH(Controle!H1377,produtos_escape2!A:A,0)),"")</f>
        <v>0</v>
      </c>
    </row>
    <row r="1378" spans="1:32" ht="14.25" customHeight="1">
      <c r="A1378" s="176" t="s">
        <v>8346</v>
      </c>
      <c r="B1378" s="176" t="s">
        <v>7207</v>
      </c>
      <c r="C1378" s="177">
        <v>44180</v>
      </c>
      <c r="D1378" s="176" t="s">
        <v>10619</v>
      </c>
      <c r="E1378" s="176" t="s">
        <v>1866</v>
      </c>
      <c r="F1378" s="259" t="s">
        <v>10613</v>
      </c>
      <c r="G1378" s="176">
        <v>2</v>
      </c>
      <c r="H1378" s="178">
        <v>15257</v>
      </c>
      <c r="I1378" s="592">
        <f t="shared" si="57"/>
        <v>2</v>
      </c>
      <c r="J1378" s="178" t="s">
        <v>816</v>
      </c>
      <c r="K1378" s="178" t="s">
        <v>816</v>
      </c>
      <c r="L1378" s="275" t="str">
        <f>IF(H:H=0,"",IF(ISERROR(VLOOKUP(H:H,produtos_escape2!$A$2:$B$2794,2,FALSE)),"Código não cadastrado",(VLOOKUP(H:H,produtos_escape2!$A$2:$B$2794,2,FALSE))))</f>
        <v xml:space="preserve">PINCA DISSECCAO COM DENTE DE RATO 160MM </v>
      </c>
      <c r="M1378" s="593" t="str">
        <f>IF(H:H=0,"",IF(ISERROR(VLOOKUP(H:H,produtos_escape2!$A$2:$D$2794,2,FALSE)),"Código não cadastrado",(VLOOKUP(H:H,produtos_escape2!$A$2:$D$2794,4,FALSE))))</f>
        <v>UN</v>
      </c>
      <c r="N1378" s="486">
        <v>80</v>
      </c>
      <c r="O1378" s="176" t="s">
        <v>10688</v>
      </c>
      <c r="P1378" s="486">
        <v>80</v>
      </c>
      <c r="Q1378" s="247">
        <v>11.9</v>
      </c>
      <c r="R1378" s="246">
        <f t="shared" si="55"/>
        <v>952</v>
      </c>
      <c r="S1378" s="177">
        <v>44188</v>
      </c>
      <c r="T1378" s="182"/>
      <c r="U1378" s="177"/>
      <c r="V1378" s="177"/>
      <c r="W1378" s="177"/>
      <c r="X1378" s="176"/>
      <c r="Y1378" s="177"/>
      <c r="Z1378" s="415">
        <v>6</v>
      </c>
      <c r="AA1378" s="488" t="s">
        <v>10697</v>
      </c>
      <c r="AB1378" s="594"/>
      <c r="AC1378" s="595"/>
      <c r="AD1378" s="596" t="str">
        <f>IF(AND(AC1378&lt;&gt;"",S1378&lt;&gt;""),NETWORKDAYS(AC1378,S1378,#REF!),"")</f>
        <v/>
      </c>
      <c r="AE1378" s="596" t="str">
        <f ca="1">IF(AND(AD1378="",AC1378=""),"",IF(OR(AD1378&lt;&gt;"",O1378="*CANCELADO"),"",NETWORKDAYS(AC1378,TODAY(),#REF!)))</f>
        <v/>
      </c>
      <c r="AF1378" s="597" t="str">
        <f>IFERROR(INDEX(produtos_escape2!M:M,MATCH(Controle!H1378,produtos_escape2!A:A,0)),"")</f>
        <v xml:space="preserve">PINCA DISSECCAO COM DENTE DE RATO 160MM </v>
      </c>
    </row>
    <row r="1379" spans="1:32" ht="14.25" customHeight="1">
      <c r="A1379" s="176" t="s">
        <v>8346</v>
      </c>
      <c r="B1379" s="176" t="s">
        <v>7207</v>
      </c>
      <c r="C1379" s="177">
        <v>44180</v>
      </c>
      <c r="D1379" s="176" t="s">
        <v>10619</v>
      </c>
      <c r="E1379" s="176" t="s">
        <v>1866</v>
      </c>
      <c r="F1379" s="259" t="s">
        <v>10613</v>
      </c>
      <c r="G1379" s="176">
        <v>3</v>
      </c>
      <c r="H1379" s="178">
        <v>15258</v>
      </c>
      <c r="I1379" s="592">
        <f t="shared" si="57"/>
        <v>2</v>
      </c>
      <c r="J1379" s="178" t="s">
        <v>816</v>
      </c>
      <c r="K1379" s="178" t="s">
        <v>816</v>
      </c>
      <c r="L1379" s="275" t="str">
        <f>IF(H:H=0,"",IF(ISERROR(VLOOKUP(H:H,produtos_escape2!$A$2:$B$2794,2,FALSE)),"Código não cadastrado",(VLOOKUP(H:H,produtos_escape2!$A$2:$B$2794,2,FALSE))))</f>
        <v>PINCA DISSECCAO COM DENTE DE RATO 180MM</v>
      </c>
      <c r="M1379" s="593" t="str">
        <f>IF(H:H=0,"",IF(ISERROR(VLOOKUP(H:H,produtos_escape2!$A$2:$D$2794,2,FALSE)),"Código não cadastrado",(VLOOKUP(H:H,produtos_escape2!$A$2:$D$2794,4,FALSE))))</f>
        <v>UN</v>
      </c>
      <c r="N1379" s="486">
        <v>60</v>
      </c>
      <c r="O1379" s="176" t="s">
        <v>9183</v>
      </c>
      <c r="P1379" s="486">
        <v>60</v>
      </c>
      <c r="Q1379" s="247">
        <v>13.45</v>
      </c>
      <c r="R1379" s="246">
        <f t="shared" si="55"/>
        <v>807</v>
      </c>
      <c r="S1379" s="177">
        <v>44188</v>
      </c>
      <c r="T1379" s="182"/>
      <c r="U1379" s="177"/>
      <c r="V1379" s="177"/>
      <c r="W1379" s="177"/>
      <c r="X1379" s="176"/>
      <c r="Y1379" s="177"/>
      <c r="Z1379" s="415">
        <v>6</v>
      </c>
      <c r="AA1379" s="488" t="s">
        <v>10697</v>
      </c>
      <c r="AB1379" s="594"/>
      <c r="AC1379" s="595"/>
      <c r="AD1379" s="596" t="str">
        <f>IF(AND(AC1379&lt;&gt;"",S1379&lt;&gt;""),NETWORKDAYS(AC1379,S1379,#REF!),"")</f>
        <v/>
      </c>
      <c r="AE1379" s="596" t="str">
        <f ca="1">IF(AND(AD1379="",AC1379=""),"",IF(OR(AD1379&lt;&gt;"",O1379="*CANCELADO"),"",NETWORKDAYS(AC1379,TODAY(),#REF!)))</f>
        <v/>
      </c>
      <c r="AF1379" s="597">
        <f>IFERROR(INDEX(produtos_escape2!M:M,MATCH(Controle!H1379,produtos_escape2!A:A,0)),"")</f>
        <v>0</v>
      </c>
    </row>
    <row r="1380" spans="1:32" ht="14.25" customHeight="1">
      <c r="A1380" s="176" t="s">
        <v>8346</v>
      </c>
      <c r="B1380" s="176" t="s">
        <v>7207</v>
      </c>
      <c r="C1380" s="177">
        <v>44180</v>
      </c>
      <c r="D1380" s="176" t="s">
        <v>10619</v>
      </c>
      <c r="E1380" s="176" t="s">
        <v>1866</v>
      </c>
      <c r="F1380" s="259" t="s">
        <v>10613</v>
      </c>
      <c r="G1380" s="176">
        <v>4</v>
      </c>
      <c r="H1380" s="178">
        <v>15256</v>
      </c>
      <c r="I1380" s="592">
        <f t="shared" si="57"/>
        <v>2</v>
      </c>
      <c r="J1380" s="178" t="s">
        <v>816</v>
      </c>
      <c r="K1380" s="178" t="s">
        <v>816</v>
      </c>
      <c r="L1380" s="275" t="str">
        <f>IF(H:H=0,"",IF(ISERROR(VLOOKUP(H:H,produtos_escape2!$A$2:$B$2794,2,FALSE)),"Código não cadastrado",(VLOOKUP(H:H,produtos_escape2!$A$2:$B$2794,2,FALSE))))</f>
        <v xml:space="preserve">PINÇA DISSECÇÃO DENTE DE RATO 140MM. Aplicação (finalidade): apreensão/fixação dos tecidos durante sutura ou divulsão. Composição: Aço inoxidável 420 AISI. Tamanho: 140mm. Características adicionais: A pinça deverá ter as pontas delicadas, com bom acabamento a fim de evitar cantos vivos cortantes. Os dentes de rato deverão ter encaixes adequados. A pressão da mola da peça deverá estar de acordo com sua finalidade de uso, não podendo ser muito dura dificultando a pressão nem muito mole de modo que não se consiga a pega adequada. O peso deverá ser o menor possível e  o polímero isento de buracos ou defeitos superficiais que possam provocar manchas ou corrosão. A solda na parte traseira deverá ter acabamento perfeito liso, sem buracos para acúmulo de detritos. A qualidade da solda deverá ser adequada para que as duas partes não soltem durante os processos usuais de esterilização. O tratamento térmico deverá ser integral a fim de conferir as peças a dureza e flexibilidade necessárias ao seu desempenho. Cada peça deverá ter uma gravação a laser com clara identificação do fabricante e código/lote de identificação da data de fabricação, iniciais da instituição (SES-DF). Embalagem individual. </v>
      </c>
      <c r="M1380" s="593" t="str">
        <f>IF(H:H=0,"",IF(ISERROR(VLOOKUP(H:H,produtos_escape2!$A$2:$D$2794,2,FALSE)),"Código não cadastrado",(VLOOKUP(H:H,produtos_escape2!$A$2:$D$2794,4,FALSE))))</f>
        <v>UN</v>
      </c>
      <c r="N1380" s="486">
        <v>15</v>
      </c>
      <c r="O1380" s="176" t="s">
        <v>9183</v>
      </c>
      <c r="P1380" s="486">
        <v>15</v>
      </c>
      <c r="Q1380" s="247">
        <v>11.52</v>
      </c>
      <c r="R1380" s="246">
        <f t="shared" si="55"/>
        <v>172.79999999999998</v>
      </c>
      <c r="S1380" s="177">
        <v>44188</v>
      </c>
      <c r="T1380" s="182"/>
      <c r="U1380" s="177"/>
      <c r="V1380" s="177"/>
      <c r="W1380" s="177"/>
      <c r="X1380" s="176"/>
      <c r="Y1380" s="177"/>
      <c r="Z1380" s="415">
        <v>6</v>
      </c>
      <c r="AA1380" s="488" t="s">
        <v>10697</v>
      </c>
      <c r="AB1380" s="594"/>
      <c r="AC1380" s="595"/>
      <c r="AD1380" s="596" t="str">
        <f>IF(AND(AC1380&lt;&gt;"",S1380&lt;&gt;""),NETWORKDAYS(AC1380,S1380,#REF!),"")</f>
        <v/>
      </c>
      <c r="AE1380" s="596" t="str">
        <f ca="1">IF(AND(AD1380="",AC1380=""),"",IF(OR(AD1380&lt;&gt;"",O1380="*CANCELADO"),"",NETWORKDAYS(AC1380,TODAY(),#REF!)))</f>
        <v/>
      </c>
      <c r="AF1380" s="597">
        <f>IFERROR(INDEX(produtos_escape2!M:M,MATCH(Controle!H1380,produtos_escape2!A:A,0)),"")</f>
        <v>0</v>
      </c>
    </row>
    <row r="1381" spans="1:32" ht="14.25" customHeight="1">
      <c r="A1381" s="176" t="s">
        <v>8346</v>
      </c>
      <c r="B1381" s="176" t="s">
        <v>7207</v>
      </c>
      <c r="C1381" s="177">
        <v>44180</v>
      </c>
      <c r="D1381" s="176" t="s">
        <v>10619</v>
      </c>
      <c r="E1381" s="176" t="s">
        <v>1866</v>
      </c>
      <c r="F1381" s="259" t="s">
        <v>10613</v>
      </c>
      <c r="G1381" s="176">
        <v>5</v>
      </c>
      <c r="H1381" s="178">
        <v>15259</v>
      </c>
      <c r="I1381" s="592">
        <f t="shared" si="57"/>
        <v>2</v>
      </c>
      <c r="J1381" s="178" t="s">
        <v>816</v>
      </c>
      <c r="K1381" s="178" t="s">
        <v>816</v>
      </c>
      <c r="L1381" s="275" t="str">
        <f>IF(H:H=0,"",IF(ISERROR(VLOOKUP(H:H,produtos_escape2!$A$2:$B$2794,2,FALSE)),"Código não cadastrado",(VLOOKUP(H:H,produtos_escape2!$A$2:$B$2794,2,FALSE))))</f>
        <v>PINCA DISSECCAO COM DENTE DE RATO 200MM</v>
      </c>
      <c r="M1381" s="593" t="str">
        <f>IF(H:H=0,"",IF(ISERROR(VLOOKUP(H:H,produtos_escape2!$A$2:$D$2794,2,FALSE)),"Código não cadastrado",(VLOOKUP(H:H,produtos_escape2!$A$2:$D$2794,4,FALSE))))</f>
        <v>UN</v>
      </c>
      <c r="N1381" s="486">
        <v>10</v>
      </c>
      <c r="O1381" s="176" t="s">
        <v>9183</v>
      </c>
      <c r="P1381" s="486">
        <v>10</v>
      </c>
      <c r="Q1381" s="247">
        <v>19.5</v>
      </c>
      <c r="R1381" s="246">
        <f t="shared" si="55"/>
        <v>195</v>
      </c>
      <c r="S1381" s="177">
        <v>44188</v>
      </c>
      <c r="T1381" s="182"/>
      <c r="U1381" s="177"/>
      <c r="V1381" s="177"/>
      <c r="W1381" s="177"/>
      <c r="X1381" s="176"/>
      <c r="Y1381" s="177"/>
      <c r="Z1381" s="415">
        <v>6</v>
      </c>
      <c r="AA1381" s="488" t="s">
        <v>10697</v>
      </c>
      <c r="AB1381" s="594"/>
      <c r="AC1381" s="595"/>
      <c r="AD1381" s="596" t="str">
        <f>IF(AND(AC1381&lt;&gt;"",S1381&lt;&gt;""),NETWORKDAYS(AC1381,S1381,#REF!),"")</f>
        <v/>
      </c>
      <c r="AE1381" s="596" t="str">
        <f ca="1">IF(AND(AD1381="",AC1381=""),"",IF(OR(AD1381&lt;&gt;"",O1381="*CANCELADO"),"",NETWORKDAYS(AC1381,TODAY(),#REF!)))</f>
        <v/>
      </c>
      <c r="AF1381" s="597">
        <f>IFERROR(INDEX(produtos_escape2!M:M,MATCH(Controle!H1381,produtos_escape2!A:A,0)),"")</f>
        <v>0</v>
      </c>
    </row>
    <row r="1382" spans="1:32" ht="14.25" customHeight="1">
      <c r="A1382" s="176" t="s">
        <v>8346</v>
      </c>
      <c r="B1382" s="176" t="s">
        <v>7207</v>
      </c>
      <c r="C1382" s="177">
        <v>44180</v>
      </c>
      <c r="D1382" s="176" t="s">
        <v>10619</v>
      </c>
      <c r="E1382" s="176" t="s">
        <v>1866</v>
      </c>
      <c r="F1382" s="259" t="s">
        <v>10613</v>
      </c>
      <c r="G1382" s="176">
        <v>6</v>
      </c>
      <c r="H1382" s="178">
        <v>23383</v>
      </c>
      <c r="I1382" s="592">
        <f t="shared" si="57"/>
        <v>2</v>
      </c>
      <c r="J1382" s="178" t="s">
        <v>816</v>
      </c>
      <c r="K1382" s="178" t="s">
        <v>816</v>
      </c>
      <c r="L1382" s="275" t="str">
        <f>IF(H:H=0,"",IF(ISERROR(VLOOKUP(H:H,produtos_escape2!$A$2:$B$2794,2,FALSE)),"Código não cadastrado",(VLOOKUP(H:H,produtos_escape2!$A$2:$B$2794,2,FALSE))))</f>
        <v>PINÇA FOERSTER RETA 24,5cm; Aplicação: Instrumental cirúrgico; Material: produto confeccionado em aço inoxidável AISI-420, tamanho 24,5, plástica individual, constando os dados de identificação, procedência e rastreabilidade, Garantia 10 anos contra defeitos de fabricação, fabricado de acordo com padrões internacionais de qualidade, normas da ABNT, CE. Registro Ministério da Saúde; Tamanho: 24cm; Processo de esterilização: não estéril; Forma de apresentação: embalagem individual; Prazo de validade: 10 anos contra defeito de fabricação; Unidade de estoque: unidade</v>
      </c>
      <c r="M1382" s="593" t="str">
        <f>IF(H:H=0,"",IF(ISERROR(VLOOKUP(H:H,produtos_escape2!$A$2:$D$2794,2,FALSE)),"Código não cadastrado",(VLOOKUP(H:H,produtos_escape2!$A$2:$D$2794,4,FALSE))))</f>
        <v>UN</v>
      </c>
      <c r="N1382" s="486">
        <v>80</v>
      </c>
      <c r="O1382" s="176" t="s">
        <v>9183</v>
      </c>
      <c r="P1382" s="486">
        <v>50</v>
      </c>
      <c r="Q1382" s="247">
        <v>46.92</v>
      </c>
      <c r="R1382" s="246">
        <f t="shared" si="55"/>
        <v>2346</v>
      </c>
      <c r="S1382" s="177">
        <v>44188</v>
      </c>
      <c r="T1382" s="182"/>
      <c r="U1382" s="177"/>
      <c r="V1382" s="177"/>
      <c r="W1382" s="177"/>
      <c r="X1382" s="176"/>
      <c r="Y1382" s="177"/>
      <c r="Z1382" s="415">
        <v>6</v>
      </c>
      <c r="AA1382" s="488" t="s">
        <v>10718</v>
      </c>
      <c r="AB1382" s="594"/>
      <c r="AC1382" s="595"/>
      <c r="AD1382" s="596" t="str">
        <f>IF(AND(AC1382&lt;&gt;"",S1382&lt;&gt;""),NETWORKDAYS(AC1382,S1382,#REF!),"")</f>
        <v/>
      </c>
      <c r="AE1382" s="596" t="str">
        <f ca="1">IF(AND(AD1382="",AC1382=""),"",IF(OR(AD1382&lt;&gt;"",O1382="*CANCELADO"),"",NETWORKDAYS(AC1382,TODAY(),#REF!)))</f>
        <v/>
      </c>
      <c r="AF1382" s="597" t="str">
        <f>IFERROR(INDEX(produtos_escape2!M:M,MATCH(Controle!H1382,produtos_escape2!A:A,0)),"")</f>
        <v>PINÇA FOERSTER RETA 24</v>
      </c>
    </row>
    <row r="1383" spans="1:32" ht="14.25" customHeight="1">
      <c r="A1383" s="176" t="s">
        <v>8346</v>
      </c>
      <c r="B1383" s="176" t="s">
        <v>7207</v>
      </c>
      <c r="C1383" s="177">
        <v>44180</v>
      </c>
      <c r="D1383" s="176" t="s">
        <v>10619</v>
      </c>
      <c r="E1383" s="176" t="s">
        <v>1866</v>
      </c>
      <c r="F1383" s="259" t="s">
        <v>10613</v>
      </c>
      <c r="G1383" s="176">
        <v>7</v>
      </c>
      <c r="H1383" s="178">
        <v>15293</v>
      </c>
      <c r="I1383" s="592">
        <f t="shared" si="57"/>
        <v>2</v>
      </c>
      <c r="J1383" s="178" t="s">
        <v>816</v>
      </c>
      <c r="K1383" s="178" t="s">
        <v>816</v>
      </c>
      <c r="L1383" s="275" t="str">
        <f>IF(H:H=0,"",IF(ISERROR(VLOOKUP(H:H,produtos_escape2!$A$2:$B$2794,2,FALSE)),"Código não cadastrado",(VLOOKUP(H:H,produtos_escape2!$A$2:$B$2794,2,FALSE))))</f>
        <v>PINCA GOIVA RUSKIN-RETA 180MM</v>
      </c>
      <c r="M1383" s="593" t="str">
        <f>IF(H:H=0,"",IF(ISERROR(VLOOKUP(H:H,produtos_escape2!$A$2:$D$2794,2,FALSE)),"Código não cadastrado",(VLOOKUP(H:H,produtos_escape2!$A$2:$D$2794,4,FALSE))))</f>
        <v>UN</v>
      </c>
      <c r="N1383" s="486">
        <v>10</v>
      </c>
      <c r="O1383" s="176" t="s">
        <v>10688</v>
      </c>
      <c r="P1383" s="486">
        <v>3</v>
      </c>
      <c r="Q1383" s="247">
        <v>365.9</v>
      </c>
      <c r="R1383" s="246">
        <f t="shared" si="55"/>
        <v>1097.6999999999998</v>
      </c>
      <c r="S1383" s="177">
        <v>44188</v>
      </c>
      <c r="T1383" s="182"/>
      <c r="U1383" s="177"/>
      <c r="V1383" s="177"/>
      <c r="W1383" s="177"/>
      <c r="X1383" s="176"/>
      <c r="Y1383" s="177"/>
      <c r="Z1383" s="415">
        <v>6</v>
      </c>
      <c r="AA1383" s="488" t="s">
        <v>10697</v>
      </c>
      <c r="AB1383" s="594"/>
      <c r="AC1383" s="595"/>
      <c r="AD1383" s="596" t="str">
        <f>IF(AND(AC1383&lt;&gt;"",S1383&lt;&gt;""),NETWORKDAYS(AC1383,S1383,#REF!),"")</f>
        <v/>
      </c>
      <c r="AE1383" s="596" t="str">
        <f ca="1">IF(AND(AD1383="",AC1383=""),"",IF(OR(AD1383&lt;&gt;"",O1383="*CANCELADO"),"",NETWORKDAYS(AC1383,TODAY(),#REF!)))</f>
        <v/>
      </c>
      <c r="AF1383" s="597" t="str">
        <f>IFERROR(INDEX(produtos_escape2!M:M,MATCH(Controle!H1383,produtos_escape2!A:A,0)),"")</f>
        <v>PINCA GOIVA RUSKIN-RETA 180MM</v>
      </c>
    </row>
    <row r="1384" spans="1:32" ht="14.25" customHeight="1">
      <c r="A1384" s="176" t="s">
        <v>8346</v>
      </c>
      <c r="B1384" s="176" t="s">
        <v>7207</v>
      </c>
      <c r="C1384" s="177">
        <v>44180</v>
      </c>
      <c r="D1384" s="176" t="s">
        <v>10619</v>
      </c>
      <c r="E1384" s="176" t="s">
        <v>1866</v>
      </c>
      <c r="F1384" s="259" t="s">
        <v>10613</v>
      </c>
      <c r="G1384" s="176">
        <v>8</v>
      </c>
      <c r="H1384" s="178">
        <v>15294</v>
      </c>
      <c r="I1384" s="592">
        <f t="shared" si="57"/>
        <v>2</v>
      </c>
      <c r="J1384" s="178" t="s">
        <v>816</v>
      </c>
      <c r="K1384" s="178" t="s">
        <v>816</v>
      </c>
      <c r="L1384" s="275" t="str">
        <f>IF(H:H=0,"",IF(ISERROR(VLOOKUP(H:H,produtos_escape2!$A$2:$B$2794,2,FALSE)),"Código não cadastrado",(VLOOKUP(H:H,produtos_escape2!$A$2:$B$2794,2,FALSE))))</f>
        <v>PINCA GOIVA STILLE LISTEN RETA 24CM</v>
      </c>
      <c r="M1384" s="593" t="str">
        <f>IF(H:H=0,"",IF(ISERROR(VLOOKUP(H:H,produtos_escape2!$A$2:$D$2794,2,FALSE)),"Código não cadastrado",(VLOOKUP(H:H,produtos_escape2!$A$2:$D$2794,4,FALSE))))</f>
        <v>UN</v>
      </c>
      <c r="N1384" s="486">
        <v>10</v>
      </c>
      <c r="O1384" s="176" t="s">
        <v>10688</v>
      </c>
      <c r="P1384" s="486">
        <v>1</v>
      </c>
      <c r="Q1384" s="247">
        <v>827.12</v>
      </c>
      <c r="R1384" s="246">
        <f t="shared" si="55"/>
        <v>827.12</v>
      </c>
      <c r="S1384" s="177">
        <v>44188</v>
      </c>
      <c r="T1384" s="182"/>
      <c r="U1384" s="177"/>
      <c r="V1384" s="177"/>
      <c r="W1384" s="177"/>
      <c r="X1384" s="176"/>
      <c r="Y1384" s="177"/>
      <c r="Z1384" s="415">
        <v>6</v>
      </c>
      <c r="AA1384" s="488" t="s">
        <v>10697</v>
      </c>
      <c r="AB1384" s="594"/>
      <c r="AC1384" s="595"/>
      <c r="AD1384" s="596" t="str">
        <f>IF(AND(AC1384&lt;&gt;"",S1384&lt;&gt;""),NETWORKDAYS(AC1384,S1384,#REF!),"")</f>
        <v/>
      </c>
      <c r="AE1384" s="596" t="str">
        <f ca="1">IF(AND(AD1384="",AC1384=""),"",IF(OR(AD1384&lt;&gt;"",O1384="*CANCELADO"),"",NETWORKDAYS(AC1384,TODAY(),#REF!)))</f>
        <v/>
      </c>
      <c r="AF1384" s="597">
        <f>IFERROR(INDEX(produtos_escape2!M:M,MATCH(Controle!H1384,produtos_escape2!A:A,0)),"")</f>
        <v>0</v>
      </c>
    </row>
    <row r="1385" spans="1:32" ht="14.25" customHeight="1">
      <c r="A1385" s="176" t="s">
        <v>8346</v>
      </c>
      <c r="B1385" s="176" t="s">
        <v>7207</v>
      </c>
      <c r="C1385" s="177">
        <v>44180</v>
      </c>
      <c r="D1385" s="176" t="s">
        <v>10619</v>
      </c>
      <c r="E1385" s="176" t="s">
        <v>1866</v>
      </c>
      <c r="F1385" s="259" t="s">
        <v>10613</v>
      </c>
      <c r="G1385" s="176">
        <v>9</v>
      </c>
      <c r="H1385" s="178">
        <v>15297</v>
      </c>
      <c r="I1385" s="592">
        <f t="shared" si="57"/>
        <v>2</v>
      </c>
      <c r="J1385" s="178" t="s">
        <v>816</v>
      </c>
      <c r="K1385" s="178" t="s">
        <v>816</v>
      </c>
      <c r="L1385" s="275" t="str">
        <f>IF(H:H=0,"",IF(ISERROR(VLOOKUP(H:H,produtos_escape2!$A$2:$B$2794,2,FALSE)),"Código não cadastrado",(VLOOKUP(H:H,produtos_escape2!$A$2:$B$2794,2,FALSE))))</f>
        <v>PINCA GOIVA STILLE LUER 17CM P/OSSO</v>
      </c>
      <c r="M1385" s="593" t="str">
        <f>IF(H:H=0,"",IF(ISERROR(VLOOKUP(H:H,produtos_escape2!$A$2:$D$2794,2,FALSE)),"Código não cadastrado",(VLOOKUP(H:H,produtos_escape2!$A$2:$D$2794,4,FALSE))))</f>
        <v>UN</v>
      </c>
      <c r="N1385" s="486">
        <v>10</v>
      </c>
      <c r="O1385" s="176" t="s">
        <v>10678</v>
      </c>
      <c r="P1385" s="486">
        <v>2</v>
      </c>
      <c r="Q1385" s="247">
        <v>212</v>
      </c>
      <c r="R1385" s="246">
        <f t="shared" si="55"/>
        <v>424</v>
      </c>
      <c r="S1385" s="177">
        <v>44188</v>
      </c>
      <c r="T1385" s="182"/>
      <c r="U1385" s="177"/>
      <c r="V1385" s="177"/>
      <c r="W1385" s="177"/>
      <c r="X1385" s="176"/>
      <c r="Y1385" s="177"/>
      <c r="Z1385" s="415">
        <v>6</v>
      </c>
      <c r="AA1385" s="488" t="s">
        <v>10697</v>
      </c>
      <c r="AB1385" s="594"/>
      <c r="AC1385" s="595"/>
      <c r="AD1385" s="596" t="str">
        <f>IF(AND(AC1385&lt;&gt;"",S1385&lt;&gt;""),NETWORKDAYS(AC1385,S1385,#REF!),"")</f>
        <v/>
      </c>
      <c r="AE1385" s="596" t="str">
        <f ca="1">IF(AND(AD1385="",AC1385=""),"",IF(OR(AD1385&lt;&gt;"",#REF!="*CANCELADO"),"",NETWORKDAYS(AC1385,TODAY(),#REF!)))</f>
        <v/>
      </c>
      <c r="AF1385" s="597">
        <f>IFERROR(INDEX(produtos_escape2!M:M,MATCH(Controle!H1385,produtos_escape2!A:A,0)),"")</f>
        <v>0</v>
      </c>
    </row>
    <row r="1386" spans="1:32" ht="14.25" customHeight="1">
      <c r="A1386" s="176" t="s">
        <v>8346</v>
      </c>
      <c r="B1386" s="176" t="s">
        <v>7207</v>
      </c>
      <c r="C1386" s="177">
        <v>44180</v>
      </c>
      <c r="D1386" s="176" t="s">
        <v>10619</v>
      </c>
      <c r="E1386" s="176" t="s">
        <v>1866</v>
      </c>
      <c r="F1386" s="259" t="s">
        <v>10613</v>
      </c>
      <c r="G1386" s="176">
        <v>10</v>
      </c>
      <c r="H1386" s="178">
        <v>15298</v>
      </c>
      <c r="I1386" s="592">
        <f t="shared" si="57"/>
        <v>2</v>
      </c>
      <c r="J1386" s="178" t="s">
        <v>816</v>
      </c>
      <c r="K1386" s="178" t="s">
        <v>816</v>
      </c>
      <c r="L1386" s="275" t="str">
        <f>IF(H:H=0,"",IF(ISERROR(VLOOKUP(H:H,produtos_escape2!$A$2:$B$2794,2,FALSE)),"Código não cadastrado",(VLOOKUP(H:H,produtos_escape2!$A$2:$B$2794,2,FALSE))))</f>
        <v>PINÇA GOIVA STILLE-LUER ANGULADA PARA LADO, Aplicação: Cortar osso, Material: Aço Inoxidável Cirúrgico AISI, Tamanho: 235 mm, boca de 3mm(múltipla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v>
      </c>
      <c r="M1386" s="593" t="str">
        <f>IF(H:H=0,"",IF(ISERROR(VLOOKUP(H:H,produtos_escape2!$A$2:$D$2794,2,FALSE)),"Código não cadastrado",(VLOOKUP(H:H,produtos_escape2!$A$2:$D$2794,4,FALSE))))</f>
        <v>UN</v>
      </c>
      <c r="N1386" s="486">
        <v>5</v>
      </c>
      <c r="O1386" s="176" t="s">
        <v>1868</v>
      </c>
      <c r="P1386" s="486"/>
      <c r="Q1386" s="247">
        <v>1000</v>
      </c>
      <c r="R1386" s="246">
        <f t="shared" si="55"/>
        <v>0</v>
      </c>
      <c r="S1386" s="177">
        <v>44188</v>
      </c>
      <c r="T1386" s="182"/>
      <c r="U1386" s="177"/>
      <c r="V1386" s="177"/>
      <c r="W1386" s="177"/>
      <c r="X1386" s="176"/>
      <c r="Y1386" s="177"/>
      <c r="Z1386" s="415">
        <v>6</v>
      </c>
      <c r="AA1386" s="488" t="s">
        <v>10679</v>
      </c>
      <c r="AB1386" s="594"/>
      <c r="AC1386" s="595"/>
      <c r="AD1386" s="596" t="str">
        <f>IF(AND(AC1386&lt;&gt;"",S1386&lt;&gt;""),NETWORKDAYS(AC1386,S1386,#REF!),"")</f>
        <v/>
      </c>
      <c r="AE1386" s="596" t="str">
        <f ca="1">IF(AND(AD1386="",AC1386=""),"",IF(OR(AD1386&lt;&gt;"",O1386="*CANCELADO"),"",NETWORKDAYS(AC1386,TODAY(),#REF!)))</f>
        <v/>
      </c>
      <c r="AF1386" s="597">
        <f>IFERROR(INDEX(produtos_escape2!M:M,MATCH(Controle!H1386,produtos_escape2!A:A,0)),"")</f>
        <v>0</v>
      </c>
    </row>
    <row r="1387" spans="1:32" ht="14.25" customHeight="1">
      <c r="A1387" s="176" t="s">
        <v>8346</v>
      </c>
      <c r="B1387" s="176" t="s">
        <v>7207</v>
      </c>
      <c r="C1387" s="177">
        <v>44180</v>
      </c>
      <c r="D1387" s="176" t="s">
        <v>10619</v>
      </c>
      <c r="E1387" s="176" t="s">
        <v>1866</v>
      </c>
      <c r="F1387" s="259" t="s">
        <v>10613</v>
      </c>
      <c r="G1387" s="176">
        <v>11</v>
      </c>
      <c r="H1387" s="178">
        <v>15292</v>
      </c>
      <c r="I1387" s="592">
        <f t="shared" si="57"/>
        <v>2</v>
      </c>
      <c r="J1387" s="178" t="s">
        <v>816</v>
      </c>
      <c r="K1387" s="178" t="s">
        <v>816</v>
      </c>
      <c r="L1387" s="275" t="str">
        <f>IF(H:H=0,"",IF(ISERROR(VLOOKUP(H:H,produtos_escape2!$A$2:$B$2794,2,FALSE)),"Código não cadastrado",(VLOOKUP(H:H,produtos_escape2!$A$2:$B$2794,2,FALSE))))</f>
        <v>PINÇA GOIVA STILLE-LUER RETA, Aplicação: Cortar Osso, Material: Aço Inoxidável Cirúrgico AISI, Tamanho: 270 mm, boca de 7 mm, múltipla articulação,  Características Adicionais: O material deverá ter um tratamento térmico integral, a fim de atingir a dureza e a flexibilidade adequada a um perfeito desempenho. Os parafusos das articulações deverão estar devidamente regulados a fim de que o funcionamento dos mesmos seja suave e progressivo, ao mesmo tempo, não desgaste excecivamente em função do atrito de uma lâmina contra outra. As pontas deverão ser delicadas e adequadas ao trabalho a que se destinam. O peso deverá ser o menor possível e o polimento isento de buracos ou defeitos superficiais que possam provocar manchas ou corrosão. Cada peça deverá ter uma gravação eletroquímica com clara identificação do fabricante e código/ lote de identificação da data de fabricação, inciais da instituição( SES-DF), Processo de Esterilização: Não Estéril, Forma de Apresentação: Unidade, Prazo de Validade: Indeterminado.</v>
      </c>
      <c r="M1387" s="593" t="str">
        <f>IF(H:H=0,"",IF(ISERROR(VLOOKUP(H:H,produtos_escape2!$A$2:$D$2794,2,FALSE)),"Código não cadastrado",(VLOOKUP(H:H,produtos_escape2!$A$2:$D$2794,4,FALSE))))</f>
        <v>UN</v>
      </c>
      <c r="N1387" s="486">
        <v>10</v>
      </c>
      <c r="O1387" s="176" t="s">
        <v>1868</v>
      </c>
      <c r="P1387" s="486"/>
      <c r="Q1387" s="247">
        <v>1060</v>
      </c>
      <c r="R1387" s="246">
        <f t="shared" si="55"/>
        <v>0</v>
      </c>
      <c r="S1387" s="177">
        <v>44188</v>
      </c>
      <c r="T1387" s="182"/>
      <c r="U1387" s="177"/>
      <c r="V1387" s="177"/>
      <c r="W1387" s="177"/>
      <c r="X1387" s="176"/>
      <c r="Y1387" s="177"/>
      <c r="Z1387" s="415">
        <v>6</v>
      </c>
      <c r="AA1387" s="488" t="s">
        <v>10679</v>
      </c>
      <c r="AB1387" s="594"/>
      <c r="AC1387" s="595"/>
      <c r="AD1387" s="596" t="str">
        <f>IF(AND(AC1387&lt;&gt;"",S1387&lt;&gt;""),NETWORKDAYS(AC1387,S1387,#REF!),"")</f>
        <v/>
      </c>
      <c r="AE1387" s="596" t="str">
        <f ca="1">IF(AND(AD1387="",AC1387=""),"",IF(OR(AD1387&lt;&gt;"",O1387="*CANCELADO"),"",NETWORKDAYS(AC1387,TODAY(),#REF!)))</f>
        <v/>
      </c>
      <c r="AF1387" s="597">
        <f>IFERROR(INDEX(produtos_escape2!M:M,MATCH(Controle!H1387,produtos_escape2!A:A,0)),"")</f>
        <v>0</v>
      </c>
    </row>
    <row r="1388" spans="1:32" ht="14.25" customHeight="1">
      <c r="A1388" s="176" t="s">
        <v>8347</v>
      </c>
      <c r="B1388" s="176" t="s">
        <v>7207</v>
      </c>
      <c r="C1388" s="177">
        <v>44180</v>
      </c>
      <c r="D1388" s="176" t="s">
        <v>10620</v>
      </c>
      <c r="E1388" s="176" t="s">
        <v>1866</v>
      </c>
      <c r="F1388" s="259" t="s">
        <v>10614</v>
      </c>
      <c r="G1388" s="176">
        <v>1</v>
      </c>
      <c r="H1388" s="178">
        <v>18622</v>
      </c>
      <c r="I1388" s="592">
        <f t="shared" si="57"/>
        <v>2</v>
      </c>
      <c r="J1388" s="178" t="s">
        <v>816</v>
      </c>
      <c r="K1388" s="178" t="s">
        <v>816</v>
      </c>
      <c r="L1388" s="275" t="str">
        <f>IF(H:H=0,"",IF(ISERROR(VLOOKUP(H:H,produtos_escape2!$A$2:$B$2794,2,FALSE)),"Código não cadastrado",(VLOOKUP(H:H,produtos_escape2!$A$2:$B$2794,2,FALSE))))</f>
        <v>PINÇA ROCHESTER PEAN RETA, Aplicação: Hemostasia, Material: Aço inoxidável AISI, Tamanho: 180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a laser com clara identificação do fabricante e código/lote de identificação da data de fabricação, iniciais da instituição (SES-DF). Embalagem individual.</v>
      </c>
      <c r="M1388" s="593" t="str">
        <f>IF(H:H=0,"",IF(ISERROR(VLOOKUP(H:H,produtos_escape2!$A$2:$D$2794,2,FALSE)),"Código não cadastrado",(VLOOKUP(H:H,produtos_escape2!$A$2:$D$2794,4,FALSE))))</f>
        <v>UN</v>
      </c>
      <c r="N1388" s="486">
        <v>15</v>
      </c>
      <c r="O1388" s="176" t="s">
        <v>1868</v>
      </c>
      <c r="P1388" s="486"/>
      <c r="Q1388" s="247">
        <v>30.12</v>
      </c>
      <c r="R1388" s="246">
        <f t="shared" si="55"/>
        <v>0</v>
      </c>
      <c r="S1388" s="177">
        <v>44188</v>
      </c>
      <c r="T1388" s="182"/>
      <c r="U1388" s="177"/>
      <c r="V1388" s="177"/>
      <c r="W1388" s="177"/>
      <c r="X1388" s="176"/>
      <c r="Y1388" s="177"/>
      <c r="Z1388" s="415">
        <v>6</v>
      </c>
      <c r="AA1388" s="488" t="s">
        <v>10679</v>
      </c>
      <c r="AB1388" s="594"/>
      <c r="AC1388" s="595"/>
      <c r="AD1388" s="596" t="str">
        <f>IF(AND(AC1388&lt;&gt;"",S1388&lt;&gt;""),NETWORKDAYS(AC1388,S1388,#REF!),"")</f>
        <v/>
      </c>
      <c r="AE1388" s="596" t="str">
        <f ca="1">IF(AND(AD1388="",AC1388=""),"",IF(OR(AD1388&lt;&gt;"",O1388="*CANCELADO"),"",NETWORKDAYS(AC1388,TODAY(),#REF!)))</f>
        <v/>
      </c>
      <c r="AF1388" s="597" t="str">
        <f>IFERROR(INDEX(produtos_escape2!M:M,MATCH(Controle!H1388,produtos_escape2!A:A,0)),"")</f>
        <v>PINÇA ROCHESTER PEAN RETA</v>
      </c>
    </row>
    <row r="1389" spans="1:32" ht="14.25" customHeight="1">
      <c r="A1389" s="176" t="s">
        <v>8347</v>
      </c>
      <c r="B1389" s="176" t="s">
        <v>7207</v>
      </c>
      <c r="C1389" s="177">
        <v>44180</v>
      </c>
      <c r="D1389" s="176" t="s">
        <v>10620</v>
      </c>
      <c r="E1389" s="176" t="s">
        <v>1866</v>
      </c>
      <c r="F1389" s="259" t="s">
        <v>10614</v>
      </c>
      <c r="G1389" s="176">
        <v>2</v>
      </c>
      <c r="H1389" s="178">
        <v>17117</v>
      </c>
      <c r="I1389" s="592">
        <f t="shared" si="57"/>
        <v>2</v>
      </c>
      <c r="J1389" s="178" t="s">
        <v>816</v>
      </c>
      <c r="K1389" s="178" t="s">
        <v>816</v>
      </c>
      <c r="L1389" s="275" t="str">
        <f>IF(H:H=0,"",IF(ISERROR(VLOOKUP(H:H,produtos_escape2!$A$2:$B$2794,2,FALSE)),"Código não cadastrado",(VLOOKUP(H:H,produtos_escape2!$A$2:$B$2794,2,FALSE))))</f>
        <v>PINCA ROCHESTER-PEAN,RETA,200MM</v>
      </c>
      <c r="M1389" s="593" t="str">
        <f>IF(H:H=0,"",IF(ISERROR(VLOOKUP(H:H,produtos_escape2!$A$2:$D$2794,2,FALSE)),"Código não cadastrado",(VLOOKUP(H:H,produtos_escape2!$A$2:$D$2794,4,FALSE))))</f>
        <v>UN</v>
      </c>
      <c r="N1389" s="486">
        <v>15</v>
      </c>
      <c r="O1389" s="176" t="s">
        <v>1868</v>
      </c>
      <c r="P1389" s="486"/>
      <c r="Q1389" s="247">
        <v>45.3</v>
      </c>
      <c r="R1389" s="246">
        <f t="shared" ref="R1389:R1452" si="59">P1389*Q1389</f>
        <v>0</v>
      </c>
      <c r="S1389" s="177">
        <v>44188</v>
      </c>
      <c r="T1389" s="182"/>
      <c r="U1389" s="177"/>
      <c r="V1389" s="177"/>
      <c r="W1389" s="177"/>
      <c r="X1389" s="176"/>
      <c r="Y1389" s="177"/>
      <c r="Z1389" s="415">
        <v>6</v>
      </c>
      <c r="AA1389" s="488" t="s">
        <v>10679</v>
      </c>
      <c r="AB1389" s="594"/>
      <c r="AC1389" s="595"/>
      <c r="AD1389" s="596" t="str">
        <f>IF(AND(AC1389&lt;&gt;"",S1389&lt;&gt;""),NETWORKDAYS(AC1389,S1389,#REF!),"")</f>
        <v/>
      </c>
      <c r="AE1389" s="596" t="str">
        <f ca="1">IF(AND(AD1389="",AC1389=""),"",IF(OR(AD1389&lt;&gt;"",O1389="*CANCELADO"),"",NETWORKDAYS(AC1389,TODAY(),#REF!)))</f>
        <v/>
      </c>
      <c r="AF1389" s="597">
        <f>IFERROR(INDEX(produtos_escape2!M:M,MATCH(Controle!H1389,produtos_escape2!A:A,0)),"")</f>
        <v>0</v>
      </c>
    </row>
    <row r="1390" spans="1:32" ht="14.25" customHeight="1">
      <c r="A1390" s="176" t="s">
        <v>8347</v>
      </c>
      <c r="B1390" s="176" t="s">
        <v>7207</v>
      </c>
      <c r="C1390" s="177">
        <v>44180</v>
      </c>
      <c r="D1390" s="176" t="s">
        <v>10620</v>
      </c>
      <c r="E1390" s="176" t="s">
        <v>1866</v>
      </c>
      <c r="F1390" s="259" t="s">
        <v>10614</v>
      </c>
      <c r="G1390" s="176">
        <v>3</v>
      </c>
      <c r="H1390" s="178">
        <v>203096</v>
      </c>
      <c r="I1390" s="592">
        <f t="shared" si="57"/>
        <v>2</v>
      </c>
      <c r="J1390" s="178" t="s">
        <v>816</v>
      </c>
      <c r="K1390" s="178" t="s">
        <v>816</v>
      </c>
      <c r="L1390" s="275" t="str">
        <f>IF(H:H=0,"",IF(ISERROR(VLOOKUP(H:H,produtos_escape2!$A$2:$B$2794,2,FALSE)),"Código não cadastrado",(VLOOKUP(H:H,produtos_escape2!$A$2:$B$2794,2,FALSE))))</f>
        <v>PINÇAS CRILE CURVA, Aplicação: Hemostática.Material: 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 Forma de apresentação: Unidade,Prazo de validade: Indeterminado.</v>
      </c>
      <c r="M1390" s="593" t="str">
        <f>IF(H:H=0,"",IF(ISERROR(VLOOKUP(H:H,produtos_escape2!$A$2:$D$2794,2,FALSE)),"Código não cadastrado",(VLOOKUP(H:H,produtos_escape2!$A$2:$D$2794,4,FALSE))))</f>
        <v>UA</v>
      </c>
      <c r="N1390" s="486">
        <v>130</v>
      </c>
      <c r="O1390" s="171" t="s">
        <v>10678</v>
      </c>
      <c r="P1390" s="486">
        <v>40</v>
      </c>
      <c r="Q1390" s="247">
        <v>40</v>
      </c>
      <c r="R1390" s="246">
        <f t="shared" si="59"/>
        <v>1600</v>
      </c>
      <c r="S1390" s="177">
        <v>44188</v>
      </c>
      <c r="T1390" s="182"/>
      <c r="U1390" s="177"/>
      <c r="V1390" s="177"/>
      <c r="W1390" s="177"/>
      <c r="X1390" s="176"/>
      <c r="Y1390" s="177"/>
      <c r="Z1390" s="415">
        <v>6</v>
      </c>
      <c r="AA1390" s="488" t="s">
        <v>10719</v>
      </c>
      <c r="AB1390" s="594"/>
      <c r="AC1390" s="595"/>
      <c r="AD1390" s="596" t="str">
        <f>IF(AND(AC1390&lt;&gt;"",S1390&lt;&gt;""),NETWORKDAYS(AC1390,S1390,#REF!),"")</f>
        <v/>
      </c>
      <c r="AE1390" s="596" t="str">
        <f ca="1">IF(AND(AD1390="",AC1390=""),"",IF(OR(AD1390&lt;&gt;"",O1390="*CANCELADO"),"",NETWORKDAYS(AC1390,TODAY(),#REF!)))</f>
        <v/>
      </c>
      <c r="AF1390" s="597" t="str">
        <f>IFERROR(INDEX(produtos_escape2!M:M,MATCH(Controle!H1390,produtos_escape2!A:A,0)),"")</f>
        <v>PINÇAS CRILE CURVA</v>
      </c>
    </row>
    <row r="1391" spans="1:32" ht="14.25" customHeight="1">
      <c r="A1391" s="176" t="s">
        <v>8347</v>
      </c>
      <c r="B1391" s="176" t="s">
        <v>7207</v>
      </c>
      <c r="C1391" s="177">
        <v>44180</v>
      </c>
      <c r="D1391" s="176" t="s">
        <v>10620</v>
      </c>
      <c r="E1391" s="176" t="s">
        <v>1866</v>
      </c>
      <c r="F1391" s="259" t="s">
        <v>10614</v>
      </c>
      <c r="G1391" s="176">
        <v>4</v>
      </c>
      <c r="H1391" s="178">
        <v>203097</v>
      </c>
      <c r="I1391" s="592">
        <f t="shared" si="57"/>
        <v>2</v>
      </c>
      <c r="J1391" s="178" t="s">
        <v>816</v>
      </c>
      <c r="K1391" s="178" t="s">
        <v>816</v>
      </c>
      <c r="L1391" s="275" t="str">
        <f>IF(H:H=0,"",IF(ISERROR(VLOOKUP(H:H,produtos_escape2!$A$2:$B$2794,2,FALSE)),"Código não cadastrado",(VLOOKUP(H:H,produtos_escape2!$A$2:$B$2794,2,FALSE))))</f>
        <v>PINÇAS CRILE RETA, Aplicação: Hemostática. Material:Aço inoxidável AISI,Tamanho: 160 mm, Características adicionais: As pontas deverão ser bem delicadas, com bom acabamento, de modo a atender a finalidade a qual se destina, ou seja, hemostasia. A peça não deverá apresentar buracos, frestas ou folga no encaixe. A cremalheira deverá ter um funcionamento suave e progressivo, sem trancos e sem escapar com facilidade. O funcionamento geral da peça deverá ser suave, sem raspar no encaixe, sem machucar os dedos. O polimento deverá ser o mais perfeito possível, naturalmente compatível com a aplicação que destina o instrumento. O tratamento térmico deverá ser integral a fim de conferir às peças a dureza e flexibilidades necessárias ao seu desempenho.  Cada peça deverá ter uma gravação a laser com clara identificação do fabricante e código/lote de identificação da data de fabricação, iniciais da instituição (SES-DF). Embalagem individual.Processo de esterilização: Não estéril,Forma de apresentação: Unidade,Prazo de validade: Indeterminado.</v>
      </c>
      <c r="M1391" s="593" t="str">
        <f>IF(H:H=0,"",IF(ISERROR(VLOOKUP(H:H,produtos_escape2!$A$2:$D$2794,2,FALSE)),"Código não cadastrado",(VLOOKUP(H:H,produtos_escape2!$A$2:$D$2794,4,FALSE))))</f>
        <v>UA</v>
      </c>
      <c r="N1391" s="486">
        <v>130</v>
      </c>
      <c r="O1391" s="176" t="s">
        <v>9183</v>
      </c>
      <c r="P1391" s="486">
        <v>45</v>
      </c>
      <c r="Q1391" s="247">
        <v>23.68</v>
      </c>
      <c r="R1391" s="246">
        <f t="shared" si="59"/>
        <v>1065.5999999999999</v>
      </c>
      <c r="S1391" s="177">
        <v>44188</v>
      </c>
      <c r="T1391" s="182"/>
      <c r="U1391" s="177"/>
      <c r="V1391" s="177"/>
      <c r="W1391" s="177"/>
      <c r="X1391" s="176"/>
      <c r="Y1391" s="177"/>
      <c r="Z1391" s="415">
        <v>6</v>
      </c>
      <c r="AA1391" s="488" t="s">
        <v>10719</v>
      </c>
      <c r="AB1391" s="594"/>
      <c r="AC1391" s="595"/>
      <c r="AD1391" s="596" t="str">
        <f>IF(AND(AC1391&lt;&gt;"",S1391&lt;&gt;""),NETWORKDAYS(AC1391,S1391,#REF!),"")</f>
        <v/>
      </c>
      <c r="AE1391" s="596" t="str">
        <f ca="1">IF(AND(AD1391="",AC1391=""),"",IF(OR(AD1391&lt;&gt;"",O1391="*CANCELADO"),"",NETWORKDAYS(AC1391,TODAY(),#REF!)))</f>
        <v/>
      </c>
      <c r="AF1391" s="597" t="str">
        <f>IFERROR(INDEX(produtos_escape2!M:M,MATCH(Controle!H1391,produtos_escape2!A:A,0)),"")</f>
        <v>PINÇAS CRILE RETA</v>
      </c>
    </row>
    <row r="1392" spans="1:32" ht="14.25" customHeight="1">
      <c r="A1392" s="176" t="s">
        <v>8347</v>
      </c>
      <c r="B1392" s="176" t="s">
        <v>7207</v>
      </c>
      <c r="C1392" s="177">
        <v>44180</v>
      </c>
      <c r="D1392" s="176" t="s">
        <v>10620</v>
      </c>
      <c r="E1392" s="176" t="s">
        <v>1866</v>
      </c>
      <c r="F1392" s="259" t="s">
        <v>10614</v>
      </c>
      <c r="G1392" s="176">
        <v>5</v>
      </c>
      <c r="H1392" s="178">
        <v>23400</v>
      </c>
      <c r="I1392" s="592">
        <f t="shared" si="57"/>
        <v>2</v>
      </c>
      <c r="J1392" s="178" t="s">
        <v>816</v>
      </c>
      <c r="K1392" s="178" t="s">
        <v>816</v>
      </c>
      <c r="L1392" s="275" t="str">
        <f>IF(H:H=0,"",IF(ISERROR(VLOOKUP(H:H,produtos_escape2!$A$2:$B$2794,2,FALSE)),"Código não cadastrado",(VLOOKUP(H:H,produtos_escape2!$A$2:$B$2794,2,FALSE))))</f>
        <v>PINÇA KELLY 14cm; Aplicação: Instrumental Cirúrgico; Material: Tamanho/Capacidade 140mm, Características Adcionais: A pinça deverá  ter as pontas delicadas e as serrilhas precisas para fazer adequadamente as hemostasias. A cremalheira deverá ter um funcionamento suave e progressivo, sem troncos e sem escapar com facilidade. O encaixe não deverá ser muito justo, a ponto de dificultar a abertura e o fechamento da peça, mas também não poderá ser folgado, a ponto de dificultar a apreensão dos tecidos. Os encaixes não deverão ter buracos ou frestas que possam acumular detritos provocando manhcas e/ou corrosão. As pinças não deverão ter cantos vivos, que possam ferir os pacientes ou cortar as luvas dos cirurgiões. O funcionamento geral da peça deverá ser suave, sem raspar no encaixe, sem machucar os dedos e o polimento deverá  ser o mais perfeito posssível. O tratamento térmico deverá ser integral a fim de conferir às peças  a dureza  e flexibilidades necessárias ao seu desempenho. As pinças deverão ser as mais leves possíves. Cada peça deverá ter uma gravação eletroquímica com clara identificação  do fabricante e código/lote de identificação da data de fabricação , iniciais da instituição  (SES-DF), Processo de Esterilização: não estéril, Unidade de Estoque: unidade; Tamanho: 14cm; Forma de apresentação: embalagem inidvidual; Prazo de validade: 10 anos contra defeito de fabricação,</v>
      </c>
      <c r="M1392" s="593" t="str">
        <f>IF(H:H=0,"",IF(ISERROR(VLOOKUP(H:H,produtos_escape2!$A$2:$D$2794,2,FALSE)),"Código não cadastrado",(VLOOKUP(H:H,produtos_escape2!$A$2:$D$2794,4,FALSE))))</f>
        <v>UN</v>
      </c>
      <c r="N1392" s="486">
        <v>60</v>
      </c>
      <c r="O1392" s="176" t="s">
        <v>9183</v>
      </c>
      <c r="P1392" s="486">
        <v>50</v>
      </c>
      <c r="Q1392" s="247">
        <v>18.75</v>
      </c>
      <c r="R1392" s="246">
        <f t="shared" si="59"/>
        <v>937.5</v>
      </c>
      <c r="S1392" s="177">
        <v>44188</v>
      </c>
      <c r="T1392" s="182"/>
      <c r="U1392" s="177"/>
      <c r="V1392" s="177"/>
      <c r="W1392" s="177"/>
      <c r="X1392" s="176"/>
      <c r="Y1392" s="177"/>
      <c r="Z1392" s="415">
        <v>6</v>
      </c>
      <c r="AA1392" s="488" t="s">
        <v>10718</v>
      </c>
      <c r="AB1392" s="594"/>
      <c r="AC1392" s="595"/>
      <c r="AD1392" s="596" t="str">
        <f>IF(AND(AC1392&lt;&gt;"",S1392&lt;&gt;""),NETWORKDAYS(AC1392,S1392,#REF!),"")</f>
        <v/>
      </c>
      <c r="AE1392" s="596" t="str">
        <f ca="1">IF(AND(AD1392="",AC1392=""),"",IF(OR(AD1392&lt;&gt;"",O1392="*CANCELADO"),"",NETWORKDAYS(AC1392,TODAY(),#REF!)))</f>
        <v/>
      </c>
      <c r="AF1392" s="597">
        <f>IFERROR(INDEX(produtos_escape2!M:M,MATCH(Controle!H1392,produtos_escape2!A:A,0)),"")</f>
        <v>0</v>
      </c>
    </row>
    <row r="1393" spans="1:32" ht="14.25" customHeight="1">
      <c r="A1393" s="176" t="s">
        <v>8347</v>
      </c>
      <c r="B1393" s="176" t="s">
        <v>7207</v>
      </c>
      <c r="C1393" s="177">
        <v>44180</v>
      </c>
      <c r="D1393" s="176" t="s">
        <v>10620</v>
      </c>
      <c r="E1393" s="176" t="s">
        <v>1866</v>
      </c>
      <c r="F1393" s="259" t="s">
        <v>10614</v>
      </c>
      <c r="G1393" s="176">
        <v>6</v>
      </c>
      <c r="H1393" s="178">
        <v>23408</v>
      </c>
      <c r="I1393" s="592">
        <f t="shared" si="57"/>
        <v>2</v>
      </c>
      <c r="J1393" s="178" t="s">
        <v>816</v>
      </c>
      <c r="K1393" s="178" t="s">
        <v>816</v>
      </c>
      <c r="L1393" s="275" t="str">
        <f>IF(H:H=0,"",IF(ISERROR(VLOOKUP(H:H,produtos_escape2!$A$2:$B$2794,2,FALSE)),"Código não cadastrado",(VLOOKUP(H:H,produtos_escape2!$A$2:$B$2794,2,FALSE))))</f>
        <v>PINÇA KELLY CURVA 16cm; Aplicação: Instrumental cirúrgico; Material: Produto Kelly Curva,confeccionada em aço inox de 1a. qualidade (ASI 420) medindo 16cm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16cm; Processo de esterilização: não estéril; Forma de apresentação: embalagem individual: Prazo de validade: 10 anos contra defeitos de fabricação; Unidade de estoque: unidade</v>
      </c>
      <c r="M1393" s="593" t="str">
        <f>IF(H:H=0,"",IF(ISERROR(VLOOKUP(H:H,produtos_escape2!$A$2:$D$2794,2,FALSE)),"Código não cadastrado",(VLOOKUP(H:H,produtos_escape2!$A$2:$D$2794,4,FALSE))))</f>
        <v>UN</v>
      </c>
      <c r="N1393" s="486">
        <v>20</v>
      </c>
      <c r="O1393" s="176" t="s">
        <v>1868</v>
      </c>
      <c r="P1393" s="486">
        <v>0</v>
      </c>
      <c r="Q1393" s="247">
        <v>23.68</v>
      </c>
      <c r="R1393" s="246">
        <f t="shared" si="59"/>
        <v>0</v>
      </c>
      <c r="S1393" s="177">
        <v>44188</v>
      </c>
      <c r="T1393" s="182"/>
      <c r="U1393" s="177"/>
      <c r="V1393" s="177"/>
      <c r="W1393" s="177"/>
      <c r="X1393" s="176"/>
      <c r="Y1393" s="177"/>
      <c r="Z1393" s="415">
        <v>6</v>
      </c>
      <c r="AA1393" s="488" t="s">
        <v>10679</v>
      </c>
      <c r="AB1393" s="594"/>
      <c r="AC1393" s="595"/>
      <c r="AD1393" s="596" t="str">
        <f>IF(AND(AC1393&lt;&gt;"",S1393&lt;&gt;""),NETWORKDAYS(AC1393,S1393,#REF!),"")</f>
        <v/>
      </c>
      <c r="AE1393" s="596" t="str">
        <f ca="1">IF(AND(AD1393="",AC1393=""),"",IF(OR(AD1393&lt;&gt;"",O1393="*CANCELADO"),"",NETWORKDAYS(AC1393,TODAY(),#REF!)))</f>
        <v/>
      </c>
      <c r="AF1393" s="597">
        <f>IFERROR(INDEX(produtos_escape2!M:M,MATCH(Controle!H1393,produtos_escape2!A:A,0)),"")</f>
        <v>0</v>
      </c>
    </row>
    <row r="1394" spans="1:32" ht="14.25" customHeight="1">
      <c r="A1394" s="176" t="s">
        <v>8347</v>
      </c>
      <c r="B1394" s="176" t="s">
        <v>7207</v>
      </c>
      <c r="C1394" s="177">
        <v>44180</v>
      </c>
      <c r="D1394" s="176" t="s">
        <v>10620</v>
      </c>
      <c r="E1394" s="176" t="s">
        <v>1866</v>
      </c>
      <c r="F1394" s="259" t="s">
        <v>10614</v>
      </c>
      <c r="G1394" s="176">
        <v>7</v>
      </c>
      <c r="H1394" s="178">
        <v>15322</v>
      </c>
      <c r="I1394" s="592">
        <f t="shared" si="57"/>
        <v>2</v>
      </c>
      <c r="J1394" s="178" t="s">
        <v>816</v>
      </c>
      <c r="K1394" s="178" t="s">
        <v>816</v>
      </c>
      <c r="L1394" s="275" t="str">
        <f>IF(H:H=0,"",IF(ISERROR(VLOOKUP(H:H,produtos_escape2!$A$2:$B$2794,2,FALSE)),"Código não cadastrado",(VLOOKUP(H:H,produtos_escape2!$A$2:$B$2794,2,FALSE))))</f>
        <v>PINÇA KELLY CURVA, Aplicação: Apreensão e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Forma de apresentação: Unidade, Prazo de Validade: Indeterminado.</v>
      </c>
      <c r="M1394" s="593" t="str">
        <f>IF(H:H=0,"",IF(ISERROR(VLOOKUP(H:H,produtos_escape2!$A$2:$D$2794,2,FALSE)),"Código não cadastrado",(VLOOKUP(H:H,produtos_escape2!$A$2:$D$2794,4,FALSE))))</f>
        <v>UN</v>
      </c>
      <c r="N1394" s="486">
        <v>230</v>
      </c>
      <c r="O1394" s="176" t="s">
        <v>9183</v>
      </c>
      <c r="P1394" s="486">
        <v>50</v>
      </c>
      <c r="Q1394" s="247">
        <v>19.8</v>
      </c>
      <c r="R1394" s="246">
        <f t="shared" si="59"/>
        <v>990</v>
      </c>
      <c r="S1394" s="177">
        <v>44188</v>
      </c>
      <c r="T1394" s="182"/>
      <c r="U1394" s="177"/>
      <c r="V1394" s="177"/>
      <c r="W1394" s="177"/>
      <c r="X1394" s="176"/>
      <c r="Y1394" s="177"/>
      <c r="Z1394" s="415">
        <v>6</v>
      </c>
      <c r="AA1394" s="488" t="s">
        <v>10697</v>
      </c>
      <c r="AB1394" s="594"/>
      <c r="AC1394" s="595"/>
      <c r="AD1394" s="596" t="str">
        <f>IF(AND(AC1394&lt;&gt;"",S1394&lt;&gt;""),NETWORKDAYS(AC1394,S1394,#REF!),"")</f>
        <v/>
      </c>
      <c r="AE1394" s="596" t="str">
        <f ca="1">IF(AND(AD1394="",AC1394=""),"",IF(OR(AD1394&lt;&gt;"",O1394="*CANCELADO"),"",NETWORKDAYS(AC1394,TODAY(),#REF!)))</f>
        <v/>
      </c>
      <c r="AF1394" s="597" t="str">
        <f>IFERROR(INDEX(produtos_escape2!M:M,MATCH(Controle!H1394,produtos_escape2!A:A,0)),"")</f>
        <v>PINÇA KELLY CURVA</v>
      </c>
    </row>
    <row r="1395" spans="1:32" ht="14.25" customHeight="1">
      <c r="A1395" s="176" t="s">
        <v>8347</v>
      </c>
      <c r="B1395" s="176" t="s">
        <v>7207</v>
      </c>
      <c r="C1395" s="177">
        <v>44180</v>
      </c>
      <c r="D1395" s="176" t="s">
        <v>10620</v>
      </c>
      <c r="E1395" s="176" t="s">
        <v>1866</v>
      </c>
      <c r="F1395" s="259" t="s">
        <v>10614</v>
      </c>
      <c r="G1395" s="176">
        <v>8</v>
      </c>
      <c r="H1395" s="178">
        <v>14227</v>
      </c>
      <c r="I1395" s="592">
        <f t="shared" si="57"/>
        <v>2</v>
      </c>
      <c r="J1395" s="178" t="s">
        <v>816</v>
      </c>
      <c r="K1395" s="178" t="s">
        <v>816</v>
      </c>
      <c r="L1395" s="275" t="str">
        <f>IF(H:H=0,"",IF(ISERROR(VLOOKUP(H:H,produtos_escape2!$A$2:$B$2794,2,FALSE)),"Código não cadastrado",(VLOOKUP(H:H,produtos_escape2!$A$2:$B$2794,2,FALSE))))</f>
        <v>PINÇA KOCHER CURVA,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v>
      </c>
      <c r="M1395" s="593" t="str">
        <f>IF(H:H=0,"",IF(ISERROR(VLOOKUP(H:H,produtos_escape2!$A$2:$D$2794,2,FALSE)),"Código não cadastrado",(VLOOKUP(H:H,produtos_escape2!$A$2:$D$2794,4,FALSE))))</f>
        <v>UN</v>
      </c>
      <c r="N1395" s="486">
        <v>20</v>
      </c>
      <c r="O1395" s="176" t="s">
        <v>1868</v>
      </c>
      <c r="P1395" s="486">
        <v>0</v>
      </c>
      <c r="Q1395" s="247">
        <v>26.66</v>
      </c>
      <c r="R1395" s="246">
        <f t="shared" si="59"/>
        <v>0</v>
      </c>
      <c r="S1395" s="177">
        <v>44188</v>
      </c>
      <c r="T1395" s="182"/>
      <c r="U1395" s="177"/>
      <c r="V1395" s="177"/>
      <c r="W1395" s="177"/>
      <c r="X1395" s="176"/>
      <c r="Y1395" s="177"/>
      <c r="Z1395" s="415">
        <v>6</v>
      </c>
      <c r="AA1395" s="488" t="s">
        <v>10679</v>
      </c>
      <c r="AB1395" s="594"/>
      <c r="AC1395" s="595"/>
      <c r="AD1395" s="596" t="str">
        <f>IF(AND(AC1395&lt;&gt;"",S1395&lt;&gt;""),NETWORKDAYS(AC1395,S1395,#REF!),"")</f>
        <v/>
      </c>
      <c r="AE1395" s="596" t="str">
        <f ca="1">IF(AND(AD1395="",AC1395=""),"",IF(OR(AD1395&lt;&gt;"",O1395="*CANCELADO"),"",NETWORKDAYS(AC1395,TODAY(),#REF!)))</f>
        <v/>
      </c>
      <c r="AF1395" s="597" t="str">
        <f>IFERROR(INDEX(produtos_escape2!M:M,MATCH(Controle!H1395,produtos_escape2!A:A,0)),"")</f>
        <v>PINÇA KOCHER CURVA</v>
      </c>
    </row>
    <row r="1396" spans="1:32" ht="14.25" customHeight="1">
      <c r="A1396" s="176" t="s">
        <v>8347</v>
      </c>
      <c r="B1396" s="176" t="s">
        <v>7207</v>
      </c>
      <c r="C1396" s="177">
        <v>44180</v>
      </c>
      <c r="D1396" s="176" t="s">
        <v>10620</v>
      </c>
      <c r="E1396" s="176" t="s">
        <v>1866</v>
      </c>
      <c r="F1396" s="259" t="s">
        <v>10614</v>
      </c>
      <c r="G1396" s="176">
        <v>9</v>
      </c>
      <c r="H1396" s="178">
        <v>14228</v>
      </c>
      <c r="I1396" s="592">
        <f t="shared" si="57"/>
        <v>2</v>
      </c>
      <c r="J1396" s="178" t="s">
        <v>816</v>
      </c>
      <c r="K1396" s="178" t="s">
        <v>816</v>
      </c>
      <c r="L1396" s="275" t="str">
        <f>IF(H:H=0,"",IF(ISERROR(VLOOKUP(H:H,produtos_escape2!$A$2:$B$2794,2,FALSE)),"Código não cadastrado",(VLOOKUP(H:H,produtos_escape2!$A$2:$B$2794,2,FALSE))))</f>
        <v>PINÇA KOCHER RETA, Aplicação: hemostasia, Material: aço inoxidável AISI, Tamanho: 160 mm, Características Adicionais: A pinça deverá ter as pontas delicadas e as serrilhas precisas para fazer adequadamente as hemostasias. A cremalheira deverá ter um funcionamento suave e progressivo, sem trancos e sem escapar com facilidade. O encaixe não deverá ser muito justo, a ponto de dificultar a abertura e o fechamento da peça, mas também não poderá ser muito folgado, a ponto de dificultar a apreensão dos tecidos. Os encaixes não deverão ter buracos ou frestas que possam acumular detritos provocando manchas e/ou corrosão. As pinças não poderão ter cantos vivos, que possam ferir os pacientes ou cortar as luvas dos cirurgiões. O funcionamento geral da peça deverá ser suave, sem raspar no encaixe, sem machucar os dedos e o polimento deverá ser o mais perfeito possível. O tratamento térmico deverá ser integral a fim de conferir às peças a dureza e flexibilidades necessárias ao seu desempenho. As pinças deverão ser as mais leves possíveis. Cada peça deverá ter uma gravação eletroquímica com clara identificação do fabricante e código/lote de identificação da data de fabricação, iniciais da instituição (SES-DF). Embalagem individual, Processo de esterilização: não estéril, Unidade de estoque: un.</v>
      </c>
      <c r="M1396" s="593" t="str">
        <f>IF(H:H=0,"",IF(ISERROR(VLOOKUP(H:H,produtos_escape2!$A$2:$D$2794,2,FALSE)),"Código não cadastrado",(VLOOKUP(H:H,produtos_escape2!$A$2:$D$2794,4,FALSE))))</f>
        <v>UN</v>
      </c>
      <c r="N1396" s="486">
        <v>20</v>
      </c>
      <c r="O1396" s="176" t="s">
        <v>1868</v>
      </c>
      <c r="P1396" s="486">
        <v>0</v>
      </c>
      <c r="Q1396" s="247">
        <v>26.66</v>
      </c>
      <c r="R1396" s="246">
        <f t="shared" si="59"/>
        <v>0</v>
      </c>
      <c r="S1396" s="177">
        <v>44188</v>
      </c>
      <c r="T1396" s="182"/>
      <c r="U1396" s="177"/>
      <c r="V1396" s="177"/>
      <c r="W1396" s="177"/>
      <c r="X1396" s="176"/>
      <c r="Y1396" s="177"/>
      <c r="Z1396" s="415">
        <v>6</v>
      </c>
      <c r="AA1396" s="488" t="s">
        <v>10679</v>
      </c>
      <c r="AB1396" s="594"/>
      <c r="AC1396" s="595"/>
      <c r="AD1396" s="596" t="str">
        <f>IF(AND(AC1396&lt;&gt;"",S1396&lt;&gt;""),NETWORKDAYS(AC1396,S1396,#REF!),"")</f>
        <v/>
      </c>
      <c r="AE1396" s="596" t="str">
        <f ca="1">IF(AND(AD1396="",AC1396=""),"",IF(OR(AD1396&lt;&gt;"",O1396="*CANCELADO"),"",NETWORKDAYS(AC1396,TODAY(),#REF!)))</f>
        <v/>
      </c>
      <c r="AF1396" s="597" t="str">
        <f>IFERROR(INDEX(produtos_escape2!M:M,MATCH(Controle!H1396,produtos_escape2!A:A,0)),"")</f>
        <v>PINÇA KOCHER RETA</v>
      </c>
    </row>
    <row r="1397" spans="1:32" ht="14.25" customHeight="1">
      <c r="A1397" s="176" t="s">
        <v>8347</v>
      </c>
      <c r="B1397" s="176" t="s">
        <v>7207</v>
      </c>
      <c r="C1397" s="177">
        <v>44180</v>
      </c>
      <c r="D1397" s="176" t="s">
        <v>10620</v>
      </c>
      <c r="E1397" s="176" t="s">
        <v>1866</v>
      </c>
      <c r="F1397" s="259" t="s">
        <v>10614</v>
      </c>
      <c r="G1397" s="176">
        <v>10</v>
      </c>
      <c r="H1397" s="178">
        <v>23410</v>
      </c>
      <c r="I1397" s="592">
        <f t="shared" si="57"/>
        <v>2</v>
      </c>
      <c r="J1397" s="178" t="s">
        <v>816</v>
      </c>
      <c r="K1397" s="178" t="s">
        <v>816</v>
      </c>
      <c r="L1397" s="275" t="str">
        <f>IF(H:H=0,"",IF(ISERROR(VLOOKUP(H:H,produtos_escape2!$A$2:$B$2794,2,FALSE)),"Código não cadastrado",(VLOOKUP(H:H,produtos_escape2!$A$2:$B$2794,2,FALSE))))</f>
        <v>PINÇA KOCHER RETO 18cm; Aplicação: Instrumental cirúrgico; Material: Pinça Kocher Reta,confeccionada em aço inox de 1a. qualidade, medindo 18cm de comprimento, embalada individualmente em plástico, constando externamente os dados de identificação e procedência, Garantia de fabrica: 10 anos contra defeitos de fabricação. Registro Ministério da Saúde - Serve para uso cirúrgico geral, pinçar artérias e veias, interromper fluxo sanguíneos. Tamanho: 18cm; Processo de esterilização: não estéril; Forma de apresentação: embalagem individual: Prazo de validade: 10 anos contra defeitos de fabricação; Unidade de estoque: unidade</v>
      </c>
      <c r="M1397" s="593" t="str">
        <f>IF(H:H=0,"",IF(ISERROR(VLOOKUP(H:H,produtos_escape2!$A$2:$D$2794,2,FALSE)),"Código não cadastrado",(VLOOKUP(H:H,produtos_escape2!$A$2:$D$2794,4,FALSE))))</f>
        <v>UN</v>
      </c>
      <c r="N1397" s="486">
        <v>30</v>
      </c>
      <c r="O1397" s="176" t="s">
        <v>1868</v>
      </c>
      <c r="P1397" s="486">
        <v>0</v>
      </c>
      <c r="Q1397" s="247">
        <v>31.94</v>
      </c>
      <c r="R1397" s="246">
        <f t="shared" si="59"/>
        <v>0</v>
      </c>
      <c r="S1397" s="177">
        <v>44188</v>
      </c>
      <c r="T1397" s="182"/>
      <c r="U1397" s="177"/>
      <c r="V1397" s="177"/>
      <c r="W1397" s="177"/>
      <c r="X1397" s="176"/>
      <c r="Y1397" s="177"/>
      <c r="Z1397" s="415">
        <v>6</v>
      </c>
      <c r="AA1397" s="488" t="s">
        <v>10679</v>
      </c>
      <c r="AB1397" s="594"/>
      <c r="AC1397" s="595"/>
      <c r="AD1397" s="596" t="str">
        <f>IF(AND(AC1397&lt;&gt;"",S1397&lt;&gt;""),NETWORKDAYS(AC1397,S1397,#REF!),"")</f>
        <v/>
      </c>
      <c r="AE1397" s="596" t="str">
        <f ca="1">IF(AND(AD1397="",AC1397=""),"",IF(OR(AD1397&lt;&gt;"",O1397="*CANCELADO"),"",NETWORKDAYS(AC1397,TODAY(),#REF!)))</f>
        <v/>
      </c>
      <c r="AF1397" s="597" t="str">
        <f>IFERROR(INDEX(produtos_escape2!M:M,MATCH(Controle!H1397,produtos_escape2!A:A,0)),"")</f>
        <v>PINÇA KOCHER RETO 18cm</v>
      </c>
    </row>
    <row r="1398" spans="1:32" ht="14.25" customHeight="1">
      <c r="A1398" s="176" t="s">
        <v>8348</v>
      </c>
      <c r="B1398" s="176" t="s">
        <v>7207</v>
      </c>
      <c r="C1398" s="177">
        <v>44180</v>
      </c>
      <c r="D1398" s="176" t="s">
        <v>10622</v>
      </c>
      <c r="E1398" s="176" t="s">
        <v>1866</v>
      </c>
      <c r="F1398" s="259" t="s">
        <v>10615</v>
      </c>
      <c r="G1398" s="176">
        <v>1</v>
      </c>
      <c r="H1398" s="178">
        <v>203212</v>
      </c>
      <c r="I1398" s="592">
        <f t="shared" ref="I1398:I1461" si="60">COUNTIF($H$3:$H$3041,H1398)</f>
        <v>2</v>
      </c>
      <c r="J1398" s="178" t="s">
        <v>816</v>
      </c>
      <c r="K1398" s="178" t="s">
        <v>816</v>
      </c>
      <c r="L1398" s="275" t="str">
        <f>IF(H:H=0,"",IF(ISERROR(VLOOKUP(H:H,produtos_escape2!$A$2:$B$2794,2,FALSE)),"Código não cadastrado",(VLOOKUP(H:H,produtos_escape2!$A$2:$B$2794,2,FALSE))))</f>
        <v>PINÇA ÓSSEA LAMBERT-LOWMANN 2X2 DENTES, Aplicação: Cirurgia Ortopédica, Material: Aço inoxidável AISI, Tamanho: 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validade:Indeterminado.</v>
      </c>
      <c r="M1398" s="593" t="str">
        <f>IF(H:H=0,"",IF(ISERROR(VLOOKUP(H:H,produtos_escape2!$A$2:$D$2794,2,FALSE)),"Código não cadastrado",(VLOOKUP(H:H,produtos_escape2!$A$2:$D$2794,4,FALSE))))</f>
        <v>UN</v>
      </c>
      <c r="N1398" s="486">
        <v>10</v>
      </c>
      <c r="O1398" s="176" t="s">
        <v>1868</v>
      </c>
      <c r="P1398" s="486">
        <v>0</v>
      </c>
      <c r="Q1398" s="247">
        <v>780</v>
      </c>
      <c r="R1398" s="246">
        <f t="shared" si="59"/>
        <v>0</v>
      </c>
      <c r="S1398" s="177">
        <v>44187</v>
      </c>
      <c r="T1398" s="182"/>
      <c r="U1398" s="177"/>
      <c r="V1398" s="177"/>
      <c r="W1398" s="177"/>
      <c r="X1398" s="176"/>
      <c r="Y1398" s="177"/>
      <c r="Z1398" s="415">
        <v>6</v>
      </c>
      <c r="AA1398" s="488" t="s">
        <v>10679</v>
      </c>
      <c r="AB1398" s="594"/>
      <c r="AC1398" s="595"/>
      <c r="AD1398" s="596" t="str">
        <f>IF(AND(AC1398&lt;&gt;"",S1398&lt;&gt;""),NETWORKDAYS(AC1398,S1398,#REF!),"")</f>
        <v/>
      </c>
      <c r="AE1398" s="596" t="str">
        <f ca="1">IF(AND(AD1398="",AC1398=""),"",IF(OR(AD1398&lt;&gt;"",O1398="*CANCELADO"),"",NETWORKDAYS(AC1398,TODAY(),#REF!)))</f>
        <v/>
      </c>
      <c r="AF1398" s="597" t="str">
        <f>IFERROR(INDEX(produtos_escape2!M:M,MATCH(Controle!H1398,produtos_escape2!A:A,0)),"")</f>
        <v>PINÇA ÓSSEA LAMBERT-LOWMANN 2X2 DENTES</v>
      </c>
    </row>
    <row r="1399" spans="1:32" ht="14.25" customHeight="1">
      <c r="A1399" s="176" t="s">
        <v>8348</v>
      </c>
      <c r="B1399" s="176" t="s">
        <v>7207</v>
      </c>
      <c r="C1399" s="177">
        <v>44180</v>
      </c>
      <c r="D1399" s="176" t="s">
        <v>10622</v>
      </c>
      <c r="E1399" s="176" t="s">
        <v>1866</v>
      </c>
      <c r="F1399" s="259" t="s">
        <v>10615</v>
      </c>
      <c r="G1399" s="176">
        <v>2</v>
      </c>
      <c r="H1399" s="178">
        <v>203211</v>
      </c>
      <c r="I1399" s="592">
        <f t="shared" si="60"/>
        <v>2</v>
      </c>
      <c r="J1399" s="178" t="s">
        <v>816</v>
      </c>
      <c r="K1399" s="178" t="s">
        <v>816</v>
      </c>
      <c r="L1399" s="275" t="str">
        <f>IF(H:H=0,"",IF(ISERROR(VLOOKUP(H:H,produtos_escape2!$A$2:$B$2794,2,FALSE)),"Código não cadastrado",(VLOOKUP(H:H,produtos_escape2!$A$2:$B$2794,2,FALSE))))</f>
        <v>PINÇA ÓSSEA LAMBERT-LOWMANN 2X2 DENTES, Aplicação: Cirurgia Ortopédica,Material: Aço inoxidável AISI, 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 Cada peça deverá ter uma gravação eletroquímica com clara identificação do fabricante e código/lote de identificação da data de fabricação, iniciais da instituição (SES-DF). Embalagem individual. Processo de Esterilização: Não estéril, Forma de apresentação:Unidade, Prazo de validade: Indeterminado.</v>
      </c>
      <c r="M1399" s="593" t="str">
        <f>IF(H:H=0,"",IF(ISERROR(VLOOKUP(H:H,produtos_escape2!$A$2:$D$2794,2,FALSE)),"Código não cadastrado",(VLOOKUP(H:H,produtos_escape2!$A$2:$D$2794,4,FALSE))))</f>
        <v>UN</v>
      </c>
      <c r="N1399" s="486">
        <v>10</v>
      </c>
      <c r="O1399" s="176" t="s">
        <v>1868</v>
      </c>
      <c r="P1399" s="486">
        <v>0</v>
      </c>
      <c r="Q1399" s="247">
        <v>660</v>
      </c>
      <c r="R1399" s="246">
        <f t="shared" si="59"/>
        <v>0</v>
      </c>
      <c r="S1399" s="177">
        <v>44187</v>
      </c>
      <c r="T1399" s="182"/>
      <c r="U1399" s="177"/>
      <c r="V1399" s="177"/>
      <c r="W1399" s="177"/>
      <c r="X1399" s="176"/>
      <c r="Y1399" s="177"/>
      <c r="Z1399" s="415">
        <v>6</v>
      </c>
      <c r="AA1399" s="488" t="s">
        <v>10679</v>
      </c>
      <c r="AB1399" s="594"/>
      <c r="AC1399" s="595"/>
      <c r="AD1399" s="596" t="str">
        <f>IF(AND(AC1399&lt;&gt;"",S1399&lt;&gt;""),NETWORKDAYS(AC1399,S1399,#REF!),"")</f>
        <v/>
      </c>
      <c r="AE1399" s="596" t="str">
        <f ca="1">IF(AND(AD1399="",AC1399=""),"",IF(OR(AD1399&lt;&gt;"",O1399="*CANCELADO"),"",NETWORKDAYS(AC1399,TODAY(),#REF!)))</f>
        <v/>
      </c>
      <c r="AF1399" s="597" t="str">
        <f>IFERROR(INDEX(produtos_escape2!M:M,MATCH(Controle!H1399,produtos_escape2!A:A,0)),"")</f>
        <v>PINÇA ÓSSEA LAMBERT-LOWMANN 2X2 DENTES</v>
      </c>
    </row>
    <row r="1400" spans="1:32" ht="14.25" customHeight="1">
      <c r="A1400" s="176" t="s">
        <v>8348</v>
      </c>
      <c r="B1400" s="176" t="s">
        <v>7207</v>
      </c>
      <c r="C1400" s="177">
        <v>44180</v>
      </c>
      <c r="D1400" s="176" t="s">
        <v>10622</v>
      </c>
      <c r="E1400" s="176" t="s">
        <v>1866</v>
      </c>
      <c r="F1400" s="259" t="s">
        <v>10615</v>
      </c>
      <c r="G1400" s="176">
        <v>3</v>
      </c>
      <c r="H1400" s="178">
        <v>203216</v>
      </c>
      <c r="I1400" s="592">
        <f t="shared" si="60"/>
        <v>2</v>
      </c>
      <c r="J1400" s="178" t="s">
        <v>816</v>
      </c>
      <c r="K1400" s="178" t="s">
        <v>816</v>
      </c>
      <c r="L1400" s="275" t="str">
        <f>IF(H:H=0,"",IF(ISERROR(VLOOKUP(H:H,produtos_escape2!$A$2:$B$2794,2,FALSE)),"Código não cadastrado",(VLOOKUP(H:H,produtos_escape2!$A$2:$B$2794,2,FALSE))))</f>
        <v>PINÇA ÓSSEA LANE SEM CREMALHEIRA, Aplicação: Cirurgia Ortopédica Material: Aço inoxidável AISI, Tamanho:220 mm ,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1400" s="593" t="str">
        <f>IF(H:H=0,"",IF(ISERROR(VLOOKUP(H:H,produtos_escape2!$A$2:$D$2794,2,FALSE)),"Código não cadastrado",(VLOOKUP(H:H,produtos_escape2!$A$2:$D$2794,4,FALSE))))</f>
        <v>UN</v>
      </c>
      <c r="N1400" s="486">
        <v>5</v>
      </c>
      <c r="O1400" s="176" t="s">
        <v>1868</v>
      </c>
      <c r="P1400" s="486">
        <v>0</v>
      </c>
      <c r="Q1400" s="247">
        <v>620</v>
      </c>
      <c r="R1400" s="246">
        <f t="shared" si="59"/>
        <v>0</v>
      </c>
      <c r="S1400" s="177">
        <v>44187</v>
      </c>
      <c r="T1400" s="182"/>
      <c r="U1400" s="177"/>
      <c r="V1400" s="177"/>
      <c r="W1400" s="177"/>
      <c r="X1400" s="176"/>
      <c r="Y1400" s="177"/>
      <c r="Z1400" s="415">
        <v>6</v>
      </c>
      <c r="AA1400" s="488" t="s">
        <v>10679</v>
      </c>
      <c r="AB1400" s="594"/>
      <c r="AC1400" s="595"/>
      <c r="AD1400" s="596" t="str">
        <f>IF(AND(AC1400&lt;&gt;"",S1400&lt;&gt;""),NETWORKDAYS(AC1400,S1400,#REF!),"")</f>
        <v/>
      </c>
      <c r="AE1400" s="596" t="str">
        <f ca="1">IF(AND(AD1400="",AC1400=""),"",IF(OR(AD1400&lt;&gt;"",O1400="*CANCELADO"),"",NETWORKDAYS(AC1400,TODAY(),#REF!)))</f>
        <v/>
      </c>
      <c r="AF1400" s="597">
        <f>IFERROR(INDEX(produtos_escape2!M:M,MATCH(Controle!H1400,produtos_escape2!A:A,0)),"")</f>
        <v>0</v>
      </c>
    </row>
    <row r="1401" spans="1:32" ht="14.25" customHeight="1">
      <c r="A1401" s="176" t="s">
        <v>8348</v>
      </c>
      <c r="B1401" s="176" t="s">
        <v>7207</v>
      </c>
      <c r="C1401" s="177">
        <v>44180</v>
      </c>
      <c r="D1401" s="176" t="s">
        <v>10622</v>
      </c>
      <c r="E1401" s="176" t="s">
        <v>1866</v>
      </c>
      <c r="F1401" s="259" t="s">
        <v>10615</v>
      </c>
      <c r="G1401" s="176">
        <v>4</v>
      </c>
      <c r="H1401" s="178">
        <v>203213</v>
      </c>
      <c r="I1401" s="592">
        <f t="shared" si="60"/>
        <v>2</v>
      </c>
      <c r="J1401" s="178" t="s">
        <v>816</v>
      </c>
      <c r="K1401" s="178" t="s">
        <v>816</v>
      </c>
      <c r="L1401" s="275" t="str">
        <f>IF(H:H=0,"",IF(ISERROR(VLOOKUP(H:H,produtos_escape2!$A$2:$B$2794,2,FALSE)),"Código não cadastrado",(VLOOKUP(H:H,produtos_escape2!$A$2:$B$2794,2,FALSE))))</f>
        <v>PINÇA ÓSSEA LANE, COM CREMALHEIRA, Aplicação: Cirurgia Ortopédica Material: Aço inoxidável AISI,  Tamanho: 220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v>
      </c>
      <c r="M1401" s="593" t="str">
        <f>IF(H:H=0,"",IF(ISERROR(VLOOKUP(H:H,produtos_escape2!$A$2:$D$2794,2,FALSE)),"Código não cadastrado",(VLOOKUP(H:H,produtos_escape2!$A$2:$D$2794,4,FALSE))))</f>
        <v>UN</v>
      </c>
      <c r="N1401" s="486">
        <v>5</v>
      </c>
      <c r="O1401" s="176" t="s">
        <v>1868</v>
      </c>
      <c r="P1401" s="486">
        <v>0</v>
      </c>
      <c r="Q1401" s="247">
        <v>765</v>
      </c>
      <c r="R1401" s="246">
        <f t="shared" si="59"/>
        <v>0</v>
      </c>
      <c r="S1401" s="177">
        <v>44187</v>
      </c>
      <c r="T1401" s="182"/>
      <c r="U1401" s="177"/>
      <c r="V1401" s="177"/>
      <c r="W1401" s="177"/>
      <c r="X1401" s="176"/>
      <c r="Y1401" s="177"/>
      <c r="Z1401" s="415">
        <v>6</v>
      </c>
      <c r="AA1401" s="488" t="s">
        <v>10679</v>
      </c>
      <c r="AB1401" s="594"/>
      <c r="AC1401" s="595"/>
      <c r="AD1401" s="596" t="str">
        <f>IF(AND(AC1401&lt;&gt;"",S1401&lt;&gt;""),NETWORKDAYS(AC1401,S1401,#REF!),"")</f>
        <v/>
      </c>
      <c r="AE1401" s="596" t="str">
        <f ca="1">IF(AND(AD1401="",AC1401=""),"",IF(OR(AD1401&lt;&gt;"",O1401="*CANCELADO"),"",NETWORKDAYS(AC1401,TODAY(),#REF!)))</f>
        <v/>
      </c>
      <c r="AF1401" s="597" t="str">
        <f>IFERROR(INDEX(produtos_escape2!M:M,MATCH(Controle!H1401,produtos_escape2!A:A,0)),"")</f>
        <v>PINÇA ÓSSEA LANE</v>
      </c>
    </row>
    <row r="1402" spans="1:32" ht="14.25" customHeight="1">
      <c r="A1402" s="176" t="s">
        <v>8348</v>
      </c>
      <c r="B1402" s="176" t="s">
        <v>7207</v>
      </c>
      <c r="C1402" s="177">
        <v>44180</v>
      </c>
      <c r="D1402" s="176" t="s">
        <v>10622</v>
      </c>
      <c r="E1402" s="176" t="s">
        <v>1866</v>
      </c>
      <c r="F1402" s="259" t="s">
        <v>10615</v>
      </c>
      <c r="G1402" s="176">
        <v>5</v>
      </c>
      <c r="H1402" s="178">
        <v>203214</v>
      </c>
      <c r="I1402" s="592">
        <f t="shared" si="60"/>
        <v>2</v>
      </c>
      <c r="J1402" s="178" t="s">
        <v>816</v>
      </c>
      <c r="K1402" s="178" t="s">
        <v>816</v>
      </c>
      <c r="L1402" s="275" t="str">
        <f>IF(H:H=0,"",IF(ISERROR(VLOOKUP(H:H,produtos_escape2!$A$2:$B$2794,2,FALSE)),"Código não cadastrado",(VLOOKUP(H:H,produtos_escape2!$A$2:$B$2794,2,FALSE))))</f>
        <v>PINÇA ÓSSEA LANE, COM CREMALHEIRA, Aplicação: Cirurgia Ortopédica Material: Aço inoxidável AISI,Tamanho:330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 Forma de apresentação:Unidade</v>
      </c>
      <c r="M1402" s="593" t="str">
        <f>IF(H:H=0,"",IF(ISERROR(VLOOKUP(H:H,produtos_escape2!$A$2:$D$2794,2,FALSE)),"Código não cadastrado",(VLOOKUP(H:H,produtos_escape2!$A$2:$D$2794,4,FALSE))))</f>
        <v>UN</v>
      </c>
      <c r="N1402" s="486">
        <v>5</v>
      </c>
      <c r="O1402" s="176" t="s">
        <v>1868</v>
      </c>
      <c r="P1402" s="486">
        <v>0</v>
      </c>
      <c r="Q1402" s="247">
        <v>975</v>
      </c>
      <c r="R1402" s="246">
        <f t="shared" si="59"/>
        <v>0</v>
      </c>
      <c r="S1402" s="177">
        <v>44187</v>
      </c>
      <c r="T1402" s="182"/>
      <c r="U1402" s="177"/>
      <c r="V1402" s="177"/>
      <c r="W1402" s="177"/>
      <c r="X1402" s="176"/>
      <c r="Y1402" s="177"/>
      <c r="Z1402" s="415">
        <v>6</v>
      </c>
      <c r="AA1402" s="488" t="s">
        <v>10679</v>
      </c>
      <c r="AB1402" s="594"/>
      <c r="AC1402" s="595"/>
      <c r="AD1402" s="596" t="str">
        <f>IF(AND(AC1402&lt;&gt;"",S1402&lt;&gt;""),NETWORKDAYS(AC1402,S1402,#REF!),"")</f>
        <v/>
      </c>
      <c r="AE1402" s="596" t="str">
        <f ca="1">IF(AND(AD1402="",AC1402=""),"",IF(OR(AD1402&lt;&gt;"",O1402="*CANCELADO"),"",NETWORKDAYS(AC1402,TODAY(),#REF!)))</f>
        <v/>
      </c>
      <c r="AF1402" s="597" t="str">
        <f>IFERROR(INDEX(produtos_escape2!M:M,MATCH(Controle!H1402,produtos_escape2!A:A,0)),"")</f>
        <v>PINÇA ÓSSEA LANE</v>
      </c>
    </row>
    <row r="1403" spans="1:32" ht="14.25" customHeight="1">
      <c r="A1403" s="176" t="s">
        <v>8348</v>
      </c>
      <c r="B1403" s="176" t="s">
        <v>7207</v>
      </c>
      <c r="C1403" s="177">
        <v>44180</v>
      </c>
      <c r="D1403" s="176" t="s">
        <v>10622</v>
      </c>
      <c r="E1403" s="176" t="s">
        <v>1866</v>
      </c>
      <c r="F1403" s="259" t="s">
        <v>10615</v>
      </c>
      <c r="G1403" s="176">
        <v>6</v>
      </c>
      <c r="H1403" s="178">
        <v>203215</v>
      </c>
      <c r="I1403" s="592">
        <f t="shared" si="60"/>
        <v>2</v>
      </c>
      <c r="J1403" s="178" t="s">
        <v>816</v>
      </c>
      <c r="K1403" s="178" t="s">
        <v>816</v>
      </c>
      <c r="L1403" s="275" t="str">
        <f>IF(H:H=0,"",IF(ISERROR(VLOOKUP(H:H,produtos_escape2!$A$2:$B$2794,2,FALSE)),"Código não cadastrado",(VLOOKUP(H:H,produtos_escape2!$A$2:$B$2794,2,FALSE))))</f>
        <v>PINÇA ÓSSEA LANE, SEM CREMALHEIRA, Aplicação: Cirurgia Ortopédica Material: Aço inoxidável AISI, Tamanho:330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1403" s="593" t="str">
        <f>IF(H:H=0,"",IF(ISERROR(VLOOKUP(H:H,produtos_escape2!$A$2:$D$2794,2,FALSE)),"Código não cadastrado",(VLOOKUP(H:H,produtos_escape2!$A$2:$D$2794,4,FALSE))))</f>
        <v>UN</v>
      </c>
      <c r="N1403" s="486">
        <v>5</v>
      </c>
      <c r="O1403" s="176" t="s">
        <v>1868</v>
      </c>
      <c r="P1403" s="486">
        <v>0</v>
      </c>
      <c r="Q1403" s="247">
        <v>975</v>
      </c>
      <c r="R1403" s="246">
        <f t="shared" si="59"/>
        <v>0</v>
      </c>
      <c r="S1403" s="177">
        <v>44187</v>
      </c>
      <c r="T1403" s="182"/>
      <c r="U1403" s="177"/>
      <c r="V1403" s="177"/>
      <c r="W1403" s="177"/>
      <c r="X1403" s="176"/>
      <c r="Y1403" s="177"/>
      <c r="Z1403" s="415">
        <v>6</v>
      </c>
      <c r="AA1403" s="488" t="s">
        <v>10679</v>
      </c>
      <c r="AB1403" s="594"/>
      <c r="AC1403" s="595"/>
      <c r="AD1403" s="596" t="str">
        <f>IF(AND(AC1403&lt;&gt;"",S1403&lt;&gt;""),NETWORKDAYS(AC1403,S1403,#REF!),"")</f>
        <v/>
      </c>
      <c r="AE1403" s="596" t="str">
        <f ca="1">IF(AND(AD1403="",AC1403=""),"",IF(OR(AD1403&lt;&gt;"",O1403="*CANCELADO"),"",NETWORKDAYS(AC1403,TODAY(),#REF!)))</f>
        <v/>
      </c>
      <c r="AF1403" s="597" t="str">
        <f>IFERROR(INDEX(produtos_escape2!M:M,MATCH(Controle!H1403,produtos_escape2!A:A,0)),"")</f>
        <v>PINÇA ÓSSEA LANE</v>
      </c>
    </row>
    <row r="1404" spans="1:32" ht="14.25" customHeight="1">
      <c r="A1404" s="176" t="s">
        <v>8348</v>
      </c>
      <c r="B1404" s="176" t="s">
        <v>7207</v>
      </c>
      <c r="C1404" s="177">
        <v>44180</v>
      </c>
      <c r="D1404" s="176" t="s">
        <v>10622</v>
      </c>
      <c r="E1404" s="176" t="s">
        <v>1866</v>
      </c>
      <c r="F1404" s="259" t="s">
        <v>10615</v>
      </c>
      <c r="G1404" s="176">
        <v>7</v>
      </c>
      <c r="H1404" s="178">
        <v>203219</v>
      </c>
      <c r="I1404" s="592">
        <f t="shared" si="60"/>
        <v>2</v>
      </c>
      <c r="J1404" s="178" t="s">
        <v>816</v>
      </c>
      <c r="K1404" s="178" t="s">
        <v>816</v>
      </c>
      <c r="L1404" s="275" t="str">
        <f>IF(H:H=0,"",IF(ISERROR(VLOOKUP(H:H,produtos_escape2!$A$2:$B$2794,2,FALSE)),"Código não cadastrado",(VLOOKUP(H:H,produtos_escape2!$A$2:$B$2794,2,FALSE))))</f>
        <v>PINÇA ÓSSEA LOWMANN 1 X 2 DENTES, Aplicação: Cirurgia Ortopédica Material: Aço inoxidável AISI, Tamanho:185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validade:.Indeterminado.</v>
      </c>
      <c r="M1404" s="593" t="str">
        <f>IF(H:H=0,"",IF(ISERROR(VLOOKUP(H:H,produtos_escape2!$A$2:$D$2794,2,FALSE)),"Código não cadastrado",(VLOOKUP(H:H,produtos_escape2!$A$2:$D$2794,4,FALSE))))</f>
        <v>UN</v>
      </c>
      <c r="N1404" s="486">
        <v>8</v>
      </c>
      <c r="O1404" s="176" t="s">
        <v>1868</v>
      </c>
      <c r="P1404" s="486">
        <v>0</v>
      </c>
      <c r="Q1404" s="247">
        <v>701</v>
      </c>
      <c r="R1404" s="246">
        <f t="shared" si="59"/>
        <v>0</v>
      </c>
      <c r="S1404" s="177">
        <v>44187</v>
      </c>
      <c r="T1404" s="182"/>
      <c r="U1404" s="177"/>
      <c r="V1404" s="177"/>
      <c r="W1404" s="177"/>
      <c r="X1404" s="176"/>
      <c r="Y1404" s="177"/>
      <c r="Z1404" s="415">
        <v>6</v>
      </c>
      <c r="AA1404" s="488" t="s">
        <v>10679</v>
      </c>
      <c r="AB1404" s="594"/>
      <c r="AC1404" s="595"/>
      <c r="AD1404" s="596" t="str">
        <f>IF(AND(AC1404&lt;&gt;"",S1404&lt;&gt;""),NETWORKDAYS(AC1404,S1404,#REF!),"")</f>
        <v/>
      </c>
      <c r="AE1404" s="596" t="str">
        <f ca="1">IF(AND(AD1404="",AC1404=""),"",IF(OR(AD1404&lt;&gt;"",O1404="*CANCELADO"),"",NETWORKDAYS(AC1404,TODAY(),#REF!)))</f>
        <v/>
      </c>
      <c r="AF1404" s="597" t="str">
        <f>IFERROR(INDEX(produtos_escape2!M:M,MATCH(Controle!H1404,produtos_escape2!A:A,0)),"")</f>
        <v>PINÇA ÓSSEA LOWMANN 1 X 2 DENTES</v>
      </c>
    </row>
    <row r="1405" spans="1:32" ht="14.25" customHeight="1">
      <c r="A1405" s="176" t="s">
        <v>8348</v>
      </c>
      <c r="B1405" s="176" t="s">
        <v>7207</v>
      </c>
      <c r="C1405" s="177">
        <v>44180</v>
      </c>
      <c r="D1405" s="176" t="s">
        <v>10622</v>
      </c>
      <c r="E1405" s="176" t="s">
        <v>1866</v>
      </c>
      <c r="F1405" s="259" t="s">
        <v>10615</v>
      </c>
      <c r="G1405" s="176">
        <v>8</v>
      </c>
      <c r="H1405" s="178">
        <v>203217</v>
      </c>
      <c r="I1405" s="592">
        <f t="shared" si="60"/>
        <v>2</v>
      </c>
      <c r="J1405" s="178" t="s">
        <v>816</v>
      </c>
      <c r="K1405" s="178" t="s">
        <v>816</v>
      </c>
      <c r="L1405" s="275" t="str">
        <f>IF(H:H=0,"",IF(ISERROR(VLOOKUP(H:H,produtos_escape2!$A$2:$B$2794,2,FALSE)),"Código não cadastrado",(VLOOKUP(H:H,produtos_escape2!$A$2:$B$2794,2,FALSE))))</f>
        <v>PINÇA ÓSSEA LOWMANN 1 X 2 DENTES,Aplicação: Cirurgia Ortopédica Material: Aço inoxidável AISI,Tamanho:120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Esterilização:Não estéril,Forma de apresentação:Unidade Prazo de validade:Indeterminado.</v>
      </c>
      <c r="M1405" s="593" t="str">
        <f>IF(H:H=0,"",IF(ISERROR(VLOOKUP(H:H,produtos_escape2!$A$2:$D$2794,2,FALSE)),"Código não cadastrado",(VLOOKUP(H:H,produtos_escape2!$A$2:$D$2794,4,FALSE))))</f>
        <v>UN</v>
      </c>
      <c r="N1405" s="486">
        <v>5</v>
      </c>
      <c r="O1405" s="176" t="s">
        <v>1868</v>
      </c>
      <c r="P1405" s="486">
        <v>0</v>
      </c>
      <c r="Q1405" s="247">
        <v>780</v>
      </c>
      <c r="R1405" s="246">
        <f t="shared" si="59"/>
        <v>0</v>
      </c>
      <c r="S1405" s="177">
        <v>44187</v>
      </c>
      <c r="T1405" s="182"/>
      <c r="U1405" s="177"/>
      <c r="V1405" s="177"/>
      <c r="W1405" s="177"/>
      <c r="X1405" s="176"/>
      <c r="Y1405" s="177"/>
      <c r="Z1405" s="415">
        <v>6</v>
      </c>
      <c r="AA1405" s="488" t="s">
        <v>10679</v>
      </c>
      <c r="AB1405" s="594"/>
      <c r="AC1405" s="595"/>
      <c r="AD1405" s="596" t="str">
        <f>IF(AND(AC1405&lt;&gt;"",S1405&lt;&gt;""),NETWORKDAYS(AC1405,S1405,#REF!),"")</f>
        <v/>
      </c>
      <c r="AE1405" s="596" t="str">
        <f ca="1">IF(AND(AD1405="",AC1405=""),"",IF(OR(AD1405&lt;&gt;"",O1405="*CANCELADO"),"",NETWORKDAYS(AC1405,TODAY(),#REF!)))</f>
        <v/>
      </c>
      <c r="AF1405" s="597">
        <f>IFERROR(INDEX(produtos_escape2!M:M,MATCH(Controle!H1405,produtos_escape2!A:A,0)),"")</f>
        <v>0</v>
      </c>
    </row>
    <row r="1406" spans="1:32" ht="14.25" customHeight="1">
      <c r="A1406" s="176" t="s">
        <v>8348</v>
      </c>
      <c r="B1406" s="176" t="s">
        <v>7207</v>
      </c>
      <c r="C1406" s="177">
        <v>44180</v>
      </c>
      <c r="D1406" s="176" t="s">
        <v>10622</v>
      </c>
      <c r="E1406" s="176" t="s">
        <v>1866</v>
      </c>
      <c r="F1406" s="259" t="s">
        <v>10615</v>
      </c>
      <c r="G1406" s="176">
        <v>9</v>
      </c>
      <c r="H1406" s="178">
        <v>203218</v>
      </c>
      <c r="I1406" s="592">
        <f t="shared" si="60"/>
        <v>2</v>
      </c>
      <c r="J1406" s="178" t="s">
        <v>816</v>
      </c>
      <c r="K1406" s="178" t="s">
        <v>816</v>
      </c>
      <c r="L1406" s="275" t="str">
        <f>IF(H:H=0,"",IF(ISERROR(VLOOKUP(H:H,produtos_escape2!$A$2:$B$2794,2,FALSE)),"Código não cadastrado",(VLOOKUP(H:H,produtos_escape2!$A$2:$B$2794,2,FALSE))))</f>
        <v>PINÇA ÓSSEA LOWMANN 1 X 2 DENTES,Aplicação: Cirurgia Ortopédica Material: Aço inoxidável AISI,Tamanho:200 mm, Características: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v>
      </c>
      <c r="M1406" s="593" t="str">
        <f>IF(H:H=0,"",IF(ISERROR(VLOOKUP(H:H,produtos_escape2!$A$2:$D$2794,2,FALSE)),"Código não cadastrado",(VLOOKUP(H:H,produtos_escape2!$A$2:$D$2794,4,FALSE))))</f>
        <v>UN</v>
      </c>
      <c r="N1406" s="486">
        <v>8</v>
      </c>
      <c r="O1406" s="176" t="s">
        <v>1868</v>
      </c>
      <c r="P1406" s="486">
        <v>0</v>
      </c>
      <c r="Q1406" s="247">
        <v>780</v>
      </c>
      <c r="R1406" s="246">
        <f t="shared" si="59"/>
        <v>0</v>
      </c>
      <c r="S1406" s="177">
        <v>44187</v>
      </c>
      <c r="T1406" s="182"/>
      <c r="U1406" s="177"/>
      <c r="V1406" s="177"/>
      <c r="W1406" s="177"/>
      <c r="X1406" s="176"/>
      <c r="Y1406" s="177"/>
      <c r="Z1406" s="415">
        <v>6</v>
      </c>
      <c r="AA1406" s="488" t="s">
        <v>10679</v>
      </c>
      <c r="AB1406" s="594"/>
      <c r="AC1406" s="595"/>
      <c r="AD1406" s="596" t="str">
        <f>IF(AND(AC1406&lt;&gt;"",S1406&lt;&gt;""),NETWORKDAYS(AC1406,S1406,#REF!),"")</f>
        <v/>
      </c>
      <c r="AE1406" s="596" t="str">
        <f ca="1">IF(AND(AD1406="",AC1406=""),"",IF(OR(AD1406&lt;&gt;"",O1406="*CANCELADO"),"",NETWORKDAYS(AC1406,TODAY(),#REF!)))</f>
        <v/>
      </c>
      <c r="AF1406" s="597" t="str">
        <f>IFERROR(INDEX(produtos_escape2!M:M,MATCH(Controle!H1406,produtos_escape2!A:A,0)),"")</f>
        <v>PINÇA ÓSSEA LOWMANN 1 X 2 DENTES</v>
      </c>
    </row>
    <row r="1407" spans="1:32" ht="14.25" customHeight="1">
      <c r="A1407" s="176" t="s">
        <v>8348</v>
      </c>
      <c r="B1407" s="176" t="s">
        <v>7207</v>
      </c>
      <c r="C1407" s="177">
        <v>44180</v>
      </c>
      <c r="D1407" s="176" t="s">
        <v>10622</v>
      </c>
      <c r="E1407" s="176" t="s">
        <v>1866</v>
      </c>
      <c r="F1407" s="259" t="s">
        <v>10615</v>
      </c>
      <c r="G1407" s="176">
        <v>10</v>
      </c>
      <c r="H1407" s="178">
        <v>203221</v>
      </c>
      <c r="I1407" s="592">
        <f t="shared" si="60"/>
        <v>2</v>
      </c>
      <c r="J1407" s="178" t="s">
        <v>816</v>
      </c>
      <c r="K1407" s="178" t="s">
        <v>816</v>
      </c>
      <c r="L1407" s="275" t="str">
        <f>IF(H:H=0,"",IF(ISERROR(VLOOKUP(H:H,produtos_escape2!$A$2:$B$2794,2,FALSE)),"Código não cadastrado",(VLOOKUP(H:H,produtos_escape2!$A$2:$B$2794,2,FALSE))))</f>
        <v>PINÇA PARA REDUÇÃO ÓSSEA COM PONTA FINA E CREMALHEIRA, Aplicação: Cirurgia Ortopédica Material: Aço inoxidável AISI, Tamanho:200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Forma de apresentação:Unidade, Prazo de validade: Indeterminado.</v>
      </c>
      <c r="M1407" s="593" t="str">
        <f>IF(H:H=0,"",IF(ISERROR(VLOOKUP(H:H,produtos_escape2!$A$2:$D$2794,2,FALSE)),"Código não cadastrado",(VLOOKUP(H:H,produtos_escape2!$A$2:$D$2794,4,FALSE))))</f>
        <v>UN</v>
      </c>
      <c r="N1407" s="486">
        <v>5</v>
      </c>
      <c r="O1407" s="176" t="s">
        <v>1868</v>
      </c>
      <c r="P1407" s="486">
        <v>0</v>
      </c>
      <c r="Q1407" s="247">
        <v>815</v>
      </c>
      <c r="R1407" s="246">
        <f t="shared" si="59"/>
        <v>0</v>
      </c>
      <c r="S1407" s="177">
        <v>44187</v>
      </c>
      <c r="T1407" s="182"/>
      <c r="U1407" s="177"/>
      <c r="V1407" s="177"/>
      <c r="W1407" s="177"/>
      <c r="X1407" s="176"/>
      <c r="Y1407" s="177"/>
      <c r="Z1407" s="415">
        <v>6</v>
      </c>
      <c r="AA1407" s="488" t="s">
        <v>10679</v>
      </c>
      <c r="AB1407" s="594"/>
      <c r="AC1407" s="595"/>
      <c r="AD1407" s="596" t="str">
        <f>IF(AND(AC1407&lt;&gt;"",S1407&lt;&gt;""),NETWORKDAYS(AC1407,S1407,#REF!),"")</f>
        <v/>
      </c>
      <c r="AE1407" s="596" t="str">
        <f ca="1">IF(AND(AD1407="",AC1407=""),"",IF(OR(AD1407&lt;&gt;"",O1407="*CANCELADO"),"",NETWORKDAYS(AC1407,TODAY(),#REF!)))</f>
        <v/>
      </c>
      <c r="AF1407" s="597">
        <f>IFERROR(INDEX(produtos_escape2!M:M,MATCH(Controle!H1407,produtos_escape2!A:A,0)),"")</f>
        <v>0</v>
      </c>
    </row>
    <row r="1408" spans="1:32" ht="14.25" customHeight="1">
      <c r="A1408" s="176" t="s">
        <v>8348</v>
      </c>
      <c r="B1408" s="176" t="s">
        <v>7207</v>
      </c>
      <c r="C1408" s="177">
        <v>44180</v>
      </c>
      <c r="D1408" s="176" t="s">
        <v>10622</v>
      </c>
      <c r="E1408" s="176" t="s">
        <v>1866</v>
      </c>
      <c r="F1408" s="259" t="s">
        <v>10615</v>
      </c>
      <c r="G1408" s="176">
        <v>11</v>
      </c>
      <c r="H1408" s="178">
        <v>203222</v>
      </c>
      <c r="I1408" s="592">
        <f t="shared" si="60"/>
        <v>2</v>
      </c>
      <c r="J1408" s="178" t="s">
        <v>816</v>
      </c>
      <c r="K1408" s="178" t="s">
        <v>816</v>
      </c>
      <c r="L1408" s="275" t="str">
        <f>IF(H:H=0,"",IF(ISERROR(VLOOKUP(H:H,produtos_escape2!$A$2:$B$2794,2,FALSE)),"Código não cadastrado",(VLOOKUP(H:H,produtos_escape2!$A$2:$B$2794,2,FALSE))))</f>
        <v>PINÇA PARA REDUÇÃO ÓSSEA COM PONTAS,Aplicação: Cirurgia Ortopédica Material: Aço inoxidável AISI,  Tamanho: 160 mm  Características: Pinça para redução óssea com pontas, dispositivo de compressão com cremalheira para redução direta ou redução percutanea. As pontas deverão apresentar um bom acabamento superficial.  Por ser composta por mais de um componente não deverá apresentar buracos, frestas ou folga quando montada; ter um funcionamento suave e progressivo, sem trancos e sem escapar com facilidade.  O peso deverá ser o menor possível e o polimento isento de buracos ou defeitos superficiais que possam provocar manchas ou corrosão.  Cada peça deverá ter uma gravação eletroquímica com clara identificação do fabricante e código/lote de identificação da data de fabricação, iniciais da instituição (SES-DF).  Embalagem individual.Processo de Esterilização: Não estéril , Forma de apresentação:Unidade Prazo de validade: Indeterminado</v>
      </c>
      <c r="M1408" s="593" t="str">
        <f>IF(H:H=0,"",IF(ISERROR(VLOOKUP(H:H,produtos_escape2!$A$2:$D$2794,2,FALSE)),"Código não cadastrado",(VLOOKUP(H:H,produtos_escape2!$A$2:$D$2794,4,FALSE))))</f>
        <v>UN</v>
      </c>
      <c r="N1408" s="486">
        <v>5</v>
      </c>
      <c r="O1408" s="176" t="s">
        <v>1868</v>
      </c>
      <c r="P1408" s="486">
        <v>0</v>
      </c>
      <c r="Q1408" s="247">
        <v>780</v>
      </c>
      <c r="R1408" s="246">
        <f t="shared" si="59"/>
        <v>0</v>
      </c>
      <c r="S1408" s="177">
        <v>44187</v>
      </c>
      <c r="T1408" s="182"/>
      <c r="U1408" s="177"/>
      <c r="V1408" s="177"/>
      <c r="W1408" s="177"/>
      <c r="X1408" s="176"/>
      <c r="Y1408" s="177"/>
      <c r="Z1408" s="415">
        <v>6</v>
      </c>
      <c r="AA1408" s="488" t="s">
        <v>10679</v>
      </c>
      <c r="AB1408" s="594"/>
      <c r="AC1408" s="595"/>
      <c r="AD1408" s="596" t="str">
        <f>IF(AND(AC1408&lt;&gt;"",S1408&lt;&gt;""),NETWORKDAYS(AC1408,S1408,#REF!),"")</f>
        <v/>
      </c>
      <c r="AE1408" s="596" t="str">
        <f ca="1">IF(AND(AD1408="",AC1408=""),"",IF(OR(AD1408&lt;&gt;"",O1408="*CANCELADO"),"",NETWORKDAYS(AC1408,TODAY(),#REF!)))</f>
        <v/>
      </c>
      <c r="AF1408" s="597">
        <f>IFERROR(INDEX(produtos_escape2!M:M,MATCH(Controle!H1408,produtos_escape2!A:A,0)),"")</f>
        <v>0</v>
      </c>
    </row>
    <row r="1409" spans="1:32" ht="14.25" customHeight="1">
      <c r="A1409" s="176" t="s">
        <v>8349</v>
      </c>
      <c r="B1409" s="176" t="s">
        <v>7207</v>
      </c>
      <c r="C1409" s="177">
        <v>44180</v>
      </c>
      <c r="D1409" s="176" t="s">
        <v>10623</v>
      </c>
      <c r="E1409" s="176" t="s">
        <v>1866</v>
      </c>
      <c r="F1409" s="259" t="s">
        <v>10616</v>
      </c>
      <c r="G1409" s="176">
        <v>1</v>
      </c>
      <c r="H1409" s="178">
        <v>15303</v>
      </c>
      <c r="I1409" s="592">
        <f t="shared" si="60"/>
        <v>2</v>
      </c>
      <c r="J1409" s="178" t="s">
        <v>816</v>
      </c>
      <c r="K1409" s="178" t="s">
        <v>816</v>
      </c>
      <c r="L1409" s="275" t="str">
        <f>IF(H:H=0,"",IF(ISERROR(VLOOKUP(H:H,produtos_escape2!$A$2:$B$2794,2,FALSE)),"Código não cadastrado",(VLOOKUP(H:H,produtos_escape2!$A$2:$B$2794,2,FALSE))))</f>
        <v>PINCA HALSTEAD MOSQUITO CURVA 100MM 1</v>
      </c>
      <c r="M1409" s="593" t="str">
        <f>IF(H:H=0,"",IF(ISERROR(VLOOKUP(H:H,produtos_escape2!$A$2:$D$2794,2,FALSE)),"Código não cadastrado",(VLOOKUP(H:H,produtos_escape2!$A$2:$D$2794,4,FALSE))))</f>
        <v>UN</v>
      </c>
      <c r="N1409" s="486">
        <v>20</v>
      </c>
      <c r="O1409" s="176" t="s">
        <v>1868</v>
      </c>
      <c r="P1409" s="486">
        <v>0</v>
      </c>
      <c r="Q1409" s="247">
        <v>16.78</v>
      </c>
      <c r="R1409" s="246">
        <f t="shared" si="59"/>
        <v>0</v>
      </c>
      <c r="S1409" s="177">
        <v>44187</v>
      </c>
      <c r="T1409" s="182"/>
      <c r="U1409" s="177"/>
      <c r="V1409" s="177"/>
      <c r="W1409" s="177"/>
      <c r="X1409" s="176"/>
      <c r="Y1409" s="177"/>
      <c r="Z1409" s="415">
        <v>6</v>
      </c>
      <c r="AA1409" s="488" t="s">
        <v>10679</v>
      </c>
      <c r="AB1409" s="594"/>
      <c r="AC1409" s="595"/>
      <c r="AD1409" s="596" t="str">
        <f>IF(AND(AC1409&lt;&gt;"",S1409&lt;&gt;""),NETWORKDAYS(AC1409,S1409,#REF!),"")</f>
        <v/>
      </c>
      <c r="AE1409" s="596" t="str">
        <f ca="1">IF(AND(AD1409="",AC1409=""),"",IF(OR(AD1409&lt;&gt;"",O1409="*CANCELADO"),"",NETWORKDAYS(AC1409,TODAY(),#REF!)))</f>
        <v/>
      </c>
      <c r="AF1409" s="597" t="str">
        <f>IFERROR(INDEX(produtos_escape2!M:M,MATCH(Controle!H1409,produtos_escape2!A:A,0)),"")</f>
        <v>PINÇA HALSTEAD 100</v>
      </c>
    </row>
    <row r="1410" spans="1:32" ht="14.25" customHeight="1">
      <c r="A1410" s="176" t="s">
        <v>8349</v>
      </c>
      <c r="B1410" s="176" t="s">
        <v>7207</v>
      </c>
      <c r="C1410" s="177">
        <v>44180</v>
      </c>
      <c r="D1410" s="176" t="s">
        <v>10623</v>
      </c>
      <c r="E1410" s="176" t="s">
        <v>1866</v>
      </c>
      <c r="F1410" s="259" t="s">
        <v>10616</v>
      </c>
      <c r="G1410" s="176">
        <v>2</v>
      </c>
      <c r="H1410" s="178">
        <v>13890</v>
      </c>
      <c r="I1410" s="592">
        <f t="shared" si="60"/>
        <v>2</v>
      </c>
      <c r="J1410" s="178" t="s">
        <v>816</v>
      </c>
      <c r="K1410" s="178" t="s">
        <v>816</v>
      </c>
      <c r="L1410" s="275" t="str">
        <f>IF(H:H=0,"",IF(ISERROR(VLOOKUP(H:H,produtos_escape2!$A$2:$B$2794,2,FALSE)),"Código não cadastrado",(VLOOKUP(H:H,produtos_escape2!$A$2:$B$2794,2,FALSE))))</f>
        <v>PINCA HALSTEAD MOSQUITO CURVA 12CM</v>
      </c>
      <c r="M1410" s="593" t="str">
        <f>IF(H:H=0,"",IF(ISERROR(VLOOKUP(H:H,produtos_escape2!$A$2:$D$2794,2,FALSE)),"Código não cadastrado",(VLOOKUP(H:H,produtos_escape2!$A$2:$D$2794,4,FALSE))))</f>
        <v>UN</v>
      </c>
      <c r="N1410" s="486">
        <v>100</v>
      </c>
      <c r="O1410" s="176" t="s">
        <v>1868</v>
      </c>
      <c r="P1410" s="486">
        <v>0</v>
      </c>
      <c r="Q1410" s="247">
        <v>16.78</v>
      </c>
      <c r="R1410" s="246">
        <f t="shared" si="59"/>
        <v>0</v>
      </c>
      <c r="S1410" s="177">
        <v>44187</v>
      </c>
      <c r="T1410" s="182"/>
      <c r="U1410" s="177"/>
      <c r="V1410" s="177"/>
      <c r="W1410" s="177"/>
      <c r="X1410" s="176"/>
      <c r="Y1410" s="177"/>
      <c r="Z1410" s="415">
        <v>6</v>
      </c>
      <c r="AA1410" s="488" t="s">
        <v>10679</v>
      </c>
      <c r="AB1410" s="594"/>
      <c r="AC1410" s="595"/>
      <c r="AD1410" s="596" t="str">
        <f>IF(AND(AC1410&lt;&gt;"",S1410&lt;&gt;""),NETWORKDAYS(AC1410,S1410,#REF!),"")</f>
        <v/>
      </c>
      <c r="AE1410" s="596" t="str">
        <f ca="1">IF(AND(AD1410="",AC1410=""),"",IF(OR(AD1410&lt;&gt;"",O1410="*CANCELADO"),"",NETWORKDAYS(AC1410,TODAY(),#REF!)))</f>
        <v/>
      </c>
      <c r="AF1410" s="597" t="str">
        <f>IFERROR(INDEX(produtos_escape2!M:M,MATCH(Controle!H1410,produtos_escape2!A:A,0)),"")</f>
        <v>PINCA HALSTEAD MOSQUITO CURVA 12CM</v>
      </c>
    </row>
    <row r="1411" spans="1:32" ht="14.25" customHeight="1">
      <c r="A1411" s="176" t="s">
        <v>8349</v>
      </c>
      <c r="B1411" s="176" t="s">
        <v>7207</v>
      </c>
      <c r="C1411" s="177">
        <v>44180</v>
      </c>
      <c r="D1411" s="176" t="s">
        <v>10623</v>
      </c>
      <c r="E1411" s="176" t="s">
        <v>1866</v>
      </c>
      <c r="F1411" s="259" t="s">
        <v>10616</v>
      </c>
      <c r="G1411" s="176">
        <v>3</v>
      </c>
      <c r="H1411" s="178">
        <v>15302</v>
      </c>
      <c r="I1411" s="592">
        <f t="shared" si="60"/>
        <v>2</v>
      </c>
      <c r="J1411" s="178" t="s">
        <v>816</v>
      </c>
      <c r="K1411" s="178" t="s">
        <v>816</v>
      </c>
      <c r="L1411" s="275" t="str">
        <f>IF(H:H=0,"",IF(ISERROR(VLOOKUP(H:H,produtos_escape2!$A$2:$B$2794,2,FALSE)),"Código não cadastrado",(VLOOKUP(H:H,produtos_escape2!$A$2:$B$2794,2,FALSE))))</f>
        <v>PINCA HALSTEAD MOSQUITO RETA 10CM 1</v>
      </c>
      <c r="M1411" s="593" t="str">
        <f>IF(H:H=0,"",IF(ISERROR(VLOOKUP(H:H,produtos_escape2!$A$2:$D$2794,2,FALSE)),"Código não cadastrado",(VLOOKUP(H:H,produtos_escape2!$A$2:$D$2794,4,FALSE))))</f>
        <v>UN</v>
      </c>
      <c r="N1411" s="486">
        <v>20</v>
      </c>
      <c r="O1411" s="176" t="s">
        <v>1868</v>
      </c>
      <c r="P1411" s="486">
        <v>0</v>
      </c>
      <c r="Q1411" s="247">
        <v>17.690000000000001</v>
      </c>
      <c r="R1411" s="246">
        <f t="shared" si="59"/>
        <v>0</v>
      </c>
      <c r="S1411" s="177">
        <v>44187</v>
      </c>
      <c r="T1411" s="182"/>
      <c r="U1411" s="177"/>
      <c r="V1411" s="177"/>
      <c r="W1411" s="177"/>
      <c r="X1411" s="176"/>
      <c r="Y1411" s="177"/>
      <c r="Z1411" s="415">
        <v>6</v>
      </c>
      <c r="AA1411" s="488" t="s">
        <v>10679</v>
      </c>
      <c r="AB1411" s="594"/>
      <c r="AC1411" s="595"/>
      <c r="AD1411" s="596" t="str">
        <f>IF(AND(AC1411&lt;&gt;"",S1411&lt;&gt;""),NETWORKDAYS(AC1411,S1411,#REF!),"")</f>
        <v/>
      </c>
      <c r="AE1411" s="596" t="str">
        <f ca="1">IF(AND(AD1411="",AC1411=""),"",IF(OR(AD1411&lt;&gt;"",O1411="*CANCELADO"),"",NETWORKDAYS(AC1411,TODAY(),#REF!)))</f>
        <v/>
      </c>
      <c r="AF1411" s="597" t="str">
        <f>IFERROR(INDEX(produtos_escape2!M:M,MATCH(Controle!H1411,produtos_escape2!A:A,0)),"")</f>
        <v>PINÇA HALSTEAD 10</v>
      </c>
    </row>
    <row r="1412" spans="1:32" ht="14.25" customHeight="1">
      <c r="A1412" s="176" t="s">
        <v>8349</v>
      </c>
      <c r="B1412" s="176" t="s">
        <v>7207</v>
      </c>
      <c r="C1412" s="177">
        <v>44180</v>
      </c>
      <c r="D1412" s="176" t="s">
        <v>10623</v>
      </c>
      <c r="E1412" s="176" t="s">
        <v>1866</v>
      </c>
      <c r="F1412" s="259" t="s">
        <v>10616</v>
      </c>
      <c r="G1412" s="176">
        <v>4</v>
      </c>
      <c r="H1412" s="178">
        <v>14226</v>
      </c>
      <c r="I1412" s="592">
        <f t="shared" si="60"/>
        <v>2</v>
      </c>
      <c r="J1412" s="178" t="s">
        <v>816</v>
      </c>
      <c r="K1412" s="178" t="s">
        <v>816</v>
      </c>
      <c r="L1412" s="275" t="str">
        <f>IF(H:H=0,"",IF(ISERROR(VLOOKUP(H:H,produtos_escape2!$A$2:$B$2794,2,FALSE)),"Código não cadastrado",(VLOOKUP(H:H,produtos_escape2!$A$2:$B$2794,2,FALSE))))</f>
        <v>Pinça Halstead mosquito reta de 12 cm</v>
      </c>
      <c r="M1412" s="593" t="str">
        <f>IF(H:H=0,"",IF(ISERROR(VLOOKUP(H:H,produtos_escape2!$A$2:$D$2794,2,FALSE)),"Código não cadastrado",(VLOOKUP(H:H,produtos_escape2!$A$2:$D$2794,4,FALSE))))</f>
        <v>UN</v>
      </c>
      <c r="N1412" s="486">
        <v>100</v>
      </c>
      <c r="O1412" s="176" t="s">
        <v>1868</v>
      </c>
      <c r="P1412" s="486">
        <v>0</v>
      </c>
      <c r="Q1412" s="247">
        <v>16.75</v>
      </c>
      <c r="R1412" s="246">
        <f t="shared" si="59"/>
        <v>0</v>
      </c>
      <c r="S1412" s="177">
        <v>44187</v>
      </c>
      <c r="T1412" s="182"/>
      <c r="U1412" s="177"/>
      <c r="V1412" s="177"/>
      <c r="W1412" s="177"/>
      <c r="X1412" s="176"/>
      <c r="Y1412" s="177"/>
      <c r="Z1412" s="415">
        <v>6</v>
      </c>
      <c r="AA1412" s="488" t="s">
        <v>10679</v>
      </c>
      <c r="AB1412" s="594"/>
      <c r="AC1412" s="595"/>
      <c r="AD1412" s="596" t="str">
        <f>IF(AND(AC1412&lt;&gt;"",S1412&lt;&gt;""),NETWORKDAYS(AC1412,S1412,#REF!),"")</f>
        <v/>
      </c>
      <c r="AE1412" s="596" t="str">
        <f ca="1">IF(AND(AD1412="",AC1412=""),"",IF(OR(AD1412&lt;&gt;"",O1412="*CANCELADO"),"",NETWORKDAYS(AC1412,TODAY(),#REF!)))</f>
        <v/>
      </c>
      <c r="AF1412" s="597" t="str">
        <f>IFERROR(INDEX(produtos_escape2!M:M,MATCH(Controle!H1412,produtos_escape2!A:A,0)),"")</f>
        <v>Pinça Halstead mosquito reta de 12 cm</v>
      </c>
    </row>
    <row r="1413" spans="1:32" ht="14.25" customHeight="1">
      <c r="A1413" s="176" t="s">
        <v>9753</v>
      </c>
      <c r="B1413" s="176" t="s">
        <v>3608</v>
      </c>
      <c r="C1413" s="177">
        <v>44181</v>
      </c>
      <c r="D1413" s="176" t="s">
        <v>10626</v>
      </c>
      <c r="E1413" s="176" t="s">
        <v>1866</v>
      </c>
      <c r="F1413" s="259" t="s">
        <v>10627</v>
      </c>
      <c r="G1413" s="176">
        <v>1</v>
      </c>
      <c r="H1413" s="178">
        <v>90482</v>
      </c>
      <c r="I1413" s="592">
        <f t="shared" si="60"/>
        <v>3</v>
      </c>
      <c r="J1413" s="178" t="s">
        <v>816</v>
      </c>
      <c r="K1413" s="178" t="s">
        <v>816</v>
      </c>
      <c r="L1413" s="275" t="str">
        <f>IF(H:H=0,"",IF(ISERROR(VLOOKUP(H:H,produtos_escape2!$A$2:$B$2794,2,FALSE)),"Código não cadastrado",(VLOOKUP(H:H,produtos_escape2!$A$2:$B$2794,2,FALSE))))</f>
        <v>METOCLOPRAMIDA SOLUÇÃO INJETÁVEL 5MG/ML AMPOLA 2 ML</v>
      </c>
      <c r="M1413" s="593" t="str">
        <f>IF(H:H=0,"",IF(ISERROR(VLOOKUP(H:H,produtos_escape2!$A$2:$D$2794,2,FALSE)),"Código não cadastrado",(VLOOKUP(H:H,produtos_escape2!$A$2:$D$2794,4,FALSE))))</f>
        <v>AMP</v>
      </c>
      <c r="N1413" s="486">
        <v>1200</v>
      </c>
      <c r="O1413" s="176" t="s">
        <v>4398</v>
      </c>
      <c r="P1413" s="486">
        <v>1200</v>
      </c>
      <c r="Q1413" s="247">
        <v>0.57999999999999996</v>
      </c>
      <c r="R1413" s="246">
        <f t="shared" si="59"/>
        <v>696</v>
      </c>
      <c r="S1413" s="177">
        <v>44182</v>
      </c>
      <c r="T1413" s="182" t="s">
        <v>10666</v>
      </c>
      <c r="U1413" s="177">
        <v>44183</v>
      </c>
      <c r="V1413" s="177"/>
      <c r="W1413" s="177"/>
      <c r="X1413" s="176" t="s">
        <v>10674</v>
      </c>
      <c r="Y1413" s="177"/>
      <c r="Z1413" s="415">
        <v>6</v>
      </c>
      <c r="AA1413" s="488" t="s">
        <v>10689</v>
      </c>
      <c r="AB1413" s="594"/>
      <c r="AC1413" s="595"/>
      <c r="AD1413" s="596" t="str">
        <f>IF(AND(AC1413&lt;&gt;"",S1413&lt;&gt;""),NETWORKDAYS(AC1413,S1413,#REF!),"")</f>
        <v/>
      </c>
      <c r="AE1413" s="596" t="str">
        <f ca="1">IF(AND(AD1413="",AC1413=""),"",IF(OR(AD1413&lt;&gt;"",O1413="*CANCELADO"),"",NETWORKDAYS(AC1413,TODAY(),#REF!)))</f>
        <v/>
      </c>
      <c r="AF1413" s="597" t="str">
        <f>IFERROR(INDEX(produtos_escape2!M:M,MATCH(Controle!H1413,produtos_escape2!A:A,0)),"")</f>
        <v>METOCLOPRAMIDA SOLUÇÃO INJETÁVEL 5MG/ML AMPOLA 2 ML</v>
      </c>
    </row>
    <row r="1414" spans="1:32" ht="14.25" customHeight="1">
      <c r="A1414" s="176" t="s">
        <v>9753</v>
      </c>
      <c r="B1414" s="176" t="s">
        <v>3608</v>
      </c>
      <c r="C1414" s="177">
        <v>44181</v>
      </c>
      <c r="D1414" s="176" t="s">
        <v>10626</v>
      </c>
      <c r="E1414" s="176" t="s">
        <v>1866</v>
      </c>
      <c r="F1414" s="259" t="s">
        <v>10627</v>
      </c>
      <c r="G1414" s="176">
        <v>2</v>
      </c>
      <c r="H1414" s="178">
        <v>90564</v>
      </c>
      <c r="I1414" s="592">
        <f t="shared" si="60"/>
        <v>2</v>
      </c>
      <c r="J1414" s="178" t="s">
        <v>816</v>
      </c>
      <c r="K1414" s="178" t="s">
        <v>816</v>
      </c>
      <c r="L1414" s="275" t="str">
        <f>IF(H:H=0,"",IF(ISERROR(VLOOKUP(H:H,produtos_escape2!$A$2:$B$2794,2,FALSE)),"Código não cadastrado",(VLOOKUP(H:H,produtos_escape2!$A$2:$B$2794,2,FALSE))))</f>
        <v>GLICONATO DE CALCIO SOLUÇAO INJETAVEL 100 MG/ML AMPOLA 10 ML</v>
      </c>
      <c r="M1414" s="593" t="str">
        <f>IF(H:H=0,"",IF(ISERROR(VLOOKUP(H:H,produtos_escape2!$A$2:$D$2794,2,FALSE)),"Código não cadastrado",(VLOOKUP(H:H,produtos_escape2!$A$2:$D$2794,4,FALSE))))</f>
        <v>AMP</v>
      </c>
      <c r="N1414" s="486">
        <v>400</v>
      </c>
      <c r="O1414" s="176" t="s">
        <v>7371</v>
      </c>
      <c r="P1414" s="486">
        <v>400</v>
      </c>
      <c r="Q1414" s="247">
        <v>1.59</v>
      </c>
      <c r="R1414" s="246">
        <f t="shared" si="59"/>
        <v>636</v>
      </c>
      <c r="S1414" s="177">
        <v>44183</v>
      </c>
      <c r="T1414" s="182">
        <v>416168</v>
      </c>
      <c r="U1414" s="177">
        <v>44183</v>
      </c>
      <c r="V1414" s="177">
        <v>44183</v>
      </c>
      <c r="W1414" s="177">
        <v>44186</v>
      </c>
      <c r="X1414" s="176" t="s">
        <v>10674</v>
      </c>
      <c r="Y1414" s="177"/>
      <c r="Z1414" s="415">
        <v>6</v>
      </c>
      <c r="AA1414" s="488" t="s">
        <v>10689</v>
      </c>
      <c r="AB1414" s="594"/>
      <c r="AC1414" s="595"/>
      <c r="AD1414" s="596" t="str">
        <f>IF(AND(AC1414&lt;&gt;"",S1414&lt;&gt;""),NETWORKDAYS(AC1414,S1414,#REF!),"")</f>
        <v/>
      </c>
      <c r="AE1414" s="596" t="str">
        <f ca="1">IF(AND(AD1414="",AC1414=""),"",IF(OR(AD1414&lt;&gt;"",O1414="*CANCELADO"),"",NETWORKDAYS(AC1414,TODAY(),#REF!)))</f>
        <v/>
      </c>
      <c r="AF1414" s="597" t="str">
        <f>IFERROR(INDEX(produtos_escape2!M:M,MATCH(Controle!H1414,produtos_escape2!A:A,0)),"")</f>
        <v>GLICONATO DE CALCIO SOLUÇAO INJETAVEL 100 MG/ML AMPOLA 10 ML</v>
      </c>
    </row>
    <row r="1415" spans="1:32" ht="14.25" customHeight="1">
      <c r="A1415" s="176" t="s">
        <v>9753</v>
      </c>
      <c r="B1415" s="176" t="s">
        <v>3608</v>
      </c>
      <c r="C1415" s="177">
        <v>44181</v>
      </c>
      <c r="D1415" s="176" t="s">
        <v>10626</v>
      </c>
      <c r="E1415" s="176" t="s">
        <v>1866</v>
      </c>
      <c r="F1415" s="259" t="s">
        <v>10627</v>
      </c>
      <c r="G1415" s="176">
        <v>3</v>
      </c>
      <c r="H1415" s="178">
        <v>90914</v>
      </c>
      <c r="I1415" s="592">
        <f t="shared" si="60"/>
        <v>5</v>
      </c>
      <c r="J1415" s="178" t="s">
        <v>816</v>
      </c>
      <c r="K1415" s="178" t="s">
        <v>816</v>
      </c>
      <c r="L1415" s="275" t="str">
        <f>IF(H:H=0,"",IF(ISERROR(VLOOKUP(H:H,produtos_escape2!$A$2:$B$2794,2,FALSE)),"Código não cadastrado",(VLOOKUP(H:H,produtos_escape2!$A$2:$B$2794,2,FALSE))))</f>
        <v>SULFAMETOXAZOL + TRIMETROPIMA SOLUCAO INJETAVEL (400 MG + 80 MG)/5 ML AMPOLA 5 ML.</v>
      </c>
      <c r="M1415" s="593" t="str">
        <f>IF(H:H=0,"",IF(ISERROR(VLOOKUP(H:H,produtos_escape2!$A$2:$D$2794,2,FALSE)),"Código não cadastrado",(VLOOKUP(H:H,produtos_escape2!$A$2:$D$2794,4,FALSE))))</f>
        <v>AMP</v>
      </c>
      <c r="N1415" s="486">
        <v>400</v>
      </c>
      <c r="O1415" s="176" t="s">
        <v>1868</v>
      </c>
      <c r="P1415" s="486"/>
      <c r="Q1415" s="247"/>
      <c r="R1415" s="246">
        <f t="shared" si="59"/>
        <v>0</v>
      </c>
      <c r="S1415" s="177">
        <v>44182</v>
      </c>
      <c r="T1415" s="182"/>
      <c r="U1415" s="177"/>
      <c r="V1415" s="177"/>
      <c r="W1415" s="177"/>
      <c r="X1415" s="176"/>
      <c r="Y1415" s="177"/>
      <c r="Z1415" s="415">
        <v>6</v>
      </c>
      <c r="AA1415" s="488" t="s">
        <v>7474</v>
      </c>
      <c r="AB1415" s="594"/>
      <c r="AC1415" s="595"/>
      <c r="AD1415" s="596" t="str">
        <f>IF(AND(AC1415&lt;&gt;"",S1415&lt;&gt;""),NETWORKDAYS(AC1415,S1415,#REF!),"")</f>
        <v/>
      </c>
      <c r="AE1415" s="596" t="str">
        <f ca="1">IF(AND(AD1415="",AC1415=""),"",IF(OR(AD1415&lt;&gt;"",O1415="*CANCELADO"),"",NETWORKDAYS(AC1415,TODAY(),#REF!)))</f>
        <v/>
      </c>
      <c r="AF1415" s="597" t="str">
        <f>IFERROR(INDEX(produtos_escape2!M:M,MATCH(Controle!H1415,produtos_escape2!A:A,0)),"")</f>
        <v>SULFAMETOXAZOL + TRIMETROPIMA SOLUCAO INJETAVEL (400 MG + 80 MG)/5 ML AMPOLA 5 ML</v>
      </c>
    </row>
    <row r="1416" spans="1:32" ht="14.25" customHeight="1">
      <c r="A1416" s="176" t="s">
        <v>9753</v>
      </c>
      <c r="B1416" s="176" t="s">
        <v>3608</v>
      </c>
      <c r="C1416" s="177">
        <v>44181</v>
      </c>
      <c r="D1416" s="176" t="s">
        <v>10626</v>
      </c>
      <c r="E1416" s="176" t="s">
        <v>1866</v>
      </c>
      <c r="F1416" s="259" t="s">
        <v>10627</v>
      </c>
      <c r="G1416" s="176">
        <v>4</v>
      </c>
      <c r="H1416" s="178">
        <v>90255</v>
      </c>
      <c r="I1416" s="592">
        <f t="shared" si="60"/>
        <v>8</v>
      </c>
      <c r="J1416" s="178" t="s">
        <v>816</v>
      </c>
      <c r="K1416" s="178" t="s">
        <v>816</v>
      </c>
      <c r="L1416" s="275" t="str">
        <f>IF(H:H=0,"",IF(ISERROR(VLOOKUP(H:H,produtos_escape2!$A$2:$B$2794,2,FALSE)),"Código não cadastrado",(VLOOKUP(H:H,produtos_escape2!$A$2:$B$2794,2,FALSE))))</f>
        <v>BROMOPRIDA SOLUCAO INJETAVEL 5MG/ML AMPOLA 2ML</v>
      </c>
      <c r="M1416" s="593" t="str">
        <f>IF(H:H=0,"",IF(ISERROR(VLOOKUP(H:H,produtos_escape2!$A$2:$D$2794,2,FALSE)),"Código não cadastrado",(VLOOKUP(H:H,produtos_escape2!$A$2:$D$2794,4,FALSE))))</f>
        <v>AMP</v>
      </c>
      <c r="N1416" s="486">
        <v>1000</v>
      </c>
      <c r="O1416" s="176" t="s">
        <v>2989</v>
      </c>
      <c r="P1416" s="486">
        <v>1000</v>
      </c>
      <c r="Q1416" s="247">
        <v>1.1299999999999999</v>
      </c>
      <c r="R1416" s="246">
        <f t="shared" si="59"/>
        <v>1130</v>
      </c>
      <c r="S1416" s="177">
        <v>44182</v>
      </c>
      <c r="T1416" s="182"/>
      <c r="U1416" s="177"/>
      <c r="V1416" s="177"/>
      <c r="W1416" s="177"/>
      <c r="X1416" s="176"/>
      <c r="Y1416" s="177"/>
      <c r="Z1416" s="415">
        <v>6</v>
      </c>
      <c r="AA1416" s="488" t="s">
        <v>10689</v>
      </c>
      <c r="AB1416" s="594"/>
      <c r="AC1416" s="595"/>
      <c r="AD1416" s="596" t="str">
        <f>IF(AND(AC1416&lt;&gt;"",S1416&lt;&gt;""),NETWORKDAYS(AC1416,S1416,#REF!),"")</f>
        <v/>
      </c>
      <c r="AE1416" s="596" t="str">
        <f ca="1">IF(AND(AD1416="",AC1416=""),"",IF(OR(AD1416&lt;&gt;"",O1416="*CANCELADO"),"",NETWORKDAYS(AC1416,TODAY(),#REF!)))</f>
        <v/>
      </c>
      <c r="AF1416" s="597" t="str">
        <f>IFERROR(INDEX(produtos_escape2!M:M,MATCH(Controle!H1416,produtos_escape2!A:A,0)),"")</f>
        <v>BROMOPRIDA</v>
      </c>
    </row>
    <row r="1417" spans="1:32" ht="14.25" customHeight="1">
      <c r="A1417" s="176" t="s">
        <v>9747</v>
      </c>
      <c r="B1417" s="176" t="s">
        <v>3608</v>
      </c>
      <c r="C1417" s="177">
        <v>44181</v>
      </c>
      <c r="D1417" s="176" t="s">
        <v>10628</v>
      </c>
      <c r="E1417" s="176" t="s">
        <v>1866</v>
      </c>
      <c r="F1417" s="259" t="s">
        <v>10629</v>
      </c>
      <c r="G1417" s="176">
        <v>1</v>
      </c>
      <c r="H1417" s="178">
        <v>90192</v>
      </c>
      <c r="I1417" s="592">
        <f t="shared" si="60"/>
        <v>3</v>
      </c>
      <c r="J1417" s="178" t="s">
        <v>816</v>
      </c>
      <c r="K1417" s="178" t="s">
        <v>816</v>
      </c>
      <c r="L1417" s="275" t="str">
        <f>IF(H:H=0,"",IF(ISERROR(VLOOKUP(H:H,produtos_escape2!$A$2:$B$2794,2,FALSE)),"Código não cadastrado",(VLOOKUP(H:H,produtos_escape2!$A$2:$B$2794,2,FALSE))))</f>
        <v>MORFINA SOLUCAO INJETAVEL 1 MG/ML AMPOLA 2 ML</v>
      </c>
      <c r="M1417" s="593" t="str">
        <f>IF(H:H=0,"",IF(ISERROR(VLOOKUP(H:H,produtos_escape2!$A$2:$D$2794,2,FALSE)),"Código não cadastrado",(VLOOKUP(H:H,produtos_escape2!$A$2:$D$2794,4,FALSE))))</f>
        <v>AMP</v>
      </c>
      <c r="N1417" s="486">
        <v>50</v>
      </c>
      <c r="O1417" s="176" t="s">
        <v>7371</v>
      </c>
      <c r="P1417" s="486">
        <v>50</v>
      </c>
      <c r="Q1417" s="247">
        <v>5.26</v>
      </c>
      <c r="R1417" s="246">
        <f t="shared" si="59"/>
        <v>263</v>
      </c>
      <c r="S1417" s="177">
        <v>44182</v>
      </c>
      <c r="T1417" s="182">
        <v>416213</v>
      </c>
      <c r="U1417" s="177">
        <v>44183</v>
      </c>
      <c r="V1417" s="177">
        <v>44183</v>
      </c>
      <c r="W1417" s="177">
        <v>44186</v>
      </c>
      <c r="X1417" s="176" t="s">
        <v>10674</v>
      </c>
      <c r="Y1417" s="177"/>
      <c r="Z1417" s="415">
        <v>6</v>
      </c>
      <c r="AA1417" s="488" t="s">
        <v>10689</v>
      </c>
      <c r="AB1417" s="594"/>
      <c r="AC1417" s="595"/>
      <c r="AD1417" s="596" t="str">
        <f>IF(AND(AC1417&lt;&gt;"",S1417&lt;&gt;""),NETWORKDAYS(AC1417,S1417,#REF!),"")</f>
        <v/>
      </c>
      <c r="AE1417" s="596" t="str">
        <f ca="1">IF(AND(AD1417="",AC1417=""),"",IF(OR(AD1417&lt;&gt;"",O1417="*CANCELADO"),"",NETWORKDAYS(AC1417,TODAY(),#REF!)))</f>
        <v/>
      </c>
      <c r="AF1417" s="597" t="str">
        <f>IFERROR(INDEX(produtos_escape2!M:M,MATCH(Controle!H1417,produtos_escape2!A:A,0)),"")</f>
        <v>MORFINA SOLUÇÃO INJETAVEL</v>
      </c>
    </row>
    <row r="1418" spans="1:32" ht="14.25" customHeight="1">
      <c r="A1418" s="176" t="s">
        <v>9743</v>
      </c>
      <c r="B1418" s="176" t="s">
        <v>3608</v>
      </c>
      <c r="C1418" s="177">
        <v>44181</v>
      </c>
      <c r="D1418" s="176" t="s">
        <v>10630</v>
      </c>
      <c r="E1418" s="176" t="s">
        <v>1866</v>
      </c>
      <c r="F1418" s="259" t="s">
        <v>10631</v>
      </c>
      <c r="G1418" s="176">
        <v>1</v>
      </c>
      <c r="H1418" s="178">
        <v>90959</v>
      </c>
      <c r="I1418" s="592">
        <f t="shared" si="60"/>
        <v>1</v>
      </c>
      <c r="J1418" s="178" t="s">
        <v>816</v>
      </c>
      <c r="K1418" s="178" t="s">
        <v>816</v>
      </c>
      <c r="L1418" s="275" t="str">
        <f>IF(H:H=0,"",IF(ISERROR(VLOOKUP(H:H,produtos_escape2!$A$2:$B$2794,2,FALSE)),"Código não cadastrado",(VLOOKUP(H:H,produtos_escape2!$A$2:$B$2794,2,FALSE))))</f>
        <v>FENTANILA SOLUÇAO INJETAVEL 0,05 MG/ML FRASCO-AMPOLA 10 ML</v>
      </c>
      <c r="M1418" s="593" t="str">
        <f>IF(H:H=0,"",IF(ISERROR(VLOOKUP(H:H,produtos_escape2!$A$2:$D$2794,2,FALSE)),"Código não cadastrado",(VLOOKUP(H:H,produtos_escape2!$A$2:$D$2794,4,FALSE))))</f>
        <v>AMP</v>
      </c>
      <c r="N1418" s="486">
        <v>4000</v>
      </c>
      <c r="O1418" s="176" t="s">
        <v>7896</v>
      </c>
      <c r="P1418" s="486">
        <v>3000</v>
      </c>
      <c r="Q1418" s="247">
        <v>7.42</v>
      </c>
      <c r="R1418" s="246">
        <f t="shared" si="59"/>
        <v>22260</v>
      </c>
      <c r="S1418" s="177">
        <v>44186</v>
      </c>
      <c r="T1418" s="182">
        <v>48575</v>
      </c>
      <c r="U1418" s="177">
        <v>44186</v>
      </c>
      <c r="V1418" s="177">
        <v>44187</v>
      </c>
      <c r="W1418" s="177">
        <v>44187</v>
      </c>
      <c r="X1418" s="176" t="s">
        <v>10674</v>
      </c>
      <c r="Y1418" s="177"/>
      <c r="Z1418" s="415">
        <v>6</v>
      </c>
      <c r="AA1418" s="488" t="s">
        <v>10689</v>
      </c>
      <c r="AB1418" s="594"/>
      <c r="AC1418" s="595"/>
      <c r="AD1418" s="596" t="str">
        <f>IF(AND(AC1418&lt;&gt;"",S1418&lt;&gt;""),NETWORKDAYS(AC1418,S1418,#REF!),"")</f>
        <v/>
      </c>
      <c r="AE1418" s="596" t="str">
        <f ca="1">IF(AND(AD1418="",AC1418=""),"",IF(OR(AD1418&lt;&gt;"",O1418="*CANCELADO"),"",NETWORKDAYS(AC1418,TODAY(),#REF!)))</f>
        <v/>
      </c>
      <c r="AF1418" s="597" t="str">
        <f>IFERROR(INDEX(produtos_escape2!M:M,MATCH(Controle!H1418,produtos_escape2!A:A,0)),"")</f>
        <v>FENTANILA SOLUÇAO INJETAVEL 0</v>
      </c>
    </row>
    <row r="1419" spans="1:32" ht="14.25" customHeight="1">
      <c r="A1419" s="176" t="s">
        <v>9749</v>
      </c>
      <c r="B1419" s="176" t="s">
        <v>3608</v>
      </c>
      <c r="C1419" s="177">
        <v>44181</v>
      </c>
      <c r="D1419" s="176" t="s">
        <v>10632</v>
      </c>
      <c r="E1419" s="176" t="s">
        <v>1866</v>
      </c>
      <c r="F1419" s="259" t="s">
        <v>10633</v>
      </c>
      <c r="G1419" s="176">
        <v>1</v>
      </c>
      <c r="H1419" s="178">
        <v>90552</v>
      </c>
      <c r="I1419" s="592">
        <f t="shared" si="60"/>
        <v>6</v>
      </c>
      <c r="J1419" s="178" t="s">
        <v>816</v>
      </c>
      <c r="K1419" s="178" t="s">
        <v>816</v>
      </c>
      <c r="L1419" s="275" t="str">
        <f>IF(H:H=0,"",IF(ISERROR(VLOOKUP(H:H,produtos_escape2!$A$2:$B$2794,2,FALSE)),"Código não cadastrado",(VLOOKUP(H:H,produtos_escape2!$A$2:$B$2794,2,FALSE))))</f>
        <v>CLORETO DE POTASSIO SOLUCAO INJETAVEL 10 % (1,34 MEQ/ML) AMPOLA 10 ML</v>
      </c>
      <c r="M1419" s="593" t="str">
        <f>IF(H:H=0,"",IF(ISERROR(VLOOKUP(H:H,produtos_escape2!$A$2:$D$2794,2,FALSE)),"Código não cadastrado",(VLOOKUP(H:H,produtos_escape2!$A$2:$D$2794,4,FALSE))))</f>
        <v>AMP</v>
      </c>
      <c r="N1419" s="486">
        <v>1000</v>
      </c>
      <c r="O1419" s="176" t="s">
        <v>9981</v>
      </c>
      <c r="P1419" s="486">
        <v>1000</v>
      </c>
      <c r="Q1419" s="247">
        <v>0.3301</v>
      </c>
      <c r="R1419" s="246">
        <f t="shared" si="59"/>
        <v>330.1</v>
      </c>
      <c r="S1419" s="177">
        <v>44182</v>
      </c>
      <c r="T1419" s="182" t="s">
        <v>10669</v>
      </c>
      <c r="U1419" s="177">
        <v>44186</v>
      </c>
      <c r="V1419" s="177"/>
      <c r="W1419" s="177"/>
      <c r="X1419" s="176" t="s">
        <v>10674</v>
      </c>
      <c r="Y1419" s="177"/>
      <c r="Z1419" s="415">
        <v>6</v>
      </c>
      <c r="AA1419" s="488" t="s">
        <v>10689</v>
      </c>
      <c r="AB1419" s="594"/>
      <c r="AC1419" s="595"/>
      <c r="AD1419" s="596" t="str">
        <f>IF(AND(AC1419&lt;&gt;"",S1419&lt;&gt;""),NETWORKDAYS(AC1419,S1419,#REF!),"")</f>
        <v/>
      </c>
      <c r="AE1419" s="596" t="str">
        <f ca="1">IF(AND(AD1419="",AC1419=""),"",IF(OR(AD1419&lt;&gt;"",O1419="*CANCELADO"),"",NETWORKDAYS(AC1419,TODAY(),#REF!)))</f>
        <v/>
      </c>
      <c r="AF1419" s="597" t="str">
        <f>IFERROR(INDEX(produtos_escape2!M:M,MATCH(Controle!H1419,produtos_escape2!A:A,0)),"")</f>
        <v xml:space="preserve"> CLORETO DE POTASSIO SOLUCAO INJETAVEL 10 % (1</v>
      </c>
    </row>
    <row r="1420" spans="1:32" ht="14.25" customHeight="1">
      <c r="A1420" s="176" t="s">
        <v>9749</v>
      </c>
      <c r="B1420" s="176" t="s">
        <v>3608</v>
      </c>
      <c r="C1420" s="177">
        <v>44181</v>
      </c>
      <c r="D1420" s="176" t="s">
        <v>10632</v>
      </c>
      <c r="E1420" s="176" t="s">
        <v>1866</v>
      </c>
      <c r="F1420" s="259" t="s">
        <v>10633</v>
      </c>
      <c r="G1420" s="176">
        <v>2</v>
      </c>
      <c r="H1420" s="178">
        <v>90610</v>
      </c>
      <c r="I1420" s="592">
        <f t="shared" si="60"/>
        <v>11</v>
      </c>
      <c r="J1420" s="178" t="s">
        <v>816</v>
      </c>
      <c r="K1420" s="178" t="s">
        <v>816</v>
      </c>
      <c r="L1420" s="275" t="str">
        <f>IF(H:H=0,"",IF(ISERROR(VLOOKUP(H:H,produtos_escape2!$A$2:$B$2794,2,FALSE)),"Código não cadastrado",(VLOOKUP(H:H,produtos_escape2!$A$2:$B$2794,2,FALSE))))</f>
        <v>HEPARINA SODICA SOLUÇAO INJETAVEL 5000 UI/ML FRASCO AMPOLA 5 ML</v>
      </c>
      <c r="M1420" s="593" t="str">
        <f>IF(H:H=0,"",IF(ISERROR(VLOOKUP(H:H,produtos_escape2!$A$2:$D$2794,2,FALSE)),"Código não cadastrado",(VLOOKUP(H:H,produtos_escape2!$A$2:$D$2794,4,FALSE))))</f>
        <v>FA</v>
      </c>
      <c r="N1420" s="486">
        <v>300</v>
      </c>
      <c r="O1420" s="176" t="s">
        <v>2989</v>
      </c>
      <c r="P1420" s="486">
        <v>275</v>
      </c>
      <c r="Q1420" s="247">
        <v>22.8</v>
      </c>
      <c r="R1420" s="246">
        <f t="shared" si="59"/>
        <v>6270</v>
      </c>
      <c r="S1420" s="177">
        <v>44182</v>
      </c>
      <c r="T1420" s="182"/>
      <c r="U1420" s="177"/>
      <c r="V1420" s="177"/>
      <c r="W1420" s="177"/>
      <c r="X1420" s="176"/>
      <c r="Y1420" s="177"/>
      <c r="Z1420" s="415">
        <v>6</v>
      </c>
      <c r="AA1420" s="488" t="s">
        <v>10720</v>
      </c>
      <c r="AB1420" s="594"/>
      <c r="AC1420" s="595"/>
      <c r="AD1420" s="596" t="str">
        <f>IF(AND(AC1420&lt;&gt;"",S1420&lt;&gt;""),NETWORKDAYS(AC1420,S1420,#REF!),"")</f>
        <v/>
      </c>
      <c r="AE1420" s="596" t="str">
        <f ca="1">IF(AND(AD1420="",AC1420=""),"",IF(OR(AD1420&lt;&gt;"",O1420="*CANCELADO"),"",NETWORKDAYS(AC1420,TODAY(),#REF!)))</f>
        <v/>
      </c>
      <c r="AF1420" s="597" t="str">
        <f>IFERROR(INDEX(produtos_escape2!M:M,MATCH(Controle!H1420,produtos_escape2!A:A,0)),"")</f>
        <v>HEPARINA SODICA SOLUÇAO INJETAVEL 5000 UI/ML FRASCO AMPOLA 5 ML</v>
      </c>
    </row>
    <row r="1421" spans="1:32" ht="14.25" customHeight="1">
      <c r="A1421" s="176" t="s">
        <v>9749</v>
      </c>
      <c r="B1421" s="176" t="s">
        <v>3608</v>
      </c>
      <c r="C1421" s="177">
        <v>44181</v>
      </c>
      <c r="D1421" s="176" t="s">
        <v>10632</v>
      </c>
      <c r="E1421" s="176" t="s">
        <v>1866</v>
      </c>
      <c r="F1421" s="259" t="s">
        <v>10633</v>
      </c>
      <c r="G1421" s="176">
        <v>3</v>
      </c>
      <c r="H1421" s="178">
        <v>18929</v>
      </c>
      <c r="I1421" s="592">
        <f t="shared" si="60"/>
        <v>4</v>
      </c>
      <c r="J1421" s="178" t="s">
        <v>816</v>
      </c>
      <c r="K1421" s="178" t="s">
        <v>816</v>
      </c>
      <c r="L1421" s="275" t="str">
        <f>IF(H:H=0,"",IF(ISERROR(VLOOKUP(H:H,produtos_escape2!$A$2:$B$2794,2,FALSE)),"Código não cadastrado",(VLOOKUP(H:H,produtos_escape2!$A$2:$B$2794,2,FALSE))))</f>
        <v>CLONIDINA (CLORIDRATO) SOLUÇAO INJETAVEL 150 MCG AMPOLA DE 1 ML</v>
      </c>
      <c r="M1421" s="593" t="str">
        <f>IF(H:H=0,"",IF(ISERROR(VLOOKUP(H:H,produtos_escape2!$A$2:$D$2794,2,FALSE)),"Código não cadastrado",(VLOOKUP(H:H,produtos_escape2!$A$2:$D$2794,4,FALSE))))</f>
        <v>UN</v>
      </c>
      <c r="N1421" s="486">
        <v>100</v>
      </c>
      <c r="O1421" s="176" t="s">
        <v>7371</v>
      </c>
      <c r="P1421" s="486">
        <v>90</v>
      </c>
      <c r="Q1421" s="247">
        <v>7.1</v>
      </c>
      <c r="R1421" s="246">
        <f t="shared" si="59"/>
        <v>639</v>
      </c>
      <c r="S1421" s="177">
        <v>44182</v>
      </c>
      <c r="T1421" s="182">
        <v>416230</v>
      </c>
      <c r="U1421" s="177">
        <v>44183</v>
      </c>
      <c r="V1421" s="177">
        <v>44183</v>
      </c>
      <c r="W1421" s="177">
        <v>44186</v>
      </c>
      <c r="X1421" s="176" t="s">
        <v>10674</v>
      </c>
      <c r="Y1421" s="177"/>
      <c r="Z1421" s="415">
        <v>6</v>
      </c>
      <c r="AA1421" s="488" t="s">
        <v>10721</v>
      </c>
      <c r="AB1421" s="594"/>
      <c r="AC1421" s="595"/>
      <c r="AD1421" s="596" t="str">
        <f>IF(AND(AC1421&lt;&gt;"",S1421&lt;&gt;""),NETWORKDAYS(AC1421,S1421,#REF!),"")</f>
        <v/>
      </c>
      <c r="AE1421" s="596" t="str">
        <f ca="1">IF(AND(AD1421="",AC1421=""),"",IF(OR(AD1421&lt;&gt;"",O1421="*CANCELADO"),"",NETWORKDAYS(AC1421,TODAY(),#REF!)))</f>
        <v/>
      </c>
      <c r="AF1421" s="597" t="str">
        <f>IFERROR(INDEX(produtos_escape2!M:M,MATCH(Controle!H1421,produtos_escape2!A:A,0)),"")</f>
        <v>CLONIDINA (CLORIDRATO) SOLUÇAO INJETAVEL 150 MCG AMPOLA DE 1 ML</v>
      </c>
    </row>
    <row r="1422" spans="1:32" ht="14.25" customHeight="1">
      <c r="A1422" s="176" t="s">
        <v>9749</v>
      </c>
      <c r="B1422" s="176" t="s">
        <v>3608</v>
      </c>
      <c r="C1422" s="177">
        <v>44181</v>
      </c>
      <c r="D1422" s="176" t="s">
        <v>10632</v>
      </c>
      <c r="E1422" s="176" t="s">
        <v>1866</v>
      </c>
      <c r="F1422" s="259" t="s">
        <v>10633</v>
      </c>
      <c r="G1422" s="176">
        <v>4</v>
      </c>
      <c r="H1422" s="178">
        <v>90580</v>
      </c>
      <c r="I1422" s="592">
        <f t="shared" si="60"/>
        <v>7</v>
      </c>
      <c r="J1422" s="178" t="s">
        <v>816</v>
      </c>
      <c r="K1422" s="178" t="s">
        <v>816</v>
      </c>
      <c r="L1422" s="275" t="str">
        <f>IF(H:H=0,"",IF(ISERROR(VLOOKUP(H:H,produtos_escape2!$A$2:$B$2794,2,FALSE)),"Código não cadastrado",(VLOOKUP(H:H,produtos_escape2!$A$2:$B$2794,2,FALSE))))</f>
        <v>AGUA PARA INJETAVEIS AMPOLA 10 ML</v>
      </c>
      <c r="M1422" s="593" t="str">
        <f>IF(H:H=0,"",IF(ISERROR(VLOOKUP(H:H,produtos_escape2!$A$2:$D$2794,2,FALSE)),"Código não cadastrado",(VLOOKUP(H:H,produtos_escape2!$A$2:$D$2794,4,FALSE))))</f>
        <v>AMP</v>
      </c>
      <c r="N1422" s="486">
        <v>16000</v>
      </c>
      <c r="O1422" s="176" t="s">
        <v>2989</v>
      </c>
      <c r="P1422" s="486">
        <v>16000</v>
      </c>
      <c r="Q1422" s="247">
        <v>0.23</v>
      </c>
      <c r="R1422" s="246">
        <f t="shared" si="59"/>
        <v>3680</v>
      </c>
      <c r="S1422" s="177">
        <v>44182</v>
      </c>
      <c r="T1422" s="182"/>
      <c r="U1422" s="177"/>
      <c r="V1422" s="177"/>
      <c r="W1422" s="177"/>
      <c r="X1422" s="176"/>
      <c r="Y1422" s="177"/>
      <c r="Z1422" s="415">
        <v>6</v>
      </c>
      <c r="AA1422" s="488" t="s">
        <v>10689</v>
      </c>
      <c r="AB1422" s="594"/>
      <c r="AC1422" s="595"/>
      <c r="AD1422" s="596" t="str">
        <f>IF(AND(AC1422&lt;&gt;"",S1422&lt;&gt;""),NETWORKDAYS(AC1422,S1422,#REF!),"")</f>
        <v/>
      </c>
      <c r="AE1422" s="596" t="str">
        <f ca="1">IF(AND(AD1422="",AC1422=""),"",IF(OR(AD1422&lt;&gt;"",O1422="*CANCELADO"),"",NETWORKDAYS(AC1422,TODAY(),#REF!)))</f>
        <v/>
      </c>
      <c r="AF1422" s="597" t="str">
        <f>IFERROR(INDEX(produtos_escape2!M:M,MATCH(Controle!H1422,produtos_escape2!A:A,0)),"")</f>
        <v xml:space="preserve"> AGUA PARA INJETAVEIS AMPOLA 10 ML</v>
      </c>
    </row>
    <row r="1423" spans="1:32" ht="14.25" customHeight="1">
      <c r="A1423" s="176" t="s">
        <v>7515</v>
      </c>
      <c r="B1423" s="176" t="s">
        <v>1687</v>
      </c>
      <c r="C1423" s="177">
        <v>44181</v>
      </c>
      <c r="D1423" s="176" t="s">
        <v>10637</v>
      </c>
      <c r="E1423" s="176" t="s">
        <v>3008</v>
      </c>
      <c r="F1423" s="259" t="s">
        <v>10638</v>
      </c>
      <c r="G1423" s="176">
        <v>1</v>
      </c>
      <c r="H1423" s="178" t="s">
        <v>10539</v>
      </c>
      <c r="I1423" s="592">
        <f t="shared" si="60"/>
        <v>2</v>
      </c>
      <c r="J1423" s="178"/>
      <c r="K1423" s="178"/>
      <c r="L1423" s="275" t="str">
        <f>IF(H:H=0,"",IF(ISERROR(VLOOKUP(H:H,produtos_escape2!$A$2:$B$2794,2,FALSE)),"Código não cadastrado",(VLOOKUP(H:H,produtos_escape2!$A$2:$B$2794,2,FALSE))))</f>
        <v>EMENDA PARLAMENTAR DESPESA CAPITAL</v>
      </c>
      <c r="M1423" s="593" t="str">
        <f>IF(H:H=0,"",IF(ISERROR(VLOOKUP(H:H,produtos_escape2!$A$2:$D$2794,2,FALSE)),"Código não cadastrado",(VLOOKUP(H:H,produtos_escape2!$A$2:$D$2794,4,FALSE))))</f>
        <v>Serviço</v>
      </c>
      <c r="N1423" s="486">
        <v>1</v>
      </c>
      <c r="O1423" s="176"/>
      <c r="P1423" s="486"/>
      <c r="Q1423" s="247"/>
      <c r="R1423" s="246">
        <f t="shared" si="59"/>
        <v>0</v>
      </c>
      <c r="S1423" s="177"/>
      <c r="T1423" s="182"/>
      <c r="U1423" s="177"/>
      <c r="V1423" s="177"/>
      <c r="W1423" s="177"/>
      <c r="X1423" s="176"/>
      <c r="Y1423" s="177"/>
      <c r="Z1423" s="415">
        <v>6</v>
      </c>
      <c r="AA1423" s="488" t="s">
        <v>10703</v>
      </c>
      <c r="AB1423" s="594"/>
      <c r="AC1423" s="595"/>
      <c r="AD1423" s="596" t="str">
        <f>IF(AND(AC1423&lt;&gt;"",S1423&lt;&gt;""),NETWORKDAYS(AC1423,S1423,#REF!),"")</f>
        <v/>
      </c>
      <c r="AE1423" s="596" t="str">
        <f ca="1">IF(AND(AD1423="",AC1423=""),"",IF(OR(AD1423&lt;&gt;"",O1423="*CANCELADO"),"",NETWORKDAYS(AC1423,TODAY(),#REF!)))</f>
        <v/>
      </c>
      <c r="AF1423" s="597">
        <f>IFERROR(INDEX(produtos_escape2!M:M,MATCH(Controle!H1423,produtos_escape2!A:A,0)),"")</f>
        <v>0</v>
      </c>
    </row>
    <row r="1424" spans="1:32" ht="14.25" customHeight="1">
      <c r="A1424" s="176" t="s">
        <v>9761</v>
      </c>
      <c r="B1424" s="176" t="s">
        <v>3608</v>
      </c>
      <c r="C1424" s="177">
        <v>44182</v>
      </c>
      <c r="D1424" s="176" t="s">
        <v>10641</v>
      </c>
      <c r="E1424" s="176" t="s">
        <v>3009</v>
      </c>
      <c r="F1424" s="259" t="s">
        <v>10657</v>
      </c>
      <c r="G1424" s="176">
        <v>1</v>
      </c>
      <c r="H1424" s="178">
        <v>90040</v>
      </c>
      <c r="I1424" s="592">
        <f t="shared" si="60"/>
        <v>2</v>
      </c>
      <c r="J1424" s="178"/>
      <c r="K1424" s="178"/>
      <c r="L1424" s="275" t="str">
        <f>IF(H:H=0,"",IF(ISERROR(VLOOKUP(H:H,produtos_escape2!$A$2:$B$2794,2,FALSE)),"Código não cadastrado",(VLOOKUP(H:H,produtos_escape2!$A$2:$B$2794,2,FALSE))))</f>
        <v>CAPTOPRIL COMPRIMIDO SULCADO 25
MG</v>
      </c>
      <c r="M1424" s="593" t="str">
        <f>IF(H:H=0,"",IF(ISERROR(VLOOKUP(H:H,produtos_escape2!$A$2:$D$2794,2,FALSE)),"Código não cadastrado",(VLOOKUP(H:H,produtos_escape2!$A$2:$D$2794,4,FALSE))))</f>
        <v>CP</v>
      </c>
      <c r="N1424" s="486">
        <v>500</v>
      </c>
      <c r="O1424" s="176" t="s">
        <v>2989</v>
      </c>
      <c r="P1424" s="486">
        <v>750</v>
      </c>
      <c r="Q1424" s="247">
        <v>4.9599999999999998E-2</v>
      </c>
      <c r="R1424" s="246">
        <f t="shared" si="59"/>
        <v>37.199999999999996</v>
      </c>
      <c r="S1424" s="177">
        <v>44189</v>
      </c>
      <c r="T1424" s="182"/>
      <c r="U1424" s="177"/>
      <c r="V1424" s="177"/>
      <c r="W1424" s="177"/>
      <c r="X1424" s="176"/>
      <c r="Y1424" s="177"/>
      <c r="Z1424" s="415">
        <v>6</v>
      </c>
      <c r="AA1424" s="488" t="s">
        <v>10690</v>
      </c>
      <c r="AB1424" s="594"/>
      <c r="AC1424" s="595"/>
      <c r="AD1424" s="596" t="str">
        <f>IF(AND(AC1424&lt;&gt;"",S1424&lt;&gt;""),NETWORKDAYS(AC1424,S1424,#REF!),"")</f>
        <v/>
      </c>
      <c r="AE1424" s="596" t="str">
        <f ca="1">IF(AND(AD1424="",AC1424=""),"",IF(OR(AD1424&lt;&gt;"",O1424="*CANCELADO"),"",NETWORKDAYS(AC1424,TODAY(),#REF!)))</f>
        <v/>
      </c>
      <c r="AF1424" s="597" t="str">
        <f>IFERROR(INDEX(produtos_escape2!M:M,MATCH(Controle!H1424,produtos_escape2!A:A,0)),"")</f>
        <v>CAPTOPRIL COMPRIMIDO SULCADO 25</v>
      </c>
    </row>
    <row r="1425" spans="1:32" ht="14.25" customHeight="1">
      <c r="A1425" s="176" t="s">
        <v>9761</v>
      </c>
      <c r="B1425" s="176" t="s">
        <v>3608</v>
      </c>
      <c r="C1425" s="177">
        <v>44182</v>
      </c>
      <c r="D1425" s="176" t="s">
        <v>10641</v>
      </c>
      <c r="E1425" s="176" t="s">
        <v>3009</v>
      </c>
      <c r="F1425" s="259" t="s">
        <v>10657</v>
      </c>
      <c r="G1425" s="176">
        <v>2</v>
      </c>
      <c r="H1425" s="178">
        <v>90106</v>
      </c>
      <c r="I1425" s="592">
        <f t="shared" si="60"/>
        <v>4</v>
      </c>
      <c r="J1425" s="178"/>
      <c r="K1425" s="178"/>
      <c r="L1425" s="275" t="str">
        <f>IF(H:H=0,"",IF(ISERROR(VLOOKUP(H:H,produtos_escape2!$A$2:$B$2794,2,FALSE)),"Código não cadastrado",(VLOOKUP(H:H,produtos_escape2!$A$2:$B$2794,2,FALSE))))</f>
        <v>AZITROMICINA COMPRIMIDO 500 MG</v>
      </c>
      <c r="M1425" s="593" t="str">
        <f>IF(H:H=0,"",IF(ISERROR(VLOOKUP(H:H,produtos_escape2!$A$2:$D$2794,2,FALSE)),"Código não cadastrado",(VLOOKUP(H:H,produtos_escape2!$A$2:$D$2794,4,FALSE))))</f>
        <v>CP</v>
      </c>
      <c r="N1425" s="486">
        <v>500</v>
      </c>
      <c r="O1425" s="176" t="s">
        <v>2989</v>
      </c>
      <c r="P1425" s="486">
        <v>500</v>
      </c>
      <c r="Q1425" s="247">
        <v>1.8167</v>
      </c>
      <c r="R1425" s="246">
        <f t="shared" si="59"/>
        <v>908.35</v>
      </c>
      <c r="S1425" s="177">
        <v>44189</v>
      </c>
      <c r="T1425" s="182"/>
      <c r="U1425" s="177"/>
      <c r="V1425" s="177"/>
      <c r="W1425" s="177"/>
      <c r="X1425" s="176"/>
      <c r="Y1425" s="177"/>
      <c r="Z1425" s="415">
        <v>6</v>
      </c>
      <c r="AA1425" s="488" t="s">
        <v>10690</v>
      </c>
      <c r="AB1425" s="594"/>
      <c r="AC1425" s="595"/>
      <c r="AD1425" s="596" t="str">
        <f>IF(AND(AC1425&lt;&gt;"",S1425&lt;&gt;""),NETWORKDAYS(AC1425,S1425,#REF!),"")</f>
        <v/>
      </c>
      <c r="AE1425" s="596" t="str">
        <f ca="1">IF(AND(AD1425="",AC1425=""),"",IF(OR(AD1425&lt;&gt;"",O1425="*CANCELADO"),"",NETWORKDAYS(AC1425,TODAY(),#REF!)))</f>
        <v/>
      </c>
      <c r="AF1425" s="597" t="str">
        <f>IFERROR(INDEX(produtos_escape2!M:M,MATCH(Controle!H1425,produtos_escape2!A:A,0)),"")</f>
        <v>AZITROMICINA COMPRIMIDO 500 MG</v>
      </c>
    </row>
    <row r="1426" spans="1:32" ht="14.25" customHeight="1">
      <c r="A1426" s="176" t="s">
        <v>9761</v>
      </c>
      <c r="B1426" s="176" t="s">
        <v>3608</v>
      </c>
      <c r="C1426" s="177">
        <v>44182</v>
      </c>
      <c r="D1426" s="176" t="s">
        <v>10641</v>
      </c>
      <c r="E1426" s="176" t="s">
        <v>3009</v>
      </c>
      <c r="F1426" s="259" t="s">
        <v>10657</v>
      </c>
      <c r="G1426" s="176">
        <v>3</v>
      </c>
      <c r="H1426" s="178">
        <v>90841</v>
      </c>
      <c r="I1426" s="592">
        <f t="shared" si="60"/>
        <v>8</v>
      </c>
      <c r="J1426" s="178"/>
      <c r="K1426" s="178"/>
      <c r="L1426" s="275" t="str">
        <f>IF(H:H=0,"",IF(ISERROR(VLOOKUP(H:H,produtos_escape2!$A$2:$B$2794,2,FALSE)),"Código não cadastrado",(VLOOKUP(H:H,produtos_escape2!$A$2:$B$2794,2,FALSE))))</f>
        <v>ATROPINA (SULFATO) SOLUÇAO OFTALMICA 1 % FRASCO 5 ML</v>
      </c>
      <c r="M1426" s="593" t="str">
        <f>IF(H:H=0,"",IF(ISERROR(VLOOKUP(H:H,produtos_escape2!$A$2:$D$2794,2,FALSE)),"Código não cadastrado",(VLOOKUP(H:H,produtos_escape2!$A$2:$D$2794,4,FALSE))))</f>
        <v>FR</v>
      </c>
      <c r="N1426" s="486">
        <v>10</v>
      </c>
      <c r="O1426" s="176" t="s">
        <v>1868</v>
      </c>
      <c r="P1426" s="486"/>
      <c r="Q1426" s="247"/>
      <c r="R1426" s="246">
        <f t="shared" si="59"/>
        <v>0</v>
      </c>
      <c r="S1426" s="177"/>
      <c r="T1426" s="182"/>
      <c r="U1426" s="177"/>
      <c r="V1426" s="177"/>
      <c r="W1426" s="177"/>
      <c r="X1426" s="176"/>
      <c r="Y1426" s="177"/>
      <c r="Z1426" s="415">
        <v>6</v>
      </c>
      <c r="AA1426" s="488" t="s">
        <v>7827</v>
      </c>
      <c r="AB1426" s="594"/>
      <c r="AC1426" s="595"/>
      <c r="AD1426" s="596" t="str">
        <f>IF(AND(AC1426&lt;&gt;"",S1426&lt;&gt;""),NETWORKDAYS(AC1426,S1426,#REF!),"")</f>
        <v/>
      </c>
      <c r="AE1426" s="596" t="str">
        <f ca="1">IF(AND(AD1426="",AC1426=""),"",IF(OR(AD1426&lt;&gt;"",O1426="*CANCELADO"),"",NETWORKDAYS(AC1426,TODAY(),#REF!)))</f>
        <v/>
      </c>
      <c r="AF1426" s="597" t="str">
        <f>IFERROR(INDEX(produtos_escape2!M:M,MATCH(Controle!H1426,produtos_escape2!A:A,0)),"")</f>
        <v>ATROPINA (SULFATO) SOLUÇAO OFTALMICA 1 % FRASCO 5 ML</v>
      </c>
    </row>
    <row r="1427" spans="1:32" ht="14.25" customHeight="1">
      <c r="A1427" s="176" t="s">
        <v>9761</v>
      </c>
      <c r="B1427" s="176" t="s">
        <v>3608</v>
      </c>
      <c r="C1427" s="177">
        <v>44182</v>
      </c>
      <c r="D1427" s="176" t="s">
        <v>10641</v>
      </c>
      <c r="E1427" s="176" t="s">
        <v>3009</v>
      </c>
      <c r="F1427" s="259" t="s">
        <v>10657</v>
      </c>
      <c r="G1427" s="176">
        <v>4</v>
      </c>
      <c r="H1427" s="178">
        <v>90950</v>
      </c>
      <c r="I1427" s="592">
        <f t="shared" si="60"/>
        <v>4</v>
      </c>
      <c r="J1427" s="178"/>
      <c r="K1427" s="178"/>
      <c r="L1427" s="275" t="str">
        <f>IF(H:H=0,"",IF(ISERROR(VLOOKUP(H:H,produtos_escape2!$A$2:$B$2794,2,FALSE)),"Código não cadastrado",(VLOOKUP(H:H,produtos_escape2!$A$2:$B$2794,2,FALSE))))</f>
        <v>ONDANSETRONA COMPRIMIDO 8 MG</v>
      </c>
      <c r="M1427" s="593" t="str">
        <f>IF(H:H=0,"",IF(ISERROR(VLOOKUP(H:H,produtos_escape2!$A$2:$D$2794,2,FALSE)),"Código não cadastrado",(VLOOKUP(H:H,produtos_escape2!$A$2:$D$2794,4,FALSE))))</f>
        <v>CP</v>
      </c>
      <c r="N1427" s="486">
        <v>500</v>
      </c>
      <c r="O1427" s="176" t="s">
        <v>4401</v>
      </c>
      <c r="P1427" s="486">
        <v>500</v>
      </c>
      <c r="Q1427" s="247">
        <v>1.5</v>
      </c>
      <c r="R1427" s="246">
        <f t="shared" si="59"/>
        <v>750</v>
      </c>
      <c r="S1427" s="177">
        <v>44189</v>
      </c>
      <c r="T1427" s="182"/>
      <c r="U1427" s="177"/>
      <c r="V1427" s="177"/>
      <c r="W1427" s="177"/>
      <c r="X1427" s="176"/>
      <c r="Y1427" s="177"/>
      <c r="Z1427" s="415">
        <v>6</v>
      </c>
      <c r="AA1427" s="488" t="s">
        <v>10690</v>
      </c>
      <c r="AB1427" s="594"/>
      <c r="AC1427" s="595"/>
      <c r="AD1427" s="596" t="str">
        <f>IF(AND(AC1427&lt;&gt;"",S1427&lt;&gt;""),NETWORKDAYS(AC1427,S1427,#REF!),"")</f>
        <v/>
      </c>
      <c r="AE1427" s="596" t="str">
        <f ca="1">IF(AND(AD1427="",AC1427=""),"",IF(OR(AD1427&lt;&gt;"",O1427="*CANCELADO"),"",NETWORKDAYS(AC1427,TODAY(),#REF!)))</f>
        <v/>
      </c>
      <c r="AF1427" s="597" t="str">
        <f>IFERROR(INDEX(produtos_escape2!M:M,MATCH(Controle!H1427,produtos_escape2!A:A,0)),"")</f>
        <v>ONDANSETRONA COMPRIMIDO 8 MG</v>
      </c>
    </row>
    <row r="1428" spans="1:32" ht="14.25" customHeight="1">
      <c r="A1428" s="176" t="s">
        <v>9759</v>
      </c>
      <c r="B1428" s="176" t="s">
        <v>3608</v>
      </c>
      <c r="C1428" s="177">
        <v>44182</v>
      </c>
      <c r="D1428" s="176" t="s">
        <v>10642</v>
      </c>
      <c r="E1428" s="176" t="s">
        <v>3009</v>
      </c>
      <c r="F1428" s="259" t="s">
        <v>10643</v>
      </c>
      <c r="G1428" s="176">
        <v>1</v>
      </c>
      <c r="H1428" s="178">
        <v>90032</v>
      </c>
      <c r="I1428" s="592">
        <f t="shared" si="60"/>
        <v>11</v>
      </c>
      <c r="J1428" s="178"/>
      <c r="K1428" s="178"/>
      <c r="L1428" s="275" t="str">
        <f>IF(H:H=0,"",IF(ISERROR(VLOOKUP(H:H,produtos_escape2!$A$2:$B$2794,2,FALSE)),"Código não cadastrado",(VLOOKUP(H:H,produtos_escape2!$A$2:$B$2794,2,FALSE))))</f>
        <v>CISATRACURIO (BESILATO) SOLUCAO INJETAVEL 2 MG/ML AMPOLA 5 ML</v>
      </c>
      <c r="M1428" s="593" t="str">
        <f>IF(H:H=0,"",IF(ISERROR(VLOOKUP(H:H,produtos_escape2!$A$2:$D$2794,2,FALSE)),"Código não cadastrado",(VLOOKUP(H:H,produtos_escape2!$A$2:$D$2794,4,FALSE))))</f>
        <v>AMP</v>
      </c>
      <c r="N1428" s="486">
        <v>300</v>
      </c>
      <c r="O1428" s="176" t="s">
        <v>1868</v>
      </c>
      <c r="P1428" s="486"/>
      <c r="Q1428" s="247"/>
      <c r="R1428" s="246">
        <f t="shared" si="59"/>
        <v>0</v>
      </c>
      <c r="S1428" s="177"/>
      <c r="T1428" s="182"/>
      <c r="U1428" s="177"/>
      <c r="V1428" s="177"/>
      <c r="W1428" s="177"/>
      <c r="X1428" s="176"/>
      <c r="Y1428" s="177"/>
      <c r="Z1428" s="415">
        <v>6</v>
      </c>
      <c r="AA1428" s="488" t="s">
        <v>8201</v>
      </c>
      <c r="AB1428" s="594"/>
      <c r="AC1428" s="595"/>
      <c r="AD1428" s="596" t="str">
        <f>IF(AND(AC1428&lt;&gt;"",S1428&lt;&gt;""),NETWORKDAYS(AC1428,S1428,#REF!),"")</f>
        <v/>
      </c>
      <c r="AE1428" s="596" t="str">
        <f ca="1">IF(AND(AD1428="",AC1428=""),"",IF(OR(AD1428&lt;&gt;"",O1428="*CANCELADO"),"",NETWORKDAYS(AC1428,TODAY(),#REF!)))</f>
        <v/>
      </c>
      <c r="AF1428" s="597" t="str">
        <f>IFERROR(INDEX(produtos_escape2!M:M,MATCH(Controle!H1428,produtos_escape2!A:A,0)),"")</f>
        <v>CISATRACURIO (BESILATO) SOLUCAO INJETAVEL 2 MG/ML AMPOLA 5 ML</v>
      </c>
    </row>
    <row r="1429" spans="1:32" ht="14.25" customHeight="1">
      <c r="A1429" s="176" t="s">
        <v>9759</v>
      </c>
      <c r="B1429" s="176" t="s">
        <v>3608</v>
      </c>
      <c r="C1429" s="177">
        <v>44182</v>
      </c>
      <c r="D1429" s="176" t="s">
        <v>10642</v>
      </c>
      <c r="E1429" s="176" t="s">
        <v>3009</v>
      </c>
      <c r="F1429" s="259" t="s">
        <v>10643</v>
      </c>
      <c r="G1429" s="176">
        <v>2</v>
      </c>
      <c r="H1429" s="178">
        <v>90458</v>
      </c>
      <c r="I1429" s="592">
        <f t="shared" si="60"/>
        <v>7</v>
      </c>
      <c r="J1429" s="178"/>
      <c r="K1429" s="178"/>
      <c r="L1429" s="275" t="str">
        <f>IF(H:H=0,"",IF(ISERROR(VLOOKUP(H:H,produtos_escape2!$A$2:$B$2794,2,FALSE)),"Código não cadastrado",(VLOOKUP(H:H,produtos_escape2!$A$2:$B$2794,2,FALSE))))</f>
        <v>ROCURÔNIO SOLUÇÃO INJETÁVEL 10 MG/ML FRASCO AMPOLA 5ML</v>
      </c>
      <c r="M1429" s="593" t="str">
        <f>IF(H:H=0,"",IF(ISERROR(VLOOKUP(H:H,produtos_escape2!$A$2:$D$2794,2,FALSE)),"Código não cadastrado",(VLOOKUP(H:H,produtos_escape2!$A$2:$D$2794,4,FALSE))))</f>
        <v>FA</v>
      </c>
      <c r="N1429" s="486">
        <v>400</v>
      </c>
      <c r="O1429" s="176" t="s">
        <v>4401</v>
      </c>
      <c r="P1429" s="486">
        <v>400</v>
      </c>
      <c r="Q1429" s="247">
        <v>21.5</v>
      </c>
      <c r="R1429" s="246">
        <f t="shared" si="59"/>
        <v>8600</v>
      </c>
      <c r="S1429" s="177">
        <v>44189</v>
      </c>
      <c r="T1429" s="182"/>
      <c r="U1429" s="177"/>
      <c r="V1429" s="177"/>
      <c r="W1429" s="177"/>
      <c r="X1429" s="176"/>
      <c r="Y1429" s="177"/>
      <c r="Z1429" s="415">
        <v>6</v>
      </c>
      <c r="AA1429" s="488" t="s">
        <v>10720</v>
      </c>
      <c r="AB1429" s="594"/>
      <c r="AC1429" s="595"/>
      <c r="AD1429" s="596" t="str">
        <f>IF(AND(AC1429&lt;&gt;"",S1429&lt;&gt;""),NETWORKDAYS(AC1429,S1429,#REF!),"")</f>
        <v/>
      </c>
      <c r="AE1429" s="596" t="str">
        <f ca="1">IF(AND(AD1429="",AC1429=""),"",IF(OR(AD1429&lt;&gt;"",O1429="*CANCELADO"),"",NETWORKDAYS(AC1429,TODAY(),#REF!)))</f>
        <v/>
      </c>
      <c r="AF1429" s="597" t="str">
        <f>IFERROR(INDEX(produtos_escape2!M:M,MATCH(Controle!H1429,produtos_escape2!A:A,0)),"")</f>
        <v>ROCURÔNIO SOLUÇÃO INJETÁVEL 10 MG/ML FRASCO AMPOLA 5ML</v>
      </c>
    </row>
    <row r="1430" spans="1:32" ht="14.25" customHeight="1">
      <c r="A1430" s="176" t="s">
        <v>9759</v>
      </c>
      <c r="B1430" s="176" t="s">
        <v>3608</v>
      </c>
      <c r="C1430" s="177">
        <v>44182</v>
      </c>
      <c r="D1430" s="176" t="s">
        <v>10642</v>
      </c>
      <c r="E1430" s="176" t="s">
        <v>3009</v>
      </c>
      <c r="F1430" s="259" t="s">
        <v>10643</v>
      </c>
      <c r="G1430" s="176">
        <v>3</v>
      </c>
      <c r="H1430" s="178">
        <v>90221</v>
      </c>
      <c r="I1430" s="592">
        <f t="shared" si="60"/>
        <v>4</v>
      </c>
      <c r="J1430" s="178"/>
      <c r="K1430" s="178"/>
      <c r="L1430" s="275" t="str">
        <f>IF(H:H=0,"",IF(ISERROR(VLOOKUP(H:H,produtos_escape2!$A$2:$B$2794,2,FALSE)),"Código não cadastrado",(VLOOKUP(H:H,produtos_escape2!$A$2:$B$2794,2,FALSE))))</f>
        <v>PANCURONIO (BROMETO) SOLUCAO INJETAVEL 2 MG/ML AMPOLA 2 ML</v>
      </c>
      <c r="M1430" s="593" t="str">
        <f>IF(H:H=0,"",IF(ISERROR(VLOOKUP(H:H,produtos_escape2!$A$2:$D$2794,2,FALSE)),"Código não cadastrado",(VLOOKUP(H:H,produtos_escape2!$A$2:$D$2794,4,FALSE))))</f>
        <v>AMP</v>
      </c>
      <c r="N1430" s="486">
        <v>200</v>
      </c>
      <c r="O1430" s="176" t="s">
        <v>4401</v>
      </c>
      <c r="P1430" s="486">
        <v>200</v>
      </c>
      <c r="Q1430" s="247">
        <v>9.4</v>
      </c>
      <c r="R1430" s="246">
        <f t="shared" si="59"/>
        <v>1880</v>
      </c>
      <c r="S1430" s="177">
        <v>44189</v>
      </c>
      <c r="T1430" s="182"/>
      <c r="U1430" s="177"/>
      <c r="V1430" s="177"/>
      <c r="W1430" s="177"/>
      <c r="X1430" s="176"/>
      <c r="Y1430" s="177"/>
      <c r="Z1430" s="415">
        <v>6</v>
      </c>
      <c r="AA1430" s="488" t="s">
        <v>10689</v>
      </c>
      <c r="AB1430" s="594"/>
      <c r="AC1430" s="595"/>
      <c r="AD1430" s="596" t="str">
        <f>IF(AND(AC1430&lt;&gt;"",S1430&lt;&gt;""),NETWORKDAYS(AC1430,S1430,#REF!),"")</f>
        <v/>
      </c>
      <c r="AE1430" s="596" t="str">
        <f ca="1">IF(AND(AD1430="",AC1430=""),"",IF(OR(AD1430&lt;&gt;"",O1430="*CANCELADO"),"",NETWORKDAYS(AC1430,TODAY(),#REF!)))</f>
        <v/>
      </c>
      <c r="AF1430" s="597" t="str">
        <f>IFERROR(INDEX(produtos_escape2!M:M,MATCH(Controle!H1430,produtos_escape2!A:A,0)),"")</f>
        <v>PANCURONIO (BROMETO) SOLUCAO INJETAVEL 2 MG/ML AMPOLA 2 ML</v>
      </c>
    </row>
    <row r="1431" spans="1:32" ht="14.25" customHeight="1">
      <c r="A1431" s="176" t="s">
        <v>8350</v>
      </c>
      <c r="B1431" s="176" t="s">
        <v>7207</v>
      </c>
      <c r="C1431" s="177">
        <v>44182</v>
      </c>
      <c r="D1431" s="176" t="s">
        <v>10644</v>
      </c>
      <c r="E1431" s="176" t="s">
        <v>3008</v>
      </c>
      <c r="F1431" s="259" t="s">
        <v>10645</v>
      </c>
      <c r="G1431" s="176">
        <v>1</v>
      </c>
      <c r="H1431" s="178">
        <v>32735</v>
      </c>
      <c r="I1431" s="592">
        <f t="shared" si="60"/>
        <v>4</v>
      </c>
      <c r="J1431" s="178"/>
      <c r="K1431" s="178"/>
      <c r="L1431" s="275" t="str">
        <f>IF(H:H=0,"",IF(ISERROR(VLOOKUP(H:H,produtos_escape2!$A$2:$B$2794,2,FALSE)),"Código não cadastrado",(VLOOKUP(H:H,produtos_escape2!$A$2:$B$2794,2,FALSE))))</f>
        <v>Etiqueta adesiva térmica, indicado para impressora: zebra tlp-2844 ou similar, tipo papel couchê adesivo, largura x altura 100 mm x 50 mm
Observação 1: Deve ser compatível com impressora ZEBRA GC420D.
Observação 2: Apresentação Rolo – cada um contendo 1 COLUNA com 1.000 ETIQUETAS.</v>
      </c>
      <c r="M1431" s="593" t="str">
        <f>IF(H:H=0,"",IF(ISERROR(VLOOKUP(H:H,produtos_escape2!$A$2:$D$2794,2,FALSE)),"Código não cadastrado",(VLOOKUP(H:H,produtos_escape2!$A$2:$D$2794,4,FALSE))))</f>
        <v>RL</v>
      </c>
      <c r="N1431" s="486">
        <v>40</v>
      </c>
      <c r="O1431" s="176" t="s">
        <v>4432</v>
      </c>
      <c r="P1431" s="486">
        <v>40</v>
      </c>
      <c r="Q1431" s="247">
        <v>24</v>
      </c>
      <c r="R1431" s="246">
        <f t="shared" si="59"/>
        <v>960</v>
      </c>
      <c r="S1431" s="177">
        <v>44186</v>
      </c>
      <c r="T1431" s="182"/>
      <c r="U1431" s="177"/>
      <c r="V1431" s="177"/>
      <c r="W1431" s="177"/>
      <c r="X1431" s="176"/>
      <c r="Y1431" s="177"/>
      <c r="Z1431" s="415">
        <v>6</v>
      </c>
      <c r="AA1431" s="488" t="s">
        <v>10722</v>
      </c>
      <c r="AB1431" s="594"/>
      <c r="AC1431" s="595"/>
      <c r="AD1431" s="596" t="str">
        <f>IF(AND(AC1431&lt;&gt;"",S1431&lt;&gt;""),NETWORKDAYS(AC1431,S1431,#REF!),"")</f>
        <v/>
      </c>
      <c r="AE1431" s="596" t="str">
        <f ca="1">IF(AND(AD1431="",AC1431=""),"",IF(OR(AD1431&lt;&gt;"",O1431="*CANCELADO"),"",NETWORKDAYS(AC1431,TODAY(),#REF!)))</f>
        <v/>
      </c>
      <c r="AF1431" s="597" t="str">
        <f>IFERROR(INDEX(produtos_escape2!M:M,MATCH(Controle!H1431,produtos_escape2!A:A,0)),"")</f>
        <v>ETIQUETA ADESIVA TÉRMICA para Núcleo Segurança do Paciente</v>
      </c>
    </row>
    <row r="1432" spans="1:32" ht="14.25" customHeight="1">
      <c r="A1432" s="176" t="s">
        <v>8358</v>
      </c>
      <c r="B1432" s="176" t="s">
        <v>7207</v>
      </c>
      <c r="C1432" s="177">
        <v>44182</v>
      </c>
      <c r="D1432" s="176" t="s">
        <v>10646</v>
      </c>
      <c r="E1432" s="176" t="s">
        <v>3008</v>
      </c>
      <c r="F1432" s="259" t="s">
        <v>10647</v>
      </c>
      <c r="G1432" s="176">
        <v>1</v>
      </c>
      <c r="H1432" s="178">
        <v>31706</v>
      </c>
      <c r="I1432" s="592">
        <f t="shared" si="60"/>
        <v>2</v>
      </c>
      <c r="J1432" s="178"/>
      <c r="K1432" s="178"/>
      <c r="L1432" s="275" t="str">
        <f>IF(H:H=0,"",IF(ISERROR(VLOOKUP(H:H,produtos_escape2!$A$2:$B$2794,2,FALSE)),"Código não cadastrado",(VLOOKUP(H:H,produtos_escape2!$A$2:$B$2794,2,FALSE))))</f>
        <v>MOLDES DE INCLUSÃO EM ALUMINIO PARA CASSETES - TAMANHO 30x24x5 MM</v>
      </c>
      <c r="M1432" s="593" t="str">
        <f>IF(H:H=0,"",IF(ISERROR(VLOOKUP(H:H,produtos_escape2!$A$2:$D$2794,2,FALSE)),"Código não cadastrado",(VLOOKUP(H:H,produtos_escape2!$A$2:$D$2794,4,FALSE))))</f>
        <v>UN</v>
      </c>
      <c r="N1432" s="486">
        <v>100</v>
      </c>
      <c r="O1432" s="176" t="s">
        <v>3670</v>
      </c>
      <c r="P1432" s="486">
        <v>100</v>
      </c>
      <c r="Q1432" s="247">
        <v>39</v>
      </c>
      <c r="R1432" s="246">
        <f t="shared" si="59"/>
        <v>3900</v>
      </c>
      <c r="S1432" s="177">
        <v>44189</v>
      </c>
      <c r="T1432" s="182"/>
      <c r="U1432" s="177"/>
      <c r="V1432" s="177"/>
      <c r="W1432" s="177"/>
      <c r="X1432" s="176"/>
      <c r="Y1432" s="177"/>
      <c r="Z1432" s="415">
        <v>6</v>
      </c>
      <c r="AA1432" s="488" t="s">
        <v>10715</v>
      </c>
      <c r="AB1432" s="594"/>
      <c r="AC1432" s="595"/>
      <c r="AD1432" s="596" t="str">
        <f>IF(AND(AC1432&lt;&gt;"",S1432&lt;&gt;""),NETWORKDAYS(AC1432,S1432,#REF!),"")</f>
        <v/>
      </c>
      <c r="AE1432" s="596" t="str">
        <f ca="1">IF(AND(AD1432="",AC1432=""),"",IF(OR(AD1432&lt;&gt;"",O1432="*CANCELADO"),"",NETWORKDAYS(AC1432,TODAY(),#REF!)))</f>
        <v/>
      </c>
      <c r="AF1432" s="597" t="str">
        <f>IFERROR(INDEX(produtos_escape2!M:M,MATCH(Controle!H1432,produtos_escape2!A:A,0)),"")</f>
        <v xml:space="preserve">MOLDES DE INCLUSÃO </v>
      </c>
    </row>
    <row r="1433" spans="1:32" ht="14.25" customHeight="1">
      <c r="A1433" s="176" t="s">
        <v>8358</v>
      </c>
      <c r="B1433" s="176" t="s">
        <v>7207</v>
      </c>
      <c r="C1433" s="177">
        <v>44182</v>
      </c>
      <c r="D1433" s="176" t="s">
        <v>10646</v>
      </c>
      <c r="E1433" s="176" t="s">
        <v>3008</v>
      </c>
      <c r="F1433" s="259" t="s">
        <v>10647</v>
      </c>
      <c r="G1433" s="176">
        <v>2</v>
      </c>
      <c r="H1433" s="178">
        <v>31707</v>
      </c>
      <c r="I1433" s="592">
        <f t="shared" si="60"/>
        <v>2</v>
      </c>
      <c r="J1433" s="178"/>
      <c r="K1433" s="178"/>
      <c r="L1433" s="275" t="str">
        <f>IF(H:H=0,"",IF(ISERROR(VLOOKUP(H:H,produtos_escape2!$A$2:$B$2794,2,FALSE)),"Código não cadastrado",(VLOOKUP(H:H,produtos_escape2!$A$2:$B$2794,2,FALSE))))</f>
        <v>MOLDES DE INCLUSÃO EM ALUMINIO PARA CASSETES - TAMANHO 24x24x5 MM;</v>
      </c>
      <c r="M1433" s="593" t="str">
        <f>IF(H:H=0,"",IF(ISERROR(VLOOKUP(H:H,produtos_escape2!$A$2:$D$2794,2,FALSE)),"Código não cadastrado",(VLOOKUP(H:H,produtos_escape2!$A$2:$D$2794,4,FALSE))))</f>
        <v>UN</v>
      </c>
      <c r="N1433" s="486">
        <v>100</v>
      </c>
      <c r="O1433" s="176" t="s">
        <v>3670</v>
      </c>
      <c r="P1433" s="486">
        <v>100</v>
      </c>
      <c r="Q1433" s="247">
        <v>39</v>
      </c>
      <c r="R1433" s="246">
        <f t="shared" si="59"/>
        <v>3900</v>
      </c>
      <c r="S1433" s="177">
        <v>44189</v>
      </c>
      <c r="T1433" s="182"/>
      <c r="U1433" s="177"/>
      <c r="V1433" s="177"/>
      <c r="W1433" s="177"/>
      <c r="X1433" s="176"/>
      <c r="Y1433" s="177"/>
      <c r="Z1433" s="415">
        <v>6</v>
      </c>
      <c r="AA1433" s="488" t="s">
        <v>10715</v>
      </c>
      <c r="AB1433" s="594"/>
      <c r="AC1433" s="595"/>
      <c r="AD1433" s="596" t="str">
        <f>IF(AND(AC1433&lt;&gt;"",S1433&lt;&gt;""),NETWORKDAYS(AC1433,S1433,#REF!),"")</f>
        <v/>
      </c>
      <c r="AE1433" s="596" t="str">
        <f ca="1">IF(AND(AD1433="",AC1433=""),"",IF(OR(AD1433&lt;&gt;"",O1433="*CANCELADO"),"",NETWORKDAYS(AC1433,TODAY(),#REF!)))</f>
        <v/>
      </c>
      <c r="AF1433" s="597" t="str">
        <f>IFERROR(INDEX(produtos_escape2!M:M,MATCH(Controle!H1433,produtos_escape2!A:A,0)),"")</f>
        <v xml:space="preserve">MOLDES DE INCLUSÃO </v>
      </c>
    </row>
    <row r="1434" spans="1:32" ht="14.25" customHeight="1">
      <c r="A1434" s="176" t="s">
        <v>8358</v>
      </c>
      <c r="B1434" s="176" t="s">
        <v>7207</v>
      </c>
      <c r="C1434" s="177">
        <v>44182</v>
      </c>
      <c r="D1434" s="176" t="s">
        <v>10646</v>
      </c>
      <c r="E1434" s="176" t="s">
        <v>3008</v>
      </c>
      <c r="F1434" s="259" t="s">
        <v>10647</v>
      </c>
      <c r="G1434" s="176">
        <v>3</v>
      </c>
      <c r="H1434" s="178">
        <v>31708</v>
      </c>
      <c r="I1434" s="592">
        <f t="shared" si="60"/>
        <v>2</v>
      </c>
      <c r="J1434" s="178"/>
      <c r="K1434" s="178"/>
      <c r="L1434" s="275" t="str">
        <f>IF(H:H=0,"",IF(ISERROR(VLOOKUP(H:H,produtos_escape2!$A$2:$B$2794,2,FALSE)),"Código não cadastrado",(VLOOKUP(H:H,produtos_escape2!$A$2:$B$2794,2,FALSE))))</f>
        <v>MOLDES DE INCLUSÃO EM ALUMINIO PARA CASSETES - - TAMANHO 15x15x5 MM;</v>
      </c>
      <c r="M1434" s="593" t="str">
        <f>IF(H:H=0,"",IF(ISERROR(VLOOKUP(H:H,produtos_escape2!$A$2:$D$2794,2,FALSE)),"Código não cadastrado",(VLOOKUP(H:H,produtos_escape2!$A$2:$D$2794,4,FALSE))))</f>
        <v>UN</v>
      </c>
      <c r="N1434" s="486">
        <v>50</v>
      </c>
      <c r="O1434" s="176" t="s">
        <v>3670</v>
      </c>
      <c r="P1434" s="486">
        <v>50</v>
      </c>
      <c r="Q1434" s="247">
        <v>39</v>
      </c>
      <c r="R1434" s="246">
        <f t="shared" si="59"/>
        <v>1950</v>
      </c>
      <c r="S1434" s="177">
        <v>44189</v>
      </c>
      <c r="T1434" s="182"/>
      <c r="U1434" s="177"/>
      <c r="V1434" s="177"/>
      <c r="W1434" s="177"/>
      <c r="X1434" s="176"/>
      <c r="Y1434" s="177"/>
      <c r="Z1434" s="415">
        <v>6</v>
      </c>
      <c r="AA1434" s="488" t="s">
        <v>10715</v>
      </c>
      <c r="AB1434" s="594"/>
      <c r="AC1434" s="595"/>
      <c r="AD1434" s="596" t="str">
        <f>IF(AND(AC1434&lt;&gt;"",S1434&lt;&gt;""),NETWORKDAYS(AC1434,S1434,#REF!),"")</f>
        <v/>
      </c>
      <c r="AE1434" s="596" t="str">
        <f ca="1">IF(AND(AD1434="",AC1434=""),"",IF(OR(AD1434&lt;&gt;"",O1434="*CANCELADO"),"",NETWORKDAYS(AC1434,TODAY(),#REF!)))</f>
        <v/>
      </c>
      <c r="AF1434" s="597" t="str">
        <f>IFERROR(INDEX(produtos_escape2!M:M,MATCH(Controle!H1434,produtos_escape2!A:A,0)),"")</f>
        <v xml:space="preserve">MOLDES DE INCLUSÃO </v>
      </c>
    </row>
    <row r="1435" spans="1:32" ht="14.25" customHeight="1">
      <c r="A1435" s="176" t="s">
        <v>8359</v>
      </c>
      <c r="B1435" s="176" t="s">
        <v>7207</v>
      </c>
      <c r="C1435" s="177">
        <v>44182</v>
      </c>
      <c r="D1435" s="176" t="s">
        <v>10648</v>
      </c>
      <c r="E1435" s="176" t="s">
        <v>3008</v>
      </c>
      <c r="F1435" s="259" t="s">
        <v>10649</v>
      </c>
      <c r="G1435" s="176">
        <v>1</v>
      </c>
      <c r="H1435" s="178">
        <v>11882</v>
      </c>
      <c r="I1435" s="592">
        <f t="shared" si="60"/>
        <v>1</v>
      </c>
      <c r="J1435" s="178"/>
      <c r="K1435" s="178"/>
      <c r="L1435" s="275" t="str">
        <f>IF(H:H=0,"",IF(ISERROR(VLOOKUP(H:H,produtos_escape2!$A$2:$B$2794,2,FALSE)),"Código não cadastrado",(VLOOKUP(H:H,produtos_escape2!$A$2:$B$2794,2,FALSE))))</f>
        <v>CASSETE HISTOLÓGICO, Material: plástico, Unidade de fornecimento: pacote/caixa com 500 unidades</v>
      </c>
      <c r="M1435" s="593" t="str">
        <f>IF(H:H=0,"",IF(ISERROR(VLOOKUP(H:H,produtos_escape2!$A$2:$D$2794,2,FALSE)),"Código não cadastrado",(VLOOKUP(H:H,produtos_escape2!$A$2:$D$2794,4,FALSE))))</f>
        <v>UN</v>
      </c>
      <c r="N1435" s="486">
        <v>16</v>
      </c>
      <c r="O1435" s="176" t="s">
        <v>7540</v>
      </c>
      <c r="P1435" s="486">
        <v>16</v>
      </c>
      <c r="Q1435" s="247">
        <v>117</v>
      </c>
      <c r="R1435" s="246">
        <f t="shared" si="59"/>
        <v>1872</v>
      </c>
      <c r="S1435" s="177">
        <v>44189</v>
      </c>
      <c r="T1435" s="182"/>
      <c r="U1435" s="177"/>
      <c r="V1435" s="177"/>
      <c r="W1435" s="177"/>
      <c r="X1435" s="176"/>
      <c r="Y1435" s="177"/>
      <c r="Z1435" s="415">
        <v>6</v>
      </c>
      <c r="AA1435" s="488" t="s">
        <v>10700</v>
      </c>
      <c r="AB1435" s="594"/>
      <c r="AC1435" s="595"/>
      <c r="AD1435" s="596" t="str">
        <f>IF(AND(AC1435&lt;&gt;"",S1435&lt;&gt;""),NETWORKDAYS(AC1435,S1435,#REF!),"")</f>
        <v/>
      </c>
      <c r="AE1435" s="596" t="str">
        <f ca="1">IF(AND(AD1435="",AC1435=""),"",IF(OR(AD1435&lt;&gt;"",O1435="*CANCELADO"),"",NETWORKDAYS(AC1435,TODAY(),#REF!)))</f>
        <v/>
      </c>
      <c r="AF1435" s="597" t="str">
        <f>IFERROR(INDEX(produtos_escape2!M:M,MATCH(Controle!H1435,produtos_escape2!A:A,0)),"")</f>
        <v>CASSETE HISTOLÓGICO</v>
      </c>
    </row>
    <row r="1436" spans="1:32" ht="14.25" customHeight="1">
      <c r="A1436" s="176" t="s">
        <v>9758</v>
      </c>
      <c r="B1436" s="176" t="s">
        <v>3608</v>
      </c>
      <c r="C1436" s="177">
        <v>44182</v>
      </c>
      <c r="D1436" s="176" t="s">
        <v>10652</v>
      </c>
      <c r="E1436" s="176" t="s">
        <v>3009</v>
      </c>
      <c r="F1436" s="259" t="s">
        <v>10653</v>
      </c>
      <c r="G1436" s="176">
        <v>1</v>
      </c>
      <c r="H1436" s="178">
        <v>8111</v>
      </c>
      <c r="I1436" s="592">
        <f t="shared" si="60"/>
        <v>2</v>
      </c>
      <c r="J1436" s="178"/>
      <c r="K1436" s="178"/>
      <c r="L1436" s="275" t="str">
        <f>IF(H:H=0,"",IF(ISERROR(VLOOKUP(H:H,produtos_escape2!$A$2:$B$2794,2,FALSE)),"Código não cadastrado",(VLOOKUP(H:H,produtos_escape2!$A$2:$B$2794,2,FALSE))))</f>
        <v>ANUSCOPIO DESCARTAVEL</v>
      </c>
      <c r="M1436" s="593" t="str">
        <f>IF(H:H=0,"",IF(ISERROR(VLOOKUP(H:H,produtos_escape2!$A$2:$D$2794,2,FALSE)),"Código não cadastrado",(VLOOKUP(H:H,produtos_escape2!$A$2:$D$2794,4,FALSE))))</f>
        <v>UN</v>
      </c>
      <c r="N1436" s="486">
        <v>100</v>
      </c>
      <c r="O1436" s="176" t="s">
        <v>2989</v>
      </c>
      <c r="P1436" s="486">
        <v>100</v>
      </c>
      <c r="Q1436" s="247">
        <v>1.6</v>
      </c>
      <c r="R1436" s="246">
        <f t="shared" si="59"/>
        <v>160</v>
      </c>
      <c r="S1436" s="177">
        <v>44189</v>
      </c>
      <c r="T1436" s="182"/>
      <c r="U1436" s="177"/>
      <c r="V1436" s="177"/>
      <c r="W1436" s="177"/>
      <c r="X1436" s="176"/>
      <c r="Y1436" s="177"/>
      <c r="Z1436" s="415">
        <v>6</v>
      </c>
      <c r="AA1436" s="488" t="s">
        <v>10723</v>
      </c>
      <c r="AB1436" s="594"/>
      <c r="AC1436" s="595"/>
      <c r="AD1436" s="596" t="str">
        <f>IF(AND(AC1436&lt;&gt;"",S1436&lt;&gt;""),NETWORKDAYS(AC1436,S1436,#REF!),"")</f>
        <v/>
      </c>
      <c r="AE1436" s="596" t="str">
        <f ca="1">IF(AND(AD1436="",AC1436=""),"",IF(OR(AD1436&lt;&gt;"",O1436="*CANCELADO"),"",NETWORKDAYS(AC1436,TODAY(),#REF!)))</f>
        <v/>
      </c>
      <c r="AF1436" s="597" t="str">
        <f>IFERROR(INDEX(produtos_escape2!M:M,MATCH(Controle!H1436,produtos_escape2!A:A,0)),"")</f>
        <v>ANUSCOPIO DESCARTAVEL</v>
      </c>
    </row>
    <row r="1437" spans="1:32" ht="14.25" customHeight="1">
      <c r="A1437" s="176" t="s">
        <v>9758</v>
      </c>
      <c r="B1437" s="176" t="s">
        <v>3608</v>
      </c>
      <c r="C1437" s="177">
        <v>44182</v>
      </c>
      <c r="D1437" s="176" t="s">
        <v>10652</v>
      </c>
      <c r="E1437" s="176" t="s">
        <v>3009</v>
      </c>
      <c r="F1437" s="259" t="s">
        <v>10653</v>
      </c>
      <c r="G1437" s="176">
        <v>2</v>
      </c>
      <c r="H1437" s="178">
        <v>35897</v>
      </c>
      <c r="I1437" s="592">
        <f t="shared" si="60"/>
        <v>4</v>
      </c>
      <c r="J1437" s="178"/>
      <c r="K1437" s="178"/>
      <c r="L1437" s="275" t="str">
        <f>IF(H:H=0,"",IF(ISERROR(VLOOKUP(H:H,produtos_escape2!$A$2:$B$2794,2,FALSE)),"Código não cadastrado",(VLOOKUP(H:H,produtos_escape2!$A$2:$B$2794,2,FALSE))))</f>
        <v>AGULHA ANESTÉSICA APLICAÇÃO: ANESTESIA RAQUIDIANA, MATERIAL A AÇO INOXIDÁVEL, DIMENSÃO 27G X 3 1/2´, TIPO PONTA DE LÁPIS, ISENTO DE CORTE, COM ORIFÍCIO LATERAL, COM INTRODUTOR 22 OU 23G X 1 1/4´, CONECTOR UNIVERSAL CONECTOR LUER LOCK, COM VISOR TRANSPARENTE COM TAMPA, TIPO USO DESCARTÁVEL, ESTERELIDADE ESTÉRIL.</v>
      </c>
      <c r="M1437" s="593" t="str">
        <f>IF(H:H=0,"",IF(ISERROR(VLOOKUP(H:H,produtos_escape2!$A$2:$D$2794,2,FALSE)),"Código não cadastrado",(VLOOKUP(H:H,produtos_escape2!$A$2:$D$2794,4,FALSE))))</f>
        <v>UN</v>
      </c>
      <c r="N1437" s="486">
        <v>300</v>
      </c>
      <c r="O1437" s="176" t="s">
        <v>3530</v>
      </c>
      <c r="P1437" s="486">
        <v>300</v>
      </c>
      <c r="Q1437" s="247">
        <v>39.76</v>
      </c>
      <c r="R1437" s="246">
        <f t="shared" si="59"/>
        <v>11928</v>
      </c>
      <c r="S1437" s="177">
        <v>44189</v>
      </c>
      <c r="T1437" s="182"/>
      <c r="U1437" s="177"/>
      <c r="V1437" s="177"/>
      <c r="W1437" s="177"/>
      <c r="X1437" s="176"/>
      <c r="Y1437" s="177"/>
      <c r="Z1437" s="415">
        <v>6</v>
      </c>
      <c r="AA1437" s="488" t="s">
        <v>10724</v>
      </c>
      <c r="AB1437" s="594"/>
      <c r="AC1437" s="595"/>
      <c r="AD1437" s="596" t="str">
        <f>IF(AND(AC1437&lt;&gt;"",S1437&lt;&gt;""),NETWORKDAYS(AC1437,S1437,#REF!),"")</f>
        <v/>
      </c>
      <c r="AE1437" s="596" t="str">
        <f ca="1">IF(AND(AD1437="",AC1437=""),"",IF(OR(AD1437&lt;&gt;"",O1437="*CANCELADO"),"",NETWORKDAYS(AC1437,TODAY(),#REF!)))</f>
        <v/>
      </c>
      <c r="AF1437" s="597" t="str">
        <f>IFERROR(INDEX(produtos_escape2!M:M,MATCH(Controle!H1437,produtos_escape2!A:A,0)),"")</f>
        <v>AGULHA ANESTÉSICA RAQUIDIANA 27G</v>
      </c>
    </row>
    <row r="1438" spans="1:32" ht="14.25" customHeight="1">
      <c r="A1438" s="176" t="s">
        <v>9758</v>
      </c>
      <c r="B1438" s="176" t="s">
        <v>3608</v>
      </c>
      <c r="C1438" s="177">
        <v>44182</v>
      </c>
      <c r="D1438" s="176" t="s">
        <v>10652</v>
      </c>
      <c r="E1438" s="176" t="s">
        <v>3009</v>
      </c>
      <c r="F1438" s="259" t="s">
        <v>10653</v>
      </c>
      <c r="G1438" s="176">
        <v>3</v>
      </c>
      <c r="H1438" s="178">
        <v>92293</v>
      </c>
      <c r="I1438" s="592">
        <f t="shared" si="60"/>
        <v>1</v>
      </c>
      <c r="J1438" s="178"/>
      <c r="K1438" s="178"/>
      <c r="L1438" s="275" t="str">
        <f>IF(H:H=0,"",IF(ISERROR(VLOOKUP(H:H,produtos_escape2!$A$2:$B$2794,2,FALSE)),"Código não cadastrado",(VLOOKUP(H:H,produtos_escape2!$A$2:$B$2794,2,FALSE))))</f>
        <v>FIO DE SUTURA DE POLIAMIDA MONOFILAMENTAR 2-0, 45CM, COM 01 AGULHA DE 4,0CM PONTA E CORPO CORTANTE 3/8 CIRCULO</v>
      </c>
      <c r="M1438" s="593" t="str">
        <f>IF(H:H=0,"",IF(ISERROR(VLOOKUP(H:H,produtos_escape2!$A$2:$D$2794,2,FALSE)),"Código não cadastrado",(VLOOKUP(H:H,produtos_escape2!$A$2:$D$2794,4,FALSE))))</f>
        <v>EN</v>
      </c>
      <c r="N1438" s="486">
        <v>480</v>
      </c>
      <c r="O1438" s="176" t="s">
        <v>3530</v>
      </c>
      <c r="P1438" s="486">
        <v>480</v>
      </c>
      <c r="Q1438" s="247">
        <v>5.35</v>
      </c>
      <c r="R1438" s="246">
        <f t="shared" si="59"/>
        <v>2568</v>
      </c>
      <c r="S1438" s="177">
        <v>44189</v>
      </c>
      <c r="T1438" s="182"/>
      <c r="U1438" s="177"/>
      <c r="V1438" s="177"/>
      <c r="W1438" s="177"/>
      <c r="X1438" s="176"/>
      <c r="Y1438" s="177"/>
      <c r="Z1438" s="415">
        <v>6</v>
      </c>
      <c r="AA1438" s="488" t="s">
        <v>10725</v>
      </c>
      <c r="AB1438" s="594"/>
      <c r="AC1438" s="595"/>
      <c r="AD1438" s="596" t="str">
        <f>IF(AND(AC1438&lt;&gt;"",S1438&lt;&gt;""),NETWORKDAYS(AC1438,S1438,#REF!),"")</f>
        <v/>
      </c>
      <c r="AE1438" s="596" t="str">
        <f ca="1">IF(AND(AD1438="",AC1438=""),"",IF(OR(AD1438&lt;&gt;"",O1438="*CANCELADO"),"",NETWORKDAYS(AC1438,TODAY(),#REF!)))</f>
        <v/>
      </c>
      <c r="AF1438" s="597" t="str">
        <f>IFERROR(INDEX(produtos_escape2!M:M,MATCH(Controle!H1438,produtos_escape2!A:A,0)),"")</f>
        <v>FIO DE SUTURA DE POLIAMIDA MONOFILAMENTAR 2-0</v>
      </c>
    </row>
    <row r="1439" spans="1:32" ht="14.25" customHeight="1">
      <c r="A1439" s="176" t="s">
        <v>9758</v>
      </c>
      <c r="B1439" s="176" t="s">
        <v>3608</v>
      </c>
      <c r="C1439" s="177">
        <v>44182</v>
      </c>
      <c r="D1439" s="176" t="s">
        <v>10652</v>
      </c>
      <c r="E1439" s="176" t="s">
        <v>3009</v>
      </c>
      <c r="F1439" s="259" t="s">
        <v>10653</v>
      </c>
      <c r="G1439" s="176">
        <v>4</v>
      </c>
      <c r="H1439" s="178">
        <v>35938</v>
      </c>
      <c r="I1439" s="592">
        <f t="shared" si="60"/>
        <v>2</v>
      </c>
      <c r="J1439" s="178"/>
      <c r="K1439" s="178"/>
      <c r="L1439" s="275" t="str">
        <f>IF(H:H=0,"",IF(ISERROR(VLOOKUP(H:H,produtos_escape2!$A$2:$B$2794,2,FALSE)),"Código não cadastrado",(VLOOKUP(H:H,produtos_escape2!$A$2:$B$2794,2,FALSE))))</f>
        <v>AVENTAL/CAPOTE CIRÚRGICO ESTÉRIL, TAMANHO G. Avental cirúrgico estéril tamanho grande (comprimento mínimo 120cm e largura mínima 150cm), fabricado de SMS, composto de não tecido 100% polipropileno, permitindo ventilação adequada durante o uso, garantindo maciez e resistência; hidrorrepelente, resistente à penetração de líquidos, manga longa com punhos elásticos confeccionados em malha que mantenham as mangas estabilizadas, gramatura igual ou maior que 50g/m2, ajuste no pescoço para fechamento seguro. Junção ultrassônica/térmica em áreas críticas (mangas e junção das tiras de amarração). Tiras internas e externas para fechamento cruzado nas costas, cartão para transferência asseptica. Dobrado em forma de livro para abertura e colocação de forma asséptica, acompanhado de toalha para secagem das mãos de alta absorção. Embalado individualmente em dupla embalagem - interna de SMS e externa de papel grau cirúrgico. O produto deverá obedecer às normas brasileiras vigentes (NBR 16064 da ABNT).</v>
      </c>
      <c r="M1439" s="593" t="str">
        <f>IF(H:H=0,"",IF(ISERROR(VLOOKUP(H:H,produtos_escape2!$A$2:$D$2794,2,FALSE)),"Código não cadastrado",(VLOOKUP(H:H,produtos_escape2!$A$2:$D$2794,4,FALSE))))</f>
        <v>UN</v>
      </c>
      <c r="N1439" s="486">
        <v>200</v>
      </c>
      <c r="O1439" s="176" t="s">
        <v>3530</v>
      </c>
      <c r="P1439" s="486">
        <v>200</v>
      </c>
      <c r="Q1439" s="247">
        <v>15.5</v>
      </c>
      <c r="R1439" s="246">
        <f t="shared" si="59"/>
        <v>3100</v>
      </c>
      <c r="S1439" s="177">
        <v>44189</v>
      </c>
      <c r="T1439" s="182"/>
      <c r="U1439" s="177"/>
      <c r="V1439" s="177"/>
      <c r="W1439" s="177"/>
      <c r="X1439" s="176"/>
      <c r="Y1439" s="177"/>
      <c r="Z1439" s="415">
        <v>6</v>
      </c>
      <c r="AA1439" s="488" t="s">
        <v>10724</v>
      </c>
      <c r="AB1439" s="594"/>
      <c r="AC1439" s="595"/>
      <c r="AD1439" s="596" t="str">
        <f>IF(AND(AC1439&lt;&gt;"",S1439&lt;&gt;""),NETWORKDAYS(AC1439,S1439,#REF!),"")</f>
        <v/>
      </c>
      <c r="AE1439" s="596" t="str">
        <f ca="1">IF(AND(AD1439="",AC1439=""),"",IF(OR(AD1439&lt;&gt;"",O1439="*CANCELADO"),"",NETWORKDAYS(AC1439,TODAY(),#REF!)))</f>
        <v/>
      </c>
      <c r="AF1439" s="597" t="str">
        <f>IFERROR(INDEX(produtos_escape2!M:M,MATCH(Controle!H1439,produtos_escape2!A:A,0)),"")</f>
        <v>AVENTAL CAPOTE CIRURGICO</v>
      </c>
    </row>
    <row r="1440" spans="1:32" ht="14.25" customHeight="1">
      <c r="A1440" s="176" t="s">
        <v>9758</v>
      </c>
      <c r="B1440" s="176" t="s">
        <v>3608</v>
      </c>
      <c r="C1440" s="177">
        <v>44182</v>
      </c>
      <c r="D1440" s="176" t="s">
        <v>10652</v>
      </c>
      <c r="E1440" s="176" t="s">
        <v>3009</v>
      </c>
      <c r="F1440" s="259" t="s">
        <v>10653</v>
      </c>
      <c r="G1440" s="176">
        <v>5</v>
      </c>
      <c r="H1440" s="178">
        <v>25977</v>
      </c>
      <c r="I1440" s="592">
        <f t="shared" si="60"/>
        <v>3</v>
      </c>
      <c r="J1440" s="178"/>
      <c r="K1440" s="178"/>
      <c r="L1440" s="275" t="str">
        <f>IF(H:H=0,"",IF(ISERROR(VLOOKUP(H:H,produtos_escape2!$A$2:$B$2794,2,FALSE)),"Código não cadastrado",(VLOOKUP(H:H,produtos_escape2!$A$2:$B$2794,2,FALSE))))</f>
        <v>FILTRO ANTIBACTERIANO, embalado individualmente para uso em espirômetro, compatível com aparelhos de função pulmonar, marca COSMED, modelo Pony FX</v>
      </c>
      <c r="M1440" s="593" t="str">
        <f>IF(H:H=0,"",IF(ISERROR(VLOOKUP(H:H,produtos_escape2!$A$2:$D$2794,2,FALSE)),"Código não cadastrado",(VLOOKUP(H:H,produtos_escape2!$A$2:$D$2794,4,FALSE))))</f>
        <v>UN</v>
      </c>
      <c r="N1440" s="486">
        <v>300</v>
      </c>
      <c r="O1440" s="176" t="s">
        <v>1868</v>
      </c>
      <c r="P1440" s="486"/>
      <c r="Q1440" s="247"/>
      <c r="R1440" s="246">
        <f t="shared" si="59"/>
        <v>0</v>
      </c>
      <c r="S1440" s="177"/>
      <c r="T1440" s="182"/>
      <c r="U1440" s="177"/>
      <c r="V1440" s="177"/>
      <c r="W1440" s="177"/>
      <c r="X1440" s="176"/>
      <c r="Y1440" s="177"/>
      <c r="Z1440" s="415">
        <v>6</v>
      </c>
      <c r="AA1440" s="488" t="s">
        <v>7474</v>
      </c>
      <c r="AB1440" s="594"/>
      <c r="AC1440" s="595"/>
      <c r="AD1440" s="596" t="str">
        <f>IF(AND(AC1440&lt;&gt;"",S1440&lt;&gt;""),NETWORKDAYS(AC1440,S1440,#REF!),"")</f>
        <v/>
      </c>
      <c r="AE1440" s="596" t="str">
        <f ca="1">IF(AND(AD1440="",AC1440=""),"",IF(OR(AD1440&lt;&gt;"",O1440="*CANCELADO"),"",NETWORKDAYS(AC1440,TODAY(),#REF!)))</f>
        <v/>
      </c>
      <c r="AF1440" s="597" t="str">
        <f>IFERROR(INDEX(produtos_escape2!M:M,MATCH(Controle!H1440,produtos_escape2!A:A,0)),"")</f>
        <v>FILTRO ANTIBACTERIANO</v>
      </c>
    </row>
    <row r="1441" spans="1:32" ht="14.25" customHeight="1">
      <c r="A1441" s="176" t="s">
        <v>8360</v>
      </c>
      <c r="B1441" s="176" t="s">
        <v>7207</v>
      </c>
      <c r="C1441" s="177">
        <v>44182</v>
      </c>
      <c r="D1441" s="176" t="s">
        <v>10655</v>
      </c>
      <c r="E1441" s="176" t="s">
        <v>3008</v>
      </c>
      <c r="F1441" s="259" t="s">
        <v>10656</v>
      </c>
      <c r="G1441" s="176">
        <v>1</v>
      </c>
      <c r="H1441" s="178">
        <v>49243</v>
      </c>
      <c r="I1441" s="592">
        <f t="shared" si="60"/>
        <v>2</v>
      </c>
      <c r="J1441" s="178"/>
      <c r="K1441" s="178"/>
      <c r="L1441" s="275" t="str">
        <f>IF(H:H=0,"",IF(ISERROR(VLOOKUP(H:H,produtos_escape2!$A$2:$B$2794,2,FALSE)),"Código não cadastrado",(VLOOKUP(H:H,produtos_escape2!$A$2:$B$2794,2,FALSE))))</f>
        <v>APARELHO PARA TRICOTOMIA ( BARBA ), Material: plástico, Tipo Uso: descartável, Formato Cabo: anatômico, Emabalagem:   individual, Características Adicionais:  02 ( duas ) lâminas paralelas afiadas, e capa protetora para as lâminas.</v>
      </c>
      <c r="M1441" s="593" t="str">
        <f>IF(H:H=0,"",IF(ISERROR(VLOOKUP(H:H,produtos_escape2!$A$2:$D$2794,2,FALSE)),"Código não cadastrado",(VLOOKUP(H:H,produtos_escape2!$A$2:$D$2794,4,FALSE))))</f>
        <v>UN</v>
      </c>
      <c r="N1441" s="486">
        <v>2000</v>
      </c>
      <c r="O1441" s="176" t="s">
        <v>1868</v>
      </c>
      <c r="P1441" s="486"/>
      <c r="Q1441" s="247">
        <v>0.79</v>
      </c>
      <c r="R1441" s="246">
        <f t="shared" si="59"/>
        <v>0</v>
      </c>
      <c r="S1441" s="177">
        <v>44188</v>
      </c>
      <c r="T1441" s="182"/>
      <c r="U1441" s="177"/>
      <c r="V1441" s="177"/>
      <c r="W1441" s="177"/>
      <c r="X1441" s="176"/>
      <c r="Y1441" s="177"/>
      <c r="Z1441" s="415">
        <v>6</v>
      </c>
      <c r="AA1441" s="488" t="s">
        <v>10677</v>
      </c>
      <c r="AB1441" s="594"/>
      <c r="AC1441" s="595"/>
      <c r="AD1441" s="596" t="str">
        <f>IF(AND(AC1441&lt;&gt;"",S1441&lt;&gt;""),NETWORKDAYS(AC1441,S1441,#REF!),"")</f>
        <v/>
      </c>
      <c r="AE1441" s="596" t="str">
        <f ca="1">IF(AND(AD1441="",AC1441=""),"",IF(OR(AD1441&lt;&gt;"",O1441="*CANCELADO"),"",NETWORKDAYS(AC1441,TODAY(),#REF!)))</f>
        <v/>
      </c>
      <c r="AF1441" s="597" t="str">
        <f>IFERROR(INDEX(produtos_escape2!M:M,MATCH(Controle!H1441,produtos_escape2!A:A,0)),"")</f>
        <v>APARELHO PARA TRICOTOMIA ( BARBA )</v>
      </c>
    </row>
    <row r="1442" spans="1:32" ht="14.25" customHeight="1">
      <c r="A1442" s="176" t="s">
        <v>9763</v>
      </c>
      <c r="B1442" s="176" t="s">
        <v>3608</v>
      </c>
      <c r="C1442" s="177">
        <v>44186</v>
      </c>
      <c r="D1442" s="176" t="s">
        <v>10662</v>
      </c>
      <c r="E1442" s="176" t="s">
        <v>1866</v>
      </c>
      <c r="F1442" s="259" t="s">
        <v>10663</v>
      </c>
      <c r="G1442" s="176">
        <v>1</v>
      </c>
      <c r="H1442" s="178">
        <v>90985</v>
      </c>
      <c r="I1442" s="592">
        <f t="shared" si="60"/>
        <v>4</v>
      </c>
      <c r="J1442" s="178"/>
      <c r="K1442" s="178"/>
      <c r="L1442" s="275" t="str">
        <f>IF(H:H=0,"",IF(ISERROR(VLOOKUP(H:H,produtos_escape2!$A$2:$B$2794,2,FALSE)),"Código não cadastrado",(VLOOKUP(H:H,produtos_escape2!$A$2:$B$2794,2,FALSE))))</f>
        <v>NITRATO DE PRATA SOLUCAO OFTALMICA 1 % FRASCO 2,5 A 5,0 ML</v>
      </c>
      <c r="M1442" s="593" t="str">
        <f>IF(H:H=0,"",IF(ISERROR(VLOOKUP(H:H,produtos_escape2!$A$2:$D$2794,2,FALSE)),"Código não cadastrado",(VLOOKUP(H:H,produtos_escape2!$A$2:$D$2794,4,FALSE))))</f>
        <v>FR</v>
      </c>
      <c r="N1442" s="486">
        <v>30</v>
      </c>
      <c r="O1442" s="176" t="s">
        <v>8452</v>
      </c>
      <c r="P1442" s="486">
        <v>30</v>
      </c>
      <c r="Q1442" s="247">
        <v>11.05</v>
      </c>
      <c r="R1442" s="246">
        <f t="shared" si="59"/>
        <v>331.5</v>
      </c>
      <c r="S1442" s="177">
        <v>44187</v>
      </c>
      <c r="T1442" s="182"/>
      <c r="U1442" s="177"/>
      <c r="V1442" s="177"/>
      <c r="W1442" s="177"/>
      <c r="X1442" s="176"/>
      <c r="Y1442" s="177"/>
      <c r="Z1442" s="415">
        <v>6</v>
      </c>
      <c r="AA1442" s="488" t="s">
        <v>10705</v>
      </c>
      <c r="AB1442" s="594"/>
      <c r="AC1442" s="595"/>
      <c r="AD1442" s="596" t="str">
        <f>IF(AND(AC1442&lt;&gt;"",S1442&lt;&gt;""),NETWORKDAYS(AC1442,S1442,#REF!),"")</f>
        <v/>
      </c>
      <c r="AE1442" s="596" t="str">
        <f ca="1">IF(AND(AD1442="",AC1442=""),"",IF(OR(AD1442&lt;&gt;"",O1442="*CANCELADO"),"",NETWORKDAYS(AC1442,TODAY(),#REF!)))</f>
        <v/>
      </c>
      <c r="AF1442" s="597" t="str">
        <f>IFERROR(INDEX(produtos_escape2!M:M,MATCH(Controle!H1442,produtos_escape2!A:A,0)),"")</f>
        <v>NITRATO DE PRATA SOLUCAO OFTALMICA 1 % FRASCO 2</v>
      </c>
    </row>
    <row r="1443" spans="1:32" ht="14.25" customHeight="1">
      <c r="A1443" s="176" t="s">
        <v>9765</v>
      </c>
      <c r="B1443" s="176" t="s">
        <v>3608</v>
      </c>
      <c r="C1443" s="177">
        <v>44186</v>
      </c>
      <c r="D1443" s="176" t="s">
        <v>10664</v>
      </c>
      <c r="E1443" s="176" t="s">
        <v>1866</v>
      </c>
      <c r="F1443" s="259" t="s">
        <v>10665</v>
      </c>
      <c r="G1443" s="176">
        <v>1</v>
      </c>
      <c r="H1443" s="178">
        <v>92401</v>
      </c>
      <c r="I1443" s="592">
        <f t="shared" si="60"/>
        <v>9</v>
      </c>
      <c r="J1443" s="178"/>
      <c r="K1443" s="178"/>
      <c r="L1443" s="275" t="str">
        <f>IF(H:H=0,"",IF(ISERROR(VLOOKUP(H:H,produtos_escape2!$A$2:$B$2794,2,FALSE)),"Código não cadastrado",(VLOOKUP(H:H,produtos_escape2!$A$2:$B$2794,2,FALSE))))</f>
        <v xml:space="preserve">LUVA CIRURGICA CONVENCIONAL Nº 7,0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443" s="593" t="str">
        <f>IF(H:H=0,"",IF(ISERROR(VLOOKUP(H:H,produtos_escape2!$A$2:$D$2794,2,FALSE)),"Código não cadastrado",(VLOOKUP(H:H,produtos_escape2!$A$2:$D$2794,4,FALSE))))</f>
        <v>PAR</v>
      </c>
      <c r="N1443" s="486">
        <v>3000</v>
      </c>
      <c r="O1443" s="176" t="s">
        <v>7337</v>
      </c>
      <c r="P1443" s="486">
        <v>3000</v>
      </c>
      <c r="Q1443" s="247">
        <v>1.25</v>
      </c>
      <c r="R1443" s="246">
        <f t="shared" si="59"/>
        <v>3750</v>
      </c>
      <c r="S1443" s="177">
        <v>44187</v>
      </c>
      <c r="T1443" s="182">
        <v>12932</v>
      </c>
      <c r="U1443" s="177">
        <v>44187</v>
      </c>
      <c r="V1443" s="177">
        <v>44188</v>
      </c>
      <c r="W1443" s="177">
        <v>44188</v>
      </c>
      <c r="X1443" s="176" t="s">
        <v>10674</v>
      </c>
      <c r="Y1443" s="177"/>
      <c r="Z1443" s="415">
        <v>6</v>
      </c>
      <c r="AA1443" s="488" t="s">
        <v>10726</v>
      </c>
      <c r="AB1443" s="594"/>
      <c r="AC1443" s="595"/>
      <c r="AD1443" s="596" t="str">
        <f>IF(AND(AC1443&lt;&gt;"",S1443&lt;&gt;""),NETWORKDAYS(AC1443,S1443,#REF!),"")</f>
        <v/>
      </c>
      <c r="AE1443" s="596" t="str">
        <f ca="1">IF(AND(AD1443="",AC1443=""),"",IF(OR(AD1443&lt;&gt;"",O1443="*CANCELADO"),"",NETWORKDAYS(AC1443,TODAY(),#REF!)))</f>
        <v/>
      </c>
      <c r="AF1443" s="597" t="str">
        <f>IFERROR(INDEX(produtos_escape2!M:M,MATCH(Controle!H1443,produtos_escape2!A:A,0)),"")</f>
        <v>LUVA CIRURGICA CONVENCIONAL Nº 7</v>
      </c>
    </row>
    <row r="1444" spans="1:32" ht="14.25" customHeight="1">
      <c r="A1444" s="176" t="s">
        <v>9765</v>
      </c>
      <c r="B1444" s="176" t="s">
        <v>3608</v>
      </c>
      <c r="C1444" s="177">
        <v>44186</v>
      </c>
      <c r="D1444" s="176" t="s">
        <v>10664</v>
      </c>
      <c r="E1444" s="176" t="s">
        <v>1866</v>
      </c>
      <c r="F1444" s="259" t="s">
        <v>10665</v>
      </c>
      <c r="G1444" s="176">
        <v>2</v>
      </c>
      <c r="H1444" s="178">
        <v>92402</v>
      </c>
      <c r="I1444" s="592">
        <f t="shared" si="60"/>
        <v>9</v>
      </c>
      <c r="J1444" s="178"/>
      <c r="K1444" s="178"/>
      <c r="L1444" s="275" t="str">
        <f>IF(H:H=0,"",IF(ISERROR(VLOOKUP(H:H,produtos_escape2!$A$2:$B$2794,2,FALSE)),"Código não cadastrado",(VLOOKUP(H:H,produtos_escape2!$A$2:$B$2794,2,FALSE))))</f>
        <v xml:space="preserve">LUVA CIRURGICA CONVENCIONAL Nº 7,5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444" s="593" t="str">
        <f>IF(H:H=0,"",IF(ISERROR(VLOOKUP(H:H,produtos_escape2!$A$2:$D$2794,2,FALSE)),"Código não cadastrado",(VLOOKUP(H:H,produtos_escape2!$A$2:$D$2794,4,FALSE))))</f>
        <v>PAR</v>
      </c>
      <c r="N1444" s="486">
        <v>6000</v>
      </c>
      <c r="O1444" s="176" t="s">
        <v>1868</v>
      </c>
      <c r="P1444" s="486"/>
      <c r="Q1444" s="247">
        <v>1.25</v>
      </c>
      <c r="R1444" s="246">
        <f t="shared" si="59"/>
        <v>0</v>
      </c>
      <c r="S1444" s="177">
        <v>44187</v>
      </c>
      <c r="T1444" s="182"/>
      <c r="U1444" s="177"/>
      <c r="V1444" s="177"/>
      <c r="W1444" s="177"/>
      <c r="X1444" s="176"/>
      <c r="Y1444" s="177"/>
      <c r="Z1444" s="415">
        <v>6</v>
      </c>
      <c r="AA1444" s="488" t="s">
        <v>10676</v>
      </c>
      <c r="AB1444" s="594"/>
      <c r="AC1444" s="595"/>
      <c r="AD1444" s="596" t="str">
        <f>IF(AND(AC1444&lt;&gt;"",S1444&lt;&gt;""),NETWORKDAYS(AC1444,S1444,#REF!),"")</f>
        <v/>
      </c>
      <c r="AE1444" s="596" t="str">
        <f ca="1">IF(AND(AD1444="",AC1444=""),"",IF(OR(AD1444&lt;&gt;"",O1444="*CANCELADO"),"",NETWORKDAYS(AC1444,TODAY(),#REF!)))</f>
        <v/>
      </c>
      <c r="AF1444" s="597" t="str">
        <f>IFERROR(INDEX(produtos_escape2!M:M,MATCH(Controle!H1444,produtos_escape2!A:A,0)),"")</f>
        <v>LUVA CIRURGICA CONVENCIONAL Nº 7</v>
      </c>
    </row>
    <row r="1445" spans="1:32" ht="14.25" customHeight="1">
      <c r="A1445" s="176" t="s">
        <v>9765</v>
      </c>
      <c r="B1445" s="176" t="s">
        <v>3608</v>
      </c>
      <c r="C1445" s="177">
        <v>44186</v>
      </c>
      <c r="D1445" s="176" t="s">
        <v>10664</v>
      </c>
      <c r="E1445" s="176" t="s">
        <v>1866</v>
      </c>
      <c r="F1445" s="259" t="s">
        <v>10665</v>
      </c>
      <c r="G1445" s="176">
        <v>3</v>
      </c>
      <c r="H1445" s="178">
        <v>92403</v>
      </c>
      <c r="I1445" s="592">
        <f t="shared" si="60"/>
        <v>10</v>
      </c>
      <c r="J1445" s="178"/>
      <c r="K1445" s="178"/>
      <c r="L1445" s="275" t="str">
        <f>IF(H:H=0,"",IF(ISERROR(VLOOKUP(H:H,produtos_escape2!$A$2:$B$2794,2,FALSE)),"Código não cadastrado",(VLOOKUP(H:H,produtos_escape2!$A$2:$B$2794,2,FALSE))))</f>
        <v xml:space="preserve">LUVA CIRURGICA CONVENCIONAL Nº 8,0 EM LATEX ESTERIL. Aplicação: uso universal em procedimentos cirúrgicos ou que exijam técnica asséptica rigorosa. Material: látex íntegro, Características Adicionais: estéril, com formato, disposição e baínha anatômica, com punho longo, comprimento total da luva de no mínimo de 25 cm, lubrificadas com pó bio absorvível, atóxico, que não cause dano ao organismo em condições normais de uso, devem apresentar boa resistência ao calçar, ser antiderrapante, com látex íntegro, sem manchas, sem ponto de acúmulo de látex, dobradas de acordo com o padrão hospitalar acondicionadas em envelope interno separando as luvas direita e esquerda e devidamente identificado na parte externa. A embalagem externa deve assegurar a esterilidade do produto sob condições adequadas de manuseio e estocagem, deve permitir abertura que promova transferência asséptica sem delaminar, deve conter: o tamanho, o tipo de esterilização, o lote, a data de fabricação e validade, conter número do C.A. Apresentação: embalagem individual, acondicionada em caixa. Unidade De Estoque: par. </v>
      </c>
      <c r="M1445" s="593" t="str">
        <f>IF(H:H=0,"",IF(ISERROR(VLOOKUP(H:H,produtos_escape2!$A$2:$D$2794,2,FALSE)),"Código não cadastrado",(VLOOKUP(H:H,produtos_escape2!$A$2:$D$2794,4,FALSE))))</f>
        <v>PAR</v>
      </c>
      <c r="N1445" s="486">
        <v>3000</v>
      </c>
      <c r="O1445" s="176" t="s">
        <v>7337</v>
      </c>
      <c r="P1445" s="486">
        <v>3000</v>
      </c>
      <c r="Q1445" s="247">
        <v>1.25</v>
      </c>
      <c r="R1445" s="246">
        <f t="shared" si="59"/>
        <v>3750</v>
      </c>
      <c r="S1445" s="177">
        <v>44187</v>
      </c>
      <c r="T1445" s="182">
        <v>12932</v>
      </c>
      <c r="U1445" s="177">
        <v>44187</v>
      </c>
      <c r="V1445" s="177">
        <v>44188</v>
      </c>
      <c r="W1445" s="177">
        <v>44188</v>
      </c>
      <c r="X1445" s="176" t="s">
        <v>10674</v>
      </c>
      <c r="Y1445" s="177"/>
      <c r="Z1445" s="415">
        <v>6</v>
      </c>
      <c r="AA1445" s="488" t="s">
        <v>10726</v>
      </c>
      <c r="AB1445" s="594"/>
      <c r="AC1445" s="595"/>
      <c r="AD1445" s="596" t="str">
        <f>IF(AND(AC1445&lt;&gt;"",S1445&lt;&gt;""),NETWORKDAYS(AC1445,S1445,#REF!),"")</f>
        <v/>
      </c>
      <c r="AE1445" s="596" t="str">
        <f ca="1">IF(AND(AD1445="",AC1445=""),"",IF(OR(AD1445&lt;&gt;"",O1445="*CANCELADO"),"",NETWORKDAYS(AC1445,TODAY(),#REF!)))</f>
        <v/>
      </c>
      <c r="AF1445" s="597" t="str">
        <f>IFERROR(INDEX(produtos_escape2!M:M,MATCH(Controle!H1445,produtos_escape2!A:A,0)),"")</f>
        <v>LUVA CIRURGICA CONVENCIONAL Nº 8</v>
      </c>
    </row>
    <row r="1446" spans="1:32" s="651" customFormat="1" ht="14.25" customHeight="1">
      <c r="A1446" s="672"/>
      <c r="B1446" s="672"/>
      <c r="C1446" s="673"/>
      <c r="D1446" s="672" t="s">
        <v>10731</v>
      </c>
      <c r="E1446" s="672"/>
      <c r="F1446" s="674"/>
      <c r="G1446" s="672"/>
      <c r="H1446" s="560" t="s">
        <v>2754</v>
      </c>
      <c r="I1446" s="640">
        <f t="shared" si="60"/>
        <v>1</v>
      </c>
      <c r="J1446" s="560"/>
      <c r="K1446" s="560"/>
      <c r="L1446" s="641" t="str">
        <f>IF(H:H=0,"",IF(ISERROR(VLOOKUP(H:H,produtos_escape2!$A$2:$B$2794,2,FALSE)),"Código não cadastrado",(VLOOKUP(H:H,produtos_escape2!$A$2:$B$2794,2,FALSE))))</f>
        <v xml:space="preserve">DEVOLUÇÃO DE SALDO </v>
      </c>
      <c r="M1446" s="642" t="str">
        <f>IF(H:H=0,"",IF(ISERROR(VLOOKUP(H:H,produtos_escape2!$A$2:$D$2794,2,FALSE)),"Código não cadastrado",(VLOOKUP(H:H,produtos_escape2!$A$2:$D$2794,4,FALSE))))</f>
        <v>-</v>
      </c>
      <c r="N1446" s="675"/>
      <c r="O1446" s="672"/>
      <c r="P1446" s="675">
        <v>1</v>
      </c>
      <c r="Q1446" s="676">
        <v>8.06</v>
      </c>
      <c r="R1446" s="677">
        <f t="shared" si="59"/>
        <v>8.06</v>
      </c>
      <c r="S1446" s="673"/>
      <c r="T1446" s="678"/>
      <c r="U1446" s="673"/>
      <c r="V1446" s="673"/>
      <c r="W1446" s="673"/>
      <c r="X1446" s="672">
        <v>3314</v>
      </c>
      <c r="Y1446" s="673">
        <v>44194</v>
      </c>
      <c r="Z1446" s="607">
        <v>6</v>
      </c>
      <c r="AA1446" s="608"/>
      <c r="AB1446" s="648"/>
      <c r="AC1446" s="649"/>
      <c r="AD1446" s="650" t="str">
        <f>IF(AND(AC1446&lt;&gt;"",S1446&lt;&gt;""),NETWORKDAYS(AC1446,S1446,#REF!),"")</f>
        <v/>
      </c>
      <c r="AE1446" s="650" t="str">
        <f ca="1">IF(AND(AD1446="",AC1446=""),"",IF(OR(AD1446&lt;&gt;"",O1446="*CANCELADO"),"",NETWORKDAYS(AC1446,TODAY(),#REF!)))</f>
        <v/>
      </c>
      <c r="AF1446" s="679">
        <f>IFERROR(INDEX(produtos_escape2!M:M,MATCH(Controle!H1446,produtos_escape2!A:A,0)),"")</f>
        <v>0</v>
      </c>
    </row>
    <row r="1447" spans="1:32" ht="14.25" customHeight="1">
      <c r="A1447" s="176"/>
      <c r="B1447" s="176"/>
      <c r="C1447" s="177"/>
      <c r="D1447" s="176"/>
      <c r="E1447" s="176"/>
      <c r="F1447" s="259"/>
      <c r="G1447" s="176"/>
      <c r="H1447" s="178"/>
      <c r="I1447" s="592">
        <f t="shared" si="60"/>
        <v>0</v>
      </c>
      <c r="J1447" s="178"/>
      <c r="K1447" s="178"/>
      <c r="L1447" s="275" t="str">
        <f>IF(H:H=0,"",IF(ISERROR(VLOOKUP(H:H,produtos_escape2!$A$2:$B$2794,2,FALSE)),"Código não cadastrado",(VLOOKUP(H:H,produtos_escape2!$A$2:$B$2794,2,FALSE))))</f>
        <v/>
      </c>
      <c r="M1447" s="593" t="str">
        <f>IF(H:H=0,"",IF(ISERROR(VLOOKUP(H:H,produtos_escape2!$A$2:$D$2794,2,FALSE)),"Código não cadastrado",(VLOOKUP(H:H,produtos_escape2!$A$2:$D$2794,4,FALSE))))</f>
        <v/>
      </c>
      <c r="N1447" s="486"/>
      <c r="O1447" s="176"/>
      <c r="P1447" s="486"/>
      <c r="Q1447" s="247"/>
      <c r="R1447" s="246">
        <f t="shared" si="59"/>
        <v>0</v>
      </c>
      <c r="S1447" s="177"/>
      <c r="T1447" s="182"/>
      <c r="U1447" s="177"/>
      <c r="V1447" s="177"/>
      <c r="W1447" s="177"/>
      <c r="X1447" s="176"/>
      <c r="Y1447" s="177"/>
      <c r="Z1447" s="415"/>
      <c r="AA1447" s="488"/>
      <c r="AB1447" s="594"/>
      <c r="AC1447" s="595"/>
      <c r="AD1447" s="596" t="str">
        <f>IF(AND(AC1447&lt;&gt;"",S1447&lt;&gt;""),NETWORKDAYS(AC1447,S1447,#REF!),"")</f>
        <v/>
      </c>
      <c r="AE1447" s="596" t="str">
        <f ca="1">IF(AND(AD1447="",AC1447=""),"",IF(OR(AD1447&lt;&gt;"",O1447="*CANCELADO"),"",NETWORKDAYS(AC1447,TODAY(),#REF!)))</f>
        <v/>
      </c>
      <c r="AF1447" s="597" t="str">
        <f>IFERROR(INDEX(produtos_escape2!M:M,MATCH(Controle!H1447,produtos_escape2!A:A,0)),"")</f>
        <v/>
      </c>
    </row>
    <row r="1448" spans="1:32" ht="14.25" customHeight="1">
      <c r="A1448" s="176"/>
      <c r="B1448" s="176"/>
      <c r="C1448" s="177"/>
      <c r="D1448" s="176"/>
      <c r="E1448" s="176"/>
      <c r="F1448" s="259"/>
      <c r="G1448" s="176"/>
      <c r="H1448" s="178"/>
      <c r="I1448" s="592">
        <f t="shared" si="60"/>
        <v>0</v>
      </c>
      <c r="J1448" s="178"/>
      <c r="K1448" s="178"/>
      <c r="L1448" s="275" t="str">
        <f>IF(H:H=0,"",IF(ISERROR(VLOOKUP(H:H,produtos_escape2!$A$2:$B$2794,2,FALSE)),"Código não cadastrado",(VLOOKUP(H:H,produtos_escape2!$A$2:$B$2794,2,FALSE))))</f>
        <v/>
      </c>
      <c r="M1448" s="593" t="str">
        <f>IF(H:H=0,"",IF(ISERROR(VLOOKUP(H:H,produtos_escape2!$A$2:$D$2794,2,FALSE)),"Código não cadastrado",(VLOOKUP(H:H,produtos_escape2!$A$2:$D$2794,4,FALSE))))</f>
        <v/>
      </c>
      <c r="N1448" s="486"/>
      <c r="O1448" s="176"/>
      <c r="P1448" s="486"/>
      <c r="Q1448" s="247"/>
      <c r="R1448" s="246">
        <f t="shared" si="59"/>
        <v>0</v>
      </c>
      <c r="S1448" s="177"/>
      <c r="T1448" s="182"/>
      <c r="U1448" s="177"/>
      <c r="V1448" s="177"/>
      <c r="W1448" s="177"/>
      <c r="X1448" s="176"/>
      <c r="Y1448" s="177"/>
      <c r="Z1448" s="415"/>
      <c r="AA1448" s="488"/>
      <c r="AB1448" s="594"/>
      <c r="AC1448" s="595"/>
      <c r="AD1448" s="596" t="str">
        <f>IF(AND(AC1448&lt;&gt;"",S1448&lt;&gt;""),NETWORKDAYS(AC1448,S1448,#REF!),"")</f>
        <v/>
      </c>
      <c r="AE1448" s="596" t="str">
        <f ca="1">IF(AND(AD1448="",AC1448=""),"",IF(OR(AD1448&lt;&gt;"",O1448="*CANCELADO"),"",NETWORKDAYS(AC1448,TODAY(),#REF!)))</f>
        <v/>
      </c>
      <c r="AF1448" s="597" t="str">
        <f>IFERROR(INDEX(produtos_escape2!M:M,MATCH(Controle!H1448,produtos_escape2!A:A,0)),"")</f>
        <v/>
      </c>
    </row>
    <row r="1449" spans="1:32" ht="14.25" customHeight="1">
      <c r="A1449" s="176"/>
      <c r="B1449" s="176"/>
      <c r="C1449" s="177"/>
      <c r="D1449" s="176"/>
      <c r="E1449" s="176"/>
      <c r="F1449" s="259"/>
      <c r="G1449" s="176"/>
      <c r="H1449" s="178"/>
      <c r="I1449" s="592">
        <f t="shared" si="60"/>
        <v>0</v>
      </c>
      <c r="J1449" s="178"/>
      <c r="K1449" s="178"/>
      <c r="L1449" s="275" t="str">
        <f>IF(H:H=0,"",IF(ISERROR(VLOOKUP(H:H,produtos_escape2!$A$2:$B$2794,2,FALSE)),"Código não cadastrado",(VLOOKUP(H:H,produtos_escape2!$A$2:$B$2794,2,FALSE))))</f>
        <v/>
      </c>
      <c r="M1449" s="593" t="str">
        <f>IF(H:H=0,"",IF(ISERROR(VLOOKUP(H:H,produtos_escape2!$A$2:$D$2794,2,FALSE)),"Código não cadastrado",(VLOOKUP(H:H,produtos_escape2!$A$2:$D$2794,4,FALSE))))</f>
        <v/>
      </c>
      <c r="N1449" s="486"/>
      <c r="O1449" s="176"/>
      <c r="P1449" s="486"/>
      <c r="Q1449" s="247"/>
      <c r="R1449" s="246">
        <f t="shared" si="59"/>
        <v>0</v>
      </c>
      <c r="S1449" s="177"/>
      <c r="T1449" s="182"/>
      <c r="U1449" s="177"/>
      <c r="V1449" s="177"/>
      <c r="W1449" s="177"/>
      <c r="X1449" s="176"/>
      <c r="Y1449" s="177"/>
      <c r="Z1449" s="415"/>
      <c r="AA1449" s="488"/>
      <c r="AB1449" s="594"/>
      <c r="AC1449" s="595"/>
      <c r="AD1449" s="596" t="str">
        <f>IF(AND(AC1449&lt;&gt;"",S1449&lt;&gt;""),NETWORKDAYS(AC1449,S1449,#REF!),"")</f>
        <v/>
      </c>
      <c r="AE1449" s="596" t="str">
        <f ca="1">IF(AND(AD1449="",AC1449=""),"",IF(OR(AD1449&lt;&gt;"",O1449="*CANCELADO"),"",NETWORKDAYS(AC1449,TODAY(),#REF!)))</f>
        <v/>
      </c>
      <c r="AF1449" s="597" t="str">
        <f>IFERROR(INDEX(produtos_escape2!M:M,MATCH(Controle!H1449,produtos_escape2!A:A,0)),"")</f>
        <v/>
      </c>
    </row>
    <row r="1450" spans="1:32" ht="14.25" customHeight="1">
      <c r="A1450" s="176"/>
      <c r="B1450" s="176"/>
      <c r="C1450" s="177"/>
      <c r="D1450" s="176"/>
      <c r="E1450" s="176"/>
      <c r="F1450" s="259"/>
      <c r="G1450" s="176"/>
      <c r="H1450" s="178"/>
      <c r="I1450" s="592">
        <f t="shared" si="60"/>
        <v>0</v>
      </c>
      <c r="J1450" s="178"/>
      <c r="K1450" s="178"/>
      <c r="L1450" s="275" t="str">
        <f>IF(H:H=0,"",IF(ISERROR(VLOOKUP(H:H,produtos_escape2!$A$2:$B$2794,2,FALSE)),"Código não cadastrado",(VLOOKUP(H:H,produtos_escape2!$A$2:$B$2794,2,FALSE))))</f>
        <v/>
      </c>
      <c r="M1450" s="593" t="str">
        <f>IF(H:H=0,"",IF(ISERROR(VLOOKUP(H:H,produtos_escape2!$A$2:$D$2794,2,FALSE)),"Código não cadastrado",(VLOOKUP(H:H,produtos_escape2!$A$2:$D$2794,4,FALSE))))</f>
        <v/>
      </c>
      <c r="N1450" s="486"/>
      <c r="O1450" s="176"/>
      <c r="P1450" s="486"/>
      <c r="Q1450" s="247"/>
      <c r="R1450" s="246">
        <f t="shared" si="59"/>
        <v>0</v>
      </c>
      <c r="S1450" s="177"/>
      <c r="T1450" s="182"/>
      <c r="U1450" s="177"/>
      <c r="V1450" s="177"/>
      <c r="W1450" s="177"/>
      <c r="X1450" s="176"/>
      <c r="Y1450" s="177"/>
      <c r="Z1450" s="415"/>
      <c r="AA1450" s="488"/>
      <c r="AB1450" s="594"/>
      <c r="AC1450" s="595"/>
      <c r="AD1450" s="596" t="str">
        <f>IF(AND(AC1450&lt;&gt;"",S1450&lt;&gt;""),NETWORKDAYS(AC1450,S1450,#REF!),"")</f>
        <v/>
      </c>
      <c r="AE1450" s="596" t="str">
        <f ca="1">IF(AND(AD1450="",AC1450=""),"",IF(OR(AD1450&lt;&gt;"",O1450="*CANCELADO"),"",NETWORKDAYS(AC1450,TODAY(),#REF!)))</f>
        <v/>
      </c>
      <c r="AF1450" s="597" t="str">
        <f>IFERROR(INDEX(produtos_escape2!M:M,MATCH(Controle!H1450,produtos_escape2!A:A,0)),"")</f>
        <v/>
      </c>
    </row>
    <row r="1451" spans="1:32" ht="14.25" customHeight="1">
      <c r="A1451" s="176"/>
      <c r="B1451" s="176"/>
      <c r="C1451" s="177"/>
      <c r="D1451" s="176"/>
      <c r="E1451" s="176"/>
      <c r="F1451" s="259"/>
      <c r="G1451" s="176"/>
      <c r="H1451" s="178"/>
      <c r="I1451" s="592">
        <f t="shared" si="60"/>
        <v>0</v>
      </c>
      <c r="J1451" s="178"/>
      <c r="K1451" s="178"/>
      <c r="L1451" s="275" t="str">
        <f>IF(H:H=0,"",IF(ISERROR(VLOOKUP(H:H,produtos_escape2!$A$2:$B$2794,2,FALSE)),"Código não cadastrado",(VLOOKUP(H:H,produtos_escape2!$A$2:$B$2794,2,FALSE))))</f>
        <v/>
      </c>
      <c r="M1451" s="593" t="str">
        <f>IF(H:H=0,"",IF(ISERROR(VLOOKUP(H:H,produtos_escape2!$A$2:$D$2794,2,FALSE)),"Código não cadastrado",(VLOOKUP(H:H,produtos_escape2!$A$2:$D$2794,4,FALSE))))</f>
        <v/>
      </c>
      <c r="N1451" s="486"/>
      <c r="O1451" s="176"/>
      <c r="P1451" s="486"/>
      <c r="Q1451" s="247"/>
      <c r="R1451" s="246">
        <f t="shared" si="59"/>
        <v>0</v>
      </c>
      <c r="S1451" s="177"/>
      <c r="T1451" s="182"/>
      <c r="U1451" s="177"/>
      <c r="V1451" s="177"/>
      <c r="W1451" s="177"/>
      <c r="X1451" s="176"/>
      <c r="Y1451" s="177"/>
      <c r="Z1451" s="415"/>
      <c r="AA1451" s="488"/>
      <c r="AB1451" s="594"/>
      <c r="AC1451" s="595"/>
      <c r="AD1451" s="596" t="str">
        <f>IF(AND(AC1451&lt;&gt;"",S1451&lt;&gt;""),NETWORKDAYS(AC1451,S1451,#REF!),"")</f>
        <v/>
      </c>
      <c r="AE1451" s="596" t="str">
        <f ca="1">IF(AND(AD1451="",AC1451=""),"",IF(OR(AD1451&lt;&gt;"",O1451="*CANCELADO"),"",NETWORKDAYS(AC1451,TODAY(),#REF!)))</f>
        <v/>
      </c>
      <c r="AF1451" s="597" t="str">
        <f>IFERROR(INDEX(produtos_escape2!M:M,MATCH(Controle!H1451,produtos_escape2!A:A,0)),"")</f>
        <v/>
      </c>
    </row>
    <row r="1452" spans="1:32" ht="14.25" customHeight="1">
      <c r="A1452" s="176"/>
      <c r="B1452" s="176"/>
      <c r="C1452" s="177"/>
      <c r="D1452" s="176"/>
      <c r="E1452" s="176"/>
      <c r="F1452" s="259"/>
      <c r="G1452" s="176"/>
      <c r="H1452" s="178"/>
      <c r="I1452" s="592">
        <f t="shared" si="60"/>
        <v>0</v>
      </c>
      <c r="J1452" s="178"/>
      <c r="K1452" s="178"/>
      <c r="L1452" s="275" t="str">
        <f>IF(H:H=0,"",IF(ISERROR(VLOOKUP(H:H,produtos_escape2!$A$2:$B$2794,2,FALSE)),"Código não cadastrado",(VLOOKUP(H:H,produtos_escape2!$A$2:$B$2794,2,FALSE))))</f>
        <v/>
      </c>
      <c r="M1452" s="593" t="str">
        <f>IF(H:H=0,"",IF(ISERROR(VLOOKUP(H:H,produtos_escape2!$A$2:$D$2794,2,FALSE)),"Código não cadastrado",(VLOOKUP(H:H,produtos_escape2!$A$2:$D$2794,4,FALSE))))</f>
        <v/>
      </c>
      <c r="N1452" s="486"/>
      <c r="O1452" s="176"/>
      <c r="P1452" s="486"/>
      <c r="Q1452" s="247"/>
      <c r="R1452" s="246">
        <f t="shared" si="59"/>
        <v>0</v>
      </c>
      <c r="S1452" s="177"/>
      <c r="T1452" s="182"/>
      <c r="U1452" s="177"/>
      <c r="V1452" s="177"/>
      <c r="W1452" s="177"/>
      <c r="X1452" s="176"/>
      <c r="Y1452" s="177"/>
      <c r="Z1452" s="415"/>
      <c r="AA1452" s="488"/>
      <c r="AB1452" s="594"/>
      <c r="AC1452" s="595"/>
      <c r="AD1452" s="596" t="str">
        <f>IF(AND(AC1452&lt;&gt;"",S1452&lt;&gt;""),NETWORKDAYS(AC1452,S1452,#REF!),"")</f>
        <v/>
      </c>
      <c r="AE1452" s="596" t="str">
        <f ca="1">IF(AND(AD1452="",AC1452=""),"",IF(OR(AD1452&lt;&gt;"",O1452="*CANCELADO"),"",NETWORKDAYS(AC1452,TODAY(),#REF!)))</f>
        <v/>
      </c>
      <c r="AF1452" s="597" t="str">
        <f>IFERROR(INDEX(produtos_escape2!M:M,MATCH(Controle!H1452,produtos_escape2!A:A,0)),"")</f>
        <v/>
      </c>
    </row>
    <row r="1453" spans="1:32" ht="14.25" customHeight="1">
      <c r="A1453" s="176"/>
      <c r="B1453" s="176"/>
      <c r="C1453" s="177"/>
      <c r="D1453" s="176"/>
      <c r="E1453" s="176"/>
      <c r="F1453" s="259"/>
      <c r="G1453" s="176"/>
      <c r="H1453" s="178"/>
      <c r="I1453" s="592">
        <f t="shared" si="60"/>
        <v>0</v>
      </c>
      <c r="J1453" s="178"/>
      <c r="K1453" s="178"/>
      <c r="L1453" s="275" t="str">
        <f>IF(H:H=0,"",IF(ISERROR(VLOOKUP(H:H,produtos_escape2!$A$2:$B$2794,2,FALSE)),"Código não cadastrado",(VLOOKUP(H:H,produtos_escape2!$A$2:$B$2794,2,FALSE))))</f>
        <v/>
      </c>
      <c r="M1453" s="593" t="str">
        <f>IF(H:H=0,"",IF(ISERROR(VLOOKUP(H:H,produtos_escape2!$A$2:$D$2794,2,FALSE)),"Código não cadastrado",(VLOOKUP(H:H,produtos_escape2!$A$2:$D$2794,4,FALSE))))</f>
        <v/>
      </c>
      <c r="N1453" s="486"/>
      <c r="O1453" s="176"/>
      <c r="P1453" s="486"/>
      <c r="Q1453" s="247"/>
      <c r="R1453" s="246">
        <f t="shared" ref="R1453:R1516" si="61">P1453*Q1453</f>
        <v>0</v>
      </c>
      <c r="S1453" s="177"/>
      <c r="T1453" s="182"/>
      <c r="U1453" s="177"/>
      <c r="V1453" s="177"/>
      <c r="W1453" s="177"/>
      <c r="X1453" s="176"/>
      <c r="Y1453" s="177"/>
      <c r="Z1453" s="415"/>
      <c r="AA1453" s="488"/>
      <c r="AB1453" s="594"/>
      <c r="AC1453" s="595"/>
      <c r="AD1453" s="596" t="str">
        <f>IF(AND(AC1453&lt;&gt;"",S1453&lt;&gt;""),NETWORKDAYS(AC1453,S1453,#REF!),"")</f>
        <v/>
      </c>
      <c r="AE1453" s="596" t="str">
        <f ca="1">IF(AND(AD1453="",AC1453=""),"",IF(OR(AD1453&lt;&gt;"",O1453="*CANCELADO"),"",NETWORKDAYS(AC1453,TODAY(),#REF!)))</f>
        <v/>
      </c>
      <c r="AF1453" s="597" t="str">
        <f>IFERROR(INDEX(produtos_escape2!M:M,MATCH(Controle!H1453,produtos_escape2!A:A,0)),"")</f>
        <v/>
      </c>
    </row>
    <row r="1454" spans="1:32" ht="14.25" customHeight="1">
      <c r="A1454" s="176"/>
      <c r="B1454" s="176"/>
      <c r="C1454" s="177"/>
      <c r="D1454" s="176"/>
      <c r="E1454" s="176"/>
      <c r="F1454" s="259"/>
      <c r="G1454" s="176"/>
      <c r="H1454" s="178"/>
      <c r="I1454" s="592">
        <f t="shared" si="60"/>
        <v>0</v>
      </c>
      <c r="J1454" s="178"/>
      <c r="K1454" s="178"/>
      <c r="L1454" s="275" t="str">
        <f>IF(H:H=0,"",IF(ISERROR(VLOOKUP(H:H,produtos_escape2!$A$2:$B$2794,2,FALSE)),"Código não cadastrado",(VLOOKUP(H:H,produtos_escape2!$A$2:$B$2794,2,FALSE))))</f>
        <v/>
      </c>
      <c r="M1454" s="593" t="str">
        <f>IF(H:H=0,"",IF(ISERROR(VLOOKUP(H:H,produtos_escape2!$A$2:$D$2794,2,FALSE)),"Código não cadastrado",(VLOOKUP(H:H,produtos_escape2!$A$2:$D$2794,4,FALSE))))</f>
        <v/>
      </c>
      <c r="N1454" s="486"/>
      <c r="O1454" s="176"/>
      <c r="P1454" s="486"/>
      <c r="Q1454" s="247"/>
      <c r="R1454" s="246">
        <f t="shared" si="61"/>
        <v>0</v>
      </c>
      <c r="S1454" s="177"/>
      <c r="T1454" s="182"/>
      <c r="U1454" s="177"/>
      <c r="V1454" s="177"/>
      <c r="W1454" s="177"/>
      <c r="X1454" s="176"/>
      <c r="Y1454" s="177"/>
      <c r="Z1454" s="415"/>
      <c r="AA1454" s="488"/>
      <c r="AB1454" s="594"/>
      <c r="AC1454" s="595"/>
      <c r="AD1454" s="596" t="str">
        <f>IF(AND(AC1454&lt;&gt;"",S1454&lt;&gt;""),NETWORKDAYS(AC1454,S1454,#REF!),"")</f>
        <v/>
      </c>
      <c r="AE1454" s="596" t="str">
        <f ca="1">IF(AND(AD1454="",AC1454=""),"",IF(OR(AD1454&lt;&gt;"",O1454="*CANCELADO"),"",NETWORKDAYS(AC1454,TODAY(),#REF!)))</f>
        <v/>
      </c>
      <c r="AF1454" s="597" t="str">
        <f>IFERROR(INDEX(produtos_escape2!M:M,MATCH(Controle!H1454,produtos_escape2!A:A,0)),"")</f>
        <v/>
      </c>
    </row>
    <row r="1455" spans="1:32" ht="14.25" customHeight="1">
      <c r="A1455" s="176"/>
      <c r="B1455" s="176"/>
      <c r="C1455" s="177"/>
      <c r="D1455" s="176"/>
      <c r="E1455" s="176"/>
      <c r="F1455" s="259"/>
      <c r="G1455" s="176"/>
      <c r="H1455" s="178"/>
      <c r="I1455" s="592">
        <f t="shared" si="60"/>
        <v>0</v>
      </c>
      <c r="J1455" s="178"/>
      <c r="K1455" s="178"/>
      <c r="L1455" s="275" t="str">
        <f>IF(H:H=0,"",IF(ISERROR(VLOOKUP(H:H,produtos_escape2!$A$2:$B$2794,2,FALSE)),"Código não cadastrado",(VLOOKUP(H:H,produtos_escape2!$A$2:$B$2794,2,FALSE))))</f>
        <v/>
      </c>
      <c r="M1455" s="593" t="str">
        <f>IF(H:H=0,"",IF(ISERROR(VLOOKUP(H:H,produtos_escape2!$A$2:$D$2794,2,FALSE)),"Código não cadastrado",(VLOOKUP(H:H,produtos_escape2!$A$2:$D$2794,4,FALSE))))</f>
        <v/>
      </c>
      <c r="N1455" s="486"/>
      <c r="O1455" s="176"/>
      <c r="P1455" s="486"/>
      <c r="Q1455" s="247"/>
      <c r="R1455" s="246">
        <f t="shared" si="61"/>
        <v>0</v>
      </c>
      <c r="S1455" s="177"/>
      <c r="T1455" s="182"/>
      <c r="U1455" s="177"/>
      <c r="V1455" s="177"/>
      <c r="W1455" s="177"/>
      <c r="X1455" s="176"/>
      <c r="Y1455" s="177"/>
      <c r="Z1455" s="415"/>
      <c r="AA1455" s="488"/>
      <c r="AB1455" s="594"/>
      <c r="AC1455" s="595"/>
      <c r="AD1455" s="596" t="str">
        <f>IF(AND(AC1455&lt;&gt;"",S1455&lt;&gt;""),NETWORKDAYS(AC1455,S1455,#REF!),"")</f>
        <v/>
      </c>
      <c r="AE1455" s="596" t="str">
        <f ca="1">IF(AND(AD1455="",AC1455=""),"",IF(OR(AD1455&lt;&gt;"",O1455="*CANCELADO"),"",NETWORKDAYS(AC1455,TODAY(),#REF!)))</f>
        <v/>
      </c>
      <c r="AF1455" s="597" t="str">
        <f>IFERROR(INDEX(produtos_escape2!M:M,MATCH(Controle!H1455,produtos_escape2!A:A,0)),"")</f>
        <v/>
      </c>
    </row>
    <row r="1456" spans="1:32" ht="14.25" customHeight="1">
      <c r="A1456" s="176"/>
      <c r="B1456" s="176"/>
      <c r="C1456" s="177"/>
      <c r="D1456" s="176"/>
      <c r="E1456" s="176"/>
      <c r="F1456" s="259"/>
      <c r="G1456" s="176"/>
      <c r="H1456" s="178"/>
      <c r="I1456" s="592">
        <f t="shared" si="60"/>
        <v>0</v>
      </c>
      <c r="J1456" s="178"/>
      <c r="K1456" s="178"/>
      <c r="L1456" s="275" t="str">
        <f>IF(H:H=0,"",IF(ISERROR(VLOOKUP(H:H,produtos_escape2!$A$2:$B$2794,2,FALSE)),"Código não cadastrado",(VLOOKUP(H:H,produtos_escape2!$A$2:$B$2794,2,FALSE))))</f>
        <v/>
      </c>
      <c r="M1456" s="593" t="str">
        <f>IF(H:H=0,"",IF(ISERROR(VLOOKUP(H:H,produtos_escape2!$A$2:$D$2794,2,FALSE)),"Código não cadastrado",(VLOOKUP(H:H,produtos_escape2!$A$2:$D$2794,4,FALSE))))</f>
        <v/>
      </c>
      <c r="N1456" s="486"/>
      <c r="O1456" s="176"/>
      <c r="P1456" s="486"/>
      <c r="Q1456" s="247"/>
      <c r="R1456" s="246">
        <f t="shared" si="61"/>
        <v>0</v>
      </c>
      <c r="S1456" s="177"/>
      <c r="T1456" s="182"/>
      <c r="U1456" s="177"/>
      <c r="V1456" s="177"/>
      <c r="W1456" s="177"/>
      <c r="X1456" s="176"/>
      <c r="Y1456" s="177"/>
      <c r="Z1456" s="415"/>
      <c r="AA1456" s="488"/>
      <c r="AB1456" s="594"/>
      <c r="AC1456" s="595"/>
      <c r="AD1456" s="596" t="str">
        <f>IF(AND(AC1456&lt;&gt;"",S1456&lt;&gt;""),NETWORKDAYS(AC1456,S1456,#REF!),"")</f>
        <v/>
      </c>
      <c r="AE1456" s="596" t="str">
        <f ca="1">IF(AND(AD1456="",AC1456=""),"",IF(OR(AD1456&lt;&gt;"",O1456="*CANCELADO"),"",NETWORKDAYS(AC1456,TODAY(),#REF!)))</f>
        <v/>
      </c>
      <c r="AF1456" s="597" t="str">
        <f>IFERROR(INDEX(produtos_escape2!M:M,MATCH(Controle!H1456,produtos_escape2!A:A,0)),"")</f>
        <v/>
      </c>
    </row>
    <row r="1457" spans="1:32" ht="14.25" customHeight="1">
      <c r="A1457" s="176"/>
      <c r="B1457" s="176"/>
      <c r="C1457" s="177"/>
      <c r="D1457" s="176"/>
      <c r="E1457" s="176"/>
      <c r="F1457" s="259"/>
      <c r="G1457" s="176"/>
      <c r="H1457" s="178"/>
      <c r="I1457" s="592">
        <f t="shared" si="60"/>
        <v>0</v>
      </c>
      <c r="J1457" s="178"/>
      <c r="K1457" s="178"/>
      <c r="L1457" s="275" t="str">
        <f>IF(H:H=0,"",IF(ISERROR(VLOOKUP(H:H,produtos_escape2!$A$2:$B$2794,2,FALSE)),"Código não cadastrado",(VLOOKUP(H:H,produtos_escape2!$A$2:$B$2794,2,FALSE))))</f>
        <v/>
      </c>
      <c r="M1457" s="593" t="str">
        <f>IF(H:H=0,"",IF(ISERROR(VLOOKUP(H:H,produtos_escape2!$A$2:$D$2794,2,FALSE)),"Código não cadastrado",(VLOOKUP(H:H,produtos_escape2!$A$2:$D$2794,4,FALSE))))</f>
        <v/>
      </c>
      <c r="N1457" s="486"/>
      <c r="O1457" s="176"/>
      <c r="P1457" s="486"/>
      <c r="Q1457" s="247"/>
      <c r="R1457" s="246">
        <f t="shared" si="61"/>
        <v>0</v>
      </c>
      <c r="S1457" s="177"/>
      <c r="T1457" s="182"/>
      <c r="U1457" s="177"/>
      <c r="V1457" s="177"/>
      <c r="W1457" s="177"/>
      <c r="X1457" s="176"/>
      <c r="Y1457" s="177"/>
      <c r="Z1457" s="415"/>
      <c r="AA1457" s="488"/>
      <c r="AB1457" s="594"/>
      <c r="AC1457" s="595"/>
      <c r="AD1457" s="596" t="str">
        <f>IF(AND(AC1457&lt;&gt;"",S1457&lt;&gt;""),NETWORKDAYS(AC1457,S1457,#REF!),"")</f>
        <v/>
      </c>
      <c r="AE1457" s="596" t="str">
        <f ca="1">IF(AND(AD1457="",AC1457=""),"",IF(OR(AD1457&lt;&gt;"",O1457="*CANCELADO"),"",NETWORKDAYS(AC1457,TODAY(),#REF!)))</f>
        <v/>
      </c>
      <c r="AF1457" s="597" t="str">
        <f>IFERROR(INDEX(produtos_escape2!M:M,MATCH(Controle!H1457,produtos_escape2!A:A,0)),"")</f>
        <v/>
      </c>
    </row>
    <row r="1458" spans="1:32" ht="14.25" customHeight="1">
      <c r="A1458" s="176"/>
      <c r="B1458" s="176"/>
      <c r="C1458" s="177"/>
      <c r="D1458" s="176"/>
      <c r="E1458" s="176"/>
      <c r="F1458" s="259"/>
      <c r="G1458" s="176"/>
      <c r="H1458" s="178"/>
      <c r="I1458" s="592">
        <f t="shared" si="60"/>
        <v>0</v>
      </c>
      <c r="J1458" s="178"/>
      <c r="K1458" s="178"/>
      <c r="L1458" s="275" t="str">
        <f>IF(H:H=0,"",IF(ISERROR(VLOOKUP(H:H,produtos_escape2!$A$2:$B$2794,2,FALSE)),"Código não cadastrado",(VLOOKUP(H:H,produtos_escape2!$A$2:$B$2794,2,FALSE))))</f>
        <v/>
      </c>
      <c r="M1458" s="593" t="str">
        <f>IF(H:H=0,"",IF(ISERROR(VLOOKUP(H:H,produtos_escape2!$A$2:$D$2794,2,FALSE)),"Código não cadastrado",(VLOOKUP(H:H,produtos_escape2!$A$2:$D$2794,4,FALSE))))</f>
        <v/>
      </c>
      <c r="N1458" s="486"/>
      <c r="O1458" s="176"/>
      <c r="P1458" s="486"/>
      <c r="Q1458" s="247"/>
      <c r="R1458" s="246">
        <f t="shared" si="61"/>
        <v>0</v>
      </c>
      <c r="S1458" s="177"/>
      <c r="T1458" s="182"/>
      <c r="U1458" s="177"/>
      <c r="V1458" s="177"/>
      <c r="W1458" s="177"/>
      <c r="X1458" s="176"/>
      <c r="Y1458" s="177"/>
      <c r="Z1458" s="415"/>
      <c r="AA1458" s="488"/>
      <c r="AB1458" s="594"/>
      <c r="AC1458" s="595"/>
      <c r="AD1458" s="596" t="str">
        <f>IF(AND(AC1458&lt;&gt;"",S1458&lt;&gt;""),NETWORKDAYS(AC1458,S1458,#REF!),"")</f>
        <v/>
      </c>
      <c r="AE1458" s="596" t="str">
        <f ca="1">IF(AND(AD1458="",AC1458=""),"",IF(OR(AD1458&lt;&gt;"",O1458="*CANCELADO"),"",NETWORKDAYS(AC1458,TODAY(),#REF!)))</f>
        <v/>
      </c>
      <c r="AF1458" s="597" t="str">
        <f>IFERROR(INDEX(produtos_escape2!M:M,MATCH(Controle!H1458,produtos_escape2!A:A,0)),"")</f>
        <v/>
      </c>
    </row>
    <row r="1459" spans="1:32" ht="14.25" customHeight="1">
      <c r="A1459" s="176"/>
      <c r="B1459" s="176"/>
      <c r="C1459" s="177"/>
      <c r="D1459" s="176"/>
      <c r="E1459" s="176"/>
      <c r="F1459" s="259"/>
      <c r="G1459" s="176"/>
      <c r="H1459" s="178"/>
      <c r="I1459" s="592">
        <f t="shared" si="60"/>
        <v>0</v>
      </c>
      <c r="J1459" s="178"/>
      <c r="K1459" s="178"/>
      <c r="L1459" s="275" t="str">
        <f>IF(H:H=0,"",IF(ISERROR(VLOOKUP(H:H,produtos_escape2!$A$2:$B$2794,2,FALSE)),"Código não cadastrado",(VLOOKUP(H:H,produtos_escape2!$A$2:$B$2794,2,FALSE))))</f>
        <v/>
      </c>
      <c r="M1459" s="593" t="str">
        <f>IF(H:H=0,"",IF(ISERROR(VLOOKUP(H:H,produtos_escape2!$A$2:$D$2794,2,FALSE)),"Código não cadastrado",(VLOOKUP(H:H,produtos_escape2!$A$2:$D$2794,4,FALSE))))</f>
        <v/>
      </c>
      <c r="N1459" s="486"/>
      <c r="O1459" s="176"/>
      <c r="P1459" s="486"/>
      <c r="Q1459" s="247"/>
      <c r="R1459" s="246">
        <f t="shared" si="61"/>
        <v>0</v>
      </c>
      <c r="S1459" s="177"/>
      <c r="T1459" s="182"/>
      <c r="U1459" s="177"/>
      <c r="V1459" s="177"/>
      <c r="W1459" s="177"/>
      <c r="X1459" s="176"/>
      <c r="Y1459" s="177"/>
      <c r="Z1459" s="415"/>
      <c r="AA1459" s="488"/>
      <c r="AB1459" s="594"/>
      <c r="AC1459" s="595"/>
      <c r="AD1459" s="596" t="str">
        <f>IF(AND(AC1459&lt;&gt;"",S1459&lt;&gt;""),NETWORKDAYS(AC1459,S1459,#REF!),"")</f>
        <v/>
      </c>
      <c r="AE1459" s="596" t="str">
        <f ca="1">IF(AND(AD1459="",AC1459=""),"",IF(OR(AD1459&lt;&gt;"",O1459="*CANCELADO"),"",NETWORKDAYS(AC1459,TODAY(),#REF!)))</f>
        <v/>
      </c>
      <c r="AF1459" s="597" t="str">
        <f>IFERROR(INDEX(produtos_escape2!M:M,MATCH(Controle!H1459,produtos_escape2!A:A,0)),"")</f>
        <v/>
      </c>
    </row>
    <row r="1460" spans="1:32" ht="14.25" customHeight="1">
      <c r="A1460" s="176"/>
      <c r="B1460" s="176"/>
      <c r="C1460" s="177"/>
      <c r="D1460" s="176"/>
      <c r="E1460" s="176"/>
      <c r="F1460" s="259"/>
      <c r="G1460" s="176"/>
      <c r="H1460" s="178"/>
      <c r="I1460" s="592">
        <f t="shared" si="60"/>
        <v>0</v>
      </c>
      <c r="J1460" s="178"/>
      <c r="K1460" s="178"/>
      <c r="L1460" s="275" t="str">
        <f>IF(H:H=0,"",IF(ISERROR(VLOOKUP(H:H,produtos_escape2!$A$2:$B$2794,2,FALSE)),"Código não cadastrado",(VLOOKUP(H:H,produtos_escape2!$A$2:$B$2794,2,FALSE))))</f>
        <v/>
      </c>
      <c r="M1460" s="593" t="str">
        <f>IF(H:H=0,"",IF(ISERROR(VLOOKUP(H:H,produtos_escape2!$A$2:$D$2794,2,FALSE)),"Código não cadastrado",(VLOOKUP(H:H,produtos_escape2!$A$2:$D$2794,4,FALSE))))</f>
        <v/>
      </c>
      <c r="N1460" s="486"/>
      <c r="O1460" s="176"/>
      <c r="P1460" s="486"/>
      <c r="Q1460" s="247"/>
      <c r="R1460" s="246">
        <f t="shared" si="61"/>
        <v>0</v>
      </c>
      <c r="S1460" s="177"/>
      <c r="T1460" s="182"/>
      <c r="U1460" s="177"/>
      <c r="V1460" s="177"/>
      <c r="W1460" s="177"/>
      <c r="X1460" s="176"/>
      <c r="Y1460" s="177"/>
      <c r="Z1460" s="415"/>
      <c r="AA1460" s="488"/>
      <c r="AB1460" s="594"/>
      <c r="AC1460" s="595"/>
      <c r="AD1460" s="596" t="str">
        <f>IF(AND(AC1460&lt;&gt;"",S1460&lt;&gt;""),NETWORKDAYS(AC1460,S1460,#REF!),"")</f>
        <v/>
      </c>
      <c r="AE1460" s="596" t="str">
        <f ca="1">IF(AND(AD1460="",AC1460=""),"",IF(OR(AD1460&lt;&gt;"",O1460="*CANCELADO"),"",NETWORKDAYS(AC1460,TODAY(),#REF!)))</f>
        <v/>
      </c>
      <c r="AF1460" s="597" t="str">
        <f>IFERROR(INDEX(produtos_escape2!M:M,MATCH(Controle!H1460,produtos_escape2!A:A,0)),"")</f>
        <v/>
      </c>
    </row>
    <row r="1461" spans="1:32" ht="14.25" customHeight="1">
      <c r="A1461" s="176"/>
      <c r="B1461" s="176"/>
      <c r="C1461" s="177"/>
      <c r="D1461" s="176"/>
      <c r="E1461" s="176"/>
      <c r="F1461" s="259"/>
      <c r="G1461" s="176"/>
      <c r="H1461" s="178"/>
      <c r="I1461" s="592">
        <f t="shared" si="60"/>
        <v>0</v>
      </c>
      <c r="J1461" s="178"/>
      <c r="K1461" s="178"/>
      <c r="L1461" s="275" t="str">
        <f>IF(H:H=0,"",IF(ISERROR(VLOOKUP(H:H,produtos_escape2!$A$2:$B$2794,2,FALSE)),"Código não cadastrado",(VLOOKUP(H:H,produtos_escape2!$A$2:$B$2794,2,FALSE))))</f>
        <v/>
      </c>
      <c r="M1461" s="593" t="str">
        <f>IF(H:H=0,"",IF(ISERROR(VLOOKUP(H:H,produtos_escape2!$A$2:$D$2794,2,FALSE)),"Código não cadastrado",(VLOOKUP(H:H,produtos_escape2!$A$2:$D$2794,4,FALSE))))</f>
        <v/>
      </c>
      <c r="N1461" s="486"/>
      <c r="O1461" s="176"/>
      <c r="P1461" s="486"/>
      <c r="Q1461" s="247"/>
      <c r="R1461" s="246">
        <f t="shared" si="61"/>
        <v>0</v>
      </c>
      <c r="S1461" s="177"/>
      <c r="T1461" s="182"/>
      <c r="U1461" s="177"/>
      <c r="V1461" s="177"/>
      <c r="W1461" s="177"/>
      <c r="X1461" s="176"/>
      <c r="Y1461" s="177"/>
      <c r="Z1461" s="415"/>
      <c r="AA1461" s="488"/>
      <c r="AB1461" s="594"/>
      <c r="AC1461" s="595"/>
      <c r="AD1461" s="596" t="str">
        <f>IF(AND(AC1461&lt;&gt;"",S1461&lt;&gt;""),NETWORKDAYS(AC1461,S1461,#REF!),"")</f>
        <v/>
      </c>
      <c r="AE1461" s="596" t="str">
        <f ca="1">IF(AND(AD1461="",AC1461=""),"",IF(OR(AD1461&lt;&gt;"",O1461="*CANCELADO"),"",NETWORKDAYS(AC1461,TODAY(),#REF!)))</f>
        <v/>
      </c>
      <c r="AF1461" s="597" t="str">
        <f>IFERROR(INDEX(produtos_escape2!M:M,MATCH(Controle!H1461,produtos_escape2!A:A,0)),"")</f>
        <v/>
      </c>
    </row>
    <row r="1462" spans="1:32" ht="14.25" customHeight="1">
      <c r="A1462" s="176"/>
      <c r="B1462" s="176"/>
      <c r="C1462" s="177"/>
      <c r="D1462" s="176"/>
      <c r="E1462" s="176"/>
      <c r="F1462" s="259"/>
      <c r="G1462" s="176"/>
      <c r="H1462" s="178"/>
      <c r="I1462" s="592">
        <f t="shared" ref="I1462:I1525" si="62">COUNTIF($H$3:$H$3041,H1462)</f>
        <v>0</v>
      </c>
      <c r="J1462" s="178"/>
      <c r="K1462" s="178"/>
      <c r="L1462" s="275" t="str">
        <f>IF(H:H=0,"",IF(ISERROR(VLOOKUP(H:H,produtos_escape2!$A$2:$B$2794,2,FALSE)),"Código não cadastrado",(VLOOKUP(H:H,produtos_escape2!$A$2:$B$2794,2,FALSE))))</f>
        <v/>
      </c>
      <c r="M1462" s="593" t="str">
        <f>IF(H:H=0,"",IF(ISERROR(VLOOKUP(H:H,produtos_escape2!$A$2:$D$2794,2,FALSE)),"Código não cadastrado",(VLOOKUP(H:H,produtos_escape2!$A$2:$D$2794,4,FALSE))))</f>
        <v/>
      </c>
      <c r="N1462" s="486"/>
      <c r="O1462" s="176"/>
      <c r="P1462" s="486"/>
      <c r="Q1462" s="247"/>
      <c r="R1462" s="246">
        <f t="shared" si="61"/>
        <v>0</v>
      </c>
      <c r="S1462" s="177"/>
      <c r="T1462" s="182"/>
      <c r="U1462" s="177"/>
      <c r="V1462" s="177"/>
      <c r="W1462" s="177"/>
      <c r="X1462" s="176"/>
      <c r="Y1462" s="177"/>
      <c r="Z1462" s="415"/>
      <c r="AA1462" s="488"/>
      <c r="AB1462" s="594"/>
      <c r="AC1462" s="595"/>
      <c r="AD1462" s="596" t="str">
        <f>IF(AND(AC1462&lt;&gt;"",S1462&lt;&gt;""),NETWORKDAYS(AC1462,S1462,#REF!),"")</f>
        <v/>
      </c>
      <c r="AE1462" s="596" t="str">
        <f ca="1">IF(AND(AD1462="",AC1462=""),"",IF(OR(AD1462&lt;&gt;"",O1462="*CANCELADO"),"",NETWORKDAYS(AC1462,TODAY(),#REF!)))</f>
        <v/>
      </c>
      <c r="AF1462" s="597" t="str">
        <f>IFERROR(INDEX(produtos_escape2!M:M,MATCH(Controle!H1462,produtos_escape2!A:A,0)),"")</f>
        <v/>
      </c>
    </row>
    <row r="1463" spans="1:32" ht="14.25" customHeight="1">
      <c r="A1463" s="176"/>
      <c r="B1463" s="176"/>
      <c r="C1463" s="177"/>
      <c r="D1463" s="176"/>
      <c r="E1463" s="176"/>
      <c r="F1463" s="259"/>
      <c r="G1463" s="176"/>
      <c r="H1463" s="178"/>
      <c r="I1463" s="592">
        <f t="shared" si="62"/>
        <v>0</v>
      </c>
      <c r="J1463" s="178"/>
      <c r="K1463" s="178"/>
      <c r="L1463" s="275" t="str">
        <f>IF(H:H=0,"",IF(ISERROR(VLOOKUP(H:H,produtos_escape2!$A$2:$B$2794,2,FALSE)),"Código não cadastrado",(VLOOKUP(H:H,produtos_escape2!$A$2:$B$2794,2,FALSE))))</f>
        <v/>
      </c>
      <c r="M1463" s="593" t="str">
        <f>IF(H:H=0,"",IF(ISERROR(VLOOKUP(H:H,produtos_escape2!$A$2:$D$2794,2,FALSE)),"Código não cadastrado",(VLOOKUP(H:H,produtos_escape2!$A$2:$D$2794,4,FALSE))))</f>
        <v/>
      </c>
      <c r="N1463" s="486"/>
      <c r="O1463" s="176"/>
      <c r="P1463" s="486"/>
      <c r="Q1463" s="247"/>
      <c r="R1463" s="246">
        <f t="shared" si="61"/>
        <v>0</v>
      </c>
      <c r="S1463" s="177"/>
      <c r="T1463" s="182"/>
      <c r="U1463" s="177"/>
      <c r="V1463" s="177"/>
      <c r="W1463" s="177"/>
      <c r="X1463" s="176"/>
      <c r="Y1463" s="177"/>
      <c r="Z1463" s="415"/>
      <c r="AA1463" s="488"/>
      <c r="AB1463" s="594"/>
      <c r="AC1463" s="595"/>
      <c r="AD1463" s="596" t="str">
        <f>IF(AND(AC1463&lt;&gt;"",S1463&lt;&gt;""),NETWORKDAYS(AC1463,S1463,#REF!),"")</f>
        <v/>
      </c>
      <c r="AE1463" s="596" t="str">
        <f ca="1">IF(AND(AD1463="",AC1463=""),"",IF(OR(AD1463&lt;&gt;"",O1463="*CANCELADO"),"",NETWORKDAYS(AC1463,TODAY(),#REF!)))</f>
        <v/>
      </c>
      <c r="AF1463" s="597" t="str">
        <f>IFERROR(INDEX(produtos_escape2!M:M,MATCH(Controle!H1463,produtos_escape2!A:A,0)),"")</f>
        <v/>
      </c>
    </row>
    <row r="1464" spans="1:32" ht="14.25" customHeight="1">
      <c r="A1464" s="176"/>
      <c r="B1464" s="176"/>
      <c r="C1464" s="177"/>
      <c r="D1464" s="176"/>
      <c r="E1464" s="176"/>
      <c r="F1464" s="259"/>
      <c r="G1464" s="176"/>
      <c r="H1464" s="178"/>
      <c r="I1464" s="592">
        <f t="shared" si="62"/>
        <v>0</v>
      </c>
      <c r="J1464" s="178"/>
      <c r="K1464" s="178"/>
      <c r="L1464" s="275" t="str">
        <f>IF(H:H=0,"",IF(ISERROR(VLOOKUP(H:H,produtos_escape2!$A$2:$B$2794,2,FALSE)),"Código não cadastrado",(VLOOKUP(H:H,produtos_escape2!$A$2:$B$2794,2,FALSE))))</f>
        <v/>
      </c>
      <c r="M1464" s="593" t="str">
        <f>IF(H:H=0,"",IF(ISERROR(VLOOKUP(H:H,produtos_escape2!$A$2:$D$2794,2,FALSE)),"Código não cadastrado",(VLOOKUP(H:H,produtos_escape2!$A$2:$D$2794,4,FALSE))))</f>
        <v/>
      </c>
      <c r="N1464" s="486"/>
      <c r="O1464" s="176"/>
      <c r="P1464" s="486"/>
      <c r="Q1464" s="247"/>
      <c r="R1464" s="246">
        <f t="shared" si="61"/>
        <v>0</v>
      </c>
      <c r="S1464" s="177"/>
      <c r="T1464" s="182"/>
      <c r="U1464" s="177"/>
      <c r="V1464" s="177"/>
      <c r="W1464" s="177"/>
      <c r="X1464" s="176"/>
      <c r="Y1464" s="177"/>
      <c r="Z1464" s="415"/>
      <c r="AA1464" s="488"/>
      <c r="AB1464" s="594"/>
      <c r="AC1464" s="595"/>
      <c r="AD1464" s="596" t="str">
        <f>IF(AND(AC1464&lt;&gt;"",S1464&lt;&gt;""),NETWORKDAYS(AC1464,S1464,#REF!),"")</f>
        <v/>
      </c>
      <c r="AE1464" s="596" t="str">
        <f ca="1">IF(AND(AD1464="",AC1464=""),"",IF(OR(AD1464&lt;&gt;"",O1464="*CANCELADO"),"",NETWORKDAYS(AC1464,TODAY(),#REF!)))</f>
        <v/>
      </c>
      <c r="AF1464" s="597" t="str">
        <f>IFERROR(INDEX(produtos_escape2!M:M,MATCH(Controle!H1464,produtos_escape2!A:A,0)),"")</f>
        <v/>
      </c>
    </row>
    <row r="1465" spans="1:32" ht="14.25" customHeight="1">
      <c r="A1465" s="176"/>
      <c r="B1465" s="176"/>
      <c r="C1465" s="177"/>
      <c r="D1465" s="176"/>
      <c r="E1465" s="176"/>
      <c r="F1465" s="259"/>
      <c r="G1465" s="176"/>
      <c r="H1465" s="178"/>
      <c r="I1465" s="592">
        <f t="shared" si="62"/>
        <v>0</v>
      </c>
      <c r="J1465" s="178"/>
      <c r="K1465" s="178"/>
      <c r="L1465" s="275" t="str">
        <f>IF(H:H=0,"",IF(ISERROR(VLOOKUP(H:H,produtos_escape2!$A$2:$B$2794,2,FALSE)),"Código não cadastrado",(VLOOKUP(H:H,produtos_escape2!$A$2:$B$2794,2,FALSE))))</f>
        <v/>
      </c>
      <c r="M1465" s="593" t="str">
        <f>IF(H:H=0,"",IF(ISERROR(VLOOKUP(H:H,produtos_escape2!$A$2:$D$2794,2,FALSE)),"Código não cadastrado",(VLOOKUP(H:H,produtos_escape2!$A$2:$D$2794,4,FALSE))))</f>
        <v/>
      </c>
      <c r="N1465" s="486"/>
      <c r="O1465" s="176"/>
      <c r="P1465" s="486"/>
      <c r="Q1465" s="247"/>
      <c r="R1465" s="246">
        <f t="shared" si="61"/>
        <v>0</v>
      </c>
      <c r="S1465" s="177"/>
      <c r="T1465" s="182"/>
      <c r="U1465" s="177"/>
      <c r="V1465" s="177"/>
      <c r="W1465" s="177"/>
      <c r="X1465" s="176"/>
      <c r="Y1465" s="177"/>
      <c r="Z1465" s="415"/>
      <c r="AA1465" s="488"/>
      <c r="AB1465" s="594"/>
      <c r="AC1465" s="595"/>
      <c r="AD1465" s="596" t="str">
        <f>IF(AND(AC1465&lt;&gt;"",S1465&lt;&gt;""),NETWORKDAYS(AC1465,S1465,#REF!),"")</f>
        <v/>
      </c>
      <c r="AE1465" s="596" t="str">
        <f ca="1">IF(AND(AD1465="",AC1465=""),"",IF(OR(AD1465&lt;&gt;"",O1465="*CANCELADO"),"",NETWORKDAYS(AC1465,TODAY(),#REF!)))</f>
        <v/>
      </c>
      <c r="AF1465" s="597" t="str">
        <f>IFERROR(INDEX(produtos_escape2!M:M,MATCH(Controle!H1465,produtos_escape2!A:A,0)),"")</f>
        <v/>
      </c>
    </row>
    <row r="1466" spans="1:32" ht="14.25" customHeight="1">
      <c r="A1466" s="176"/>
      <c r="B1466" s="176"/>
      <c r="C1466" s="177"/>
      <c r="D1466" s="176"/>
      <c r="E1466" s="176"/>
      <c r="F1466" s="259"/>
      <c r="G1466" s="176"/>
      <c r="H1466" s="178"/>
      <c r="I1466" s="592">
        <f t="shared" si="62"/>
        <v>0</v>
      </c>
      <c r="J1466" s="178"/>
      <c r="K1466" s="178"/>
      <c r="L1466" s="275" t="str">
        <f>IF(H:H=0,"",IF(ISERROR(VLOOKUP(H:H,produtos_escape2!$A$2:$B$2794,2,FALSE)),"Código não cadastrado",(VLOOKUP(H:H,produtos_escape2!$A$2:$B$2794,2,FALSE))))</f>
        <v/>
      </c>
      <c r="M1466" s="593" t="str">
        <f>IF(H:H=0,"",IF(ISERROR(VLOOKUP(H:H,produtos_escape2!$A$2:$D$2794,2,FALSE)),"Código não cadastrado",(VLOOKUP(H:H,produtos_escape2!$A$2:$D$2794,4,FALSE))))</f>
        <v/>
      </c>
      <c r="N1466" s="486"/>
      <c r="O1466" s="176"/>
      <c r="P1466" s="486"/>
      <c r="Q1466" s="247"/>
      <c r="R1466" s="246">
        <f t="shared" si="61"/>
        <v>0</v>
      </c>
      <c r="S1466" s="177"/>
      <c r="T1466" s="182"/>
      <c r="U1466" s="177"/>
      <c r="V1466" s="177"/>
      <c r="W1466" s="177"/>
      <c r="X1466" s="176"/>
      <c r="Y1466" s="177"/>
      <c r="Z1466" s="415"/>
      <c r="AA1466" s="488"/>
      <c r="AB1466" s="594"/>
      <c r="AC1466" s="595"/>
      <c r="AD1466" s="596" t="str">
        <f>IF(AND(AC1466&lt;&gt;"",S1466&lt;&gt;""),NETWORKDAYS(AC1466,S1466,#REF!),"")</f>
        <v/>
      </c>
      <c r="AE1466" s="596" t="str">
        <f ca="1">IF(AND(AD1466="",AC1466=""),"",IF(OR(AD1466&lt;&gt;"",O1466="*CANCELADO"),"",NETWORKDAYS(AC1466,TODAY(),#REF!)))</f>
        <v/>
      </c>
      <c r="AF1466" s="597" t="str">
        <f>IFERROR(INDEX(produtos_escape2!M:M,MATCH(Controle!H1466,produtos_escape2!A:A,0)),"")</f>
        <v/>
      </c>
    </row>
    <row r="1467" spans="1:32" ht="14.25" customHeight="1">
      <c r="A1467" s="176"/>
      <c r="B1467" s="176"/>
      <c r="C1467" s="177"/>
      <c r="D1467" s="176"/>
      <c r="E1467" s="176"/>
      <c r="F1467" s="259"/>
      <c r="G1467" s="176"/>
      <c r="H1467" s="178"/>
      <c r="I1467" s="592">
        <f t="shared" si="62"/>
        <v>0</v>
      </c>
      <c r="J1467" s="178"/>
      <c r="K1467" s="178"/>
      <c r="L1467" s="275" t="str">
        <f>IF(H:H=0,"",IF(ISERROR(VLOOKUP(H:H,produtos_escape2!$A$2:$B$2794,2,FALSE)),"Código não cadastrado",(VLOOKUP(H:H,produtos_escape2!$A$2:$B$2794,2,FALSE))))</f>
        <v/>
      </c>
      <c r="M1467" s="593" t="str">
        <f>IF(H:H=0,"",IF(ISERROR(VLOOKUP(H:H,produtos_escape2!$A$2:$D$2794,2,FALSE)),"Código não cadastrado",(VLOOKUP(H:H,produtos_escape2!$A$2:$D$2794,4,FALSE))))</f>
        <v/>
      </c>
      <c r="N1467" s="486"/>
      <c r="O1467" s="176"/>
      <c r="P1467" s="486"/>
      <c r="Q1467" s="247"/>
      <c r="R1467" s="246">
        <f t="shared" si="61"/>
        <v>0</v>
      </c>
      <c r="S1467" s="177"/>
      <c r="T1467" s="182"/>
      <c r="U1467" s="177"/>
      <c r="V1467" s="177"/>
      <c r="W1467" s="177"/>
      <c r="X1467" s="176"/>
      <c r="Y1467" s="177"/>
      <c r="Z1467" s="415"/>
      <c r="AA1467" s="488"/>
      <c r="AB1467" s="594"/>
      <c r="AC1467" s="595"/>
      <c r="AD1467" s="596" t="str">
        <f>IF(AND(AC1467&lt;&gt;"",S1467&lt;&gt;""),NETWORKDAYS(AC1467,S1467,#REF!),"")</f>
        <v/>
      </c>
      <c r="AE1467" s="596" t="str">
        <f ca="1">IF(AND(AD1467="",AC1467=""),"",IF(OR(AD1467&lt;&gt;"",O1467="*CANCELADO"),"",NETWORKDAYS(AC1467,TODAY(),#REF!)))</f>
        <v/>
      </c>
      <c r="AF1467" s="597" t="str">
        <f>IFERROR(INDEX(produtos_escape2!M:M,MATCH(Controle!H1467,produtos_escape2!A:A,0)),"")</f>
        <v/>
      </c>
    </row>
    <row r="1468" spans="1:32" ht="14.25" customHeight="1">
      <c r="A1468" s="176"/>
      <c r="B1468" s="176"/>
      <c r="C1468" s="177"/>
      <c r="D1468" s="176"/>
      <c r="E1468" s="176"/>
      <c r="F1468" s="259"/>
      <c r="G1468" s="176"/>
      <c r="H1468" s="178"/>
      <c r="I1468" s="592">
        <f t="shared" si="62"/>
        <v>0</v>
      </c>
      <c r="J1468" s="178"/>
      <c r="K1468" s="178"/>
      <c r="L1468" s="275" t="str">
        <f>IF(H:H=0,"",IF(ISERROR(VLOOKUP(H:H,produtos_escape2!$A$2:$B$2794,2,FALSE)),"Código não cadastrado",(VLOOKUP(H:H,produtos_escape2!$A$2:$B$2794,2,FALSE))))</f>
        <v/>
      </c>
      <c r="M1468" s="593" t="str">
        <f>IF(H:H=0,"",IF(ISERROR(VLOOKUP(H:H,produtos_escape2!$A$2:$D$2794,2,FALSE)),"Código não cadastrado",(VLOOKUP(H:H,produtos_escape2!$A$2:$D$2794,4,FALSE))))</f>
        <v/>
      </c>
      <c r="N1468" s="486"/>
      <c r="O1468" s="176"/>
      <c r="P1468" s="486"/>
      <c r="Q1468" s="247"/>
      <c r="R1468" s="246">
        <f t="shared" si="61"/>
        <v>0</v>
      </c>
      <c r="S1468" s="177"/>
      <c r="T1468" s="182"/>
      <c r="U1468" s="177"/>
      <c r="V1468" s="177"/>
      <c r="W1468" s="177"/>
      <c r="X1468" s="176"/>
      <c r="Y1468" s="177"/>
      <c r="Z1468" s="415"/>
      <c r="AA1468" s="488"/>
      <c r="AB1468" s="594"/>
      <c r="AC1468" s="595"/>
      <c r="AD1468" s="596" t="str">
        <f>IF(AND(AC1468&lt;&gt;"",S1468&lt;&gt;""),NETWORKDAYS(AC1468,S1468,#REF!),"")</f>
        <v/>
      </c>
      <c r="AE1468" s="596" t="str">
        <f ca="1">IF(AND(AD1468="",AC1468=""),"",IF(OR(AD1468&lt;&gt;"",O1468="*CANCELADO"),"",NETWORKDAYS(AC1468,TODAY(),#REF!)))</f>
        <v/>
      </c>
      <c r="AF1468" s="597" t="str">
        <f>IFERROR(INDEX(produtos_escape2!M:M,MATCH(Controle!H1468,produtos_escape2!A:A,0)),"")</f>
        <v/>
      </c>
    </row>
    <row r="1469" spans="1:32" ht="14.25" customHeight="1">
      <c r="A1469" s="176"/>
      <c r="B1469" s="176"/>
      <c r="C1469" s="177"/>
      <c r="D1469" s="176"/>
      <c r="E1469" s="176"/>
      <c r="F1469" s="259"/>
      <c r="G1469" s="176"/>
      <c r="H1469" s="178"/>
      <c r="I1469" s="592">
        <f t="shared" si="62"/>
        <v>0</v>
      </c>
      <c r="J1469" s="178"/>
      <c r="K1469" s="178"/>
      <c r="L1469" s="275" t="str">
        <f>IF(H:H=0,"",IF(ISERROR(VLOOKUP(H:H,produtos_escape2!$A$2:$B$2794,2,FALSE)),"Código não cadastrado",(VLOOKUP(H:H,produtos_escape2!$A$2:$B$2794,2,FALSE))))</f>
        <v/>
      </c>
      <c r="M1469" s="593" t="str">
        <f>IF(H:H=0,"",IF(ISERROR(VLOOKUP(H:H,produtos_escape2!$A$2:$D$2794,2,FALSE)),"Código não cadastrado",(VLOOKUP(H:H,produtos_escape2!$A$2:$D$2794,4,FALSE))))</f>
        <v/>
      </c>
      <c r="N1469" s="486"/>
      <c r="O1469" s="176"/>
      <c r="P1469" s="486"/>
      <c r="Q1469" s="247"/>
      <c r="R1469" s="246">
        <f t="shared" si="61"/>
        <v>0</v>
      </c>
      <c r="S1469" s="177"/>
      <c r="T1469" s="182"/>
      <c r="U1469" s="177"/>
      <c r="V1469" s="177"/>
      <c r="W1469" s="177"/>
      <c r="X1469" s="176"/>
      <c r="Y1469" s="177"/>
      <c r="Z1469" s="415"/>
      <c r="AA1469" s="488"/>
      <c r="AB1469" s="594"/>
      <c r="AC1469" s="595"/>
      <c r="AD1469" s="596" t="str">
        <f>IF(AND(AC1469&lt;&gt;"",S1469&lt;&gt;""),NETWORKDAYS(AC1469,S1469,#REF!),"")</f>
        <v/>
      </c>
      <c r="AE1469" s="596" t="str">
        <f ca="1">IF(AND(AD1469="",AC1469=""),"",IF(OR(AD1469&lt;&gt;"",O1469="*CANCELADO"),"",NETWORKDAYS(AC1469,TODAY(),#REF!)))</f>
        <v/>
      </c>
      <c r="AF1469" s="597" t="str">
        <f>IFERROR(INDEX(produtos_escape2!M:M,MATCH(Controle!H1469,produtos_escape2!A:A,0)),"")</f>
        <v/>
      </c>
    </row>
    <row r="1470" spans="1:32" ht="14.25" customHeight="1">
      <c r="A1470" s="176"/>
      <c r="B1470" s="176"/>
      <c r="C1470" s="177"/>
      <c r="D1470" s="176"/>
      <c r="E1470" s="176"/>
      <c r="F1470" s="259"/>
      <c r="G1470" s="176"/>
      <c r="H1470" s="178"/>
      <c r="I1470" s="592">
        <f t="shared" si="62"/>
        <v>0</v>
      </c>
      <c r="J1470" s="178"/>
      <c r="K1470" s="178"/>
      <c r="L1470" s="275" t="str">
        <f>IF(H:H=0,"",IF(ISERROR(VLOOKUP(H:H,produtos_escape2!$A$2:$B$2794,2,FALSE)),"Código não cadastrado",(VLOOKUP(H:H,produtos_escape2!$A$2:$B$2794,2,FALSE))))</f>
        <v/>
      </c>
      <c r="M1470" s="593" t="str">
        <f>IF(H:H=0,"",IF(ISERROR(VLOOKUP(H:H,produtos_escape2!$A$2:$D$2794,2,FALSE)),"Código não cadastrado",(VLOOKUP(H:H,produtos_escape2!$A$2:$D$2794,4,FALSE))))</f>
        <v/>
      </c>
      <c r="N1470" s="486"/>
      <c r="O1470" s="176"/>
      <c r="P1470" s="486"/>
      <c r="Q1470" s="247"/>
      <c r="R1470" s="246">
        <f t="shared" si="61"/>
        <v>0</v>
      </c>
      <c r="S1470" s="177"/>
      <c r="T1470" s="182"/>
      <c r="U1470" s="177"/>
      <c r="V1470" s="177"/>
      <c r="W1470" s="177"/>
      <c r="X1470" s="176"/>
      <c r="Y1470" s="177"/>
      <c r="Z1470" s="415"/>
      <c r="AA1470" s="488"/>
      <c r="AB1470" s="594"/>
      <c r="AC1470" s="595"/>
      <c r="AD1470" s="596" t="str">
        <f>IF(AND(AC1470&lt;&gt;"",S1470&lt;&gt;""),NETWORKDAYS(AC1470,S1470,#REF!),"")</f>
        <v/>
      </c>
      <c r="AE1470" s="596" t="str">
        <f ca="1">IF(AND(AD1470="",AC1470=""),"",IF(OR(AD1470&lt;&gt;"",O1470="*CANCELADO"),"",NETWORKDAYS(AC1470,TODAY(),#REF!)))</f>
        <v/>
      </c>
      <c r="AF1470" s="597" t="str">
        <f>IFERROR(INDEX(produtos_escape2!M:M,MATCH(Controle!H1470,produtos_escape2!A:A,0)),"")</f>
        <v/>
      </c>
    </row>
    <row r="1471" spans="1:32" ht="14.25" customHeight="1">
      <c r="A1471" s="176"/>
      <c r="B1471" s="176"/>
      <c r="C1471" s="177"/>
      <c r="D1471" s="176"/>
      <c r="E1471" s="176"/>
      <c r="F1471" s="259"/>
      <c r="G1471" s="176"/>
      <c r="H1471" s="178"/>
      <c r="I1471" s="592">
        <f t="shared" si="62"/>
        <v>0</v>
      </c>
      <c r="J1471" s="178"/>
      <c r="K1471" s="178"/>
      <c r="L1471" s="275" t="str">
        <f>IF(H:H=0,"",IF(ISERROR(VLOOKUP(H:H,produtos_escape2!$A$2:$B$2794,2,FALSE)),"Código não cadastrado",(VLOOKUP(H:H,produtos_escape2!$A$2:$B$2794,2,FALSE))))</f>
        <v/>
      </c>
      <c r="M1471" s="593" t="str">
        <f>IF(H:H=0,"",IF(ISERROR(VLOOKUP(H:H,produtos_escape2!$A$2:$D$2794,2,FALSE)),"Código não cadastrado",(VLOOKUP(H:H,produtos_escape2!$A$2:$D$2794,4,FALSE))))</f>
        <v/>
      </c>
      <c r="N1471" s="486"/>
      <c r="O1471" s="176"/>
      <c r="P1471" s="486"/>
      <c r="Q1471" s="247"/>
      <c r="R1471" s="246">
        <f t="shared" si="61"/>
        <v>0</v>
      </c>
      <c r="S1471" s="177"/>
      <c r="T1471" s="182"/>
      <c r="U1471" s="177"/>
      <c r="V1471" s="177"/>
      <c r="W1471" s="177"/>
      <c r="X1471" s="176"/>
      <c r="Y1471" s="177"/>
      <c r="Z1471" s="415"/>
      <c r="AA1471" s="488"/>
      <c r="AB1471" s="594"/>
      <c r="AC1471" s="595"/>
      <c r="AD1471" s="596" t="str">
        <f>IF(AND(AC1471&lt;&gt;"",S1471&lt;&gt;""),NETWORKDAYS(AC1471,S1471,#REF!),"")</f>
        <v/>
      </c>
      <c r="AE1471" s="596" t="str">
        <f ca="1">IF(AND(AD1471="",AC1471=""),"",IF(OR(AD1471&lt;&gt;"",O1471="*CANCELADO"),"",NETWORKDAYS(AC1471,TODAY(),#REF!)))</f>
        <v/>
      </c>
      <c r="AF1471" s="597" t="str">
        <f>IFERROR(INDEX(produtos_escape2!M:M,MATCH(Controle!H1471,produtos_escape2!A:A,0)),"")</f>
        <v/>
      </c>
    </row>
    <row r="1472" spans="1:32" ht="14.25" customHeight="1">
      <c r="A1472" s="176"/>
      <c r="B1472" s="176"/>
      <c r="C1472" s="177"/>
      <c r="D1472" s="176"/>
      <c r="E1472" s="176"/>
      <c r="F1472" s="259"/>
      <c r="G1472" s="176"/>
      <c r="H1472" s="178"/>
      <c r="I1472" s="592">
        <f t="shared" si="62"/>
        <v>0</v>
      </c>
      <c r="J1472" s="178"/>
      <c r="K1472" s="178"/>
      <c r="L1472" s="275" t="str">
        <f>IF(H:H=0,"",IF(ISERROR(VLOOKUP(H:H,produtos_escape2!$A$2:$B$2794,2,FALSE)),"Código não cadastrado",(VLOOKUP(H:H,produtos_escape2!$A$2:$B$2794,2,FALSE))))</f>
        <v/>
      </c>
      <c r="M1472" s="593" t="str">
        <f>IF(H:H=0,"",IF(ISERROR(VLOOKUP(H:H,produtos_escape2!$A$2:$D$2794,2,FALSE)),"Código não cadastrado",(VLOOKUP(H:H,produtos_escape2!$A$2:$D$2794,4,FALSE))))</f>
        <v/>
      </c>
      <c r="N1472" s="486"/>
      <c r="O1472" s="176"/>
      <c r="P1472" s="486"/>
      <c r="Q1472" s="247"/>
      <c r="R1472" s="246">
        <f t="shared" si="61"/>
        <v>0</v>
      </c>
      <c r="S1472" s="177"/>
      <c r="T1472" s="182"/>
      <c r="U1472" s="177"/>
      <c r="V1472" s="177"/>
      <c r="W1472" s="177"/>
      <c r="X1472" s="176"/>
      <c r="Y1472" s="177"/>
      <c r="Z1472" s="415"/>
      <c r="AA1472" s="488"/>
      <c r="AB1472" s="594"/>
      <c r="AC1472" s="595"/>
      <c r="AD1472" s="596" t="str">
        <f>IF(AND(AC1472&lt;&gt;"",S1472&lt;&gt;""),NETWORKDAYS(AC1472,S1472,#REF!),"")</f>
        <v/>
      </c>
      <c r="AE1472" s="596" t="str">
        <f ca="1">IF(AND(AD1472="",AC1472=""),"",IF(OR(AD1472&lt;&gt;"",O1472="*CANCELADO"),"",NETWORKDAYS(AC1472,TODAY(),#REF!)))</f>
        <v/>
      </c>
      <c r="AF1472" s="597" t="str">
        <f>IFERROR(INDEX(produtos_escape2!M:M,MATCH(Controle!H1472,produtos_escape2!A:A,0)),"")</f>
        <v/>
      </c>
    </row>
    <row r="1473" spans="1:32" ht="14.25" customHeight="1">
      <c r="A1473" s="176"/>
      <c r="B1473" s="176"/>
      <c r="C1473" s="177"/>
      <c r="D1473" s="176"/>
      <c r="E1473" s="176"/>
      <c r="F1473" s="259"/>
      <c r="G1473" s="176"/>
      <c r="H1473" s="178"/>
      <c r="I1473" s="592">
        <f t="shared" si="62"/>
        <v>0</v>
      </c>
      <c r="J1473" s="178"/>
      <c r="K1473" s="178"/>
      <c r="L1473" s="275" t="str">
        <f>IF(H:H=0,"",IF(ISERROR(VLOOKUP(H:H,produtos_escape2!$A$2:$B$2794,2,FALSE)),"Código não cadastrado",(VLOOKUP(H:H,produtos_escape2!$A$2:$B$2794,2,FALSE))))</f>
        <v/>
      </c>
      <c r="M1473" s="593" t="str">
        <f>IF(H:H=0,"",IF(ISERROR(VLOOKUP(H:H,produtos_escape2!$A$2:$D$2794,2,FALSE)),"Código não cadastrado",(VLOOKUP(H:H,produtos_escape2!$A$2:$D$2794,4,FALSE))))</f>
        <v/>
      </c>
      <c r="N1473" s="486"/>
      <c r="O1473" s="176"/>
      <c r="P1473" s="486"/>
      <c r="Q1473" s="247"/>
      <c r="R1473" s="246">
        <f t="shared" si="61"/>
        <v>0</v>
      </c>
      <c r="S1473" s="177"/>
      <c r="T1473" s="182"/>
      <c r="U1473" s="177"/>
      <c r="V1473" s="177"/>
      <c r="W1473" s="177"/>
      <c r="X1473" s="176"/>
      <c r="Y1473" s="177"/>
      <c r="Z1473" s="415"/>
      <c r="AA1473" s="488"/>
      <c r="AB1473" s="594"/>
      <c r="AC1473" s="595"/>
      <c r="AD1473" s="596" t="str">
        <f>IF(AND(AC1473&lt;&gt;"",S1473&lt;&gt;""),NETWORKDAYS(AC1473,S1473,#REF!),"")</f>
        <v/>
      </c>
      <c r="AE1473" s="596" t="str">
        <f ca="1">IF(AND(AD1473="",AC1473=""),"",IF(OR(AD1473&lt;&gt;"",O1473="*CANCELADO"),"",NETWORKDAYS(AC1473,TODAY(),#REF!)))</f>
        <v/>
      </c>
      <c r="AF1473" s="597" t="str">
        <f>IFERROR(INDEX(produtos_escape2!M:M,MATCH(Controle!H1473,produtos_escape2!A:A,0)),"")</f>
        <v/>
      </c>
    </row>
    <row r="1474" spans="1:32" ht="14.25" customHeight="1">
      <c r="A1474" s="176"/>
      <c r="B1474" s="176"/>
      <c r="C1474" s="177"/>
      <c r="D1474" s="176"/>
      <c r="E1474" s="176"/>
      <c r="F1474" s="259"/>
      <c r="G1474" s="176"/>
      <c r="H1474" s="178"/>
      <c r="I1474" s="592">
        <f t="shared" si="62"/>
        <v>0</v>
      </c>
      <c r="J1474" s="178"/>
      <c r="K1474" s="178"/>
      <c r="L1474" s="275" t="str">
        <f>IF(H:H=0,"",IF(ISERROR(VLOOKUP(H:H,produtos_escape2!$A$2:$B$2794,2,FALSE)),"Código não cadastrado",(VLOOKUP(H:H,produtos_escape2!$A$2:$B$2794,2,FALSE))))</f>
        <v/>
      </c>
      <c r="M1474" s="593" t="str">
        <f>IF(H:H=0,"",IF(ISERROR(VLOOKUP(H:H,produtos_escape2!$A$2:$D$2794,2,FALSE)),"Código não cadastrado",(VLOOKUP(H:H,produtos_escape2!$A$2:$D$2794,4,FALSE))))</f>
        <v/>
      </c>
      <c r="N1474" s="486"/>
      <c r="O1474" s="176"/>
      <c r="P1474" s="486"/>
      <c r="Q1474" s="247"/>
      <c r="R1474" s="246">
        <f t="shared" si="61"/>
        <v>0</v>
      </c>
      <c r="S1474" s="177"/>
      <c r="T1474" s="182"/>
      <c r="U1474" s="177"/>
      <c r="V1474" s="177"/>
      <c r="W1474" s="177"/>
      <c r="X1474" s="176"/>
      <c r="Y1474" s="177"/>
      <c r="Z1474" s="415"/>
      <c r="AA1474" s="488"/>
      <c r="AB1474" s="594"/>
      <c r="AC1474" s="595"/>
      <c r="AD1474" s="596" t="str">
        <f>IF(AND(AC1474&lt;&gt;"",S1474&lt;&gt;""),NETWORKDAYS(AC1474,S1474,#REF!),"")</f>
        <v/>
      </c>
      <c r="AE1474" s="596" t="str">
        <f ca="1">IF(AND(AD1474="",AC1474=""),"",IF(OR(AD1474&lt;&gt;"",O1474="*CANCELADO"),"",NETWORKDAYS(AC1474,TODAY(),#REF!)))</f>
        <v/>
      </c>
      <c r="AF1474" s="597" t="str">
        <f>IFERROR(INDEX(produtos_escape2!M:M,MATCH(Controle!H1474,produtos_escape2!A:A,0)),"")</f>
        <v/>
      </c>
    </row>
    <row r="1475" spans="1:32" ht="14.25" customHeight="1">
      <c r="A1475" s="176"/>
      <c r="B1475" s="176"/>
      <c r="C1475" s="177"/>
      <c r="D1475" s="176"/>
      <c r="E1475" s="176"/>
      <c r="F1475" s="259"/>
      <c r="G1475" s="176"/>
      <c r="H1475" s="178"/>
      <c r="I1475" s="592">
        <f t="shared" si="62"/>
        <v>0</v>
      </c>
      <c r="J1475" s="178"/>
      <c r="K1475" s="178"/>
      <c r="L1475" s="275" t="str">
        <f>IF(H:H=0,"",IF(ISERROR(VLOOKUP(H:H,produtos_escape2!$A$2:$B$2794,2,FALSE)),"Código não cadastrado",(VLOOKUP(H:H,produtos_escape2!$A$2:$B$2794,2,FALSE))))</f>
        <v/>
      </c>
      <c r="M1475" s="593" t="str">
        <f>IF(H:H=0,"",IF(ISERROR(VLOOKUP(H:H,produtos_escape2!$A$2:$D$2794,2,FALSE)),"Código não cadastrado",(VLOOKUP(H:H,produtos_escape2!$A$2:$D$2794,4,FALSE))))</f>
        <v/>
      </c>
      <c r="N1475" s="486"/>
      <c r="O1475" s="176"/>
      <c r="P1475" s="486"/>
      <c r="Q1475" s="247"/>
      <c r="R1475" s="246">
        <f t="shared" si="61"/>
        <v>0</v>
      </c>
      <c r="S1475" s="177"/>
      <c r="T1475" s="182"/>
      <c r="U1475" s="177"/>
      <c r="V1475" s="177"/>
      <c r="W1475" s="177"/>
      <c r="X1475" s="176"/>
      <c r="Y1475" s="177"/>
      <c r="Z1475" s="415"/>
      <c r="AA1475" s="488"/>
      <c r="AB1475" s="594"/>
      <c r="AC1475" s="595"/>
      <c r="AD1475" s="596" t="str">
        <f>IF(AND(AC1475&lt;&gt;"",S1475&lt;&gt;""),NETWORKDAYS(AC1475,S1475,#REF!),"")</f>
        <v/>
      </c>
      <c r="AE1475" s="596" t="str">
        <f ca="1">IF(AND(AD1475="",AC1475=""),"",IF(OR(AD1475&lt;&gt;"",O1475="*CANCELADO"),"",NETWORKDAYS(AC1475,TODAY(),#REF!)))</f>
        <v/>
      </c>
      <c r="AF1475" s="597" t="str">
        <f>IFERROR(INDEX(produtos_escape2!M:M,MATCH(Controle!H1475,produtos_escape2!A:A,0)),"")</f>
        <v/>
      </c>
    </row>
    <row r="1476" spans="1:32" ht="14.25" customHeight="1">
      <c r="A1476" s="176"/>
      <c r="B1476" s="176"/>
      <c r="C1476" s="177"/>
      <c r="D1476" s="176"/>
      <c r="E1476" s="176"/>
      <c r="F1476" s="259"/>
      <c r="G1476" s="176"/>
      <c r="H1476" s="178"/>
      <c r="I1476" s="592">
        <f t="shared" si="62"/>
        <v>0</v>
      </c>
      <c r="J1476" s="178"/>
      <c r="K1476" s="178"/>
      <c r="L1476" s="275" t="str">
        <f>IF(H:H=0,"",IF(ISERROR(VLOOKUP(H:H,produtos_escape2!$A$2:$B$2794,2,FALSE)),"Código não cadastrado",(VLOOKUP(H:H,produtos_escape2!$A$2:$B$2794,2,FALSE))))</f>
        <v/>
      </c>
      <c r="M1476" s="593" t="str">
        <f>IF(H:H=0,"",IF(ISERROR(VLOOKUP(H:H,produtos_escape2!$A$2:$D$2794,2,FALSE)),"Código não cadastrado",(VLOOKUP(H:H,produtos_escape2!$A$2:$D$2794,4,FALSE))))</f>
        <v/>
      </c>
      <c r="N1476" s="486"/>
      <c r="O1476" s="176"/>
      <c r="P1476" s="486"/>
      <c r="Q1476" s="247"/>
      <c r="R1476" s="246">
        <f t="shared" si="61"/>
        <v>0</v>
      </c>
      <c r="S1476" s="177"/>
      <c r="T1476" s="182"/>
      <c r="U1476" s="177"/>
      <c r="V1476" s="177"/>
      <c r="W1476" s="177"/>
      <c r="X1476" s="176"/>
      <c r="Y1476" s="177"/>
      <c r="Z1476" s="415"/>
      <c r="AA1476" s="488"/>
      <c r="AB1476" s="594"/>
      <c r="AC1476" s="595"/>
      <c r="AD1476" s="596" t="str">
        <f>IF(AND(AC1476&lt;&gt;"",S1476&lt;&gt;""),NETWORKDAYS(AC1476,S1476,#REF!),"")</f>
        <v/>
      </c>
      <c r="AE1476" s="596" t="str">
        <f ca="1">IF(AND(AD1476="",AC1476=""),"",IF(OR(AD1476&lt;&gt;"",O1476="*CANCELADO"),"",NETWORKDAYS(AC1476,TODAY(),#REF!)))</f>
        <v/>
      </c>
      <c r="AF1476" s="597" t="str">
        <f>IFERROR(INDEX(produtos_escape2!M:M,MATCH(Controle!H1476,produtos_escape2!A:A,0)),"")</f>
        <v/>
      </c>
    </row>
    <row r="1477" spans="1:32" ht="14.25" customHeight="1">
      <c r="A1477" s="176"/>
      <c r="B1477" s="176"/>
      <c r="C1477" s="177"/>
      <c r="D1477" s="176"/>
      <c r="E1477" s="176"/>
      <c r="F1477" s="259"/>
      <c r="G1477" s="176"/>
      <c r="H1477" s="178"/>
      <c r="I1477" s="592">
        <f t="shared" si="62"/>
        <v>0</v>
      </c>
      <c r="J1477" s="178"/>
      <c r="K1477" s="178"/>
      <c r="L1477" s="275" t="str">
        <f>IF(H:H=0,"",IF(ISERROR(VLOOKUP(H:H,produtos_escape2!$A$2:$B$2794,2,FALSE)),"Código não cadastrado",(VLOOKUP(H:H,produtos_escape2!$A$2:$B$2794,2,FALSE))))</f>
        <v/>
      </c>
      <c r="M1477" s="593" t="str">
        <f>IF(H:H=0,"",IF(ISERROR(VLOOKUP(H:H,produtos_escape2!$A$2:$D$2794,2,FALSE)),"Código não cadastrado",(VLOOKUP(H:H,produtos_escape2!$A$2:$D$2794,4,FALSE))))</f>
        <v/>
      </c>
      <c r="N1477" s="486"/>
      <c r="O1477" s="176"/>
      <c r="P1477" s="486"/>
      <c r="Q1477" s="247"/>
      <c r="R1477" s="246">
        <f t="shared" si="61"/>
        <v>0</v>
      </c>
      <c r="S1477" s="177"/>
      <c r="T1477" s="182"/>
      <c r="U1477" s="177"/>
      <c r="V1477" s="177"/>
      <c r="W1477" s="177"/>
      <c r="X1477" s="176"/>
      <c r="Y1477" s="177"/>
      <c r="Z1477" s="415"/>
      <c r="AA1477" s="488"/>
      <c r="AB1477" s="594"/>
      <c r="AC1477" s="595"/>
      <c r="AD1477" s="596" t="str">
        <f>IF(AND(AC1477&lt;&gt;"",S1477&lt;&gt;""),NETWORKDAYS(AC1477,S1477,#REF!),"")</f>
        <v/>
      </c>
      <c r="AE1477" s="596" t="str">
        <f ca="1">IF(AND(AD1477="",AC1477=""),"",IF(OR(AD1477&lt;&gt;"",O1477="*CANCELADO"),"",NETWORKDAYS(AC1477,TODAY(),#REF!)))</f>
        <v/>
      </c>
      <c r="AF1477" s="597" t="str">
        <f>IFERROR(INDEX(produtos_escape2!M:M,MATCH(Controle!H1477,produtos_escape2!A:A,0)),"")</f>
        <v/>
      </c>
    </row>
    <row r="1478" spans="1:32" ht="14.25" customHeight="1">
      <c r="A1478" s="176"/>
      <c r="B1478" s="176"/>
      <c r="C1478" s="177"/>
      <c r="D1478" s="176"/>
      <c r="E1478" s="176"/>
      <c r="F1478" s="259"/>
      <c r="G1478" s="176"/>
      <c r="H1478" s="178"/>
      <c r="I1478" s="592">
        <f t="shared" si="62"/>
        <v>0</v>
      </c>
      <c r="J1478" s="178"/>
      <c r="K1478" s="178"/>
      <c r="L1478" s="275" t="str">
        <f>IF(H:H=0,"",IF(ISERROR(VLOOKUP(H:H,produtos_escape2!$A$2:$B$2794,2,FALSE)),"Código não cadastrado",(VLOOKUP(H:H,produtos_escape2!$A$2:$B$2794,2,FALSE))))</f>
        <v/>
      </c>
      <c r="M1478" s="593" t="str">
        <f>IF(H:H=0,"",IF(ISERROR(VLOOKUP(H:H,produtos_escape2!$A$2:$D$2794,2,FALSE)),"Código não cadastrado",(VLOOKUP(H:H,produtos_escape2!$A$2:$D$2794,4,FALSE))))</f>
        <v/>
      </c>
      <c r="N1478" s="486"/>
      <c r="O1478" s="176"/>
      <c r="P1478" s="486"/>
      <c r="Q1478" s="247"/>
      <c r="R1478" s="246">
        <f t="shared" si="61"/>
        <v>0</v>
      </c>
      <c r="S1478" s="177"/>
      <c r="T1478" s="182"/>
      <c r="U1478" s="177"/>
      <c r="V1478" s="177"/>
      <c r="W1478" s="177"/>
      <c r="X1478" s="176"/>
      <c r="Y1478" s="177"/>
      <c r="Z1478" s="415"/>
      <c r="AA1478" s="488"/>
      <c r="AB1478" s="594"/>
      <c r="AC1478" s="595"/>
      <c r="AD1478" s="596" t="str">
        <f>IF(AND(AC1478&lt;&gt;"",S1478&lt;&gt;""),NETWORKDAYS(AC1478,S1478,#REF!),"")</f>
        <v/>
      </c>
      <c r="AE1478" s="596" t="str">
        <f ca="1">IF(AND(AD1478="",AC1478=""),"",IF(OR(AD1478&lt;&gt;"",O1478="*CANCELADO"),"",NETWORKDAYS(AC1478,TODAY(),#REF!)))</f>
        <v/>
      </c>
      <c r="AF1478" s="597" t="str">
        <f>IFERROR(INDEX(produtos_escape2!M:M,MATCH(Controle!H1478,produtos_escape2!A:A,0)),"")</f>
        <v/>
      </c>
    </row>
    <row r="1479" spans="1:32" ht="14.25" customHeight="1">
      <c r="A1479" s="176"/>
      <c r="B1479" s="176"/>
      <c r="C1479" s="177"/>
      <c r="D1479" s="176"/>
      <c r="E1479" s="176"/>
      <c r="F1479" s="259"/>
      <c r="G1479" s="176"/>
      <c r="H1479" s="178"/>
      <c r="I1479" s="592">
        <f t="shared" si="62"/>
        <v>0</v>
      </c>
      <c r="J1479" s="178"/>
      <c r="K1479" s="178"/>
      <c r="L1479" s="275" t="str">
        <f>IF(H:H=0,"",IF(ISERROR(VLOOKUP(H:H,produtos_escape2!$A$2:$B$2794,2,FALSE)),"Código não cadastrado",(VLOOKUP(H:H,produtos_escape2!$A$2:$B$2794,2,FALSE))))</f>
        <v/>
      </c>
      <c r="M1479" s="593" t="str">
        <f>IF(H:H=0,"",IF(ISERROR(VLOOKUP(H:H,produtos_escape2!$A$2:$D$2794,2,FALSE)),"Código não cadastrado",(VLOOKUP(H:H,produtos_escape2!$A$2:$D$2794,4,FALSE))))</f>
        <v/>
      </c>
      <c r="N1479" s="486"/>
      <c r="O1479" s="176"/>
      <c r="P1479" s="486"/>
      <c r="Q1479" s="247"/>
      <c r="R1479" s="246">
        <f t="shared" si="61"/>
        <v>0</v>
      </c>
      <c r="S1479" s="177"/>
      <c r="T1479" s="182"/>
      <c r="U1479" s="177"/>
      <c r="V1479" s="177"/>
      <c r="W1479" s="177"/>
      <c r="X1479" s="176"/>
      <c r="Y1479" s="177"/>
      <c r="Z1479" s="415"/>
      <c r="AA1479" s="488"/>
      <c r="AB1479" s="594"/>
      <c r="AC1479" s="595"/>
      <c r="AD1479" s="596" t="str">
        <f>IF(AND(AC1479&lt;&gt;"",S1479&lt;&gt;""),NETWORKDAYS(AC1479,S1479,#REF!),"")</f>
        <v/>
      </c>
      <c r="AE1479" s="596" t="str">
        <f ca="1">IF(AND(AD1479="",AC1479=""),"",IF(OR(AD1479&lt;&gt;"",O1479="*CANCELADO"),"",NETWORKDAYS(AC1479,TODAY(),#REF!)))</f>
        <v/>
      </c>
      <c r="AF1479" s="597" t="str">
        <f>IFERROR(INDEX(produtos_escape2!M:M,MATCH(Controle!H1479,produtos_escape2!A:A,0)),"")</f>
        <v/>
      </c>
    </row>
    <row r="1480" spans="1:32" ht="14.25" customHeight="1">
      <c r="A1480" s="176"/>
      <c r="B1480" s="176"/>
      <c r="C1480" s="177"/>
      <c r="D1480" s="176"/>
      <c r="E1480" s="176"/>
      <c r="F1480" s="259"/>
      <c r="G1480" s="176"/>
      <c r="H1480" s="178"/>
      <c r="I1480" s="592">
        <f t="shared" si="62"/>
        <v>0</v>
      </c>
      <c r="J1480" s="178"/>
      <c r="K1480" s="178"/>
      <c r="L1480" s="275" t="str">
        <f>IF(H:H=0,"",IF(ISERROR(VLOOKUP(H:H,produtos_escape2!$A$2:$B$2794,2,FALSE)),"Código não cadastrado",(VLOOKUP(H:H,produtos_escape2!$A$2:$B$2794,2,FALSE))))</f>
        <v/>
      </c>
      <c r="M1480" s="593" t="str">
        <f>IF(H:H=0,"",IF(ISERROR(VLOOKUP(H:H,produtos_escape2!$A$2:$D$2794,2,FALSE)),"Código não cadastrado",(VLOOKUP(H:H,produtos_escape2!$A$2:$D$2794,4,FALSE))))</f>
        <v/>
      </c>
      <c r="N1480" s="486"/>
      <c r="O1480" s="176"/>
      <c r="P1480" s="486"/>
      <c r="Q1480" s="247"/>
      <c r="R1480" s="246">
        <f t="shared" si="61"/>
        <v>0</v>
      </c>
      <c r="S1480" s="177"/>
      <c r="T1480" s="182"/>
      <c r="U1480" s="177"/>
      <c r="V1480" s="177"/>
      <c r="W1480" s="177"/>
      <c r="X1480" s="176"/>
      <c r="Y1480" s="177"/>
      <c r="Z1480" s="415"/>
      <c r="AA1480" s="488"/>
      <c r="AB1480" s="594"/>
      <c r="AC1480" s="595"/>
      <c r="AD1480" s="596" t="str">
        <f>IF(AND(AC1480&lt;&gt;"",S1480&lt;&gt;""),NETWORKDAYS(AC1480,S1480,#REF!),"")</f>
        <v/>
      </c>
      <c r="AE1480" s="596" t="str">
        <f ca="1">IF(AND(AD1480="",AC1480=""),"",IF(OR(AD1480&lt;&gt;"",O1480="*CANCELADO"),"",NETWORKDAYS(AC1480,TODAY(),#REF!)))</f>
        <v/>
      </c>
      <c r="AF1480" s="597" t="str">
        <f>IFERROR(INDEX(produtos_escape2!M:M,MATCH(Controle!H1480,produtos_escape2!A:A,0)),"")</f>
        <v/>
      </c>
    </row>
    <row r="1481" spans="1:32" ht="14.25" customHeight="1">
      <c r="A1481" s="176"/>
      <c r="B1481" s="176"/>
      <c r="C1481" s="177"/>
      <c r="D1481" s="176"/>
      <c r="E1481" s="176"/>
      <c r="F1481" s="259"/>
      <c r="G1481" s="176"/>
      <c r="H1481" s="178"/>
      <c r="I1481" s="592">
        <f t="shared" si="62"/>
        <v>0</v>
      </c>
      <c r="J1481" s="178"/>
      <c r="K1481" s="178"/>
      <c r="L1481" s="275" t="str">
        <f>IF(H:H=0,"",IF(ISERROR(VLOOKUP(H:H,produtos_escape2!$A$2:$B$2794,2,FALSE)),"Código não cadastrado",(VLOOKUP(H:H,produtos_escape2!$A$2:$B$2794,2,FALSE))))</f>
        <v/>
      </c>
      <c r="M1481" s="593" t="str">
        <f>IF(H:H=0,"",IF(ISERROR(VLOOKUP(H:H,produtos_escape2!$A$2:$D$2794,2,FALSE)),"Código não cadastrado",(VLOOKUP(H:H,produtos_escape2!$A$2:$D$2794,4,FALSE))))</f>
        <v/>
      </c>
      <c r="N1481" s="486"/>
      <c r="O1481" s="176"/>
      <c r="P1481" s="486"/>
      <c r="Q1481" s="247"/>
      <c r="R1481" s="246">
        <f t="shared" si="61"/>
        <v>0</v>
      </c>
      <c r="S1481" s="177"/>
      <c r="T1481" s="182"/>
      <c r="U1481" s="177"/>
      <c r="V1481" s="177"/>
      <c r="W1481" s="177"/>
      <c r="X1481" s="176"/>
      <c r="Y1481" s="177"/>
      <c r="Z1481" s="415"/>
      <c r="AA1481" s="488"/>
      <c r="AB1481" s="594"/>
      <c r="AC1481" s="595"/>
      <c r="AD1481" s="596" t="str">
        <f>IF(AND(AC1481&lt;&gt;"",S1481&lt;&gt;""),NETWORKDAYS(AC1481,S1481,#REF!),"")</f>
        <v/>
      </c>
      <c r="AE1481" s="596" t="str">
        <f ca="1">IF(AND(AD1481="",AC1481=""),"",IF(OR(AD1481&lt;&gt;"",O1481="*CANCELADO"),"",NETWORKDAYS(AC1481,TODAY(),#REF!)))</f>
        <v/>
      </c>
      <c r="AF1481" s="597" t="str">
        <f>IFERROR(INDEX(produtos_escape2!M:M,MATCH(Controle!H1481,produtos_escape2!A:A,0)),"")</f>
        <v/>
      </c>
    </row>
    <row r="1482" spans="1:32" ht="14.25" customHeight="1">
      <c r="A1482" s="176"/>
      <c r="B1482" s="176"/>
      <c r="C1482" s="177"/>
      <c r="D1482" s="176"/>
      <c r="E1482" s="176"/>
      <c r="F1482" s="259"/>
      <c r="G1482" s="176"/>
      <c r="H1482" s="178"/>
      <c r="I1482" s="592">
        <f t="shared" si="62"/>
        <v>0</v>
      </c>
      <c r="J1482" s="178"/>
      <c r="K1482" s="178"/>
      <c r="L1482" s="275" t="str">
        <f>IF(H:H=0,"",IF(ISERROR(VLOOKUP(H:H,produtos_escape2!$A$2:$B$2794,2,FALSE)),"Código não cadastrado",(VLOOKUP(H:H,produtos_escape2!$A$2:$B$2794,2,FALSE))))</f>
        <v/>
      </c>
      <c r="M1482" s="593" t="str">
        <f>IF(H:H=0,"",IF(ISERROR(VLOOKUP(H:H,produtos_escape2!$A$2:$D$2794,2,FALSE)),"Código não cadastrado",(VLOOKUP(H:H,produtos_escape2!$A$2:$D$2794,4,FALSE))))</f>
        <v/>
      </c>
      <c r="N1482" s="486"/>
      <c r="O1482" s="176"/>
      <c r="P1482" s="486"/>
      <c r="Q1482" s="247"/>
      <c r="R1482" s="246">
        <f t="shared" si="61"/>
        <v>0</v>
      </c>
      <c r="S1482" s="177"/>
      <c r="T1482" s="182"/>
      <c r="U1482" s="177"/>
      <c r="V1482" s="177"/>
      <c r="W1482" s="177"/>
      <c r="X1482" s="176"/>
      <c r="Y1482" s="177"/>
      <c r="Z1482" s="415"/>
      <c r="AA1482" s="488"/>
      <c r="AB1482" s="594"/>
      <c r="AC1482" s="595"/>
      <c r="AD1482" s="596" t="str">
        <f>IF(AND(AC1482&lt;&gt;"",S1482&lt;&gt;""),NETWORKDAYS(AC1482,S1482,#REF!),"")</f>
        <v/>
      </c>
      <c r="AE1482" s="596" t="str">
        <f ca="1">IF(AND(AD1482="",AC1482=""),"",IF(OR(AD1482&lt;&gt;"",O1482="*CANCELADO"),"",NETWORKDAYS(AC1482,TODAY(),#REF!)))</f>
        <v/>
      </c>
      <c r="AF1482" s="597" t="str">
        <f>IFERROR(INDEX(produtos_escape2!M:M,MATCH(Controle!H1482,produtos_escape2!A:A,0)),"")</f>
        <v/>
      </c>
    </row>
    <row r="1483" spans="1:32" ht="14.25" customHeight="1">
      <c r="A1483" s="176"/>
      <c r="B1483" s="176"/>
      <c r="C1483" s="177"/>
      <c r="D1483" s="176"/>
      <c r="E1483" s="176"/>
      <c r="F1483" s="259"/>
      <c r="G1483" s="176"/>
      <c r="H1483" s="178"/>
      <c r="I1483" s="592">
        <f t="shared" si="62"/>
        <v>0</v>
      </c>
      <c r="J1483" s="178"/>
      <c r="K1483" s="178"/>
      <c r="L1483" s="275" t="str">
        <f>IF(H:H=0,"",IF(ISERROR(VLOOKUP(H:H,produtos_escape2!$A$2:$B$2794,2,FALSE)),"Código não cadastrado",(VLOOKUP(H:H,produtos_escape2!$A$2:$B$2794,2,FALSE))))</f>
        <v/>
      </c>
      <c r="M1483" s="593" t="str">
        <f>IF(H:H=0,"",IF(ISERROR(VLOOKUP(H:H,produtos_escape2!$A$2:$D$2794,2,FALSE)),"Código não cadastrado",(VLOOKUP(H:H,produtos_escape2!$A$2:$D$2794,4,FALSE))))</f>
        <v/>
      </c>
      <c r="N1483" s="486"/>
      <c r="O1483" s="176"/>
      <c r="P1483" s="486"/>
      <c r="Q1483" s="247"/>
      <c r="R1483" s="246">
        <f t="shared" si="61"/>
        <v>0</v>
      </c>
      <c r="S1483" s="177"/>
      <c r="T1483" s="182"/>
      <c r="U1483" s="177"/>
      <c r="V1483" s="177"/>
      <c r="W1483" s="177"/>
      <c r="X1483" s="176"/>
      <c r="Y1483" s="177"/>
      <c r="Z1483" s="415"/>
      <c r="AA1483" s="488"/>
      <c r="AB1483" s="594"/>
      <c r="AC1483" s="595"/>
      <c r="AD1483" s="596" t="str">
        <f>IF(AND(AC1483&lt;&gt;"",S1483&lt;&gt;""),NETWORKDAYS(AC1483,S1483,#REF!),"")</f>
        <v/>
      </c>
      <c r="AE1483" s="596" t="str">
        <f ca="1">IF(AND(AD1483="",AC1483=""),"",IF(OR(AD1483&lt;&gt;"",O1483="*CANCELADO"),"",NETWORKDAYS(AC1483,TODAY(),#REF!)))</f>
        <v/>
      </c>
      <c r="AF1483" s="597" t="str">
        <f>IFERROR(INDEX(produtos_escape2!M:M,MATCH(Controle!H1483,produtos_escape2!A:A,0)),"")</f>
        <v/>
      </c>
    </row>
    <row r="1484" spans="1:32" ht="14.25" customHeight="1">
      <c r="A1484" s="176"/>
      <c r="B1484" s="176"/>
      <c r="C1484" s="177"/>
      <c r="D1484" s="176"/>
      <c r="E1484" s="176"/>
      <c r="F1484" s="259"/>
      <c r="G1484" s="176"/>
      <c r="H1484" s="178"/>
      <c r="I1484" s="592">
        <f t="shared" si="62"/>
        <v>0</v>
      </c>
      <c r="J1484" s="178"/>
      <c r="K1484" s="178"/>
      <c r="L1484" s="275" t="str">
        <f>IF(H:H=0,"",IF(ISERROR(VLOOKUP(H:H,produtos_escape2!$A$2:$B$2794,2,FALSE)),"Código não cadastrado",(VLOOKUP(H:H,produtos_escape2!$A$2:$B$2794,2,FALSE))))</f>
        <v/>
      </c>
      <c r="M1484" s="593" t="str">
        <f>IF(H:H=0,"",IF(ISERROR(VLOOKUP(H:H,produtos_escape2!$A$2:$D$2794,2,FALSE)),"Código não cadastrado",(VLOOKUP(H:H,produtos_escape2!$A$2:$D$2794,4,FALSE))))</f>
        <v/>
      </c>
      <c r="N1484" s="486"/>
      <c r="O1484" s="176"/>
      <c r="P1484" s="486"/>
      <c r="Q1484" s="247"/>
      <c r="R1484" s="246">
        <f t="shared" si="61"/>
        <v>0</v>
      </c>
      <c r="S1484" s="177"/>
      <c r="T1484" s="182"/>
      <c r="U1484" s="177"/>
      <c r="V1484" s="177"/>
      <c r="W1484" s="177"/>
      <c r="X1484" s="176"/>
      <c r="Y1484" s="177"/>
      <c r="Z1484" s="415"/>
      <c r="AA1484" s="488"/>
      <c r="AB1484" s="594"/>
      <c r="AC1484" s="595"/>
      <c r="AD1484" s="596" t="str">
        <f>IF(AND(AC1484&lt;&gt;"",S1484&lt;&gt;""),NETWORKDAYS(AC1484,S1484,#REF!),"")</f>
        <v/>
      </c>
      <c r="AE1484" s="596" t="str">
        <f ca="1">IF(AND(AD1484="",AC1484=""),"",IF(OR(AD1484&lt;&gt;"",O1484="*CANCELADO"),"",NETWORKDAYS(AC1484,TODAY(),#REF!)))</f>
        <v/>
      </c>
      <c r="AF1484" s="597" t="str">
        <f>IFERROR(INDEX(produtos_escape2!M:M,MATCH(Controle!H1484,produtos_escape2!A:A,0)),"")</f>
        <v/>
      </c>
    </row>
    <row r="1485" spans="1:32" ht="14.25" customHeight="1">
      <c r="A1485" s="176"/>
      <c r="B1485" s="176"/>
      <c r="C1485" s="177"/>
      <c r="D1485" s="176"/>
      <c r="E1485" s="176"/>
      <c r="F1485" s="259"/>
      <c r="G1485" s="176"/>
      <c r="H1485" s="178"/>
      <c r="I1485" s="592">
        <f t="shared" si="62"/>
        <v>0</v>
      </c>
      <c r="J1485" s="178"/>
      <c r="K1485" s="178"/>
      <c r="L1485" s="275" t="str">
        <f>IF(H:H=0,"",IF(ISERROR(VLOOKUP(H:H,produtos_escape2!$A$2:$B$2794,2,FALSE)),"Código não cadastrado",(VLOOKUP(H:H,produtos_escape2!$A$2:$B$2794,2,FALSE))))</f>
        <v/>
      </c>
      <c r="M1485" s="593" t="str">
        <f>IF(H:H=0,"",IF(ISERROR(VLOOKUP(H:H,produtos_escape2!$A$2:$D$2794,2,FALSE)),"Código não cadastrado",(VLOOKUP(H:H,produtos_escape2!$A$2:$D$2794,4,FALSE))))</f>
        <v/>
      </c>
      <c r="N1485" s="486"/>
      <c r="O1485" s="176"/>
      <c r="P1485" s="486"/>
      <c r="Q1485" s="247"/>
      <c r="R1485" s="246">
        <f t="shared" si="61"/>
        <v>0</v>
      </c>
      <c r="S1485" s="177"/>
      <c r="T1485" s="182"/>
      <c r="U1485" s="177"/>
      <c r="V1485" s="177"/>
      <c r="W1485" s="177"/>
      <c r="X1485" s="176"/>
      <c r="Y1485" s="177"/>
      <c r="Z1485" s="415"/>
      <c r="AA1485" s="488"/>
      <c r="AB1485" s="594"/>
      <c r="AC1485" s="595"/>
      <c r="AD1485" s="596" t="str">
        <f>IF(AND(AC1485&lt;&gt;"",S1485&lt;&gt;""),NETWORKDAYS(AC1485,S1485,#REF!),"")</f>
        <v/>
      </c>
      <c r="AE1485" s="596" t="str">
        <f ca="1">IF(AND(AD1485="",AC1485=""),"",IF(OR(AD1485&lt;&gt;"",O1485="*CANCELADO"),"",NETWORKDAYS(AC1485,TODAY(),#REF!)))</f>
        <v/>
      </c>
      <c r="AF1485" s="597" t="str">
        <f>IFERROR(INDEX(produtos_escape2!M:M,MATCH(Controle!H1485,produtos_escape2!A:A,0)),"")</f>
        <v/>
      </c>
    </row>
    <row r="1486" spans="1:32" ht="14.25" customHeight="1">
      <c r="A1486" s="176"/>
      <c r="B1486" s="176"/>
      <c r="C1486" s="177"/>
      <c r="D1486" s="176"/>
      <c r="E1486" s="176"/>
      <c r="F1486" s="259"/>
      <c r="G1486" s="176"/>
      <c r="H1486" s="178"/>
      <c r="I1486" s="592">
        <f t="shared" si="62"/>
        <v>0</v>
      </c>
      <c r="J1486" s="178"/>
      <c r="K1486" s="178"/>
      <c r="L1486" s="275" t="str">
        <f>IF(H:H=0,"",IF(ISERROR(VLOOKUP(H:H,produtos_escape2!$A$2:$B$2794,2,FALSE)),"Código não cadastrado",(VLOOKUP(H:H,produtos_escape2!$A$2:$B$2794,2,FALSE))))</f>
        <v/>
      </c>
      <c r="M1486" s="593" t="str">
        <f>IF(H:H=0,"",IF(ISERROR(VLOOKUP(H:H,produtos_escape2!$A$2:$D$2794,2,FALSE)),"Código não cadastrado",(VLOOKUP(H:H,produtos_escape2!$A$2:$D$2794,4,FALSE))))</f>
        <v/>
      </c>
      <c r="N1486" s="486"/>
      <c r="O1486" s="176"/>
      <c r="P1486" s="486"/>
      <c r="Q1486" s="247"/>
      <c r="R1486" s="246">
        <f t="shared" si="61"/>
        <v>0</v>
      </c>
      <c r="S1486" s="177"/>
      <c r="T1486" s="182"/>
      <c r="U1486" s="177"/>
      <c r="V1486" s="177"/>
      <c r="W1486" s="177"/>
      <c r="X1486" s="176"/>
      <c r="Y1486" s="177"/>
      <c r="Z1486" s="415"/>
      <c r="AA1486" s="488"/>
      <c r="AB1486" s="594"/>
      <c r="AC1486" s="595"/>
      <c r="AD1486" s="596" t="str">
        <f>IF(AND(AC1486&lt;&gt;"",S1486&lt;&gt;""),NETWORKDAYS(AC1486,S1486,#REF!),"")</f>
        <v/>
      </c>
      <c r="AE1486" s="596" t="str">
        <f ca="1">IF(AND(AD1486="",AC1486=""),"",IF(OR(AD1486&lt;&gt;"",O1486="*CANCELADO"),"",NETWORKDAYS(AC1486,TODAY(),#REF!)))</f>
        <v/>
      </c>
      <c r="AF1486" s="597" t="str">
        <f>IFERROR(INDEX(produtos_escape2!M:M,MATCH(Controle!H1486,produtos_escape2!A:A,0)),"")</f>
        <v/>
      </c>
    </row>
    <row r="1487" spans="1:32" ht="14.25" customHeight="1">
      <c r="A1487" s="176"/>
      <c r="B1487" s="176"/>
      <c r="C1487" s="177"/>
      <c r="D1487" s="176"/>
      <c r="E1487" s="176"/>
      <c r="F1487" s="259"/>
      <c r="G1487" s="176"/>
      <c r="H1487" s="178"/>
      <c r="I1487" s="592">
        <f t="shared" si="62"/>
        <v>0</v>
      </c>
      <c r="J1487" s="178"/>
      <c r="K1487" s="178"/>
      <c r="L1487" s="275" t="str">
        <f>IF(H:H=0,"",IF(ISERROR(VLOOKUP(H:H,produtos_escape2!$A$2:$B$2794,2,FALSE)),"Código não cadastrado",(VLOOKUP(H:H,produtos_escape2!$A$2:$B$2794,2,FALSE))))</f>
        <v/>
      </c>
      <c r="M1487" s="593" t="str">
        <f>IF(H:H=0,"",IF(ISERROR(VLOOKUP(H:H,produtos_escape2!$A$2:$D$2794,2,FALSE)),"Código não cadastrado",(VLOOKUP(H:H,produtos_escape2!$A$2:$D$2794,4,FALSE))))</f>
        <v/>
      </c>
      <c r="N1487" s="486"/>
      <c r="O1487" s="176"/>
      <c r="P1487" s="486"/>
      <c r="Q1487" s="247"/>
      <c r="R1487" s="246">
        <f t="shared" si="61"/>
        <v>0</v>
      </c>
      <c r="S1487" s="177"/>
      <c r="T1487" s="182"/>
      <c r="U1487" s="177"/>
      <c r="V1487" s="177"/>
      <c r="W1487" s="177"/>
      <c r="X1487" s="176"/>
      <c r="Y1487" s="177"/>
      <c r="Z1487" s="415"/>
      <c r="AA1487" s="488"/>
      <c r="AB1487" s="594"/>
      <c r="AC1487" s="595"/>
      <c r="AD1487" s="596" t="str">
        <f>IF(AND(AC1487&lt;&gt;"",S1487&lt;&gt;""),NETWORKDAYS(AC1487,S1487,#REF!),"")</f>
        <v/>
      </c>
      <c r="AE1487" s="596" t="str">
        <f ca="1">IF(AND(AD1487="",AC1487=""),"",IF(OR(AD1487&lt;&gt;"",O1487="*CANCELADO"),"",NETWORKDAYS(AC1487,TODAY(),#REF!)))</f>
        <v/>
      </c>
      <c r="AF1487" s="597" t="str">
        <f>IFERROR(INDEX(produtos_escape2!M:M,MATCH(Controle!H1487,produtos_escape2!A:A,0)),"")</f>
        <v/>
      </c>
    </row>
    <row r="1488" spans="1:32" ht="14.25" customHeight="1">
      <c r="A1488" s="176"/>
      <c r="B1488" s="176"/>
      <c r="C1488" s="177"/>
      <c r="D1488" s="176"/>
      <c r="E1488" s="176"/>
      <c r="F1488" s="259"/>
      <c r="G1488" s="176"/>
      <c r="H1488" s="178"/>
      <c r="I1488" s="592">
        <f t="shared" si="62"/>
        <v>0</v>
      </c>
      <c r="J1488" s="178"/>
      <c r="K1488" s="178"/>
      <c r="L1488" s="275" t="str">
        <f>IF(H:H=0,"",IF(ISERROR(VLOOKUP(H:H,produtos_escape2!$A$2:$B$2794,2,FALSE)),"Código não cadastrado",(VLOOKUP(H:H,produtos_escape2!$A$2:$B$2794,2,FALSE))))</f>
        <v/>
      </c>
      <c r="M1488" s="593" t="str">
        <f>IF(H:H=0,"",IF(ISERROR(VLOOKUP(H:H,produtos_escape2!$A$2:$D$2794,2,FALSE)),"Código não cadastrado",(VLOOKUP(H:H,produtos_escape2!$A$2:$D$2794,4,FALSE))))</f>
        <v/>
      </c>
      <c r="N1488" s="486"/>
      <c r="O1488" s="176"/>
      <c r="P1488" s="486"/>
      <c r="Q1488" s="247"/>
      <c r="R1488" s="246">
        <f t="shared" si="61"/>
        <v>0</v>
      </c>
      <c r="S1488" s="177"/>
      <c r="T1488" s="182"/>
      <c r="U1488" s="177"/>
      <c r="V1488" s="177"/>
      <c r="W1488" s="177"/>
      <c r="X1488" s="176"/>
      <c r="Y1488" s="177"/>
      <c r="Z1488" s="415"/>
      <c r="AA1488" s="488"/>
      <c r="AB1488" s="594"/>
      <c r="AC1488" s="595"/>
      <c r="AD1488" s="596" t="str">
        <f>IF(AND(AC1488&lt;&gt;"",S1488&lt;&gt;""),NETWORKDAYS(AC1488,S1488,#REF!),"")</f>
        <v/>
      </c>
      <c r="AE1488" s="596" t="str">
        <f ca="1">IF(AND(AD1488="",AC1488=""),"",IF(OR(AD1488&lt;&gt;"",O1488="*CANCELADO"),"",NETWORKDAYS(AC1488,TODAY(),#REF!)))</f>
        <v/>
      </c>
      <c r="AF1488" s="597" t="str">
        <f>IFERROR(INDEX(produtos_escape2!M:M,MATCH(Controle!H1488,produtos_escape2!A:A,0)),"")</f>
        <v/>
      </c>
    </row>
    <row r="1489" spans="1:32" ht="14.25" customHeight="1">
      <c r="A1489" s="176"/>
      <c r="B1489" s="176"/>
      <c r="C1489" s="177"/>
      <c r="D1489" s="176"/>
      <c r="E1489" s="176"/>
      <c r="F1489" s="259"/>
      <c r="G1489" s="176"/>
      <c r="H1489" s="178"/>
      <c r="I1489" s="592">
        <f t="shared" si="62"/>
        <v>0</v>
      </c>
      <c r="J1489" s="178"/>
      <c r="K1489" s="178"/>
      <c r="L1489" s="275" t="str">
        <f>IF(H:H=0,"",IF(ISERROR(VLOOKUP(H:H,produtos_escape2!$A$2:$B$2794,2,FALSE)),"Código não cadastrado",(VLOOKUP(H:H,produtos_escape2!$A$2:$B$2794,2,FALSE))))</f>
        <v/>
      </c>
      <c r="M1489" s="593" t="str">
        <f>IF(H:H=0,"",IF(ISERROR(VLOOKUP(H:H,produtos_escape2!$A$2:$D$2794,2,FALSE)),"Código não cadastrado",(VLOOKUP(H:H,produtos_escape2!$A$2:$D$2794,4,FALSE))))</f>
        <v/>
      </c>
      <c r="N1489" s="486"/>
      <c r="O1489" s="176"/>
      <c r="P1489" s="486"/>
      <c r="Q1489" s="247"/>
      <c r="R1489" s="246">
        <f t="shared" si="61"/>
        <v>0</v>
      </c>
      <c r="S1489" s="177"/>
      <c r="T1489" s="182"/>
      <c r="U1489" s="177"/>
      <c r="V1489" s="177"/>
      <c r="W1489" s="177"/>
      <c r="X1489" s="176"/>
      <c r="Y1489" s="177"/>
      <c r="Z1489" s="415"/>
      <c r="AA1489" s="488"/>
      <c r="AB1489" s="594"/>
      <c r="AC1489" s="595"/>
      <c r="AD1489" s="596" t="str">
        <f>IF(AND(AC1489&lt;&gt;"",S1489&lt;&gt;""),NETWORKDAYS(AC1489,S1489,#REF!),"")</f>
        <v/>
      </c>
      <c r="AE1489" s="596" t="str">
        <f ca="1">IF(AND(AD1489="",AC1489=""),"",IF(OR(AD1489&lt;&gt;"",O1489="*CANCELADO"),"",NETWORKDAYS(AC1489,TODAY(),#REF!)))</f>
        <v/>
      </c>
      <c r="AF1489" s="597" t="str">
        <f>IFERROR(INDEX(produtos_escape2!M:M,MATCH(Controle!H1489,produtos_escape2!A:A,0)),"")</f>
        <v/>
      </c>
    </row>
    <row r="1490" spans="1:32" ht="14.25" customHeight="1">
      <c r="A1490" s="176"/>
      <c r="B1490" s="176"/>
      <c r="C1490" s="177"/>
      <c r="D1490" s="176"/>
      <c r="E1490" s="176"/>
      <c r="F1490" s="259"/>
      <c r="G1490" s="176"/>
      <c r="H1490" s="178"/>
      <c r="I1490" s="592">
        <f t="shared" si="62"/>
        <v>0</v>
      </c>
      <c r="J1490" s="178"/>
      <c r="K1490" s="178"/>
      <c r="L1490" s="275" t="str">
        <f>IF(H:H=0,"",IF(ISERROR(VLOOKUP(H:H,produtos_escape2!$A$2:$B$2794,2,FALSE)),"Código não cadastrado",(VLOOKUP(H:H,produtos_escape2!$A$2:$B$2794,2,FALSE))))</f>
        <v/>
      </c>
      <c r="M1490" s="593" t="str">
        <f>IF(H:H=0,"",IF(ISERROR(VLOOKUP(H:H,produtos_escape2!$A$2:$D$2794,2,FALSE)),"Código não cadastrado",(VLOOKUP(H:H,produtos_escape2!$A$2:$D$2794,4,FALSE))))</f>
        <v/>
      </c>
      <c r="N1490" s="486"/>
      <c r="O1490" s="176"/>
      <c r="P1490" s="486"/>
      <c r="Q1490" s="247"/>
      <c r="R1490" s="246">
        <f t="shared" si="61"/>
        <v>0</v>
      </c>
      <c r="S1490" s="177"/>
      <c r="T1490" s="182"/>
      <c r="U1490" s="177"/>
      <c r="V1490" s="177"/>
      <c r="W1490" s="177"/>
      <c r="X1490" s="176"/>
      <c r="Y1490" s="177"/>
      <c r="Z1490" s="415"/>
      <c r="AA1490" s="488"/>
      <c r="AB1490" s="594"/>
      <c r="AC1490" s="595"/>
      <c r="AD1490" s="596" t="str">
        <f>IF(AND(AC1490&lt;&gt;"",S1490&lt;&gt;""),NETWORKDAYS(AC1490,S1490,#REF!),"")</f>
        <v/>
      </c>
      <c r="AE1490" s="596" t="str">
        <f ca="1">IF(AND(AD1490="",AC1490=""),"",IF(OR(AD1490&lt;&gt;"",O1490="*CANCELADO"),"",NETWORKDAYS(AC1490,TODAY(),#REF!)))</f>
        <v/>
      </c>
      <c r="AF1490" s="597" t="str">
        <f>IFERROR(INDEX(produtos_escape2!M:M,MATCH(Controle!H1490,produtos_escape2!A:A,0)),"")</f>
        <v/>
      </c>
    </row>
    <row r="1491" spans="1:32" ht="14.25" customHeight="1">
      <c r="A1491" s="176"/>
      <c r="B1491" s="176"/>
      <c r="C1491" s="177"/>
      <c r="D1491" s="176"/>
      <c r="E1491" s="176"/>
      <c r="F1491" s="259"/>
      <c r="G1491" s="176"/>
      <c r="H1491" s="178"/>
      <c r="I1491" s="592">
        <f t="shared" si="62"/>
        <v>0</v>
      </c>
      <c r="J1491" s="178"/>
      <c r="K1491" s="178"/>
      <c r="L1491" s="275" t="str">
        <f>IF(H:H=0,"",IF(ISERROR(VLOOKUP(H:H,produtos_escape2!$A$2:$B$2794,2,FALSE)),"Código não cadastrado",(VLOOKUP(H:H,produtos_escape2!$A$2:$B$2794,2,FALSE))))</f>
        <v/>
      </c>
      <c r="M1491" s="593" t="str">
        <f>IF(H:H=0,"",IF(ISERROR(VLOOKUP(H:H,produtos_escape2!$A$2:$D$2794,2,FALSE)),"Código não cadastrado",(VLOOKUP(H:H,produtos_escape2!$A$2:$D$2794,4,FALSE))))</f>
        <v/>
      </c>
      <c r="N1491" s="486"/>
      <c r="O1491" s="176"/>
      <c r="P1491" s="486"/>
      <c r="Q1491" s="247"/>
      <c r="R1491" s="246">
        <f t="shared" si="61"/>
        <v>0</v>
      </c>
      <c r="S1491" s="177"/>
      <c r="T1491" s="182"/>
      <c r="U1491" s="177"/>
      <c r="V1491" s="177"/>
      <c r="W1491" s="177"/>
      <c r="X1491" s="176"/>
      <c r="Y1491" s="177"/>
      <c r="Z1491" s="415"/>
      <c r="AA1491" s="488"/>
      <c r="AB1491" s="594"/>
      <c r="AC1491" s="595"/>
      <c r="AD1491" s="596" t="str">
        <f>IF(AND(AC1491&lt;&gt;"",S1491&lt;&gt;""),NETWORKDAYS(AC1491,S1491,#REF!),"")</f>
        <v/>
      </c>
      <c r="AE1491" s="596" t="str">
        <f ca="1">IF(AND(AD1491="",AC1491=""),"",IF(OR(AD1491&lt;&gt;"",O1491="*CANCELADO"),"",NETWORKDAYS(AC1491,TODAY(),#REF!)))</f>
        <v/>
      </c>
      <c r="AF1491" s="597" t="str">
        <f>IFERROR(INDEX(produtos_escape2!M:M,MATCH(Controle!H1491,produtos_escape2!A:A,0)),"")</f>
        <v/>
      </c>
    </row>
    <row r="1492" spans="1:32" ht="14.25" customHeight="1">
      <c r="A1492" s="176"/>
      <c r="B1492" s="176"/>
      <c r="C1492" s="177"/>
      <c r="D1492" s="176"/>
      <c r="E1492" s="176"/>
      <c r="F1492" s="259"/>
      <c r="G1492" s="176"/>
      <c r="H1492" s="178"/>
      <c r="I1492" s="592">
        <f t="shared" si="62"/>
        <v>0</v>
      </c>
      <c r="J1492" s="178"/>
      <c r="K1492" s="178"/>
      <c r="L1492" s="275" t="str">
        <f>IF(H:H=0,"",IF(ISERROR(VLOOKUP(H:H,produtos_escape2!$A$2:$B$2794,2,FALSE)),"Código não cadastrado",(VLOOKUP(H:H,produtos_escape2!$A$2:$B$2794,2,FALSE))))</f>
        <v/>
      </c>
      <c r="M1492" s="593" t="str">
        <f>IF(H:H=0,"",IF(ISERROR(VLOOKUP(H:H,produtos_escape2!$A$2:$D$2794,2,FALSE)),"Código não cadastrado",(VLOOKUP(H:H,produtos_escape2!$A$2:$D$2794,4,FALSE))))</f>
        <v/>
      </c>
      <c r="N1492" s="486"/>
      <c r="O1492" s="176"/>
      <c r="P1492" s="486"/>
      <c r="Q1492" s="247"/>
      <c r="R1492" s="246">
        <f t="shared" si="61"/>
        <v>0</v>
      </c>
      <c r="S1492" s="177"/>
      <c r="T1492" s="182"/>
      <c r="U1492" s="177"/>
      <c r="V1492" s="177"/>
      <c r="W1492" s="177"/>
      <c r="X1492" s="176"/>
      <c r="Y1492" s="177"/>
      <c r="Z1492" s="415"/>
      <c r="AA1492" s="488"/>
      <c r="AB1492" s="594"/>
      <c r="AC1492" s="595"/>
      <c r="AD1492" s="596" t="str">
        <f>IF(AND(AC1492&lt;&gt;"",S1492&lt;&gt;""),NETWORKDAYS(AC1492,S1492,#REF!),"")</f>
        <v/>
      </c>
      <c r="AE1492" s="596" t="str">
        <f ca="1">IF(AND(AD1492="",AC1492=""),"",IF(OR(AD1492&lt;&gt;"",O1492="*CANCELADO"),"",NETWORKDAYS(AC1492,TODAY(),#REF!)))</f>
        <v/>
      </c>
      <c r="AF1492" s="597" t="str">
        <f>IFERROR(INDEX(produtos_escape2!M:M,MATCH(Controle!H1492,produtos_escape2!A:A,0)),"")</f>
        <v/>
      </c>
    </row>
    <row r="1493" spans="1:32" ht="14.25" customHeight="1">
      <c r="A1493" s="176"/>
      <c r="B1493" s="176"/>
      <c r="C1493" s="177"/>
      <c r="D1493" s="176"/>
      <c r="E1493" s="176"/>
      <c r="F1493" s="259"/>
      <c r="G1493" s="176"/>
      <c r="H1493" s="178"/>
      <c r="I1493" s="592">
        <f t="shared" si="62"/>
        <v>0</v>
      </c>
      <c r="J1493" s="178"/>
      <c r="K1493" s="178"/>
      <c r="L1493" s="275" t="str">
        <f>IF(H:H=0,"",IF(ISERROR(VLOOKUP(H:H,produtos_escape2!$A$2:$B$2794,2,FALSE)),"Código não cadastrado",(VLOOKUP(H:H,produtos_escape2!$A$2:$B$2794,2,FALSE))))</f>
        <v/>
      </c>
      <c r="M1493" s="593" t="str">
        <f>IF(H:H=0,"",IF(ISERROR(VLOOKUP(H:H,produtos_escape2!$A$2:$D$2794,2,FALSE)),"Código não cadastrado",(VLOOKUP(H:H,produtos_escape2!$A$2:$D$2794,4,FALSE))))</f>
        <v/>
      </c>
      <c r="N1493" s="486"/>
      <c r="O1493" s="176"/>
      <c r="P1493" s="486"/>
      <c r="Q1493" s="247"/>
      <c r="R1493" s="246">
        <f t="shared" si="61"/>
        <v>0</v>
      </c>
      <c r="S1493" s="177"/>
      <c r="T1493" s="182"/>
      <c r="U1493" s="177"/>
      <c r="V1493" s="177"/>
      <c r="W1493" s="177"/>
      <c r="X1493" s="176"/>
      <c r="Y1493" s="177"/>
      <c r="Z1493" s="415"/>
      <c r="AA1493" s="488"/>
      <c r="AB1493" s="594"/>
      <c r="AC1493" s="595"/>
      <c r="AD1493" s="596" t="str">
        <f>IF(AND(AC1493&lt;&gt;"",S1493&lt;&gt;""),NETWORKDAYS(AC1493,S1493,#REF!),"")</f>
        <v/>
      </c>
      <c r="AE1493" s="596" t="str">
        <f ca="1">IF(AND(AD1493="",AC1493=""),"",IF(OR(AD1493&lt;&gt;"",O1493="*CANCELADO"),"",NETWORKDAYS(AC1493,TODAY(),#REF!)))</f>
        <v/>
      </c>
      <c r="AF1493" s="597" t="str">
        <f>IFERROR(INDEX(produtos_escape2!M:M,MATCH(Controle!H1493,produtos_escape2!A:A,0)),"")</f>
        <v/>
      </c>
    </row>
    <row r="1494" spans="1:32" ht="14.25" customHeight="1">
      <c r="A1494" s="176"/>
      <c r="B1494" s="176"/>
      <c r="C1494" s="177"/>
      <c r="D1494" s="176"/>
      <c r="E1494" s="176"/>
      <c r="F1494" s="259"/>
      <c r="G1494" s="176"/>
      <c r="H1494" s="178"/>
      <c r="I1494" s="592">
        <f t="shared" si="62"/>
        <v>0</v>
      </c>
      <c r="J1494" s="178"/>
      <c r="K1494" s="178"/>
      <c r="L1494" s="275" t="str">
        <f>IF(H:H=0,"",IF(ISERROR(VLOOKUP(H:H,produtos_escape2!$A$2:$B$2794,2,FALSE)),"Código não cadastrado",(VLOOKUP(H:H,produtos_escape2!$A$2:$B$2794,2,FALSE))))</f>
        <v/>
      </c>
      <c r="M1494" s="593" t="str">
        <f>IF(H:H=0,"",IF(ISERROR(VLOOKUP(H:H,produtos_escape2!$A$2:$D$2794,2,FALSE)),"Código não cadastrado",(VLOOKUP(H:H,produtos_escape2!$A$2:$D$2794,4,FALSE))))</f>
        <v/>
      </c>
      <c r="N1494" s="486"/>
      <c r="O1494" s="176"/>
      <c r="P1494" s="486"/>
      <c r="Q1494" s="247"/>
      <c r="R1494" s="246">
        <f t="shared" si="61"/>
        <v>0</v>
      </c>
      <c r="S1494" s="177"/>
      <c r="T1494" s="182"/>
      <c r="U1494" s="177"/>
      <c r="V1494" s="177"/>
      <c r="W1494" s="177"/>
      <c r="X1494" s="176"/>
      <c r="Y1494" s="177"/>
      <c r="Z1494" s="415"/>
      <c r="AA1494" s="488"/>
      <c r="AB1494" s="594"/>
      <c r="AC1494" s="595"/>
      <c r="AD1494" s="596" t="str">
        <f>IF(AND(AC1494&lt;&gt;"",S1494&lt;&gt;""),NETWORKDAYS(AC1494,S1494,#REF!),"")</f>
        <v/>
      </c>
      <c r="AE1494" s="596" t="str">
        <f ca="1">IF(AND(AD1494="",AC1494=""),"",IF(OR(AD1494&lt;&gt;"",O1494="*CANCELADO"),"",NETWORKDAYS(AC1494,TODAY(),#REF!)))</f>
        <v/>
      </c>
      <c r="AF1494" s="597" t="str">
        <f>IFERROR(INDEX(produtos_escape2!M:M,MATCH(Controle!H1494,produtos_escape2!A:A,0)),"")</f>
        <v/>
      </c>
    </row>
    <row r="1495" spans="1:32" ht="14.25" customHeight="1">
      <c r="A1495" s="176"/>
      <c r="B1495" s="176"/>
      <c r="C1495" s="177"/>
      <c r="D1495" s="176"/>
      <c r="E1495" s="176"/>
      <c r="F1495" s="259"/>
      <c r="G1495" s="176"/>
      <c r="H1495" s="178"/>
      <c r="I1495" s="592">
        <f t="shared" si="62"/>
        <v>0</v>
      </c>
      <c r="J1495" s="178"/>
      <c r="K1495" s="178"/>
      <c r="L1495" s="275" t="str">
        <f>IF(H:H=0,"",IF(ISERROR(VLOOKUP(H:H,produtos_escape2!$A$2:$B$2794,2,FALSE)),"Código não cadastrado",(VLOOKUP(H:H,produtos_escape2!$A$2:$B$2794,2,FALSE))))</f>
        <v/>
      </c>
      <c r="M1495" s="593" t="str">
        <f>IF(H:H=0,"",IF(ISERROR(VLOOKUP(H:H,produtos_escape2!$A$2:$D$2794,2,FALSE)),"Código não cadastrado",(VLOOKUP(H:H,produtos_escape2!$A$2:$D$2794,4,FALSE))))</f>
        <v/>
      </c>
      <c r="N1495" s="486"/>
      <c r="O1495" s="176"/>
      <c r="P1495" s="486"/>
      <c r="Q1495" s="247"/>
      <c r="R1495" s="246">
        <f t="shared" si="61"/>
        <v>0</v>
      </c>
      <c r="S1495" s="177"/>
      <c r="T1495" s="182"/>
      <c r="U1495" s="177"/>
      <c r="V1495" s="177"/>
      <c r="W1495" s="177"/>
      <c r="X1495" s="176"/>
      <c r="Y1495" s="177"/>
      <c r="Z1495" s="415"/>
      <c r="AA1495" s="488"/>
      <c r="AB1495" s="594"/>
      <c r="AC1495" s="595"/>
      <c r="AD1495" s="596" t="str">
        <f>IF(AND(AC1495&lt;&gt;"",S1495&lt;&gt;""),NETWORKDAYS(AC1495,S1495,#REF!),"")</f>
        <v/>
      </c>
      <c r="AE1495" s="596" t="str">
        <f ca="1">IF(AND(AD1495="",AC1495=""),"",IF(OR(AD1495&lt;&gt;"",O1495="*CANCELADO"),"",NETWORKDAYS(AC1495,TODAY(),#REF!)))</f>
        <v/>
      </c>
      <c r="AF1495" s="597" t="str">
        <f>IFERROR(INDEX(produtos_escape2!M:M,MATCH(Controle!H1495,produtos_escape2!A:A,0)),"")</f>
        <v/>
      </c>
    </row>
    <row r="1496" spans="1:32" ht="14.25" customHeight="1">
      <c r="A1496" s="176"/>
      <c r="B1496" s="176"/>
      <c r="C1496" s="177"/>
      <c r="D1496" s="176"/>
      <c r="E1496" s="176"/>
      <c r="F1496" s="259"/>
      <c r="G1496" s="176"/>
      <c r="H1496" s="178"/>
      <c r="I1496" s="592">
        <f t="shared" si="62"/>
        <v>0</v>
      </c>
      <c r="J1496" s="178"/>
      <c r="K1496" s="178"/>
      <c r="L1496" s="275" t="str">
        <f>IF(H:H=0,"",IF(ISERROR(VLOOKUP(H:H,produtos_escape2!$A$2:$B$2794,2,FALSE)),"Código não cadastrado",(VLOOKUP(H:H,produtos_escape2!$A$2:$B$2794,2,FALSE))))</f>
        <v/>
      </c>
      <c r="M1496" s="593" t="str">
        <f>IF(H:H=0,"",IF(ISERROR(VLOOKUP(H:H,produtos_escape2!$A$2:$D$2794,2,FALSE)),"Código não cadastrado",(VLOOKUP(H:H,produtos_escape2!$A$2:$D$2794,4,FALSE))))</f>
        <v/>
      </c>
      <c r="N1496" s="486"/>
      <c r="O1496" s="176"/>
      <c r="P1496" s="486"/>
      <c r="Q1496" s="247"/>
      <c r="R1496" s="246">
        <f t="shared" si="61"/>
        <v>0</v>
      </c>
      <c r="S1496" s="177"/>
      <c r="T1496" s="182"/>
      <c r="U1496" s="177"/>
      <c r="V1496" s="177"/>
      <c r="W1496" s="177"/>
      <c r="X1496" s="176"/>
      <c r="Y1496" s="177"/>
      <c r="Z1496" s="415"/>
      <c r="AA1496" s="488"/>
      <c r="AB1496" s="594"/>
      <c r="AC1496" s="595"/>
      <c r="AD1496" s="596" t="str">
        <f>IF(AND(AC1496&lt;&gt;"",S1496&lt;&gt;""),NETWORKDAYS(AC1496,S1496,#REF!),"")</f>
        <v/>
      </c>
      <c r="AE1496" s="596" t="str">
        <f ca="1">IF(AND(AD1496="",AC1496=""),"",IF(OR(AD1496&lt;&gt;"",O1496="*CANCELADO"),"",NETWORKDAYS(AC1496,TODAY(),#REF!)))</f>
        <v/>
      </c>
      <c r="AF1496" s="597" t="str">
        <f>IFERROR(INDEX(produtos_escape2!M:M,MATCH(Controle!H1496,produtos_escape2!A:A,0)),"")</f>
        <v/>
      </c>
    </row>
    <row r="1497" spans="1:32" ht="14.25" customHeight="1">
      <c r="A1497" s="176"/>
      <c r="B1497" s="176"/>
      <c r="C1497" s="177"/>
      <c r="D1497" s="176"/>
      <c r="E1497" s="176"/>
      <c r="F1497" s="259"/>
      <c r="G1497" s="176"/>
      <c r="H1497" s="178"/>
      <c r="I1497" s="592">
        <f t="shared" si="62"/>
        <v>0</v>
      </c>
      <c r="J1497" s="178"/>
      <c r="K1497" s="178"/>
      <c r="L1497" s="275" t="str">
        <f>IF(H:H=0,"",IF(ISERROR(VLOOKUP(H:H,produtos_escape2!$A$2:$B$2794,2,FALSE)),"Código não cadastrado",(VLOOKUP(H:H,produtos_escape2!$A$2:$B$2794,2,FALSE))))</f>
        <v/>
      </c>
      <c r="M1497" s="593" t="str">
        <f>IF(H:H=0,"",IF(ISERROR(VLOOKUP(H:H,produtos_escape2!$A$2:$D$2794,2,FALSE)),"Código não cadastrado",(VLOOKUP(H:H,produtos_escape2!$A$2:$D$2794,4,FALSE))))</f>
        <v/>
      </c>
      <c r="N1497" s="486"/>
      <c r="O1497" s="176"/>
      <c r="P1497" s="486"/>
      <c r="Q1497" s="247"/>
      <c r="R1497" s="246">
        <f t="shared" si="61"/>
        <v>0</v>
      </c>
      <c r="S1497" s="177"/>
      <c r="T1497" s="182"/>
      <c r="U1497" s="177"/>
      <c r="V1497" s="177"/>
      <c r="W1497" s="177"/>
      <c r="X1497" s="176"/>
      <c r="Y1497" s="177"/>
      <c r="Z1497" s="415"/>
      <c r="AA1497" s="488"/>
      <c r="AB1497" s="594"/>
      <c r="AC1497" s="595"/>
      <c r="AD1497" s="596" t="str">
        <f>IF(AND(AC1497&lt;&gt;"",S1497&lt;&gt;""),NETWORKDAYS(AC1497,S1497,#REF!),"")</f>
        <v/>
      </c>
      <c r="AE1497" s="596" t="str">
        <f ca="1">IF(AND(AD1497="",AC1497=""),"",IF(OR(AD1497&lt;&gt;"",O1497="*CANCELADO"),"",NETWORKDAYS(AC1497,TODAY(),#REF!)))</f>
        <v/>
      </c>
      <c r="AF1497" s="597" t="str">
        <f>IFERROR(INDEX(produtos_escape2!M:M,MATCH(Controle!H1497,produtos_escape2!A:A,0)),"")</f>
        <v/>
      </c>
    </row>
    <row r="1498" spans="1:32" ht="14.25" customHeight="1">
      <c r="A1498" s="176"/>
      <c r="B1498" s="176"/>
      <c r="C1498" s="177"/>
      <c r="D1498" s="176"/>
      <c r="E1498" s="176"/>
      <c r="F1498" s="259"/>
      <c r="G1498" s="176"/>
      <c r="H1498" s="178"/>
      <c r="I1498" s="592">
        <f t="shared" si="62"/>
        <v>0</v>
      </c>
      <c r="J1498" s="178"/>
      <c r="K1498" s="178"/>
      <c r="L1498" s="275" t="str">
        <f>IF(H:H=0,"",IF(ISERROR(VLOOKUP(H:H,produtos_escape2!$A$2:$B$2794,2,FALSE)),"Código não cadastrado",(VLOOKUP(H:H,produtos_escape2!$A$2:$B$2794,2,FALSE))))</f>
        <v/>
      </c>
      <c r="M1498" s="593" t="str">
        <f>IF(H:H=0,"",IF(ISERROR(VLOOKUP(H:H,produtos_escape2!$A$2:$D$2794,2,FALSE)),"Código não cadastrado",(VLOOKUP(H:H,produtos_escape2!$A$2:$D$2794,4,FALSE))))</f>
        <v/>
      </c>
      <c r="N1498" s="486"/>
      <c r="O1498" s="176"/>
      <c r="P1498" s="486"/>
      <c r="Q1498" s="247"/>
      <c r="R1498" s="246">
        <f t="shared" si="61"/>
        <v>0</v>
      </c>
      <c r="S1498" s="177"/>
      <c r="T1498" s="182"/>
      <c r="U1498" s="177"/>
      <c r="V1498" s="177"/>
      <c r="W1498" s="177"/>
      <c r="X1498" s="176"/>
      <c r="Y1498" s="177"/>
      <c r="Z1498" s="415"/>
      <c r="AA1498" s="488"/>
      <c r="AB1498" s="594"/>
      <c r="AC1498" s="595"/>
      <c r="AD1498" s="596" t="str">
        <f>IF(AND(AC1498&lt;&gt;"",S1498&lt;&gt;""),NETWORKDAYS(AC1498,S1498,#REF!),"")</f>
        <v/>
      </c>
      <c r="AE1498" s="596" t="str">
        <f ca="1">IF(AND(AD1498="",AC1498=""),"",IF(OR(AD1498&lt;&gt;"",O1498="*CANCELADO"),"",NETWORKDAYS(AC1498,TODAY(),#REF!)))</f>
        <v/>
      </c>
      <c r="AF1498" s="597" t="str">
        <f>IFERROR(INDEX(produtos_escape2!M:M,MATCH(Controle!H1498,produtos_escape2!A:A,0)),"")</f>
        <v/>
      </c>
    </row>
    <row r="1499" spans="1:32" ht="14.25" customHeight="1">
      <c r="A1499" s="176"/>
      <c r="B1499" s="176"/>
      <c r="C1499" s="177"/>
      <c r="D1499" s="176"/>
      <c r="E1499" s="176"/>
      <c r="F1499" s="259"/>
      <c r="G1499" s="176"/>
      <c r="H1499" s="178"/>
      <c r="I1499" s="592">
        <f t="shared" si="62"/>
        <v>0</v>
      </c>
      <c r="J1499" s="178"/>
      <c r="K1499" s="178"/>
      <c r="L1499" s="275" t="str">
        <f>IF(H:H=0,"",IF(ISERROR(VLOOKUP(H:H,produtos_escape2!$A$2:$B$2794,2,FALSE)),"Código não cadastrado",(VLOOKUP(H:H,produtos_escape2!$A$2:$B$2794,2,FALSE))))</f>
        <v/>
      </c>
      <c r="M1499" s="593" t="str">
        <f>IF(H:H=0,"",IF(ISERROR(VLOOKUP(H:H,produtos_escape2!$A$2:$D$2794,2,FALSE)),"Código não cadastrado",(VLOOKUP(H:H,produtos_escape2!$A$2:$D$2794,4,FALSE))))</f>
        <v/>
      </c>
      <c r="N1499" s="486"/>
      <c r="O1499" s="176"/>
      <c r="P1499" s="486"/>
      <c r="Q1499" s="247"/>
      <c r="R1499" s="246">
        <f t="shared" si="61"/>
        <v>0</v>
      </c>
      <c r="S1499" s="177"/>
      <c r="T1499" s="182"/>
      <c r="U1499" s="177"/>
      <c r="V1499" s="177"/>
      <c r="W1499" s="177"/>
      <c r="X1499" s="176"/>
      <c r="Y1499" s="177"/>
      <c r="Z1499" s="415"/>
      <c r="AA1499" s="488"/>
      <c r="AB1499" s="594"/>
      <c r="AC1499" s="595"/>
      <c r="AD1499" s="596" t="str">
        <f>IF(AND(AC1499&lt;&gt;"",S1499&lt;&gt;""),NETWORKDAYS(AC1499,S1499,#REF!),"")</f>
        <v/>
      </c>
      <c r="AE1499" s="596" t="str">
        <f ca="1">IF(AND(AD1499="",AC1499=""),"",IF(OR(AD1499&lt;&gt;"",O1499="*CANCELADO"),"",NETWORKDAYS(AC1499,TODAY(),#REF!)))</f>
        <v/>
      </c>
      <c r="AF1499" s="597" t="str">
        <f>IFERROR(INDEX(produtos_escape2!M:M,MATCH(Controle!H1499,produtos_escape2!A:A,0)),"")</f>
        <v/>
      </c>
    </row>
    <row r="1500" spans="1:32" ht="14.25" customHeight="1">
      <c r="A1500" s="176"/>
      <c r="B1500" s="176"/>
      <c r="C1500" s="177"/>
      <c r="D1500" s="176"/>
      <c r="E1500" s="176"/>
      <c r="F1500" s="259"/>
      <c r="G1500" s="176"/>
      <c r="H1500" s="178"/>
      <c r="I1500" s="592">
        <f t="shared" si="62"/>
        <v>0</v>
      </c>
      <c r="J1500" s="178"/>
      <c r="K1500" s="178"/>
      <c r="L1500" s="275" t="str">
        <f>IF(H:H=0,"",IF(ISERROR(VLOOKUP(H:H,produtos_escape2!$A$2:$B$2794,2,FALSE)),"Código não cadastrado",(VLOOKUP(H:H,produtos_escape2!$A$2:$B$2794,2,FALSE))))</f>
        <v/>
      </c>
      <c r="M1500" s="593" t="str">
        <f>IF(H:H=0,"",IF(ISERROR(VLOOKUP(H:H,produtos_escape2!$A$2:$D$2794,2,FALSE)),"Código não cadastrado",(VLOOKUP(H:H,produtos_escape2!$A$2:$D$2794,4,FALSE))))</f>
        <v/>
      </c>
      <c r="N1500" s="486"/>
      <c r="O1500" s="176"/>
      <c r="P1500" s="486"/>
      <c r="Q1500" s="247"/>
      <c r="R1500" s="246">
        <f t="shared" si="61"/>
        <v>0</v>
      </c>
      <c r="S1500" s="177"/>
      <c r="T1500" s="182"/>
      <c r="U1500" s="177"/>
      <c r="V1500" s="177"/>
      <c r="W1500" s="177"/>
      <c r="X1500" s="176"/>
      <c r="Y1500" s="177"/>
      <c r="Z1500" s="415"/>
      <c r="AA1500" s="488"/>
      <c r="AB1500" s="594"/>
      <c r="AC1500" s="595"/>
      <c r="AD1500" s="596" t="str">
        <f>IF(AND(AC1500&lt;&gt;"",S1500&lt;&gt;""),NETWORKDAYS(AC1500,S1500,#REF!),"")</f>
        <v/>
      </c>
      <c r="AE1500" s="596" t="str">
        <f ca="1">IF(AND(AD1500="",AC1500=""),"",IF(OR(AD1500&lt;&gt;"",O1500="*CANCELADO"),"",NETWORKDAYS(AC1500,TODAY(),#REF!)))</f>
        <v/>
      </c>
      <c r="AF1500" s="597" t="str">
        <f>IFERROR(INDEX(produtos_escape2!M:M,MATCH(Controle!H1500,produtos_escape2!A:A,0)),"")</f>
        <v/>
      </c>
    </row>
    <row r="1501" spans="1:32" ht="14.25" customHeight="1">
      <c r="A1501" s="176"/>
      <c r="B1501" s="176"/>
      <c r="C1501" s="177"/>
      <c r="D1501" s="176"/>
      <c r="E1501" s="176"/>
      <c r="F1501" s="259"/>
      <c r="G1501" s="176"/>
      <c r="H1501" s="178"/>
      <c r="I1501" s="592">
        <f t="shared" si="62"/>
        <v>0</v>
      </c>
      <c r="J1501" s="178"/>
      <c r="K1501" s="178"/>
      <c r="L1501" s="275" t="str">
        <f>IF(H:H=0,"",IF(ISERROR(VLOOKUP(H:H,produtos_escape2!$A$2:$B$2794,2,FALSE)),"Código não cadastrado",(VLOOKUP(H:H,produtos_escape2!$A$2:$B$2794,2,FALSE))))</f>
        <v/>
      </c>
      <c r="M1501" s="593" t="str">
        <f>IF(H:H=0,"",IF(ISERROR(VLOOKUP(H:H,produtos_escape2!$A$2:$D$2794,2,FALSE)),"Código não cadastrado",(VLOOKUP(H:H,produtos_escape2!$A$2:$D$2794,4,FALSE))))</f>
        <v/>
      </c>
      <c r="N1501" s="486"/>
      <c r="O1501" s="176"/>
      <c r="P1501" s="486"/>
      <c r="Q1501" s="247"/>
      <c r="R1501" s="246">
        <f t="shared" si="61"/>
        <v>0</v>
      </c>
      <c r="S1501" s="177"/>
      <c r="T1501" s="182"/>
      <c r="U1501" s="177"/>
      <c r="V1501" s="177"/>
      <c r="W1501" s="177"/>
      <c r="X1501" s="176"/>
      <c r="Y1501" s="177"/>
      <c r="Z1501" s="415"/>
      <c r="AA1501" s="488"/>
      <c r="AB1501" s="594"/>
      <c r="AC1501" s="595"/>
      <c r="AD1501" s="596" t="str">
        <f>IF(AND(AC1501&lt;&gt;"",S1501&lt;&gt;""),NETWORKDAYS(AC1501,S1501,#REF!),"")</f>
        <v/>
      </c>
      <c r="AE1501" s="596" t="str">
        <f ca="1">IF(AND(AD1501="",AC1501=""),"",IF(OR(AD1501&lt;&gt;"",O1501="*CANCELADO"),"",NETWORKDAYS(AC1501,TODAY(),#REF!)))</f>
        <v/>
      </c>
      <c r="AF1501" s="597" t="str">
        <f>IFERROR(INDEX(produtos_escape2!M:M,MATCH(Controle!H1501,produtos_escape2!A:A,0)),"")</f>
        <v/>
      </c>
    </row>
    <row r="1502" spans="1:32" ht="14.25" customHeight="1">
      <c r="A1502" s="176"/>
      <c r="B1502" s="176"/>
      <c r="C1502" s="177"/>
      <c r="D1502" s="176"/>
      <c r="E1502" s="176"/>
      <c r="F1502" s="259"/>
      <c r="G1502" s="176"/>
      <c r="H1502" s="178"/>
      <c r="I1502" s="592">
        <f t="shared" si="62"/>
        <v>0</v>
      </c>
      <c r="J1502" s="178"/>
      <c r="K1502" s="178"/>
      <c r="L1502" s="275" t="str">
        <f>IF(H:H=0,"",IF(ISERROR(VLOOKUP(H:H,produtos_escape2!$A$2:$B$2794,2,FALSE)),"Código não cadastrado",(VLOOKUP(H:H,produtos_escape2!$A$2:$B$2794,2,FALSE))))</f>
        <v/>
      </c>
      <c r="M1502" s="593" t="str">
        <f>IF(H:H=0,"",IF(ISERROR(VLOOKUP(H:H,produtos_escape2!$A$2:$D$2794,2,FALSE)),"Código não cadastrado",(VLOOKUP(H:H,produtos_escape2!$A$2:$D$2794,4,FALSE))))</f>
        <v/>
      </c>
      <c r="N1502" s="486"/>
      <c r="O1502" s="176"/>
      <c r="P1502" s="486"/>
      <c r="Q1502" s="247"/>
      <c r="R1502" s="246">
        <f t="shared" si="61"/>
        <v>0</v>
      </c>
      <c r="S1502" s="177"/>
      <c r="T1502" s="182"/>
      <c r="U1502" s="177"/>
      <c r="V1502" s="177"/>
      <c r="W1502" s="177"/>
      <c r="X1502" s="176"/>
      <c r="Y1502" s="177"/>
      <c r="Z1502" s="415"/>
      <c r="AA1502" s="488"/>
      <c r="AB1502" s="594"/>
      <c r="AC1502" s="595"/>
      <c r="AD1502" s="596" t="str">
        <f>IF(AND(AC1502&lt;&gt;"",S1502&lt;&gt;""),NETWORKDAYS(AC1502,S1502,#REF!),"")</f>
        <v/>
      </c>
      <c r="AE1502" s="596" t="str">
        <f ca="1">IF(AND(AD1502="",AC1502=""),"",IF(OR(AD1502&lt;&gt;"",O1502="*CANCELADO"),"",NETWORKDAYS(AC1502,TODAY(),#REF!)))</f>
        <v/>
      </c>
      <c r="AF1502" s="597" t="str">
        <f>IFERROR(INDEX(produtos_escape2!M:M,MATCH(Controle!H1502,produtos_escape2!A:A,0)),"")</f>
        <v/>
      </c>
    </row>
    <row r="1503" spans="1:32" ht="14.25" customHeight="1">
      <c r="A1503" s="176"/>
      <c r="B1503" s="176"/>
      <c r="C1503" s="177"/>
      <c r="D1503" s="176"/>
      <c r="E1503" s="176"/>
      <c r="F1503" s="259"/>
      <c r="G1503" s="176"/>
      <c r="H1503" s="178"/>
      <c r="I1503" s="592">
        <f t="shared" si="62"/>
        <v>0</v>
      </c>
      <c r="J1503" s="178"/>
      <c r="K1503" s="178"/>
      <c r="L1503" s="275" t="str">
        <f>IF(H:H=0,"",IF(ISERROR(VLOOKUP(H:H,produtos_escape2!$A$2:$B$2794,2,FALSE)),"Código não cadastrado",(VLOOKUP(H:H,produtos_escape2!$A$2:$B$2794,2,FALSE))))</f>
        <v/>
      </c>
      <c r="M1503" s="593" t="str">
        <f>IF(H:H=0,"",IF(ISERROR(VLOOKUP(H:H,produtos_escape2!$A$2:$D$2794,2,FALSE)),"Código não cadastrado",(VLOOKUP(H:H,produtos_escape2!$A$2:$D$2794,4,FALSE))))</f>
        <v/>
      </c>
      <c r="N1503" s="486"/>
      <c r="O1503" s="176"/>
      <c r="P1503" s="486"/>
      <c r="Q1503" s="247"/>
      <c r="R1503" s="246">
        <f t="shared" si="61"/>
        <v>0</v>
      </c>
      <c r="S1503" s="177"/>
      <c r="T1503" s="182"/>
      <c r="U1503" s="177"/>
      <c r="V1503" s="177"/>
      <c r="W1503" s="177"/>
      <c r="X1503" s="176"/>
      <c r="Y1503" s="177"/>
      <c r="Z1503" s="415"/>
      <c r="AA1503" s="488"/>
      <c r="AB1503" s="594"/>
      <c r="AC1503" s="595"/>
      <c r="AD1503" s="596" t="str">
        <f>IF(AND(AC1503&lt;&gt;"",S1503&lt;&gt;""),NETWORKDAYS(AC1503,S1503,#REF!),"")</f>
        <v/>
      </c>
      <c r="AE1503" s="596" t="str">
        <f ca="1">IF(AND(AD1503="",AC1503=""),"",IF(OR(AD1503&lt;&gt;"",O1503="*CANCELADO"),"",NETWORKDAYS(AC1503,TODAY(),#REF!)))</f>
        <v/>
      </c>
      <c r="AF1503" s="597" t="str">
        <f>IFERROR(INDEX(produtos_escape2!M:M,MATCH(Controle!H1503,produtos_escape2!A:A,0)),"")</f>
        <v/>
      </c>
    </row>
    <row r="1504" spans="1:32" ht="14.25" customHeight="1">
      <c r="A1504" s="176"/>
      <c r="B1504" s="176"/>
      <c r="C1504" s="177"/>
      <c r="D1504" s="176"/>
      <c r="E1504" s="176"/>
      <c r="F1504" s="259"/>
      <c r="G1504" s="176"/>
      <c r="H1504" s="178"/>
      <c r="I1504" s="592">
        <f t="shared" si="62"/>
        <v>0</v>
      </c>
      <c r="J1504" s="178"/>
      <c r="K1504" s="178"/>
      <c r="L1504" s="275" t="str">
        <f>IF(H:H=0,"",IF(ISERROR(VLOOKUP(H:H,produtos_escape2!$A$2:$B$2794,2,FALSE)),"Código não cadastrado",(VLOOKUP(H:H,produtos_escape2!$A$2:$B$2794,2,FALSE))))</f>
        <v/>
      </c>
      <c r="M1504" s="593" t="str">
        <f>IF(H:H=0,"",IF(ISERROR(VLOOKUP(H:H,produtos_escape2!$A$2:$D$2794,2,FALSE)),"Código não cadastrado",(VLOOKUP(H:H,produtos_escape2!$A$2:$D$2794,4,FALSE))))</f>
        <v/>
      </c>
      <c r="N1504" s="486"/>
      <c r="O1504" s="176"/>
      <c r="P1504" s="486"/>
      <c r="Q1504" s="247"/>
      <c r="R1504" s="246">
        <f t="shared" si="61"/>
        <v>0</v>
      </c>
      <c r="S1504" s="177"/>
      <c r="T1504" s="182"/>
      <c r="U1504" s="177"/>
      <c r="V1504" s="177"/>
      <c r="W1504" s="177"/>
      <c r="X1504" s="176"/>
      <c r="Y1504" s="177"/>
      <c r="Z1504" s="415"/>
      <c r="AA1504" s="488"/>
      <c r="AB1504" s="594"/>
      <c r="AC1504" s="595"/>
      <c r="AD1504" s="596" t="str">
        <f>IF(AND(AC1504&lt;&gt;"",S1504&lt;&gt;""),NETWORKDAYS(AC1504,S1504,#REF!),"")</f>
        <v/>
      </c>
      <c r="AE1504" s="596" t="str">
        <f ca="1">IF(AND(AD1504="",AC1504=""),"",IF(OR(AD1504&lt;&gt;"",O1504="*CANCELADO"),"",NETWORKDAYS(AC1504,TODAY(),#REF!)))</f>
        <v/>
      </c>
      <c r="AF1504" s="597" t="str">
        <f>IFERROR(INDEX(produtos_escape2!M:M,MATCH(Controle!H1504,produtos_escape2!A:A,0)),"")</f>
        <v/>
      </c>
    </row>
    <row r="1505" spans="1:32" ht="14.25" customHeight="1">
      <c r="A1505" s="176"/>
      <c r="B1505" s="176"/>
      <c r="C1505" s="177"/>
      <c r="D1505" s="176"/>
      <c r="E1505" s="176"/>
      <c r="F1505" s="259"/>
      <c r="G1505" s="176"/>
      <c r="H1505" s="178"/>
      <c r="I1505" s="592">
        <f t="shared" si="62"/>
        <v>0</v>
      </c>
      <c r="J1505" s="178"/>
      <c r="K1505" s="178"/>
      <c r="L1505" s="275" t="str">
        <f>IF(H:H=0,"",IF(ISERROR(VLOOKUP(H:H,produtos_escape2!$A$2:$B$2794,2,FALSE)),"Código não cadastrado",(VLOOKUP(H:H,produtos_escape2!$A$2:$B$2794,2,FALSE))))</f>
        <v/>
      </c>
      <c r="M1505" s="593" t="str">
        <f>IF(H:H=0,"",IF(ISERROR(VLOOKUP(H:H,produtos_escape2!$A$2:$D$2794,2,FALSE)),"Código não cadastrado",(VLOOKUP(H:H,produtos_escape2!$A$2:$D$2794,4,FALSE))))</f>
        <v/>
      </c>
      <c r="N1505" s="486"/>
      <c r="O1505" s="176"/>
      <c r="P1505" s="486"/>
      <c r="Q1505" s="247"/>
      <c r="R1505" s="246">
        <f t="shared" si="61"/>
        <v>0</v>
      </c>
      <c r="S1505" s="177"/>
      <c r="T1505" s="182"/>
      <c r="U1505" s="177"/>
      <c r="V1505" s="177"/>
      <c r="W1505" s="177"/>
      <c r="X1505" s="176"/>
      <c r="Y1505" s="177"/>
      <c r="Z1505" s="415"/>
      <c r="AA1505" s="488"/>
      <c r="AB1505" s="594"/>
      <c r="AC1505" s="595"/>
      <c r="AD1505" s="596" t="str">
        <f>IF(AND(AC1505&lt;&gt;"",S1505&lt;&gt;""),NETWORKDAYS(AC1505,S1505,#REF!),"")</f>
        <v/>
      </c>
      <c r="AE1505" s="596" t="str">
        <f ca="1">IF(AND(AD1505="",AC1505=""),"",IF(OR(AD1505&lt;&gt;"",O1505="*CANCELADO"),"",NETWORKDAYS(AC1505,TODAY(),#REF!)))</f>
        <v/>
      </c>
      <c r="AF1505" s="597" t="str">
        <f>IFERROR(INDEX(produtos_escape2!M:M,MATCH(Controle!H1505,produtos_escape2!A:A,0)),"")</f>
        <v/>
      </c>
    </row>
    <row r="1506" spans="1:32" ht="14.25" customHeight="1">
      <c r="A1506" s="176"/>
      <c r="B1506" s="176"/>
      <c r="C1506" s="177"/>
      <c r="D1506" s="176"/>
      <c r="E1506" s="176"/>
      <c r="F1506" s="259"/>
      <c r="G1506" s="176"/>
      <c r="H1506" s="178"/>
      <c r="I1506" s="592">
        <f t="shared" si="62"/>
        <v>0</v>
      </c>
      <c r="J1506" s="178"/>
      <c r="K1506" s="178"/>
      <c r="L1506" s="275" t="str">
        <f>IF(H:H=0,"",IF(ISERROR(VLOOKUP(H:H,produtos_escape2!$A$2:$B$2794,2,FALSE)),"Código não cadastrado",(VLOOKUP(H:H,produtos_escape2!$A$2:$B$2794,2,FALSE))))</f>
        <v/>
      </c>
      <c r="M1506" s="593" t="str">
        <f>IF(H:H=0,"",IF(ISERROR(VLOOKUP(H:H,produtos_escape2!$A$2:$D$2794,2,FALSE)),"Código não cadastrado",(VLOOKUP(H:H,produtos_escape2!$A$2:$D$2794,4,FALSE))))</f>
        <v/>
      </c>
      <c r="N1506" s="486"/>
      <c r="O1506" s="176"/>
      <c r="P1506" s="486"/>
      <c r="Q1506" s="247"/>
      <c r="R1506" s="246">
        <f t="shared" si="61"/>
        <v>0</v>
      </c>
      <c r="S1506" s="177"/>
      <c r="T1506" s="182"/>
      <c r="U1506" s="177"/>
      <c r="V1506" s="177"/>
      <c r="W1506" s="177"/>
      <c r="X1506" s="176"/>
      <c r="Y1506" s="177"/>
      <c r="Z1506" s="415"/>
      <c r="AA1506" s="488"/>
      <c r="AB1506" s="594"/>
      <c r="AC1506" s="595"/>
      <c r="AD1506" s="596" t="str">
        <f>IF(AND(AC1506&lt;&gt;"",S1506&lt;&gt;""),NETWORKDAYS(AC1506,S1506,#REF!),"")</f>
        <v/>
      </c>
      <c r="AE1506" s="596" t="str">
        <f ca="1">IF(AND(AD1506="",AC1506=""),"",IF(OR(AD1506&lt;&gt;"",O1506="*CANCELADO"),"",NETWORKDAYS(AC1506,TODAY(),#REF!)))</f>
        <v/>
      </c>
      <c r="AF1506" s="597" t="str">
        <f>IFERROR(INDEX(produtos_escape2!M:M,MATCH(Controle!H1506,produtos_escape2!A:A,0)),"")</f>
        <v/>
      </c>
    </row>
    <row r="1507" spans="1:32" ht="14.25" customHeight="1">
      <c r="A1507" s="176"/>
      <c r="B1507" s="176"/>
      <c r="C1507" s="177"/>
      <c r="D1507" s="176"/>
      <c r="E1507" s="176"/>
      <c r="F1507" s="259"/>
      <c r="G1507" s="176"/>
      <c r="H1507" s="178"/>
      <c r="I1507" s="592">
        <f t="shared" si="62"/>
        <v>0</v>
      </c>
      <c r="J1507" s="178"/>
      <c r="K1507" s="178"/>
      <c r="L1507" s="275" t="str">
        <f>IF(H:H=0,"",IF(ISERROR(VLOOKUP(H:H,produtos_escape2!$A$2:$B$2794,2,FALSE)),"Código não cadastrado",(VLOOKUP(H:H,produtos_escape2!$A$2:$B$2794,2,FALSE))))</f>
        <v/>
      </c>
      <c r="M1507" s="593" t="str">
        <f>IF(H:H=0,"",IF(ISERROR(VLOOKUP(H:H,produtos_escape2!$A$2:$D$2794,2,FALSE)),"Código não cadastrado",(VLOOKUP(H:H,produtos_escape2!$A$2:$D$2794,4,FALSE))))</f>
        <v/>
      </c>
      <c r="N1507" s="486"/>
      <c r="O1507" s="176"/>
      <c r="P1507" s="486"/>
      <c r="Q1507" s="247"/>
      <c r="R1507" s="246">
        <f t="shared" si="61"/>
        <v>0</v>
      </c>
      <c r="S1507" s="177"/>
      <c r="T1507" s="182"/>
      <c r="U1507" s="177"/>
      <c r="V1507" s="177"/>
      <c r="W1507" s="177"/>
      <c r="X1507" s="176"/>
      <c r="Y1507" s="177"/>
      <c r="Z1507" s="415"/>
      <c r="AA1507" s="488"/>
      <c r="AB1507" s="594"/>
      <c r="AC1507" s="595"/>
      <c r="AD1507" s="596" t="str">
        <f>IF(AND(AC1507&lt;&gt;"",S1507&lt;&gt;""),NETWORKDAYS(AC1507,S1507,#REF!),"")</f>
        <v/>
      </c>
      <c r="AE1507" s="596" t="str">
        <f ca="1">IF(AND(AD1507="",AC1507=""),"",IF(OR(AD1507&lt;&gt;"",O1507="*CANCELADO"),"",NETWORKDAYS(AC1507,TODAY(),#REF!)))</f>
        <v/>
      </c>
      <c r="AF1507" s="597" t="str">
        <f>IFERROR(INDEX(produtos_escape2!M:M,MATCH(Controle!H1507,produtos_escape2!A:A,0)),"")</f>
        <v/>
      </c>
    </row>
    <row r="1508" spans="1:32" ht="14.25" customHeight="1">
      <c r="A1508" s="176"/>
      <c r="B1508" s="176"/>
      <c r="C1508" s="177"/>
      <c r="D1508" s="176"/>
      <c r="E1508" s="176"/>
      <c r="F1508" s="259"/>
      <c r="G1508" s="176"/>
      <c r="H1508" s="178"/>
      <c r="I1508" s="592">
        <f t="shared" si="62"/>
        <v>0</v>
      </c>
      <c r="J1508" s="178"/>
      <c r="K1508" s="178"/>
      <c r="L1508" s="275" t="str">
        <f>IF(H:H=0,"",IF(ISERROR(VLOOKUP(H:H,produtos_escape2!$A$2:$B$2794,2,FALSE)),"Código não cadastrado",(VLOOKUP(H:H,produtos_escape2!$A$2:$B$2794,2,FALSE))))</f>
        <v/>
      </c>
      <c r="M1508" s="593" t="str">
        <f>IF(H:H=0,"",IF(ISERROR(VLOOKUP(H:H,produtos_escape2!$A$2:$D$2794,2,FALSE)),"Código não cadastrado",(VLOOKUP(H:H,produtos_escape2!$A$2:$D$2794,4,FALSE))))</f>
        <v/>
      </c>
      <c r="N1508" s="486"/>
      <c r="O1508" s="176"/>
      <c r="P1508" s="486"/>
      <c r="Q1508" s="247"/>
      <c r="R1508" s="246">
        <f t="shared" si="61"/>
        <v>0</v>
      </c>
      <c r="S1508" s="177"/>
      <c r="T1508" s="182"/>
      <c r="U1508" s="177"/>
      <c r="V1508" s="177"/>
      <c r="W1508" s="177"/>
      <c r="X1508" s="176"/>
      <c r="Y1508" s="177"/>
      <c r="Z1508" s="415"/>
      <c r="AA1508" s="488"/>
      <c r="AB1508" s="594"/>
      <c r="AC1508" s="595"/>
      <c r="AD1508" s="596" t="str">
        <f>IF(AND(AC1508&lt;&gt;"",S1508&lt;&gt;""),NETWORKDAYS(AC1508,S1508,#REF!),"")</f>
        <v/>
      </c>
      <c r="AE1508" s="596" t="str">
        <f ca="1">IF(AND(AD1508="",AC1508=""),"",IF(OR(AD1508&lt;&gt;"",O1508="*CANCELADO"),"",NETWORKDAYS(AC1508,TODAY(),#REF!)))</f>
        <v/>
      </c>
      <c r="AF1508" s="597" t="str">
        <f>IFERROR(INDEX(produtos_escape2!M:M,MATCH(Controle!H1508,produtos_escape2!A:A,0)),"")</f>
        <v/>
      </c>
    </row>
    <row r="1509" spans="1:32" ht="14.25" customHeight="1">
      <c r="A1509" s="176"/>
      <c r="B1509" s="176"/>
      <c r="C1509" s="177"/>
      <c r="D1509" s="176"/>
      <c r="E1509" s="176"/>
      <c r="F1509" s="259"/>
      <c r="G1509" s="176"/>
      <c r="H1509" s="178"/>
      <c r="I1509" s="592">
        <f t="shared" si="62"/>
        <v>0</v>
      </c>
      <c r="J1509" s="178"/>
      <c r="K1509" s="178"/>
      <c r="L1509" s="275" t="str">
        <f>IF(H:H=0,"",IF(ISERROR(VLOOKUP(H:H,produtos_escape2!$A$2:$B$2794,2,FALSE)),"Código não cadastrado",(VLOOKUP(H:H,produtos_escape2!$A$2:$B$2794,2,FALSE))))</f>
        <v/>
      </c>
      <c r="M1509" s="593" t="str">
        <f>IF(H:H=0,"",IF(ISERROR(VLOOKUP(H:H,produtos_escape2!$A$2:$D$2794,2,FALSE)),"Código não cadastrado",(VLOOKUP(H:H,produtos_escape2!$A$2:$D$2794,4,FALSE))))</f>
        <v/>
      </c>
      <c r="N1509" s="486"/>
      <c r="O1509" s="176"/>
      <c r="P1509" s="486"/>
      <c r="Q1509" s="247"/>
      <c r="R1509" s="246">
        <f t="shared" si="61"/>
        <v>0</v>
      </c>
      <c r="S1509" s="177"/>
      <c r="T1509" s="182"/>
      <c r="U1509" s="177"/>
      <c r="V1509" s="177"/>
      <c r="W1509" s="177"/>
      <c r="X1509" s="176"/>
      <c r="Y1509" s="177"/>
      <c r="Z1509" s="415"/>
      <c r="AA1509" s="488"/>
      <c r="AB1509" s="594"/>
      <c r="AC1509" s="595"/>
      <c r="AD1509" s="596" t="str">
        <f>IF(AND(AC1509&lt;&gt;"",S1509&lt;&gt;""),NETWORKDAYS(AC1509,S1509,#REF!),"")</f>
        <v/>
      </c>
      <c r="AE1509" s="596" t="str">
        <f ca="1">IF(AND(AD1509="",AC1509=""),"",IF(OR(AD1509&lt;&gt;"",O1509="*CANCELADO"),"",NETWORKDAYS(AC1509,TODAY(),#REF!)))</f>
        <v/>
      </c>
      <c r="AF1509" s="597" t="str">
        <f>IFERROR(INDEX(produtos_escape2!M:M,MATCH(Controle!H1509,produtos_escape2!A:A,0)),"")</f>
        <v/>
      </c>
    </row>
    <row r="1510" spans="1:32" ht="14.25" customHeight="1">
      <c r="A1510" s="176"/>
      <c r="B1510" s="176"/>
      <c r="C1510" s="177"/>
      <c r="D1510" s="176"/>
      <c r="E1510" s="176"/>
      <c r="F1510" s="259"/>
      <c r="G1510" s="176"/>
      <c r="H1510" s="178"/>
      <c r="I1510" s="592">
        <f t="shared" si="62"/>
        <v>0</v>
      </c>
      <c r="J1510" s="178"/>
      <c r="K1510" s="178"/>
      <c r="L1510" s="275" t="str">
        <f>IF(H:H=0,"",IF(ISERROR(VLOOKUP(H:H,produtos_escape2!$A$2:$B$2794,2,FALSE)),"Código não cadastrado",(VLOOKUP(H:H,produtos_escape2!$A$2:$B$2794,2,FALSE))))</f>
        <v/>
      </c>
      <c r="M1510" s="593" t="str">
        <f>IF(H:H=0,"",IF(ISERROR(VLOOKUP(H:H,produtos_escape2!$A$2:$D$2794,2,FALSE)),"Código não cadastrado",(VLOOKUP(H:H,produtos_escape2!$A$2:$D$2794,4,FALSE))))</f>
        <v/>
      </c>
      <c r="N1510" s="486"/>
      <c r="O1510" s="176"/>
      <c r="P1510" s="486"/>
      <c r="Q1510" s="247"/>
      <c r="R1510" s="246">
        <f t="shared" si="61"/>
        <v>0</v>
      </c>
      <c r="S1510" s="177"/>
      <c r="T1510" s="182"/>
      <c r="U1510" s="177"/>
      <c r="V1510" s="177"/>
      <c r="W1510" s="177"/>
      <c r="X1510" s="176"/>
      <c r="Y1510" s="177"/>
      <c r="Z1510" s="415"/>
      <c r="AA1510" s="488"/>
      <c r="AB1510" s="594"/>
      <c r="AC1510" s="595"/>
      <c r="AD1510" s="596" t="str">
        <f>IF(AND(AC1510&lt;&gt;"",S1510&lt;&gt;""),NETWORKDAYS(AC1510,S1510,#REF!),"")</f>
        <v/>
      </c>
      <c r="AE1510" s="596" t="str">
        <f ca="1">IF(AND(AD1510="",AC1510=""),"",IF(OR(AD1510&lt;&gt;"",O1510="*CANCELADO"),"",NETWORKDAYS(AC1510,TODAY(),#REF!)))</f>
        <v/>
      </c>
      <c r="AF1510" s="597" t="str">
        <f>IFERROR(INDEX(produtos_escape2!M:M,MATCH(Controle!H1510,produtos_escape2!A:A,0)),"")</f>
        <v/>
      </c>
    </row>
    <row r="1511" spans="1:32" ht="14.25" customHeight="1">
      <c r="A1511" s="176"/>
      <c r="B1511" s="176"/>
      <c r="C1511" s="177"/>
      <c r="D1511" s="176"/>
      <c r="E1511" s="176"/>
      <c r="F1511" s="259"/>
      <c r="G1511" s="176"/>
      <c r="H1511" s="178"/>
      <c r="I1511" s="592">
        <f t="shared" si="62"/>
        <v>0</v>
      </c>
      <c r="J1511" s="178"/>
      <c r="K1511" s="178"/>
      <c r="L1511" s="275" t="str">
        <f>IF(H:H=0,"",IF(ISERROR(VLOOKUP(H:H,produtos_escape2!$A$2:$B$2794,2,FALSE)),"Código não cadastrado",(VLOOKUP(H:H,produtos_escape2!$A$2:$B$2794,2,FALSE))))</f>
        <v/>
      </c>
      <c r="M1511" s="593" t="str">
        <f>IF(H:H=0,"",IF(ISERROR(VLOOKUP(H:H,produtos_escape2!$A$2:$D$2794,2,FALSE)),"Código não cadastrado",(VLOOKUP(H:H,produtos_escape2!$A$2:$D$2794,4,FALSE))))</f>
        <v/>
      </c>
      <c r="N1511" s="486"/>
      <c r="O1511" s="176"/>
      <c r="P1511" s="486"/>
      <c r="Q1511" s="247"/>
      <c r="R1511" s="246">
        <f t="shared" si="61"/>
        <v>0</v>
      </c>
      <c r="S1511" s="177"/>
      <c r="T1511" s="182"/>
      <c r="U1511" s="177"/>
      <c r="V1511" s="177"/>
      <c r="W1511" s="177"/>
      <c r="X1511" s="176"/>
      <c r="Y1511" s="177"/>
      <c r="Z1511" s="415"/>
      <c r="AA1511" s="488"/>
      <c r="AB1511" s="594"/>
      <c r="AC1511" s="595"/>
      <c r="AD1511" s="596" t="str">
        <f>IF(AND(AC1511&lt;&gt;"",S1511&lt;&gt;""),NETWORKDAYS(AC1511,S1511,#REF!),"")</f>
        <v/>
      </c>
      <c r="AE1511" s="596" t="str">
        <f ca="1">IF(AND(AD1511="",AC1511=""),"",IF(OR(AD1511&lt;&gt;"",O1511="*CANCELADO"),"",NETWORKDAYS(AC1511,TODAY(),#REF!)))</f>
        <v/>
      </c>
      <c r="AF1511" s="597" t="str">
        <f>IFERROR(INDEX(produtos_escape2!M:M,MATCH(Controle!H1511,produtos_escape2!A:A,0)),"")</f>
        <v/>
      </c>
    </row>
    <row r="1512" spans="1:32" ht="14.25" customHeight="1">
      <c r="A1512" s="176"/>
      <c r="B1512" s="176"/>
      <c r="C1512" s="177"/>
      <c r="D1512" s="176"/>
      <c r="E1512" s="176"/>
      <c r="F1512" s="259"/>
      <c r="G1512" s="176"/>
      <c r="H1512" s="178"/>
      <c r="I1512" s="592">
        <f t="shared" si="62"/>
        <v>0</v>
      </c>
      <c r="J1512" s="178"/>
      <c r="K1512" s="178"/>
      <c r="L1512" s="275" t="str">
        <f>IF(H:H=0,"",IF(ISERROR(VLOOKUP(H:H,produtos_escape2!$A$2:$B$2794,2,FALSE)),"Código não cadastrado",(VLOOKUP(H:H,produtos_escape2!$A$2:$B$2794,2,FALSE))))</f>
        <v/>
      </c>
      <c r="M1512" s="593" t="str">
        <f>IF(H:H=0,"",IF(ISERROR(VLOOKUP(H:H,produtos_escape2!$A$2:$D$2794,2,FALSE)),"Código não cadastrado",(VLOOKUP(H:H,produtos_escape2!$A$2:$D$2794,4,FALSE))))</f>
        <v/>
      </c>
      <c r="N1512" s="486"/>
      <c r="O1512" s="176"/>
      <c r="P1512" s="486"/>
      <c r="Q1512" s="247"/>
      <c r="R1512" s="246">
        <f t="shared" si="61"/>
        <v>0</v>
      </c>
      <c r="S1512" s="177"/>
      <c r="T1512" s="182"/>
      <c r="U1512" s="177"/>
      <c r="V1512" s="177"/>
      <c r="W1512" s="177"/>
      <c r="X1512" s="176"/>
      <c r="Y1512" s="177"/>
      <c r="Z1512" s="415"/>
      <c r="AA1512" s="488"/>
      <c r="AB1512" s="594"/>
      <c r="AC1512" s="595"/>
      <c r="AD1512" s="596" t="str">
        <f>IF(AND(AC1512&lt;&gt;"",S1512&lt;&gt;""),NETWORKDAYS(AC1512,S1512,#REF!),"")</f>
        <v/>
      </c>
      <c r="AE1512" s="596" t="str">
        <f ca="1">IF(AND(AD1512="",AC1512=""),"",IF(OR(AD1512&lt;&gt;"",O1512="*CANCELADO"),"",NETWORKDAYS(AC1512,TODAY(),#REF!)))</f>
        <v/>
      </c>
      <c r="AF1512" s="597" t="str">
        <f>IFERROR(INDEX(produtos_escape2!M:M,MATCH(Controle!H1512,produtos_escape2!A:A,0)),"")</f>
        <v/>
      </c>
    </row>
    <row r="1513" spans="1:32" ht="14.25" customHeight="1">
      <c r="A1513" s="176"/>
      <c r="B1513" s="176"/>
      <c r="C1513" s="177"/>
      <c r="D1513" s="176"/>
      <c r="E1513" s="176"/>
      <c r="F1513" s="259"/>
      <c r="G1513" s="176"/>
      <c r="H1513" s="178"/>
      <c r="I1513" s="592">
        <f t="shared" si="62"/>
        <v>0</v>
      </c>
      <c r="J1513" s="178"/>
      <c r="K1513" s="178"/>
      <c r="L1513" s="275" t="str">
        <f>IF(H:H=0,"",IF(ISERROR(VLOOKUP(H:H,produtos_escape2!$A$2:$B$2794,2,FALSE)),"Código não cadastrado",(VLOOKUP(H:H,produtos_escape2!$A$2:$B$2794,2,FALSE))))</f>
        <v/>
      </c>
      <c r="M1513" s="593" t="str">
        <f>IF(H:H=0,"",IF(ISERROR(VLOOKUP(H:H,produtos_escape2!$A$2:$D$2794,2,FALSE)),"Código não cadastrado",(VLOOKUP(H:H,produtos_escape2!$A$2:$D$2794,4,FALSE))))</f>
        <v/>
      </c>
      <c r="N1513" s="486"/>
      <c r="O1513" s="176"/>
      <c r="P1513" s="486"/>
      <c r="Q1513" s="247"/>
      <c r="R1513" s="246">
        <f t="shared" si="61"/>
        <v>0</v>
      </c>
      <c r="S1513" s="177"/>
      <c r="T1513" s="182"/>
      <c r="U1513" s="177"/>
      <c r="V1513" s="177"/>
      <c r="W1513" s="177"/>
      <c r="X1513" s="176"/>
      <c r="Y1513" s="177"/>
      <c r="Z1513" s="415"/>
      <c r="AA1513" s="488"/>
      <c r="AB1513" s="594"/>
      <c r="AC1513" s="595"/>
      <c r="AD1513" s="596" t="str">
        <f>IF(AND(AC1513&lt;&gt;"",S1513&lt;&gt;""),NETWORKDAYS(AC1513,S1513,#REF!),"")</f>
        <v/>
      </c>
      <c r="AE1513" s="596" t="str">
        <f ca="1">IF(AND(AD1513="",AC1513=""),"",IF(OR(AD1513&lt;&gt;"",O1513="*CANCELADO"),"",NETWORKDAYS(AC1513,TODAY(),#REF!)))</f>
        <v/>
      </c>
      <c r="AF1513" s="597" t="str">
        <f>IFERROR(INDEX(produtos_escape2!M:M,MATCH(Controle!H1513,produtos_escape2!A:A,0)),"")</f>
        <v/>
      </c>
    </row>
    <row r="1514" spans="1:32" ht="14.25" customHeight="1">
      <c r="A1514" s="176"/>
      <c r="B1514" s="176"/>
      <c r="C1514" s="177"/>
      <c r="D1514" s="176"/>
      <c r="E1514" s="176"/>
      <c r="F1514" s="259"/>
      <c r="G1514" s="176"/>
      <c r="H1514" s="178"/>
      <c r="I1514" s="592">
        <f t="shared" si="62"/>
        <v>0</v>
      </c>
      <c r="J1514" s="178"/>
      <c r="K1514" s="178"/>
      <c r="L1514" s="275" t="str">
        <f>IF(H:H=0,"",IF(ISERROR(VLOOKUP(H:H,produtos_escape2!$A$2:$B$2794,2,FALSE)),"Código não cadastrado",(VLOOKUP(H:H,produtos_escape2!$A$2:$B$2794,2,FALSE))))</f>
        <v/>
      </c>
      <c r="M1514" s="593" t="str">
        <f>IF(H:H=0,"",IF(ISERROR(VLOOKUP(H:H,produtos_escape2!$A$2:$D$2794,2,FALSE)),"Código não cadastrado",(VLOOKUP(H:H,produtos_escape2!$A$2:$D$2794,4,FALSE))))</f>
        <v/>
      </c>
      <c r="N1514" s="486"/>
      <c r="O1514" s="176"/>
      <c r="P1514" s="486"/>
      <c r="Q1514" s="247"/>
      <c r="R1514" s="246">
        <f t="shared" si="61"/>
        <v>0</v>
      </c>
      <c r="S1514" s="177"/>
      <c r="T1514" s="182"/>
      <c r="U1514" s="177"/>
      <c r="V1514" s="177"/>
      <c r="W1514" s="177"/>
      <c r="X1514" s="176"/>
      <c r="Y1514" s="177"/>
      <c r="Z1514" s="415"/>
      <c r="AA1514" s="488"/>
      <c r="AB1514" s="594"/>
      <c r="AC1514" s="595"/>
      <c r="AD1514" s="596" t="str">
        <f>IF(AND(AC1514&lt;&gt;"",S1514&lt;&gt;""),NETWORKDAYS(AC1514,S1514,#REF!),"")</f>
        <v/>
      </c>
      <c r="AE1514" s="596" t="str">
        <f ca="1">IF(AND(AD1514="",AC1514=""),"",IF(OR(AD1514&lt;&gt;"",O1514="*CANCELADO"),"",NETWORKDAYS(AC1514,TODAY(),#REF!)))</f>
        <v/>
      </c>
      <c r="AF1514" s="597" t="str">
        <f>IFERROR(INDEX(produtos_escape2!M:M,MATCH(Controle!H1514,produtos_escape2!A:A,0)),"")</f>
        <v/>
      </c>
    </row>
    <row r="1515" spans="1:32" ht="14.25" customHeight="1">
      <c r="A1515" s="176"/>
      <c r="B1515" s="176"/>
      <c r="C1515" s="177"/>
      <c r="D1515" s="176"/>
      <c r="E1515" s="176"/>
      <c r="F1515" s="259"/>
      <c r="G1515" s="176"/>
      <c r="H1515" s="178"/>
      <c r="I1515" s="592">
        <f t="shared" si="62"/>
        <v>0</v>
      </c>
      <c r="J1515" s="178"/>
      <c r="K1515" s="178"/>
      <c r="L1515" s="275" t="str">
        <f>IF(H:H=0,"",IF(ISERROR(VLOOKUP(H:H,produtos_escape2!$A$2:$B$2794,2,FALSE)),"Código não cadastrado",(VLOOKUP(H:H,produtos_escape2!$A$2:$B$2794,2,FALSE))))</f>
        <v/>
      </c>
      <c r="M1515" s="593" t="str">
        <f>IF(H:H=0,"",IF(ISERROR(VLOOKUP(H:H,produtos_escape2!$A$2:$D$2794,2,FALSE)),"Código não cadastrado",(VLOOKUP(H:H,produtos_escape2!$A$2:$D$2794,4,FALSE))))</f>
        <v/>
      </c>
      <c r="N1515" s="486"/>
      <c r="O1515" s="176"/>
      <c r="P1515" s="486"/>
      <c r="Q1515" s="247"/>
      <c r="R1515" s="246">
        <f t="shared" si="61"/>
        <v>0</v>
      </c>
      <c r="S1515" s="177"/>
      <c r="T1515" s="182"/>
      <c r="U1515" s="177"/>
      <c r="V1515" s="177"/>
      <c r="W1515" s="177"/>
      <c r="X1515" s="176"/>
      <c r="Y1515" s="177"/>
      <c r="Z1515" s="415"/>
      <c r="AA1515" s="488"/>
      <c r="AB1515" s="594"/>
      <c r="AC1515" s="595"/>
      <c r="AD1515" s="596" t="str">
        <f>IF(AND(AC1515&lt;&gt;"",S1515&lt;&gt;""),NETWORKDAYS(AC1515,S1515,#REF!),"")</f>
        <v/>
      </c>
      <c r="AE1515" s="596" t="str">
        <f ca="1">IF(AND(AD1515="",AC1515=""),"",IF(OR(AD1515&lt;&gt;"",O1515="*CANCELADO"),"",NETWORKDAYS(AC1515,TODAY(),#REF!)))</f>
        <v/>
      </c>
      <c r="AF1515" s="597" t="str">
        <f>IFERROR(INDEX(produtos_escape2!M:M,MATCH(Controle!H1515,produtos_escape2!A:A,0)),"")</f>
        <v/>
      </c>
    </row>
    <row r="1516" spans="1:32" ht="14.25" customHeight="1">
      <c r="A1516" s="176"/>
      <c r="B1516" s="176"/>
      <c r="C1516" s="177"/>
      <c r="D1516" s="176"/>
      <c r="E1516" s="176"/>
      <c r="F1516" s="259"/>
      <c r="G1516" s="176"/>
      <c r="H1516" s="178"/>
      <c r="I1516" s="592">
        <f t="shared" si="62"/>
        <v>0</v>
      </c>
      <c r="J1516" s="178"/>
      <c r="K1516" s="178"/>
      <c r="L1516" s="275" t="str">
        <f>IF(H:H=0,"",IF(ISERROR(VLOOKUP(H:H,produtos_escape2!$A$2:$B$2794,2,FALSE)),"Código não cadastrado",(VLOOKUP(H:H,produtos_escape2!$A$2:$B$2794,2,FALSE))))</f>
        <v/>
      </c>
      <c r="M1516" s="593" t="str">
        <f>IF(H:H=0,"",IF(ISERROR(VLOOKUP(H:H,produtos_escape2!$A$2:$D$2794,2,FALSE)),"Código não cadastrado",(VLOOKUP(H:H,produtos_escape2!$A$2:$D$2794,4,FALSE))))</f>
        <v/>
      </c>
      <c r="N1516" s="486"/>
      <c r="O1516" s="176"/>
      <c r="P1516" s="486"/>
      <c r="Q1516" s="247"/>
      <c r="R1516" s="246">
        <f t="shared" si="61"/>
        <v>0</v>
      </c>
      <c r="S1516" s="177"/>
      <c r="T1516" s="182"/>
      <c r="U1516" s="177"/>
      <c r="V1516" s="177"/>
      <c r="W1516" s="177"/>
      <c r="X1516" s="176"/>
      <c r="Y1516" s="177"/>
      <c r="Z1516" s="415"/>
      <c r="AA1516" s="488"/>
      <c r="AB1516" s="594"/>
      <c r="AC1516" s="595"/>
      <c r="AD1516" s="596" t="str">
        <f>IF(AND(AC1516&lt;&gt;"",S1516&lt;&gt;""),NETWORKDAYS(AC1516,S1516,#REF!),"")</f>
        <v/>
      </c>
      <c r="AE1516" s="596" t="str">
        <f ca="1">IF(AND(AD1516="",AC1516=""),"",IF(OR(AD1516&lt;&gt;"",O1516="*CANCELADO"),"",NETWORKDAYS(AC1516,TODAY(),#REF!)))</f>
        <v/>
      </c>
      <c r="AF1516" s="597" t="str">
        <f>IFERROR(INDEX(produtos_escape2!M:M,MATCH(Controle!H1516,produtos_escape2!A:A,0)),"")</f>
        <v/>
      </c>
    </row>
    <row r="1517" spans="1:32" ht="14.25" customHeight="1">
      <c r="A1517" s="176"/>
      <c r="B1517" s="176"/>
      <c r="C1517" s="177"/>
      <c r="D1517" s="176"/>
      <c r="E1517" s="176"/>
      <c r="F1517" s="259"/>
      <c r="G1517" s="176"/>
      <c r="H1517" s="178"/>
      <c r="I1517" s="592">
        <f t="shared" si="62"/>
        <v>0</v>
      </c>
      <c r="J1517" s="178"/>
      <c r="K1517" s="178"/>
      <c r="L1517" s="275" t="str">
        <f>IF(H:H=0,"",IF(ISERROR(VLOOKUP(H:H,produtos_escape2!$A$2:$B$2794,2,FALSE)),"Código não cadastrado",(VLOOKUP(H:H,produtos_escape2!$A$2:$B$2794,2,FALSE))))</f>
        <v/>
      </c>
      <c r="M1517" s="593" t="str">
        <f>IF(H:H=0,"",IF(ISERROR(VLOOKUP(H:H,produtos_escape2!$A$2:$D$2794,2,FALSE)),"Código não cadastrado",(VLOOKUP(H:H,produtos_escape2!$A$2:$D$2794,4,FALSE))))</f>
        <v/>
      </c>
      <c r="N1517" s="486"/>
      <c r="O1517" s="176"/>
      <c r="P1517" s="486"/>
      <c r="Q1517" s="247"/>
      <c r="R1517" s="246">
        <f t="shared" ref="R1517:R1580" si="63">P1517*Q1517</f>
        <v>0</v>
      </c>
      <c r="S1517" s="177"/>
      <c r="T1517" s="182"/>
      <c r="U1517" s="177"/>
      <c r="V1517" s="177"/>
      <c r="W1517" s="177"/>
      <c r="X1517" s="176"/>
      <c r="Y1517" s="177"/>
      <c r="Z1517" s="415"/>
      <c r="AA1517" s="488"/>
      <c r="AB1517" s="594"/>
      <c r="AC1517" s="595"/>
      <c r="AD1517" s="596" t="str">
        <f>IF(AND(AC1517&lt;&gt;"",S1517&lt;&gt;""),NETWORKDAYS(AC1517,S1517,#REF!),"")</f>
        <v/>
      </c>
      <c r="AE1517" s="596" t="str">
        <f ca="1">IF(AND(AD1517="",AC1517=""),"",IF(OR(AD1517&lt;&gt;"",O1517="*CANCELADO"),"",NETWORKDAYS(AC1517,TODAY(),#REF!)))</f>
        <v/>
      </c>
      <c r="AF1517" s="597" t="str">
        <f>IFERROR(INDEX(produtos_escape2!M:M,MATCH(Controle!H1517,produtos_escape2!A:A,0)),"")</f>
        <v/>
      </c>
    </row>
    <row r="1518" spans="1:32" ht="14.25" customHeight="1">
      <c r="A1518" s="176"/>
      <c r="B1518" s="176"/>
      <c r="C1518" s="177"/>
      <c r="D1518" s="176"/>
      <c r="E1518" s="176"/>
      <c r="F1518" s="259"/>
      <c r="G1518" s="176"/>
      <c r="H1518" s="178"/>
      <c r="I1518" s="592">
        <f t="shared" si="62"/>
        <v>0</v>
      </c>
      <c r="J1518" s="178"/>
      <c r="K1518" s="178"/>
      <c r="L1518" s="275" t="str">
        <f>IF(H:H=0,"",IF(ISERROR(VLOOKUP(H:H,produtos_escape2!$A$2:$B$2794,2,FALSE)),"Código não cadastrado",(VLOOKUP(H:H,produtos_escape2!$A$2:$B$2794,2,FALSE))))</f>
        <v/>
      </c>
      <c r="M1518" s="593" t="str">
        <f>IF(H:H=0,"",IF(ISERROR(VLOOKUP(H:H,produtos_escape2!$A$2:$D$2794,2,FALSE)),"Código não cadastrado",(VLOOKUP(H:H,produtos_escape2!$A$2:$D$2794,4,FALSE))))</f>
        <v/>
      </c>
      <c r="N1518" s="486"/>
      <c r="O1518" s="176"/>
      <c r="P1518" s="486"/>
      <c r="Q1518" s="247"/>
      <c r="R1518" s="246">
        <f t="shared" si="63"/>
        <v>0</v>
      </c>
      <c r="S1518" s="177"/>
      <c r="T1518" s="182"/>
      <c r="U1518" s="177"/>
      <c r="V1518" s="177"/>
      <c r="W1518" s="177"/>
      <c r="X1518" s="176"/>
      <c r="Y1518" s="177"/>
      <c r="Z1518" s="415"/>
      <c r="AA1518" s="488"/>
      <c r="AB1518" s="594"/>
      <c r="AC1518" s="595"/>
      <c r="AD1518" s="596" t="str">
        <f>IF(AND(AC1518&lt;&gt;"",S1518&lt;&gt;""),NETWORKDAYS(AC1518,S1518,#REF!),"")</f>
        <v/>
      </c>
      <c r="AE1518" s="596" t="str">
        <f ca="1">IF(AND(AD1518="",AC1518=""),"",IF(OR(AD1518&lt;&gt;"",O1518="*CANCELADO"),"",NETWORKDAYS(AC1518,TODAY(),#REF!)))</f>
        <v/>
      </c>
      <c r="AF1518" s="597" t="str">
        <f>IFERROR(INDEX(produtos_escape2!M:M,MATCH(Controle!H1518,produtos_escape2!A:A,0)),"")</f>
        <v/>
      </c>
    </row>
    <row r="1519" spans="1:32" ht="14.25" customHeight="1">
      <c r="A1519" s="176"/>
      <c r="B1519" s="176"/>
      <c r="C1519" s="177"/>
      <c r="D1519" s="176"/>
      <c r="E1519" s="176"/>
      <c r="F1519" s="259"/>
      <c r="G1519" s="176"/>
      <c r="H1519" s="178"/>
      <c r="I1519" s="592">
        <f t="shared" si="62"/>
        <v>0</v>
      </c>
      <c r="J1519" s="178"/>
      <c r="K1519" s="178"/>
      <c r="L1519" s="275" t="str">
        <f>IF(H:H=0,"",IF(ISERROR(VLOOKUP(H:H,produtos_escape2!$A$2:$B$2794,2,FALSE)),"Código não cadastrado",(VLOOKUP(H:H,produtos_escape2!$A$2:$B$2794,2,FALSE))))</f>
        <v/>
      </c>
      <c r="M1519" s="593" t="str">
        <f>IF(H:H=0,"",IF(ISERROR(VLOOKUP(H:H,produtos_escape2!$A$2:$D$2794,2,FALSE)),"Código não cadastrado",(VLOOKUP(H:H,produtos_escape2!$A$2:$D$2794,4,FALSE))))</f>
        <v/>
      </c>
      <c r="N1519" s="486"/>
      <c r="O1519" s="176"/>
      <c r="P1519" s="486"/>
      <c r="Q1519" s="247"/>
      <c r="R1519" s="246">
        <f t="shared" si="63"/>
        <v>0</v>
      </c>
      <c r="S1519" s="177"/>
      <c r="T1519" s="182"/>
      <c r="U1519" s="177"/>
      <c r="V1519" s="177"/>
      <c r="W1519" s="177"/>
      <c r="X1519" s="176"/>
      <c r="Y1519" s="177"/>
      <c r="Z1519" s="415"/>
      <c r="AA1519" s="488"/>
      <c r="AB1519" s="594"/>
      <c r="AC1519" s="595"/>
      <c r="AD1519" s="596" t="str">
        <f>IF(AND(AC1519&lt;&gt;"",S1519&lt;&gt;""),NETWORKDAYS(AC1519,S1519,#REF!),"")</f>
        <v/>
      </c>
      <c r="AE1519" s="596" t="str">
        <f ca="1">IF(AND(AD1519="",AC1519=""),"",IF(OR(AD1519&lt;&gt;"",O1519="*CANCELADO"),"",NETWORKDAYS(AC1519,TODAY(),#REF!)))</f>
        <v/>
      </c>
      <c r="AF1519" s="597" t="str">
        <f>IFERROR(INDEX(produtos_escape2!M:M,MATCH(Controle!H1519,produtos_escape2!A:A,0)),"")</f>
        <v/>
      </c>
    </row>
    <row r="1520" spans="1:32" ht="14.25" customHeight="1">
      <c r="A1520" s="176"/>
      <c r="B1520" s="176"/>
      <c r="C1520" s="177"/>
      <c r="D1520" s="176"/>
      <c r="E1520" s="176"/>
      <c r="F1520" s="259"/>
      <c r="G1520" s="176"/>
      <c r="H1520" s="178"/>
      <c r="I1520" s="592">
        <f t="shared" si="62"/>
        <v>0</v>
      </c>
      <c r="J1520" s="178"/>
      <c r="K1520" s="178"/>
      <c r="L1520" s="275" t="str">
        <f>IF(H:H=0,"",IF(ISERROR(VLOOKUP(H:H,produtos_escape2!$A$2:$B$2794,2,FALSE)),"Código não cadastrado",(VLOOKUP(H:H,produtos_escape2!$A$2:$B$2794,2,FALSE))))</f>
        <v/>
      </c>
      <c r="M1520" s="593" t="str">
        <f>IF(H:H=0,"",IF(ISERROR(VLOOKUP(H:H,produtos_escape2!$A$2:$D$2794,2,FALSE)),"Código não cadastrado",(VLOOKUP(H:H,produtos_escape2!$A$2:$D$2794,4,FALSE))))</f>
        <v/>
      </c>
      <c r="N1520" s="486"/>
      <c r="O1520" s="176"/>
      <c r="P1520" s="486"/>
      <c r="Q1520" s="247"/>
      <c r="R1520" s="246">
        <f t="shared" si="63"/>
        <v>0</v>
      </c>
      <c r="S1520" s="177"/>
      <c r="T1520" s="182"/>
      <c r="U1520" s="177"/>
      <c r="V1520" s="177"/>
      <c r="W1520" s="177"/>
      <c r="X1520" s="176"/>
      <c r="Y1520" s="177"/>
      <c r="Z1520" s="415"/>
      <c r="AA1520" s="488"/>
      <c r="AB1520" s="594"/>
      <c r="AC1520" s="595"/>
      <c r="AD1520" s="596" t="str">
        <f>IF(AND(AC1520&lt;&gt;"",S1520&lt;&gt;""),NETWORKDAYS(AC1520,S1520,#REF!),"")</f>
        <v/>
      </c>
      <c r="AE1520" s="596" t="str">
        <f ca="1">IF(AND(AD1520="",AC1520=""),"",IF(OR(AD1520&lt;&gt;"",O1520="*CANCELADO"),"",NETWORKDAYS(AC1520,TODAY(),#REF!)))</f>
        <v/>
      </c>
      <c r="AF1520" s="597" t="str">
        <f>IFERROR(INDEX(produtos_escape2!M:M,MATCH(Controle!H1520,produtos_escape2!A:A,0)),"")</f>
        <v/>
      </c>
    </row>
    <row r="1521" spans="1:32" ht="14.25" customHeight="1">
      <c r="A1521" s="176"/>
      <c r="B1521" s="176"/>
      <c r="C1521" s="177"/>
      <c r="D1521" s="176"/>
      <c r="E1521" s="176"/>
      <c r="F1521" s="259"/>
      <c r="G1521" s="176"/>
      <c r="H1521" s="178"/>
      <c r="I1521" s="592">
        <f t="shared" si="62"/>
        <v>0</v>
      </c>
      <c r="J1521" s="178"/>
      <c r="K1521" s="178"/>
      <c r="L1521" s="275" t="str">
        <f>IF(H:H=0,"",IF(ISERROR(VLOOKUP(H:H,produtos_escape2!$A$2:$B$2794,2,FALSE)),"Código não cadastrado",(VLOOKUP(H:H,produtos_escape2!$A$2:$B$2794,2,FALSE))))</f>
        <v/>
      </c>
      <c r="M1521" s="593" t="str">
        <f>IF(H:H=0,"",IF(ISERROR(VLOOKUP(H:H,produtos_escape2!$A$2:$D$2794,2,FALSE)),"Código não cadastrado",(VLOOKUP(H:H,produtos_escape2!$A$2:$D$2794,4,FALSE))))</f>
        <v/>
      </c>
      <c r="N1521" s="486"/>
      <c r="O1521" s="176"/>
      <c r="P1521" s="486"/>
      <c r="Q1521" s="247"/>
      <c r="R1521" s="246">
        <f t="shared" si="63"/>
        <v>0</v>
      </c>
      <c r="S1521" s="177"/>
      <c r="T1521" s="182"/>
      <c r="U1521" s="177"/>
      <c r="V1521" s="177"/>
      <c r="W1521" s="177"/>
      <c r="X1521" s="176"/>
      <c r="Y1521" s="177"/>
      <c r="Z1521" s="415"/>
      <c r="AA1521" s="488"/>
      <c r="AB1521" s="594"/>
      <c r="AC1521" s="595"/>
      <c r="AD1521" s="596" t="str">
        <f>IF(AND(AC1521&lt;&gt;"",S1521&lt;&gt;""),NETWORKDAYS(AC1521,S1521,#REF!),"")</f>
        <v/>
      </c>
      <c r="AE1521" s="596" t="str">
        <f ca="1">IF(AND(AD1521="",AC1521=""),"",IF(OR(AD1521&lt;&gt;"",O1521="*CANCELADO"),"",NETWORKDAYS(AC1521,TODAY(),#REF!)))</f>
        <v/>
      </c>
      <c r="AF1521" s="597" t="str">
        <f>IFERROR(INDEX(produtos_escape2!M:M,MATCH(Controle!H1521,produtos_escape2!A:A,0)),"")</f>
        <v/>
      </c>
    </row>
    <row r="1522" spans="1:32" ht="14.25" customHeight="1">
      <c r="A1522" s="176"/>
      <c r="B1522" s="176"/>
      <c r="C1522" s="177"/>
      <c r="D1522" s="176"/>
      <c r="E1522" s="176"/>
      <c r="F1522" s="259"/>
      <c r="G1522" s="176"/>
      <c r="H1522" s="178"/>
      <c r="I1522" s="592">
        <f t="shared" si="62"/>
        <v>0</v>
      </c>
      <c r="J1522" s="178"/>
      <c r="K1522" s="178"/>
      <c r="L1522" s="275" t="str">
        <f>IF(H:H=0,"",IF(ISERROR(VLOOKUP(H:H,produtos_escape2!$A$2:$B$2794,2,FALSE)),"Código não cadastrado",(VLOOKUP(H:H,produtos_escape2!$A$2:$B$2794,2,FALSE))))</f>
        <v/>
      </c>
      <c r="M1522" s="593" t="str">
        <f>IF(H:H=0,"",IF(ISERROR(VLOOKUP(H:H,produtos_escape2!$A$2:$D$2794,2,FALSE)),"Código não cadastrado",(VLOOKUP(H:H,produtos_escape2!$A$2:$D$2794,4,FALSE))))</f>
        <v/>
      </c>
      <c r="N1522" s="486"/>
      <c r="O1522" s="176"/>
      <c r="P1522" s="486"/>
      <c r="Q1522" s="247"/>
      <c r="R1522" s="246">
        <f t="shared" si="63"/>
        <v>0</v>
      </c>
      <c r="S1522" s="177"/>
      <c r="T1522" s="182"/>
      <c r="U1522" s="177"/>
      <c r="V1522" s="177"/>
      <c r="W1522" s="177"/>
      <c r="X1522" s="176"/>
      <c r="Y1522" s="177"/>
      <c r="Z1522" s="415"/>
      <c r="AA1522" s="488"/>
      <c r="AB1522" s="594"/>
      <c r="AC1522" s="595"/>
      <c r="AD1522" s="596" t="str">
        <f>IF(AND(AC1522&lt;&gt;"",S1522&lt;&gt;""),NETWORKDAYS(AC1522,S1522,#REF!),"")</f>
        <v/>
      </c>
      <c r="AE1522" s="596" t="str">
        <f ca="1">IF(AND(AD1522="",AC1522=""),"",IF(OR(AD1522&lt;&gt;"",O1522="*CANCELADO"),"",NETWORKDAYS(AC1522,TODAY(),#REF!)))</f>
        <v/>
      </c>
      <c r="AF1522" s="597" t="str">
        <f>IFERROR(INDEX(produtos_escape2!M:M,MATCH(Controle!H1522,produtos_escape2!A:A,0)),"")</f>
        <v/>
      </c>
    </row>
    <row r="1523" spans="1:32" ht="14.25" customHeight="1">
      <c r="A1523" s="176"/>
      <c r="B1523" s="176"/>
      <c r="C1523" s="177"/>
      <c r="D1523" s="176"/>
      <c r="E1523" s="176"/>
      <c r="F1523" s="259"/>
      <c r="G1523" s="176"/>
      <c r="H1523" s="178"/>
      <c r="I1523" s="592">
        <f t="shared" si="62"/>
        <v>0</v>
      </c>
      <c r="J1523" s="178"/>
      <c r="K1523" s="178"/>
      <c r="L1523" s="275" t="str">
        <f>IF(H:H=0,"",IF(ISERROR(VLOOKUP(H:H,produtos_escape2!$A$2:$B$2794,2,FALSE)),"Código não cadastrado",(VLOOKUP(H:H,produtos_escape2!$A$2:$B$2794,2,FALSE))))</f>
        <v/>
      </c>
      <c r="M1523" s="593" t="str">
        <f>IF(H:H=0,"",IF(ISERROR(VLOOKUP(H:H,produtos_escape2!$A$2:$D$2794,2,FALSE)),"Código não cadastrado",(VLOOKUP(H:H,produtos_escape2!$A$2:$D$2794,4,FALSE))))</f>
        <v/>
      </c>
      <c r="N1523" s="486"/>
      <c r="O1523" s="176"/>
      <c r="P1523" s="486"/>
      <c r="Q1523" s="247"/>
      <c r="R1523" s="246">
        <f t="shared" si="63"/>
        <v>0</v>
      </c>
      <c r="S1523" s="177"/>
      <c r="T1523" s="182"/>
      <c r="U1523" s="177"/>
      <c r="V1523" s="177"/>
      <c r="W1523" s="177"/>
      <c r="X1523" s="176"/>
      <c r="Y1523" s="177"/>
      <c r="Z1523" s="415"/>
      <c r="AA1523" s="488"/>
      <c r="AB1523" s="594"/>
      <c r="AC1523" s="595"/>
      <c r="AD1523" s="596" t="str">
        <f>IF(AND(AC1523&lt;&gt;"",S1523&lt;&gt;""),NETWORKDAYS(AC1523,S1523,#REF!),"")</f>
        <v/>
      </c>
      <c r="AE1523" s="596" t="str">
        <f ca="1">IF(AND(AD1523="",AC1523=""),"",IF(OR(AD1523&lt;&gt;"",O1523="*CANCELADO"),"",NETWORKDAYS(AC1523,TODAY(),#REF!)))</f>
        <v/>
      </c>
      <c r="AF1523" s="597" t="str">
        <f>IFERROR(INDEX(produtos_escape2!M:M,MATCH(Controle!H1523,produtos_escape2!A:A,0)),"")</f>
        <v/>
      </c>
    </row>
    <row r="1524" spans="1:32" ht="14.25" customHeight="1">
      <c r="A1524" s="176"/>
      <c r="B1524" s="176"/>
      <c r="C1524" s="177"/>
      <c r="D1524" s="176"/>
      <c r="E1524" s="176"/>
      <c r="F1524" s="259"/>
      <c r="G1524" s="176"/>
      <c r="H1524" s="178"/>
      <c r="I1524" s="592">
        <f t="shared" si="62"/>
        <v>0</v>
      </c>
      <c r="J1524" s="178"/>
      <c r="K1524" s="178"/>
      <c r="L1524" s="275" t="str">
        <f>IF(H:H=0,"",IF(ISERROR(VLOOKUP(H:H,produtos_escape2!$A$2:$B$2794,2,FALSE)),"Código não cadastrado",(VLOOKUP(H:H,produtos_escape2!$A$2:$B$2794,2,FALSE))))</f>
        <v/>
      </c>
      <c r="M1524" s="593" t="str">
        <f>IF(H:H=0,"",IF(ISERROR(VLOOKUP(H:H,produtos_escape2!$A$2:$D$2794,2,FALSE)),"Código não cadastrado",(VLOOKUP(H:H,produtos_escape2!$A$2:$D$2794,4,FALSE))))</f>
        <v/>
      </c>
      <c r="N1524" s="486"/>
      <c r="O1524" s="176"/>
      <c r="P1524" s="486"/>
      <c r="Q1524" s="247"/>
      <c r="R1524" s="246">
        <f t="shared" si="63"/>
        <v>0</v>
      </c>
      <c r="S1524" s="177"/>
      <c r="T1524" s="182"/>
      <c r="U1524" s="177"/>
      <c r="V1524" s="177"/>
      <c r="W1524" s="177"/>
      <c r="X1524" s="176"/>
      <c r="Y1524" s="177"/>
      <c r="Z1524" s="415"/>
      <c r="AA1524" s="488"/>
      <c r="AB1524" s="594"/>
      <c r="AC1524" s="595"/>
      <c r="AD1524" s="596" t="str">
        <f>IF(AND(AC1524&lt;&gt;"",S1524&lt;&gt;""),NETWORKDAYS(AC1524,S1524,#REF!),"")</f>
        <v/>
      </c>
      <c r="AE1524" s="596" t="str">
        <f ca="1">IF(AND(AD1524="",AC1524=""),"",IF(OR(AD1524&lt;&gt;"",O1524="*CANCELADO"),"",NETWORKDAYS(AC1524,TODAY(),#REF!)))</f>
        <v/>
      </c>
      <c r="AF1524" s="597" t="str">
        <f>IFERROR(INDEX(produtos_escape2!M:M,MATCH(Controle!H1524,produtos_escape2!A:A,0)),"")</f>
        <v/>
      </c>
    </row>
    <row r="1525" spans="1:32" ht="14.25" customHeight="1">
      <c r="A1525" s="176"/>
      <c r="B1525" s="176"/>
      <c r="C1525" s="177"/>
      <c r="D1525" s="176"/>
      <c r="E1525" s="176"/>
      <c r="F1525" s="259"/>
      <c r="G1525" s="176"/>
      <c r="H1525" s="178"/>
      <c r="I1525" s="592">
        <f t="shared" si="62"/>
        <v>0</v>
      </c>
      <c r="J1525" s="178"/>
      <c r="K1525" s="178"/>
      <c r="L1525" s="275" t="str">
        <f>IF(H:H=0,"",IF(ISERROR(VLOOKUP(H:H,produtos_escape2!$A$2:$B$2794,2,FALSE)),"Código não cadastrado",(VLOOKUP(H:H,produtos_escape2!$A$2:$B$2794,2,FALSE))))</f>
        <v/>
      </c>
      <c r="M1525" s="593" t="str">
        <f>IF(H:H=0,"",IF(ISERROR(VLOOKUP(H:H,produtos_escape2!$A$2:$D$2794,2,FALSE)),"Código não cadastrado",(VLOOKUP(H:H,produtos_escape2!$A$2:$D$2794,4,FALSE))))</f>
        <v/>
      </c>
      <c r="N1525" s="486"/>
      <c r="O1525" s="176"/>
      <c r="P1525" s="486"/>
      <c r="Q1525" s="247"/>
      <c r="R1525" s="246">
        <f t="shared" si="63"/>
        <v>0</v>
      </c>
      <c r="S1525" s="177"/>
      <c r="T1525" s="182"/>
      <c r="U1525" s="177"/>
      <c r="V1525" s="177"/>
      <c r="W1525" s="177"/>
      <c r="X1525" s="176"/>
      <c r="Y1525" s="177"/>
      <c r="Z1525" s="415"/>
      <c r="AA1525" s="488"/>
      <c r="AB1525" s="594"/>
      <c r="AC1525" s="595"/>
      <c r="AD1525" s="596" t="str">
        <f>IF(AND(AC1525&lt;&gt;"",S1525&lt;&gt;""),NETWORKDAYS(AC1525,S1525,#REF!),"")</f>
        <v/>
      </c>
      <c r="AE1525" s="596" t="str">
        <f ca="1">IF(AND(AD1525="",AC1525=""),"",IF(OR(AD1525&lt;&gt;"",O1525="*CANCELADO"),"",NETWORKDAYS(AC1525,TODAY(),#REF!)))</f>
        <v/>
      </c>
      <c r="AF1525" s="597" t="str">
        <f>IFERROR(INDEX(produtos_escape2!M:M,MATCH(Controle!H1525,produtos_escape2!A:A,0)),"")</f>
        <v/>
      </c>
    </row>
    <row r="1526" spans="1:32" ht="14.25" customHeight="1">
      <c r="A1526" s="176"/>
      <c r="B1526" s="176"/>
      <c r="C1526" s="177"/>
      <c r="D1526" s="176"/>
      <c r="E1526" s="176"/>
      <c r="F1526" s="259"/>
      <c r="G1526" s="176"/>
      <c r="H1526" s="178"/>
      <c r="I1526" s="592">
        <f t="shared" ref="I1526:I1589" si="64">COUNTIF($H$3:$H$3041,H1526)</f>
        <v>0</v>
      </c>
      <c r="J1526" s="178"/>
      <c r="K1526" s="178"/>
      <c r="L1526" s="275" t="str">
        <f>IF(H:H=0,"",IF(ISERROR(VLOOKUP(H:H,produtos_escape2!$A$2:$B$2794,2,FALSE)),"Código não cadastrado",(VLOOKUP(H:H,produtos_escape2!$A$2:$B$2794,2,FALSE))))</f>
        <v/>
      </c>
      <c r="M1526" s="593" t="str">
        <f>IF(H:H=0,"",IF(ISERROR(VLOOKUP(H:H,produtos_escape2!$A$2:$D$2794,2,FALSE)),"Código não cadastrado",(VLOOKUP(H:H,produtos_escape2!$A$2:$D$2794,4,FALSE))))</f>
        <v/>
      </c>
      <c r="N1526" s="486"/>
      <c r="O1526" s="176"/>
      <c r="P1526" s="486"/>
      <c r="Q1526" s="247"/>
      <c r="R1526" s="246">
        <f t="shared" si="63"/>
        <v>0</v>
      </c>
      <c r="S1526" s="177"/>
      <c r="T1526" s="182"/>
      <c r="U1526" s="177"/>
      <c r="V1526" s="177"/>
      <c r="W1526" s="177"/>
      <c r="X1526" s="176"/>
      <c r="Y1526" s="177"/>
      <c r="Z1526" s="415"/>
      <c r="AA1526" s="488"/>
      <c r="AB1526" s="594"/>
      <c r="AC1526" s="595"/>
      <c r="AD1526" s="596" t="str">
        <f>IF(AND(AC1526&lt;&gt;"",S1526&lt;&gt;""),NETWORKDAYS(AC1526,S1526,#REF!),"")</f>
        <v/>
      </c>
      <c r="AE1526" s="596" t="str">
        <f ca="1">IF(AND(AD1526="",AC1526=""),"",IF(OR(AD1526&lt;&gt;"",O1526="*CANCELADO"),"",NETWORKDAYS(AC1526,TODAY(),#REF!)))</f>
        <v/>
      </c>
      <c r="AF1526" s="597" t="str">
        <f>IFERROR(INDEX(produtos_escape2!M:M,MATCH(Controle!H1526,produtos_escape2!A:A,0)),"")</f>
        <v/>
      </c>
    </row>
    <row r="1527" spans="1:32" ht="14.25" customHeight="1">
      <c r="A1527" s="176"/>
      <c r="B1527" s="176"/>
      <c r="C1527" s="177"/>
      <c r="D1527" s="176"/>
      <c r="E1527" s="176"/>
      <c r="F1527" s="259"/>
      <c r="G1527" s="176"/>
      <c r="H1527" s="178"/>
      <c r="I1527" s="592">
        <f t="shared" si="64"/>
        <v>0</v>
      </c>
      <c r="J1527" s="178"/>
      <c r="K1527" s="178"/>
      <c r="L1527" s="275" t="str">
        <f>IF(H:H=0,"",IF(ISERROR(VLOOKUP(H:H,produtos_escape2!$A$2:$B$2794,2,FALSE)),"Código não cadastrado",(VLOOKUP(H:H,produtos_escape2!$A$2:$B$2794,2,FALSE))))</f>
        <v/>
      </c>
      <c r="M1527" s="593" t="str">
        <f>IF(H:H=0,"",IF(ISERROR(VLOOKUP(H:H,produtos_escape2!$A$2:$D$2794,2,FALSE)),"Código não cadastrado",(VLOOKUP(H:H,produtos_escape2!$A$2:$D$2794,4,FALSE))))</f>
        <v/>
      </c>
      <c r="N1527" s="486"/>
      <c r="O1527" s="176"/>
      <c r="P1527" s="486"/>
      <c r="Q1527" s="247"/>
      <c r="R1527" s="246">
        <f t="shared" si="63"/>
        <v>0</v>
      </c>
      <c r="S1527" s="177"/>
      <c r="T1527" s="182"/>
      <c r="U1527" s="177"/>
      <c r="V1527" s="177"/>
      <c r="W1527" s="177"/>
      <c r="X1527" s="176"/>
      <c r="Y1527" s="177"/>
      <c r="Z1527" s="415"/>
      <c r="AA1527" s="488"/>
      <c r="AB1527" s="594"/>
      <c r="AC1527" s="595"/>
      <c r="AD1527" s="596" t="str">
        <f>IF(AND(AC1527&lt;&gt;"",S1527&lt;&gt;""),NETWORKDAYS(AC1527,S1527,#REF!),"")</f>
        <v/>
      </c>
      <c r="AE1527" s="596" t="str">
        <f ca="1">IF(AND(AD1527="",AC1527=""),"",IF(OR(AD1527&lt;&gt;"",O1527="*CANCELADO"),"",NETWORKDAYS(AC1527,TODAY(),#REF!)))</f>
        <v/>
      </c>
      <c r="AF1527" s="597" t="str">
        <f>IFERROR(INDEX(produtos_escape2!M:M,MATCH(Controle!H1527,produtos_escape2!A:A,0)),"")</f>
        <v/>
      </c>
    </row>
    <row r="1528" spans="1:32" ht="14.25" customHeight="1">
      <c r="A1528" s="176"/>
      <c r="B1528" s="176"/>
      <c r="C1528" s="177"/>
      <c r="D1528" s="176"/>
      <c r="E1528" s="176"/>
      <c r="F1528" s="259"/>
      <c r="G1528" s="176"/>
      <c r="H1528" s="178"/>
      <c r="I1528" s="592">
        <f t="shared" si="64"/>
        <v>0</v>
      </c>
      <c r="J1528" s="178"/>
      <c r="K1528" s="178"/>
      <c r="L1528" s="275" t="str">
        <f>IF(H:H=0,"",IF(ISERROR(VLOOKUP(H:H,produtos_escape2!$A$2:$B$2794,2,FALSE)),"Código não cadastrado",(VLOOKUP(H:H,produtos_escape2!$A$2:$B$2794,2,FALSE))))</f>
        <v/>
      </c>
      <c r="M1528" s="593" t="str">
        <f>IF(H:H=0,"",IF(ISERROR(VLOOKUP(H:H,produtos_escape2!$A$2:$D$2794,2,FALSE)),"Código não cadastrado",(VLOOKUP(H:H,produtos_escape2!$A$2:$D$2794,4,FALSE))))</f>
        <v/>
      </c>
      <c r="N1528" s="486"/>
      <c r="O1528" s="176"/>
      <c r="P1528" s="486"/>
      <c r="Q1528" s="247"/>
      <c r="R1528" s="246">
        <f t="shared" si="63"/>
        <v>0</v>
      </c>
      <c r="S1528" s="177"/>
      <c r="T1528" s="182"/>
      <c r="U1528" s="177"/>
      <c r="V1528" s="177"/>
      <c r="W1528" s="177"/>
      <c r="X1528" s="176"/>
      <c r="Y1528" s="177"/>
      <c r="Z1528" s="415"/>
      <c r="AA1528" s="488"/>
      <c r="AB1528" s="594"/>
      <c r="AC1528" s="595"/>
      <c r="AD1528" s="596" t="str">
        <f>IF(AND(AC1528&lt;&gt;"",S1528&lt;&gt;""),NETWORKDAYS(AC1528,S1528,#REF!),"")</f>
        <v/>
      </c>
      <c r="AE1528" s="596" t="str">
        <f ca="1">IF(AND(AD1528="",AC1528=""),"",IF(OR(AD1528&lt;&gt;"",O1528="*CANCELADO"),"",NETWORKDAYS(AC1528,TODAY(),#REF!)))</f>
        <v/>
      </c>
      <c r="AF1528" s="597" t="str">
        <f>IFERROR(INDEX(produtos_escape2!M:M,MATCH(Controle!H1528,produtos_escape2!A:A,0)),"")</f>
        <v/>
      </c>
    </row>
    <row r="1529" spans="1:32" ht="14.25" customHeight="1">
      <c r="A1529" s="176"/>
      <c r="B1529" s="176"/>
      <c r="C1529" s="177"/>
      <c r="D1529" s="176"/>
      <c r="E1529" s="176"/>
      <c r="F1529" s="259"/>
      <c r="G1529" s="176"/>
      <c r="H1529" s="178"/>
      <c r="I1529" s="592">
        <f t="shared" si="64"/>
        <v>0</v>
      </c>
      <c r="J1529" s="178"/>
      <c r="K1529" s="178"/>
      <c r="L1529" s="275" t="str">
        <f>IF(H:H=0,"",IF(ISERROR(VLOOKUP(H:H,produtos_escape2!$A$2:$B$2794,2,FALSE)),"Código não cadastrado",(VLOOKUP(H:H,produtos_escape2!$A$2:$B$2794,2,FALSE))))</f>
        <v/>
      </c>
      <c r="M1529" s="593" t="str">
        <f>IF(H:H=0,"",IF(ISERROR(VLOOKUP(H:H,produtos_escape2!$A$2:$D$2794,2,FALSE)),"Código não cadastrado",(VLOOKUP(H:H,produtos_escape2!$A$2:$D$2794,4,FALSE))))</f>
        <v/>
      </c>
      <c r="N1529" s="486"/>
      <c r="O1529" s="176"/>
      <c r="P1529" s="486"/>
      <c r="Q1529" s="247"/>
      <c r="R1529" s="246">
        <f t="shared" si="63"/>
        <v>0</v>
      </c>
      <c r="S1529" s="177"/>
      <c r="T1529" s="182"/>
      <c r="U1529" s="177"/>
      <c r="V1529" s="177"/>
      <c r="W1529" s="177"/>
      <c r="X1529" s="176"/>
      <c r="Y1529" s="177"/>
      <c r="Z1529" s="415"/>
      <c r="AA1529" s="488"/>
      <c r="AB1529" s="594"/>
      <c r="AC1529" s="595"/>
      <c r="AD1529" s="596" t="str">
        <f>IF(AND(AC1529&lt;&gt;"",S1529&lt;&gt;""),NETWORKDAYS(AC1529,S1529,#REF!),"")</f>
        <v/>
      </c>
      <c r="AE1529" s="596" t="str">
        <f ca="1">IF(AND(AD1529="",AC1529=""),"",IF(OR(AD1529&lt;&gt;"",O1529="*CANCELADO"),"",NETWORKDAYS(AC1529,TODAY(),#REF!)))</f>
        <v/>
      </c>
      <c r="AF1529" s="597" t="str">
        <f>IFERROR(INDEX(produtos_escape2!M:M,MATCH(Controle!H1529,produtos_escape2!A:A,0)),"")</f>
        <v/>
      </c>
    </row>
    <row r="1530" spans="1:32" ht="14.25" customHeight="1">
      <c r="A1530" s="176"/>
      <c r="B1530" s="176"/>
      <c r="C1530" s="177"/>
      <c r="D1530" s="176"/>
      <c r="E1530" s="176"/>
      <c r="F1530" s="259"/>
      <c r="G1530" s="176"/>
      <c r="H1530" s="178"/>
      <c r="I1530" s="592">
        <f t="shared" si="64"/>
        <v>0</v>
      </c>
      <c r="J1530" s="178"/>
      <c r="K1530" s="178"/>
      <c r="L1530" s="275" t="str">
        <f>IF(H:H=0,"",IF(ISERROR(VLOOKUP(H:H,produtos_escape2!$A$2:$B$2794,2,FALSE)),"Código não cadastrado",(VLOOKUP(H:H,produtos_escape2!$A$2:$B$2794,2,FALSE))))</f>
        <v/>
      </c>
      <c r="M1530" s="593" t="str">
        <f>IF(H:H=0,"",IF(ISERROR(VLOOKUP(H:H,produtos_escape2!$A$2:$D$2794,2,FALSE)),"Código não cadastrado",(VLOOKUP(H:H,produtos_escape2!$A$2:$D$2794,4,FALSE))))</f>
        <v/>
      </c>
      <c r="N1530" s="486"/>
      <c r="O1530" s="176"/>
      <c r="P1530" s="486"/>
      <c r="Q1530" s="247"/>
      <c r="R1530" s="246">
        <f t="shared" si="63"/>
        <v>0</v>
      </c>
      <c r="S1530" s="177"/>
      <c r="T1530" s="182"/>
      <c r="U1530" s="177"/>
      <c r="V1530" s="177"/>
      <c r="W1530" s="177"/>
      <c r="X1530" s="176"/>
      <c r="Y1530" s="177"/>
      <c r="Z1530" s="415"/>
      <c r="AA1530" s="488"/>
      <c r="AB1530" s="594"/>
      <c r="AC1530" s="595"/>
      <c r="AD1530" s="596" t="str">
        <f>IF(AND(AC1530&lt;&gt;"",S1530&lt;&gt;""),NETWORKDAYS(AC1530,S1530,#REF!),"")</f>
        <v/>
      </c>
      <c r="AE1530" s="596" t="str">
        <f ca="1">IF(AND(AD1530="",AC1530=""),"",IF(OR(AD1530&lt;&gt;"",O1530="*CANCELADO"),"",NETWORKDAYS(AC1530,TODAY(),#REF!)))</f>
        <v/>
      </c>
      <c r="AF1530" s="597" t="str">
        <f>IFERROR(INDEX(produtos_escape2!M:M,MATCH(Controle!H1530,produtos_escape2!A:A,0)),"")</f>
        <v/>
      </c>
    </row>
    <row r="1531" spans="1:32" ht="14.25" customHeight="1">
      <c r="A1531" s="176"/>
      <c r="B1531" s="176"/>
      <c r="C1531" s="177"/>
      <c r="D1531" s="176"/>
      <c r="E1531" s="176"/>
      <c r="F1531" s="259"/>
      <c r="G1531" s="176"/>
      <c r="H1531" s="178"/>
      <c r="I1531" s="592">
        <f t="shared" si="64"/>
        <v>0</v>
      </c>
      <c r="J1531" s="178"/>
      <c r="K1531" s="178"/>
      <c r="L1531" s="275" t="str">
        <f>IF(H:H=0,"",IF(ISERROR(VLOOKUP(H:H,produtos_escape2!$A$2:$B$2794,2,FALSE)),"Código não cadastrado",(VLOOKUP(H:H,produtos_escape2!$A$2:$B$2794,2,FALSE))))</f>
        <v/>
      </c>
      <c r="M1531" s="593" t="str">
        <f>IF(H:H=0,"",IF(ISERROR(VLOOKUP(H:H,produtos_escape2!$A$2:$D$2794,2,FALSE)),"Código não cadastrado",(VLOOKUP(H:H,produtos_escape2!$A$2:$D$2794,4,FALSE))))</f>
        <v/>
      </c>
      <c r="N1531" s="486"/>
      <c r="O1531" s="176"/>
      <c r="P1531" s="486"/>
      <c r="Q1531" s="247"/>
      <c r="R1531" s="246">
        <f t="shared" si="63"/>
        <v>0</v>
      </c>
      <c r="S1531" s="177"/>
      <c r="T1531" s="182"/>
      <c r="U1531" s="177"/>
      <c r="V1531" s="177"/>
      <c r="W1531" s="177"/>
      <c r="X1531" s="176"/>
      <c r="Y1531" s="177"/>
      <c r="Z1531" s="415"/>
      <c r="AA1531" s="488"/>
      <c r="AB1531" s="594"/>
      <c r="AC1531" s="595"/>
      <c r="AD1531" s="596" t="str">
        <f>IF(AND(AC1531&lt;&gt;"",S1531&lt;&gt;""),NETWORKDAYS(AC1531,S1531,#REF!),"")</f>
        <v/>
      </c>
      <c r="AE1531" s="596" t="str">
        <f ca="1">IF(AND(AD1531="",AC1531=""),"",IF(OR(AD1531&lt;&gt;"",O1531="*CANCELADO"),"",NETWORKDAYS(AC1531,TODAY(),#REF!)))</f>
        <v/>
      </c>
      <c r="AF1531" s="597" t="str">
        <f>IFERROR(INDEX(produtos_escape2!M:M,MATCH(Controle!H1531,produtos_escape2!A:A,0)),"")</f>
        <v/>
      </c>
    </row>
    <row r="1532" spans="1:32" ht="14.25" customHeight="1">
      <c r="A1532" s="176"/>
      <c r="B1532" s="176"/>
      <c r="C1532" s="177"/>
      <c r="D1532" s="176"/>
      <c r="E1532" s="176"/>
      <c r="F1532" s="259"/>
      <c r="G1532" s="176"/>
      <c r="H1532" s="178"/>
      <c r="I1532" s="592">
        <f t="shared" si="64"/>
        <v>0</v>
      </c>
      <c r="J1532" s="178"/>
      <c r="K1532" s="178"/>
      <c r="L1532" s="275" t="str">
        <f>IF(H:H=0,"",IF(ISERROR(VLOOKUP(H:H,produtos_escape2!$A$2:$B$2794,2,FALSE)),"Código não cadastrado",(VLOOKUP(H:H,produtos_escape2!$A$2:$B$2794,2,FALSE))))</f>
        <v/>
      </c>
      <c r="M1532" s="593" t="str">
        <f>IF(H:H=0,"",IF(ISERROR(VLOOKUP(H:H,produtos_escape2!$A$2:$D$2794,2,FALSE)),"Código não cadastrado",(VLOOKUP(H:H,produtos_escape2!$A$2:$D$2794,4,FALSE))))</f>
        <v/>
      </c>
      <c r="N1532" s="486"/>
      <c r="O1532" s="176"/>
      <c r="P1532" s="486"/>
      <c r="Q1532" s="247"/>
      <c r="R1532" s="246">
        <f t="shared" si="63"/>
        <v>0</v>
      </c>
      <c r="S1532" s="177"/>
      <c r="T1532" s="182"/>
      <c r="U1532" s="177"/>
      <c r="V1532" s="177"/>
      <c r="W1532" s="177"/>
      <c r="X1532" s="176"/>
      <c r="Y1532" s="177"/>
      <c r="Z1532" s="415"/>
      <c r="AA1532" s="488"/>
      <c r="AB1532" s="594"/>
      <c r="AC1532" s="595"/>
      <c r="AD1532" s="596" t="str">
        <f>IF(AND(AC1532&lt;&gt;"",S1532&lt;&gt;""),NETWORKDAYS(AC1532,S1532,#REF!),"")</f>
        <v/>
      </c>
      <c r="AE1532" s="596" t="str">
        <f ca="1">IF(AND(AD1532="",AC1532=""),"",IF(OR(AD1532&lt;&gt;"",O1532="*CANCELADO"),"",NETWORKDAYS(AC1532,TODAY(),#REF!)))</f>
        <v/>
      </c>
      <c r="AF1532" s="597" t="str">
        <f>IFERROR(INDEX(produtos_escape2!M:M,MATCH(Controle!H1532,produtos_escape2!A:A,0)),"")</f>
        <v/>
      </c>
    </row>
    <row r="1533" spans="1:32" ht="14.25" customHeight="1">
      <c r="A1533" s="176"/>
      <c r="B1533" s="176"/>
      <c r="C1533" s="177"/>
      <c r="D1533" s="176"/>
      <c r="E1533" s="176"/>
      <c r="F1533" s="259"/>
      <c r="G1533" s="176"/>
      <c r="H1533" s="178"/>
      <c r="I1533" s="592">
        <f t="shared" si="64"/>
        <v>0</v>
      </c>
      <c r="J1533" s="178"/>
      <c r="K1533" s="178"/>
      <c r="L1533" s="275" t="str">
        <f>IF(H:H=0,"",IF(ISERROR(VLOOKUP(H:H,produtos_escape2!$A$2:$B$2794,2,FALSE)),"Código não cadastrado",(VLOOKUP(H:H,produtos_escape2!$A$2:$B$2794,2,FALSE))))</f>
        <v/>
      </c>
      <c r="M1533" s="593" t="str">
        <f>IF(H:H=0,"",IF(ISERROR(VLOOKUP(H:H,produtos_escape2!$A$2:$D$2794,2,FALSE)),"Código não cadastrado",(VLOOKUP(H:H,produtos_escape2!$A$2:$D$2794,4,FALSE))))</f>
        <v/>
      </c>
      <c r="N1533" s="486"/>
      <c r="O1533" s="176"/>
      <c r="P1533" s="486"/>
      <c r="Q1533" s="247"/>
      <c r="R1533" s="246">
        <f t="shared" si="63"/>
        <v>0</v>
      </c>
      <c r="S1533" s="177"/>
      <c r="T1533" s="182"/>
      <c r="U1533" s="177"/>
      <c r="V1533" s="177"/>
      <c r="W1533" s="177"/>
      <c r="X1533" s="176"/>
      <c r="Y1533" s="177"/>
      <c r="Z1533" s="415"/>
      <c r="AA1533" s="488"/>
      <c r="AB1533" s="594"/>
      <c r="AC1533" s="595"/>
      <c r="AD1533" s="596" t="str">
        <f>IF(AND(AC1533&lt;&gt;"",S1533&lt;&gt;""),NETWORKDAYS(AC1533,S1533,#REF!),"")</f>
        <v/>
      </c>
      <c r="AE1533" s="596" t="str">
        <f ca="1">IF(AND(AD1533="",AC1533=""),"",IF(OR(AD1533&lt;&gt;"",O1533="*CANCELADO"),"",NETWORKDAYS(AC1533,TODAY(),#REF!)))</f>
        <v/>
      </c>
      <c r="AF1533" s="597" t="str">
        <f>IFERROR(INDEX(produtos_escape2!M:M,MATCH(Controle!H1533,produtos_escape2!A:A,0)),"")</f>
        <v/>
      </c>
    </row>
    <row r="1534" spans="1:32" ht="14.25" customHeight="1">
      <c r="A1534" s="176"/>
      <c r="B1534" s="176"/>
      <c r="C1534" s="177"/>
      <c r="D1534" s="176"/>
      <c r="E1534" s="176"/>
      <c r="F1534" s="259"/>
      <c r="G1534" s="176"/>
      <c r="H1534" s="178"/>
      <c r="I1534" s="592">
        <f t="shared" si="64"/>
        <v>0</v>
      </c>
      <c r="J1534" s="178"/>
      <c r="K1534" s="178"/>
      <c r="L1534" s="275" t="str">
        <f>IF(H:H=0,"",IF(ISERROR(VLOOKUP(H:H,produtos_escape2!$A$2:$B$2794,2,FALSE)),"Código não cadastrado",(VLOOKUP(H:H,produtos_escape2!$A$2:$B$2794,2,FALSE))))</f>
        <v/>
      </c>
      <c r="M1534" s="593" t="str">
        <f>IF(H:H=0,"",IF(ISERROR(VLOOKUP(H:H,produtos_escape2!$A$2:$D$2794,2,FALSE)),"Código não cadastrado",(VLOOKUP(H:H,produtos_escape2!$A$2:$D$2794,4,FALSE))))</f>
        <v/>
      </c>
      <c r="N1534" s="486"/>
      <c r="O1534" s="176"/>
      <c r="P1534" s="486"/>
      <c r="Q1534" s="247"/>
      <c r="R1534" s="246">
        <f t="shared" si="63"/>
        <v>0</v>
      </c>
      <c r="S1534" s="177"/>
      <c r="T1534" s="182"/>
      <c r="U1534" s="177"/>
      <c r="V1534" s="177"/>
      <c r="W1534" s="177"/>
      <c r="X1534" s="176"/>
      <c r="Y1534" s="177"/>
      <c r="Z1534" s="415"/>
      <c r="AA1534" s="488"/>
      <c r="AB1534" s="594"/>
      <c r="AC1534" s="595"/>
      <c r="AD1534" s="596" t="str">
        <f>IF(AND(AC1534&lt;&gt;"",S1534&lt;&gt;""),NETWORKDAYS(AC1534,S1534,#REF!),"")</f>
        <v/>
      </c>
      <c r="AE1534" s="596" t="str">
        <f ca="1">IF(AND(AD1534="",AC1534=""),"",IF(OR(AD1534&lt;&gt;"",O1534="*CANCELADO"),"",NETWORKDAYS(AC1534,TODAY(),#REF!)))</f>
        <v/>
      </c>
      <c r="AF1534" s="597" t="str">
        <f>IFERROR(INDEX(produtos_escape2!M:M,MATCH(Controle!H1534,produtos_escape2!A:A,0)),"")</f>
        <v/>
      </c>
    </row>
    <row r="1535" spans="1:32" ht="14.25" customHeight="1">
      <c r="A1535" s="176"/>
      <c r="B1535" s="176"/>
      <c r="C1535" s="177"/>
      <c r="D1535" s="176"/>
      <c r="E1535" s="176"/>
      <c r="F1535" s="259"/>
      <c r="G1535" s="176"/>
      <c r="H1535" s="178"/>
      <c r="I1535" s="592">
        <f t="shared" si="64"/>
        <v>0</v>
      </c>
      <c r="J1535" s="178"/>
      <c r="K1535" s="178"/>
      <c r="L1535" s="275" t="str">
        <f>IF(H:H=0,"",IF(ISERROR(VLOOKUP(H:H,produtos_escape2!$A$2:$B$2794,2,FALSE)),"Código não cadastrado",(VLOOKUP(H:H,produtos_escape2!$A$2:$B$2794,2,FALSE))))</f>
        <v/>
      </c>
      <c r="M1535" s="593" t="str">
        <f>IF(H:H=0,"",IF(ISERROR(VLOOKUP(H:H,produtos_escape2!$A$2:$D$2794,2,FALSE)),"Código não cadastrado",(VLOOKUP(H:H,produtos_escape2!$A$2:$D$2794,4,FALSE))))</f>
        <v/>
      </c>
      <c r="N1535" s="486"/>
      <c r="O1535" s="176"/>
      <c r="P1535" s="486"/>
      <c r="Q1535" s="247"/>
      <c r="R1535" s="246">
        <f t="shared" si="63"/>
        <v>0</v>
      </c>
      <c r="S1535" s="177"/>
      <c r="T1535" s="182"/>
      <c r="U1535" s="177"/>
      <c r="V1535" s="177"/>
      <c r="W1535" s="177"/>
      <c r="X1535" s="176"/>
      <c r="Y1535" s="177"/>
      <c r="Z1535" s="415"/>
      <c r="AA1535" s="488"/>
      <c r="AB1535" s="594"/>
      <c r="AC1535" s="595"/>
      <c r="AD1535" s="596" t="str">
        <f>IF(AND(AC1535&lt;&gt;"",S1535&lt;&gt;""),NETWORKDAYS(AC1535,S1535,#REF!),"")</f>
        <v/>
      </c>
      <c r="AE1535" s="596" t="str">
        <f ca="1">IF(AND(AD1535="",AC1535=""),"",IF(OR(AD1535&lt;&gt;"",O1535="*CANCELADO"),"",NETWORKDAYS(AC1535,TODAY(),#REF!)))</f>
        <v/>
      </c>
      <c r="AF1535" s="597" t="str">
        <f>IFERROR(INDEX(produtos_escape2!M:M,MATCH(Controle!H1535,produtos_escape2!A:A,0)),"")</f>
        <v/>
      </c>
    </row>
    <row r="1536" spans="1:32" ht="14.25" customHeight="1">
      <c r="A1536" s="176"/>
      <c r="B1536" s="176"/>
      <c r="C1536" s="177"/>
      <c r="D1536" s="176"/>
      <c r="E1536" s="176"/>
      <c r="F1536" s="259"/>
      <c r="G1536" s="176"/>
      <c r="H1536" s="178"/>
      <c r="I1536" s="592">
        <f t="shared" si="64"/>
        <v>0</v>
      </c>
      <c r="J1536" s="178"/>
      <c r="K1536" s="178"/>
      <c r="L1536" s="275" t="str">
        <f>IF(H:H=0,"",IF(ISERROR(VLOOKUP(H:H,produtos_escape2!$A$2:$B$2794,2,FALSE)),"Código não cadastrado",(VLOOKUP(H:H,produtos_escape2!$A$2:$B$2794,2,FALSE))))</f>
        <v/>
      </c>
      <c r="M1536" s="593" t="str">
        <f>IF(H:H=0,"",IF(ISERROR(VLOOKUP(H:H,produtos_escape2!$A$2:$D$2794,2,FALSE)),"Código não cadastrado",(VLOOKUP(H:H,produtos_escape2!$A$2:$D$2794,4,FALSE))))</f>
        <v/>
      </c>
      <c r="N1536" s="486"/>
      <c r="O1536" s="176"/>
      <c r="P1536" s="486"/>
      <c r="Q1536" s="247"/>
      <c r="R1536" s="246">
        <f t="shared" si="63"/>
        <v>0</v>
      </c>
      <c r="S1536" s="177"/>
      <c r="T1536" s="182"/>
      <c r="U1536" s="177"/>
      <c r="V1536" s="177"/>
      <c r="W1536" s="177"/>
      <c r="X1536" s="176"/>
      <c r="Y1536" s="177"/>
      <c r="Z1536" s="415"/>
      <c r="AA1536" s="488"/>
      <c r="AB1536" s="594"/>
      <c r="AC1536" s="595"/>
      <c r="AD1536" s="596" t="str">
        <f>IF(AND(AC1536&lt;&gt;"",S1536&lt;&gt;""),NETWORKDAYS(AC1536,S1536,#REF!),"")</f>
        <v/>
      </c>
      <c r="AE1536" s="596" t="str">
        <f ca="1">IF(AND(AD1536="",AC1536=""),"",IF(OR(AD1536&lt;&gt;"",O1536="*CANCELADO"),"",NETWORKDAYS(AC1536,TODAY(),#REF!)))</f>
        <v/>
      </c>
      <c r="AF1536" s="597" t="str">
        <f>IFERROR(INDEX(produtos_escape2!M:M,MATCH(Controle!H1536,produtos_escape2!A:A,0)),"")</f>
        <v/>
      </c>
    </row>
    <row r="1537" spans="1:32" ht="14.25" customHeight="1">
      <c r="A1537" s="176"/>
      <c r="B1537" s="176"/>
      <c r="C1537" s="177"/>
      <c r="D1537" s="176"/>
      <c r="E1537" s="176"/>
      <c r="F1537" s="259"/>
      <c r="G1537" s="176"/>
      <c r="H1537" s="178"/>
      <c r="I1537" s="592">
        <f t="shared" si="64"/>
        <v>0</v>
      </c>
      <c r="J1537" s="178"/>
      <c r="K1537" s="178"/>
      <c r="L1537" s="275" t="str">
        <f>IF(H:H=0,"",IF(ISERROR(VLOOKUP(H:H,produtos_escape2!$A$2:$B$2794,2,FALSE)),"Código não cadastrado",(VLOOKUP(H:H,produtos_escape2!$A$2:$B$2794,2,FALSE))))</f>
        <v/>
      </c>
      <c r="M1537" s="593" t="str">
        <f>IF(H:H=0,"",IF(ISERROR(VLOOKUP(H:H,produtos_escape2!$A$2:$D$2794,2,FALSE)),"Código não cadastrado",(VLOOKUP(H:H,produtos_escape2!$A$2:$D$2794,4,FALSE))))</f>
        <v/>
      </c>
      <c r="N1537" s="486"/>
      <c r="O1537" s="176"/>
      <c r="P1537" s="486"/>
      <c r="Q1537" s="247"/>
      <c r="R1537" s="246">
        <f t="shared" si="63"/>
        <v>0</v>
      </c>
      <c r="S1537" s="177"/>
      <c r="T1537" s="182"/>
      <c r="U1537" s="177"/>
      <c r="V1537" s="177"/>
      <c r="W1537" s="177"/>
      <c r="X1537" s="176"/>
      <c r="Y1537" s="177"/>
      <c r="Z1537" s="415"/>
      <c r="AA1537" s="488"/>
      <c r="AB1537" s="594"/>
      <c r="AC1537" s="595"/>
      <c r="AD1537" s="596" t="str">
        <f>IF(AND(AC1537&lt;&gt;"",S1537&lt;&gt;""),NETWORKDAYS(AC1537,S1537,#REF!),"")</f>
        <v/>
      </c>
      <c r="AE1537" s="596" t="str">
        <f ca="1">IF(AND(AD1537="",AC1537=""),"",IF(OR(AD1537&lt;&gt;"",O1537="*CANCELADO"),"",NETWORKDAYS(AC1537,TODAY(),#REF!)))</f>
        <v/>
      </c>
      <c r="AF1537" s="597" t="str">
        <f>IFERROR(INDEX(produtos_escape2!M:M,MATCH(Controle!H1537,produtos_escape2!A:A,0)),"")</f>
        <v/>
      </c>
    </row>
    <row r="1538" spans="1:32" ht="14.25" customHeight="1">
      <c r="A1538" s="176"/>
      <c r="B1538" s="176"/>
      <c r="C1538" s="177"/>
      <c r="D1538" s="176"/>
      <c r="E1538" s="176"/>
      <c r="F1538" s="259"/>
      <c r="G1538" s="176"/>
      <c r="H1538" s="178"/>
      <c r="I1538" s="592">
        <f t="shared" si="64"/>
        <v>0</v>
      </c>
      <c r="J1538" s="178"/>
      <c r="K1538" s="178"/>
      <c r="L1538" s="275" t="str">
        <f>IF(H:H=0,"",IF(ISERROR(VLOOKUP(H:H,produtos_escape2!$A$2:$B$2794,2,FALSE)),"Código não cadastrado",(VLOOKUP(H:H,produtos_escape2!$A$2:$B$2794,2,FALSE))))</f>
        <v/>
      </c>
      <c r="M1538" s="593" t="str">
        <f>IF(H:H=0,"",IF(ISERROR(VLOOKUP(H:H,produtos_escape2!$A$2:$D$2794,2,FALSE)),"Código não cadastrado",(VLOOKUP(H:H,produtos_escape2!$A$2:$D$2794,4,FALSE))))</f>
        <v/>
      </c>
      <c r="N1538" s="486"/>
      <c r="O1538" s="176"/>
      <c r="P1538" s="486"/>
      <c r="Q1538" s="247"/>
      <c r="R1538" s="246">
        <f t="shared" si="63"/>
        <v>0</v>
      </c>
      <c r="S1538" s="177"/>
      <c r="T1538" s="182"/>
      <c r="U1538" s="177"/>
      <c r="V1538" s="177"/>
      <c r="W1538" s="177"/>
      <c r="X1538" s="176"/>
      <c r="Y1538" s="177"/>
      <c r="Z1538" s="415"/>
      <c r="AA1538" s="488"/>
      <c r="AB1538" s="594"/>
      <c r="AC1538" s="595"/>
      <c r="AD1538" s="596" t="str">
        <f>IF(AND(AC1538&lt;&gt;"",S1538&lt;&gt;""),NETWORKDAYS(AC1538,S1538,#REF!),"")</f>
        <v/>
      </c>
      <c r="AE1538" s="596" t="str">
        <f ca="1">IF(AND(AD1538="",AC1538=""),"",IF(OR(AD1538&lt;&gt;"",O1538="*CANCELADO"),"",NETWORKDAYS(AC1538,TODAY(),#REF!)))</f>
        <v/>
      </c>
      <c r="AF1538" s="597" t="str">
        <f>IFERROR(INDEX(produtos_escape2!M:M,MATCH(Controle!H1538,produtos_escape2!A:A,0)),"")</f>
        <v/>
      </c>
    </row>
    <row r="1539" spans="1:32" ht="14.25" customHeight="1">
      <c r="A1539" s="176"/>
      <c r="B1539" s="176"/>
      <c r="C1539" s="177"/>
      <c r="D1539" s="176"/>
      <c r="E1539" s="176"/>
      <c r="F1539" s="259"/>
      <c r="G1539" s="176"/>
      <c r="H1539" s="178"/>
      <c r="I1539" s="592">
        <f t="shared" si="64"/>
        <v>0</v>
      </c>
      <c r="J1539" s="178"/>
      <c r="K1539" s="178"/>
      <c r="L1539" s="275" t="str">
        <f>IF(H:H=0,"",IF(ISERROR(VLOOKUP(H:H,produtos_escape2!$A$2:$B$2794,2,FALSE)),"Código não cadastrado",(VLOOKUP(H:H,produtos_escape2!$A$2:$B$2794,2,FALSE))))</f>
        <v/>
      </c>
      <c r="M1539" s="593" t="str">
        <f>IF(H:H=0,"",IF(ISERROR(VLOOKUP(H:H,produtos_escape2!$A$2:$D$2794,2,FALSE)),"Código não cadastrado",(VLOOKUP(H:H,produtos_escape2!$A$2:$D$2794,4,FALSE))))</f>
        <v/>
      </c>
      <c r="N1539" s="486"/>
      <c r="O1539" s="176"/>
      <c r="P1539" s="486"/>
      <c r="Q1539" s="247"/>
      <c r="R1539" s="246">
        <f t="shared" si="63"/>
        <v>0</v>
      </c>
      <c r="S1539" s="177"/>
      <c r="T1539" s="182"/>
      <c r="U1539" s="177"/>
      <c r="V1539" s="177"/>
      <c r="W1539" s="177"/>
      <c r="X1539" s="176"/>
      <c r="Y1539" s="177"/>
      <c r="Z1539" s="415"/>
      <c r="AA1539" s="488"/>
      <c r="AB1539" s="594"/>
      <c r="AC1539" s="595"/>
      <c r="AD1539" s="596" t="str">
        <f>IF(AND(AC1539&lt;&gt;"",S1539&lt;&gt;""),NETWORKDAYS(AC1539,S1539,#REF!),"")</f>
        <v/>
      </c>
      <c r="AE1539" s="596" t="str">
        <f ca="1">IF(AND(AD1539="",AC1539=""),"",IF(OR(AD1539&lt;&gt;"",O1539="*CANCELADO"),"",NETWORKDAYS(AC1539,TODAY(),#REF!)))</f>
        <v/>
      </c>
      <c r="AF1539" s="597" t="str">
        <f>IFERROR(INDEX(produtos_escape2!M:M,MATCH(Controle!H1539,produtos_escape2!A:A,0)),"")</f>
        <v/>
      </c>
    </row>
    <row r="1540" spans="1:32" ht="14.25" customHeight="1">
      <c r="A1540" s="176"/>
      <c r="B1540" s="176"/>
      <c r="C1540" s="177"/>
      <c r="D1540" s="176"/>
      <c r="E1540" s="176"/>
      <c r="F1540" s="259"/>
      <c r="G1540" s="176"/>
      <c r="H1540" s="178"/>
      <c r="I1540" s="592">
        <f t="shared" si="64"/>
        <v>0</v>
      </c>
      <c r="J1540" s="178"/>
      <c r="K1540" s="178"/>
      <c r="L1540" s="275" t="str">
        <f>IF(H:H=0,"",IF(ISERROR(VLOOKUP(H:H,produtos_escape2!$A$2:$B$2794,2,FALSE)),"Código não cadastrado",(VLOOKUP(H:H,produtos_escape2!$A$2:$B$2794,2,FALSE))))</f>
        <v/>
      </c>
      <c r="M1540" s="593" t="str">
        <f>IF(H:H=0,"",IF(ISERROR(VLOOKUP(H:H,produtos_escape2!$A$2:$D$2794,2,FALSE)),"Código não cadastrado",(VLOOKUP(H:H,produtos_escape2!$A$2:$D$2794,4,FALSE))))</f>
        <v/>
      </c>
      <c r="N1540" s="486"/>
      <c r="O1540" s="176"/>
      <c r="P1540" s="486"/>
      <c r="Q1540" s="247"/>
      <c r="R1540" s="246">
        <f t="shared" si="63"/>
        <v>0</v>
      </c>
      <c r="S1540" s="177"/>
      <c r="T1540" s="182"/>
      <c r="U1540" s="177"/>
      <c r="V1540" s="177"/>
      <c r="W1540" s="177"/>
      <c r="X1540" s="176"/>
      <c r="Y1540" s="177"/>
      <c r="Z1540" s="415"/>
      <c r="AA1540" s="488"/>
      <c r="AB1540" s="594"/>
      <c r="AC1540" s="595"/>
      <c r="AD1540" s="596" t="str">
        <f>IF(AND(AC1540&lt;&gt;"",S1540&lt;&gt;""),NETWORKDAYS(AC1540,S1540,#REF!),"")</f>
        <v/>
      </c>
      <c r="AE1540" s="596" t="str">
        <f ca="1">IF(AND(AD1540="",AC1540=""),"",IF(OR(AD1540&lt;&gt;"",O1540="*CANCELADO"),"",NETWORKDAYS(AC1540,TODAY(),#REF!)))</f>
        <v/>
      </c>
      <c r="AF1540" s="597" t="str">
        <f>IFERROR(INDEX(produtos_escape2!M:M,MATCH(Controle!H1540,produtos_escape2!A:A,0)),"")</f>
        <v/>
      </c>
    </row>
    <row r="1541" spans="1:32" ht="14.25" customHeight="1">
      <c r="A1541" s="176"/>
      <c r="B1541" s="176"/>
      <c r="C1541" s="177"/>
      <c r="D1541" s="176"/>
      <c r="E1541" s="176"/>
      <c r="F1541" s="259"/>
      <c r="G1541" s="176"/>
      <c r="H1541" s="178"/>
      <c r="I1541" s="592">
        <f t="shared" si="64"/>
        <v>0</v>
      </c>
      <c r="J1541" s="178"/>
      <c r="K1541" s="178"/>
      <c r="L1541" s="275" t="str">
        <f>IF(H:H=0,"",IF(ISERROR(VLOOKUP(H:H,produtos_escape2!$A$2:$B$2794,2,FALSE)),"Código não cadastrado",(VLOOKUP(H:H,produtos_escape2!$A$2:$B$2794,2,FALSE))))</f>
        <v/>
      </c>
      <c r="M1541" s="593" t="str">
        <f>IF(H:H=0,"",IF(ISERROR(VLOOKUP(H:H,produtos_escape2!$A$2:$D$2794,2,FALSE)),"Código não cadastrado",(VLOOKUP(H:H,produtos_escape2!$A$2:$D$2794,4,FALSE))))</f>
        <v/>
      </c>
      <c r="N1541" s="486"/>
      <c r="O1541" s="176"/>
      <c r="P1541" s="486"/>
      <c r="Q1541" s="247"/>
      <c r="R1541" s="246">
        <f t="shared" si="63"/>
        <v>0</v>
      </c>
      <c r="S1541" s="177"/>
      <c r="T1541" s="182"/>
      <c r="U1541" s="177"/>
      <c r="V1541" s="177"/>
      <c r="W1541" s="177"/>
      <c r="X1541" s="176"/>
      <c r="Y1541" s="177"/>
      <c r="Z1541" s="415"/>
      <c r="AA1541" s="488"/>
      <c r="AB1541" s="594"/>
      <c r="AC1541" s="595"/>
      <c r="AD1541" s="596" t="str">
        <f>IF(AND(AC1541&lt;&gt;"",S1541&lt;&gt;""),NETWORKDAYS(AC1541,S1541,#REF!),"")</f>
        <v/>
      </c>
      <c r="AE1541" s="596" t="str">
        <f ca="1">IF(AND(AD1541="",AC1541=""),"",IF(OR(AD1541&lt;&gt;"",O1541="*CANCELADO"),"",NETWORKDAYS(AC1541,TODAY(),#REF!)))</f>
        <v/>
      </c>
      <c r="AF1541" s="597" t="str">
        <f>IFERROR(INDEX(produtos_escape2!M:M,MATCH(Controle!H1541,produtos_escape2!A:A,0)),"")</f>
        <v/>
      </c>
    </row>
    <row r="1542" spans="1:32" ht="14.25" customHeight="1">
      <c r="A1542" s="176"/>
      <c r="B1542" s="176"/>
      <c r="C1542" s="177"/>
      <c r="D1542" s="176"/>
      <c r="E1542" s="176"/>
      <c r="F1542" s="259"/>
      <c r="G1542" s="176"/>
      <c r="H1542" s="178"/>
      <c r="I1542" s="592">
        <f t="shared" si="64"/>
        <v>0</v>
      </c>
      <c r="J1542" s="178"/>
      <c r="K1542" s="178"/>
      <c r="L1542" s="275" t="str">
        <f>IF(H:H=0,"",IF(ISERROR(VLOOKUP(H:H,produtos_escape2!$A$2:$B$2794,2,FALSE)),"Código não cadastrado",(VLOOKUP(H:H,produtos_escape2!$A$2:$B$2794,2,FALSE))))</f>
        <v/>
      </c>
      <c r="M1542" s="593" t="str">
        <f>IF(H:H=0,"",IF(ISERROR(VLOOKUP(H:H,produtos_escape2!$A$2:$D$2794,2,FALSE)),"Código não cadastrado",(VLOOKUP(H:H,produtos_escape2!$A$2:$D$2794,4,FALSE))))</f>
        <v/>
      </c>
      <c r="N1542" s="486"/>
      <c r="O1542" s="176"/>
      <c r="P1542" s="486"/>
      <c r="Q1542" s="247"/>
      <c r="R1542" s="246">
        <f t="shared" si="63"/>
        <v>0</v>
      </c>
      <c r="S1542" s="177"/>
      <c r="T1542" s="182"/>
      <c r="U1542" s="177"/>
      <c r="V1542" s="177"/>
      <c r="W1542" s="177"/>
      <c r="X1542" s="176"/>
      <c r="Y1542" s="177"/>
      <c r="Z1542" s="415"/>
      <c r="AA1542" s="488"/>
      <c r="AB1542" s="594"/>
      <c r="AC1542" s="595"/>
      <c r="AD1542" s="596" t="str">
        <f>IF(AND(AC1542&lt;&gt;"",S1542&lt;&gt;""),NETWORKDAYS(AC1542,S1542,#REF!),"")</f>
        <v/>
      </c>
      <c r="AE1542" s="596" t="str">
        <f ca="1">IF(AND(AD1542="",AC1542=""),"",IF(OR(AD1542&lt;&gt;"",O1542="*CANCELADO"),"",NETWORKDAYS(AC1542,TODAY(),#REF!)))</f>
        <v/>
      </c>
      <c r="AF1542" s="597" t="str">
        <f>IFERROR(INDEX(produtos_escape2!M:M,MATCH(Controle!H1542,produtos_escape2!A:A,0)),"")</f>
        <v/>
      </c>
    </row>
    <row r="1543" spans="1:32" ht="14.25" customHeight="1">
      <c r="A1543" s="176"/>
      <c r="B1543" s="176"/>
      <c r="C1543" s="177"/>
      <c r="D1543" s="176"/>
      <c r="E1543" s="176"/>
      <c r="F1543" s="259"/>
      <c r="G1543" s="176"/>
      <c r="H1543" s="178"/>
      <c r="I1543" s="592">
        <f t="shared" si="64"/>
        <v>0</v>
      </c>
      <c r="J1543" s="178"/>
      <c r="K1543" s="178"/>
      <c r="L1543" s="275" t="str">
        <f>IF(H:H=0,"",IF(ISERROR(VLOOKUP(H:H,produtos_escape2!$A$2:$B$2794,2,FALSE)),"Código não cadastrado",(VLOOKUP(H:H,produtos_escape2!$A$2:$B$2794,2,FALSE))))</f>
        <v/>
      </c>
      <c r="M1543" s="593" t="str">
        <f>IF(H:H=0,"",IF(ISERROR(VLOOKUP(H:H,produtos_escape2!$A$2:$D$2794,2,FALSE)),"Código não cadastrado",(VLOOKUP(H:H,produtos_escape2!$A$2:$D$2794,4,FALSE))))</f>
        <v/>
      </c>
      <c r="N1543" s="486"/>
      <c r="O1543" s="176"/>
      <c r="P1543" s="486"/>
      <c r="Q1543" s="247"/>
      <c r="R1543" s="246">
        <f t="shared" si="63"/>
        <v>0</v>
      </c>
      <c r="S1543" s="177"/>
      <c r="T1543" s="182"/>
      <c r="U1543" s="177"/>
      <c r="V1543" s="177"/>
      <c r="W1543" s="177"/>
      <c r="X1543" s="176"/>
      <c r="Y1543" s="177"/>
      <c r="Z1543" s="415"/>
      <c r="AA1543" s="488"/>
      <c r="AB1543" s="594"/>
      <c r="AC1543" s="595"/>
      <c r="AD1543" s="596" t="str">
        <f>IF(AND(AC1543&lt;&gt;"",S1543&lt;&gt;""),NETWORKDAYS(AC1543,S1543,#REF!),"")</f>
        <v/>
      </c>
      <c r="AE1543" s="596" t="str">
        <f ca="1">IF(AND(AD1543="",AC1543=""),"",IF(OR(AD1543&lt;&gt;"",O1543="*CANCELADO"),"",NETWORKDAYS(AC1543,TODAY(),#REF!)))</f>
        <v/>
      </c>
      <c r="AF1543" s="597" t="str">
        <f>IFERROR(INDEX(produtos_escape2!M:M,MATCH(Controle!H1543,produtos_escape2!A:A,0)),"")</f>
        <v/>
      </c>
    </row>
    <row r="1544" spans="1:32" ht="14.25" customHeight="1">
      <c r="A1544" s="176"/>
      <c r="B1544" s="176"/>
      <c r="C1544" s="177"/>
      <c r="D1544" s="176"/>
      <c r="E1544" s="176"/>
      <c r="F1544" s="259"/>
      <c r="G1544" s="176"/>
      <c r="H1544" s="178"/>
      <c r="I1544" s="592">
        <f t="shared" si="64"/>
        <v>0</v>
      </c>
      <c r="J1544" s="178"/>
      <c r="K1544" s="178"/>
      <c r="L1544" s="275" t="str">
        <f>IF(H:H=0,"",IF(ISERROR(VLOOKUP(H:H,produtos_escape2!$A$2:$B$2794,2,FALSE)),"Código não cadastrado",(VLOOKUP(H:H,produtos_escape2!$A$2:$B$2794,2,FALSE))))</f>
        <v/>
      </c>
      <c r="M1544" s="593" t="str">
        <f>IF(H:H=0,"",IF(ISERROR(VLOOKUP(H:H,produtos_escape2!$A$2:$D$2794,2,FALSE)),"Código não cadastrado",(VLOOKUP(H:H,produtos_escape2!$A$2:$D$2794,4,FALSE))))</f>
        <v/>
      </c>
      <c r="N1544" s="486"/>
      <c r="O1544" s="176"/>
      <c r="P1544" s="486"/>
      <c r="Q1544" s="247"/>
      <c r="R1544" s="246">
        <f t="shared" si="63"/>
        <v>0</v>
      </c>
      <c r="S1544" s="177"/>
      <c r="T1544" s="182"/>
      <c r="U1544" s="177"/>
      <c r="V1544" s="177"/>
      <c r="W1544" s="177"/>
      <c r="X1544" s="176"/>
      <c r="Y1544" s="177"/>
      <c r="Z1544" s="415"/>
      <c r="AA1544" s="488"/>
      <c r="AB1544" s="594"/>
      <c r="AC1544" s="595"/>
      <c r="AD1544" s="596" t="str">
        <f>IF(AND(AC1544&lt;&gt;"",S1544&lt;&gt;""),NETWORKDAYS(AC1544,S1544,#REF!),"")</f>
        <v/>
      </c>
      <c r="AE1544" s="596" t="str">
        <f ca="1">IF(AND(AD1544="",AC1544=""),"",IF(OR(AD1544&lt;&gt;"",O1544="*CANCELADO"),"",NETWORKDAYS(AC1544,TODAY(),#REF!)))</f>
        <v/>
      </c>
      <c r="AF1544" s="597" t="str">
        <f>IFERROR(INDEX(produtos_escape2!M:M,MATCH(Controle!H1544,produtos_escape2!A:A,0)),"")</f>
        <v/>
      </c>
    </row>
    <row r="1545" spans="1:32" ht="14.25" customHeight="1">
      <c r="A1545" s="176"/>
      <c r="B1545" s="176"/>
      <c r="C1545" s="177"/>
      <c r="D1545" s="176"/>
      <c r="E1545" s="176"/>
      <c r="F1545" s="259"/>
      <c r="G1545" s="176"/>
      <c r="H1545" s="178"/>
      <c r="I1545" s="592">
        <f t="shared" si="64"/>
        <v>0</v>
      </c>
      <c r="J1545" s="178"/>
      <c r="K1545" s="178"/>
      <c r="L1545" s="275" t="str">
        <f>IF(H:H=0,"",IF(ISERROR(VLOOKUP(H:H,produtos_escape2!$A$2:$B$2794,2,FALSE)),"Código não cadastrado",(VLOOKUP(H:H,produtos_escape2!$A$2:$B$2794,2,FALSE))))</f>
        <v/>
      </c>
      <c r="M1545" s="593" t="str">
        <f>IF(H:H=0,"",IF(ISERROR(VLOOKUP(H:H,produtos_escape2!$A$2:$D$2794,2,FALSE)),"Código não cadastrado",(VLOOKUP(H:H,produtos_escape2!$A$2:$D$2794,4,FALSE))))</f>
        <v/>
      </c>
      <c r="N1545" s="486"/>
      <c r="O1545" s="176"/>
      <c r="P1545" s="486"/>
      <c r="Q1545" s="247"/>
      <c r="R1545" s="246">
        <f t="shared" si="63"/>
        <v>0</v>
      </c>
      <c r="S1545" s="177"/>
      <c r="T1545" s="182"/>
      <c r="U1545" s="177"/>
      <c r="V1545" s="177"/>
      <c r="W1545" s="177"/>
      <c r="X1545" s="176"/>
      <c r="Y1545" s="177"/>
      <c r="Z1545" s="415"/>
      <c r="AA1545" s="488"/>
      <c r="AB1545" s="594"/>
      <c r="AC1545" s="595"/>
      <c r="AD1545" s="596" t="str">
        <f>IF(AND(AC1545&lt;&gt;"",S1545&lt;&gt;""),NETWORKDAYS(AC1545,S1545,#REF!),"")</f>
        <v/>
      </c>
      <c r="AE1545" s="596" t="str">
        <f ca="1">IF(AND(AD1545="",AC1545=""),"",IF(OR(AD1545&lt;&gt;"",O1545="*CANCELADO"),"",NETWORKDAYS(AC1545,TODAY(),#REF!)))</f>
        <v/>
      </c>
      <c r="AF1545" s="597" t="str">
        <f>IFERROR(INDEX(produtos_escape2!M:M,MATCH(Controle!H1545,produtos_escape2!A:A,0)),"")</f>
        <v/>
      </c>
    </row>
    <row r="1546" spans="1:32" ht="14.25" customHeight="1">
      <c r="A1546" s="176"/>
      <c r="B1546" s="176"/>
      <c r="C1546" s="177"/>
      <c r="D1546" s="176"/>
      <c r="E1546" s="176"/>
      <c r="F1546" s="259"/>
      <c r="G1546" s="176"/>
      <c r="H1546" s="178"/>
      <c r="I1546" s="592">
        <f t="shared" si="64"/>
        <v>0</v>
      </c>
      <c r="J1546" s="178"/>
      <c r="K1546" s="178"/>
      <c r="L1546" s="275" t="str">
        <f>IF(H:H=0,"",IF(ISERROR(VLOOKUP(H:H,produtos_escape2!$A$2:$B$2794,2,FALSE)),"Código não cadastrado",(VLOOKUP(H:H,produtos_escape2!$A$2:$B$2794,2,FALSE))))</f>
        <v/>
      </c>
      <c r="M1546" s="593" t="str">
        <f>IF(H:H=0,"",IF(ISERROR(VLOOKUP(H:H,produtos_escape2!$A$2:$D$2794,2,FALSE)),"Código não cadastrado",(VLOOKUP(H:H,produtos_escape2!$A$2:$D$2794,4,FALSE))))</f>
        <v/>
      </c>
      <c r="N1546" s="486"/>
      <c r="O1546" s="176"/>
      <c r="P1546" s="486"/>
      <c r="Q1546" s="247"/>
      <c r="R1546" s="246">
        <f t="shared" si="63"/>
        <v>0</v>
      </c>
      <c r="S1546" s="177"/>
      <c r="T1546" s="182"/>
      <c r="U1546" s="177"/>
      <c r="V1546" s="177"/>
      <c r="W1546" s="177"/>
      <c r="X1546" s="176"/>
      <c r="Y1546" s="177"/>
      <c r="Z1546" s="415"/>
      <c r="AA1546" s="488"/>
      <c r="AB1546" s="594"/>
      <c r="AC1546" s="595"/>
      <c r="AD1546" s="596" t="str">
        <f>IF(AND(AC1546&lt;&gt;"",S1546&lt;&gt;""),NETWORKDAYS(AC1546,S1546,#REF!),"")</f>
        <v/>
      </c>
      <c r="AE1546" s="596" t="str">
        <f ca="1">IF(AND(AD1546="",AC1546=""),"",IF(OR(AD1546&lt;&gt;"",O1546="*CANCELADO"),"",NETWORKDAYS(AC1546,TODAY(),#REF!)))</f>
        <v/>
      </c>
      <c r="AF1546" s="597" t="str">
        <f>IFERROR(INDEX(produtos_escape2!M:M,MATCH(Controle!H1546,produtos_escape2!A:A,0)),"")</f>
        <v/>
      </c>
    </row>
    <row r="1547" spans="1:32" ht="14.25" customHeight="1">
      <c r="A1547" s="176"/>
      <c r="B1547" s="176"/>
      <c r="C1547" s="177"/>
      <c r="D1547" s="176"/>
      <c r="E1547" s="176"/>
      <c r="F1547" s="259"/>
      <c r="G1547" s="176"/>
      <c r="H1547" s="178"/>
      <c r="I1547" s="592">
        <f t="shared" si="64"/>
        <v>0</v>
      </c>
      <c r="J1547" s="178"/>
      <c r="K1547" s="178"/>
      <c r="L1547" s="275" t="str">
        <f>IF(H:H=0,"",IF(ISERROR(VLOOKUP(H:H,produtos_escape2!$A$2:$B$2794,2,FALSE)),"Código não cadastrado",(VLOOKUP(H:H,produtos_escape2!$A$2:$B$2794,2,FALSE))))</f>
        <v/>
      </c>
      <c r="M1547" s="593" t="str">
        <f>IF(H:H=0,"",IF(ISERROR(VLOOKUP(H:H,produtos_escape2!$A$2:$D$2794,2,FALSE)),"Código não cadastrado",(VLOOKUP(H:H,produtos_escape2!$A$2:$D$2794,4,FALSE))))</f>
        <v/>
      </c>
      <c r="N1547" s="486"/>
      <c r="O1547" s="176"/>
      <c r="P1547" s="486"/>
      <c r="Q1547" s="247"/>
      <c r="R1547" s="246">
        <f t="shared" si="63"/>
        <v>0</v>
      </c>
      <c r="S1547" s="177"/>
      <c r="T1547" s="182"/>
      <c r="U1547" s="177"/>
      <c r="V1547" s="177"/>
      <c r="W1547" s="177"/>
      <c r="X1547" s="176"/>
      <c r="Y1547" s="177"/>
      <c r="Z1547" s="415"/>
      <c r="AA1547" s="488"/>
      <c r="AB1547" s="594"/>
      <c r="AC1547" s="595"/>
      <c r="AD1547" s="596" t="str">
        <f>IF(AND(AC1547&lt;&gt;"",S1547&lt;&gt;""),NETWORKDAYS(AC1547,S1547,#REF!),"")</f>
        <v/>
      </c>
      <c r="AE1547" s="596" t="str">
        <f ca="1">IF(AND(AD1547="",AC1547=""),"",IF(OR(AD1547&lt;&gt;"",O1547="*CANCELADO"),"",NETWORKDAYS(AC1547,TODAY(),#REF!)))</f>
        <v/>
      </c>
      <c r="AF1547" s="597" t="str">
        <f>IFERROR(INDEX(produtos_escape2!M:M,MATCH(Controle!H1547,produtos_escape2!A:A,0)),"")</f>
        <v/>
      </c>
    </row>
    <row r="1548" spans="1:32" ht="14.25" customHeight="1">
      <c r="A1548" s="176"/>
      <c r="B1548" s="176"/>
      <c r="C1548" s="177"/>
      <c r="D1548" s="176"/>
      <c r="E1548" s="176"/>
      <c r="F1548" s="259"/>
      <c r="G1548" s="176"/>
      <c r="H1548" s="178"/>
      <c r="I1548" s="592">
        <f t="shared" si="64"/>
        <v>0</v>
      </c>
      <c r="J1548" s="178"/>
      <c r="K1548" s="178"/>
      <c r="L1548" s="275" t="str">
        <f>IF(H:H=0,"",IF(ISERROR(VLOOKUP(H:H,produtos_escape2!$A$2:$B$2794,2,FALSE)),"Código não cadastrado",(VLOOKUP(H:H,produtos_escape2!$A$2:$B$2794,2,FALSE))))</f>
        <v/>
      </c>
      <c r="M1548" s="593" t="str">
        <f>IF(H:H=0,"",IF(ISERROR(VLOOKUP(H:H,produtos_escape2!$A$2:$D$2794,2,FALSE)),"Código não cadastrado",(VLOOKUP(H:H,produtos_escape2!$A$2:$D$2794,4,FALSE))))</f>
        <v/>
      </c>
      <c r="N1548" s="486"/>
      <c r="O1548" s="176"/>
      <c r="P1548" s="486"/>
      <c r="Q1548" s="247"/>
      <c r="R1548" s="246">
        <f t="shared" si="63"/>
        <v>0</v>
      </c>
      <c r="S1548" s="177"/>
      <c r="T1548" s="182"/>
      <c r="U1548" s="177"/>
      <c r="V1548" s="177"/>
      <c r="W1548" s="177"/>
      <c r="X1548" s="176"/>
      <c r="Y1548" s="177"/>
      <c r="Z1548" s="415"/>
      <c r="AA1548" s="488"/>
      <c r="AB1548" s="594"/>
      <c r="AC1548" s="595"/>
      <c r="AD1548" s="596" t="str">
        <f>IF(AND(AC1548&lt;&gt;"",S1548&lt;&gt;""),NETWORKDAYS(AC1548,S1548,#REF!),"")</f>
        <v/>
      </c>
      <c r="AE1548" s="596" t="str">
        <f ca="1">IF(AND(AD1548="",AC1548=""),"",IF(OR(AD1548&lt;&gt;"",O1548="*CANCELADO"),"",NETWORKDAYS(AC1548,TODAY(),#REF!)))</f>
        <v/>
      </c>
      <c r="AF1548" s="597" t="str">
        <f>IFERROR(INDEX(produtos_escape2!M:M,MATCH(Controle!H1548,produtos_escape2!A:A,0)),"")</f>
        <v/>
      </c>
    </row>
    <row r="1549" spans="1:32" ht="14.25" customHeight="1">
      <c r="A1549" s="176"/>
      <c r="B1549" s="176"/>
      <c r="C1549" s="177"/>
      <c r="D1549" s="176"/>
      <c r="E1549" s="176"/>
      <c r="F1549" s="259"/>
      <c r="G1549" s="176"/>
      <c r="H1549" s="178"/>
      <c r="I1549" s="592">
        <f t="shared" si="64"/>
        <v>0</v>
      </c>
      <c r="J1549" s="178"/>
      <c r="K1549" s="178"/>
      <c r="L1549" s="275" t="str">
        <f>IF(H:H=0,"",IF(ISERROR(VLOOKUP(H:H,produtos_escape2!$A$2:$B$2794,2,FALSE)),"Código não cadastrado",(VLOOKUP(H:H,produtos_escape2!$A$2:$B$2794,2,FALSE))))</f>
        <v/>
      </c>
      <c r="M1549" s="593" t="str">
        <f>IF(H:H=0,"",IF(ISERROR(VLOOKUP(H:H,produtos_escape2!$A$2:$D$2794,2,FALSE)),"Código não cadastrado",(VLOOKUP(H:H,produtos_escape2!$A$2:$D$2794,4,FALSE))))</f>
        <v/>
      </c>
      <c r="N1549" s="486"/>
      <c r="O1549" s="176"/>
      <c r="P1549" s="486"/>
      <c r="Q1549" s="247"/>
      <c r="R1549" s="246">
        <f t="shared" si="63"/>
        <v>0</v>
      </c>
      <c r="S1549" s="177"/>
      <c r="T1549" s="182"/>
      <c r="U1549" s="177"/>
      <c r="V1549" s="177"/>
      <c r="W1549" s="177"/>
      <c r="X1549" s="176"/>
      <c r="Y1549" s="177"/>
      <c r="Z1549" s="415"/>
      <c r="AA1549" s="488"/>
      <c r="AB1549" s="594"/>
      <c r="AC1549" s="595"/>
      <c r="AD1549" s="596" t="str">
        <f>IF(AND(AC1549&lt;&gt;"",S1549&lt;&gt;""),NETWORKDAYS(AC1549,S1549,#REF!),"")</f>
        <v/>
      </c>
      <c r="AE1549" s="596" t="str">
        <f ca="1">IF(AND(AD1549="",AC1549=""),"",IF(OR(AD1549&lt;&gt;"",O1549="*CANCELADO"),"",NETWORKDAYS(AC1549,TODAY(),#REF!)))</f>
        <v/>
      </c>
      <c r="AF1549" s="597" t="str">
        <f>IFERROR(INDEX(produtos_escape2!M:M,MATCH(Controle!H1549,produtos_escape2!A:A,0)),"")</f>
        <v/>
      </c>
    </row>
    <row r="1550" spans="1:32" ht="14.25" customHeight="1">
      <c r="A1550" s="176"/>
      <c r="B1550" s="176"/>
      <c r="C1550" s="177"/>
      <c r="D1550" s="176"/>
      <c r="E1550" s="176"/>
      <c r="F1550" s="259"/>
      <c r="G1550" s="176"/>
      <c r="H1550" s="178"/>
      <c r="I1550" s="592">
        <f t="shared" si="64"/>
        <v>0</v>
      </c>
      <c r="J1550" s="178"/>
      <c r="K1550" s="178"/>
      <c r="L1550" s="275" t="str">
        <f>IF(H:H=0,"",IF(ISERROR(VLOOKUP(H:H,produtos_escape2!$A$2:$B$2794,2,FALSE)),"Código não cadastrado",(VLOOKUP(H:H,produtos_escape2!$A$2:$B$2794,2,FALSE))))</f>
        <v/>
      </c>
      <c r="M1550" s="593" t="str">
        <f>IF(H:H=0,"",IF(ISERROR(VLOOKUP(H:H,produtos_escape2!$A$2:$D$2794,2,FALSE)),"Código não cadastrado",(VLOOKUP(H:H,produtos_escape2!$A$2:$D$2794,4,FALSE))))</f>
        <v/>
      </c>
      <c r="N1550" s="486"/>
      <c r="O1550" s="176"/>
      <c r="P1550" s="486"/>
      <c r="Q1550" s="247"/>
      <c r="R1550" s="246">
        <f t="shared" si="63"/>
        <v>0</v>
      </c>
      <c r="S1550" s="177"/>
      <c r="T1550" s="182"/>
      <c r="U1550" s="177"/>
      <c r="V1550" s="177"/>
      <c r="W1550" s="177"/>
      <c r="X1550" s="176"/>
      <c r="Y1550" s="177"/>
      <c r="Z1550" s="415"/>
      <c r="AA1550" s="488"/>
      <c r="AB1550" s="594"/>
      <c r="AC1550" s="595"/>
      <c r="AD1550" s="596" t="str">
        <f>IF(AND(AC1550&lt;&gt;"",S1550&lt;&gt;""),NETWORKDAYS(AC1550,S1550,#REF!),"")</f>
        <v/>
      </c>
      <c r="AE1550" s="596" t="str">
        <f ca="1">IF(AND(AD1550="",AC1550=""),"",IF(OR(AD1550&lt;&gt;"",O1550="*CANCELADO"),"",NETWORKDAYS(AC1550,TODAY(),#REF!)))</f>
        <v/>
      </c>
      <c r="AF1550" s="597" t="str">
        <f>IFERROR(INDEX(produtos_escape2!M:M,MATCH(Controle!H1550,produtos_escape2!A:A,0)),"")</f>
        <v/>
      </c>
    </row>
    <row r="1551" spans="1:32" ht="14.25" customHeight="1">
      <c r="A1551" s="176"/>
      <c r="B1551" s="176"/>
      <c r="C1551" s="177"/>
      <c r="D1551" s="176"/>
      <c r="E1551" s="176"/>
      <c r="F1551" s="259"/>
      <c r="G1551" s="176"/>
      <c r="H1551" s="178"/>
      <c r="I1551" s="592">
        <f t="shared" si="64"/>
        <v>0</v>
      </c>
      <c r="J1551" s="178"/>
      <c r="K1551" s="178"/>
      <c r="L1551" s="275" t="str">
        <f>IF(H:H=0,"",IF(ISERROR(VLOOKUP(H:H,produtos_escape2!$A$2:$B$2794,2,FALSE)),"Código não cadastrado",(VLOOKUP(H:H,produtos_escape2!$A$2:$B$2794,2,FALSE))))</f>
        <v/>
      </c>
      <c r="M1551" s="593" t="str">
        <f>IF(H:H=0,"",IF(ISERROR(VLOOKUP(H:H,produtos_escape2!$A$2:$D$2794,2,FALSE)),"Código não cadastrado",(VLOOKUP(H:H,produtos_escape2!$A$2:$D$2794,4,FALSE))))</f>
        <v/>
      </c>
      <c r="N1551" s="486"/>
      <c r="O1551" s="176"/>
      <c r="P1551" s="486"/>
      <c r="Q1551" s="247"/>
      <c r="R1551" s="246">
        <f t="shared" si="63"/>
        <v>0</v>
      </c>
      <c r="S1551" s="177"/>
      <c r="T1551" s="182"/>
      <c r="U1551" s="177"/>
      <c r="V1551" s="177"/>
      <c r="W1551" s="177"/>
      <c r="X1551" s="176"/>
      <c r="Y1551" s="177"/>
      <c r="Z1551" s="415"/>
      <c r="AA1551" s="488"/>
      <c r="AB1551" s="594"/>
      <c r="AC1551" s="595"/>
      <c r="AD1551" s="596" t="str">
        <f>IF(AND(AC1551&lt;&gt;"",S1551&lt;&gt;""),NETWORKDAYS(AC1551,S1551,#REF!),"")</f>
        <v/>
      </c>
      <c r="AE1551" s="596" t="str">
        <f ca="1">IF(AND(AD1551="",AC1551=""),"",IF(OR(AD1551&lt;&gt;"",O1551="*CANCELADO"),"",NETWORKDAYS(AC1551,TODAY(),#REF!)))</f>
        <v/>
      </c>
      <c r="AF1551" s="597" t="str">
        <f>IFERROR(INDEX(produtos_escape2!M:M,MATCH(Controle!H1551,produtos_escape2!A:A,0)),"")</f>
        <v/>
      </c>
    </row>
    <row r="1552" spans="1:32" ht="14.25" customHeight="1">
      <c r="A1552" s="176"/>
      <c r="B1552" s="176"/>
      <c r="C1552" s="177"/>
      <c r="D1552" s="176"/>
      <c r="E1552" s="176"/>
      <c r="F1552" s="259"/>
      <c r="G1552" s="176"/>
      <c r="H1552" s="178"/>
      <c r="I1552" s="592">
        <f t="shared" si="64"/>
        <v>0</v>
      </c>
      <c r="J1552" s="178"/>
      <c r="K1552" s="178"/>
      <c r="L1552" s="275" t="str">
        <f>IF(H:H=0,"",IF(ISERROR(VLOOKUP(H:H,produtos_escape2!$A$2:$B$2794,2,FALSE)),"Código não cadastrado",(VLOOKUP(H:H,produtos_escape2!$A$2:$B$2794,2,FALSE))))</f>
        <v/>
      </c>
      <c r="M1552" s="593" t="str">
        <f>IF(H:H=0,"",IF(ISERROR(VLOOKUP(H:H,produtos_escape2!$A$2:$D$2794,2,FALSE)),"Código não cadastrado",(VLOOKUP(H:H,produtos_escape2!$A$2:$D$2794,4,FALSE))))</f>
        <v/>
      </c>
      <c r="N1552" s="486"/>
      <c r="O1552" s="176"/>
      <c r="P1552" s="486"/>
      <c r="Q1552" s="247"/>
      <c r="R1552" s="246">
        <f t="shared" si="63"/>
        <v>0</v>
      </c>
      <c r="S1552" s="177"/>
      <c r="T1552" s="182"/>
      <c r="U1552" s="177"/>
      <c r="V1552" s="177"/>
      <c r="W1552" s="177"/>
      <c r="X1552" s="176"/>
      <c r="Y1552" s="177"/>
      <c r="Z1552" s="415"/>
      <c r="AA1552" s="488"/>
      <c r="AB1552" s="594"/>
      <c r="AC1552" s="595"/>
      <c r="AD1552" s="596" t="str">
        <f>IF(AND(AC1552&lt;&gt;"",S1552&lt;&gt;""),NETWORKDAYS(AC1552,S1552,#REF!),"")</f>
        <v/>
      </c>
      <c r="AE1552" s="596" t="str">
        <f ca="1">IF(AND(AD1552="",AC1552=""),"",IF(OR(AD1552&lt;&gt;"",O1552="*CANCELADO"),"",NETWORKDAYS(AC1552,TODAY(),#REF!)))</f>
        <v/>
      </c>
      <c r="AF1552" s="597" t="str">
        <f>IFERROR(INDEX(produtos_escape2!M:M,MATCH(Controle!H1552,produtos_escape2!A:A,0)),"")</f>
        <v/>
      </c>
    </row>
    <row r="1553" spans="1:32" ht="14.25" customHeight="1">
      <c r="A1553" s="176"/>
      <c r="B1553" s="176"/>
      <c r="C1553" s="177"/>
      <c r="D1553" s="176"/>
      <c r="E1553" s="176"/>
      <c r="F1553" s="259"/>
      <c r="G1553" s="176"/>
      <c r="H1553" s="178"/>
      <c r="I1553" s="592">
        <f t="shared" si="64"/>
        <v>0</v>
      </c>
      <c r="J1553" s="178"/>
      <c r="K1553" s="178"/>
      <c r="L1553" s="275" t="str">
        <f>IF(H:H=0,"",IF(ISERROR(VLOOKUP(H:H,produtos_escape2!$A$2:$B$2794,2,FALSE)),"Código não cadastrado",(VLOOKUP(H:H,produtos_escape2!$A$2:$B$2794,2,FALSE))))</f>
        <v/>
      </c>
      <c r="M1553" s="593" t="str">
        <f>IF(H:H=0,"",IF(ISERROR(VLOOKUP(H:H,produtos_escape2!$A$2:$D$2794,2,FALSE)),"Código não cadastrado",(VLOOKUP(H:H,produtos_escape2!$A$2:$D$2794,4,FALSE))))</f>
        <v/>
      </c>
      <c r="N1553" s="486"/>
      <c r="O1553" s="176"/>
      <c r="P1553" s="486"/>
      <c r="Q1553" s="247"/>
      <c r="R1553" s="246">
        <f t="shared" si="63"/>
        <v>0</v>
      </c>
      <c r="S1553" s="177"/>
      <c r="T1553" s="182"/>
      <c r="U1553" s="177"/>
      <c r="V1553" s="177"/>
      <c r="W1553" s="177"/>
      <c r="X1553" s="176"/>
      <c r="Y1553" s="177"/>
      <c r="Z1553" s="415"/>
      <c r="AA1553" s="488"/>
      <c r="AB1553" s="594"/>
      <c r="AC1553" s="595"/>
      <c r="AD1553" s="596" t="str">
        <f>IF(AND(AC1553&lt;&gt;"",S1553&lt;&gt;""),NETWORKDAYS(AC1553,S1553,#REF!),"")</f>
        <v/>
      </c>
      <c r="AE1553" s="596" t="str">
        <f ca="1">IF(AND(AD1553="",AC1553=""),"",IF(OR(AD1553&lt;&gt;"",O1553="*CANCELADO"),"",NETWORKDAYS(AC1553,TODAY(),#REF!)))</f>
        <v/>
      </c>
      <c r="AF1553" s="597" t="str">
        <f>IFERROR(INDEX(produtos_escape2!M:M,MATCH(Controle!H1553,produtos_escape2!A:A,0)),"")</f>
        <v/>
      </c>
    </row>
    <row r="1554" spans="1:32" ht="14.25" customHeight="1">
      <c r="A1554" s="176"/>
      <c r="B1554" s="176"/>
      <c r="C1554" s="177"/>
      <c r="D1554" s="176"/>
      <c r="E1554" s="176"/>
      <c r="F1554" s="259"/>
      <c r="G1554" s="176"/>
      <c r="H1554" s="178"/>
      <c r="I1554" s="592">
        <f t="shared" si="64"/>
        <v>0</v>
      </c>
      <c r="J1554" s="178"/>
      <c r="K1554" s="178"/>
      <c r="L1554" s="275" t="str">
        <f>IF(H:H=0,"",IF(ISERROR(VLOOKUP(H:H,produtos_escape2!$A$2:$B$2794,2,FALSE)),"Código não cadastrado",(VLOOKUP(H:H,produtos_escape2!$A$2:$B$2794,2,FALSE))))</f>
        <v/>
      </c>
      <c r="M1554" s="593" t="str">
        <f>IF(H:H=0,"",IF(ISERROR(VLOOKUP(H:H,produtos_escape2!$A$2:$D$2794,2,FALSE)),"Código não cadastrado",(VLOOKUP(H:H,produtos_escape2!$A$2:$D$2794,4,FALSE))))</f>
        <v/>
      </c>
      <c r="N1554" s="486"/>
      <c r="O1554" s="176"/>
      <c r="P1554" s="486"/>
      <c r="Q1554" s="247"/>
      <c r="R1554" s="246">
        <f t="shared" si="63"/>
        <v>0</v>
      </c>
      <c r="S1554" s="177"/>
      <c r="T1554" s="182"/>
      <c r="U1554" s="177"/>
      <c r="V1554" s="177"/>
      <c r="W1554" s="177"/>
      <c r="X1554" s="176"/>
      <c r="Y1554" s="177"/>
      <c r="Z1554" s="415"/>
      <c r="AA1554" s="488"/>
      <c r="AB1554" s="594"/>
      <c r="AC1554" s="595"/>
      <c r="AD1554" s="596" t="str">
        <f>IF(AND(AC1554&lt;&gt;"",S1554&lt;&gt;""),NETWORKDAYS(AC1554,S1554,#REF!),"")</f>
        <v/>
      </c>
      <c r="AE1554" s="596" t="str">
        <f ca="1">IF(AND(AD1554="",AC1554=""),"",IF(OR(AD1554&lt;&gt;"",O1554="*CANCELADO"),"",NETWORKDAYS(AC1554,TODAY(),#REF!)))</f>
        <v/>
      </c>
      <c r="AF1554" s="597" t="str">
        <f>IFERROR(INDEX(produtos_escape2!M:M,MATCH(Controle!H1554,produtos_escape2!A:A,0)),"")</f>
        <v/>
      </c>
    </row>
    <row r="1555" spans="1:32" ht="14.25" customHeight="1">
      <c r="A1555" s="176"/>
      <c r="B1555" s="176"/>
      <c r="C1555" s="177"/>
      <c r="D1555" s="176"/>
      <c r="E1555" s="176"/>
      <c r="F1555" s="259"/>
      <c r="G1555" s="176"/>
      <c r="H1555" s="178"/>
      <c r="I1555" s="592">
        <f t="shared" si="64"/>
        <v>0</v>
      </c>
      <c r="J1555" s="178"/>
      <c r="K1555" s="178"/>
      <c r="L1555" s="275" t="str">
        <f>IF(H:H=0,"",IF(ISERROR(VLOOKUP(H:H,produtos_escape2!$A$2:$B$2794,2,FALSE)),"Código não cadastrado",(VLOOKUP(H:H,produtos_escape2!$A$2:$B$2794,2,FALSE))))</f>
        <v/>
      </c>
      <c r="M1555" s="593" t="str">
        <f>IF(H:H=0,"",IF(ISERROR(VLOOKUP(H:H,produtos_escape2!$A$2:$D$2794,2,FALSE)),"Código não cadastrado",(VLOOKUP(H:H,produtos_escape2!$A$2:$D$2794,4,FALSE))))</f>
        <v/>
      </c>
      <c r="N1555" s="486"/>
      <c r="O1555" s="176"/>
      <c r="P1555" s="486"/>
      <c r="Q1555" s="247"/>
      <c r="R1555" s="246">
        <f t="shared" si="63"/>
        <v>0</v>
      </c>
      <c r="S1555" s="177"/>
      <c r="T1555" s="182"/>
      <c r="U1555" s="177"/>
      <c r="V1555" s="177"/>
      <c r="W1555" s="177"/>
      <c r="X1555" s="176"/>
      <c r="Y1555" s="177"/>
      <c r="Z1555" s="415"/>
      <c r="AA1555" s="488"/>
      <c r="AB1555" s="594"/>
      <c r="AC1555" s="595"/>
      <c r="AD1555" s="596" t="str">
        <f>IF(AND(AC1555&lt;&gt;"",S1555&lt;&gt;""),NETWORKDAYS(AC1555,S1555,#REF!),"")</f>
        <v/>
      </c>
      <c r="AE1555" s="596" t="str">
        <f ca="1">IF(AND(AD1555="",AC1555=""),"",IF(OR(AD1555&lt;&gt;"",O1555="*CANCELADO"),"",NETWORKDAYS(AC1555,TODAY(),#REF!)))</f>
        <v/>
      </c>
      <c r="AF1555" s="597" t="str">
        <f>IFERROR(INDEX(produtos_escape2!M:M,MATCH(Controle!H1555,produtos_escape2!A:A,0)),"")</f>
        <v/>
      </c>
    </row>
    <row r="1556" spans="1:32" ht="14.25" customHeight="1">
      <c r="A1556" s="176"/>
      <c r="B1556" s="176"/>
      <c r="C1556" s="177"/>
      <c r="D1556" s="176"/>
      <c r="E1556" s="176"/>
      <c r="F1556" s="259"/>
      <c r="G1556" s="176"/>
      <c r="H1556" s="178"/>
      <c r="I1556" s="592">
        <f t="shared" si="64"/>
        <v>0</v>
      </c>
      <c r="J1556" s="178"/>
      <c r="K1556" s="178"/>
      <c r="L1556" s="275" t="str">
        <f>IF(H:H=0,"",IF(ISERROR(VLOOKUP(H:H,produtos_escape2!$A$2:$B$2794,2,FALSE)),"Código não cadastrado",(VLOOKUP(H:H,produtos_escape2!$A$2:$B$2794,2,FALSE))))</f>
        <v/>
      </c>
      <c r="M1556" s="593" t="str">
        <f>IF(H:H=0,"",IF(ISERROR(VLOOKUP(H:H,produtos_escape2!$A$2:$D$2794,2,FALSE)),"Código não cadastrado",(VLOOKUP(H:H,produtos_escape2!$A$2:$D$2794,4,FALSE))))</f>
        <v/>
      </c>
      <c r="N1556" s="486"/>
      <c r="O1556" s="176"/>
      <c r="P1556" s="486"/>
      <c r="Q1556" s="247"/>
      <c r="R1556" s="246">
        <f t="shared" si="63"/>
        <v>0</v>
      </c>
      <c r="S1556" s="177"/>
      <c r="T1556" s="182"/>
      <c r="U1556" s="177"/>
      <c r="V1556" s="177"/>
      <c r="W1556" s="177"/>
      <c r="X1556" s="176"/>
      <c r="Y1556" s="177"/>
      <c r="Z1556" s="415"/>
      <c r="AA1556" s="488"/>
      <c r="AB1556" s="594"/>
      <c r="AC1556" s="595"/>
      <c r="AD1556" s="596" t="str">
        <f>IF(AND(AC1556&lt;&gt;"",S1556&lt;&gt;""),NETWORKDAYS(AC1556,S1556,#REF!),"")</f>
        <v/>
      </c>
      <c r="AE1556" s="596" t="str">
        <f ca="1">IF(AND(AD1556="",AC1556=""),"",IF(OR(AD1556&lt;&gt;"",O1556="*CANCELADO"),"",NETWORKDAYS(AC1556,TODAY(),#REF!)))</f>
        <v/>
      </c>
      <c r="AF1556" s="597" t="str">
        <f>IFERROR(INDEX(produtos_escape2!M:M,MATCH(Controle!H1556,produtos_escape2!A:A,0)),"")</f>
        <v/>
      </c>
    </row>
    <row r="1557" spans="1:32" ht="14.25" customHeight="1">
      <c r="A1557" s="176"/>
      <c r="B1557" s="176"/>
      <c r="C1557" s="177"/>
      <c r="D1557" s="176"/>
      <c r="E1557" s="176"/>
      <c r="F1557" s="259"/>
      <c r="G1557" s="176"/>
      <c r="H1557" s="178"/>
      <c r="I1557" s="592">
        <f t="shared" si="64"/>
        <v>0</v>
      </c>
      <c r="J1557" s="178"/>
      <c r="K1557" s="178"/>
      <c r="L1557" s="275" t="str">
        <f>IF(H:H=0,"",IF(ISERROR(VLOOKUP(H:H,produtos_escape2!$A$2:$B$2794,2,FALSE)),"Código não cadastrado",(VLOOKUP(H:H,produtos_escape2!$A$2:$B$2794,2,FALSE))))</f>
        <v/>
      </c>
      <c r="M1557" s="593" t="str">
        <f>IF(H:H=0,"",IF(ISERROR(VLOOKUP(H:H,produtos_escape2!$A$2:$D$2794,2,FALSE)),"Código não cadastrado",(VLOOKUP(H:H,produtos_escape2!$A$2:$D$2794,4,FALSE))))</f>
        <v/>
      </c>
      <c r="N1557" s="486"/>
      <c r="O1557" s="176"/>
      <c r="P1557" s="486"/>
      <c r="Q1557" s="247"/>
      <c r="R1557" s="246">
        <f t="shared" si="63"/>
        <v>0</v>
      </c>
      <c r="S1557" s="177"/>
      <c r="T1557" s="182"/>
      <c r="U1557" s="177"/>
      <c r="V1557" s="177"/>
      <c r="W1557" s="177"/>
      <c r="X1557" s="176"/>
      <c r="Y1557" s="177"/>
      <c r="Z1557" s="415"/>
      <c r="AA1557" s="488"/>
      <c r="AB1557" s="594"/>
      <c r="AC1557" s="595"/>
      <c r="AD1557" s="596" t="str">
        <f>IF(AND(AC1557&lt;&gt;"",S1557&lt;&gt;""),NETWORKDAYS(AC1557,S1557,#REF!),"")</f>
        <v/>
      </c>
      <c r="AE1557" s="596" t="str">
        <f ca="1">IF(AND(AD1557="",AC1557=""),"",IF(OR(AD1557&lt;&gt;"",O1557="*CANCELADO"),"",NETWORKDAYS(AC1557,TODAY(),#REF!)))</f>
        <v/>
      </c>
      <c r="AF1557" s="597" t="str">
        <f>IFERROR(INDEX(produtos_escape2!M:M,MATCH(Controle!H1557,produtos_escape2!A:A,0)),"")</f>
        <v/>
      </c>
    </row>
    <row r="1558" spans="1:32" ht="14.25" customHeight="1">
      <c r="A1558" s="176"/>
      <c r="B1558" s="176"/>
      <c r="C1558" s="177"/>
      <c r="D1558" s="176"/>
      <c r="E1558" s="176"/>
      <c r="F1558" s="259"/>
      <c r="G1558" s="176"/>
      <c r="H1558" s="178"/>
      <c r="I1558" s="592">
        <f t="shared" si="64"/>
        <v>0</v>
      </c>
      <c r="J1558" s="178"/>
      <c r="K1558" s="178"/>
      <c r="L1558" s="275" t="str">
        <f>IF(H:H=0,"",IF(ISERROR(VLOOKUP(H:H,produtos_escape2!$A$2:$B$2794,2,FALSE)),"Código não cadastrado",(VLOOKUP(H:H,produtos_escape2!$A$2:$B$2794,2,FALSE))))</f>
        <v/>
      </c>
      <c r="M1558" s="593" t="str">
        <f>IF(H:H=0,"",IF(ISERROR(VLOOKUP(H:H,produtos_escape2!$A$2:$D$2794,2,FALSE)),"Código não cadastrado",(VLOOKUP(H:H,produtos_escape2!$A$2:$D$2794,4,FALSE))))</f>
        <v/>
      </c>
      <c r="N1558" s="486"/>
      <c r="O1558" s="176"/>
      <c r="P1558" s="486"/>
      <c r="Q1558" s="247"/>
      <c r="R1558" s="246">
        <f t="shared" si="63"/>
        <v>0</v>
      </c>
      <c r="S1558" s="177"/>
      <c r="T1558" s="182"/>
      <c r="U1558" s="177"/>
      <c r="V1558" s="177"/>
      <c r="W1558" s="177"/>
      <c r="X1558" s="176"/>
      <c r="Y1558" s="177"/>
      <c r="Z1558" s="415"/>
      <c r="AA1558" s="488"/>
      <c r="AB1558" s="594"/>
      <c r="AC1558" s="595"/>
      <c r="AD1558" s="596" t="str">
        <f>IF(AND(AC1558&lt;&gt;"",S1558&lt;&gt;""),NETWORKDAYS(AC1558,S1558,#REF!),"")</f>
        <v/>
      </c>
      <c r="AE1558" s="596" t="str">
        <f ca="1">IF(AND(AD1558="",AC1558=""),"",IF(OR(AD1558&lt;&gt;"",O1558="*CANCELADO"),"",NETWORKDAYS(AC1558,TODAY(),#REF!)))</f>
        <v/>
      </c>
      <c r="AF1558" s="597" t="str">
        <f>IFERROR(INDEX(produtos_escape2!M:M,MATCH(Controle!H1558,produtos_escape2!A:A,0)),"")</f>
        <v/>
      </c>
    </row>
    <row r="1559" spans="1:32" ht="14.25" customHeight="1">
      <c r="A1559" s="176"/>
      <c r="B1559" s="176"/>
      <c r="C1559" s="177"/>
      <c r="D1559" s="176"/>
      <c r="E1559" s="176"/>
      <c r="F1559" s="259"/>
      <c r="G1559" s="176"/>
      <c r="H1559" s="178"/>
      <c r="I1559" s="592">
        <f t="shared" si="64"/>
        <v>0</v>
      </c>
      <c r="J1559" s="178"/>
      <c r="K1559" s="178"/>
      <c r="L1559" s="275" t="str">
        <f>IF(H:H=0,"",IF(ISERROR(VLOOKUP(H:H,produtos_escape2!$A$2:$B$2794,2,FALSE)),"Código não cadastrado",(VLOOKUP(H:H,produtos_escape2!$A$2:$B$2794,2,FALSE))))</f>
        <v/>
      </c>
      <c r="M1559" s="593" t="str">
        <f>IF(H:H=0,"",IF(ISERROR(VLOOKUP(H:H,produtos_escape2!$A$2:$D$2794,2,FALSE)),"Código não cadastrado",(VLOOKUP(H:H,produtos_escape2!$A$2:$D$2794,4,FALSE))))</f>
        <v/>
      </c>
      <c r="N1559" s="486"/>
      <c r="O1559" s="176"/>
      <c r="P1559" s="486"/>
      <c r="Q1559" s="247"/>
      <c r="R1559" s="246">
        <f t="shared" si="63"/>
        <v>0</v>
      </c>
      <c r="S1559" s="177"/>
      <c r="T1559" s="182"/>
      <c r="U1559" s="177"/>
      <c r="V1559" s="177"/>
      <c r="W1559" s="177"/>
      <c r="X1559" s="176"/>
      <c r="Y1559" s="177"/>
      <c r="Z1559" s="415"/>
      <c r="AA1559" s="488"/>
      <c r="AB1559" s="594"/>
      <c r="AC1559" s="595"/>
      <c r="AD1559" s="596" t="str">
        <f>IF(AND(AC1559&lt;&gt;"",S1559&lt;&gt;""),NETWORKDAYS(AC1559,S1559,#REF!),"")</f>
        <v/>
      </c>
      <c r="AE1559" s="596" t="str">
        <f ca="1">IF(AND(AD1559="",AC1559=""),"",IF(OR(AD1559&lt;&gt;"",O1559="*CANCELADO"),"",NETWORKDAYS(AC1559,TODAY(),#REF!)))</f>
        <v/>
      </c>
      <c r="AF1559" s="597" t="str">
        <f>IFERROR(INDEX(produtos_escape2!M:M,MATCH(Controle!H1559,produtos_escape2!A:A,0)),"")</f>
        <v/>
      </c>
    </row>
    <row r="1560" spans="1:32" ht="14.25" customHeight="1">
      <c r="A1560" s="176"/>
      <c r="B1560" s="176"/>
      <c r="C1560" s="177"/>
      <c r="D1560" s="176"/>
      <c r="E1560" s="176"/>
      <c r="F1560" s="259"/>
      <c r="G1560" s="176"/>
      <c r="H1560" s="178"/>
      <c r="I1560" s="592">
        <f t="shared" si="64"/>
        <v>0</v>
      </c>
      <c r="J1560" s="178"/>
      <c r="K1560" s="178"/>
      <c r="L1560" s="275" t="str">
        <f>IF(H:H=0,"",IF(ISERROR(VLOOKUP(H:H,produtos_escape2!$A$2:$B$2794,2,FALSE)),"Código não cadastrado",(VLOOKUP(H:H,produtos_escape2!$A$2:$B$2794,2,FALSE))))</f>
        <v/>
      </c>
      <c r="M1560" s="593" t="str">
        <f>IF(H:H=0,"",IF(ISERROR(VLOOKUP(H:H,produtos_escape2!$A$2:$D$2794,2,FALSE)),"Código não cadastrado",(VLOOKUP(H:H,produtos_escape2!$A$2:$D$2794,4,FALSE))))</f>
        <v/>
      </c>
      <c r="N1560" s="486"/>
      <c r="O1560" s="176"/>
      <c r="P1560" s="486"/>
      <c r="Q1560" s="247"/>
      <c r="R1560" s="246">
        <f t="shared" si="63"/>
        <v>0</v>
      </c>
      <c r="S1560" s="177"/>
      <c r="T1560" s="182"/>
      <c r="U1560" s="177"/>
      <c r="V1560" s="177"/>
      <c r="W1560" s="177"/>
      <c r="X1560" s="176"/>
      <c r="Y1560" s="177"/>
      <c r="Z1560" s="415"/>
      <c r="AA1560" s="488"/>
      <c r="AB1560" s="594"/>
      <c r="AC1560" s="595"/>
      <c r="AD1560" s="596" t="str">
        <f>IF(AND(AC1560&lt;&gt;"",S1560&lt;&gt;""),NETWORKDAYS(AC1560,S1560,#REF!),"")</f>
        <v/>
      </c>
      <c r="AE1560" s="596" t="str">
        <f ca="1">IF(AND(AD1560="",AC1560=""),"",IF(OR(AD1560&lt;&gt;"",O1560="*CANCELADO"),"",NETWORKDAYS(AC1560,TODAY(),#REF!)))</f>
        <v/>
      </c>
      <c r="AF1560" s="597" t="str">
        <f>IFERROR(INDEX(produtos_escape2!M:M,MATCH(Controle!H1560,produtos_escape2!A:A,0)),"")</f>
        <v/>
      </c>
    </row>
    <row r="1561" spans="1:32" ht="14.25" customHeight="1">
      <c r="A1561" s="176"/>
      <c r="B1561" s="176"/>
      <c r="C1561" s="177"/>
      <c r="D1561" s="176"/>
      <c r="E1561" s="176"/>
      <c r="F1561" s="259"/>
      <c r="G1561" s="176"/>
      <c r="H1561" s="178"/>
      <c r="I1561" s="592">
        <f t="shared" si="64"/>
        <v>0</v>
      </c>
      <c r="J1561" s="178"/>
      <c r="K1561" s="178"/>
      <c r="L1561" s="275" t="str">
        <f>IF(H:H=0,"",IF(ISERROR(VLOOKUP(H:H,produtos_escape2!$A$2:$B$2794,2,FALSE)),"Código não cadastrado",(VLOOKUP(H:H,produtos_escape2!$A$2:$B$2794,2,FALSE))))</f>
        <v/>
      </c>
      <c r="M1561" s="593" t="str">
        <f>IF(H:H=0,"",IF(ISERROR(VLOOKUP(H:H,produtos_escape2!$A$2:$D$2794,2,FALSE)),"Código não cadastrado",(VLOOKUP(H:H,produtos_escape2!$A$2:$D$2794,4,FALSE))))</f>
        <v/>
      </c>
      <c r="N1561" s="486"/>
      <c r="O1561" s="176"/>
      <c r="P1561" s="486"/>
      <c r="Q1561" s="247"/>
      <c r="R1561" s="246">
        <f t="shared" si="63"/>
        <v>0</v>
      </c>
      <c r="S1561" s="177"/>
      <c r="T1561" s="182"/>
      <c r="U1561" s="177"/>
      <c r="V1561" s="177"/>
      <c r="W1561" s="177"/>
      <c r="X1561" s="176"/>
      <c r="Y1561" s="177"/>
      <c r="Z1561" s="415"/>
      <c r="AA1561" s="488"/>
      <c r="AB1561" s="594"/>
      <c r="AC1561" s="595"/>
      <c r="AD1561" s="596" t="str">
        <f>IF(AND(AC1561&lt;&gt;"",S1561&lt;&gt;""),NETWORKDAYS(AC1561,S1561,#REF!),"")</f>
        <v/>
      </c>
      <c r="AE1561" s="596" t="str">
        <f ca="1">IF(AND(AD1561="",AC1561=""),"",IF(OR(AD1561&lt;&gt;"",O1561="*CANCELADO"),"",NETWORKDAYS(AC1561,TODAY(),#REF!)))</f>
        <v/>
      </c>
      <c r="AF1561" s="597" t="str">
        <f>IFERROR(INDEX(produtos_escape2!M:M,MATCH(Controle!H1561,produtos_escape2!A:A,0)),"")</f>
        <v/>
      </c>
    </row>
    <row r="1562" spans="1:32" ht="14.25" customHeight="1">
      <c r="A1562" s="176"/>
      <c r="B1562" s="176"/>
      <c r="C1562" s="177"/>
      <c r="D1562" s="176"/>
      <c r="E1562" s="176"/>
      <c r="F1562" s="259"/>
      <c r="G1562" s="176"/>
      <c r="H1562" s="178"/>
      <c r="I1562" s="592">
        <f t="shared" si="64"/>
        <v>0</v>
      </c>
      <c r="J1562" s="178"/>
      <c r="K1562" s="178"/>
      <c r="L1562" s="275" t="str">
        <f>IF(H:H=0,"",IF(ISERROR(VLOOKUP(H:H,produtos_escape2!$A$2:$B$2794,2,FALSE)),"Código não cadastrado",(VLOOKUP(H:H,produtos_escape2!$A$2:$B$2794,2,FALSE))))</f>
        <v/>
      </c>
      <c r="M1562" s="593" t="str">
        <f>IF(H:H=0,"",IF(ISERROR(VLOOKUP(H:H,produtos_escape2!$A$2:$D$2794,2,FALSE)),"Código não cadastrado",(VLOOKUP(H:H,produtos_escape2!$A$2:$D$2794,4,FALSE))))</f>
        <v/>
      </c>
      <c r="N1562" s="486"/>
      <c r="O1562" s="176"/>
      <c r="P1562" s="486"/>
      <c r="Q1562" s="247"/>
      <c r="R1562" s="246">
        <f t="shared" si="63"/>
        <v>0</v>
      </c>
      <c r="S1562" s="177"/>
      <c r="T1562" s="182"/>
      <c r="U1562" s="177"/>
      <c r="V1562" s="177"/>
      <c r="W1562" s="177"/>
      <c r="X1562" s="176"/>
      <c r="Y1562" s="177"/>
      <c r="Z1562" s="415"/>
      <c r="AA1562" s="488"/>
      <c r="AB1562" s="594"/>
      <c r="AC1562" s="595"/>
      <c r="AD1562" s="596" t="str">
        <f>IF(AND(AC1562&lt;&gt;"",S1562&lt;&gt;""),NETWORKDAYS(AC1562,S1562,#REF!),"")</f>
        <v/>
      </c>
      <c r="AE1562" s="596" t="str">
        <f ca="1">IF(AND(AD1562="",AC1562=""),"",IF(OR(AD1562&lt;&gt;"",O1562="*CANCELADO"),"",NETWORKDAYS(AC1562,TODAY(),#REF!)))</f>
        <v/>
      </c>
      <c r="AF1562" s="597" t="str">
        <f>IFERROR(INDEX(produtos_escape2!M:M,MATCH(Controle!H1562,produtos_escape2!A:A,0)),"")</f>
        <v/>
      </c>
    </row>
    <row r="1563" spans="1:32" ht="14.25" customHeight="1">
      <c r="A1563" s="176"/>
      <c r="B1563" s="176"/>
      <c r="C1563" s="177"/>
      <c r="D1563" s="176"/>
      <c r="E1563" s="176"/>
      <c r="F1563" s="259"/>
      <c r="G1563" s="176"/>
      <c r="H1563" s="178"/>
      <c r="I1563" s="592">
        <f t="shared" si="64"/>
        <v>0</v>
      </c>
      <c r="J1563" s="178"/>
      <c r="K1563" s="178"/>
      <c r="L1563" s="275" t="str">
        <f>IF(H:H=0,"",IF(ISERROR(VLOOKUP(H:H,produtos_escape2!$A$2:$B$2794,2,FALSE)),"Código não cadastrado",(VLOOKUP(H:H,produtos_escape2!$A$2:$B$2794,2,FALSE))))</f>
        <v/>
      </c>
      <c r="M1563" s="593" t="str">
        <f>IF(H:H=0,"",IF(ISERROR(VLOOKUP(H:H,produtos_escape2!$A$2:$D$2794,2,FALSE)),"Código não cadastrado",(VLOOKUP(H:H,produtos_escape2!$A$2:$D$2794,4,FALSE))))</f>
        <v/>
      </c>
      <c r="N1563" s="486"/>
      <c r="O1563" s="176"/>
      <c r="P1563" s="486"/>
      <c r="Q1563" s="247"/>
      <c r="R1563" s="246">
        <f t="shared" si="63"/>
        <v>0</v>
      </c>
      <c r="S1563" s="177"/>
      <c r="T1563" s="182"/>
      <c r="U1563" s="177"/>
      <c r="V1563" s="177"/>
      <c r="W1563" s="177"/>
      <c r="X1563" s="176"/>
      <c r="Y1563" s="177"/>
      <c r="Z1563" s="415"/>
      <c r="AA1563" s="488"/>
      <c r="AB1563" s="594"/>
      <c r="AC1563" s="595"/>
      <c r="AD1563" s="596" t="str">
        <f>IF(AND(AC1563&lt;&gt;"",S1563&lt;&gt;""),NETWORKDAYS(AC1563,S1563,#REF!),"")</f>
        <v/>
      </c>
      <c r="AE1563" s="596" t="str">
        <f ca="1">IF(AND(AD1563="",AC1563=""),"",IF(OR(AD1563&lt;&gt;"",O1563="*CANCELADO"),"",NETWORKDAYS(AC1563,TODAY(),#REF!)))</f>
        <v/>
      </c>
      <c r="AF1563" s="597" t="str">
        <f>IFERROR(INDEX(produtos_escape2!M:M,MATCH(Controle!H1563,produtos_escape2!A:A,0)),"")</f>
        <v/>
      </c>
    </row>
    <row r="1564" spans="1:32" ht="14.25" customHeight="1">
      <c r="A1564" s="176"/>
      <c r="B1564" s="176"/>
      <c r="C1564" s="177"/>
      <c r="D1564" s="176"/>
      <c r="E1564" s="176"/>
      <c r="F1564" s="259"/>
      <c r="G1564" s="176"/>
      <c r="H1564" s="178"/>
      <c r="I1564" s="592">
        <f t="shared" si="64"/>
        <v>0</v>
      </c>
      <c r="J1564" s="178"/>
      <c r="K1564" s="178"/>
      <c r="L1564" s="275" t="str">
        <f>IF(H:H=0,"",IF(ISERROR(VLOOKUP(H:H,produtos_escape2!$A$2:$B$2794,2,FALSE)),"Código não cadastrado",(VLOOKUP(H:H,produtos_escape2!$A$2:$B$2794,2,FALSE))))</f>
        <v/>
      </c>
      <c r="M1564" s="593" t="str">
        <f>IF(H:H=0,"",IF(ISERROR(VLOOKUP(H:H,produtos_escape2!$A$2:$D$2794,2,FALSE)),"Código não cadastrado",(VLOOKUP(H:H,produtos_escape2!$A$2:$D$2794,4,FALSE))))</f>
        <v/>
      </c>
      <c r="N1564" s="486"/>
      <c r="O1564" s="176"/>
      <c r="P1564" s="486"/>
      <c r="Q1564" s="247"/>
      <c r="R1564" s="246">
        <f t="shared" si="63"/>
        <v>0</v>
      </c>
      <c r="S1564" s="177"/>
      <c r="T1564" s="182"/>
      <c r="U1564" s="177"/>
      <c r="V1564" s="177"/>
      <c r="W1564" s="177"/>
      <c r="X1564" s="176"/>
      <c r="Y1564" s="177"/>
      <c r="Z1564" s="415"/>
      <c r="AA1564" s="488"/>
      <c r="AB1564" s="594"/>
      <c r="AC1564" s="595"/>
      <c r="AD1564" s="596" t="str">
        <f>IF(AND(AC1564&lt;&gt;"",S1564&lt;&gt;""),NETWORKDAYS(AC1564,S1564,#REF!),"")</f>
        <v/>
      </c>
      <c r="AE1564" s="596" t="str">
        <f ca="1">IF(AND(AD1564="",AC1564=""),"",IF(OR(AD1564&lt;&gt;"",O1564="*CANCELADO"),"",NETWORKDAYS(AC1564,TODAY(),#REF!)))</f>
        <v/>
      </c>
      <c r="AF1564" s="597" t="str">
        <f>IFERROR(INDEX(produtos_escape2!M:M,MATCH(Controle!H1564,produtos_escape2!A:A,0)),"")</f>
        <v/>
      </c>
    </row>
    <row r="1565" spans="1:32" ht="14.25" customHeight="1">
      <c r="A1565" s="176"/>
      <c r="B1565" s="176"/>
      <c r="C1565" s="177"/>
      <c r="D1565" s="176"/>
      <c r="E1565" s="176"/>
      <c r="F1565" s="259"/>
      <c r="G1565" s="176"/>
      <c r="H1565" s="178"/>
      <c r="I1565" s="592">
        <f t="shared" si="64"/>
        <v>0</v>
      </c>
      <c r="J1565" s="178"/>
      <c r="K1565" s="178"/>
      <c r="L1565" s="275" t="str">
        <f>IF(H:H=0,"",IF(ISERROR(VLOOKUP(H:H,produtos_escape2!$A$2:$B$2794,2,FALSE)),"Código não cadastrado",(VLOOKUP(H:H,produtos_escape2!$A$2:$B$2794,2,FALSE))))</f>
        <v/>
      </c>
      <c r="M1565" s="593" t="str">
        <f>IF(H:H=0,"",IF(ISERROR(VLOOKUP(H:H,produtos_escape2!$A$2:$D$2794,2,FALSE)),"Código não cadastrado",(VLOOKUP(H:H,produtos_escape2!$A$2:$D$2794,4,FALSE))))</f>
        <v/>
      </c>
      <c r="N1565" s="486"/>
      <c r="O1565" s="176"/>
      <c r="P1565" s="486"/>
      <c r="Q1565" s="247"/>
      <c r="R1565" s="246">
        <f t="shared" si="63"/>
        <v>0</v>
      </c>
      <c r="S1565" s="177"/>
      <c r="T1565" s="182"/>
      <c r="U1565" s="177"/>
      <c r="V1565" s="177"/>
      <c r="W1565" s="177"/>
      <c r="X1565" s="176"/>
      <c r="Y1565" s="177"/>
      <c r="Z1565" s="415"/>
      <c r="AA1565" s="488"/>
      <c r="AB1565" s="594"/>
      <c r="AC1565" s="595"/>
      <c r="AD1565" s="596" t="str">
        <f>IF(AND(AC1565&lt;&gt;"",S1565&lt;&gt;""),NETWORKDAYS(AC1565,S1565,#REF!),"")</f>
        <v/>
      </c>
      <c r="AE1565" s="596" t="str">
        <f ca="1">IF(AND(AD1565="",AC1565=""),"",IF(OR(AD1565&lt;&gt;"",O1565="*CANCELADO"),"",NETWORKDAYS(AC1565,TODAY(),#REF!)))</f>
        <v/>
      </c>
      <c r="AF1565" s="597" t="str">
        <f>IFERROR(INDEX(produtos_escape2!M:M,MATCH(Controle!H1565,produtos_escape2!A:A,0)),"")</f>
        <v/>
      </c>
    </row>
    <row r="1566" spans="1:32" ht="14.25" customHeight="1">
      <c r="A1566" s="176"/>
      <c r="B1566" s="176"/>
      <c r="C1566" s="177"/>
      <c r="D1566" s="176"/>
      <c r="E1566" s="176"/>
      <c r="F1566" s="259"/>
      <c r="G1566" s="176"/>
      <c r="H1566" s="178"/>
      <c r="I1566" s="592">
        <f t="shared" si="64"/>
        <v>0</v>
      </c>
      <c r="J1566" s="178"/>
      <c r="K1566" s="178"/>
      <c r="L1566" s="275" t="str">
        <f>IF(H:H=0,"",IF(ISERROR(VLOOKUP(H:H,produtos_escape2!$A$2:$B$2794,2,FALSE)),"Código não cadastrado",(VLOOKUP(H:H,produtos_escape2!$A$2:$B$2794,2,FALSE))))</f>
        <v/>
      </c>
      <c r="M1566" s="593" t="str">
        <f>IF(H:H=0,"",IF(ISERROR(VLOOKUP(H:H,produtos_escape2!$A$2:$D$2794,2,FALSE)),"Código não cadastrado",(VLOOKUP(H:H,produtos_escape2!$A$2:$D$2794,4,FALSE))))</f>
        <v/>
      </c>
      <c r="N1566" s="486"/>
      <c r="O1566" s="176"/>
      <c r="P1566" s="486"/>
      <c r="Q1566" s="247"/>
      <c r="R1566" s="246">
        <f t="shared" si="63"/>
        <v>0</v>
      </c>
      <c r="S1566" s="177"/>
      <c r="T1566" s="182"/>
      <c r="U1566" s="177"/>
      <c r="V1566" s="177"/>
      <c r="W1566" s="177"/>
      <c r="X1566" s="176"/>
      <c r="Y1566" s="177"/>
      <c r="Z1566" s="415"/>
      <c r="AA1566" s="488"/>
      <c r="AB1566" s="594"/>
      <c r="AC1566" s="595"/>
      <c r="AD1566" s="596" t="str">
        <f>IF(AND(AC1566&lt;&gt;"",S1566&lt;&gt;""),NETWORKDAYS(AC1566,S1566,#REF!),"")</f>
        <v/>
      </c>
      <c r="AE1566" s="596" t="str">
        <f ca="1">IF(AND(AD1566="",AC1566=""),"",IF(OR(AD1566&lt;&gt;"",O1566="*CANCELADO"),"",NETWORKDAYS(AC1566,TODAY(),#REF!)))</f>
        <v/>
      </c>
      <c r="AF1566" s="597" t="str">
        <f>IFERROR(INDEX(produtos_escape2!M:M,MATCH(Controle!H1566,produtos_escape2!A:A,0)),"")</f>
        <v/>
      </c>
    </row>
    <row r="1567" spans="1:32" ht="14.25" customHeight="1">
      <c r="A1567" s="176"/>
      <c r="B1567" s="176"/>
      <c r="C1567" s="177"/>
      <c r="D1567" s="176"/>
      <c r="E1567" s="176"/>
      <c r="F1567" s="259"/>
      <c r="G1567" s="176"/>
      <c r="H1567" s="178"/>
      <c r="I1567" s="592">
        <f t="shared" si="64"/>
        <v>0</v>
      </c>
      <c r="J1567" s="178"/>
      <c r="K1567" s="178"/>
      <c r="L1567" s="275" t="str">
        <f>IF(H:H=0,"",IF(ISERROR(VLOOKUP(H:H,produtos_escape2!$A$2:$B$2794,2,FALSE)),"Código não cadastrado",(VLOOKUP(H:H,produtos_escape2!$A$2:$B$2794,2,FALSE))))</f>
        <v/>
      </c>
      <c r="M1567" s="593" t="str">
        <f>IF(H:H=0,"",IF(ISERROR(VLOOKUP(H:H,produtos_escape2!$A$2:$D$2794,2,FALSE)),"Código não cadastrado",(VLOOKUP(H:H,produtos_escape2!$A$2:$D$2794,4,FALSE))))</f>
        <v/>
      </c>
      <c r="N1567" s="486"/>
      <c r="O1567" s="176"/>
      <c r="P1567" s="486"/>
      <c r="Q1567" s="247"/>
      <c r="R1567" s="246">
        <f t="shared" si="63"/>
        <v>0</v>
      </c>
      <c r="S1567" s="177"/>
      <c r="T1567" s="182"/>
      <c r="U1567" s="177"/>
      <c r="V1567" s="177"/>
      <c r="W1567" s="177"/>
      <c r="X1567" s="176"/>
      <c r="Y1567" s="177"/>
      <c r="Z1567" s="415"/>
      <c r="AA1567" s="488"/>
      <c r="AB1567" s="594"/>
      <c r="AC1567" s="595"/>
      <c r="AD1567" s="596" t="str">
        <f>IF(AND(AC1567&lt;&gt;"",S1567&lt;&gt;""),NETWORKDAYS(AC1567,S1567,#REF!),"")</f>
        <v/>
      </c>
      <c r="AE1567" s="596" t="str">
        <f ca="1">IF(AND(AD1567="",AC1567=""),"",IF(OR(AD1567&lt;&gt;"",O1567="*CANCELADO"),"",NETWORKDAYS(AC1567,TODAY(),#REF!)))</f>
        <v/>
      </c>
      <c r="AF1567" s="597" t="str">
        <f>IFERROR(INDEX(produtos_escape2!M:M,MATCH(Controle!H1567,produtos_escape2!A:A,0)),"")</f>
        <v/>
      </c>
    </row>
    <row r="1568" spans="1:32" ht="14.25" customHeight="1">
      <c r="A1568" s="176"/>
      <c r="B1568" s="176"/>
      <c r="C1568" s="177"/>
      <c r="D1568" s="176"/>
      <c r="E1568" s="176"/>
      <c r="F1568" s="259"/>
      <c r="G1568" s="176"/>
      <c r="H1568" s="178"/>
      <c r="I1568" s="592">
        <f t="shared" si="64"/>
        <v>0</v>
      </c>
      <c r="J1568" s="178"/>
      <c r="K1568" s="178"/>
      <c r="L1568" s="275" t="str">
        <f>IF(H:H=0,"",IF(ISERROR(VLOOKUP(H:H,produtos_escape2!$A$2:$B$2794,2,FALSE)),"Código não cadastrado",(VLOOKUP(H:H,produtos_escape2!$A$2:$B$2794,2,FALSE))))</f>
        <v/>
      </c>
      <c r="M1568" s="593" t="str">
        <f>IF(H:H=0,"",IF(ISERROR(VLOOKUP(H:H,produtos_escape2!$A$2:$D$2794,2,FALSE)),"Código não cadastrado",(VLOOKUP(H:H,produtos_escape2!$A$2:$D$2794,4,FALSE))))</f>
        <v/>
      </c>
      <c r="N1568" s="486"/>
      <c r="O1568" s="176"/>
      <c r="P1568" s="486"/>
      <c r="Q1568" s="247"/>
      <c r="R1568" s="246">
        <f t="shared" si="63"/>
        <v>0</v>
      </c>
      <c r="S1568" s="177"/>
      <c r="T1568" s="182"/>
      <c r="U1568" s="177"/>
      <c r="V1568" s="177"/>
      <c r="W1568" s="177"/>
      <c r="X1568" s="176"/>
      <c r="Y1568" s="177"/>
      <c r="Z1568" s="415"/>
      <c r="AA1568" s="488"/>
      <c r="AB1568" s="594"/>
      <c r="AC1568" s="595"/>
      <c r="AD1568" s="596" t="str">
        <f>IF(AND(AC1568&lt;&gt;"",S1568&lt;&gt;""),NETWORKDAYS(AC1568,S1568,#REF!),"")</f>
        <v/>
      </c>
      <c r="AE1568" s="596" t="str">
        <f ca="1">IF(AND(AD1568="",AC1568=""),"",IF(OR(AD1568&lt;&gt;"",O1568="*CANCELADO"),"",NETWORKDAYS(AC1568,TODAY(),#REF!)))</f>
        <v/>
      </c>
      <c r="AF1568" s="597" t="str">
        <f>IFERROR(INDEX(produtos_escape2!M:M,MATCH(Controle!H1568,produtos_escape2!A:A,0)),"")</f>
        <v/>
      </c>
    </row>
    <row r="1569" spans="1:32" ht="14.25" customHeight="1">
      <c r="A1569" s="176"/>
      <c r="B1569" s="176"/>
      <c r="C1569" s="177"/>
      <c r="D1569" s="176"/>
      <c r="E1569" s="176"/>
      <c r="F1569" s="259"/>
      <c r="G1569" s="176"/>
      <c r="H1569" s="178"/>
      <c r="I1569" s="592">
        <f t="shared" si="64"/>
        <v>0</v>
      </c>
      <c r="J1569" s="178"/>
      <c r="K1569" s="178"/>
      <c r="L1569" s="275" t="str">
        <f>IF(H:H=0,"",IF(ISERROR(VLOOKUP(H:H,produtos_escape2!$A$2:$B$2794,2,FALSE)),"Código não cadastrado",(VLOOKUP(H:H,produtos_escape2!$A$2:$B$2794,2,FALSE))))</f>
        <v/>
      </c>
      <c r="M1569" s="593" t="str">
        <f>IF(H:H=0,"",IF(ISERROR(VLOOKUP(H:H,produtos_escape2!$A$2:$D$2794,2,FALSE)),"Código não cadastrado",(VLOOKUP(H:H,produtos_escape2!$A$2:$D$2794,4,FALSE))))</f>
        <v/>
      </c>
      <c r="N1569" s="486"/>
      <c r="O1569" s="176"/>
      <c r="P1569" s="486"/>
      <c r="Q1569" s="247"/>
      <c r="R1569" s="246">
        <f t="shared" si="63"/>
        <v>0</v>
      </c>
      <c r="S1569" s="177"/>
      <c r="T1569" s="182"/>
      <c r="U1569" s="177"/>
      <c r="V1569" s="177"/>
      <c r="W1569" s="177"/>
      <c r="X1569" s="176"/>
      <c r="Y1569" s="177"/>
      <c r="Z1569" s="415"/>
      <c r="AA1569" s="488"/>
      <c r="AB1569" s="594"/>
      <c r="AC1569" s="595"/>
      <c r="AD1569" s="596" t="str">
        <f>IF(AND(AC1569&lt;&gt;"",S1569&lt;&gt;""),NETWORKDAYS(AC1569,S1569,#REF!),"")</f>
        <v/>
      </c>
      <c r="AE1569" s="596" t="str">
        <f ca="1">IF(AND(AD1569="",AC1569=""),"",IF(OR(AD1569&lt;&gt;"",O1569="*CANCELADO"),"",NETWORKDAYS(AC1569,TODAY(),#REF!)))</f>
        <v/>
      </c>
      <c r="AF1569" s="597" t="str">
        <f>IFERROR(INDEX(produtos_escape2!M:M,MATCH(Controle!H1569,produtos_escape2!A:A,0)),"")</f>
        <v/>
      </c>
    </row>
    <row r="1570" spans="1:32" ht="14.25" customHeight="1">
      <c r="A1570" s="176"/>
      <c r="B1570" s="176"/>
      <c r="C1570" s="177"/>
      <c r="D1570" s="176"/>
      <c r="E1570" s="176"/>
      <c r="F1570" s="259"/>
      <c r="G1570" s="176"/>
      <c r="H1570" s="178"/>
      <c r="I1570" s="592">
        <f t="shared" si="64"/>
        <v>0</v>
      </c>
      <c r="J1570" s="178"/>
      <c r="K1570" s="178"/>
      <c r="L1570" s="275" t="str">
        <f>IF(H:H=0,"",IF(ISERROR(VLOOKUP(H:H,produtos_escape2!$A$2:$B$2794,2,FALSE)),"Código não cadastrado",(VLOOKUP(H:H,produtos_escape2!$A$2:$B$2794,2,FALSE))))</f>
        <v/>
      </c>
      <c r="M1570" s="593" t="str">
        <f>IF(H:H=0,"",IF(ISERROR(VLOOKUP(H:H,produtos_escape2!$A$2:$D$2794,2,FALSE)),"Código não cadastrado",(VLOOKUP(H:H,produtos_escape2!$A$2:$D$2794,4,FALSE))))</f>
        <v/>
      </c>
      <c r="N1570" s="486"/>
      <c r="O1570" s="176"/>
      <c r="P1570" s="486"/>
      <c r="Q1570" s="247"/>
      <c r="R1570" s="246">
        <f t="shared" si="63"/>
        <v>0</v>
      </c>
      <c r="S1570" s="177"/>
      <c r="T1570" s="182"/>
      <c r="U1570" s="177"/>
      <c r="V1570" s="177"/>
      <c r="W1570" s="177"/>
      <c r="X1570" s="176"/>
      <c r="Y1570" s="177"/>
      <c r="Z1570" s="415"/>
      <c r="AA1570" s="488"/>
      <c r="AB1570" s="594"/>
      <c r="AC1570" s="595"/>
      <c r="AD1570" s="596" t="str">
        <f>IF(AND(AC1570&lt;&gt;"",S1570&lt;&gt;""),NETWORKDAYS(AC1570,S1570,#REF!),"")</f>
        <v/>
      </c>
      <c r="AE1570" s="596" t="str">
        <f ca="1">IF(AND(AD1570="",AC1570=""),"",IF(OR(AD1570&lt;&gt;"",O1570="*CANCELADO"),"",NETWORKDAYS(AC1570,TODAY(),#REF!)))</f>
        <v/>
      </c>
      <c r="AF1570" s="597" t="str">
        <f>IFERROR(INDEX(produtos_escape2!M:M,MATCH(Controle!H1570,produtos_escape2!A:A,0)),"")</f>
        <v/>
      </c>
    </row>
    <row r="1571" spans="1:32" ht="14.25" customHeight="1">
      <c r="A1571" s="176"/>
      <c r="B1571" s="176"/>
      <c r="C1571" s="177"/>
      <c r="D1571" s="176"/>
      <c r="E1571" s="176"/>
      <c r="F1571" s="259"/>
      <c r="G1571" s="176"/>
      <c r="H1571" s="178"/>
      <c r="I1571" s="592">
        <f t="shared" si="64"/>
        <v>0</v>
      </c>
      <c r="J1571" s="178"/>
      <c r="K1571" s="178"/>
      <c r="L1571" s="275" t="str">
        <f>IF(H:H=0,"",IF(ISERROR(VLOOKUP(H:H,produtos_escape2!$A$2:$B$2794,2,FALSE)),"Código não cadastrado",(VLOOKUP(H:H,produtos_escape2!$A$2:$B$2794,2,FALSE))))</f>
        <v/>
      </c>
      <c r="M1571" s="593" t="str">
        <f>IF(H:H=0,"",IF(ISERROR(VLOOKUP(H:H,produtos_escape2!$A$2:$D$2794,2,FALSE)),"Código não cadastrado",(VLOOKUP(H:H,produtos_escape2!$A$2:$D$2794,4,FALSE))))</f>
        <v/>
      </c>
      <c r="N1571" s="486"/>
      <c r="O1571" s="176"/>
      <c r="P1571" s="486"/>
      <c r="Q1571" s="247"/>
      <c r="R1571" s="246">
        <f t="shared" si="63"/>
        <v>0</v>
      </c>
      <c r="S1571" s="177"/>
      <c r="T1571" s="182"/>
      <c r="U1571" s="177"/>
      <c r="V1571" s="177"/>
      <c r="W1571" s="177"/>
      <c r="X1571" s="176"/>
      <c r="Y1571" s="177"/>
      <c r="Z1571" s="415"/>
      <c r="AA1571" s="488"/>
      <c r="AB1571" s="594"/>
      <c r="AC1571" s="595"/>
      <c r="AD1571" s="596" t="str">
        <f>IF(AND(AC1571&lt;&gt;"",S1571&lt;&gt;""),NETWORKDAYS(AC1571,S1571,#REF!),"")</f>
        <v/>
      </c>
      <c r="AE1571" s="596" t="str">
        <f ca="1">IF(AND(AD1571="",AC1571=""),"",IF(OR(AD1571&lt;&gt;"",O1571="*CANCELADO"),"",NETWORKDAYS(AC1571,TODAY(),#REF!)))</f>
        <v/>
      </c>
      <c r="AF1571" s="597" t="str">
        <f>IFERROR(INDEX(produtos_escape2!M:M,MATCH(Controle!H1571,produtos_escape2!A:A,0)),"")</f>
        <v/>
      </c>
    </row>
    <row r="1572" spans="1:32" ht="14.25" customHeight="1">
      <c r="A1572" s="176"/>
      <c r="B1572" s="176"/>
      <c r="C1572" s="177"/>
      <c r="D1572" s="176"/>
      <c r="E1572" s="176"/>
      <c r="F1572" s="259"/>
      <c r="G1572" s="176"/>
      <c r="H1572" s="178"/>
      <c r="I1572" s="592">
        <f t="shared" si="64"/>
        <v>0</v>
      </c>
      <c r="J1572" s="178"/>
      <c r="K1572" s="178"/>
      <c r="L1572" s="275" t="str">
        <f>IF(H:H=0,"",IF(ISERROR(VLOOKUP(H:H,produtos_escape2!$A$2:$B$2794,2,FALSE)),"Código não cadastrado",(VLOOKUP(H:H,produtos_escape2!$A$2:$B$2794,2,FALSE))))</f>
        <v/>
      </c>
      <c r="M1572" s="593" t="str">
        <f>IF(H:H=0,"",IF(ISERROR(VLOOKUP(H:H,produtos_escape2!$A$2:$D$2794,2,FALSE)),"Código não cadastrado",(VLOOKUP(H:H,produtos_escape2!$A$2:$D$2794,4,FALSE))))</f>
        <v/>
      </c>
      <c r="N1572" s="486"/>
      <c r="O1572" s="176"/>
      <c r="P1572" s="486"/>
      <c r="Q1572" s="247"/>
      <c r="R1572" s="246">
        <f t="shared" si="63"/>
        <v>0</v>
      </c>
      <c r="S1572" s="177"/>
      <c r="T1572" s="182"/>
      <c r="U1572" s="177"/>
      <c r="V1572" s="177"/>
      <c r="W1572" s="177"/>
      <c r="X1572" s="176"/>
      <c r="Y1572" s="177"/>
      <c r="Z1572" s="415"/>
      <c r="AA1572" s="488"/>
      <c r="AB1572" s="594"/>
      <c r="AC1572" s="595"/>
      <c r="AD1572" s="596" t="str">
        <f>IF(AND(AC1572&lt;&gt;"",S1572&lt;&gt;""),NETWORKDAYS(AC1572,S1572,#REF!),"")</f>
        <v/>
      </c>
      <c r="AE1572" s="596" t="str">
        <f ca="1">IF(AND(AD1572="",AC1572=""),"",IF(OR(AD1572&lt;&gt;"",O1572="*CANCELADO"),"",NETWORKDAYS(AC1572,TODAY(),#REF!)))</f>
        <v/>
      </c>
      <c r="AF1572" s="597" t="str">
        <f>IFERROR(INDEX(produtos_escape2!M:M,MATCH(Controle!H1572,produtos_escape2!A:A,0)),"")</f>
        <v/>
      </c>
    </row>
    <row r="1573" spans="1:32" ht="14.25" customHeight="1">
      <c r="A1573" s="176"/>
      <c r="B1573" s="176"/>
      <c r="C1573" s="177"/>
      <c r="D1573" s="176"/>
      <c r="E1573" s="176"/>
      <c r="F1573" s="259"/>
      <c r="G1573" s="176"/>
      <c r="H1573" s="178"/>
      <c r="I1573" s="592">
        <f t="shared" si="64"/>
        <v>0</v>
      </c>
      <c r="J1573" s="178"/>
      <c r="K1573" s="178"/>
      <c r="L1573" s="275" t="str">
        <f>IF(H:H=0,"",IF(ISERROR(VLOOKUP(H:H,produtos_escape2!$A$2:$B$2794,2,FALSE)),"Código não cadastrado",(VLOOKUP(H:H,produtos_escape2!$A$2:$B$2794,2,FALSE))))</f>
        <v/>
      </c>
      <c r="M1573" s="593" t="str">
        <f>IF(H:H=0,"",IF(ISERROR(VLOOKUP(H:H,produtos_escape2!$A$2:$D$2794,2,FALSE)),"Código não cadastrado",(VLOOKUP(H:H,produtos_escape2!$A$2:$D$2794,4,FALSE))))</f>
        <v/>
      </c>
      <c r="N1573" s="486"/>
      <c r="O1573" s="176"/>
      <c r="P1573" s="486"/>
      <c r="Q1573" s="247"/>
      <c r="R1573" s="246">
        <f t="shared" si="63"/>
        <v>0</v>
      </c>
      <c r="S1573" s="177"/>
      <c r="T1573" s="182"/>
      <c r="U1573" s="177"/>
      <c r="V1573" s="177"/>
      <c r="W1573" s="177"/>
      <c r="X1573" s="176"/>
      <c r="Y1573" s="177"/>
      <c r="Z1573" s="415"/>
      <c r="AA1573" s="488"/>
      <c r="AB1573" s="594"/>
      <c r="AC1573" s="595"/>
      <c r="AD1573" s="596" t="str">
        <f>IF(AND(AC1573&lt;&gt;"",S1573&lt;&gt;""),NETWORKDAYS(AC1573,S1573,#REF!),"")</f>
        <v/>
      </c>
      <c r="AE1573" s="596" t="str">
        <f ca="1">IF(AND(AD1573="",AC1573=""),"",IF(OR(AD1573&lt;&gt;"",O1573="*CANCELADO"),"",NETWORKDAYS(AC1573,TODAY(),#REF!)))</f>
        <v/>
      </c>
      <c r="AF1573" s="597" t="str">
        <f>IFERROR(INDEX(produtos_escape2!M:M,MATCH(Controle!H1573,produtos_escape2!A:A,0)),"")</f>
        <v/>
      </c>
    </row>
    <row r="1574" spans="1:32" ht="14.25" customHeight="1">
      <c r="A1574" s="176"/>
      <c r="B1574" s="176"/>
      <c r="C1574" s="177"/>
      <c r="D1574" s="176"/>
      <c r="E1574" s="176"/>
      <c r="F1574" s="259"/>
      <c r="G1574" s="176"/>
      <c r="H1574" s="178"/>
      <c r="I1574" s="592">
        <f t="shared" si="64"/>
        <v>0</v>
      </c>
      <c r="J1574" s="178"/>
      <c r="K1574" s="178"/>
      <c r="L1574" s="275" t="str">
        <f>IF(H:H=0,"",IF(ISERROR(VLOOKUP(H:H,produtos_escape2!$A$2:$B$2794,2,FALSE)),"Código não cadastrado",(VLOOKUP(H:H,produtos_escape2!$A$2:$B$2794,2,FALSE))))</f>
        <v/>
      </c>
      <c r="M1574" s="593" t="str">
        <f>IF(H:H=0,"",IF(ISERROR(VLOOKUP(H:H,produtos_escape2!$A$2:$D$2794,2,FALSE)),"Código não cadastrado",(VLOOKUP(H:H,produtos_escape2!$A$2:$D$2794,4,FALSE))))</f>
        <v/>
      </c>
      <c r="N1574" s="486"/>
      <c r="O1574" s="176"/>
      <c r="P1574" s="486"/>
      <c r="Q1574" s="247"/>
      <c r="R1574" s="246">
        <f t="shared" si="63"/>
        <v>0</v>
      </c>
      <c r="S1574" s="177"/>
      <c r="T1574" s="182"/>
      <c r="U1574" s="177"/>
      <c r="V1574" s="177"/>
      <c r="W1574" s="177"/>
      <c r="X1574" s="176"/>
      <c r="Y1574" s="177"/>
      <c r="Z1574" s="415"/>
      <c r="AA1574" s="488"/>
      <c r="AB1574" s="594"/>
      <c r="AC1574" s="595"/>
      <c r="AD1574" s="596" t="str">
        <f>IF(AND(AC1574&lt;&gt;"",S1574&lt;&gt;""),NETWORKDAYS(AC1574,S1574,#REF!),"")</f>
        <v/>
      </c>
      <c r="AE1574" s="596" t="str">
        <f ca="1">IF(AND(AD1574="",AC1574=""),"",IF(OR(AD1574&lt;&gt;"",O1574="*CANCELADO"),"",NETWORKDAYS(AC1574,TODAY(),#REF!)))</f>
        <v/>
      </c>
      <c r="AF1574" s="597" t="str">
        <f>IFERROR(INDEX(produtos_escape2!M:M,MATCH(Controle!H1574,produtos_escape2!A:A,0)),"")</f>
        <v/>
      </c>
    </row>
    <row r="1575" spans="1:32" ht="14.25" customHeight="1">
      <c r="A1575" s="176"/>
      <c r="B1575" s="176"/>
      <c r="C1575" s="177"/>
      <c r="D1575" s="176"/>
      <c r="E1575" s="176"/>
      <c r="F1575" s="259"/>
      <c r="G1575" s="176"/>
      <c r="H1575" s="178"/>
      <c r="I1575" s="592">
        <f t="shared" si="64"/>
        <v>0</v>
      </c>
      <c r="J1575" s="178"/>
      <c r="K1575" s="178"/>
      <c r="L1575" s="275" t="str">
        <f>IF(H:H=0,"",IF(ISERROR(VLOOKUP(H:H,produtos_escape2!$A$2:$B$2794,2,FALSE)),"Código não cadastrado",(VLOOKUP(H:H,produtos_escape2!$A$2:$B$2794,2,FALSE))))</f>
        <v/>
      </c>
      <c r="M1575" s="593" t="str">
        <f>IF(H:H=0,"",IF(ISERROR(VLOOKUP(H:H,produtos_escape2!$A$2:$D$2794,2,FALSE)),"Código não cadastrado",(VLOOKUP(H:H,produtos_escape2!$A$2:$D$2794,4,FALSE))))</f>
        <v/>
      </c>
      <c r="N1575" s="486"/>
      <c r="O1575" s="176"/>
      <c r="P1575" s="486"/>
      <c r="Q1575" s="247"/>
      <c r="R1575" s="246">
        <f t="shared" si="63"/>
        <v>0</v>
      </c>
      <c r="S1575" s="177"/>
      <c r="T1575" s="182"/>
      <c r="U1575" s="177"/>
      <c r="V1575" s="177"/>
      <c r="W1575" s="177"/>
      <c r="X1575" s="176"/>
      <c r="Y1575" s="177"/>
      <c r="Z1575" s="415"/>
      <c r="AA1575" s="488"/>
      <c r="AB1575" s="594"/>
      <c r="AC1575" s="595"/>
      <c r="AD1575" s="596" t="str">
        <f>IF(AND(AC1575&lt;&gt;"",S1575&lt;&gt;""),NETWORKDAYS(AC1575,S1575,#REF!),"")</f>
        <v/>
      </c>
      <c r="AE1575" s="596" t="str">
        <f ca="1">IF(AND(AD1575="",AC1575=""),"",IF(OR(AD1575&lt;&gt;"",O1575="*CANCELADO"),"",NETWORKDAYS(AC1575,TODAY(),#REF!)))</f>
        <v/>
      </c>
      <c r="AF1575" s="597" t="str">
        <f>IFERROR(INDEX(produtos_escape2!M:M,MATCH(Controle!H1575,produtos_escape2!A:A,0)),"")</f>
        <v/>
      </c>
    </row>
    <row r="1576" spans="1:32" ht="14.25" customHeight="1">
      <c r="A1576" s="176"/>
      <c r="B1576" s="176"/>
      <c r="C1576" s="177"/>
      <c r="D1576" s="176"/>
      <c r="E1576" s="176"/>
      <c r="F1576" s="259"/>
      <c r="G1576" s="176"/>
      <c r="H1576" s="178"/>
      <c r="I1576" s="592">
        <f t="shared" si="64"/>
        <v>0</v>
      </c>
      <c r="J1576" s="178"/>
      <c r="K1576" s="178"/>
      <c r="L1576" s="275" t="str">
        <f>IF(H:H=0,"",IF(ISERROR(VLOOKUP(H:H,produtos_escape2!$A$2:$B$2794,2,FALSE)),"Código não cadastrado",(VLOOKUP(H:H,produtos_escape2!$A$2:$B$2794,2,FALSE))))</f>
        <v/>
      </c>
      <c r="M1576" s="593" t="str">
        <f>IF(H:H=0,"",IF(ISERROR(VLOOKUP(H:H,produtos_escape2!$A$2:$D$2794,2,FALSE)),"Código não cadastrado",(VLOOKUP(H:H,produtos_escape2!$A$2:$D$2794,4,FALSE))))</f>
        <v/>
      </c>
      <c r="N1576" s="486"/>
      <c r="O1576" s="176"/>
      <c r="P1576" s="486"/>
      <c r="Q1576" s="247"/>
      <c r="R1576" s="246">
        <f t="shared" si="63"/>
        <v>0</v>
      </c>
      <c r="S1576" s="177"/>
      <c r="T1576" s="182"/>
      <c r="U1576" s="177"/>
      <c r="V1576" s="177"/>
      <c r="W1576" s="177"/>
      <c r="X1576" s="176"/>
      <c r="Y1576" s="177"/>
      <c r="Z1576" s="415"/>
      <c r="AA1576" s="488"/>
      <c r="AB1576" s="594"/>
      <c r="AC1576" s="595"/>
      <c r="AD1576" s="596" t="str">
        <f>IF(AND(AC1576&lt;&gt;"",S1576&lt;&gt;""),NETWORKDAYS(AC1576,S1576,#REF!),"")</f>
        <v/>
      </c>
      <c r="AE1576" s="596" t="str">
        <f ca="1">IF(AND(AD1576="",AC1576=""),"",IF(OR(AD1576&lt;&gt;"",O1576="*CANCELADO"),"",NETWORKDAYS(AC1576,TODAY(),#REF!)))</f>
        <v/>
      </c>
      <c r="AF1576" s="597" t="str">
        <f>IFERROR(INDEX(produtos_escape2!M:M,MATCH(Controle!H1576,produtos_escape2!A:A,0)),"")</f>
        <v/>
      </c>
    </row>
    <row r="1577" spans="1:32" ht="14.25" customHeight="1">
      <c r="A1577" s="176"/>
      <c r="B1577" s="176"/>
      <c r="C1577" s="177"/>
      <c r="D1577" s="176"/>
      <c r="E1577" s="176"/>
      <c r="F1577" s="259"/>
      <c r="G1577" s="176"/>
      <c r="H1577" s="178"/>
      <c r="I1577" s="592">
        <f t="shared" si="64"/>
        <v>0</v>
      </c>
      <c r="J1577" s="178"/>
      <c r="K1577" s="178"/>
      <c r="L1577" s="275" t="str">
        <f>IF(H:H=0,"",IF(ISERROR(VLOOKUP(H:H,produtos_escape2!$A$2:$B$2794,2,FALSE)),"Código não cadastrado",(VLOOKUP(H:H,produtos_escape2!$A$2:$B$2794,2,FALSE))))</f>
        <v/>
      </c>
      <c r="M1577" s="593" t="str">
        <f>IF(H:H=0,"",IF(ISERROR(VLOOKUP(H:H,produtos_escape2!$A$2:$D$2794,2,FALSE)),"Código não cadastrado",(VLOOKUP(H:H,produtos_escape2!$A$2:$D$2794,4,FALSE))))</f>
        <v/>
      </c>
      <c r="N1577" s="486"/>
      <c r="O1577" s="176"/>
      <c r="P1577" s="486"/>
      <c r="Q1577" s="247"/>
      <c r="R1577" s="246">
        <f t="shared" si="63"/>
        <v>0</v>
      </c>
      <c r="S1577" s="177"/>
      <c r="T1577" s="182"/>
      <c r="U1577" s="177"/>
      <c r="V1577" s="177"/>
      <c r="W1577" s="177"/>
      <c r="X1577" s="176"/>
      <c r="Y1577" s="177"/>
      <c r="Z1577" s="415"/>
      <c r="AA1577" s="488"/>
      <c r="AB1577" s="594"/>
      <c r="AC1577" s="595"/>
      <c r="AD1577" s="596" t="str">
        <f>IF(AND(AC1577&lt;&gt;"",S1577&lt;&gt;""),NETWORKDAYS(AC1577,S1577,#REF!),"")</f>
        <v/>
      </c>
      <c r="AE1577" s="596" t="str">
        <f ca="1">IF(AND(AD1577="",AC1577=""),"",IF(OR(AD1577&lt;&gt;"",O1577="*CANCELADO"),"",NETWORKDAYS(AC1577,TODAY(),#REF!)))</f>
        <v/>
      </c>
      <c r="AF1577" s="597" t="str">
        <f>IFERROR(INDEX(produtos_escape2!M:M,MATCH(Controle!H1577,produtos_escape2!A:A,0)),"")</f>
        <v/>
      </c>
    </row>
    <row r="1578" spans="1:32" ht="14.25" customHeight="1">
      <c r="A1578" s="176"/>
      <c r="B1578" s="176"/>
      <c r="C1578" s="177"/>
      <c r="D1578" s="176"/>
      <c r="E1578" s="176"/>
      <c r="F1578" s="259"/>
      <c r="G1578" s="176"/>
      <c r="H1578" s="178"/>
      <c r="I1578" s="592">
        <f t="shared" si="64"/>
        <v>0</v>
      </c>
      <c r="J1578" s="178"/>
      <c r="K1578" s="178"/>
      <c r="L1578" s="275" t="str">
        <f>IF(H:H=0,"",IF(ISERROR(VLOOKUP(H:H,produtos_escape2!$A$2:$B$2794,2,FALSE)),"Código não cadastrado",(VLOOKUP(H:H,produtos_escape2!$A$2:$B$2794,2,FALSE))))</f>
        <v/>
      </c>
      <c r="M1578" s="593" t="str">
        <f>IF(H:H=0,"",IF(ISERROR(VLOOKUP(H:H,produtos_escape2!$A$2:$D$2794,2,FALSE)),"Código não cadastrado",(VLOOKUP(H:H,produtos_escape2!$A$2:$D$2794,4,FALSE))))</f>
        <v/>
      </c>
      <c r="N1578" s="486"/>
      <c r="O1578" s="176"/>
      <c r="P1578" s="486"/>
      <c r="Q1578" s="247"/>
      <c r="R1578" s="246">
        <f t="shared" si="63"/>
        <v>0</v>
      </c>
      <c r="S1578" s="177"/>
      <c r="T1578" s="182"/>
      <c r="U1578" s="177"/>
      <c r="V1578" s="177"/>
      <c r="W1578" s="177"/>
      <c r="X1578" s="176"/>
      <c r="Y1578" s="177"/>
      <c r="Z1578" s="415"/>
      <c r="AA1578" s="488"/>
      <c r="AB1578" s="594"/>
      <c r="AC1578" s="595"/>
      <c r="AD1578" s="596" t="str">
        <f>IF(AND(AC1578&lt;&gt;"",S1578&lt;&gt;""),NETWORKDAYS(AC1578,S1578,#REF!),"")</f>
        <v/>
      </c>
      <c r="AE1578" s="596" t="str">
        <f ca="1">IF(AND(AD1578="",AC1578=""),"",IF(OR(AD1578&lt;&gt;"",O1578="*CANCELADO"),"",NETWORKDAYS(AC1578,TODAY(),#REF!)))</f>
        <v/>
      </c>
      <c r="AF1578" s="597" t="str">
        <f>IFERROR(INDEX(produtos_escape2!M:M,MATCH(Controle!H1578,produtos_escape2!A:A,0)),"")</f>
        <v/>
      </c>
    </row>
    <row r="1579" spans="1:32" ht="14.25" customHeight="1">
      <c r="A1579" s="176"/>
      <c r="B1579" s="176"/>
      <c r="C1579" s="177"/>
      <c r="D1579" s="176"/>
      <c r="E1579" s="176"/>
      <c r="F1579" s="259"/>
      <c r="G1579" s="176"/>
      <c r="H1579" s="178"/>
      <c r="I1579" s="592">
        <f t="shared" si="64"/>
        <v>0</v>
      </c>
      <c r="J1579" s="178"/>
      <c r="K1579" s="178"/>
      <c r="L1579" s="275" t="str">
        <f>IF(H:H=0,"",IF(ISERROR(VLOOKUP(H:H,produtos_escape2!$A$2:$B$2794,2,FALSE)),"Código não cadastrado",(VLOOKUP(H:H,produtos_escape2!$A$2:$B$2794,2,FALSE))))</f>
        <v/>
      </c>
      <c r="M1579" s="593" t="str">
        <f>IF(H:H=0,"",IF(ISERROR(VLOOKUP(H:H,produtos_escape2!$A$2:$D$2794,2,FALSE)),"Código não cadastrado",(VLOOKUP(H:H,produtos_escape2!$A$2:$D$2794,4,FALSE))))</f>
        <v/>
      </c>
      <c r="N1579" s="486"/>
      <c r="O1579" s="176"/>
      <c r="P1579" s="486"/>
      <c r="Q1579" s="247"/>
      <c r="R1579" s="246">
        <f t="shared" si="63"/>
        <v>0</v>
      </c>
      <c r="S1579" s="177"/>
      <c r="T1579" s="182"/>
      <c r="U1579" s="177"/>
      <c r="V1579" s="177"/>
      <c r="W1579" s="177"/>
      <c r="X1579" s="176"/>
      <c r="Y1579" s="177"/>
      <c r="Z1579" s="415"/>
      <c r="AA1579" s="488"/>
      <c r="AB1579" s="594"/>
      <c r="AC1579" s="595"/>
      <c r="AD1579" s="596" t="str">
        <f>IF(AND(AC1579&lt;&gt;"",S1579&lt;&gt;""),NETWORKDAYS(AC1579,S1579,#REF!),"")</f>
        <v/>
      </c>
      <c r="AE1579" s="596" t="str">
        <f ca="1">IF(AND(AD1579="",AC1579=""),"",IF(OR(AD1579&lt;&gt;"",O1579="*CANCELADO"),"",NETWORKDAYS(AC1579,TODAY(),#REF!)))</f>
        <v/>
      </c>
      <c r="AF1579" s="597" t="str">
        <f>IFERROR(INDEX(produtos_escape2!M:M,MATCH(Controle!H1579,produtos_escape2!A:A,0)),"")</f>
        <v/>
      </c>
    </row>
    <row r="1580" spans="1:32" ht="14.25" customHeight="1">
      <c r="A1580" s="176"/>
      <c r="B1580" s="176"/>
      <c r="C1580" s="177"/>
      <c r="D1580" s="176"/>
      <c r="E1580" s="176"/>
      <c r="F1580" s="259"/>
      <c r="G1580" s="176"/>
      <c r="H1580" s="178"/>
      <c r="I1580" s="592">
        <f t="shared" si="64"/>
        <v>0</v>
      </c>
      <c r="J1580" s="178"/>
      <c r="K1580" s="178"/>
      <c r="L1580" s="275" t="str">
        <f>IF(H:H=0,"",IF(ISERROR(VLOOKUP(H:H,produtos_escape2!$A$2:$B$2794,2,FALSE)),"Código não cadastrado",(VLOOKUP(H:H,produtos_escape2!$A$2:$B$2794,2,FALSE))))</f>
        <v/>
      </c>
      <c r="M1580" s="593" t="str">
        <f>IF(H:H=0,"",IF(ISERROR(VLOOKUP(H:H,produtos_escape2!$A$2:$D$2794,2,FALSE)),"Código não cadastrado",(VLOOKUP(H:H,produtos_escape2!$A$2:$D$2794,4,FALSE))))</f>
        <v/>
      </c>
      <c r="N1580" s="486"/>
      <c r="O1580" s="176"/>
      <c r="P1580" s="486"/>
      <c r="Q1580" s="247"/>
      <c r="R1580" s="246">
        <f t="shared" si="63"/>
        <v>0</v>
      </c>
      <c r="S1580" s="177"/>
      <c r="T1580" s="182"/>
      <c r="U1580" s="177"/>
      <c r="V1580" s="177"/>
      <c r="W1580" s="177"/>
      <c r="X1580" s="176"/>
      <c r="Y1580" s="177"/>
      <c r="Z1580" s="415"/>
      <c r="AA1580" s="488"/>
      <c r="AB1580" s="594"/>
      <c r="AC1580" s="595"/>
      <c r="AD1580" s="596" t="str">
        <f>IF(AND(AC1580&lt;&gt;"",S1580&lt;&gt;""),NETWORKDAYS(AC1580,S1580,#REF!),"")</f>
        <v/>
      </c>
      <c r="AE1580" s="596" t="str">
        <f ca="1">IF(AND(AD1580="",AC1580=""),"",IF(OR(AD1580&lt;&gt;"",O1580="*CANCELADO"),"",NETWORKDAYS(AC1580,TODAY(),#REF!)))</f>
        <v/>
      </c>
      <c r="AF1580" s="597" t="str">
        <f>IFERROR(INDEX(produtos_escape2!M:M,MATCH(Controle!H1580,produtos_escape2!A:A,0)),"")</f>
        <v/>
      </c>
    </row>
    <row r="1581" spans="1:32" ht="14.25" customHeight="1">
      <c r="A1581" s="176"/>
      <c r="B1581" s="176"/>
      <c r="C1581" s="177"/>
      <c r="D1581" s="176"/>
      <c r="E1581" s="176"/>
      <c r="F1581" s="259"/>
      <c r="G1581" s="176"/>
      <c r="H1581" s="178"/>
      <c r="I1581" s="592">
        <f t="shared" si="64"/>
        <v>0</v>
      </c>
      <c r="J1581" s="178"/>
      <c r="K1581" s="178"/>
      <c r="L1581" s="275" t="str">
        <f>IF(H:H=0,"",IF(ISERROR(VLOOKUP(H:H,produtos_escape2!$A$2:$B$2794,2,FALSE)),"Código não cadastrado",(VLOOKUP(H:H,produtos_escape2!$A$2:$B$2794,2,FALSE))))</f>
        <v/>
      </c>
      <c r="M1581" s="593" t="str">
        <f>IF(H:H=0,"",IF(ISERROR(VLOOKUP(H:H,produtos_escape2!$A$2:$D$2794,2,FALSE)),"Código não cadastrado",(VLOOKUP(H:H,produtos_escape2!$A$2:$D$2794,4,FALSE))))</f>
        <v/>
      </c>
      <c r="N1581" s="486"/>
      <c r="O1581" s="176"/>
      <c r="P1581" s="486"/>
      <c r="Q1581" s="247"/>
      <c r="R1581" s="246">
        <f t="shared" ref="R1581:R1644" si="65">P1581*Q1581</f>
        <v>0</v>
      </c>
      <c r="S1581" s="177"/>
      <c r="T1581" s="182"/>
      <c r="U1581" s="177"/>
      <c r="V1581" s="177"/>
      <c r="W1581" s="177"/>
      <c r="X1581" s="176"/>
      <c r="Y1581" s="177"/>
      <c r="Z1581" s="415"/>
      <c r="AA1581" s="488"/>
      <c r="AB1581" s="594"/>
      <c r="AC1581" s="595"/>
      <c r="AD1581" s="596" t="str">
        <f>IF(AND(AC1581&lt;&gt;"",S1581&lt;&gt;""),NETWORKDAYS(AC1581,S1581,#REF!),"")</f>
        <v/>
      </c>
      <c r="AE1581" s="596" t="str">
        <f ca="1">IF(AND(AD1581="",AC1581=""),"",IF(OR(AD1581&lt;&gt;"",O1581="*CANCELADO"),"",NETWORKDAYS(AC1581,TODAY(),#REF!)))</f>
        <v/>
      </c>
      <c r="AF1581" s="597" t="str">
        <f>IFERROR(INDEX(produtos_escape2!M:M,MATCH(Controle!H1581,produtos_escape2!A:A,0)),"")</f>
        <v/>
      </c>
    </row>
    <row r="1582" spans="1:32" ht="14.25" customHeight="1">
      <c r="A1582" s="176"/>
      <c r="B1582" s="176"/>
      <c r="C1582" s="177"/>
      <c r="D1582" s="176"/>
      <c r="E1582" s="176"/>
      <c r="F1582" s="259"/>
      <c r="G1582" s="176"/>
      <c r="H1582" s="178"/>
      <c r="I1582" s="592">
        <f t="shared" si="64"/>
        <v>0</v>
      </c>
      <c r="J1582" s="178"/>
      <c r="K1582" s="178"/>
      <c r="L1582" s="275" t="str">
        <f>IF(H:H=0,"",IF(ISERROR(VLOOKUP(H:H,produtos_escape2!$A$2:$B$2794,2,FALSE)),"Código não cadastrado",(VLOOKUP(H:H,produtos_escape2!$A$2:$B$2794,2,FALSE))))</f>
        <v/>
      </c>
      <c r="M1582" s="593" t="str">
        <f>IF(H:H=0,"",IF(ISERROR(VLOOKUP(H:H,produtos_escape2!$A$2:$D$2794,2,FALSE)),"Código não cadastrado",(VLOOKUP(H:H,produtos_escape2!$A$2:$D$2794,4,FALSE))))</f>
        <v/>
      </c>
      <c r="N1582" s="486"/>
      <c r="O1582" s="176"/>
      <c r="P1582" s="486"/>
      <c r="Q1582" s="247"/>
      <c r="R1582" s="246">
        <f t="shared" si="65"/>
        <v>0</v>
      </c>
      <c r="S1582" s="177"/>
      <c r="T1582" s="182"/>
      <c r="U1582" s="177"/>
      <c r="V1582" s="177"/>
      <c r="W1582" s="177"/>
      <c r="X1582" s="176"/>
      <c r="Y1582" s="177"/>
      <c r="Z1582" s="415"/>
      <c r="AA1582" s="488"/>
      <c r="AB1582" s="594"/>
      <c r="AC1582" s="595"/>
      <c r="AD1582" s="596" t="str">
        <f>IF(AND(AC1582&lt;&gt;"",S1582&lt;&gt;""),NETWORKDAYS(AC1582,S1582,#REF!),"")</f>
        <v/>
      </c>
      <c r="AE1582" s="596" t="str">
        <f ca="1">IF(AND(AD1582="",AC1582=""),"",IF(OR(AD1582&lt;&gt;"",O1582="*CANCELADO"),"",NETWORKDAYS(AC1582,TODAY(),#REF!)))</f>
        <v/>
      </c>
      <c r="AF1582" s="597" t="str">
        <f>IFERROR(INDEX(produtos_escape2!M:M,MATCH(Controle!H1582,produtos_escape2!A:A,0)),"")</f>
        <v/>
      </c>
    </row>
    <row r="1583" spans="1:32" ht="14.25" customHeight="1">
      <c r="A1583" s="176"/>
      <c r="B1583" s="176"/>
      <c r="C1583" s="177"/>
      <c r="D1583" s="176"/>
      <c r="E1583" s="176"/>
      <c r="F1583" s="259"/>
      <c r="G1583" s="176"/>
      <c r="H1583" s="178"/>
      <c r="I1583" s="592">
        <f t="shared" si="64"/>
        <v>0</v>
      </c>
      <c r="J1583" s="178"/>
      <c r="K1583" s="178"/>
      <c r="L1583" s="275" t="str">
        <f>IF(H:H=0,"",IF(ISERROR(VLOOKUP(H:H,produtos_escape2!$A$2:$B$2794,2,FALSE)),"Código não cadastrado",(VLOOKUP(H:H,produtos_escape2!$A$2:$B$2794,2,FALSE))))</f>
        <v/>
      </c>
      <c r="M1583" s="593" t="str">
        <f>IF(H:H=0,"",IF(ISERROR(VLOOKUP(H:H,produtos_escape2!$A$2:$D$2794,2,FALSE)),"Código não cadastrado",(VLOOKUP(H:H,produtos_escape2!$A$2:$D$2794,4,FALSE))))</f>
        <v/>
      </c>
      <c r="N1583" s="486"/>
      <c r="O1583" s="176"/>
      <c r="P1583" s="486"/>
      <c r="Q1583" s="247"/>
      <c r="R1583" s="246">
        <f t="shared" si="65"/>
        <v>0</v>
      </c>
      <c r="S1583" s="177"/>
      <c r="T1583" s="182"/>
      <c r="U1583" s="177"/>
      <c r="V1583" s="177"/>
      <c r="W1583" s="177"/>
      <c r="X1583" s="176"/>
      <c r="Y1583" s="177"/>
      <c r="Z1583" s="415"/>
      <c r="AA1583" s="488"/>
      <c r="AB1583" s="594"/>
      <c r="AC1583" s="595"/>
      <c r="AD1583" s="596" t="str">
        <f>IF(AND(AC1583&lt;&gt;"",S1583&lt;&gt;""),NETWORKDAYS(AC1583,S1583,#REF!),"")</f>
        <v/>
      </c>
      <c r="AE1583" s="596" t="str">
        <f ca="1">IF(AND(AD1583="",AC1583=""),"",IF(OR(AD1583&lt;&gt;"",O1583="*CANCELADO"),"",NETWORKDAYS(AC1583,TODAY(),#REF!)))</f>
        <v/>
      </c>
      <c r="AF1583" s="597" t="str">
        <f>IFERROR(INDEX(produtos_escape2!M:M,MATCH(Controle!H1583,produtos_escape2!A:A,0)),"")</f>
        <v/>
      </c>
    </row>
    <row r="1584" spans="1:32" ht="14.25" customHeight="1">
      <c r="A1584" s="176"/>
      <c r="B1584" s="176"/>
      <c r="C1584" s="177"/>
      <c r="D1584" s="176"/>
      <c r="E1584" s="176"/>
      <c r="F1584" s="259"/>
      <c r="G1584" s="176"/>
      <c r="H1584" s="178"/>
      <c r="I1584" s="592">
        <f t="shared" si="64"/>
        <v>0</v>
      </c>
      <c r="J1584" s="178"/>
      <c r="K1584" s="178"/>
      <c r="L1584" s="275" t="str">
        <f>IF(H:H=0,"",IF(ISERROR(VLOOKUP(H:H,produtos_escape2!$A$2:$B$2794,2,FALSE)),"Código não cadastrado",(VLOOKUP(H:H,produtos_escape2!$A$2:$B$2794,2,FALSE))))</f>
        <v/>
      </c>
      <c r="M1584" s="593" t="str">
        <f>IF(H:H=0,"",IF(ISERROR(VLOOKUP(H:H,produtos_escape2!$A$2:$D$2794,2,FALSE)),"Código não cadastrado",(VLOOKUP(H:H,produtos_escape2!$A$2:$D$2794,4,FALSE))))</f>
        <v/>
      </c>
      <c r="N1584" s="486"/>
      <c r="O1584" s="176"/>
      <c r="P1584" s="486"/>
      <c r="Q1584" s="247"/>
      <c r="R1584" s="246">
        <f t="shared" si="65"/>
        <v>0</v>
      </c>
      <c r="S1584" s="177"/>
      <c r="T1584" s="182"/>
      <c r="U1584" s="177"/>
      <c r="V1584" s="177"/>
      <c r="W1584" s="177"/>
      <c r="X1584" s="176"/>
      <c r="Y1584" s="177"/>
      <c r="Z1584" s="415"/>
      <c r="AA1584" s="488"/>
      <c r="AB1584" s="594"/>
      <c r="AC1584" s="595"/>
      <c r="AD1584" s="596" t="str">
        <f>IF(AND(AC1584&lt;&gt;"",S1584&lt;&gt;""),NETWORKDAYS(AC1584,S1584,#REF!),"")</f>
        <v/>
      </c>
      <c r="AE1584" s="596" t="str">
        <f ca="1">IF(AND(AD1584="",AC1584=""),"",IF(OR(AD1584&lt;&gt;"",O1584="*CANCELADO"),"",NETWORKDAYS(AC1584,TODAY(),#REF!)))</f>
        <v/>
      </c>
      <c r="AF1584" s="597" t="str">
        <f>IFERROR(INDEX(produtos_escape2!M:M,MATCH(Controle!H1584,produtos_escape2!A:A,0)),"")</f>
        <v/>
      </c>
    </row>
    <row r="1585" spans="1:32" ht="14.25" customHeight="1">
      <c r="A1585" s="176"/>
      <c r="B1585" s="176"/>
      <c r="C1585" s="177"/>
      <c r="D1585" s="176"/>
      <c r="E1585" s="176"/>
      <c r="F1585" s="259"/>
      <c r="G1585" s="176"/>
      <c r="H1585" s="178"/>
      <c r="I1585" s="592">
        <f t="shared" si="64"/>
        <v>0</v>
      </c>
      <c r="J1585" s="178"/>
      <c r="K1585" s="178"/>
      <c r="L1585" s="275" t="str">
        <f>IF(H:H=0,"",IF(ISERROR(VLOOKUP(H:H,produtos_escape2!$A$2:$B$2794,2,FALSE)),"Código não cadastrado",(VLOOKUP(H:H,produtos_escape2!$A$2:$B$2794,2,FALSE))))</f>
        <v/>
      </c>
      <c r="M1585" s="593" t="str">
        <f>IF(H:H=0,"",IF(ISERROR(VLOOKUP(H:H,produtos_escape2!$A$2:$D$2794,2,FALSE)),"Código não cadastrado",(VLOOKUP(H:H,produtos_escape2!$A$2:$D$2794,4,FALSE))))</f>
        <v/>
      </c>
      <c r="N1585" s="486"/>
      <c r="O1585" s="176"/>
      <c r="P1585" s="486"/>
      <c r="Q1585" s="247"/>
      <c r="R1585" s="246">
        <f t="shared" si="65"/>
        <v>0</v>
      </c>
      <c r="S1585" s="177"/>
      <c r="T1585" s="182"/>
      <c r="U1585" s="177"/>
      <c r="V1585" s="177"/>
      <c r="W1585" s="177"/>
      <c r="X1585" s="176"/>
      <c r="Y1585" s="177"/>
      <c r="Z1585" s="415"/>
      <c r="AA1585" s="488"/>
      <c r="AB1585" s="594"/>
      <c r="AC1585" s="595"/>
      <c r="AD1585" s="596" t="str">
        <f>IF(AND(AC1585&lt;&gt;"",S1585&lt;&gt;""),NETWORKDAYS(AC1585,S1585,#REF!),"")</f>
        <v/>
      </c>
      <c r="AE1585" s="596" t="str">
        <f ca="1">IF(AND(AD1585="",AC1585=""),"",IF(OR(AD1585&lt;&gt;"",O1585="*CANCELADO"),"",NETWORKDAYS(AC1585,TODAY(),#REF!)))</f>
        <v/>
      </c>
      <c r="AF1585" s="597" t="str">
        <f>IFERROR(INDEX(produtos_escape2!M:M,MATCH(Controle!H1585,produtos_escape2!A:A,0)),"")</f>
        <v/>
      </c>
    </row>
    <row r="1586" spans="1:32" ht="14.25" customHeight="1">
      <c r="A1586" s="176"/>
      <c r="B1586" s="176"/>
      <c r="C1586" s="177"/>
      <c r="D1586" s="176"/>
      <c r="E1586" s="176"/>
      <c r="F1586" s="259"/>
      <c r="G1586" s="176"/>
      <c r="H1586" s="178"/>
      <c r="I1586" s="592">
        <f t="shared" si="64"/>
        <v>0</v>
      </c>
      <c r="J1586" s="178"/>
      <c r="K1586" s="178"/>
      <c r="L1586" s="275" t="str">
        <f>IF(H:H=0,"",IF(ISERROR(VLOOKUP(H:H,produtos_escape2!$A$2:$B$2794,2,FALSE)),"Código não cadastrado",(VLOOKUP(H:H,produtos_escape2!$A$2:$B$2794,2,FALSE))))</f>
        <v/>
      </c>
      <c r="M1586" s="593" t="str">
        <f>IF(H:H=0,"",IF(ISERROR(VLOOKUP(H:H,produtos_escape2!$A$2:$D$2794,2,FALSE)),"Código não cadastrado",(VLOOKUP(H:H,produtos_escape2!$A$2:$D$2794,4,FALSE))))</f>
        <v/>
      </c>
      <c r="N1586" s="486"/>
      <c r="O1586" s="176"/>
      <c r="P1586" s="486"/>
      <c r="Q1586" s="247"/>
      <c r="R1586" s="246">
        <f t="shared" si="65"/>
        <v>0</v>
      </c>
      <c r="S1586" s="177"/>
      <c r="T1586" s="182"/>
      <c r="U1586" s="177"/>
      <c r="V1586" s="177"/>
      <c r="W1586" s="177"/>
      <c r="X1586" s="176"/>
      <c r="Y1586" s="177"/>
      <c r="Z1586" s="415"/>
      <c r="AA1586" s="488"/>
      <c r="AB1586" s="594"/>
      <c r="AC1586" s="595"/>
      <c r="AD1586" s="596" t="str">
        <f>IF(AND(AC1586&lt;&gt;"",S1586&lt;&gt;""),NETWORKDAYS(AC1586,S1586,#REF!),"")</f>
        <v/>
      </c>
      <c r="AE1586" s="596" t="str">
        <f ca="1">IF(AND(AD1586="",AC1586=""),"",IF(OR(AD1586&lt;&gt;"",O1586="*CANCELADO"),"",NETWORKDAYS(AC1586,TODAY(),#REF!)))</f>
        <v/>
      </c>
      <c r="AF1586" s="597" t="str">
        <f>IFERROR(INDEX(produtos_escape2!M:M,MATCH(Controle!H1586,produtos_escape2!A:A,0)),"")</f>
        <v/>
      </c>
    </row>
    <row r="1587" spans="1:32" ht="14.25" customHeight="1">
      <c r="A1587" s="176"/>
      <c r="B1587" s="176"/>
      <c r="C1587" s="177"/>
      <c r="D1587" s="176"/>
      <c r="E1587" s="176"/>
      <c r="F1587" s="259"/>
      <c r="G1587" s="176"/>
      <c r="H1587" s="178"/>
      <c r="I1587" s="592">
        <f t="shared" si="64"/>
        <v>0</v>
      </c>
      <c r="J1587" s="178"/>
      <c r="K1587" s="178"/>
      <c r="L1587" s="275" t="str">
        <f>IF(H:H=0,"",IF(ISERROR(VLOOKUP(H:H,produtos_escape2!$A$2:$B$2794,2,FALSE)),"Código não cadastrado",(VLOOKUP(H:H,produtos_escape2!$A$2:$B$2794,2,FALSE))))</f>
        <v/>
      </c>
      <c r="M1587" s="593" t="str">
        <f>IF(H:H=0,"",IF(ISERROR(VLOOKUP(H:H,produtos_escape2!$A$2:$D$2794,2,FALSE)),"Código não cadastrado",(VLOOKUP(H:H,produtos_escape2!$A$2:$D$2794,4,FALSE))))</f>
        <v/>
      </c>
      <c r="N1587" s="486"/>
      <c r="O1587" s="176"/>
      <c r="P1587" s="486"/>
      <c r="Q1587" s="247"/>
      <c r="R1587" s="246">
        <f t="shared" si="65"/>
        <v>0</v>
      </c>
      <c r="S1587" s="177"/>
      <c r="T1587" s="182"/>
      <c r="U1587" s="177"/>
      <c r="V1587" s="177"/>
      <c r="W1587" s="177"/>
      <c r="X1587" s="176"/>
      <c r="Y1587" s="177"/>
      <c r="Z1587" s="415"/>
      <c r="AA1587" s="488"/>
      <c r="AB1587" s="594"/>
      <c r="AC1587" s="595"/>
      <c r="AD1587" s="596" t="str">
        <f>IF(AND(AC1587&lt;&gt;"",S1587&lt;&gt;""),NETWORKDAYS(AC1587,S1587,#REF!),"")</f>
        <v/>
      </c>
      <c r="AE1587" s="596" t="str">
        <f ca="1">IF(AND(AD1587="",AC1587=""),"",IF(OR(AD1587&lt;&gt;"",O1587="*CANCELADO"),"",NETWORKDAYS(AC1587,TODAY(),#REF!)))</f>
        <v/>
      </c>
      <c r="AF1587" s="597" t="str">
        <f>IFERROR(INDEX(produtos_escape2!M:M,MATCH(Controle!H1587,produtos_escape2!A:A,0)),"")</f>
        <v/>
      </c>
    </row>
    <row r="1588" spans="1:32" ht="14.25" customHeight="1">
      <c r="A1588" s="176"/>
      <c r="B1588" s="176"/>
      <c r="C1588" s="177"/>
      <c r="D1588" s="176"/>
      <c r="E1588" s="176"/>
      <c r="F1588" s="259"/>
      <c r="G1588" s="176"/>
      <c r="H1588" s="178"/>
      <c r="I1588" s="592">
        <f t="shared" si="64"/>
        <v>0</v>
      </c>
      <c r="J1588" s="178"/>
      <c r="K1588" s="178"/>
      <c r="L1588" s="275" t="str">
        <f>IF(H:H=0,"",IF(ISERROR(VLOOKUP(H:H,produtos_escape2!$A$2:$B$2794,2,FALSE)),"Código não cadastrado",(VLOOKUP(H:H,produtos_escape2!$A$2:$B$2794,2,FALSE))))</f>
        <v/>
      </c>
      <c r="M1588" s="593" t="str">
        <f>IF(H:H=0,"",IF(ISERROR(VLOOKUP(H:H,produtos_escape2!$A$2:$D$2794,2,FALSE)),"Código não cadastrado",(VLOOKUP(H:H,produtos_escape2!$A$2:$D$2794,4,FALSE))))</f>
        <v/>
      </c>
      <c r="N1588" s="486"/>
      <c r="O1588" s="176"/>
      <c r="P1588" s="486"/>
      <c r="Q1588" s="247"/>
      <c r="R1588" s="246">
        <f t="shared" si="65"/>
        <v>0</v>
      </c>
      <c r="S1588" s="177"/>
      <c r="T1588" s="182"/>
      <c r="U1588" s="177"/>
      <c r="V1588" s="177"/>
      <c r="W1588" s="177"/>
      <c r="X1588" s="176"/>
      <c r="Y1588" s="177"/>
      <c r="Z1588" s="415"/>
      <c r="AA1588" s="488"/>
      <c r="AB1588" s="594"/>
      <c r="AC1588" s="595"/>
      <c r="AD1588" s="596" t="str">
        <f>IF(AND(AC1588&lt;&gt;"",S1588&lt;&gt;""),NETWORKDAYS(AC1588,S1588,#REF!),"")</f>
        <v/>
      </c>
      <c r="AE1588" s="596" t="str">
        <f ca="1">IF(AND(AD1588="",AC1588=""),"",IF(OR(AD1588&lt;&gt;"",O1588="*CANCELADO"),"",NETWORKDAYS(AC1588,TODAY(),#REF!)))</f>
        <v/>
      </c>
      <c r="AF1588" s="597" t="str">
        <f>IFERROR(INDEX(produtos_escape2!M:M,MATCH(Controle!H1588,produtos_escape2!A:A,0)),"")</f>
        <v/>
      </c>
    </row>
    <row r="1589" spans="1:32" ht="14.25" customHeight="1">
      <c r="A1589" s="176"/>
      <c r="B1589" s="176"/>
      <c r="C1589" s="177"/>
      <c r="D1589" s="176"/>
      <c r="E1589" s="176"/>
      <c r="F1589" s="259"/>
      <c r="G1589" s="176"/>
      <c r="H1589" s="178"/>
      <c r="I1589" s="592">
        <f t="shared" si="64"/>
        <v>0</v>
      </c>
      <c r="J1589" s="178"/>
      <c r="K1589" s="178"/>
      <c r="L1589" s="275" t="str">
        <f>IF(H:H=0,"",IF(ISERROR(VLOOKUP(H:H,produtos_escape2!$A$2:$B$2794,2,FALSE)),"Código não cadastrado",(VLOOKUP(H:H,produtos_escape2!$A$2:$B$2794,2,FALSE))))</f>
        <v/>
      </c>
      <c r="M1589" s="593" t="str">
        <f>IF(H:H=0,"",IF(ISERROR(VLOOKUP(H:H,produtos_escape2!$A$2:$D$2794,2,FALSE)),"Código não cadastrado",(VLOOKUP(H:H,produtos_escape2!$A$2:$D$2794,4,FALSE))))</f>
        <v/>
      </c>
      <c r="N1589" s="486"/>
      <c r="O1589" s="176"/>
      <c r="P1589" s="486"/>
      <c r="Q1589" s="247"/>
      <c r="R1589" s="246">
        <f t="shared" si="65"/>
        <v>0</v>
      </c>
      <c r="S1589" s="177"/>
      <c r="T1589" s="182"/>
      <c r="U1589" s="177"/>
      <c r="V1589" s="177"/>
      <c r="W1589" s="177"/>
      <c r="X1589" s="176"/>
      <c r="Y1589" s="177"/>
      <c r="Z1589" s="415"/>
      <c r="AA1589" s="488"/>
      <c r="AB1589" s="594"/>
      <c r="AC1589" s="595"/>
      <c r="AD1589" s="596" t="str">
        <f>IF(AND(AC1589&lt;&gt;"",S1589&lt;&gt;""),NETWORKDAYS(AC1589,S1589,#REF!),"")</f>
        <v/>
      </c>
      <c r="AE1589" s="596" t="str">
        <f ca="1">IF(AND(AD1589="",AC1589=""),"",IF(OR(AD1589&lt;&gt;"",O1589="*CANCELADO"),"",NETWORKDAYS(AC1589,TODAY(),#REF!)))</f>
        <v/>
      </c>
      <c r="AF1589" s="597" t="str">
        <f>IFERROR(INDEX(produtos_escape2!M:M,MATCH(Controle!H1589,produtos_escape2!A:A,0)),"")</f>
        <v/>
      </c>
    </row>
    <row r="1590" spans="1:32" ht="14.25" customHeight="1">
      <c r="A1590" s="176"/>
      <c r="B1590" s="176"/>
      <c r="C1590" s="177"/>
      <c r="D1590" s="176"/>
      <c r="E1590" s="176"/>
      <c r="F1590" s="259"/>
      <c r="G1590" s="176"/>
      <c r="H1590" s="178"/>
      <c r="I1590" s="592">
        <f t="shared" ref="I1590:I1653" si="66">COUNTIF($H$3:$H$3041,H1590)</f>
        <v>0</v>
      </c>
      <c r="J1590" s="178"/>
      <c r="K1590" s="178"/>
      <c r="L1590" s="275" t="str">
        <f>IF(H:H=0,"",IF(ISERROR(VLOOKUP(H:H,produtos_escape2!$A$2:$B$2794,2,FALSE)),"Código não cadastrado",(VLOOKUP(H:H,produtos_escape2!$A$2:$B$2794,2,FALSE))))</f>
        <v/>
      </c>
      <c r="M1590" s="593" t="str">
        <f>IF(H:H=0,"",IF(ISERROR(VLOOKUP(H:H,produtos_escape2!$A$2:$D$2794,2,FALSE)),"Código não cadastrado",(VLOOKUP(H:H,produtos_escape2!$A$2:$D$2794,4,FALSE))))</f>
        <v/>
      </c>
      <c r="N1590" s="486"/>
      <c r="O1590" s="176"/>
      <c r="P1590" s="486"/>
      <c r="Q1590" s="247"/>
      <c r="R1590" s="246">
        <f t="shared" si="65"/>
        <v>0</v>
      </c>
      <c r="S1590" s="177"/>
      <c r="T1590" s="182"/>
      <c r="U1590" s="177"/>
      <c r="V1590" s="177"/>
      <c r="W1590" s="177"/>
      <c r="X1590" s="176"/>
      <c r="Y1590" s="177"/>
      <c r="Z1590" s="415"/>
      <c r="AA1590" s="488"/>
      <c r="AB1590" s="594"/>
      <c r="AC1590" s="595"/>
      <c r="AD1590" s="596" t="str">
        <f>IF(AND(AC1590&lt;&gt;"",S1590&lt;&gt;""),NETWORKDAYS(AC1590,S1590,#REF!),"")</f>
        <v/>
      </c>
      <c r="AE1590" s="596" t="str">
        <f ca="1">IF(AND(AD1590="",AC1590=""),"",IF(OR(AD1590&lt;&gt;"",O1590="*CANCELADO"),"",NETWORKDAYS(AC1590,TODAY(),#REF!)))</f>
        <v/>
      </c>
      <c r="AF1590" s="597" t="str">
        <f>IFERROR(INDEX(produtos_escape2!M:M,MATCH(Controle!H1590,produtos_escape2!A:A,0)),"")</f>
        <v/>
      </c>
    </row>
    <row r="1591" spans="1:32" ht="14.25" customHeight="1">
      <c r="A1591" s="176"/>
      <c r="B1591" s="176"/>
      <c r="C1591" s="177"/>
      <c r="D1591" s="176"/>
      <c r="E1591" s="176"/>
      <c r="F1591" s="259"/>
      <c r="G1591" s="176"/>
      <c r="H1591" s="178"/>
      <c r="I1591" s="592">
        <f t="shared" si="66"/>
        <v>0</v>
      </c>
      <c r="J1591" s="178"/>
      <c r="K1591" s="178"/>
      <c r="L1591" s="275" t="str">
        <f>IF(H:H=0,"",IF(ISERROR(VLOOKUP(H:H,produtos_escape2!$A$2:$B$2794,2,FALSE)),"Código não cadastrado",(VLOOKUP(H:H,produtos_escape2!$A$2:$B$2794,2,FALSE))))</f>
        <v/>
      </c>
      <c r="M1591" s="593" t="str">
        <f>IF(H:H=0,"",IF(ISERROR(VLOOKUP(H:H,produtos_escape2!$A$2:$D$2794,2,FALSE)),"Código não cadastrado",(VLOOKUP(H:H,produtos_escape2!$A$2:$D$2794,4,FALSE))))</f>
        <v/>
      </c>
      <c r="N1591" s="486"/>
      <c r="O1591" s="176"/>
      <c r="P1591" s="486"/>
      <c r="Q1591" s="247"/>
      <c r="R1591" s="246">
        <f t="shared" si="65"/>
        <v>0</v>
      </c>
      <c r="S1591" s="177"/>
      <c r="T1591" s="182"/>
      <c r="U1591" s="177"/>
      <c r="V1591" s="177"/>
      <c r="W1591" s="177"/>
      <c r="X1591" s="176"/>
      <c r="Y1591" s="177"/>
      <c r="Z1591" s="415"/>
      <c r="AA1591" s="488"/>
      <c r="AB1591" s="594"/>
      <c r="AC1591" s="595"/>
      <c r="AD1591" s="596" t="str">
        <f>IF(AND(AC1591&lt;&gt;"",S1591&lt;&gt;""),NETWORKDAYS(AC1591,S1591,#REF!),"")</f>
        <v/>
      </c>
      <c r="AE1591" s="596" t="str">
        <f ca="1">IF(AND(AD1591="",AC1591=""),"",IF(OR(AD1591&lt;&gt;"",O1591="*CANCELADO"),"",NETWORKDAYS(AC1591,TODAY(),#REF!)))</f>
        <v/>
      </c>
      <c r="AF1591" s="597" t="str">
        <f>IFERROR(INDEX(produtos_escape2!M:M,MATCH(Controle!H1591,produtos_escape2!A:A,0)),"")</f>
        <v/>
      </c>
    </row>
    <row r="1592" spans="1:32" ht="14.25" customHeight="1">
      <c r="A1592" s="176"/>
      <c r="B1592" s="176"/>
      <c r="C1592" s="177"/>
      <c r="D1592" s="176"/>
      <c r="E1592" s="176"/>
      <c r="F1592" s="259"/>
      <c r="G1592" s="176"/>
      <c r="H1592" s="178"/>
      <c r="I1592" s="592">
        <f t="shared" si="66"/>
        <v>0</v>
      </c>
      <c r="J1592" s="178"/>
      <c r="K1592" s="178"/>
      <c r="L1592" s="275" t="str">
        <f>IF(H:H=0,"",IF(ISERROR(VLOOKUP(H:H,produtos_escape2!$A$2:$B$2794,2,FALSE)),"Código não cadastrado",(VLOOKUP(H:H,produtos_escape2!$A$2:$B$2794,2,FALSE))))</f>
        <v/>
      </c>
      <c r="M1592" s="593" t="str">
        <f>IF(H:H=0,"",IF(ISERROR(VLOOKUP(H:H,produtos_escape2!$A$2:$D$2794,2,FALSE)),"Código não cadastrado",(VLOOKUP(H:H,produtos_escape2!$A$2:$D$2794,4,FALSE))))</f>
        <v/>
      </c>
      <c r="N1592" s="486"/>
      <c r="O1592" s="176"/>
      <c r="P1592" s="486"/>
      <c r="Q1592" s="247"/>
      <c r="R1592" s="246">
        <f t="shared" si="65"/>
        <v>0</v>
      </c>
      <c r="S1592" s="177"/>
      <c r="T1592" s="182"/>
      <c r="U1592" s="177"/>
      <c r="V1592" s="177"/>
      <c r="W1592" s="177"/>
      <c r="X1592" s="176"/>
      <c r="Y1592" s="177"/>
      <c r="Z1592" s="415"/>
      <c r="AA1592" s="488"/>
      <c r="AB1592" s="594"/>
      <c r="AC1592" s="595"/>
      <c r="AD1592" s="596" t="str">
        <f>IF(AND(AC1592&lt;&gt;"",S1592&lt;&gt;""),NETWORKDAYS(AC1592,S1592,#REF!),"")</f>
        <v/>
      </c>
      <c r="AE1592" s="596" t="str">
        <f ca="1">IF(AND(AD1592="",AC1592=""),"",IF(OR(AD1592&lt;&gt;"",O1592="*CANCELADO"),"",NETWORKDAYS(AC1592,TODAY(),#REF!)))</f>
        <v/>
      </c>
      <c r="AF1592" s="597" t="str">
        <f>IFERROR(INDEX(produtos_escape2!M:M,MATCH(Controle!H1592,produtos_escape2!A:A,0)),"")</f>
        <v/>
      </c>
    </row>
    <row r="1593" spans="1:32" ht="14.25" customHeight="1">
      <c r="A1593" s="176"/>
      <c r="B1593" s="176"/>
      <c r="C1593" s="177"/>
      <c r="D1593" s="176"/>
      <c r="E1593" s="176"/>
      <c r="F1593" s="259"/>
      <c r="G1593" s="176"/>
      <c r="H1593" s="178"/>
      <c r="I1593" s="592">
        <f t="shared" si="66"/>
        <v>0</v>
      </c>
      <c r="J1593" s="178"/>
      <c r="K1593" s="178"/>
      <c r="L1593" s="275" t="str">
        <f>IF(H:H=0,"",IF(ISERROR(VLOOKUP(H:H,produtos_escape2!$A$2:$B$2794,2,FALSE)),"Código não cadastrado",(VLOOKUP(H:H,produtos_escape2!$A$2:$B$2794,2,FALSE))))</f>
        <v/>
      </c>
      <c r="M1593" s="593" t="str">
        <f>IF(H:H=0,"",IF(ISERROR(VLOOKUP(H:H,produtos_escape2!$A$2:$D$2794,2,FALSE)),"Código não cadastrado",(VLOOKUP(H:H,produtos_escape2!$A$2:$D$2794,4,FALSE))))</f>
        <v/>
      </c>
      <c r="N1593" s="486"/>
      <c r="O1593" s="176"/>
      <c r="P1593" s="486"/>
      <c r="Q1593" s="247"/>
      <c r="R1593" s="246">
        <f t="shared" si="65"/>
        <v>0</v>
      </c>
      <c r="S1593" s="177"/>
      <c r="T1593" s="182"/>
      <c r="U1593" s="177"/>
      <c r="V1593" s="177"/>
      <c r="W1593" s="177"/>
      <c r="X1593" s="176"/>
      <c r="Y1593" s="177"/>
      <c r="Z1593" s="415"/>
      <c r="AA1593" s="488"/>
      <c r="AB1593" s="594"/>
      <c r="AC1593" s="595"/>
      <c r="AD1593" s="596" t="str">
        <f>IF(AND(AC1593&lt;&gt;"",S1593&lt;&gt;""),NETWORKDAYS(AC1593,S1593,#REF!),"")</f>
        <v/>
      </c>
      <c r="AE1593" s="596" t="str">
        <f ca="1">IF(AND(AD1593="",AC1593=""),"",IF(OR(AD1593&lt;&gt;"",O1593="*CANCELADO"),"",NETWORKDAYS(AC1593,TODAY(),#REF!)))</f>
        <v/>
      </c>
      <c r="AF1593" s="597" t="str">
        <f>IFERROR(INDEX(produtos_escape2!M:M,MATCH(Controle!H1593,produtos_escape2!A:A,0)),"")</f>
        <v/>
      </c>
    </row>
    <row r="1594" spans="1:32" ht="14.25" customHeight="1">
      <c r="A1594" s="176"/>
      <c r="B1594" s="176"/>
      <c r="C1594" s="177"/>
      <c r="D1594" s="176"/>
      <c r="E1594" s="176"/>
      <c r="F1594" s="259"/>
      <c r="G1594" s="176"/>
      <c r="H1594" s="178"/>
      <c r="I1594" s="592">
        <f t="shared" si="66"/>
        <v>0</v>
      </c>
      <c r="J1594" s="178"/>
      <c r="K1594" s="178"/>
      <c r="L1594" s="275" t="str">
        <f>IF(H:H=0,"",IF(ISERROR(VLOOKUP(H:H,produtos_escape2!$A$2:$B$2794,2,FALSE)),"Código não cadastrado",(VLOOKUP(H:H,produtos_escape2!$A$2:$B$2794,2,FALSE))))</f>
        <v/>
      </c>
      <c r="M1594" s="593" t="str">
        <f>IF(H:H=0,"",IF(ISERROR(VLOOKUP(H:H,produtos_escape2!$A$2:$D$2794,2,FALSE)),"Código não cadastrado",(VLOOKUP(H:H,produtos_escape2!$A$2:$D$2794,4,FALSE))))</f>
        <v/>
      </c>
      <c r="N1594" s="486"/>
      <c r="O1594" s="176"/>
      <c r="P1594" s="486"/>
      <c r="Q1594" s="247"/>
      <c r="R1594" s="246">
        <f t="shared" si="65"/>
        <v>0</v>
      </c>
      <c r="S1594" s="177"/>
      <c r="T1594" s="182"/>
      <c r="U1594" s="177"/>
      <c r="V1594" s="177"/>
      <c r="W1594" s="177"/>
      <c r="X1594" s="176"/>
      <c r="Y1594" s="177"/>
      <c r="Z1594" s="415"/>
      <c r="AA1594" s="488"/>
      <c r="AB1594" s="594"/>
      <c r="AC1594" s="595"/>
      <c r="AD1594" s="596" t="str">
        <f>IF(AND(AC1594&lt;&gt;"",S1594&lt;&gt;""),NETWORKDAYS(AC1594,S1594,#REF!),"")</f>
        <v/>
      </c>
      <c r="AE1594" s="596" t="str">
        <f ca="1">IF(AND(AD1594="",AC1594=""),"",IF(OR(AD1594&lt;&gt;"",O1594="*CANCELADO"),"",NETWORKDAYS(AC1594,TODAY(),#REF!)))</f>
        <v/>
      </c>
      <c r="AF1594" s="597" t="str">
        <f>IFERROR(INDEX(produtos_escape2!M:M,MATCH(Controle!H1594,produtos_escape2!A:A,0)),"")</f>
        <v/>
      </c>
    </row>
    <row r="1595" spans="1:32" ht="14.25" customHeight="1">
      <c r="A1595" s="176"/>
      <c r="B1595" s="176"/>
      <c r="C1595" s="177"/>
      <c r="D1595" s="176"/>
      <c r="E1595" s="176"/>
      <c r="F1595" s="259"/>
      <c r="G1595" s="176"/>
      <c r="H1595" s="178"/>
      <c r="I1595" s="592">
        <f t="shared" si="66"/>
        <v>0</v>
      </c>
      <c r="J1595" s="178"/>
      <c r="K1595" s="178"/>
      <c r="L1595" s="275" t="str">
        <f>IF(H:H=0,"",IF(ISERROR(VLOOKUP(H:H,produtos_escape2!$A$2:$B$2794,2,FALSE)),"Código não cadastrado",(VLOOKUP(H:H,produtos_escape2!$A$2:$B$2794,2,FALSE))))</f>
        <v/>
      </c>
      <c r="M1595" s="593" t="str">
        <f>IF(H:H=0,"",IF(ISERROR(VLOOKUP(H:H,produtos_escape2!$A$2:$D$2794,2,FALSE)),"Código não cadastrado",(VLOOKUP(H:H,produtos_escape2!$A$2:$D$2794,4,FALSE))))</f>
        <v/>
      </c>
      <c r="N1595" s="486"/>
      <c r="O1595" s="176"/>
      <c r="P1595" s="486"/>
      <c r="Q1595" s="247"/>
      <c r="R1595" s="246">
        <f t="shared" si="65"/>
        <v>0</v>
      </c>
      <c r="S1595" s="177"/>
      <c r="T1595" s="182"/>
      <c r="U1595" s="177"/>
      <c r="V1595" s="177"/>
      <c r="W1595" s="177"/>
      <c r="X1595" s="176"/>
      <c r="Y1595" s="177"/>
      <c r="Z1595" s="415"/>
      <c r="AA1595" s="488"/>
      <c r="AB1595" s="594"/>
      <c r="AC1595" s="595"/>
      <c r="AD1595" s="596" t="str">
        <f>IF(AND(AC1595&lt;&gt;"",S1595&lt;&gt;""),NETWORKDAYS(AC1595,S1595,#REF!),"")</f>
        <v/>
      </c>
      <c r="AE1595" s="596" t="str">
        <f ca="1">IF(AND(AD1595="",AC1595=""),"",IF(OR(AD1595&lt;&gt;"",O1595="*CANCELADO"),"",NETWORKDAYS(AC1595,TODAY(),#REF!)))</f>
        <v/>
      </c>
      <c r="AF1595" s="597" t="str">
        <f>IFERROR(INDEX(produtos_escape2!M:M,MATCH(Controle!H1595,produtos_escape2!A:A,0)),"")</f>
        <v/>
      </c>
    </row>
    <row r="1596" spans="1:32" ht="14.25" customHeight="1">
      <c r="A1596" s="176"/>
      <c r="B1596" s="176"/>
      <c r="C1596" s="177"/>
      <c r="D1596" s="176"/>
      <c r="E1596" s="176"/>
      <c r="F1596" s="259"/>
      <c r="G1596" s="176"/>
      <c r="H1596" s="178"/>
      <c r="I1596" s="592">
        <f t="shared" si="66"/>
        <v>0</v>
      </c>
      <c r="J1596" s="178"/>
      <c r="K1596" s="178"/>
      <c r="L1596" s="275" t="str">
        <f>IF(H:H=0,"",IF(ISERROR(VLOOKUP(H:H,produtos_escape2!$A$2:$B$2794,2,FALSE)),"Código não cadastrado",(VLOOKUP(H:H,produtos_escape2!$A$2:$B$2794,2,FALSE))))</f>
        <v/>
      </c>
      <c r="M1596" s="593" t="str">
        <f>IF(H:H=0,"",IF(ISERROR(VLOOKUP(H:H,produtos_escape2!$A$2:$D$2794,2,FALSE)),"Código não cadastrado",(VLOOKUP(H:H,produtos_escape2!$A$2:$D$2794,4,FALSE))))</f>
        <v/>
      </c>
      <c r="N1596" s="486"/>
      <c r="O1596" s="176"/>
      <c r="P1596" s="486"/>
      <c r="Q1596" s="247"/>
      <c r="R1596" s="246">
        <f t="shared" si="65"/>
        <v>0</v>
      </c>
      <c r="S1596" s="177"/>
      <c r="T1596" s="182"/>
      <c r="U1596" s="177"/>
      <c r="V1596" s="177"/>
      <c r="W1596" s="177"/>
      <c r="X1596" s="176"/>
      <c r="Y1596" s="177"/>
      <c r="Z1596" s="415"/>
      <c r="AA1596" s="488"/>
      <c r="AB1596" s="594"/>
      <c r="AC1596" s="595"/>
      <c r="AD1596" s="596" t="str">
        <f>IF(AND(AC1596&lt;&gt;"",S1596&lt;&gt;""),NETWORKDAYS(AC1596,S1596,#REF!),"")</f>
        <v/>
      </c>
      <c r="AE1596" s="596" t="str">
        <f ca="1">IF(AND(AD1596="",AC1596=""),"",IF(OR(AD1596&lt;&gt;"",O1596="*CANCELADO"),"",NETWORKDAYS(AC1596,TODAY(),#REF!)))</f>
        <v/>
      </c>
      <c r="AF1596" s="597" t="str">
        <f>IFERROR(INDEX(produtos_escape2!M:M,MATCH(Controle!H1596,produtos_escape2!A:A,0)),"")</f>
        <v/>
      </c>
    </row>
    <row r="1597" spans="1:32" ht="14.25" customHeight="1">
      <c r="A1597" s="176"/>
      <c r="B1597" s="176"/>
      <c r="C1597" s="177"/>
      <c r="D1597" s="176"/>
      <c r="E1597" s="176"/>
      <c r="F1597" s="259"/>
      <c r="G1597" s="176"/>
      <c r="H1597" s="178"/>
      <c r="I1597" s="592">
        <f t="shared" si="66"/>
        <v>0</v>
      </c>
      <c r="J1597" s="178"/>
      <c r="K1597" s="178"/>
      <c r="L1597" s="275" t="str">
        <f>IF(H:H=0,"",IF(ISERROR(VLOOKUP(H:H,produtos_escape2!$A$2:$B$2794,2,FALSE)),"Código não cadastrado",(VLOOKUP(H:H,produtos_escape2!$A$2:$B$2794,2,FALSE))))</f>
        <v/>
      </c>
      <c r="M1597" s="593" t="str">
        <f>IF(H:H=0,"",IF(ISERROR(VLOOKUP(H:H,produtos_escape2!$A$2:$D$2794,2,FALSE)),"Código não cadastrado",(VLOOKUP(H:H,produtos_escape2!$A$2:$D$2794,4,FALSE))))</f>
        <v/>
      </c>
      <c r="N1597" s="486"/>
      <c r="O1597" s="176"/>
      <c r="P1597" s="486"/>
      <c r="Q1597" s="247"/>
      <c r="R1597" s="246">
        <f t="shared" si="65"/>
        <v>0</v>
      </c>
      <c r="S1597" s="177"/>
      <c r="T1597" s="182"/>
      <c r="U1597" s="177"/>
      <c r="V1597" s="177"/>
      <c r="W1597" s="177"/>
      <c r="X1597" s="176"/>
      <c r="Y1597" s="177"/>
      <c r="Z1597" s="415"/>
      <c r="AA1597" s="488"/>
      <c r="AB1597" s="594"/>
      <c r="AC1597" s="595"/>
      <c r="AD1597" s="596" t="str">
        <f>IF(AND(AC1597&lt;&gt;"",S1597&lt;&gt;""),NETWORKDAYS(AC1597,S1597,#REF!),"")</f>
        <v/>
      </c>
      <c r="AE1597" s="596" t="str">
        <f ca="1">IF(AND(AD1597="",AC1597=""),"",IF(OR(AD1597&lt;&gt;"",O1597="*CANCELADO"),"",NETWORKDAYS(AC1597,TODAY(),#REF!)))</f>
        <v/>
      </c>
      <c r="AF1597" s="597" t="str">
        <f>IFERROR(INDEX(produtos_escape2!M:M,MATCH(Controle!H1597,produtos_escape2!A:A,0)),"")</f>
        <v/>
      </c>
    </row>
    <row r="1598" spans="1:32" ht="14.25" customHeight="1">
      <c r="A1598" s="176"/>
      <c r="B1598" s="176"/>
      <c r="C1598" s="177"/>
      <c r="D1598" s="176"/>
      <c r="E1598" s="176"/>
      <c r="F1598" s="259"/>
      <c r="G1598" s="176"/>
      <c r="H1598" s="178"/>
      <c r="I1598" s="592">
        <f t="shared" si="66"/>
        <v>0</v>
      </c>
      <c r="J1598" s="178"/>
      <c r="K1598" s="178"/>
      <c r="L1598" s="275" t="str">
        <f>IF(H:H=0,"",IF(ISERROR(VLOOKUP(H:H,produtos_escape2!$A$2:$B$2794,2,FALSE)),"Código não cadastrado",(VLOOKUP(H:H,produtos_escape2!$A$2:$B$2794,2,FALSE))))</f>
        <v/>
      </c>
      <c r="M1598" s="593" t="str">
        <f>IF(H:H=0,"",IF(ISERROR(VLOOKUP(H:H,produtos_escape2!$A$2:$D$2794,2,FALSE)),"Código não cadastrado",(VLOOKUP(H:H,produtos_escape2!$A$2:$D$2794,4,FALSE))))</f>
        <v/>
      </c>
      <c r="N1598" s="486"/>
      <c r="O1598" s="176"/>
      <c r="P1598" s="486"/>
      <c r="Q1598" s="247"/>
      <c r="R1598" s="246">
        <f t="shared" si="65"/>
        <v>0</v>
      </c>
      <c r="S1598" s="177"/>
      <c r="T1598" s="182"/>
      <c r="U1598" s="177"/>
      <c r="V1598" s="177"/>
      <c r="W1598" s="177"/>
      <c r="X1598" s="176"/>
      <c r="Y1598" s="177"/>
      <c r="Z1598" s="415"/>
      <c r="AA1598" s="488"/>
      <c r="AB1598" s="594"/>
      <c r="AC1598" s="595"/>
      <c r="AD1598" s="596" t="str">
        <f>IF(AND(AC1598&lt;&gt;"",S1598&lt;&gt;""),NETWORKDAYS(AC1598,S1598,#REF!),"")</f>
        <v/>
      </c>
      <c r="AE1598" s="596" t="str">
        <f ca="1">IF(AND(AD1598="",AC1598=""),"",IF(OR(AD1598&lt;&gt;"",O1598="*CANCELADO"),"",NETWORKDAYS(AC1598,TODAY(),#REF!)))</f>
        <v/>
      </c>
      <c r="AF1598" s="597" t="str">
        <f>IFERROR(INDEX(produtos_escape2!M:M,MATCH(Controle!H1598,produtos_escape2!A:A,0)),"")</f>
        <v/>
      </c>
    </row>
    <row r="1599" spans="1:32" ht="14.25" customHeight="1">
      <c r="A1599" s="176"/>
      <c r="B1599" s="176"/>
      <c r="C1599" s="177"/>
      <c r="D1599" s="176"/>
      <c r="E1599" s="176"/>
      <c r="F1599" s="259"/>
      <c r="G1599" s="176"/>
      <c r="H1599" s="178"/>
      <c r="I1599" s="592">
        <f t="shared" si="66"/>
        <v>0</v>
      </c>
      <c r="J1599" s="178"/>
      <c r="K1599" s="178"/>
      <c r="L1599" s="275" t="str">
        <f>IF(H:H=0,"",IF(ISERROR(VLOOKUP(H:H,produtos_escape2!$A$2:$B$2794,2,FALSE)),"Código não cadastrado",(VLOOKUP(H:H,produtos_escape2!$A$2:$B$2794,2,FALSE))))</f>
        <v/>
      </c>
      <c r="M1599" s="593" t="str">
        <f>IF(H:H=0,"",IF(ISERROR(VLOOKUP(H:H,produtos_escape2!$A$2:$D$2794,2,FALSE)),"Código não cadastrado",(VLOOKUP(H:H,produtos_escape2!$A$2:$D$2794,4,FALSE))))</f>
        <v/>
      </c>
      <c r="N1599" s="486"/>
      <c r="O1599" s="176"/>
      <c r="P1599" s="486"/>
      <c r="Q1599" s="247"/>
      <c r="R1599" s="246">
        <f t="shared" si="65"/>
        <v>0</v>
      </c>
      <c r="S1599" s="177"/>
      <c r="T1599" s="182"/>
      <c r="U1599" s="177"/>
      <c r="V1599" s="177"/>
      <c r="W1599" s="177"/>
      <c r="X1599" s="176"/>
      <c r="Y1599" s="177"/>
      <c r="Z1599" s="415"/>
      <c r="AA1599" s="488"/>
      <c r="AB1599" s="594"/>
      <c r="AC1599" s="595"/>
      <c r="AD1599" s="596" t="str">
        <f>IF(AND(AC1599&lt;&gt;"",S1599&lt;&gt;""),NETWORKDAYS(AC1599,S1599,#REF!),"")</f>
        <v/>
      </c>
      <c r="AE1599" s="596" t="str">
        <f ca="1">IF(AND(AD1599="",AC1599=""),"",IF(OR(AD1599&lt;&gt;"",O1599="*CANCELADO"),"",NETWORKDAYS(AC1599,TODAY(),#REF!)))</f>
        <v/>
      </c>
      <c r="AF1599" s="597" t="str">
        <f>IFERROR(INDEX(produtos_escape2!M:M,MATCH(Controle!H1599,produtos_escape2!A:A,0)),"")</f>
        <v/>
      </c>
    </row>
    <row r="1600" spans="1:32" ht="14.25" customHeight="1">
      <c r="A1600" s="176"/>
      <c r="B1600" s="176"/>
      <c r="C1600" s="177"/>
      <c r="D1600" s="176"/>
      <c r="E1600" s="176"/>
      <c r="F1600" s="259"/>
      <c r="G1600" s="176"/>
      <c r="H1600" s="178"/>
      <c r="I1600" s="592">
        <f t="shared" si="66"/>
        <v>0</v>
      </c>
      <c r="J1600" s="178"/>
      <c r="K1600" s="178"/>
      <c r="L1600" s="275" t="str">
        <f>IF(H:H=0,"",IF(ISERROR(VLOOKUP(H:H,produtos_escape2!$A$2:$B$2794,2,FALSE)),"Código não cadastrado",(VLOOKUP(H:H,produtos_escape2!$A$2:$B$2794,2,FALSE))))</f>
        <v/>
      </c>
      <c r="M1600" s="593" t="str">
        <f>IF(H:H=0,"",IF(ISERROR(VLOOKUP(H:H,produtos_escape2!$A$2:$D$2794,2,FALSE)),"Código não cadastrado",(VLOOKUP(H:H,produtos_escape2!$A$2:$D$2794,4,FALSE))))</f>
        <v/>
      </c>
      <c r="N1600" s="486"/>
      <c r="O1600" s="176"/>
      <c r="P1600" s="486"/>
      <c r="Q1600" s="247"/>
      <c r="R1600" s="246">
        <f t="shared" si="65"/>
        <v>0</v>
      </c>
      <c r="S1600" s="177"/>
      <c r="T1600" s="182"/>
      <c r="U1600" s="177"/>
      <c r="V1600" s="177"/>
      <c r="W1600" s="177"/>
      <c r="X1600" s="176"/>
      <c r="Y1600" s="177"/>
      <c r="Z1600" s="415"/>
      <c r="AA1600" s="488"/>
      <c r="AB1600" s="594"/>
      <c r="AC1600" s="595"/>
      <c r="AD1600" s="596" t="str">
        <f>IF(AND(AC1600&lt;&gt;"",S1600&lt;&gt;""),NETWORKDAYS(AC1600,S1600,#REF!),"")</f>
        <v/>
      </c>
      <c r="AE1600" s="596" t="str">
        <f ca="1">IF(AND(AD1600="",AC1600=""),"",IF(OR(AD1600&lt;&gt;"",O1600="*CANCELADO"),"",NETWORKDAYS(AC1600,TODAY(),#REF!)))</f>
        <v/>
      </c>
      <c r="AF1600" s="597" t="str">
        <f>IFERROR(INDEX(produtos_escape2!M:M,MATCH(Controle!H1600,produtos_escape2!A:A,0)),"")</f>
        <v/>
      </c>
    </row>
    <row r="1601" spans="1:32" ht="14.25" customHeight="1">
      <c r="A1601" s="176"/>
      <c r="B1601" s="176"/>
      <c r="C1601" s="177"/>
      <c r="D1601" s="176"/>
      <c r="E1601" s="176"/>
      <c r="F1601" s="259"/>
      <c r="G1601" s="176"/>
      <c r="H1601" s="178"/>
      <c r="I1601" s="592">
        <f t="shared" si="66"/>
        <v>0</v>
      </c>
      <c r="J1601" s="178"/>
      <c r="K1601" s="178"/>
      <c r="L1601" s="275" t="str">
        <f>IF(H:H=0,"",IF(ISERROR(VLOOKUP(H:H,produtos_escape2!$A$2:$B$2794,2,FALSE)),"Código não cadastrado",(VLOOKUP(H:H,produtos_escape2!$A$2:$B$2794,2,FALSE))))</f>
        <v/>
      </c>
      <c r="M1601" s="593" t="str">
        <f>IF(H:H=0,"",IF(ISERROR(VLOOKUP(H:H,produtos_escape2!$A$2:$D$2794,2,FALSE)),"Código não cadastrado",(VLOOKUP(H:H,produtos_escape2!$A$2:$D$2794,4,FALSE))))</f>
        <v/>
      </c>
      <c r="N1601" s="486"/>
      <c r="O1601" s="176"/>
      <c r="P1601" s="486"/>
      <c r="Q1601" s="247"/>
      <c r="R1601" s="246">
        <f t="shared" si="65"/>
        <v>0</v>
      </c>
      <c r="S1601" s="177"/>
      <c r="T1601" s="182"/>
      <c r="U1601" s="177"/>
      <c r="V1601" s="177"/>
      <c r="W1601" s="177"/>
      <c r="X1601" s="176"/>
      <c r="Y1601" s="177"/>
      <c r="Z1601" s="415"/>
      <c r="AA1601" s="488"/>
      <c r="AB1601" s="594"/>
      <c r="AC1601" s="595"/>
      <c r="AD1601" s="596" t="str">
        <f>IF(AND(AC1601&lt;&gt;"",S1601&lt;&gt;""),NETWORKDAYS(AC1601,S1601,#REF!),"")</f>
        <v/>
      </c>
      <c r="AE1601" s="596" t="str">
        <f ca="1">IF(AND(AD1601="",AC1601=""),"",IF(OR(AD1601&lt;&gt;"",O1601="*CANCELADO"),"",NETWORKDAYS(AC1601,TODAY(),#REF!)))</f>
        <v/>
      </c>
      <c r="AF1601" s="597" t="str">
        <f>IFERROR(INDEX(produtos_escape2!M:M,MATCH(Controle!H1601,produtos_escape2!A:A,0)),"")</f>
        <v/>
      </c>
    </row>
    <row r="1602" spans="1:32" ht="14.25" customHeight="1">
      <c r="A1602" s="176"/>
      <c r="B1602" s="176"/>
      <c r="C1602" s="177"/>
      <c r="D1602" s="176"/>
      <c r="E1602" s="176"/>
      <c r="F1602" s="259"/>
      <c r="G1602" s="176"/>
      <c r="H1602" s="178"/>
      <c r="I1602" s="592">
        <f t="shared" si="66"/>
        <v>0</v>
      </c>
      <c r="J1602" s="178"/>
      <c r="K1602" s="178"/>
      <c r="L1602" s="275" t="str">
        <f>IF(H:H=0,"",IF(ISERROR(VLOOKUP(H:H,produtos_escape2!$A$2:$B$2794,2,FALSE)),"Código não cadastrado",(VLOOKUP(H:H,produtos_escape2!$A$2:$B$2794,2,FALSE))))</f>
        <v/>
      </c>
      <c r="M1602" s="593" t="str">
        <f>IF(H:H=0,"",IF(ISERROR(VLOOKUP(H:H,produtos_escape2!$A$2:$D$2794,2,FALSE)),"Código não cadastrado",(VLOOKUP(H:H,produtos_escape2!$A$2:$D$2794,4,FALSE))))</f>
        <v/>
      </c>
      <c r="N1602" s="486"/>
      <c r="O1602" s="176"/>
      <c r="P1602" s="486"/>
      <c r="Q1602" s="247"/>
      <c r="R1602" s="246">
        <f t="shared" si="65"/>
        <v>0</v>
      </c>
      <c r="S1602" s="177"/>
      <c r="T1602" s="182"/>
      <c r="U1602" s="177"/>
      <c r="V1602" s="177"/>
      <c r="W1602" s="177"/>
      <c r="X1602" s="176"/>
      <c r="Y1602" s="177"/>
      <c r="Z1602" s="415"/>
      <c r="AA1602" s="488"/>
      <c r="AB1602" s="594"/>
      <c r="AC1602" s="595"/>
      <c r="AD1602" s="596" t="str">
        <f>IF(AND(AC1602&lt;&gt;"",S1602&lt;&gt;""),NETWORKDAYS(AC1602,S1602,#REF!),"")</f>
        <v/>
      </c>
      <c r="AE1602" s="596" t="str">
        <f ca="1">IF(AND(AD1602="",AC1602=""),"",IF(OR(AD1602&lt;&gt;"",O1602="*CANCELADO"),"",NETWORKDAYS(AC1602,TODAY(),#REF!)))</f>
        <v/>
      </c>
      <c r="AF1602" s="597" t="str">
        <f>IFERROR(INDEX(produtos_escape2!M:M,MATCH(Controle!H1602,produtos_escape2!A:A,0)),"")</f>
        <v/>
      </c>
    </row>
    <row r="1603" spans="1:32" ht="14.25" customHeight="1">
      <c r="A1603" s="176"/>
      <c r="B1603" s="176"/>
      <c r="C1603" s="177"/>
      <c r="D1603" s="176"/>
      <c r="E1603" s="176"/>
      <c r="F1603" s="259"/>
      <c r="G1603" s="176"/>
      <c r="H1603" s="178"/>
      <c r="I1603" s="592">
        <f t="shared" si="66"/>
        <v>0</v>
      </c>
      <c r="J1603" s="178"/>
      <c r="K1603" s="178"/>
      <c r="L1603" s="275" t="str">
        <f>IF(H:H=0,"",IF(ISERROR(VLOOKUP(H:H,produtos_escape2!$A$2:$B$2794,2,FALSE)),"Código não cadastrado",(VLOOKUP(H:H,produtos_escape2!$A$2:$B$2794,2,FALSE))))</f>
        <v/>
      </c>
      <c r="M1603" s="593" t="str">
        <f>IF(H:H=0,"",IF(ISERROR(VLOOKUP(H:H,produtos_escape2!$A$2:$D$2794,2,FALSE)),"Código não cadastrado",(VLOOKUP(H:H,produtos_escape2!$A$2:$D$2794,4,FALSE))))</f>
        <v/>
      </c>
      <c r="N1603" s="486"/>
      <c r="O1603" s="176"/>
      <c r="P1603" s="486"/>
      <c r="Q1603" s="247"/>
      <c r="R1603" s="246">
        <f t="shared" si="65"/>
        <v>0</v>
      </c>
      <c r="S1603" s="177"/>
      <c r="T1603" s="182"/>
      <c r="U1603" s="177"/>
      <c r="V1603" s="177"/>
      <c r="W1603" s="177"/>
      <c r="X1603" s="176"/>
      <c r="Y1603" s="177"/>
      <c r="Z1603" s="415"/>
      <c r="AA1603" s="488"/>
      <c r="AB1603" s="594"/>
      <c r="AC1603" s="595"/>
      <c r="AD1603" s="596" t="str">
        <f>IF(AND(AC1603&lt;&gt;"",S1603&lt;&gt;""),NETWORKDAYS(AC1603,S1603,#REF!),"")</f>
        <v/>
      </c>
      <c r="AE1603" s="596" t="str">
        <f ca="1">IF(AND(AD1603="",AC1603=""),"",IF(OR(AD1603&lt;&gt;"",O1603="*CANCELADO"),"",NETWORKDAYS(AC1603,TODAY(),#REF!)))</f>
        <v/>
      </c>
      <c r="AF1603" s="597" t="str">
        <f>IFERROR(INDEX(produtos_escape2!M:M,MATCH(Controle!H1603,produtos_escape2!A:A,0)),"")</f>
        <v/>
      </c>
    </row>
    <row r="1604" spans="1:32" ht="14.25" customHeight="1">
      <c r="A1604" s="176"/>
      <c r="B1604" s="176"/>
      <c r="C1604" s="177"/>
      <c r="D1604" s="176"/>
      <c r="E1604" s="176"/>
      <c r="F1604" s="259"/>
      <c r="G1604" s="176"/>
      <c r="H1604" s="178"/>
      <c r="I1604" s="592">
        <f t="shared" si="66"/>
        <v>0</v>
      </c>
      <c r="J1604" s="178"/>
      <c r="K1604" s="178"/>
      <c r="L1604" s="275" t="str">
        <f>IF(H:H=0,"",IF(ISERROR(VLOOKUP(H:H,produtos_escape2!$A$2:$B$2794,2,FALSE)),"Código não cadastrado",(VLOOKUP(H:H,produtos_escape2!$A$2:$B$2794,2,FALSE))))</f>
        <v/>
      </c>
      <c r="M1604" s="593" t="str">
        <f>IF(H:H=0,"",IF(ISERROR(VLOOKUP(H:H,produtos_escape2!$A$2:$D$2794,2,FALSE)),"Código não cadastrado",(VLOOKUP(H:H,produtos_escape2!$A$2:$D$2794,4,FALSE))))</f>
        <v/>
      </c>
      <c r="N1604" s="486"/>
      <c r="O1604" s="176"/>
      <c r="P1604" s="486"/>
      <c r="Q1604" s="247"/>
      <c r="R1604" s="246">
        <f t="shared" si="65"/>
        <v>0</v>
      </c>
      <c r="S1604" s="177"/>
      <c r="T1604" s="182"/>
      <c r="U1604" s="177"/>
      <c r="V1604" s="177"/>
      <c r="W1604" s="177"/>
      <c r="X1604" s="176"/>
      <c r="Y1604" s="177"/>
      <c r="Z1604" s="415"/>
      <c r="AA1604" s="488"/>
      <c r="AB1604" s="594"/>
      <c r="AC1604" s="595"/>
      <c r="AD1604" s="596" t="str">
        <f>IF(AND(AC1604&lt;&gt;"",S1604&lt;&gt;""),NETWORKDAYS(AC1604,S1604,#REF!),"")</f>
        <v/>
      </c>
      <c r="AE1604" s="596" t="str">
        <f ca="1">IF(AND(AD1604="",AC1604=""),"",IF(OR(AD1604&lt;&gt;"",O1604="*CANCELADO"),"",NETWORKDAYS(AC1604,TODAY(),#REF!)))</f>
        <v/>
      </c>
      <c r="AF1604" s="597" t="str">
        <f>IFERROR(INDEX(produtos_escape2!M:M,MATCH(Controle!H1604,produtos_escape2!A:A,0)),"")</f>
        <v/>
      </c>
    </row>
    <row r="1605" spans="1:32" ht="14.25" customHeight="1">
      <c r="A1605" s="176"/>
      <c r="B1605" s="176"/>
      <c r="C1605" s="177"/>
      <c r="D1605" s="176"/>
      <c r="E1605" s="176"/>
      <c r="F1605" s="259"/>
      <c r="G1605" s="176"/>
      <c r="H1605" s="178"/>
      <c r="I1605" s="592">
        <f t="shared" si="66"/>
        <v>0</v>
      </c>
      <c r="J1605" s="178"/>
      <c r="K1605" s="178"/>
      <c r="L1605" s="275" t="str">
        <f>IF(H:H=0,"",IF(ISERROR(VLOOKUP(H:H,produtos_escape2!$A$2:$B$2794,2,FALSE)),"Código não cadastrado",(VLOOKUP(H:H,produtos_escape2!$A$2:$B$2794,2,FALSE))))</f>
        <v/>
      </c>
      <c r="M1605" s="593" t="str">
        <f>IF(H:H=0,"",IF(ISERROR(VLOOKUP(H:H,produtos_escape2!$A$2:$D$2794,2,FALSE)),"Código não cadastrado",(VLOOKUP(H:H,produtos_escape2!$A$2:$D$2794,4,FALSE))))</f>
        <v/>
      </c>
      <c r="N1605" s="486"/>
      <c r="O1605" s="176"/>
      <c r="P1605" s="486"/>
      <c r="Q1605" s="247"/>
      <c r="R1605" s="246">
        <f t="shared" si="65"/>
        <v>0</v>
      </c>
      <c r="S1605" s="177"/>
      <c r="T1605" s="182"/>
      <c r="U1605" s="177"/>
      <c r="V1605" s="177"/>
      <c r="W1605" s="177"/>
      <c r="X1605" s="176"/>
      <c r="Y1605" s="177"/>
      <c r="Z1605" s="415"/>
      <c r="AA1605" s="488"/>
      <c r="AB1605" s="594"/>
      <c r="AC1605" s="595"/>
      <c r="AD1605" s="596" t="str">
        <f>IF(AND(AC1605&lt;&gt;"",S1605&lt;&gt;""),NETWORKDAYS(AC1605,S1605,#REF!),"")</f>
        <v/>
      </c>
      <c r="AE1605" s="596" t="str">
        <f ca="1">IF(AND(AD1605="",AC1605=""),"",IF(OR(AD1605&lt;&gt;"",O1605="*CANCELADO"),"",NETWORKDAYS(AC1605,TODAY(),#REF!)))</f>
        <v/>
      </c>
      <c r="AF1605" s="597" t="str">
        <f>IFERROR(INDEX(produtos_escape2!M:M,MATCH(Controle!H1605,produtos_escape2!A:A,0)),"")</f>
        <v/>
      </c>
    </row>
    <row r="1606" spans="1:32" ht="14.25" customHeight="1">
      <c r="A1606" s="176"/>
      <c r="B1606" s="176"/>
      <c r="C1606" s="177"/>
      <c r="D1606" s="176"/>
      <c r="E1606" s="176"/>
      <c r="F1606" s="259"/>
      <c r="G1606" s="176"/>
      <c r="H1606" s="178"/>
      <c r="I1606" s="592">
        <f t="shared" si="66"/>
        <v>0</v>
      </c>
      <c r="J1606" s="178"/>
      <c r="K1606" s="178"/>
      <c r="L1606" s="275" t="str">
        <f>IF(H:H=0,"",IF(ISERROR(VLOOKUP(H:H,produtos_escape2!$A$2:$B$2794,2,FALSE)),"Código não cadastrado",(VLOOKUP(H:H,produtos_escape2!$A$2:$B$2794,2,FALSE))))</f>
        <v/>
      </c>
      <c r="M1606" s="593" t="str">
        <f>IF(H:H=0,"",IF(ISERROR(VLOOKUP(H:H,produtos_escape2!$A$2:$D$2794,2,FALSE)),"Código não cadastrado",(VLOOKUP(H:H,produtos_escape2!$A$2:$D$2794,4,FALSE))))</f>
        <v/>
      </c>
      <c r="N1606" s="486"/>
      <c r="O1606" s="176"/>
      <c r="P1606" s="486"/>
      <c r="Q1606" s="247"/>
      <c r="R1606" s="246">
        <f t="shared" si="65"/>
        <v>0</v>
      </c>
      <c r="S1606" s="177"/>
      <c r="T1606" s="182"/>
      <c r="U1606" s="177"/>
      <c r="V1606" s="177"/>
      <c r="W1606" s="177"/>
      <c r="X1606" s="176"/>
      <c r="Y1606" s="177"/>
      <c r="Z1606" s="415"/>
      <c r="AA1606" s="488"/>
      <c r="AB1606" s="594"/>
      <c r="AC1606" s="595"/>
      <c r="AD1606" s="596" t="str">
        <f>IF(AND(AC1606&lt;&gt;"",S1606&lt;&gt;""),NETWORKDAYS(AC1606,S1606,#REF!),"")</f>
        <v/>
      </c>
      <c r="AE1606" s="596" t="str">
        <f ca="1">IF(AND(AD1606="",AC1606=""),"",IF(OR(AD1606&lt;&gt;"",O1606="*CANCELADO"),"",NETWORKDAYS(AC1606,TODAY(),#REF!)))</f>
        <v/>
      </c>
      <c r="AF1606" s="597" t="str">
        <f>IFERROR(INDEX(produtos_escape2!M:M,MATCH(Controle!H1606,produtos_escape2!A:A,0)),"")</f>
        <v/>
      </c>
    </row>
    <row r="1607" spans="1:32" ht="14.25" customHeight="1">
      <c r="A1607" s="176"/>
      <c r="B1607" s="176"/>
      <c r="C1607" s="177"/>
      <c r="D1607" s="176"/>
      <c r="E1607" s="176"/>
      <c r="F1607" s="259"/>
      <c r="G1607" s="176"/>
      <c r="H1607" s="178"/>
      <c r="I1607" s="592">
        <f t="shared" si="66"/>
        <v>0</v>
      </c>
      <c r="J1607" s="178"/>
      <c r="K1607" s="178"/>
      <c r="L1607" s="275" t="str">
        <f>IF(H:H=0,"",IF(ISERROR(VLOOKUP(H:H,produtos_escape2!$A$2:$B$2794,2,FALSE)),"Código não cadastrado",(VLOOKUP(H:H,produtos_escape2!$A$2:$B$2794,2,FALSE))))</f>
        <v/>
      </c>
      <c r="M1607" s="593" t="str">
        <f>IF(H:H=0,"",IF(ISERROR(VLOOKUP(H:H,produtos_escape2!$A$2:$D$2794,2,FALSE)),"Código não cadastrado",(VLOOKUP(H:H,produtos_escape2!$A$2:$D$2794,4,FALSE))))</f>
        <v/>
      </c>
      <c r="N1607" s="486"/>
      <c r="O1607" s="176"/>
      <c r="P1607" s="486"/>
      <c r="Q1607" s="247"/>
      <c r="R1607" s="246">
        <f t="shared" si="65"/>
        <v>0</v>
      </c>
      <c r="S1607" s="177"/>
      <c r="T1607" s="182"/>
      <c r="U1607" s="177"/>
      <c r="V1607" s="177"/>
      <c r="W1607" s="177"/>
      <c r="X1607" s="176"/>
      <c r="Y1607" s="177"/>
      <c r="Z1607" s="415"/>
      <c r="AA1607" s="488"/>
      <c r="AB1607" s="594"/>
      <c r="AC1607" s="595"/>
      <c r="AD1607" s="596" t="str">
        <f>IF(AND(AC1607&lt;&gt;"",S1607&lt;&gt;""),NETWORKDAYS(AC1607,S1607,#REF!),"")</f>
        <v/>
      </c>
      <c r="AE1607" s="596" t="str">
        <f ca="1">IF(AND(AD1607="",AC1607=""),"",IF(OR(AD1607&lt;&gt;"",O1607="*CANCELADO"),"",NETWORKDAYS(AC1607,TODAY(),#REF!)))</f>
        <v/>
      </c>
      <c r="AF1607" s="597" t="str">
        <f>IFERROR(INDEX(produtos_escape2!M:M,MATCH(Controle!H1607,produtos_escape2!A:A,0)),"")</f>
        <v/>
      </c>
    </row>
    <row r="1608" spans="1:32" ht="14.25" customHeight="1">
      <c r="A1608" s="176"/>
      <c r="B1608" s="176"/>
      <c r="C1608" s="177"/>
      <c r="D1608" s="176"/>
      <c r="E1608" s="176"/>
      <c r="F1608" s="259"/>
      <c r="G1608" s="176"/>
      <c r="H1608" s="178"/>
      <c r="I1608" s="592">
        <f t="shared" si="66"/>
        <v>0</v>
      </c>
      <c r="J1608" s="178"/>
      <c r="K1608" s="178"/>
      <c r="L1608" s="275" t="str">
        <f>IF(H:H=0,"",IF(ISERROR(VLOOKUP(H:H,produtos_escape2!$A$2:$B$2794,2,FALSE)),"Código não cadastrado",(VLOOKUP(H:H,produtos_escape2!$A$2:$B$2794,2,FALSE))))</f>
        <v/>
      </c>
      <c r="M1608" s="593" t="str">
        <f>IF(H:H=0,"",IF(ISERROR(VLOOKUP(H:H,produtos_escape2!$A$2:$D$2794,2,FALSE)),"Código não cadastrado",(VLOOKUP(H:H,produtos_escape2!$A$2:$D$2794,4,FALSE))))</f>
        <v/>
      </c>
      <c r="N1608" s="486"/>
      <c r="O1608" s="176"/>
      <c r="P1608" s="486"/>
      <c r="Q1608" s="247"/>
      <c r="R1608" s="246">
        <f t="shared" si="65"/>
        <v>0</v>
      </c>
      <c r="S1608" s="177"/>
      <c r="T1608" s="182"/>
      <c r="U1608" s="177"/>
      <c r="V1608" s="177"/>
      <c r="W1608" s="177"/>
      <c r="X1608" s="176"/>
      <c r="Y1608" s="177"/>
      <c r="Z1608" s="415"/>
      <c r="AA1608" s="488"/>
      <c r="AB1608" s="594"/>
      <c r="AC1608" s="595"/>
      <c r="AD1608" s="596" t="str">
        <f>IF(AND(AC1608&lt;&gt;"",S1608&lt;&gt;""),NETWORKDAYS(AC1608,S1608,#REF!),"")</f>
        <v/>
      </c>
      <c r="AE1608" s="596" t="str">
        <f ca="1">IF(AND(AD1608="",AC1608=""),"",IF(OR(AD1608&lt;&gt;"",O1608="*CANCELADO"),"",NETWORKDAYS(AC1608,TODAY(),#REF!)))</f>
        <v/>
      </c>
      <c r="AF1608" s="597" t="str">
        <f>IFERROR(INDEX(produtos_escape2!M:M,MATCH(Controle!H1608,produtos_escape2!A:A,0)),"")</f>
        <v/>
      </c>
    </row>
    <row r="1609" spans="1:32" ht="14.25" customHeight="1">
      <c r="A1609" s="176"/>
      <c r="B1609" s="176"/>
      <c r="C1609" s="177"/>
      <c r="D1609" s="176"/>
      <c r="E1609" s="176"/>
      <c r="F1609" s="259"/>
      <c r="G1609" s="176"/>
      <c r="H1609" s="178"/>
      <c r="I1609" s="592">
        <f t="shared" si="66"/>
        <v>0</v>
      </c>
      <c r="J1609" s="178"/>
      <c r="K1609" s="178"/>
      <c r="L1609" s="275" t="str">
        <f>IF(H:H=0,"",IF(ISERROR(VLOOKUP(H:H,produtos_escape2!$A$2:$B$2794,2,FALSE)),"Código não cadastrado",(VLOOKUP(H:H,produtos_escape2!$A$2:$B$2794,2,FALSE))))</f>
        <v/>
      </c>
      <c r="M1609" s="593" t="str">
        <f>IF(H:H=0,"",IF(ISERROR(VLOOKUP(H:H,produtos_escape2!$A$2:$D$2794,2,FALSE)),"Código não cadastrado",(VLOOKUP(H:H,produtos_escape2!$A$2:$D$2794,4,FALSE))))</f>
        <v/>
      </c>
      <c r="N1609" s="486"/>
      <c r="O1609" s="176"/>
      <c r="P1609" s="486"/>
      <c r="Q1609" s="247"/>
      <c r="R1609" s="246">
        <f t="shared" si="65"/>
        <v>0</v>
      </c>
      <c r="S1609" s="177"/>
      <c r="T1609" s="182"/>
      <c r="U1609" s="177"/>
      <c r="V1609" s="177"/>
      <c r="W1609" s="177"/>
      <c r="X1609" s="176"/>
      <c r="Y1609" s="177"/>
      <c r="Z1609" s="415"/>
      <c r="AA1609" s="488"/>
      <c r="AB1609" s="594"/>
      <c r="AC1609" s="595"/>
      <c r="AD1609" s="596" t="str">
        <f>IF(AND(AC1609&lt;&gt;"",S1609&lt;&gt;""),NETWORKDAYS(AC1609,S1609,#REF!),"")</f>
        <v/>
      </c>
      <c r="AE1609" s="596" t="str">
        <f ca="1">IF(AND(AD1609="",AC1609=""),"",IF(OR(AD1609&lt;&gt;"",O1609="*CANCELADO"),"",NETWORKDAYS(AC1609,TODAY(),#REF!)))</f>
        <v/>
      </c>
      <c r="AF1609" s="597" t="str">
        <f>IFERROR(INDEX(produtos_escape2!M:M,MATCH(Controle!H1609,produtos_escape2!A:A,0)),"")</f>
        <v/>
      </c>
    </row>
    <row r="1610" spans="1:32" ht="14.25" customHeight="1">
      <c r="A1610" s="176"/>
      <c r="B1610" s="176"/>
      <c r="C1610" s="177"/>
      <c r="D1610" s="176"/>
      <c r="E1610" s="176"/>
      <c r="F1610" s="259"/>
      <c r="G1610" s="176"/>
      <c r="H1610" s="178"/>
      <c r="I1610" s="592">
        <f t="shared" si="66"/>
        <v>0</v>
      </c>
      <c r="J1610" s="178"/>
      <c r="K1610" s="178"/>
      <c r="L1610" s="275" t="str">
        <f>IF(H:H=0,"",IF(ISERROR(VLOOKUP(H:H,produtos_escape2!$A$2:$B$2794,2,FALSE)),"Código não cadastrado",(VLOOKUP(H:H,produtos_escape2!$A$2:$B$2794,2,FALSE))))</f>
        <v/>
      </c>
      <c r="M1610" s="593" t="str">
        <f>IF(H:H=0,"",IF(ISERROR(VLOOKUP(H:H,produtos_escape2!$A$2:$D$2794,2,FALSE)),"Código não cadastrado",(VLOOKUP(H:H,produtos_escape2!$A$2:$D$2794,4,FALSE))))</f>
        <v/>
      </c>
      <c r="N1610" s="486"/>
      <c r="O1610" s="176"/>
      <c r="P1610" s="486"/>
      <c r="Q1610" s="247"/>
      <c r="R1610" s="246">
        <f t="shared" si="65"/>
        <v>0</v>
      </c>
      <c r="S1610" s="177"/>
      <c r="T1610" s="182"/>
      <c r="U1610" s="177"/>
      <c r="V1610" s="177"/>
      <c r="W1610" s="177"/>
      <c r="X1610" s="176"/>
      <c r="Y1610" s="177"/>
      <c r="Z1610" s="415"/>
      <c r="AA1610" s="488"/>
      <c r="AB1610" s="594"/>
      <c r="AC1610" s="595"/>
      <c r="AD1610" s="596" t="str">
        <f>IF(AND(AC1610&lt;&gt;"",S1610&lt;&gt;""),NETWORKDAYS(AC1610,S1610,#REF!),"")</f>
        <v/>
      </c>
      <c r="AE1610" s="596" t="str">
        <f ca="1">IF(AND(AD1610="",AC1610=""),"",IF(OR(AD1610&lt;&gt;"",O1610="*CANCELADO"),"",NETWORKDAYS(AC1610,TODAY(),#REF!)))</f>
        <v/>
      </c>
      <c r="AF1610" s="597" t="str">
        <f>IFERROR(INDEX(produtos_escape2!M:M,MATCH(Controle!H1610,produtos_escape2!A:A,0)),"")</f>
        <v/>
      </c>
    </row>
    <row r="1611" spans="1:32" ht="14.25" customHeight="1">
      <c r="A1611" s="176"/>
      <c r="B1611" s="176"/>
      <c r="C1611" s="177"/>
      <c r="D1611" s="176"/>
      <c r="E1611" s="176"/>
      <c r="F1611" s="259"/>
      <c r="G1611" s="176"/>
      <c r="H1611" s="178"/>
      <c r="I1611" s="592">
        <f t="shared" si="66"/>
        <v>0</v>
      </c>
      <c r="J1611" s="178"/>
      <c r="K1611" s="178"/>
      <c r="L1611" s="275" t="str">
        <f>IF(H:H=0,"",IF(ISERROR(VLOOKUP(H:H,produtos_escape2!$A$2:$B$2794,2,FALSE)),"Código não cadastrado",(VLOOKUP(H:H,produtos_escape2!$A$2:$B$2794,2,FALSE))))</f>
        <v/>
      </c>
      <c r="M1611" s="593" t="str">
        <f>IF(H:H=0,"",IF(ISERROR(VLOOKUP(H:H,produtos_escape2!$A$2:$D$2794,2,FALSE)),"Código não cadastrado",(VLOOKUP(H:H,produtos_escape2!$A$2:$D$2794,4,FALSE))))</f>
        <v/>
      </c>
      <c r="N1611" s="486"/>
      <c r="O1611" s="176"/>
      <c r="P1611" s="486"/>
      <c r="Q1611" s="247"/>
      <c r="R1611" s="246">
        <f t="shared" si="65"/>
        <v>0</v>
      </c>
      <c r="S1611" s="177"/>
      <c r="T1611" s="182"/>
      <c r="U1611" s="177"/>
      <c r="V1611" s="177"/>
      <c r="W1611" s="177"/>
      <c r="X1611" s="176"/>
      <c r="Y1611" s="177"/>
      <c r="Z1611" s="415"/>
      <c r="AA1611" s="488"/>
      <c r="AB1611" s="594"/>
      <c r="AC1611" s="595"/>
      <c r="AD1611" s="596" t="str">
        <f>IF(AND(AC1611&lt;&gt;"",S1611&lt;&gt;""),NETWORKDAYS(AC1611,S1611,#REF!),"")</f>
        <v/>
      </c>
      <c r="AE1611" s="596" t="str">
        <f ca="1">IF(AND(AD1611="",AC1611=""),"",IF(OR(AD1611&lt;&gt;"",O1611="*CANCELADO"),"",NETWORKDAYS(AC1611,TODAY(),#REF!)))</f>
        <v/>
      </c>
      <c r="AF1611" s="597" t="str">
        <f>IFERROR(INDEX(produtos_escape2!M:M,MATCH(Controle!H1611,produtos_escape2!A:A,0)),"")</f>
        <v/>
      </c>
    </row>
    <row r="1612" spans="1:32" ht="14.25" customHeight="1">
      <c r="A1612" s="176"/>
      <c r="B1612" s="176"/>
      <c r="C1612" s="177"/>
      <c r="D1612" s="176"/>
      <c r="E1612" s="176"/>
      <c r="F1612" s="259"/>
      <c r="G1612" s="176"/>
      <c r="H1612" s="178"/>
      <c r="I1612" s="592">
        <f t="shared" si="66"/>
        <v>0</v>
      </c>
      <c r="J1612" s="178"/>
      <c r="K1612" s="178"/>
      <c r="L1612" s="275" t="str">
        <f>IF(H:H=0,"",IF(ISERROR(VLOOKUP(H:H,produtos_escape2!$A$2:$B$2794,2,FALSE)),"Código não cadastrado",(VLOOKUP(H:H,produtos_escape2!$A$2:$B$2794,2,FALSE))))</f>
        <v/>
      </c>
      <c r="M1612" s="593" t="str">
        <f>IF(H:H=0,"",IF(ISERROR(VLOOKUP(H:H,produtos_escape2!$A$2:$D$2794,2,FALSE)),"Código não cadastrado",(VLOOKUP(H:H,produtos_escape2!$A$2:$D$2794,4,FALSE))))</f>
        <v/>
      </c>
      <c r="N1612" s="486"/>
      <c r="O1612" s="176"/>
      <c r="P1612" s="486"/>
      <c r="Q1612" s="247"/>
      <c r="R1612" s="246">
        <f t="shared" si="65"/>
        <v>0</v>
      </c>
      <c r="S1612" s="177"/>
      <c r="T1612" s="182"/>
      <c r="U1612" s="177"/>
      <c r="V1612" s="177"/>
      <c r="W1612" s="177"/>
      <c r="X1612" s="176"/>
      <c r="Y1612" s="177"/>
      <c r="Z1612" s="415"/>
      <c r="AA1612" s="488"/>
      <c r="AB1612" s="594"/>
      <c r="AC1612" s="595"/>
      <c r="AD1612" s="596" t="str">
        <f>IF(AND(AC1612&lt;&gt;"",S1612&lt;&gt;""),NETWORKDAYS(AC1612,S1612,#REF!),"")</f>
        <v/>
      </c>
      <c r="AE1612" s="596" t="str">
        <f ca="1">IF(AND(AD1612="",AC1612=""),"",IF(OR(AD1612&lt;&gt;"",O1612="*CANCELADO"),"",NETWORKDAYS(AC1612,TODAY(),#REF!)))</f>
        <v/>
      </c>
      <c r="AF1612" s="597" t="str">
        <f>IFERROR(INDEX(produtos_escape2!M:M,MATCH(Controle!H1612,produtos_escape2!A:A,0)),"")</f>
        <v/>
      </c>
    </row>
    <row r="1613" spans="1:32" ht="14.25" customHeight="1">
      <c r="A1613" s="176"/>
      <c r="B1613" s="176"/>
      <c r="C1613" s="177"/>
      <c r="D1613" s="176"/>
      <c r="E1613" s="176"/>
      <c r="F1613" s="259"/>
      <c r="G1613" s="176"/>
      <c r="H1613" s="178"/>
      <c r="I1613" s="592">
        <f t="shared" si="66"/>
        <v>0</v>
      </c>
      <c r="J1613" s="178"/>
      <c r="K1613" s="178"/>
      <c r="L1613" s="275" t="str">
        <f>IF(H:H=0,"",IF(ISERROR(VLOOKUP(H:H,produtos_escape2!$A$2:$B$2794,2,FALSE)),"Código não cadastrado",(VLOOKUP(H:H,produtos_escape2!$A$2:$B$2794,2,FALSE))))</f>
        <v/>
      </c>
      <c r="M1613" s="593" t="str">
        <f>IF(H:H=0,"",IF(ISERROR(VLOOKUP(H:H,produtos_escape2!$A$2:$D$2794,2,FALSE)),"Código não cadastrado",(VLOOKUP(H:H,produtos_escape2!$A$2:$D$2794,4,FALSE))))</f>
        <v/>
      </c>
      <c r="N1613" s="486"/>
      <c r="O1613" s="176"/>
      <c r="P1613" s="486"/>
      <c r="Q1613" s="247"/>
      <c r="R1613" s="246">
        <f t="shared" si="65"/>
        <v>0</v>
      </c>
      <c r="S1613" s="177"/>
      <c r="T1613" s="182"/>
      <c r="U1613" s="177"/>
      <c r="V1613" s="177"/>
      <c r="W1613" s="177"/>
      <c r="X1613" s="176"/>
      <c r="Y1613" s="177"/>
      <c r="Z1613" s="415"/>
      <c r="AA1613" s="488"/>
      <c r="AB1613" s="594"/>
      <c r="AC1613" s="595"/>
      <c r="AD1613" s="596" t="str">
        <f>IF(AND(AC1613&lt;&gt;"",S1613&lt;&gt;""),NETWORKDAYS(AC1613,S1613,#REF!),"")</f>
        <v/>
      </c>
      <c r="AE1613" s="596" t="str">
        <f ca="1">IF(AND(AD1613="",AC1613=""),"",IF(OR(AD1613&lt;&gt;"",O1613="*CANCELADO"),"",NETWORKDAYS(AC1613,TODAY(),#REF!)))</f>
        <v/>
      </c>
      <c r="AF1613" s="597" t="str">
        <f>IFERROR(INDEX(produtos_escape2!M:M,MATCH(Controle!H1613,produtos_escape2!A:A,0)),"")</f>
        <v/>
      </c>
    </row>
    <row r="1614" spans="1:32" ht="14.25" customHeight="1">
      <c r="A1614" s="176"/>
      <c r="B1614" s="176"/>
      <c r="C1614" s="177"/>
      <c r="D1614" s="176"/>
      <c r="E1614" s="176"/>
      <c r="F1614" s="259"/>
      <c r="G1614" s="176"/>
      <c r="H1614" s="178"/>
      <c r="I1614" s="592">
        <f t="shared" si="66"/>
        <v>0</v>
      </c>
      <c r="J1614" s="178"/>
      <c r="K1614" s="178"/>
      <c r="L1614" s="275" t="str">
        <f>IF(H:H=0,"",IF(ISERROR(VLOOKUP(H:H,produtos_escape2!$A$2:$B$2794,2,FALSE)),"Código não cadastrado",(VLOOKUP(H:H,produtos_escape2!$A$2:$B$2794,2,FALSE))))</f>
        <v/>
      </c>
      <c r="M1614" s="593" t="str">
        <f>IF(H:H=0,"",IF(ISERROR(VLOOKUP(H:H,produtos_escape2!$A$2:$D$2794,2,FALSE)),"Código não cadastrado",(VLOOKUP(H:H,produtos_escape2!$A$2:$D$2794,4,FALSE))))</f>
        <v/>
      </c>
      <c r="N1614" s="486"/>
      <c r="O1614" s="176"/>
      <c r="P1614" s="486"/>
      <c r="Q1614" s="247"/>
      <c r="R1614" s="246">
        <f t="shared" si="65"/>
        <v>0</v>
      </c>
      <c r="S1614" s="177"/>
      <c r="T1614" s="182"/>
      <c r="U1614" s="177"/>
      <c r="V1614" s="177"/>
      <c r="W1614" s="177"/>
      <c r="X1614" s="176"/>
      <c r="Y1614" s="177"/>
      <c r="Z1614" s="415"/>
      <c r="AA1614" s="488"/>
      <c r="AB1614" s="594"/>
      <c r="AC1614" s="595"/>
      <c r="AD1614" s="596" t="str">
        <f>IF(AND(AC1614&lt;&gt;"",S1614&lt;&gt;""),NETWORKDAYS(AC1614,S1614,#REF!),"")</f>
        <v/>
      </c>
      <c r="AE1614" s="596" t="str">
        <f ca="1">IF(AND(AD1614="",AC1614=""),"",IF(OR(AD1614&lt;&gt;"",O1614="*CANCELADO"),"",NETWORKDAYS(AC1614,TODAY(),#REF!)))</f>
        <v/>
      </c>
      <c r="AF1614" s="597" t="str">
        <f>IFERROR(INDEX(produtos_escape2!M:M,MATCH(Controle!H1614,produtos_escape2!A:A,0)),"")</f>
        <v/>
      </c>
    </row>
    <row r="1615" spans="1:32" ht="14.25" customHeight="1">
      <c r="A1615" s="176"/>
      <c r="B1615" s="176"/>
      <c r="C1615" s="177"/>
      <c r="D1615" s="176"/>
      <c r="E1615" s="176"/>
      <c r="F1615" s="259"/>
      <c r="G1615" s="176"/>
      <c r="H1615" s="178"/>
      <c r="I1615" s="592">
        <f t="shared" si="66"/>
        <v>0</v>
      </c>
      <c r="J1615" s="178"/>
      <c r="K1615" s="178"/>
      <c r="L1615" s="275" t="str">
        <f>IF(H:H=0,"",IF(ISERROR(VLOOKUP(H:H,produtos_escape2!$A$2:$B$2794,2,FALSE)),"Código não cadastrado",(VLOOKUP(H:H,produtos_escape2!$A$2:$B$2794,2,FALSE))))</f>
        <v/>
      </c>
      <c r="M1615" s="593" t="str">
        <f>IF(H:H=0,"",IF(ISERROR(VLOOKUP(H:H,produtos_escape2!$A$2:$D$2794,2,FALSE)),"Código não cadastrado",(VLOOKUP(H:H,produtos_escape2!$A$2:$D$2794,4,FALSE))))</f>
        <v/>
      </c>
      <c r="N1615" s="486"/>
      <c r="O1615" s="176"/>
      <c r="P1615" s="486"/>
      <c r="Q1615" s="247"/>
      <c r="R1615" s="246">
        <f t="shared" si="65"/>
        <v>0</v>
      </c>
      <c r="S1615" s="177"/>
      <c r="T1615" s="182"/>
      <c r="U1615" s="177"/>
      <c r="V1615" s="177"/>
      <c r="W1615" s="177"/>
      <c r="X1615" s="176"/>
      <c r="Y1615" s="177"/>
      <c r="Z1615" s="415"/>
      <c r="AA1615" s="488"/>
      <c r="AB1615" s="594"/>
      <c r="AC1615" s="595"/>
      <c r="AD1615" s="596" t="str">
        <f>IF(AND(AC1615&lt;&gt;"",S1615&lt;&gt;""),NETWORKDAYS(AC1615,S1615,#REF!),"")</f>
        <v/>
      </c>
      <c r="AE1615" s="596" t="str">
        <f ca="1">IF(AND(AD1615="",AC1615=""),"",IF(OR(AD1615&lt;&gt;"",O1615="*CANCELADO"),"",NETWORKDAYS(AC1615,TODAY(),#REF!)))</f>
        <v/>
      </c>
      <c r="AF1615" s="597" t="str">
        <f>IFERROR(INDEX(produtos_escape2!M:M,MATCH(Controle!H1615,produtos_escape2!A:A,0)),"")</f>
        <v/>
      </c>
    </row>
    <row r="1616" spans="1:32" ht="14.25" customHeight="1">
      <c r="A1616" s="176"/>
      <c r="B1616" s="176"/>
      <c r="C1616" s="177"/>
      <c r="D1616" s="176"/>
      <c r="E1616" s="176"/>
      <c r="F1616" s="259"/>
      <c r="G1616" s="176"/>
      <c r="H1616" s="178"/>
      <c r="I1616" s="592">
        <f t="shared" si="66"/>
        <v>0</v>
      </c>
      <c r="J1616" s="178"/>
      <c r="K1616" s="178"/>
      <c r="L1616" s="275" t="str">
        <f>IF(H:H=0,"",IF(ISERROR(VLOOKUP(H:H,produtos_escape2!$A$2:$B$2794,2,FALSE)),"Código não cadastrado",(VLOOKUP(H:H,produtos_escape2!$A$2:$B$2794,2,FALSE))))</f>
        <v/>
      </c>
      <c r="M1616" s="593" t="str">
        <f>IF(H:H=0,"",IF(ISERROR(VLOOKUP(H:H,produtos_escape2!$A$2:$D$2794,2,FALSE)),"Código não cadastrado",(VLOOKUP(H:H,produtos_escape2!$A$2:$D$2794,4,FALSE))))</f>
        <v/>
      </c>
      <c r="N1616" s="486"/>
      <c r="O1616" s="176"/>
      <c r="P1616" s="486"/>
      <c r="Q1616" s="247"/>
      <c r="R1616" s="246">
        <f t="shared" si="65"/>
        <v>0</v>
      </c>
      <c r="S1616" s="177"/>
      <c r="T1616" s="182"/>
      <c r="U1616" s="177"/>
      <c r="V1616" s="177"/>
      <c r="W1616" s="177"/>
      <c r="X1616" s="176"/>
      <c r="Y1616" s="177"/>
      <c r="Z1616" s="415"/>
      <c r="AA1616" s="488"/>
      <c r="AB1616" s="594"/>
      <c r="AC1616" s="595"/>
      <c r="AD1616" s="596" t="str">
        <f>IF(AND(AC1616&lt;&gt;"",S1616&lt;&gt;""),NETWORKDAYS(AC1616,S1616,#REF!),"")</f>
        <v/>
      </c>
      <c r="AE1616" s="596" t="str">
        <f ca="1">IF(AND(AD1616="",AC1616=""),"",IF(OR(AD1616&lt;&gt;"",O1616="*CANCELADO"),"",NETWORKDAYS(AC1616,TODAY(),#REF!)))</f>
        <v/>
      </c>
      <c r="AF1616" s="597" t="str">
        <f>IFERROR(INDEX(produtos_escape2!M:M,MATCH(Controle!H1616,produtos_escape2!A:A,0)),"")</f>
        <v/>
      </c>
    </row>
    <row r="1617" spans="1:32" ht="14.25" customHeight="1">
      <c r="A1617" s="176"/>
      <c r="B1617" s="176"/>
      <c r="C1617" s="177"/>
      <c r="D1617" s="176"/>
      <c r="E1617" s="176"/>
      <c r="F1617" s="259"/>
      <c r="G1617" s="176"/>
      <c r="H1617" s="178"/>
      <c r="I1617" s="592">
        <f t="shared" si="66"/>
        <v>0</v>
      </c>
      <c r="J1617" s="178"/>
      <c r="K1617" s="178"/>
      <c r="L1617" s="275" t="str">
        <f>IF(H:H=0,"",IF(ISERROR(VLOOKUP(H:H,produtos_escape2!$A$2:$B$2794,2,FALSE)),"Código não cadastrado",(VLOOKUP(H:H,produtos_escape2!$A$2:$B$2794,2,FALSE))))</f>
        <v/>
      </c>
      <c r="M1617" s="593" t="str">
        <f>IF(H:H=0,"",IF(ISERROR(VLOOKUP(H:H,produtos_escape2!$A$2:$D$2794,2,FALSE)),"Código não cadastrado",(VLOOKUP(H:H,produtos_escape2!$A$2:$D$2794,4,FALSE))))</f>
        <v/>
      </c>
      <c r="N1617" s="486"/>
      <c r="O1617" s="176"/>
      <c r="P1617" s="486"/>
      <c r="Q1617" s="247"/>
      <c r="R1617" s="246">
        <f t="shared" si="65"/>
        <v>0</v>
      </c>
      <c r="S1617" s="177"/>
      <c r="T1617" s="182"/>
      <c r="U1617" s="177"/>
      <c r="V1617" s="177"/>
      <c r="W1617" s="177"/>
      <c r="X1617" s="176"/>
      <c r="Y1617" s="177"/>
      <c r="Z1617" s="415"/>
      <c r="AA1617" s="488"/>
      <c r="AB1617" s="594"/>
      <c r="AC1617" s="595"/>
      <c r="AD1617" s="596" t="str">
        <f>IF(AND(AC1617&lt;&gt;"",S1617&lt;&gt;""),NETWORKDAYS(AC1617,S1617,#REF!),"")</f>
        <v/>
      </c>
      <c r="AE1617" s="596" t="str">
        <f ca="1">IF(AND(AD1617="",AC1617=""),"",IF(OR(AD1617&lt;&gt;"",O1617="*CANCELADO"),"",NETWORKDAYS(AC1617,TODAY(),#REF!)))</f>
        <v/>
      </c>
      <c r="AF1617" s="597" t="str">
        <f>IFERROR(INDEX(produtos_escape2!M:M,MATCH(Controle!H1617,produtos_escape2!A:A,0)),"")</f>
        <v/>
      </c>
    </row>
    <row r="1618" spans="1:32" ht="14.25" customHeight="1">
      <c r="A1618" s="176"/>
      <c r="B1618" s="176"/>
      <c r="C1618" s="177"/>
      <c r="D1618" s="176"/>
      <c r="E1618" s="176"/>
      <c r="F1618" s="259"/>
      <c r="G1618" s="176"/>
      <c r="H1618" s="178"/>
      <c r="I1618" s="592">
        <f t="shared" si="66"/>
        <v>0</v>
      </c>
      <c r="J1618" s="178"/>
      <c r="K1618" s="178"/>
      <c r="L1618" s="275" t="str">
        <f>IF(H:H=0,"",IF(ISERROR(VLOOKUP(H:H,produtos_escape2!$A$2:$B$2794,2,FALSE)),"Código não cadastrado",(VLOOKUP(H:H,produtos_escape2!$A$2:$B$2794,2,FALSE))))</f>
        <v/>
      </c>
      <c r="M1618" s="593" t="str">
        <f>IF(H:H=0,"",IF(ISERROR(VLOOKUP(H:H,produtos_escape2!$A$2:$D$2794,2,FALSE)),"Código não cadastrado",(VLOOKUP(H:H,produtos_escape2!$A$2:$D$2794,4,FALSE))))</f>
        <v/>
      </c>
      <c r="N1618" s="486"/>
      <c r="O1618" s="176"/>
      <c r="P1618" s="486"/>
      <c r="Q1618" s="247"/>
      <c r="R1618" s="246">
        <f t="shared" si="65"/>
        <v>0</v>
      </c>
      <c r="S1618" s="177"/>
      <c r="T1618" s="182"/>
      <c r="U1618" s="177"/>
      <c r="V1618" s="177"/>
      <c r="W1618" s="177"/>
      <c r="X1618" s="176"/>
      <c r="Y1618" s="177"/>
      <c r="Z1618" s="415"/>
      <c r="AA1618" s="488"/>
      <c r="AB1618" s="594"/>
      <c r="AC1618" s="595"/>
      <c r="AD1618" s="596" t="str">
        <f>IF(AND(AC1618&lt;&gt;"",S1618&lt;&gt;""),NETWORKDAYS(AC1618,S1618,#REF!),"")</f>
        <v/>
      </c>
      <c r="AE1618" s="596" t="str">
        <f ca="1">IF(AND(AD1618="",AC1618=""),"",IF(OR(AD1618&lt;&gt;"",O1618="*CANCELADO"),"",NETWORKDAYS(AC1618,TODAY(),#REF!)))</f>
        <v/>
      </c>
      <c r="AF1618" s="597" t="str">
        <f>IFERROR(INDEX(produtos_escape2!M:M,MATCH(Controle!H1618,produtos_escape2!A:A,0)),"")</f>
        <v/>
      </c>
    </row>
    <row r="1619" spans="1:32" ht="14.25" customHeight="1">
      <c r="A1619" s="176"/>
      <c r="B1619" s="176"/>
      <c r="C1619" s="177"/>
      <c r="D1619" s="176"/>
      <c r="E1619" s="176"/>
      <c r="F1619" s="259"/>
      <c r="G1619" s="176"/>
      <c r="H1619" s="178"/>
      <c r="I1619" s="592">
        <f t="shared" si="66"/>
        <v>0</v>
      </c>
      <c r="J1619" s="178"/>
      <c r="K1619" s="178"/>
      <c r="L1619" s="275" t="str">
        <f>IF(H:H=0,"",IF(ISERROR(VLOOKUP(H:H,produtos_escape2!$A$2:$B$2794,2,FALSE)),"Código não cadastrado",(VLOOKUP(H:H,produtos_escape2!$A$2:$B$2794,2,FALSE))))</f>
        <v/>
      </c>
      <c r="M1619" s="593" t="str">
        <f>IF(H:H=0,"",IF(ISERROR(VLOOKUP(H:H,produtos_escape2!$A$2:$D$2794,2,FALSE)),"Código não cadastrado",(VLOOKUP(H:H,produtos_escape2!$A$2:$D$2794,4,FALSE))))</f>
        <v/>
      </c>
      <c r="N1619" s="486"/>
      <c r="O1619" s="176"/>
      <c r="P1619" s="486"/>
      <c r="Q1619" s="247"/>
      <c r="R1619" s="246">
        <f t="shared" si="65"/>
        <v>0</v>
      </c>
      <c r="S1619" s="177"/>
      <c r="T1619" s="182"/>
      <c r="U1619" s="177"/>
      <c r="V1619" s="177"/>
      <c r="W1619" s="177"/>
      <c r="X1619" s="176"/>
      <c r="Y1619" s="177"/>
      <c r="Z1619" s="415"/>
      <c r="AA1619" s="488"/>
      <c r="AB1619" s="594"/>
      <c r="AC1619" s="595"/>
      <c r="AD1619" s="596" t="str">
        <f>IF(AND(AC1619&lt;&gt;"",S1619&lt;&gt;""),NETWORKDAYS(AC1619,S1619,#REF!),"")</f>
        <v/>
      </c>
      <c r="AE1619" s="596" t="str">
        <f ca="1">IF(AND(AD1619="",AC1619=""),"",IF(OR(AD1619&lt;&gt;"",O1619="*CANCELADO"),"",NETWORKDAYS(AC1619,TODAY(),#REF!)))</f>
        <v/>
      </c>
      <c r="AF1619" s="597" t="str">
        <f>IFERROR(INDEX(produtos_escape2!M:M,MATCH(Controle!H1619,produtos_escape2!A:A,0)),"")</f>
        <v/>
      </c>
    </row>
    <row r="1620" spans="1:32" ht="14.25" customHeight="1">
      <c r="A1620" s="176"/>
      <c r="B1620" s="176"/>
      <c r="C1620" s="177"/>
      <c r="D1620" s="176"/>
      <c r="E1620" s="176"/>
      <c r="F1620" s="259"/>
      <c r="G1620" s="176"/>
      <c r="H1620" s="178"/>
      <c r="I1620" s="592">
        <f t="shared" si="66"/>
        <v>0</v>
      </c>
      <c r="J1620" s="178"/>
      <c r="K1620" s="178"/>
      <c r="L1620" s="275" t="str">
        <f>IF(H:H=0,"",IF(ISERROR(VLOOKUP(H:H,produtos_escape2!$A$2:$B$2794,2,FALSE)),"Código não cadastrado",(VLOOKUP(H:H,produtos_escape2!$A$2:$B$2794,2,FALSE))))</f>
        <v/>
      </c>
      <c r="M1620" s="593" t="str">
        <f>IF(H:H=0,"",IF(ISERROR(VLOOKUP(H:H,produtos_escape2!$A$2:$D$2794,2,FALSE)),"Código não cadastrado",(VLOOKUP(H:H,produtos_escape2!$A$2:$D$2794,4,FALSE))))</f>
        <v/>
      </c>
      <c r="N1620" s="486"/>
      <c r="O1620" s="176"/>
      <c r="P1620" s="486"/>
      <c r="Q1620" s="247"/>
      <c r="R1620" s="246">
        <f t="shared" si="65"/>
        <v>0</v>
      </c>
      <c r="S1620" s="177"/>
      <c r="T1620" s="182"/>
      <c r="U1620" s="177"/>
      <c r="V1620" s="177"/>
      <c r="W1620" s="177"/>
      <c r="X1620" s="176"/>
      <c r="Y1620" s="177"/>
      <c r="Z1620" s="415"/>
      <c r="AA1620" s="488"/>
      <c r="AB1620" s="594"/>
      <c r="AC1620" s="595"/>
      <c r="AD1620" s="596" t="str">
        <f>IF(AND(AC1620&lt;&gt;"",S1620&lt;&gt;""),NETWORKDAYS(AC1620,S1620,#REF!),"")</f>
        <v/>
      </c>
      <c r="AE1620" s="596" t="str">
        <f ca="1">IF(AND(AD1620="",AC1620=""),"",IF(OR(AD1620&lt;&gt;"",O1620="*CANCELADO"),"",NETWORKDAYS(AC1620,TODAY(),#REF!)))</f>
        <v/>
      </c>
      <c r="AF1620" s="597" t="str">
        <f>IFERROR(INDEX(produtos_escape2!M:M,MATCH(Controle!H1620,produtos_escape2!A:A,0)),"")</f>
        <v/>
      </c>
    </row>
    <row r="1621" spans="1:32" ht="14.25" customHeight="1">
      <c r="A1621" s="176"/>
      <c r="B1621" s="176"/>
      <c r="C1621" s="177"/>
      <c r="D1621" s="176"/>
      <c r="E1621" s="176"/>
      <c r="F1621" s="259"/>
      <c r="G1621" s="176"/>
      <c r="H1621" s="178"/>
      <c r="I1621" s="592">
        <f t="shared" si="66"/>
        <v>0</v>
      </c>
      <c r="J1621" s="178"/>
      <c r="K1621" s="178"/>
      <c r="L1621" s="275" t="str">
        <f>IF(H:H=0,"",IF(ISERROR(VLOOKUP(H:H,produtos_escape2!$A$2:$B$2794,2,FALSE)),"Código não cadastrado",(VLOOKUP(H:H,produtos_escape2!$A$2:$B$2794,2,FALSE))))</f>
        <v/>
      </c>
      <c r="M1621" s="593" t="str">
        <f>IF(H:H=0,"",IF(ISERROR(VLOOKUP(H:H,produtos_escape2!$A$2:$D$2794,2,FALSE)),"Código não cadastrado",(VLOOKUP(H:H,produtos_escape2!$A$2:$D$2794,4,FALSE))))</f>
        <v/>
      </c>
      <c r="N1621" s="486"/>
      <c r="O1621" s="176"/>
      <c r="P1621" s="486"/>
      <c r="Q1621" s="247"/>
      <c r="R1621" s="246">
        <f t="shared" si="65"/>
        <v>0</v>
      </c>
      <c r="S1621" s="177"/>
      <c r="T1621" s="182"/>
      <c r="U1621" s="177"/>
      <c r="V1621" s="177"/>
      <c r="W1621" s="177"/>
      <c r="X1621" s="176"/>
      <c r="Y1621" s="177"/>
      <c r="Z1621" s="415"/>
      <c r="AA1621" s="488"/>
      <c r="AB1621" s="594"/>
      <c r="AC1621" s="595"/>
      <c r="AD1621" s="596" t="str">
        <f>IF(AND(AC1621&lt;&gt;"",S1621&lt;&gt;""),NETWORKDAYS(AC1621,S1621,#REF!),"")</f>
        <v/>
      </c>
      <c r="AE1621" s="596" t="str">
        <f ca="1">IF(AND(AD1621="",AC1621=""),"",IF(OR(AD1621&lt;&gt;"",O1621="*CANCELADO"),"",NETWORKDAYS(AC1621,TODAY(),#REF!)))</f>
        <v/>
      </c>
      <c r="AF1621" s="597" t="str">
        <f>IFERROR(INDEX(produtos_escape2!M:M,MATCH(Controle!H1621,produtos_escape2!A:A,0)),"")</f>
        <v/>
      </c>
    </row>
    <row r="1622" spans="1:32" ht="14.25" customHeight="1">
      <c r="A1622" s="176"/>
      <c r="B1622" s="176"/>
      <c r="C1622" s="177"/>
      <c r="D1622" s="176"/>
      <c r="E1622" s="176"/>
      <c r="F1622" s="259"/>
      <c r="G1622" s="176"/>
      <c r="H1622" s="178"/>
      <c r="I1622" s="592">
        <f t="shared" si="66"/>
        <v>0</v>
      </c>
      <c r="J1622" s="178"/>
      <c r="K1622" s="178"/>
      <c r="L1622" s="275" t="str">
        <f>IF(H:H=0,"",IF(ISERROR(VLOOKUP(H:H,produtos_escape2!$A$2:$B$2794,2,FALSE)),"Código não cadastrado",(VLOOKUP(H:H,produtos_escape2!$A$2:$B$2794,2,FALSE))))</f>
        <v/>
      </c>
      <c r="M1622" s="593" t="str">
        <f>IF(H:H=0,"",IF(ISERROR(VLOOKUP(H:H,produtos_escape2!$A$2:$D$2794,2,FALSE)),"Código não cadastrado",(VLOOKUP(H:H,produtos_escape2!$A$2:$D$2794,4,FALSE))))</f>
        <v/>
      </c>
      <c r="N1622" s="486"/>
      <c r="O1622" s="176"/>
      <c r="P1622" s="486"/>
      <c r="Q1622" s="247"/>
      <c r="R1622" s="246">
        <f t="shared" si="65"/>
        <v>0</v>
      </c>
      <c r="S1622" s="177"/>
      <c r="T1622" s="182"/>
      <c r="U1622" s="177"/>
      <c r="V1622" s="177"/>
      <c r="W1622" s="177"/>
      <c r="X1622" s="176"/>
      <c r="Y1622" s="177"/>
      <c r="Z1622" s="415"/>
      <c r="AA1622" s="488"/>
      <c r="AB1622" s="594"/>
      <c r="AC1622" s="595"/>
      <c r="AD1622" s="596" t="str">
        <f>IF(AND(AC1622&lt;&gt;"",S1622&lt;&gt;""),NETWORKDAYS(AC1622,S1622,#REF!),"")</f>
        <v/>
      </c>
      <c r="AE1622" s="596" t="str">
        <f ca="1">IF(AND(AD1622="",AC1622=""),"",IF(OR(AD1622&lt;&gt;"",O1622="*CANCELADO"),"",NETWORKDAYS(AC1622,TODAY(),#REF!)))</f>
        <v/>
      </c>
      <c r="AF1622" s="597" t="str">
        <f>IFERROR(INDEX(produtos_escape2!M:M,MATCH(Controle!H1622,produtos_escape2!A:A,0)),"")</f>
        <v/>
      </c>
    </row>
    <row r="1623" spans="1:32" ht="14.25" customHeight="1">
      <c r="A1623" s="176"/>
      <c r="B1623" s="176"/>
      <c r="C1623" s="177"/>
      <c r="D1623" s="176"/>
      <c r="E1623" s="176"/>
      <c r="F1623" s="259"/>
      <c r="G1623" s="176"/>
      <c r="H1623" s="178"/>
      <c r="I1623" s="592">
        <f t="shared" si="66"/>
        <v>0</v>
      </c>
      <c r="J1623" s="178"/>
      <c r="K1623" s="178"/>
      <c r="L1623" s="275" t="str">
        <f>IF(H:H=0,"",IF(ISERROR(VLOOKUP(H:H,produtos_escape2!$A$2:$B$2794,2,FALSE)),"Código não cadastrado",(VLOOKUP(H:H,produtos_escape2!$A$2:$B$2794,2,FALSE))))</f>
        <v/>
      </c>
      <c r="M1623" s="593" t="str">
        <f>IF(H:H=0,"",IF(ISERROR(VLOOKUP(H:H,produtos_escape2!$A$2:$D$2794,2,FALSE)),"Código não cadastrado",(VLOOKUP(H:H,produtos_escape2!$A$2:$D$2794,4,FALSE))))</f>
        <v/>
      </c>
      <c r="N1623" s="486"/>
      <c r="O1623" s="176"/>
      <c r="P1623" s="486"/>
      <c r="Q1623" s="247"/>
      <c r="R1623" s="246">
        <f t="shared" si="65"/>
        <v>0</v>
      </c>
      <c r="S1623" s="177"/>
      <c r="T1623" s="182"/>
      <c r="U1623" s="177"/>
      <c r="V1623" s="177"/>
      <c r="W1623" s="177"/>
      <c r="X1623" s="176"/>
      <c r="Y1623" s="177"/>
      <c r="Z1623" s="415"/>
      <c r="AA1623" s="488"/>
      <c r="AB1623" s="594"/>
      <c r="AC1623" s="595"/>
      <c r="AD1623" s="596" t="str">
        <f>IF(AND(AC1623&lt;&gt;"",S1623&lt;&gt;""),NETWORKDAYS(AC1623,S1623,#REF!),"")</f>
        <v/>
      </c>
      <c r="AE1623" s="596" t="str">
        <f ca="1">IF(AND(AD1623="",AC1623=""),"",IF(OR(AD1623&lt;&gt;"",O1623="*CANCELADO"),"",NETWORKDAYS(AC1623,TODAY(),#REF!)))</f>
        <v/>
      </c>
      <c r="AF1623" s="597" t="str">
        <f>IFERROR(INDEX(produtos_escape2!M:M,MATCH(Controle!H1623,produtos_escape2!A:A,0)),"")</f>
        <v/>
      </c>
    </row>
    <row r="1624" spans="1:32" ht="14.25" customHeight="1">
      <c r="A1624" s="176"/>
      <c r="B1624" s="176"/>
      <c r="C1624" s="177"/>
      <c r="D1624" s="176"/>
      <c r="E1624" s="176"/>
      <c r="F1624" s="259"/>
      <c r="G1624" s="176"/>
      <c r="H1624" s="178"/>
      <c r="I1624" s="592">
        <f t="shared" si="66"/>
        <v>0</v>
      </c>
      <c r="J1624" s="178"/>
      <c r="K1624" s="178"/>
      <c r="L1624" s="275" t="str">
        <f>IF(H:H=0,"",IF(ISERROR(VLOOKUP(H:H,produtos_escape2!$A$2:$B$2794,2,FALSE)),"Código não cadastrado",(VLOOKUP(H:H,produtos_escape2!$A$2:$B$2794,2,FALSE))))</f>
        <v/>
      </c>
      <c r="M1624" s="593" t="str">
        <f>IF(H:H=0,"",IF(ISERROR(VLOOKUP(H:H,produtos_escape2!$A$2:$D$2794,2,FALSE)),"Código não cadastrado",(VLOOKUP(H:H,produtos_escape2!$A$2:$D$2794,4,FALSE))))</f>
        <v/>
      </c>
      <c r="N1624" s="486"/>
      <c r="O1624" s="176"/>
      <c r="P1624" s="486"/>
      <c r="Q1624" s="247"/>
      <c r="R1624" s="246">
        <f t="shared" si="65"/>
        <v>0</v>
      </c>
      <c r="S1624" s="177"/>
      <c r="T1624" s="182"/>
      <c r="U1624" s="177"/>
      <c r="V1624" s="177"/>
      <c r="W1624" s="177"/>
      <c r="X1624" s="176"/>
      <c r="Y1624" s="177"/>
      <c r="Z1624" s="415"/>
      <c r="AA1624" s="488"/>
      <c r="AB1624" s="594"/>
      <c r="AC1624" s="595"/>
      <c r="AD1624" s="596" t="str">
        <f>IF(AND(AC1624&lt;&gt;"",S1624&lt;&gt;""),NETWORKDAYS(AC1624,S1624,#REF!),"")</f>
        <v/>
      </c>
      <c r="AE1624" s="596" t="str">
        <f ca="1">IF(AND(AD1624="",AC1624=""),"",IF(OR(AD1624&lt;&gt;"",O1624="*CANCELADO"),"",NETWORKDAYS(AC1624,TODAY(),#REF!)))</f>
        <v/>
      </c>
      <c r="AF1624" s="597" t="str">
        <f>IFERROR(INDEX(produtos_escape2!M:M,MATCH(Controle!H1624,produtos_escape2!A:A,0)),"")</f>
        <v/>
      </c>
    </row>
    <row r="1625" spans="1:32" ht="14.25" customHeight="1">
      <c r="A1625" s="176"/>
      <c r="B1625" s="176"/>
      <c r="C1625" s="177"/>
      <c r="D1625" s="176"/>
      <c r="E1625" s="176"/>
      <c r="F1625" s="259"/>
      <c r="G1625" s="176"/>
      <c r="H1625" s="178"/>
      <c r="I1625" s="592">
        <f t="shared" si="66"/>
        <v>0</v>
      </c>
      <c r="J1625" s="178"/>
      <c r="K1625" s="178"/>
      <c r="L1625" s="275" t="str">
        <f>IF(H:H=0,"",IF(ISERROR(VLOOKUP(H:H,produtos_escape2!$A$2:$B$2794,2,FALSE)),"Código não cadastrado",(VLOOKUP(H:H,produtos_escape2!$A$2:$B$2794,2,FALSE))))</f>
        <v/>
      </c>
      <c r="M1625" s="593" t="str">
        <f>IF(H:H=0,"",IF(ISERROR(VLOOKUP(H:H,produtos_escape2!$A$2:$D$2794,2,FALSE)),"Código não cadastrado",(VLOOKUP(H:H,produtos_escape2!$A$2:$D$2794,4,FALSE))))</f>
        <v/>
      </c>
      <c r="N1625" s="486"/>
      <c r="O1625" s="176"/>
      <c r="P1625" s="486"/>
      <c r="Q1625" s="247"/>
      <c r="R1625" s="246">
        <f t="shared" si="65"/>
        <v>0</v>
      </c>
      <c r="S1625" s="177"/>
      <c r="T1625" s="182"/>
      <c r="U1625" s="177"/>
      <c r="V1625" s="177"/>
      <c r="W1625" s="177"/>
      <c r="X1625" s="176"/>
      <c r="Y1625" s="177"/>
      <c r="Z1625" s="415"/>
      <c r="AA1625" s="488"/>
      <c r="AB1625" s="594"/>
      <c r="AC1625" s="595"/>
      <c r="AD1625" s="596" t="str">
        <f>IF(AND(AC1625&lt;&gt;"",S1625&lt;&gt;""),NETWORKDAYS(AC1625,S1625,#REF!),"")</f>
        <v/>
      </c>
      <c r="AE1625" s="596" t="str">
        <f ca="1">IF(AND(AD1625="",AC1625=""),"",IF(OR(AD1625&lt;&gt;"",O1625="*CANCELADO"),"",NETWORKDAYS(AC1625,TODAY(),#REF!)))</f>
        <v/>
      </c>
      <c r="AF1625" s="597" t="str">
        <f>IFERROR(INDEX(produtos_escape2!M:M,MATCH(Controle!H1625,produtos_escape2!A:A,0)),"")</f>
        <v/>
      </c>
    </row>
    <row r="1626" spans="1:32" ht="14.25" customHeight="1">
      <c r="A1626" s="176"/>
      <c r="B1626" s="176"/>
      <c r="C1626" s="177"/>
      <c r="D1626" s="176"/>
      <c r="E1626" s="176"/>
      <c r="F1626" s="259"/>
      <c r="G1626" s="176"/>
      <c r="H1626" s="178"/>
      <c r="I1626" s="592">
        <f t="shared" si="66"/>
        <v>0</v>
      </c>
      <c r="J1626" s="178"/>
      <c r="K1626" s="178"/>
      <c r="L1626" s="275" t="str">
        <f>IF(H:H=0,"",IF(ISERROR(VLOOKUP(H:H,produtos_escape2!$A$2:$B$2794,2,FALSE)),"Código não cadastrado",(VLOOKUP(H:H,produtos_escape2!$A$2:$B$2794,2,FALSE))))</f>
        <v/>
      </c>
      <c r="M1626" s="593" t="str">
        <f>IF(H:H=0,"",IF(ISERROR(VLOOKUP(H:H,produtos_escape2!$A$2:$D$2794,2,FALSE)),"Código não cadastrado",(VLOOKUP(H:H,produtos_escape2!$A$2:$D$2794,4,FALSE))))</f>
        <v/>
      </c>
      <c r="N1626" s="486"/>
      <c r="O1626" s="176"/>
      <c r="P1626" s="486"/>
      <c r="Q1626" s="247"/>
      <c r="R1626" s="246">
        <f t="shared" si="65"/>
        <v>0</v>
      </c>
      <c r="S1626" s="177"/>
      <c r="T1626" s="182"/>
      <c r="U1626" s="177"/>
      <c r="V1626" s="177"/>
      <c r="W1626" s="177"/>
      <c r="X1626" s="176"/>
      <c r="Y1626" s="177"/>
      <c r="Z1626" s="415"/>
      <c r="AA1626" s="488"/>
      <c r="AB1626" s="594"/>
      <c r="AC1626" s="595"/>
      <c r="AD1626" s="596" t="str">
        <f>IF(AND(AC1626&lt;&gt;"",S1626&lt;&gt;""),NETWORKDAYS(AC1626,S1626,#REF!),"")</f>
        <v/>
      </c>
      <c r="AE1626" s="596" t="str">
        <f ca="1">IF(AND(AD1626="",AC1626=""),"",IF(OR(AD1626&lt;&gt;"",O1626="*CANCELADO"),"",NETWORKDAYS(AC1626,TODAY(),#REF!)))</f>
        <v/>
      </c>
      <c r="AF1626" s="597" t="str">
        <f>IFERROR(INDEX(produtos_escape2!M:M,MATCH(Controle!H1626,produtos_escape2!A:A,0)),"")</f>
        <v/>
      </c>
    </row>
    <row r="1627" spans="1:32" ht="14.25" customHeight="1">
      <c r="A1627" s="176"/>
      <c r="B1627" s="176"/>
      <c r="C1627" s="177"/>
      <c r="D1627" s="176"/>
      <c r="E1627" s="176"/>
      <c r="F1627" s="259"/>
      <c r="G1627" s="176"/>
      <c r="H1627" s="178"/>
      <c r="I1627" s="592">
        <f t="shared" si="66"/>
        <v>0</v>
      </c>
      <c r="J1627" s="178"/>
      <c r="K1627" s="178"/>
      <c r="L1627" s="275" t="str">
        <f>IF(H:H=0,"",IF(ISERROR(VLOOKUP(H:H,produtos_escape2!$A$2:$B$2794,2,FALSE)),"Código não cadastrado",(VLOOKUP(H:H,produtos_escape2!$A$2:$B$2794,2,FALSE))))</f>
        <v/>
      </c>
      <c r="M1627" s="593" t="str">
        <f>IF(H:H=0,"",IF(ISERROR(VLOOKUP(H:H,produtos_escape2!$A$2:$D$2794,2,FALSE)),"Código não cadastrado",(VLOOKUP(H:H,produtos_escape2!$A$2:$D$2794,4,FALSE))))</f>
        <v/>
      </c>
      <c r="N1627" s="486"/>
      <c r="O1627" s="176"/>
      <c r="P1627" s="486"/>
      <c r="Q1627" s="247"/>
      <c r="R1627" s="246">
        <f t="shared" si="65"/>
        <v>0</v>
      </c>
      <c r="S1627" s="177"/>
      <c r="T1627" s="182"/>
      <c r="U1627" s="177"/>
      <c r="V1627" s="177"/>
      <c r="W1627" s="177"/>
      <c r="X1627" s="176"/>
      <c r="Y1627" s="177"/>
      <c r="Z1627" s="415"/>
      <c r="AA1627" s="488"/>
      <c r="AB1627" s="594"/>
      <c r="AC1627" s="595"/>
      <c r="AD1627" s="596" t="str">
        <f>IF(AND(AC1627&lt;&gt;"",S1627&lt;&gt;""),NETWORKDAYS(AC1627,S1627,#REF!),"")</f>
        <v/>
      </c>
      <c r="AE1627" s="596" t="str">
        <f ca="1">IF(AND(AD1627="",AC1627=""),"",IF(OR(AD1627&lt;&gt;"",O1627="*CANCELADO"),"",NETWORKDAYS(AC1627,TODAY(),#REF!)))</f>
        <v/>
      </c>
      <c r="AF1627" s="597" t="str">
        <f>IFERROR(INDEX(produtos_escape2!M:M,MATCH(Controle!H1627,produtos_escape2!A:A,0)),"")</f>
        <v/>
      </c>
    </row>
    <row r="1628" spans="1:32" ht="14.25" customHeight="1">
      <c r="A1628" s="176"/>
      <c r="B1628" s="176"/>
      <c r="C1628" s="177"/>
      <c r="D1628" s="176"/>
      <c r="E1628" s="176"/>
      <c r="F1628" s="259"/>
      <c r="G1628" s="176"/>
      <c r="H1628" s="178"/>
      <c r="I1628" s="592">
        <f t="shared" si="66"/>
        <v>0</v>
      </c>
      <c r="J1628" s="178"/>
      <c r="K1628" s="178"/>
      <c r="L1628" s="275" t="str">
        <f>IF(H:H=0,"",IF(ISERROR(VLOOKUP(H:H,produtos_escape2!$A$2:$B$2794,2,FALSE)),"Código não cadastrado",(VLOOKUP(H:H,produtos_escape2!$A$2:$B$2794,2,FALSE))))</f>
        <v/>
      </c>
      <c r="M1628" s="593" t="str">
        <f>IF(H:H=0,"",IF(ISERROR(VLOOKUP(H:H,produtos_escape2!$A$2:$D$2794,2,FALSE)),"Código não cadastrado",(VLOOKUP(H:H,produtos_escape2!$A$2:$D$2794,4,FALSE))))</f>
        <v/>
      </c>
      <c r="N1628" s="486"/>
      <c r="O1628" s="176"/>
      <c r="P1628" s="486"/>
      <c r="Q1628" s="247"/>
      <c r="R1628" s="246">
        <f t="shared" si="65"/>
        <v>0</v>
      </c>
      <c r="S1628" s="177"/>
      <c r="T1628" s="182"/>
      <c r="U1628" s="177"/>
      <c r="V1628" s="177"/>
      <c r="W1628" s="177"/>
      <c r="X1628" s="176"/>
      <c r="Y1628" s="177"/>
      <c r="Z1628" s="415"/>
      <c r="AA1628" s="488"/>
      <c r="AB1628" s="594"/>
      <c r="AC1628" s="595"/>
      <c r="AD1628" s="596" t="str">
        <f>IF(AND(AC1628&lt;&gt;"",S1628&lt;&gt;""),NETWORKDAYS(AC1628,S1628,#REF!),"")</f>
        <v/>
      </c>
      <c r="AE1628" s="596" t="str">
        <f ca="1">IF(AND(AD1628="",AC1628=""),"",IF(OR(AD1628&lt;&gt;"",O1628="*CANCELADO"),"",NETWORKDAYS(AC1628,TODAY(),#REF!)))</f>
        <v/>
      </c>
      <c r="AF1628" s="597" t="str">
        <f>IFERROR(INDEX(produtos_escape2!M:M,MATCH(Controle!H1628,produtos_escape2!A:A,0)),"")</f>
        <v/>
      </c>
    </row>
    <row r="1629" spans="1:32" ht="14.25" customHeight="1">
      <c r="A1629" s="176"/>
      <c r="B1629" s="176"/>
      <c r="C1629" s="177"/>
      <c r="D1629" s="176"/>
      <c r="E1629" s="176"/>
      <c r="F1629" s="259"/>
      <c r="G1629" s="176"/>
      <c r="H1629" s="178"/>
      <c r="I1629" s="592">
        <f t="shared" si="66"/>
        <v>0</v>
      </c>
      <c r="J1629" s="178"/>
      <c r="K1629" s="178"/>
      <c r="L1629" s="275" t="str">
        <f>IF(H:H=0,"",IF(ISERROR(VLOOKUP(H:H,produtos_escape2!$A$2:$B$2794,2,FALSE)),"Código não cadastrado",(VLOOKUP(H:H,produtos_escape2!$A$2:$B$2794,2,FALSE))))</f>
        <v/>
      </c>
      <c r="M1629" s="593" t="str">
        <f>IF(H:H=0,"",IF(ISERROR(VLOOKUP(H:H,produtos_escape2!$A$2:$D$2794,2,FALSE)),"Código não cadastrado",(VLOOKUP(H:H,produtos_escape2!$A$2:$D$2794,4,FALSE))))</f>
        <v/>
      </c>
      <c r="N1629" s="486"/>
      <c r="O1629" s="176"/>
      <c r="P1629" s="486"/>
      <c r="Q1629" s="247"/>
      <c r="R1629" s="246">
        <f t="shared" si="65"/>
        <v>0</v>
      </c>
      <c r="S1629" s="177"/>
      <c r="T1629" s="182"/>
      <c r="U1629" s="177"/>
      <c r="V1629" s="177"/>
      <c r="W1629" s="177"/>
      <c r="X1629" s="176"/>
      <c r="Y1629" s="177"/>
      <c r="Z1629" s="415"/>
      <c r="AA1629" s="488"/>
      <c r="AB1629" s="594"/>
      <c r="AC1629" s="595"/>
      <c r="AD1629" s="596" t="str">
        <f>IF(AND(AC1629&lt;&gt;"",S1629&lt;&gt;""),NETWORKDAYS(AC1629,S1629,#REF!),"")</f>
        <v/>
      </c>
      <c r="AE1629" s="596" t="str">
        <f ca="1">IF(AND(AD1629="",AC1629=""),"",IF(OR(AD1629&lt;&gt;"",O1629="*CANCELADO"),"",NETWORKDAYS(AC1629,TODAY(),#REF!)))</f>
        <v/>
      </c>
      <c r="AF1629" s="597" t="str">
        <f>IFERROR(INDEX(produtos_escape2!M:M,MATCH(Controle!H1629,produtos_escape2!A:A,0)),"")</f>
        <v/>
      </c>
    </row>
    <row r="1630" spans="1:32" ht="14.25" customHeight="1">
      <c r="A1630" s="176"/>
      <c r="B1630" s="176"/>
      <c r="C1630" s="177"/>
      <c r="D1630" s="176"/>
      <c r="E1630" s="176"/>
      <c r="F1630" s="259"/>
      <c r="G1630" s="176"/>
      <c r="H1630" s="178"/>
      <c r="I1630" s="592">
        <f t="shared" si="66"/>
        <v>0</v>
      </c>
      <c r="J1630" s="178"/>
      <c r="K1630" s="178"/>
      <c r="L1630" s="275" t="str">
        <f>IF(H:H=0,"",IF(ISERROR(VLOOKUP(H:H,produtos_escape2!$A$2:$B$2794,2,FALSE)),"Código não cadastrado",(VLOOKUP(H:H,produtos_escape2!$A$2:$B$2794,2,FALSE))))</f>
        <v/>
      </c>
      <c r="M1630" s="593" t="str">
        <f>IF(H:H=0,"",IF(ISERROR(VLOOKUP(H:H,produtos_escape2!$A$2:$D$2794,2,FALSE)),"Código não cadastrado",(VLOOKUP(H:H,produtos_escape2!$A$2:$D$2794,4,FALSE))))</f>
        <v/>
      </c>
      <c r="N1630" s="486"/>
      <c r="O1630" s="176"/>
      <c r="P1630" s="486"/>
      <c r="Q1630" s="247"/>
      <c r="R1630" s="246">
        <f t="shared" si="65"/>
        <v>0</v>
      </c>
      <c r="S1630" s="177"/>
      <c r="T1630" s="182"/>
      <c r="U1630" s="177"/>
      <c r="V1630" s="177"/>
      <c r="W1630" s="177"/>
      <c r="X1630" s="176"/>
      <c r="Y1630" s="177"/>
      <c r="Z1630" s="415"/>
      <c r="AA1630" s="488"/>
      <c r="AB1630" s="594"/>
      <c r="AC1630" s="595"/>
      <c r="AD1630" s="596" t="str">
        <f>IF(AND(AC1630&lt;&gt;"",S1630&lt;&gt;""),NETWORKDAYS(AC1630,S1630,#REF!),"")</f>
        <v/>
      </c>
      <c r="AE1630" s="596" t="str">
        <f ca="1">IF(AND(AD1630="",AC1630=""),"",IF(OR(AD1630&lt;&gt;"",O1630="*CANCELADO"),"",NETWORKDAYS(AC1630,TODAY(),#REF!)))</f>
        <v/>
      </c>
      <c r="AF1630" s="597" t="str">
        <f>IFERROR(INDEX(produtos_escape2!M:M,MATCH(Controle!H1630,produtos_escape2!A:A,0)),"")</f>
        <v/>
      </c>
    </row>
    <row r="1631" spans="1:32" ht="14.25" customHeight="1">
      <c r="A1631" s="176"/>
      <c r="B1631" s="176"/>
      <c r="C1631" s="177"/>
      <c r="D1631" s="176"/>
      <c r="E1631" s="176"/>
      <c r="F1631" s="259"/>
      <c r="G1631" s="176"/>
      <c r="H1631" s="178"/>
      <c r="I1631" s="592">
        <f t="shared" si="66"/>
        <v>0</v>
      </c>
      <c r="J1631" s="178"/>
      <c r="K1631" s="178"/>
      <c r="L1631" s="275" t="str">
        <f>IF(H:H=0,"",IF(ISERROR(VLOOKUP(H:H,produtos_escape2!$A$2:$B$2794,2,FALSE)),"Código não cadastrado",(VLOOKUP(H:H,produtos_escape2!$A$2:$B$2794,2,FALSE))))</f>
        <v/>
      </c>
      <c r="M1631" s="593" t="str">
        <f>IF(H:H=0,"",IF(ISERROR(VLOOKUP(H:H,produtos_escape2!$A$2:$D$2794,2,FALSE)),"Código não cadastrado",(VLOOKUP(H:H,produtos_escape2!$A$2:$D$2794,4,FALSE))))</f>
        <v/>
      </c>
      <c r="N1631" s="486"/>
      <c r="O1631" s="176"/>
      <c r="P1631" s="486"/>
      <c r="Q1631" s="247"/>
      <c r="R1631" s="246">
        <f t="shared" si="65"/>
        <v>0</v>
      </c>
      <c r="S1631" s="177"/>
      <c r="T1631" s="182"/>
      <c r="U1631" s="177"/>
      <c r="V1631" s="177"/>
      <c r="W1631" s="177"/>
      <c r="X1631" s="176"/>
      <c r="Y1631" s="177"/>
      <c r="Z1631" s="415"/>
      <c r="AA1631" s="488"/>
      <c r="AB1631" s="594"/>
      <c r="AC1631" s="595"/>
      <c r="AD1631" s="596" t="str">
        <f>IF(AND(AC1631&lt;&gt;"",S1631&lt;&gt;""),NETWORKDAYS(AC1631,S1631,#REF!),"")</f>
        <v/>
      </c>
      <c r="AE1631" s="596" t="str">
        <f ca="1">IF(AND(AD1631="",AC1631=""),"",IF(OR(AD1631&lt;&gt;"",O1631="*CANCELADO"),"",NETWORKDAYS(AC1631,TODAY(),#REF!)))</f>
        <v/>
      </c>
      <c r="AF1631" s="597" t="str">
        <f>IFERROR(INDEX(produtos_escape2!M:M,MATCH(Controle!H1631,produtos_escape2!A:A,0)),"")</f>
        <v/>
      </c>
    </row>
    <row r="1632" spans="1:32" ht="14.25" customHeight="1">
      <c r="A1632" s="176"/>
      <c r="B1632" s="176"/>
      <c r="C1632" s="177"/>
      <c r="D1632" s="176"/>
      <c r="E1632" s="176"/>
      <c r="F1632" s="259"/>
      <c r="G1632" s="176"/>
      <c r="H1632" s="178"/>
      <c r="I1632" s="592">
        <f t="shared" si="66"/>
        <v>0</v>
      </c>
      <c r="J1632" s="178"/>
      <c r="K1632" s="178"/>
      <c r="L1632" s="275" t="str">
        <f>IF(H:H=0,"",IF(ISERROR(VLOOKUP(H:H,produtos_escape2!$A$2:$B$2794,2,FALSE)),"Código não cadastrado",(VLOOKUP(H:H,produtos_escape2!$A$2:$B$2794,2,FALSE))))</f>
        <v/>
      </c>
      <c r="M1632" s="593" t="str">
        <f>IF(H:H=0,"",IF(ISERROR(VLOOKUP(H:H,produtos_escape2!$A$2:$D$2794,2,FALSE)),"Código não cadastrado",(VLOOKUP(H:H,produtos_escape2!$A$2:$D$2794,4,FALSE))))</f>
        <v/>
      </c>
      <c r="N1632" s="486"/>
      <c r="O1632" s="176"/>
      <c r="P1632" s="486"/>
      <c r="Q1632" s="247"/>
      <c r="R1632" s="246">
        <f t="shared" si="65"/>
        <v>0</v>
      </c>
      <c r="S1632" s="177"/>
      <c r="T1632" s="182"/>
      <c r="U1632" s="177"/>
      <c r="V1632" s="177"/>
      <c r="W1632" s="177"/>
      <c r="X1632" s="176"/>
      <c r="Y1632" s="177"/>
      <c r="Z1632" s="415"/>
      <c r="AA1632" s="488"/>
      <c r="AB1632" s="594"/>
      <c r="AC1632" s="595"/>
      <c r="AD1632" s="596" t="str">
        <f>IF(AND(AC1632&lt;&gt;"",S1632&lt;&gt;""),NETWORKDAYS(AC1632,S1632,#REF!),"")</f>
        <v/>
      </c>
      <c r="AE1632" s="596" t="str">
        <f ca="1">IF(AND(AD1632="",AC1632=""),"",IF(OR(AD1632&lt;&gt;"",O1632="*CANCELADO"),"",NETWORKDAYS(AC1632,TODAY(),#REF!)))</f>
        <v/>
      </c>
      <c r="AF1632" s="597" t="str">
        <f>IFERROR(INDEX(produtos_escape2!M:M,MATCH(Controle!H1632,produtos_escape2!A:A,0)),"")</f>
        <v/>
      </c>
    </row>
    <row r="1633" spans="1:32" ht="14.25" customHeight="1">
      <c r="A1633" s="176"/>
      <c r="B1633" s="176"/>
      <c r="C1633" s="177"/>
      <c r="D1633" s="176"/>
      <c r="E1633" s="176"/>
      <c r="F1633" s="259"/>
      <c r="G1633" s="176"/>
      <c r="H1633" s="178"/>
      <c r="I1633" s="592">
        <f t="shared" si="66"/>
        <v>0</v>
      </c>
      <c r="J1633" s="178"/>
      <c r="K1633" s="178"/>
      <c r="L1633" s="275" t="str">
        <f>IF(H:H=0,"",IF(ISERROR(VLOOKUP(H:H,produtos_escape2!$A$2:$B$2794,2,FALSE)),"Código não cadastrado",(VLOOKUP(H:H,produtos_escape2!$A$2:$B$2794,2,FALSE))))</f>
        <v/>
      </c>
      <c r="M1633" s="593" t="str">
        <f>IF(H:H=0,"",IF(ISERROR(VLOOKUP(H:H,produtos_escape2!$A$2:$D$2794,2,FALSE)),"Código não cadastrado",(VLOOKUP(H:H,produtos_escape2!$A$2:$D$2794,4,FALSE))))</f>
        <v/>
      </c>
      <c r="N1633" s="486"/>
      <c r="O1633" s="176"/>
      <c r="P1633" s="486"/>
      <c r="Q1633" s="247"/>
      <c r="R1633" s="246">
        <f t="shared" si="65"/>
        <v>0</v>
      </c>
      <c r="S1633" s="177"/>
      <c r="T1633" s="182"/>
      <c r="U1633" s="177"/>
      <c r="V1633" s="177"/>
      <c r="W1633" s="177"/>
      <c r="X1633" s="176"/>
      <c r="Y1633" s="177"/>
      <c r="Z1633" s="415"/>
      <c r="AA1633" s="488"/>
      <c r="AB1633" s="594"/>
      <c r="AC1633" s="595"/>
      <c r="AD1633" s="596" t="str">
        <f>IF(AND(AC1633&lt;&gt;"",S1633&lt;&gt;""),NETWORKDAYS(AC1633,S1633,#REF!),"")</f>
        <v/>
      </c>
      <c r="AE1633" s="596" t="str">
        <f ca="1">IF(AND(AD1633="",AC1633=""),"",IF(OR(AD1633&lt;&gt;"",O1633="*CANCELADO"),"",NETWORKDAYS(AC1633,TODAY(),#REF!)))</f>
        <v/>
      </c>
      <c r="AF1633" s="597" t="str">
        <f>IFERROR(INDEX(produtos_escape2!M:M,MATCH(Controle!H1633,produtos_escape2!A:A,0)),"")</f>
        <v/>
      </c>
    </row>
    <row r="1634" spans="1:32" ht="14.25" customHeight="1">
      <c r="A1634" s="176"/>
      <c r="B1634" s="176"/>
      <c r="C1634" s="177"/>
      <c r="D1634" s="176"/>
      <c r="E1634" s="176"/>
      <c r="F1634" s="259"/>
      <c r="G1634" s="176"/>
      <c r="H1634" s="178"/>
      <c r="I1634" s="592">
        <f t="shared" si="66"/>
        <v>0</v>
      </c>
      <c r="J1634" s="178"/>
      <c r="K1634" s="178"/>
      <c r="L1634" s="275" t="str">
        <f>IF(H:H=0,"",IF(ISERROR(VLOOKUP(H:H,produtos_escape2!$A$2:$B$2794,2,FALSE)),"Código não cadastrado",(VLOOKUP(H:H,produtos_escape2!$A$2:$B$2794,2,FALSE))))</f>
        <v/>
      </c>
      <c r="M1634" s="593" t="str">
        <f>IF(H:H=0,"",IF(ISERROR(VLOOKUP(H:H,produtos_escape2!$A$2:$D$2794,2,FALSE)),"Código não cadastrado",(VLOOKUP(H:H,produtos_escape2!$A$2:$D$2794,4,FALSE))))</f>
        <v/>
      </c>
      <c r="N1634" s="486"/>
      <c r="O1634" s="176"/>
      <c r="P1634" s="486"/>
      <c r="Q1634" s="247"/>
      <c r="R1634" s="246">
        <f t="shared" si="65"/>
        <v>0</v>
      </c>
      <c r="S1634" s="177"/>
      <c r="T1634" s="182"/>
      <c r="U1634" s="177"/>
      <c r="V1634" s="177"/>
      <c r="W1634" s="177"/>
      <c r="X1634" s="176"/>
      <c r="Y1634" s="177"/>
      <c r="Z1634" s="415"/>
      <c r="AA1634" s="488"/>
      <c r="AB1634" s="594"/>
      <c r="AC1634" s="595"/>
      <c r="AD1634" s="596" t="str">
        <f>IF(AND(AC1634&lt;&gt;"",S1634&lt;&gt;""),NETWORKDAYS(AC1634,S1634,#REF!),"")</f>
        <v/>
      </c>
      <c r="AE1634" s="596" t="str">
        <f ca="1">IF(AND(AD1634="",AC1634=""),"",IF(OR(AD1634&lt;&gt;"",O1634="*CANCELADO"),"",NETWORKDAYS(AC1634,TODAY(),#REF!)))</f>
        <v/>
      </c>
      <c r="AF1634" s="597" t="str">
        <f>IFERROR(INDEX(produtos_escape2!M:M,MATCH(Controle!H1634,produtos_escape2!A:A,0)),"")</f>
        <v/>
      </c>
    </row>
    <row r="1635" spans="1:32" ht="14.25" customHeight="1">
      <c r="A1635" s="176"/>
      <c r="B1635" s="176"/>
      <c r="C1635" s="177"/>
      <c r="D1635" s="176"/>
      <c r="E1635" s="176"/>
      <c r="F1635" s="259"/>
      <c r="G1635" s="176"/>
      <c r="H1635" s="178"/>
      <c r="I1635" s="592">
        <f t="shared" si="66"/>
        <v>0</v>
      </c>
      <c r="J1635" s="178"/>
      <c r="K1635" s="178"/>
      <c r="L1635" s="275" t="str">
        <f>IF(H:H=0,"",IF(ISERROR(VLOOKUP(H:H,produtos_escape2!$A$2:$B$2794,2,FALSE)),"Código não cadastrado",(VLOOKUP(H:H,produtos_escape2!$A$2:$B$2794,2,FALSE))))</f>
        <v/>
      </c>
      <c r="M1635" s="593" t="str">
        <f>IF(H:H=0,"",IF(ISERROR(VLOOKUP(H:H,produtos_escape2!$A$2:$D$2794,2,FALSE)),"Código não cadastrado",(VLOOKUP(H:H,produtos_escape2!$A$2:$D$2794,4,FALSE))))</f>
        <v/>
      </c>
      <c r="N1635" s="486"/>
      <c r="O1635" s="176"/>
      <c r="P1635" s="486"/>
      <c r="Q1635" s="247"/>
      <c r="R1635" s="246">
        <f t="shared" si="65"/>
        <v>0</v>
      </c>
      <c r="S1635" s="177"/>
      <c r="T1635" s="182"/>
      <c r="U1635" s="177"/>
      <c r="V1635" s="177"/>
      <c r="W1635" s="177"/>
      <c r="X1635" s="176"/>
      <c r="Y1635" s="177"/>
      <c r="Z1635" s="415"/>
      <c r="AA1635" s="488"/>
      <c r="AB1635" s="594"/>
      <c r="AC1635" s="595"/>
      <c r="AD1635" s="596" t="str">
        <f>IF(AND(AC1635&lt;&gt;"",S1635&lt;&gt;""),NETWORKDAYS(AC1635,S1635,#REF!),"")</f>
        <v/>
      </c>
      <c r="AE1635" s="596" t="str">
        <f ca="1">IF(AND(AD1635="",AC1635=""),"",IF(OR(AD1635&lt;&gt;"",O1635="*CANCELADO"),"",NETWORKDAYS(AC1635,TODAY(),#REF!)))</f>
        <v/>
      </c>
      <c r="AF1635" s="597" t="str">
        <f>IFERROR(INDEX(produtos_escape2!M:M,MATCH(Controle!H1635,produtos_escape2!A:A,0)),"")</f>
        <v/>
      </c>
    </row>
    <row r="1636" spans="1:32" ht="14.25" customHeight="1">
      <c r="A1636" s="176"/>
      <c r="B1636" s="176"/>
      <c r="C1636" s="177"/>
      <c r="D1636" s="176"/>
      <c r="E1636" s="176"/>
      <c r="F1636" s="259"/>
      <c r="G1636" s="176"/>
      <c r="H1636" s="178"/>
      <c r="I1636" s="592">
        <f t="shared" si="66"/>
        <v>0</v>
      </c>
      <c r="J1636" s="178"/>
      <c r="K1636" s="178"/>
      <c r="L1636" s="275" t="str">
        <f>IF(H:H=0,"",IF(ISERROR(VLOOKUP(H:H,produtos_escape2!$A$2:$B$2794,2,FALSE)),"Código não cadastrado",(VLOOKUP(H:H,produtos_escape2!$A$2:$B$2794,2,FALSE))))</f>
        <v/>
      </c>
      <c r="M1636" s="593" t="str">
        <f>IF(H:H=0,"",IF(ISERROR(VLOOKUP(H:H,produtos_escape2!$A$2:$D$2794,2,FALSE)),"Código não cadastrado",(VLOOKUP(H:H,produtos_escape2!$A$2:$D$2794,4,FALSE))))</f>
        <v/>
      </c>
      <c r="N1636" s="486"/>
      <c r="O1636" s="176"/>
      <c r="P1636" s="486"/>
      <c r="Q1636" s="247"/>
      <c r="R1636" s="246">
        <f t="shared" si="65"/>
        <v>0</v>
      </c>
      <c r="S1636" s="177"/>
      <c r="T1636" s="182"/>
      <c r="U1636" s="177"/>
      <c r="V1636" s="177"/>
      <c r="W1636" s="177"/>
      <c r="X1636" s="176"/>
      <c r="Y1636" s="177"/>
      <c r="Z1636" s="415"/>
      <c r="AA1636" s="488"/>
      <c r="AB1636" s="594"/>
      <c r="AC1636" s="595"/>
      <c r="AD1636" s="596" t="str">
        <f>IF(AND(AC1636&lt;&gt;"",S1636&lt;&gt;""),NETWORKDAYS(AC1636,S1636,#REF!),"")</f>
        <v/>
      </c>
      <c r="AE1636" s="596" t="str">
        <f ca="1">IF(AND(AD1636="",AC1636=""),"",IF(OR(AD1636&lt;&gt;"",O1636="*CANCELADO"),"",NETWORKDAYS(AC1636,TODAY(),#REF!)))</f>
        <v/>
      </c>
      <c r="AF1636" s="597" t="str">
        <f>IFERROR(INDEX(produtos_escape2!M:M,MATCH(Controle!H1636,produtos_escape2!A:A,0)),"")</f>
        <v/>
      </c>
    </row>
    <row r="1637" spans="1:32" ht="14.25" customHeight="1">
      <c r="A1637" s="176"/>
      <c r="B1637" s="176"/>
      <c r="C1637" s="177"/>
      <c r="D1637" s="176"/>
      <c r="E1637" s="176"/>
      <c r="F1637" s="259"/>
      <c r="G1637" s="176"/>
      <c r="H1637" s="178"/>
      <c r="I1637" s="592">
        <f t="shared" si="66"/>
        <v>0</v>
      </c>
      <c r="J1637" s="178"/>
      <c r="K1637" s="178"/>
      <c r="L1637" s="275" t="str">
        <f>IF(H:H=0,"",IF(ISERROR(VLOOKUP(H:H,produtos_escape2!$A$2:$B$2794,2,FALSE)),"Código não cadastrado",(VLOOKUP(H:H,produtos_escape2!$A$2:$B$2794,2,FALSE))))</f>
        <v/>
      </c>
      <c r="M1637" s="593" t="str">
        <f>IF(H:H=0,"",IF(ISERROR(VLOOKUP(H:H,produtos_escape2!$A$2:$D$2794,2,FALSE)),"Código não cadastrado",(VLOOKUP(H:H,produtos_escape2!$A$2:$D$2794,4,FALSE))))</f>
        <v/>
      </c>
      <c r="N1637" s="486"/>
      <c r="O1637" s="176"/>
      <c r="P1637" s="486"/>
      <c r="Q1637" s="247"/>
      <c r="R1637" s="246">
        <f t="shared" si="65"/>
        <v>0</v>
      </c>
      <c r="S1637" s="177"/>
      <c r="T1637" s="182"/>
      <c r="U1637" s="177"/>
      <c r="V1637" s="177"/>
      <c r="W1637" s="177"/>
      <c r="X1637" s="176"/>
      <c r="Y1637" s="177"/>
      <c r="Z1637" s="415"/>
      <c r="AA1637" s="488"/>
      <c r="AB1637" s="594"/>
      <c r="AC1637" s="595"/>
      <c r="AD1637" s="596" t="str">
        <f>IF(AND(AC1637&lt;&gt;"",S1637&lt;&gt;""),NETWORKDAYS(AC1637,S1637,#REF!),"")</f>
        <v/>
      </c>
      <c r="AE1637" s="596" t="str">
        <f ca="1">IF(AND(AD1637="",AC1637=""),"",IF(OR(AD1637&lt;&gt;"",O1637="*CANCELADO"),"",NETWORKDAYS(AC1637,TODAY(),#REF!)))</f>
        <v/>
      </c>
      <c r="AF1637" s="597" t="str">
        <f>IFERROR(INDEX(produtos_escape2!M:M,MATCH(Controle!H1637,produtos_escape2!A:A,0)),"")</f>
        <v/>
      </c>
    </row>
    <row r="1638" spans="1:32" ht="14.25" customHeight="1">
      <c r="A1638" s="176"/>
      <c r="B1638" s="176"/>
      <c r="C1638" s="177"/>
      <c r="D1638" s="176"/>
      <c r="E1638" s="176"/>
      <c r="F1638" s="259"/>
      <c r="G1638" s="176"/>
      <c r="H1638" s="178"/>
      <c r="I1638" s="592">
        <f t="shared" si="66"/>
        <v>0</v>
      </c>
      <c r="J1638" s="178"/>
      <c r="K1638" s="178"/>
      <c r="L1638" s="275" t="str">
        <f>IF(H:H=0,"",IF(ISERROR(VLOOKUP(H:H,produtos_escape2!$A$2:$B$2794,2,FALSE)),"Código não cadastrado",(VLOOKUP(H:H,produtos_escape2!$A$2:$B$2794,2,FALSE))))</f>
        <v/>
      </c>
      <c r="M1638" s="593" t="str">
        <f>IF(H:H=0,"",IF(ISERROR(VLOOKUP(H:H,produtos_escape2!$A$2:$D$2794,2,FALSE)),"Código não cadastrado",(VLOOKUP(H:H,produtos_escape2!$A$2:$D$2794,4,FALSE))))</f>
        <v/>
      </c>
      <c r="N1638" s="486"/>
      <c r="O1638" s="176"/>
      <c r="P1638" s="486"/>
      <c r="Q1638" s="247"/>
      <c r="R1638" s="246">
        <f t="shared" si="65"/>
        <v>0</v>
      </c>
      <c r="S1638" s="177"/>
      <c r="T1638" s="182"/>
      <c r="U1638" s="177"/>
      <c r="V1638" s="177"/>
      <c r="W1638" s="177"/>
      <c r="X1638" s="176"/>
      <c r="Y1638" s="177"/>
      <c r="Z1638" s="415"/>
      <c r="AA1638" s="488"/>
      <c r="AB1638" s="594"/>
      <c r="AC1638" s="595"/>
      <c r="AD1638" s="596" t="str">
        <f>IF(AND(AC1638&lt;&gt;"",S1638&lt;&gt;""),NETWORKDAYS(AC1638,S1638,#REF!),"")</f>
        <v/>
      </c>
      <c r="AE1638" s="596" t="str">
        <f ca="1">IF(AND(AD1638="",AC1638=""),"",IF(OR(AD1638&lt;&gt;"",O1638="*CANCELADO"),"",NETWORKDAYS(AC1638,TODAY(),#REF!)))</f>
        <v/>
      </c>
      <c r="AF1638" s="597" t="str">
        <f>IFERROR(INDEX(produtos_escape2!M:M,MATCH(Controle!H1638,produtos_escape2!A:A,0)),"")</f>
        <v/>
      </c>
    </row>
    <row r="1639" spans="1:32" ht="14.25" customHeight="1">
      <c r="A1639" s="176"/>
      <c r="B1639" s="176"/>
      <c r="C1639" s="177"/>
      <c r="D1639" s="176"/>
      <c r="E1639" s="176"/>
      <c r="F1639" s="259"/>
      <c r="G1639" s="176"/>
      <c r="H1639" s="178"/>
      <c r="I1639" s="592">
        <f t="shared" si="66"/>
        <v>0</v>
      </c>
      <c r="J1639" s="178"/>
      <c r="K1639" s="178"/>
      <c r="L1639" s="275" t="str">
        <f>IF(H:H=0,"",IF(ISERROR(VLOOKUP(H:H,produtos_escape2!$A$2:$B$2794,2,FALSE)),"Código não cadastrado",(VLOOKUP(H:H,produtos_escape2!$A$2:$B$2794,2,FALSE))))</f>
        <v/>
      </c>
      <c r="M1639" s="593" t="str">
        <f>IF(H:H=0,"",IF(ISERROR(VLOOKUP(H:H,produtos_escape2!$A$2:$D$2794,2,FALSE)),"Código não cadastrado",(VLOOKUP(H:H,produtos_escape2!$A$2:$D$2794,4,FALSE))))</f>
        <v/>
      </c>
      <c r="N1639" s="486"/>
      <c r="O1639" s="176"/>
      <c r="P1639" s="486"/>
      <c r="Q1639" s="247"/>
      <c r="R1639" s="246">
        <f t="shared" si="65"/>
        <v>0</v>
      </c>
      <c r="S1639" s="177"/>
      <c r="T1639" s="182"/>
      <c r="U1639" s="177"/>
      <c r="V1639" s="177"/>
      <c r="W1639" s="177"/>
      <c r="X1639" s="176"/>
      <c r="Y1639" s="177"/>
      <c r="Z1639" s="415"/>
      <c r="AA1639" s="488"/>
      <c r="AB1639" s="594"/>
      <c r="AC1639" s="595"/>
      <c r="AD1639" s="596" t="str">
        <f>IF(AND(AC1639&lt;&gt;"",S1639&lt;&gt;""),NETWORKDAYS(AC1639,S1639,#REF!),"")</f>
        <v/>
      </c>
      <c r="AE1639" s="596" t="str">
        <f ca="1">IF(AND(AD1639="",AC1639=""),"",IF(OR(AD1639&lt;&gt;"",O1639="*CANCELADO"),"",NETWORKDAYS(AC1639,TODAY(),#REF!)))</f>
        <v/>
      </c>
      <c r="AF1639" s="597" t="str">
        <f>IFERROR(INDEX(produtos_escape2!M:M,MATCH(Controle!H1639,produtos_escape2!A:A,0)),"")</f>
        <v/>
      </c>
    </row>
    <row r="1640" spans="1:32" ht="14.25" customHeight="1">
      <c r="A1640" s="176"/>
      <c r="B1640" s="176"/>
      <c r="C1640" s="177"/>
      <c r="D1640" s="176"/>
      <c r="E1640" s="176"/>
      <c r="F1640" s="259"/>
      <c r="G1640" s="176"/>
      <c r="H1640" s="178"/>
      <c r="I1640" s="592">
        <f t="shared" si="66"/>
        <v>0</v>
      </c>
      <c r="J1640" s="178"/>
      <c r="K1640" s="178"/>
      <c r="L1640" s="275" t="str">
        <f>IF(H:H=0,"",IF(ISERROR(VLOOKUP(H:H,produtos_escape2!$A$2:$B$2794,2,FALSE)),"Código não cadastrado",(VLOOKUP(H:H,produtos_escape2!$A$2:$B$2794,2,FALSE))))</f>
        <v/>
      </c>
      <c r="M1640" s="593" t="str">
        <f>IF(H:H=0,"",IF(ISERROR(VLOOKUP(H:H,produtos_escape2!$A$2:$D$2794,2,FALSE)),"Código não cadastrado",(VLOOKUP(H:H,produtos_escape2!$A$2:$D$2794,4,FALSE))))</f>
        <v/>
      </c>
      <c r="N1640" s="486"/>
      <c r="O1640" s="176"/>
      <c r="P1640" s="486"/>
      <c r="Q1640" s="247"/>
      <c r="R1640" s="246">
        <f t="shared" si="65"/>
        <v>0</v>
      </c>
      <c r="S1640" s="177"/>
      <c r="T1640" s="182"/>
      <c r="U1640" s="177"/>
      <c r="V1640" s="177"/>
      <c r="W1640" s="177"/>
      <c r="X1640" s="176"/>
      <c r="Y1640" s="177"/>
      <c r="Z1640" s="415"/>
      <c r="AA1640" s="488"/>
      <c r="AB1640" s="594"/>
      <c r="AC1640" s="595"/>
      <c r="AD1640" s="596" t="str">
        <f>IF(AND(AC1640&lt;&gt;"",S1640&lt;&gt;""),NETWORKDAYS(AC1640,S1640,#REF!),"")</f>
        <v/>
      </c>
      <c r="AE1640" s="596" t="str">
        <f ca="1">IF(AND(AD1640="",AC1640=""),"",IF(OR(AD1640&lt;&gt;"",O1640="*CANCELADO"),"",NETWORKDAYS(AC1640,TODAY(),#REF!)))</f>
        <v/>
      </c>
      <c r="AF1640" s="597" t="str">
        <f>IFERROR(INDEX(produtos_escape2!M:M,MATCH(Controle!H1640,produtos_escape2!A:A,0)),"")</f>
        <v/>
      </c>
    </row>
    <row r="1641" spans="1:32" ht="14.25" customHeight="1">
      <c r="A1641" s="176"/>
      <c r="B1641" s="176"/>
      <c r="C1641" s="177"/>
      <c r="D1641" s="176"/>
      <c r="E1641" s="176"/>
      <c r="F1641" s="259"/>
      <c r="G1641" s="176"/>
      <c r="H1641" s="178"/>
      <c r="I1641" s="592">
        <f t="shared" si="66"/>
        <v>0</v>
      </c>
      <c r="J1641" s="178"/>
      <c r="K1641" s="178"/>
      <c r="L1641" s="275" t="str">
        <f>IF(H:H=0,"",IF(ISERROR(VLOOKUP(H:H,produtos_escape2!$A$2:$B$2794,2,FALSE)),"Código não cadastrado",(VLOOKUP(H:H,produtos_escape2!$A$2:$B$2794,2,FALSE))))</f>
        <v/>
      </c>
      <c r="M1641" s="593" t="str">
        <f>IF(H:H=0,"",IF(ISERROR(VLOOKUP(H:H,produtos_escape2!$A$2:$D$2794,2,FALSE)),"Código não cadastrado",(VLOOKUP(H:H,produtos_escape2!$A$2:$D$2794,4,FALSE))))</f>
        <v/>
      </c>
      <c r="N1641" s="486"/>
      <c r="O1641" s="176"/>
      <c r="P1641" s="486"/>
      <c r="Q1641" s="247"/>
      <c r="R1641" s="246">
        <f t="shared" si="65"/>
        <v>0</v>
      </c>
      <c r="S1641" s="177"/>
      <c r="T1641" s="182"/>
      <c r="U1641" s="177"/>
      <c r="V1641" s="177"/>
      <c r="W1641" s="177"/>
      <c r="X1641" s="176"/>
      <c r="Y1641" s="177"/>
      <c r="Z1641" s="415"/>
      <c r="AA1641" s="488"/>
      <c r="AB1641" s="594"/>
      <c r="AC1641" s="595"/>
      <c r="AD1641" s="596" t="str">
        <f>IF(AND(AC1641&lt;&gt;"",S1641&lt;&gt;""),NETWORKDAYS(AC1641,S1641,#REF!),"")</f>
        <v/>
      </c>
      <c r="AE1641" s="596" t="str">
        <f ca="1">IF(AND(AD1641="",AC1641=""),"",IF(OR(AD1641&lt;&gt;"",O1641="*CANCELADO"),"",NETWORKDAYS(AC1641,TODAY(),#REF!)))</f>
        <v/>
      </c>
      <c r="AF1641" s="597" t="str">
        <f>IFERROR(INDEX(produtos_escape2!M:M,MATCH(Controle!H1641,produtos_escape2!A:A,0)),"")</f>
        <v/>
      </c>
    </row>
    <row r="1642" spans="1:32" ht="14.25" customHeight="1">
      <c r="A1642" s="176"/>
      <c r="B1642" s="176"/>
      <c r="C1642" s="177"/>
      <c r="D1642" s="176"/>
      <c r="E1642" s="176"/>
      <c r="F1642" s="259"/>
      <c r="G1642" s="176"/>
      <c r="H1642" s="178"/>
      <c r="I1642" s="592">
        <f t="shared" si="66"/>
        <v>0</v>
      </c>
      <c r="J1642" s="178"/>
      <c r="K1642" s="178"/>
      <c r="L1642" s="275" t="str">
        <f>IF(H:H=0,"",IF(ISERROR(VLOOKUP(H:H,produtos_escape2!$A$2:$B$2794,2,FALSE)),"Código não cadastrado",(VLOOKUP(H:H,produtos_escape2!$A$2:$B$2794,2,FALSE))))</f>
        <v/>
      </c>
      <c r="M1642" s="593" t="str">
        <f>IF(H:H=0,"",IF(ISERROR(VLOOKUP(H:H,produtos_escape2!$A$2:$D$2794,2,FALSE)),"Código não cadastrado",(VLOOKUP(H:H,produtos_escape2!$A$2:$D$2794,4,FALSE))))</f>
        <v/>
      </c>
      <c r="N1642" s="486"/>
      <c r="O1642" s="176"/>
      <c r="P1642" s="486"/>
      <c r="Q1642" s="247"/>
      <c r="R1642" s="246">
        <f t="shared" si="65"/>
        <v>0</v>
      </c>
      <c r="S1642" s="177"/>
      <c r="T1642" s="182"/>
      <c r="U1642" s="177"/>
      <c r="V1642" s="177"/>
      <c r="W1642" s="177"/>
      <c r="X1642" s="176"/>
      <c r="Y1642" s="177"/>
      <c r="Z1642" s="415"/>
      <c r="AA1642" s="488"/>
      <c r="AB1642" s="594"/>
      <c r="AC1642" s="595"/>
      <c r="AD1642" s="596" t="str">
        <f>IF(AND(AC1642&lt;&gt;"",S1642&lt;&gt;""),NETWORKDAYS(AC1642,S1642,#REF!),"")</f>
        <v/>
      </c>
      <c r="AE1642" s="596" t="str">
        <f ca="1">IF(AND(AD1642="",AC1642=""),"",IF(OR(AD1642&lt;&gt;"",O1642="*CANCELADO"),"",NETWORKDAYS(AC1642,TODAY(),#REF!)))</f>
        <v/>
      </c>
      <c r="AF1642" s="597"/>
    </row>
    <row r="1643" spans="1:32" ht="14.25" customHeight="1">
      <c r="A1643" s="176"/>
      <c r="B1643" s="176"/>
      <c r="C1643" s="177"/>
      <c r="D1643" s="176"/>
      <c r="E1643" s="176"/>
      <c r="F1643" s="259"/>
      <c r="G1643" s="176"/>
      <c r="H1643" s="178"/>
      <c r="I1643" s="592">
        <f t="shared" si="66"/>
        <v>0</v>
      </c>
      <c r="J1643" s="178"/>
      <c r="K1643" s="178"/>
      <c r="L1643" s="275" t="str">
        <f>IF(H:H=0,"",IF(ISERROR(VLOOKUP(H:H,produtos_escape2!$A$2:$B$2794,2,FALSE)),"Código não cadastrado",(VLOOKUP(H:H,produtos_escape2!$A$2:$B$2794,2,FALSE))))</f>
        <v/>
      </c>
      <c r="M1643" s="593" t="str">
        <f>IF(H:H=0,"",IF(ISERROR(VLOOKUP(H:H,produtos_escape2!$A$2:$D$2794,2,FALSE)),"Código não cadastrado",(VLOOKUP(H:H,produtos_escape2!$A$2:$D$2794,4,FALSE))))</f>
        <v/>
      </c>
      <c r="N1643" s="486"/>
      <c r="O1643" s="176"/>
      <c r="P1643" s="486"/>
      <c r="Q1643" s="247"/>
      <c r="R1643" s="246">
        <f t="shared" si="65"/>
        <v>0</v>
      </c>
      <c r="S1643" s="177"/>
      <c r="T1643" s="182"/>
      <c r="U1643" s="177"/>
      <c r="V1643" s="177"/>
      <c r="W1643" s="177"/>
      <c r="X1643" s="176"/>
      <c r="Y1643" s="177"/>
      <c r="Z1643" s="415"/>
      <c r="AA1643" s="488"/>
      <c r="AB1643" s="594"/>
      <c r="AC1643" s="595"/>
      <c r="AD1643" s="596" t="str">
        <f>IF(AND(AC1643&lt;&gt;"",S1643&lt;&gt;""),NETWORKDAYS(AC1643,S1643,#REF!),"")</f>
        <v/>
      </c>
      <c r="AE1643" s="596" t="str">
        <f ca="1">IF(AND(AD1643="",AC1643=""),"",IF(OR(AD1643&lt;&gt;"",O1643="*CANCELADO"),"",NETWORKDAYS(AC1643,TODAY(),#REF!)))</f>
        <v/>
      </c>
      <c r="AF1643" s="597"/>
    </row>
    <row r="1644" spans="1:32" ht="14.25" customHeight="1">
      <c r="A1644" s="176"/>
      <c r="B1644" s="176"/>
      <c r="C1644" s="177"/>
      <c r="D1644" s="176"/>
      <c r="E1644" s="176"/>
      <c r="F1644" s="259"/>
      <c r="G1644" s="176"/>
      <c r="H1644" s="178"/>
      <c r="I1644" s="592">
        <f t="shared" si="66"/>
        <v>0</v>
      </c>
      <c r="J1644" s="178"/>
      <c r="K1644" s="178"/>
      <c r="L1644" s="275" t="str">
        <f>IF(H:H=0,"",IF(ISERROR(VLOOKUP(H:H,produtos_escape2!$A$2:$B$2794,2,FALSE)),"Código não cadastrado",(VLOOKUP(H:H,produtos_escape2!$A$2:$B$2794,2,FALSE))))</f>
        <v/>
      </c>
      <c r="M1644" s="593" t="str">
        <f>IF(H:H=0,"",IF(ISERROR(VLOOKUP(H:H,produtos_escape2!$A$2:$D$2794,2,FALSE)),"Código não cadastrado",(VLOOKUP(H:H,produtos_escape2!$A$2:$D$2794,4,FALSE))))</f>
        <v/>
      </c>
      <c r="N1644" s="486"/>
      <c r="O1644" s="176"/>
      <c r="P1644" s="486"/>
      <c r="Q1644" s="247"/>
      <c r="R1644" s="246">
        <f t="shared" si="65"/>
        <v>0</v>
      </c>
      <c r="S1644" s="177"/>
      <c r="T1644" s="182"/>
      <c r="U1644" s="177"/>
      <c r="V1644" s="177"/>
      <c r="W1644" s="177"/>
      <c r="X1644" s="176"/>
      <c r="Y1644" s="177"/>
      <c r="Z1644" s="415"/>
      <c r="AA1644" s="488"/>
      <c r="AB1644" s="594"/>
      <c r="AC1644" s="595"/>
      <c r="AD1644" s="596" t="str">
        <f>IF(AND(AC1644&lt;&gt;"",S1644&lt;&gt;""),NETWORKDAYS(AC1644,S1644,#REF!),"")</f>
        <v/>
      </c>
      <c r="AE1644" s="596" t="str">
        <f ca="1">IF(AND(AD1644="",AC1644=""),"",IF(OR(AD1644&lt;&gt;"",O1644="*CANCELADO"),"",NETWORKDAYS(AC1644,TODAY(),#REF!)))</f>
        <v/>
      </c>
      <c r="AF1644" s="597"/>
    </row>
    <row r="1645" spans="1:32" ht="14.25" customHeight="1">
      <c r="A1645" s="176"/>
      <c r="B1645" s="176"/>
      <c r="C1645" s="177"/>
      <c r="D1645" s="176"/>
      <c r="E1645" s="176"/>
      <c r="F1645" s="259"/>
      <c r="G1645" s="176"/>
      <c r="H1645" s="178"/>
      <c r="I1645" s="592">
        <f t="shared" si="66"/>
        <v>0</v>
      </c>
      <c r="J1645" s="178"/>
      <c r="K1645" s="178"/>
      <c r="L1645" s="275" t="str">
        <f>IF(H:H=0,"",IF(ISERROR(VLOOKUP(H:H,produtos_escape2!$A$2:$B$2794,2,FALSE)),"Código não cadastrado",(VLOOKUP(H:H,produtos_escape2!$A$2:$B$2794,2,FALSE))))</f>
        <v/>
      </c>
      <c r="M1645" s="593" t="str">
        <f>IF(H:H=0,"",IF(ISERROR(VLOOKUP(H:H,produtos_escape2!$A$2:$D$2794,2,FALSE)),"Código não cadastrado",(VLOOKUP(H:H,produtos_escape2!$A$2:$D$2794,4,FALSE))))</f>
        <v/>
      </c>
      <c r="N1645" s="486"/>
      <c r="O1645" s="176"/>
      <c r="P1645" s="486"/>
      <c r="Q1645" s="247"/>
      <c r="R1645" s="246">
        <f t="shared" ref="R1645:R1708" si="67">P1645*Q1645</f>
        <v>0</v>
      </c>
      <c r="S1645" s="177"/>
      <c r="T1645" s="182"/>
      <c r="U1645" s="177"/>
      <c r="V1645" s="177"/>
      <c r="W1645" s="177"/>
      <c r="X1645" s="176"/>
      <c r="Y1645" s="177"/>
      <c r="Z1645" s="415"/>
      <c r="AA1645" s="488"/>
      <c r="AB1645" s="594"/>
      <c r="AC1645" s="595"/>
      <c r="AD1645" s="596" t="str">
        <f>IF(AND(AC1645&lt;&gt;"",S1645&lt;&gt;""),NETWORKDAYS(AC1645,S1645,#REF!),"")</f>
        <v/>
      </c>
      <c r="AE1645" s="596" t="str">
        <f ca="1">IF(AND(AD1645="",AC1645=""),"",IF(OR(AD1645&lt;&gt;"",O1645="*CANCELADO"),"",NETWORKDAYS(AC1645,TODAY(),#REF!)))</f>
        <v/>
      </c>
      <c r="AF1645" s="597"/>
    </row>
    <row r="1646" spans="1:32" ht="14.25" customHeight="1">
      <c r="A1646" s="176"/>
      <c r="B1646" s="176"/>
      <c r="C1646" s="177"/>
      <c r="D1646" s="176"/>
      <c r="E1646" s="176"/>
      <c r="F1646" s="259"/>
      <c r="G1646" s="176"/>
      <c r="H1646" s="178"/>
      <c r="I1646" s="592">
        <f t="shared" si="66"/>
        <v>0</v>
      </c>
      <c r="J1646" s="178"/>
      <c r="K1646" s="178"/>
      <c r="L1646" s="275" t="str">
        <f>IF(H:H=0,"",IF(ISERROR(VLOOKUP(H:H,produtos_escape2!$A$2:$B$2794,2,FALSE)),"Código não cadastrado",(VLOOKUP(H:H,produtos_escape2!$A$2:$B$2794,2,FALSE))))</f>
        <v/>
      </c>
      <c r="M1646" s="593" t="str">
        <f>IF(H:H=0,"",IF(ISERROR(VLOOKUP(H:H,produtos_escape2!$A$2:$D$2794,2,FALSE)),"Código não cadastrado",(VLOOKUP(H:H,produtos_escape2!$A$2:$D$2794,4,FALSE))))</f>
        <v/>
      </c>
      <c r="N1646" s="486"/>
      <c r="O1646" s="176"/>
      <c r="P1646" s="486"/>
      <c r="Q1646" s="247"/>
      <c r="R1646" s="246">
        <f t="shared" si="67"/>
        <v>0</v>
      </c>
      <c r="S1646" s="177"/>
      <c r="T1646" s="182"/>
      <c r="U1646" s="177"/>
      <c r="V1646" s="177"/>
      <c r="W1646" s="177"/>
      <c r="X1646" s="176"/>
      <c r="Y1646" s="177"/>
      <c r="Z1646" s="415"/>
      <c r="AA1646" s="488"/>
      <c r="AB1646" s="594"/>
      <c r="AC1646" s="595"/>
      <c r="AD1646" s="596" t="str">
        <f>IF(AND(AC1646&lt;&gt;"",S1646&lt;&gt;""),NETWORKDAYS(AC1646,S1646,#REF!),"")</f>
        <v/>
      </c>
      <c r="AE1646" s="596" t="str">
        <f ca="1">IF(AND(AD1646="",AC1646=""),"",IF(OR(AD1646&lt;&gt;"",O1646="*CANCELADO"),"",NETWORKDAYS(AC1646,TODAY(),#REF!)))</f>
        <v/>
      </c>
      <c r="AF1646" s="597"/>
    </row>
    <row r="1647" spans="1:32" ht="14.25" customHeight="1">
      <c r="A1647" s="176"/>
      <c r="B1647" s="176"/>
      <c r="C1647" s="177"/>
      <c r="D1647" s="176"/>
      <c r="E1647" s="176"/>
      <c r="F1647" s="259"/>
      <c r="G1647" s="176"/>
      <c r="H1647" s="178"/>
      <c r="I1647" s="592">
        <f t="shared" si="66"/>
        <v>0</v>
      </c>
      <c r="J1647" s="178"/>
      <c r="K1647" s="178"/>
      <c r="L1647" s="275" t="str">
        <f>IF(H:H=0,"",IF(ISERROR(VLOOKUP(H:H,produtos_escape2!$A$2:$B$2794,2,FALSE)),"Código não cadastrado",(VLOOKUP(H:H,produtos_escape2!$A$2:$B$2794,2,FALSE))))</f>
        <v/>
      </c>
      <c r="M1647" s="593" t="str">
        <f>IF(H:H=0,"",IF(ISERROR(VLOOKUP(H:H,produtos_escape2!$A$2:$D$2794,2,FALSE)),"Código não cadastrado",(VLOOKUP(H:H,produtos_escape2!$A$2:$D$2794,4,FALSE))))</f>
        <v/>
      </c>
      <c r="N1647" s="486"/>
      <c r="O1647" s="176"/>
      <c r="P1647" s="486"/>
      <c r="Q1647" s="247"/>
      <c r="R1647" s="246">
        <f t="shared" si="67"/>
        <v>0</v>
      </c>
      <c r="S1647" s="177"/>
      <c r="T1647" s="182"/>
      <c r="U1647" s="177"/>
      <c r="V1647" s="177"/>
      <c r="W1647" s="177"/>
      <c r="X1647" s="176"/>
      <c r="Y1647" s="177"/>
      <c r="Z1647" s="415"/>
      <c r="AA1647" s="488"/>
      <c r="AB1647" s="594"/>
      <c r="AC1647" s="595"/>
      <c r="AD1647" s="596" t="str">
        <f>IF(AND(AC1647&lt;&gt;"",S1647&lt;&gt;""),NETWORKDAYS(AC1647,S1647,#REF!),"")</f>
        <v/>
      </c>
      <c r="AE1647" s="596" t="str">
        <f ca="1">IF(AND(AD1647="",AC1647=""),"",IF(OR(AD1647&lt;&gt;"",O1647="*CANCELADO"),"",NETWORKDAYS(AC1647,TODAY(),#REF!)))</f>
        <v/>
      </c>
      <c r="AF1647" s="619"/>
    </row>
    <row r="1648" spans="1:32" ht="14.25" customHeight="1">
      <c r="A1648" s="176"/>
      <c r="B1648" s="176"/>
      <c r="C1648" s="177"/>
      <c r="D1648" s="176"/>
      <c r="E1648" s="176"/>
      <c r="F1648" s="259"/>
      <c r="G1648" s="176"/>
      <c r="H1648" s="178"/>
      <c r="I1648" s="592">
        <f t="shared" si="66"/>
        <v>0</v>
      </c>
      <c r="J1648" s="178"/>
      <c r="K1648" s="178"/>
      <c r="L1648" s="275" t="str">
        <f>IF(H:H=0,"",IF(ISERROR(VLOOKUP(H:H,produtos_escape2!$A$2:$B$2794,2,FALSE)),"Código não cadastrado",(VLOOKUP(H:H,produtos_escape2!$A$2:$B$2794,2,FALSE))))</f>
        <v/>
      </c>
      <c r="M1648" s="593" t="str">
        <f>IF(H:H=0,"",IF(ISERROR(VLOOKUP(H:H,produtos_escape2!$A$2:$D$2794,2,FALSE)),"Código não cadastrado",(VLOOKUP(H:H,produtos_escape2!$A$2:$D$2794,4,FALSE))))</f>
        <v/>
      </c>
      <c r="N1648" s="486"/>
      <c r="O1648" s="176"/>
      <c r="P1648" s="486"/>
      <c r="Q1648" s="247"/>
      <c r="R1648" s="246">
        <f t="shared" si="67"/>
        <v>0</v>
      </c>
      <c r="S1648" s="177"/>
      <c r="T1648" s="182"/>
      <c r="U1648" s="177"/>
      <c r="V1648" s="177"/>
      <c r="W1648" s="177"/>
      <c r="X1648" s="176"/>
      <c r="Y1648" s="177"/>
      <c r="Z1648" s="415"/>
      <c r="AA1648" s="488"/>
      <c r="AB1648" s="594"/>
      <c r="AC1648" s="595"/>
      <c r="AD1648" s="596" t="str">
        <f>IF(AND(AC1648&lt;&gt;"",S1648&lt;&gt;""),NETWORKDAYS(AC1648,S1648,#REF!),"")</f>
        <v/>
      </c>
      <c r="AE1648" s="596" t="str">
        <f ca="1">IF(AND(AD1648="",AC1648=""),"",IF(OR(AD1648&lt;&gt;"",O1648="*CANCELADO"),"",NETWORKDAYS(AC1648,TODAY(),#REF!)))</f>
        <v/>
      </c>
      <c r="AF1648" s="619"/>
    </row>
    <row r="1649" spans="1:32" ht="14.25" customHeight="1">
      <c r="A1649" s="176"/>
      <c r="B1649" s="176"/>
      <c r="C1649" s="177"/>
      <c r="D1649" s="176"/>
      <c r="E1649" s="176"/>
      <c r="F1649" s="259"/>
      <c r="G1649" s="176"/>
      <c r="H1649" s="178"/>
      <c r="I1649" s="592">
        <f t="shared" si="66"/>
        <v>0</v>
      </c>
      <c r="J1649" s="178"/>
      <c r="K1649" s="178"/>
      <c r="L1649" s="275" t="str">
        <f>IF(H:H=0,"",IF(ISERROR(VLOOKUP(H:H,produtos_escape2!$A$2:$B$2794,2,FALSE)),"Código não cadastrado",(VLOOKUP(H:H,produtos_escape2!$A$2:$B$2794,2,FALSE))))</f>
        <v/>
      </c>
      <c r="M1649" s="593" t="str">
        <f>IF(H:H=0,"",IF(ISERROR(VLOOKUP(H:H,produtos_escape2!$A$2:$D$2794,2,FALSE)),"Código não cadastrado",(VLOOKUP(H:H,produtos_escape2!$A$2:$D$2794,4,FALSE))))</f>
        <v/>
      </c>
      <c r="N1649" s="486"/>
      <c r="O1649" s="176"/>
      <c r="P1649" s="486"/>
      <c r="Q1649" s="247"/>
      <c r="R1649" s="246">
        <f t="shared" si="67"/>
        <v>0</v>
      </c>
      <c r="S1649" s="177"/>
      <c r="T1649" s="182"/>
      <c r="U1649" s="177"/>
      <c r="V1649" s="177"/>
      <c r="W1649" s="177"/>
      <c r="X1649" s="176"/>
      <c r="Y1649" s="177"/>
      <c r="Z1649" s="415"/>
      <c r="AA1649" s="488"/>
      <c r="AB1649" s="594"/>
      <c r="AC1649" s="595"/>
      <c r="AD1649" s="596" t="str">
        <f>IF(AND(AC1649&lt;&gt;"",S1649&lt;&gt;""),NETWORKDAYS(AC1649,S1649,#REF!),"")</f>
        <v/>
      </c>
      <c r="AE1649" s="596" t="str">
        <f ca="1">IF(AND(AD1649="",AC1649=""),"",IF(OR(AD1649&lt;&gt;"",O1649="*CANCELADO"),"",NETWORKDAYS(AC1649,TODAY(),#REF!)))</f>
        <v/>
      </c>
      <c r="AF1649" s="619"/>
    </row>
    <row r="1650" spans="1:32" ht="14.25" customHeight="1">
      <c r="A1650" s="176"/>
      <c r="B1650" s="176"/>
      <c r="C1650" s="177"/>
      <c r="D1650" s="176"/>
      <c r="E1650" s="176"/>
      <c r="F1650" s="259"/>
      <c r="G1650" s="176"/>
      <c r="H1650" s="178"/>
      <c r="I1650" s="592">
        <f t="shared" si="66"/>
        <v>0</v>
      </c>
      <c r="J1650" s="178"/>
      <c r="K1650" s="178"/>
      <c r="L1650" s="275" t="str">
        <f>IF(H:H=0,"",IF(ISERROR(VLOOKUP(H:H,produtos_escape2!$A$2:$B$2794,2,FALSE)),"Código não cadastrado",(VLOOKUP(H:H,produtos_escape2!$A$2:$B$2794,2,FALSE))))</f>
        <v/>
      </c>
      <c r="M1650" s="593" t="str">
        <f>IF(H:H=0,"",IF(ISERROR(VLOOKUP(H:H,produtos_escape2!$A$2:$D$2794,2,FALSE)),"Código não cadastrado",(VLOOKUP(H:H,produtos_escape2!$A$2:$D$2794,4,FALSE))))</f>
        <v/>
      </c>
      <c r="N1650" s="486"/>
      <c r="O1650" s="176"/>
      <c r="P1650" s="486"/>
      <c r="Q1650" s="247"/>
      <c r="R1650" s="246">
        <f t="shared" si="67"/>
        <v>0</v>
      </c>
      <c r="S1650" s="177"/>
      <c r="T1650" s="182"/>
      <c r="U1650" s="177"/>
      <c r="V1650" s="177"/>
      <c r="W1650" s="177"/>
      <c r="X1650" s="176"/>
      <c r="Y1650" s="177"/>
      <c r="Z1650" s="415"/>
      <c r="AA1650" s="488"/>
      <c r="AB1650" s="594"/>
      <c r="AC1650" s="595"/>
      <c r="AD1650" s="596" t="str">
        <f>IF(AND(AC1650&lt;&gt;"",S1650&lt;&gt;""),NETWORKDAYS(AC1650,S1650,#REF!),"")</f>
        <v/>
      </c>
      <c r="AE1650" s="596" t="str">
        <f ca="1">IF(AND(AD1650="",AC1650=""),"",IF(OR(AD1650&lt;&gt;"",O1650="*CANCELADO"),"",NETWORKDAYS(AC1650,TODAY(),#REF!)))</f>
        <v/>
      </c>
      <c r="AF1650" s="619"/>
    </row>
    <row r="1651" spans="1:32" ht="14.25" customHeight="1">
      <c r="A1651" s="176"/>
      <c r="B1651" s="176"/>
      <c r="C1651" s="177"/>
      <c r="D1651" s="176"/>
      <c r="E1651" s="176"/>
      <c r="F1651" s="259"/>
      <c r="G1651" s="176"/>
      <c r="H1651" s="178"/>
      <c r="I1651" s="592">
        <f t="shared" si="66"/>
        <v>0</v>
      </c>
      <c r="J1651" s="178"/>
      <c r="K1651" s="178"/>
      <c r="L1651" s="275" t="str">
        <f>IF(H:H=0,"",IF(ISERROR(VLOOKUP(H:H,produtos_escape2!$A$2:$B$2794,2,FALSE)),"Código não cadastrado",(VLOOKUP(H:H,produtos_escape2!$A$2:$B$2794,2,FALSE))))</f>
        <v/>
      </c>
      <c r="M1651" s="593" t="str">
        <f>IF(H:H=0,"",IF(ISERROR(VLOOKUP(H:H,produtos_escape2!$A$2:$D$2794,2,FALSE)),"Código não cadastrado",(VLOOKUP(H:H,produtos_escape2!$A$2:$D$2794,4,FALSE))))</f>
        <v/>
      </c>
      <c r="N1651" s="486"/>
      <c r="O1651" s="176"/>
      <c r="P1651" s="486"/>
      <c r="Q1651" s="247"/>
      <c r="R1651" s="246">
        <f t="shared" si="67"/>
        <v>0</v>
      </c>
      <c r="S1651" s="177"/>
      <c r="T1651" s="182"/>
      <c r="U1651" s="177"/>
      <c r="V1651" s="177"/>
      <c r="W1651" s="177"/>
      <c r="X1651" s="176"/>
      <c r="Y1651" s="177"/>
      <c r="Z1651" s="415"/>
      <c r="AA1651" s="488"/>
      <c r="AB1651" s="594"/>
      <c r="AC1651" s="595"/>
      <c r="AD1651" s="596" t="str">
        <f>IF(AND(AC1651&lt;&gt;"",S1651&lt;&gt;""),NETWORKDAYS(AC1651,S1651,#REF!),"")</f>
        <v/>
      </c>
      <c r="AE1651" s="596" t="str">
        <f ca="1">IF(AND(AD1651="",AC1651=""),"",IF(OR(AD1651&lt;&gt;"",O1651="*CANCELADO"),"",NETWORKDAYS(AC1651,TODAY(),#REF!)))</f>
        <v/>
      </c>
      <c r="AF1651" s="619"/>
    </row>
    <row r="1652" spans="1:32" ht="14.25" customHeight="1">
      <c r="A1652" s="176"/>
      <c r="B1652" s="176"/>
      <c r="C1652" s="177"/>
      <c r="D1652" s="176"/>
      <c r="E1652" s="176"/>
      <c r="F1652" s="259"/>
      <c r="G1652" s="176"/>
      <c r="H1652" s="178"/>
      <c r="I1652" s="592">
        <f t="shared" si="66"/>
        <v>0</v>
      </c>
      <c r="J1652" s="178"/>
      <c r="K1652" s="178"/>
      <c r="L1652" s="275" t="str">
        <f>IF(H:H=0,"",IF(ISERROR(VLOOKUP(H:H,produtos_escape2!$A$2:$B$2794,2,FALSE)),"Código não cadastrado",(VLOOKUP(H:H,produtos_escape2!$A$2:$B$2794,2,FALSE))))</f>
        <v/>
      </c>
      <c r="M1652" s="593" t="str">
        <f>IF(H:H=0,"",IF(ISERROR(VLOOKUP(H:H,produtos_escape2!$A$2:$D$2794,2,FALSE)),"Código não cadastrado",(VLOOKUP(H:H,produtos_escape2!$A$2:$D$2794,4,FALSE))))</f>
        <v/>
      </c>
      <c r="N1652" s="486"/>
      <c r="O1652" s="176"/>
      <c r="P1652" s="486"/>
      <c r="Q1652" s="247"/>
      <c r="R1652" s="246">
        <f t="shared" si="67"/>
        <v>0</v>
      </c>
      <c r="S1652" s="177"/>
      <c r="T1652" s="182"/>
      <c r="U1652" s="177"/>
      <c r="V1652" s="177"/>
      <c r="W1652" s="177"/>
      <c r="X1652" s="176"/>
      <c r="Y1652" s="177"/>
      <c r="Z1652" s="415"/>
      <c r="AA1652" s="488"/>
      <c r="AB1652" s="594"/>
      <c r="AC1652" s="595"/>
      <c r="AD1652" s="596" t="str">
        <f>IF(AND(AC1652&lt;&gt;"",S1652&lt;&gt;""),NETWORKDAYS(AC1652,S1652,#REF!),"")</f>
        <v/>
      </c>
      <c r="AE1652" s="596" t="str">
        <f ca="1">IF(AND(AD1652="",AC1652=""),"",IF(OR(AD1652&lt;&gt;"",O1652="*CANCELADO"),"",NETWORKDAYS(AC1652,TODAY(),#REF!)))</f>
        <v/>
      </c>
      <c r="AF1652" s="619"/>
    </row>
    <row r="1653" spans="1:32" ht="14.25" customHeight="1">
      <c r="A1653" s="176"/>
      <c r="B1653" s="176"/>
      <c r="C1653" s="177"/>
      <c r="D1653" s="176"/>
      <c r="E1653" s="176"/>
      <c r="F1653" s="259"/>
      <c r="G1653" s="176"/>
      <c r="H1653" s="178"/>
      <c r="I1653" s="592">
        <f t="shared" si="66"/>
        <v>0</v>
      </c>
      <c r="J1653" s="178"/>
      <c r="K1653" s="178"/>
      <c r="L1653" s="275" t="str">
        <f>IF(H:H=0,"",IF(ISERROR(VLOOKUP(H:H,produtos_escape2!$A$2:$B$2794,2,FALSE)),"Código não cadastrado",(VLOOKUP(H:H,produtos_escape2!$A$2:$B$2794,2,FALSE))))</f>
        <v/>
      </c>
      <c r="M1653" s="593" t="str">
        <f>IF(H:H=0,"",IF(ISERROR(VLOOKUP(H:H,produtos_escape2!$A$2:$D$2794,2,FALSE)),"Código não cadastrado",(VLOOKUP(H:H,produtos_escape2!$A$2:$D$2794,4,FALSE))))</f>
        <v/>
      </c>
      <c r="N1653" s="486"/>
      <c r="O1653" s="176"/>
      <c r="P1653" s="486"/>
      <c r="Q1653" s="247"/>
      <c r="R1653" s="246">
        <f t="shared" si="67"/>
        <v>0</v>
      </c>
      <c r="S1653" s="177"/>
      <c r="T1653" s="182"/>
      <c r="U1653" s="177"/>
      <c r="V1653" s="177"/>
      <c r="W1653" s="177"/>
      <c r="X1653" s="176"/>
      <c r="Y1653" s="177"/>
      <c r="Z1653" s="415"/>
      <c r="AA1653" s="488"/>
      <c r="AB1653" s="594"/>
      <c r="AC1653" s="595"/>
      <c r="AD1653" s="596" t="str">
        <f>IF(AND(AC1653&lt;&gt;"",S1653&lt;&gt;""),NETWORKDAYS(AC1653,S1653,#REF!),"")</f>
        <v/>
      </c>
      <c r="AE1653" s="596" t="str">
        <f ca="1">IF(AND(AD1653="",AC1653=""),"",IF(OR(AD1653&lt;&gt;"",O1653="*CANCELADO"),"",NETWORKDAYS(AC1653,TODAY(),#REF!)))</f>
        <v/>
      </c>
      <c r="AF1653" s="619"/>
    </row>
    <row r="1654" spans="1:32" ht="14.25" customHeight="1">
      <c r="A1654" s="176"/>
      <c r="B1654" s="176"/>
      <c r="C1654" s="177"/>
      <c r="D1654" s="176"/>
      <c r="E1654" s="176"/>
      <c r="F1654" s="259"/>
      <c r="G1654" s="176"/>
      <c r="H1654" s="178"/>
      <c r="I1654" s="592">
        <f t="shared" ref="I1654:I1717" si="68">COUNTIF($H$3:$H$3041,H1654)</f>
        <v>0</v>
      </c>
      <c r="J1654" s="178"/>
      <c r="K1654" s="178"/>
      <c r="L1654" s="275" t="str">
        <f>IF(H:H=0,"",IF(ISERROR(VLOOKUP(H:H,produtos_escape2!$A$2:$B$2794,2,FALSE)),"Código não cadastrado",(VLOOKUP(H:H,produtos_escape2!$A$2:$B$2794,2,FALSE))))</f>
        <v/>
      </c>
      <c r="M1654" s="593" t="str">
        <f>IF(H:H=0,"",IF(ISERROR(VLOOKUP(H:H,produtos_escape2!$A$2:$D$2794,2,FALSE)),"Código não cadastrado",(VLOOKUP(H:H,produtos_escape2!$A$2:$D$2794,4,FALSE))))</f>
        <v/>
      </c>
      <c r="N1654" s="486"/>
      <c r="O1654" s="176"/>
      <c r="P1654" s="486"/>
      <c r="Q1654" s="247"/>
      <c r="R1654" s="246">
        <f t="shared" si="67"/>
        <v>0</v>
      </c>
      <c r="S1654" s="177"/>
      <c r="T1654" s="182"/>
      <c r="U1654" s="177"/>
      <c r="V1654" s="177"/>
      <c r="W1654" s="177"/>
      <c r="X1654" s="176"/>
      <c r="Y1654" s="177"/>
      <c r="Z1654" s="415"/>
      <c r="AA1654" s="488"/>
      <c r="AB1654" s="594"/>
      <c r="AC1654" s="595"/>
      <c r="AD1654" s="596" t="str">
        <f>IF(AND(AC1654&lt;&gt;"",S1654&lt;&gt;""),NETWORKDAYS(AC1654,S1654,#REF!),"")</f>
        <v/>
      </c>
      <c r="AE1654" s="596" t="str">
        <f ca="1">IF(AND(AD1654="",AC1654=""),"",IF(OR(AD1654&lt;&gt;"",O1654="*CANCELADO"),"",NETWORKDAYS(AC1654,TODAY(),#REF!)))</f>
        <v/>
      </c>
      <c r="AF1654" s="619"/>
    </row>
    <row r="1655" spans="1:32" ht="14.25" customHeight="1">
      <c r="A1655" s="176"/>
      <c r="B1655" s="176"/>
      <c r="C1655" s="177"/>
      <c r="D1655" s="176"/>
      <c r="E1655" s="176"/>
      <c r="F1655" s="259"/>
      <c r="G1655" s="176"/>
      <c r="H1655" s="178"/>
      <c r="I1655" s="592">
        <f t="shared" si="68"/>
        <v>0</v>
      </c>
      <c r="J1655" s="178"/>
      <c r="K1655" s="178"/>
      <c r="L1655" s="275" t="str">
        <f>IF(H:H=0,"",IF(ISERROR(VLOOKUP(H:H,produtos_escape2!$A$2:$B$2794,2,FALSE)),"Código não cadastrado",(VLOOKUP(H:H,produtos_escape2!$A$2:$B$2794,2,FALSE))))</f>
        <v/>
      </c>
      <c r="M1655" s="593" t="str">
        <f>IF(H:H=0,"",IF(ISERROR(VLOOKUP(H:H,produtos_escape2!$A$2:$D$2794,2,FALSE)),"Código não cadastrado",(VLOOKUP(H:H,produtos_escape2!$A$2:$D$2794,4,FALSE))))</f>
        <v/>
      </c>
      <c r="N1655" s="486"/>
      <c r="O1655" s="176"/>
      <c r="P1655" s="486"/>
      <c r="Q1655" s="247"/>
      <c r="R1655" s="246">
        <f t="shared" si="67"/>
        <v>0</v>
      </c>
      <c r="S1655" s="177"/>
      <c r="T1655" s="182"/>
      <c r="U1655" s="177"/>
      <c r="V1655" s="177"/>
      <c r="W1655" s="177"/>
      <c r="X1655" s="176"/>
      <c r="Y1655" s="177"/>
      <c r="Z1655" s="415"/>
      <c r="AA1655" s="488"/>
      <c r="AB1655" s="594"/>
      <c r="AC1655" s="595"/>
      <c r="AD1655" s="596" t="str">
        <f>IF(AND(AC1655&lt;&gt;"",S1655&lt;&gt;""),NETWORKDAYS(AC1655,S1655,#REF!),"")</f>
        <v/>
      </c>
      <c r="AE1655" s="596" t="str">
        <f ca="1">IF(AND(AD1655="",AC1655=""),"",IF(OR(AD1655&lt;&gt;"",O1655="*CANCELADO"),"",NETWORKDAYS(AC1655,TODAY(),#REF!)))</f>
        <v/>
      </c>
      <c r="AF1655" s="619"/>
    </row>
    <row r="1656" spans="1:32" ht="14.25" customHeight="1">
      <c r="A1656" s="176"/>
      <c r="B1656" s="176"/>
      <c r="C1656" s="177"/>
      <c r="D1656" s="176"/>
      <c r="E1656" s="176"/>
      <c r="F1656" s="259"/>
      <c r="G1656" s="176"/>
      <c r="H1656" s="178"/>
      <c r="I1656" s="592">
        <f t="shared" si="68"/>
        <v>0</v>
      </c>
      <c r="J1656" s="178"/>
      <c r="K1656" s="178"/>
      <c r="L1656" s="275" t="str">
        <f>IF(H:H=0,"",IF(ISERROR(VLOOKUP(H:H,produtos_escape2!$A$2:$B$2794,2,FALSE)),"Código não cadastrado",(VLOOKUP(H:H,produtos_escape2!$A$2:$B$2794,2,FALSE))))</f>
        <v/>
      </c>
      <c r="M1656" s="593" t="str">
        <f>IF(H:H=0,"",IF(ISERROR(VLOOKUP(H:H,produtos_escape2!$A$2:$D$2794,2,FALSE)),"Código não cadastrado",(VLOOKUP(H:H,produtos_escape2!$A$2:$D$2794,4,FALSE))))</f>
        <v/>
      </c>
      <c r="N1656" s="486"/>
      <c r="O1656" s="176"/>
      <c r="P1656" s="486"/>
      <c r="Q1656" s="247"/>
      <c r="R1656" s="246">
        <f t="shared" si="67"/>
        <v>0</v>
      </c>
      <c r="S1656" s="177"/>
      <c r="T1656" s="182"/>
      <c r="U1656" s="177"/>
      <c r="V1656" s="177"/>
      <c r="W1656" s="177"/>
      <c r="X1656" s="176"/>
      <c r="Y1656" s="177"/>
      <c r="Z1656" s="415"/>
      <c r="AA1656" s="488"/>
      <c r="AB1656" s="594"/>
      <c r="AC1656" s="595"/>
      <c r="AD1656" s="596" t="str">
        <f>IF(AND(AC1656&lt;&gt;"",S1656&lt;&gt;""),NETWORKDAYS(AC1656,S1656,#REF!),"")</f>
        <v/>
      </c>
      <c r="AE1656" s="596" t="str">
        <f ca="1">IF(AND(AD1656="",AC1656=""),"",IF(OR(AD1656&lt;&gt;"",O1656="*CANCELADO"),"",NETWORKDAYS(AC1656,TODAY(),#REF!)))</f>
        <v/>
      </c>
      <c r="AF1656" s="619"/>
    </row>
    <row r="1657" spans="1:32" ht="14.25" customHeight="1">
      <c r="A1657" s="176"/>
      <c r="B1657" s="176"/>
      <c r="C1657" s="177"/>
      <c r="D1657" s="176"/>
      <c r="E1657" s="176"/>
      <c r="F1657" s="259"/>
      <c r="G1657" s="176"/>
      <c r="H1657" s="178"/>
      <c r="I1657" s="592">
        <f t="shared" si="68"/>
        <v>0</v>
      </c>
      <c r="J1657" s="178"/>
      <c r="K1657" s="178"/>
      <c r="L1657" s="275" t="str">
        <f>IF(H:H=0,"",IF(ISERROR(VLOOKUP(H:H,produtos_escape2!$A$2:$B$2794,2,FALSE)),"Código não cadastrado",(VLOOKUP(H:H,produtos_escape2!$A$2:$B$2794,2,FALSE))))</f>
        <v/>
      </c>
      <c r="M1657" s="593" t="str">
        <f>IF(H:H=0,"",IF(ISERROR(VLOOKUP(H:H,produtos_escape2!$A$2:$D$2794,2,FALSE)),"Código não cadastrado",(VLOOKUP(H:H,produtos_escape2!$A$2:$D$2794,4,FALSE))))</f>
        <v/>
      </c>
      <c r="N1657" s="486"/>
      <c r="O1657" s="176"/>
      <c r="P1657" s="486"/>
      <c r="Q1657" s="247"/>
      <c r="R1657" s="246">
        <f t="shared" si="67"/>
        <v>0</v>
      </c>
      <c r="S1657" s="177"/>
      <c r="T1657" s="182"/>
      <c r="U1657" s="177"/>
      <c r="V1657" s="177"/>
      <c r="W1657" s="177"/>
      <c r="X1657" s="176"/>
      <c r="Y1657" s="177"/>
      <c r="Z1657" s="415"/>
      <c r="AA1657" s="488"/>
      <c r="AB1657" s="594"/>
      <c r="AC1657" s="595"/>
      <c r="AD1657" s="596" t="str">
        <f>IF(AND(AC1657&lt;&gt;"",S1657&lt;&gt;""),NETWORKDAYS(AC1657,S1657,#REF!),"")</f>
        <v/>
      </c>
      <c r="AE1657" s="596" t="str">
        <f ca="1">IF(AND(AD1657="",AC1657=""),"",IF(OR(AD1657&lt;&gt;"",O1657="*CANCELADO"),"",NETWORKDAYS(AC1657,TODAY(),#REF!)))</f>
        <v/>
      </c>
      <c r="AF1657" s="619"/>
    </row>
    <row r="1658" spans="1:32" ht="14.25" customHeight="1">
      <c r="A1658" s="176"/>
      <c r="B1658" s="176"/>
      <c r="C1658" s="177"/>
      <c r="D1658" s="176"/>
      <c r="E1658" s="176"/>
      <c r="F1658" s="259"/>
      <c r="G1658" s="176"/>
      <c r="H1658" s="178"/>
      <c r="I1658" s="592">
        <f t="shared" si="68"/>
        <v>0</v>
      </c>
      <c r="J1658" s="178"/>
      <c r="K1658" s="178"/>
      <c r="L1658" s="275" t="str">
        <f>IF(H:H=0,"",IF(ISERROR(VLOOKUP(H:H,produtos_escape2!$A$2:$B$2794,2,FALSE)),"Código não cadastrado",(VLOOKUP(H:H,produtos_escape2!$A$2:$B$2794,2,FALSE))))</f>
        <v/>
      </c>
      <c r="M1658" s="593" t="str">
        <f>IF(H:H=0,"",IF(ISERROR(VLOOKUP(H:H,produtos_escape2!$A$2:$D$2794,2,FALSE)),"Código não cadastrado",(VLOOKUP(H:H,produtos_escape2!$A$2:$D$2794,4,FALSE))))</f>
        <v/>
      </c>
      <c r="N1658" s="486"/>
      <c r="O1658" s="176"/>
      <c r="P1658" s="486"/>
      <c r="Q1658" s="247"/>
      <c r="R1658" s="246">
        <f t="shared" si="67"/>
        <v>0</v>
      </c>
      <c r="S1658" s="177"/>
      <c r="T1658" s="182"/>
      <c r="U1658" s="177"/>
      <c r="V1658" s="177"/>
      <c r="W1658" s="177"/>
      <c r="X1658" s="176"/>
      <c r="Y1658" s="177"/>
      <c r="Z1658" s="415"/>
      <c r="AA1658" s="488"/>
      <c r="AB1658" s="594"/>
      <c r="AC1658" s="595"/>
      <c r="AD1658" s="596" t="str">
        <f>IF(AND(AC1658&lt;&gt;"",S1658&lt;&gt;""),NETWORKDAYS(AC1658,S1658,#REF!),"")</f>
        <v/>
      </c>
      <c r="AE1658" s="596" t="str">
        <f ca="1">IF(AND(AD1658="",AC1658=""),"",IF(OR(AD1658&lt;&gt;"",O1658="*CANCELADO"),"",NETWORKDAYS(AC1658,TODAY(),#REF!)))</f>
        <v/>
      </c>
      <c r="AF1658" s="619"/>
    </row>
    <row r="1659" spans="1:32" ht="14.25" customHeight="1">
      <c r="A1659" s="176"/>
      <c r="B1659" s="176"/>
      <c r="C1659" s="177"/>
      <c r="D1659" s="176"/>
      <c r="E1659" s="176"/>
      <c r="F1659" s="259"/>
      <c r="G1659" s="176"/>
      <c r="H1659" s="178"/>
      <c r="I1659" s="592">
        <f t="shared" si="68"/>
        <v>0</v>
      </c>
      <c r="J1659" s="178"/>
      <c r="K1659" s="178"/>
      <c r="L1659" s="275" t="str">
        <f>IF(H:H=0,"",IF(ISERROR(VLOOKUP(H:H,produtos_escape2!$A$2:$B$2794,2,FALSE)),"Código não cadastrado",(VLOOKUP(H:H,produtos_escape2!$A$2:$B$2794,2,FALSE))))</f>
        <v/>
      </c>
      <c r="M1659" s="593" t="str">
        <f>IF(H:H=0,"",IF(ISERROR(VLOOKUP(H:H,produtos_escape2!$A$2:$D$2794,2,FALSE)),"Código não cadastrado",(VLOOKUP(H:H,produtos_escape2!$A$2:$D$2794,4,FALSE))))</f>
        <v/>
      </c>
      <c r="N1659" s="486"/>
      <c r="O1659" s="176"/>
      <c r="P1659" s="486"/>
      <c r="Q1659" s="247"/>
      <c r="R1659" s="246">
        <f t="shared" si="67"/>
        <v>0</v>
      </c>
      <c r="S1659" s="177"/>
      <c r="T1659" s="182"/>
      <c r="U1659" s="177"/>
      <c r="V1659" s="177"/>
      <c r="W1659" s="177"/>
      <c r="X1659" s="176"/>
      <c r="Y1659" s="177"/>
      <c r="Z1659" s="415"/>
      <c r="AA1659" s="488"/>
      <c r="AB1659" s="594"/>
      <c r="AC1659" s="595"/>
      <c r="AD1659" s="596" t="str">
        <f>IF(AND(AC1659&lt;&gt;"",S1659&lt;&gt;""),NETWORKDAYS(AC1659,S1659,#REF!),"")</f>
        <v/>
      </c>
      <c r="AE1659" s="596" t="str">
        <f ca="1">IF(AND(AD1659="",AC1659=""),"",IF(OR(AD1659&lt;&gt;"",O1659="*CANCELADO"),"",NETWORKDAYS(AC1659,TODAY(),#REF!)))</f>
        <v/>
      </c>
      <c r="AF1659" s="619"/>
    </row>
    <row r="1660" spans="1:32" ht="14.25" customHeight="1">
      <c r="A1660" s="176"/>
      <c r="B1660" s="176"/>
      <c r="C1660" s="177"/>
      <c r="D1660" s="176"/>
      <c r="E1660" s="176"/>
      <c r="F1660" s="259"/>
      <c r="G1660" s="176"/>
      <c r="H1660" s="178"/>
      <c r="I1660" s="592">
        <f t="shared" si="68"/>
        <v>0</v>
      </c>
      <c r="J1660" s="178"/>
      <c r="K1660" s="178"/>
      <c r="L1660" s="275" t="str">
        <f>IF(H:H=0,"",IF(ISERROR(VLOOKUP(H:H,produtos_escape2!$A$2:$B$2794,2,FALSE)),"Código não cadastrado",(VLOOKUP(H:H,produtos_escape2!$A$2:$B$2794,2,FALSE))))</f>
        <v/>
      </c>
      <c r="M1660" s="593" t="str">
        <f>IF(H:H=0,"",IF(ISERROR(VLOOKUP(H:H,produtos_escape2!$A$2:$D$2794,2,FALSE)),"Código não cadastrado",(VLOOKUP(H:H,produtos_escape2!$A$2:$D$2794,4,FALSE))))</f>
        <v/>
      </c>
      <c r="N1660" s="486"/>
      <c r="O1660" s="176"/>
      <c r="P1660" s="486"/>
      <c r="Q1660" s="247"/>
      <c r="R1660" s="246">
        <f t="shared" si="67"/>
        <v>0</v>
      </c>
      <c r="S1660" s="177"/>
      <c r="T1660" s="182"/>
      <c r="U1660" s="177"/>
      <c r="V1660" s="177"/>
      <c r="W1660" s="177"/>
      <c r="X1660" s="176"/>
      <c r="Y1660" s="177"/>
      <c r="Z1660" s="415"/>
      <c r="AA1660" s="488"/>
      <c r="AB1660" s="594"/>
      <c r="AC1660" s="595"/>
      <c r="AD1660" s="596" t="str">
        <f>IF(AND(AC1660&lt;&gt;"",S1660&lt;&gt;""),NETWORKDAYS(AC1660,S1660,#REF!),"")</f>
        <v/>
      </c>
      <c r="AE1660" s="596" t="str">
        <f ca="1">IF(AND(AD1660="",AC1660=""),"",IF(OR(AD1660&lt;&gt;"",O1660="*CANCELADO"),"",NETWORKDAYS(AC1660,TODAY(),#REF!)))</f>
        <v/>
      </c>
      <c r="AF1660" s="619"/>
    </row>
    <row r="1661" spans="1:32" ht="14.25" customHeight="1">
      <c r="A1661" s="176"/>
      <c r="B1661" s="176"/>
      <c r="C1661" s="177"/>
      <c r="D1661" s="176"/>
      <c r="E1661" s="176"/>
      <c r="F1661" s="259"/>
      <c r="G1661" s="176"/>
      <c r="H1661" s="178"/>
      <c r="I1661" s="592">
        <f t="shared" si="68"/>
        <v>0</v>
      </c>
      <c r="J1661" s="178"/>
      <c r="K1661" s="178"/>
      <c r="L1661" s="275" t="str">
        <f>IF(H:H=0,"",IF(ISERROR(VLOOKUP(H:H,produtos_escape2!$A$2:$B$2794,2,FALSE)),"Código não cadastrado",(VLOOKUP(H:H,produtos_escape2!$A$2:$B$2794,2,FALSE))))</f>
        <v/>
      </c>
      <c r="M1661" s="593" t="str">
        <f>IF(H:H=0,"",IF(ISERROR(VLOOKUP(H:H,produtos_escape2!$A$2:$D$2794,2,FALSE)),"Código não cadastrado",(VLOOKUP(H:H,produtos_escape2!$A$2:$D$2794,4,FALSE))))</f>
        <v/>
      </c>
      <c r="N1661" s="486"/>
      <c r="O1661" s="176"/>
      <c r="P1661" s="486"/>
      <c r="Q1661" s="247"/>
      <c r="R1661" s="246">
        <f t="shared" si="67"/>
        <v>0</v>
      </c>
      <c r="S1661" s="177"/>
      <c r="T1661" s="182"/>
      <c r="U1661" s="177"/>
      <c r="V1661" s="177"/>
      <c r="W1661" s="177"/>
      <c r="X1661" s="176"/>
      <c r="Y1661" s="177"/>
      <c r="Z1661" s="415"/>
      <c r="AA1661" s="488"/>
      <c r="AB1661" s="594"/>
      <c r="AC1661" s="595"/>
      <c r="AD1661" s="596" t="str">
        <f>IF(AND(AC1661&lt;&gt;"",S1661&lt;&gt;""),NETWORKDAYS(AC1661,S1661,#REF!),"")</f>
        <v/>
      </c>
      <c r="AE1661" s="596" t="str">
        <f ca="1">IF(AND(AD1661="",AC1661=""),"",IF(OR(AD1661&lt;&gt;"",O1661="*CANCELADO"),"",NETWORKDAYS(AC1661,TODAY(),#REF!)))</f>
        <v/>
      </c>
      <c r="AF1661" s="619"/>
    </row>
    <row r="1662" spans="1:32" ht="14.25" customHeight="1">
      <c r="A1662" s="176"/>
      <c r="B1662" s="176"/>
      <c r="C1662" s="177"/>
      <c r="D1662" s="176"/>
      <c r="E1662" s="176"/>
      <c r="F1662" s="259"/>
      <c r="G1662" s="176"/>
      <c r="H1662" s="178"/>
      <c r="I1662" s="592">
        <f t="shared" si="68"/>
        <v>0</v>
      </c>
      <c r="J1662" s="178"/>
      <c r="K1662" s="178"/>
      <c r="L1662" s="275" t="str">
        <f>IF(H:H=0,"",IF(ISERROR(VLOOKUP(H:H,produtos_escape2!$A$2:$B$2794,2,FALSE)),"Código não cadastrado",(VLOOKUP(H:H,produtos_escape2!$A$2:$B$2794,2,FALSE))))</f>
        <v/>
      </c>
      <c r="M1662" s="593" t="str">
        <f>IF(H:H=0,"",IF(ISERROR(VLOOKUP(H:H,produtos_escape2!$A$2:$D$2794,2,FALSE)),"Código não cadastrado",(VLOOKUP(H:H,produtos_escape2!$A$2:$D$2794,4,FALSE))))</f>
        <v/>
      </c>
      <c r="N1662" s="486"/>
      <c r="O1662" s="176"/>
      <c r="P1662" s="486"/>
      <c r="Q1662" s="247"/>
      <c r="R1662" s="246">
        <f t="shared" si="67"/>
        <v>0</v>
      </c>
      <c r="S1662" s="177"/>
      <c r="T1662" s="182"/>
      <c r="U1662" s="177"/>
      <c r="V1662" s="177"/>
      <c r="W1662" s="177"/>
      <c r="X1662" s="176"/>
      <c r="Y1662" s="177"/>
      <c r="Z1662" s="415"/>
      <c r="AA1662" s="488"/>
      <c r="AB1662" s="594"/>
      <c r="AC1662" s="595"/>
      <c r="AD1662" s="596" t="str">
        <f>IF(AND(AC1662&lt;&gt;"",S1662&lt;&gt;""),NETWORKDAYS(AC1662,S1662,#REF!),"")</f>
        <v/>
      </c>
      <c r="AE1662" s="596" t="str">
        <f ca="1">IF(AND(AD1662="",AC1662=""),"",IF(OR(AD1662&lt;&gt;"",O1662="*CANCELADO"),"",NETWORKDAYS(AC1662,TODAY(),#REF!)))</f>
        <v/>
      </c>
      <c r="AF1662" s="619"/>
    </row>
    <row r="1663" spans="1:32" ht="14.25" customHeight="1">
      <c r="A1663" s="176"/>
      <c r="B1663" s="176"/>
      <c r="C1663" s="177"/>
      <c r="D1663" s="176"/>
      <c r="E1663" s="176"/>
      <c r="F1663" s="259"/>
      <c r="G1663" s="176"/>
      <c r="H1663" s="178"/>
      <c r="I1663" s="592">
        <f t="shared" si="68"/>
        <v>0</v>
      </c>
      <c r="J1663" s="178"/>
      <c r="K1663" s="178"/>
      <c r="L1663" s="275" t="str">
        <f>IF(H:H=0,"",IF(ISERROR(VLOOKUP(H:H,produtos_escape2!$A$2:$B$2794,2,FALSE)),"Código não cadastrado",(VLOOKUP(H:H,produtos_escape2!$A$2:$B$2794,2,FALSE))))</f>
        <v/>
      </c>
      <c r="M1663" s="593" t="str">
        <f>IF(H:H=0,"",IF(ISERROR(VLOOKUP(H:H,produtos_escape2!$A$2:$D$2794,2,FALSE)),"Código não cadastrado",(VLOOKUP(H:H,produtos_escape2!$A$2:$D$2794,4,FALSE))))</f>
        <v/>
      </c>
      <c r="N1663" s="486"/>
      <c r="O1663" s="176"/>
      <c r="P1663" s="486"/>
      <c r="Q1663" s="247"/>
      <c r="R1663" s="246">
        <f t="shared" si="67"/>
        <v>0</v>
      </c>
      <c r="S1663" s="177"/>
      <c r="T1663" s="182"/>
      <c r="U1663" s="177"/>
      <c r="V1663" s="177"/>
      <c r="W1663" s="177"/>
      <c r="X1663" s="176"/>
      <c r="Y1663" s="177"/>
      <c r="Z1663" s="415"/>
      <c r="AA1663" s="488"/>
      <c r="AB1663" s="594"/>
      <c r="AC1663" s="595"/>
      <c r="AD1663" s="596" t="str">
        <f>IF(AND(AC1663&lt;&gt;"",S1663&lt;&gt;""),NETWORKDAYS(AC1663,S1663,#REF!),"")</f>
        <v/>
      </c>
      <c r="AE1663" s="596" t="str">
        <f ca="1">IF(AND(AD1663="",AC1663=""),"",IF(OR(AD1663&lt;&gt;"",O1663="*CANCELADO"),"",NETWORKDAYS(AC1663,TODAY(),#REF!)))</f>
        <v/>
      </c>
      <c r="AF1663" s="619"/>
    </row>
    <row r="1664" spans="1:32" ht="14.25" customHeight="1">
      <c r="A1664" s="176"/>
      <c r="B1664" s="176"/>
      <c r="C1664" s="177"/>
      <c r="D1664" s="176"/>
      <c r="E1664" s="176"/>
      <c r="F1664" s="259"/>
      <c r="G1664" s="176"/>
      <c r="H1664" s="178"/>
      <c r="I1664" s="592">
        <f t="shared" si="68"/>
        <v>0</v>
      </c>
      <c r="J1664" s="178"/>
      <c r="K1664" s="178"/>
      <c r="L1664" s="275" t="str">
        <f>IF(H:H=0,"",IF(ISERROR(VLOOKUP(H:H,produtos_escape2!$A$2:$B$2794,2,FALSE)),"Código não cadastrado",(VLOOKUP(H:H,produtos_escape2!$A$2:$B$2794,2,FALSE))))</f>
        <v/>
      </c>
      <c r="M1664" s="593" t="str">
        <f>IF(H:H=0,"",IF(ISERROR(VLOOKUP(H:H,produtos_escape2!$A$2:$D$2794,2,FALSE)),"Código não cadastrado",(VLOOKUP(H:H,produtos_escape2!$A$2:$D$2794,4,FALSE))))</f>
        <v/>
      </c>
      <c r="N1664" s="486"/>
      <c r="O1664" s="176"/>
      <c r="P1664" s="486"/>
      <c r="Q1664" s="247"/>
      <c r="R1664" s="246">
        <f t="shared" si="67"/>
        <v>0</v>
      </c>
      <c r="S1664" s="177"/>
      <c r="T1664" s="182"/>
      <c r="U1664" s="177"/>
      <c r="V1664" s="177"/>
      <c r="W1664" s="177"/>
      <c r="X1664" s="176"/>
      <c r="Y1664" s="177"/>
      <c r="Z1664" s="415"/>
      <c r="AA1664" s="488"/>
      <c r="AB1664" s="594"/>
      <c r="AC1664" s="595"/>
      <c r="AD1664" s="596" t="str">
        <f>IF(AND(AC1664&lt;&gt;"",S1664&lt;&gt;""),NETWORKDAYS(AC1664,S1664,#REF!),"")</f>
        <v/>
      </c>
      <c r="AE1664" s="596" t="str">
        <f ca="1">IF(AND(AD1664="",AC1664=""),"",IF(OR(AD1664&lt;&gt;"",O1664="*CANCELADO"),"",NETWORKDAYS(AC1664,TODAY(),#REF!)))</f>
        <v/>
      </c>
      <c r="AF1664" s="619"/>
    </row>
    <row r="1665" spans="1:32" ht="14.25" customHeight="1">
      <c r="A1665" s="176"/>
      <c r="B1665" s="176"/>
      <c r="C1665" s="177"/>
      <c r="D1665" s="176"/>
      <c r="E1665" s="176"/>
      <c r="F1665" s="259"/>
      <c r="G1665" s="176"/>
      <c r="H1665" s="178"/>
      <c r="I1665" s="592">
        <f t="shared" si="68"/>
        <v>0</v>
      </c>
      <c r="J1665" s="178"/>
      <c r="K1665" s="178"/>
      <c r="L1665" s="275" t="str">
        <f>IF(H:H=0,"",IF(ISERROR(VLOOKUP(H:H,produtos_escape2!$A$2:$B$2794,2,FALSE)),"Código não cadastrado",(VLOOKUP(H:H,produtos_escape2!$A$2:$B$2794,2,FALSE))))</f>
        <v/>
      </c>
      <c r="M1665" s="593" t="str">
        <f>IF(H:H=0,"",IF(ISERROR(VLOOKUP(H:H,produtos_escape2!$A$2:$D$2794,2,FALSE)),"Código não cadastrado",(VLOOKUP(H:H,produtos_escape2!$A$2:$D$2794,4,FALSE))))</f>
        <v/>
      </c>
      <c r="N1665" s="486"/>
      <c r="O1665" s="176"/>
      <c r="P1665" s="486"/>
      <c r="Q1665" s="247"/>
      <c r="R1665" s="246">
        <f t="shared" si="67"/>
        <v>0</v>
      </c>
      <c r="S1665" s="177"/>
      <c r="T1665" s="182"/>
      <c r="U1665" s="177"/>
      <c r="V1665" s="177"/>
      <c r="W1665" s="177"/>
      <c r="X1665" s="176"/>
      <c r="Y1665" s="177"/>
      <c r="Z1665" s="415"/>
      <c r="AA1665" s="488"/>
      <c r="AB1665" s="594"/>
      <c r="AC1665" s="595"/>
      <c r="AD1665" s="596" t="str">
        <f>IF(AND(AC1665&lt;&gt;"",S1665&lt;&gt;""),NETWORKDAYS(AC1665,S1665,#REF!),"")</f>
        <v/>
      </c>
      <c r="AE1665" s="596" t="str">
        <f ca="1">IF(AND(AD1665="",AC1665=""),"",IF(OR(AD1665&lt;&gt;"",O1665="*CANCELADO"),"",NETWORKDAYS(AC1665,TODAY(),#REF!)))</f>
        <v/>
      </c>
      <c r="AF1665" s="619"/>
    </row>
    <row r="1666" spans="1:32" ht="14.25" customHeight="1">
      <c r="A1666" s="176"/>
      <c r="B1666" s="176"/>
      <c r="C1666" s="177"/>
      <c r="D1666" s="176"/>
      <c r="E1666" s="176"/>
      <c r="F1666" s="259"/>
      <c r="G1666" s="176"/>
      <c r="H1666" s="178"/>
      <c r="I1666" s="592">
        <f t="shared" si="68"/>
        <v>0</v>
      </c>
      <c r="J1666" s="178"/>
      <c r="K1666" s="178"/>
      <c r="L1666" s="275" t="str">
        <f>IF(H:H=0,"",IF(ISERROR(VLOOKUP(H:H,produtos_escape2!$A$2:$B$2794,2,FALSE)),"Código não cadastrado",(VLOOKUP(H:H,produtos_escape2!$A$2:$B$2794,2,FALSE))))</f>
        <v/>
      </c>
      <c r="M1666" s="593" t="str">
        <f>IF(H:H=0,"",IF(ISERROR(VLOOKUP(H:H,produtos_escape2!$A$2:$D$2794,2,FALSE)),"Código não cadastrado",(VLOOKUP(H:H,produtos_escape2!$A$2:$D$2794,4,FALSE))))</f>
        <v/>
      </c>
      <c r="N1666" s="486"/>
      <c r="O1666" s="176"/>
      <c r="P1666" s="486"/>
      <c r="Q1666" s="247"/>
      <c r="R1666" s="246">
        <f t="shared" si="67"/>
        <v>0</v>
      </c>
      <c r="S1666" s="177"/>
      <c r="T1666" s="182"/>
      <c r="U1666" s="177"/>
      <c r="V1666" s="177"/>
      <c r="W1666" s="177"/>
      <c r="X1666" s="176"/>
      <c r="Y1666" s="177"/>
      <c r="Z1666" s="415"/>
      <c r="AA1666" s="488"/>
      <c r="AB1666" s="594"/>
      <c r="AC1666" s="595"/>
      <c r="AD1666" s="596" t="str">
        <f>IF(AND(AC1666&lt;&gt;"",S1666&lt;&gt;""),NETWORKDAYS(AC1666,S1666,#REF!),"")</f>
        <v/>
      </c>
      <c r="AE1666" s="596" t="str">
        <f ca="1">IF(AND(AD1666="",AC1666=""),"",IF(OR(AD1666&lt;&gt;"",O1666="*CANCELADO"),"",NETWORKDAYS(AC1666,TODAY(),#REF!)))</f>
        <v/>
      </c>
      <c r="AF1666" s="619"/>
    </row>
    <row r="1667" spans="1:32" ht="14.25" customHeight="1">
      <c r="A1667" s="176"/>
      <c r="B1667" s="176"/>
      <c r="C1667" s="177"/>
      <c r="D1667" s="176"/>
      <c r="E1667" s="176"/>
      <c r="F1667" s="259"/>
      <c r="G1667" s="176"/>
      <c r="H1667" s="178"/>
      <c r="I1667" s="592">
        <f t="shared" si="68"/>
        <v>0</v>
      </c>
      <c r="J1667" s="178"/>
      <c r="K1667" s="178"/>
      <c r="L1667" s="275" t="str">
        <f>IF(H:H=0,"",IF(ISERROR(VLOOKUP(H:H,produtos_escape2!$A$2:$B$2794,2,FALSE)),"Código não cadastrado",(VLOOKUP(H:H,produtos_escape2!$A$2:$B$2794,2,FALSE))))</f>
        <v/>
      </c>
      <c r="M1667" s="593" t="str">
        <f>IF(H:H=0,"",IF(ISERROR(VLOOKUP(H:H,produtos_escape2!$A$2:$D$2794,2,FALSE)),"Código não cadastrado",(VLOOKUP(H:H,produtos_escape2!$A$2:$D$2794,4,FALSE))))</f>
        <v/>
      </c>
      <c r="N1667" s="486"/>
      <c r="O1667" s="176"/>
      <c r="P1667" s="486"/>
      <c r="Q1667" s="247"/>
      <c r="R1667" s="246">
        <f t="shared" si="67"/>
        <v>0</v>
      </c>
      <c r="S1667" s="177"/>
      <c r="T1667" s="182"/>
      <c r="U1667" s="177"/>
      <c r="V1667" s="177"/>
      <c r="W1667" s="177"/>
      <c r="X1667" s="176"/>
      <c r="Y1667" s="177"/>
      <c r="Z1667" s="415"/>
      <c r="AA1667" s="488"/>
      <c r="AB1667" s="594"/>
      <c r="AC1667" s="595"/>
      <c r="AD1667" s="596" t="str">
        <f>IF(AND(AC1667&lt;&gt;"",S1667&lt;&gt;""),NETWORKDAYS(AC1667,S1667,#REF!),"")</f>
        <v/>
      </c>
      <c r="AE1667" s="596" t="str">
        <f ca="1">IF(AND(AD1667="",AC1667=""),"",IF(OR(AD1667&lt;&gt;"",O1667="*CANCELADO"),"",NETWORKDAYS(AC1667,TODAY(),#REF!)))</f>
        <v/>
      </c>
      <c r="AF1667" s="619"/>
    </row>
    <row r="1668" spans="1:32" ht="14.25" customHeight="1">
      <c r="A1668" s="176"/>
      <c r="B1668" s="176"/>
      <c r="C1668" s="177"/>
      <c r="D1668" s="176"/>
      <c r="E1668" s="176"/>
      <c r="F1668" s="259"/>
      <c r="G1668" s="176"/>
      <c r="H1668" s="178"/>
      <c r="I1668" s="592">
        <f t="shared" si="68"/>
        <v>0</v>
      </c>
      <c r="J1668" s="178"/>
      <c r="K1668" s="178"/>
      <c r="L1668" s="275" t="str">
        <f>IF(H:H=0,"",IF(ISERROR(VLOOKUP(H:H,produtos_escape2!$A$2:$B$2794,2,FALSE)),"Código não cadastrado",(VLOOKUP(H:H,produtos_escape2!$A$2:$B$2794,2,FALSE))))</f>
        <v/>
      </c>
      <c r="M1668" s="593" t="str">
        <f>IF(H:H=0,"",IF(ISERROR(VLOOKUP(H:H,produtos_escape2!$A$2:$D$2794,2,FALSE)),"Código não cadastrado",(VLOOKUP(H:H,produtos_escape2!$A$2:$D$2794,4,FALSE))))</f>
        <v/>
      </c>
      <c r="N1668" s="486"/>
      <c r="O1668" s="176"/>
      <c r="P1668" s="486"/>
      <c r="Q1668" s="247"/>
      <c r="R1668" s="246">
        <f t="shared" si="67"/>
        <v>0</v>
      </c>
      <c r="S1668" s="177"/>
      <c r="T1668" s="182"/>
      <c r="U1668" s="177"/>
      <c r="V1668" s="177"/>
      <c r="W1668" s="177"/>
      <c r="X1668" s="176"/>
      <c r="Y1668" s="177"/>
      <c r="Z1668" s="415"/>
      <c r="AA1668" s="488"/>
      <c r="AB1668" s="594"/>
      <c r="AC1668" s="595"/>
      <c r="AD1668" s="596" t="str">
        <f>IF(AND(AC1668&lt;&gt;"",S1668&lt;&gt;""),NETWORKDAYS(AC1668,S1668,#REF!),"")</f>
        <v/>
      </c>
      <c r="AE1668" s="596" t="str">
        <f ca="1">IF(AND(AD1668="",AC1668=""),"",IF(OR(AD1668&lt;&gt;"",O1668="*CANCELADO"),"",NETWORKDAYS(AC1668,TODAY(),#REF!)))</f>
        <v/>
      </c>
      <c r="AF1668" s="619"/>
    </row>
    <row r="1669" spans="1:32" ht="14.25" customHeight="1">
      <c r="A1669" s="176"/>
      <c r="B1669" s="176"/>
      <c r="C1669" s="177"/>
      <c r="D1669" s="176"/>
      <c r="E1669" s="176"/>
      <c r="F1669" s="259"/>
      <c r="G1669" s="176"/>
      <c r="H1669" s="178"/>
      <c r="I1669" s="592">
        <f t="shared" si="68"/>
        <v>0</v>
      </c>
      <c r="J1669" s="178"/>
      <c r="K1669" s="178"/>
      <c r="L1669" s="275" t="str">
        <f>IF(H:H=0,"",IF(ISERROR(VLOOKUP(H:H,produtos_escape2!$A$2:$B$2794,2,FALSE)),"Código não cadastrado",(VLOOKUP(H:H,produtos_escape2!$A$2:$B$2794,2,FALSE))))</f>
        <v/>
      </c>
      <c r="M1669" s="593" t="str">
        <f>IF(H:H=0,"",IF(ISERROR(VLOOKUP(H:H,produtos_escape2!$A$2:$D$2794,2,FALSE)),"Código não cadastrado",(VLOOKUP(H:H,produtos_escape2!$A$2:$D$2794,4,FALSE))))</f>
        <v/>
      </c>
      <c r="N1669" s="486"/>
      <c r="O1669" s="176"/>
      <c r="P1669" s="486"/>
      <c r="Q1669" s="247"/>
      <c r="R1669" s="246">
        <f t="shared" si="67"/>
        <v>0</v>
      </c>
      <c r="S1669" s="177"/>
      <c r="T1669" s="182"/>
      <c r="U1669" s="177"/>
      <c r="V1669" s="177"/>
      <c r="W1669" s="177"/>
      <c r="X1669" s="176"/>
      <c r="Y1669" s="177"/>
      <c r="Z1669" s="415"/>
      <c r="AA1669" s="488"/>
      <c r="AB1669" s="594"/>
      <c r="AC1669" s="595"/>
      <c r="AD1669" s="596" t="str">
        <f>IF(AND(AC1669&lt;&gt;"",S1669&lt;&gt;""),NETWORKDAYS(AC1669,S1669,#REF!),"")</f>
        <v/>
      </c>
      <c r="AE1669" s="596" t="str">
        <f ca="1">IF(AND(AD1669="",AC1669=""),"",IF(OR(AD1669&lt;&gt;"",O1669="*CANCELADO"),"",NETWORKDAYS(AC1669,TODAY(),#REF!)))</f>
        <v/>
      </c>
      <c r="AF1669" s="619"/>
    </row>
    <row r="1670" spans="1:32" ht="14.25" customHeight="1">
      <c r="A1670" s="176"/>
      <c r="B1670" s="176"/>
      <c r="C1670" s="177"/>
      <c r="D1670" s="176"/>
      <c r="E1670" s="176"/>
      <c r="F1670" s="259"/>
      <c r="G1670" s="176"/>
      <c r="H1670" s="178"/>
      <c r="I1670" s="592">
        <f t="shared" si="68"/>
        <v>0</v>
      </c>
      <c r="J1670" s="178"/>
      <c r="K1670" s="178"/>
      <c r="L1670" s="275" t="str">
        <f>IF(H:H=0,"",IF(ISERROR(VLOOKUP(H:H,produtos_escape2!$A$2:$B$2794,2,FALSE)),"Código não cadastrado",(VLOOKUP(H:H,produtos_escape2!$A$2:$B$2794,2,FALSE))))</f>
        <v/>
      </c>
      <c r="M1670" s="593" t="str">
        <f>IF(H:H=0,"",IF(ISERROR(VLOOKUP(H:H,produtos_escape2!$A$2:$D$2794,2,FALSE)),"Código não cadastrado",(VLOOKUP(H:H,produtos_escape2!$A$2:$D$2794,4,FALSE))))</f>
        <v/>
      </c>
      <c r="N1670" s="486"/>
      <c r="O1670" s="176"/>
      <c r="P1670" s="486"/>
      <c r="Q1670" s="247"/>
      <c r="R1670" s="246">
        <f t="shared" si="67"/>
        <v>0</v>
      </c>
      <c r="S1670" s="177"/>
      <c r="T1670" s="182"/>
      <c r="U1670" s="177"/>
      <c r="V1670" s="177"/>
      <c r="W1670" s="177"/>
      <c r="X1670" s="176"/>
      <c r="Y1670" s="177"/>
      <c r="Z1670" s="415"/>
      <c r="AA1670" s="488"/>
      <c r="AB1670" s="594"/>
      <c r="AC1670" s="595"/>
      <c r="AD1670" s="596" t="str">
        <f>IF(AND(AC1670&lt;&gt;"",S1670&lt;&gt;""),NETWORKDAYS(AC1670,S1670,#REF!),"")</f>
        <v/>
      </c>
      <c r="AE1670" s="596" t="str">
        <f ca="1">IF(AND(AD1670="",AC1670=""),"",IF(OR(AD1670&lt;&gt;"",O1670="*CANCELADO"),"",NETWORKDAYS(AC1670,TODAY(),#REF!)))</f>
        <v/>
      </c>
      <c r="AF1670" s="619"/>
    </row>
    <row r="1671" spans="1:32" ht="14.25" customHeight="1">
      <c r="A1671" s="176"/>
      <c r="B1671" s="176"/>
      <c r="C1671" s="177"/>
      <c r="D1671" s="176"/>
      <c r="E1671" s="176"/>
      <c r="F1671" s="259"/>
      <c r="G1671" s="176"/>
      <c r="H1671" s="178"/>
      <c r="I1671" s="592">
        <f t="shared" si="68"/>
        <v>0</v>
      </c>
      <c r="J1671" s="178"/>
      <c r="K1671" s="178"/>
      <c r="L1671" s="275" t="str">
        <f>IF(H:H=0,"",IF(ISERROR(VLOOKUP(H:H,produtos_escape2!$A$2:$B$2794,2,FALSE)),"Código não cadastrado",(VLOOKUP(H:H,produtos_escape2!$A$2:$B$2794,2,FALSE))))</f>
        <v/>
      </c>
      <c r="M1671" s="593" t="str">
        <f>IF(H:H=0,"",IF(ISERROR(VLOOKUP(H:H,produtos_escape2!$A$2:$D$2794,2,FALSE)),"Código não cadastrado",(VLOOKUP(H:H,produtos_escape2!$A$2:$D$2794,4,FALSE))))</f>
        <v/>
      </c>
      <c r="N1671" s="486"/>
      <c r="O1671" s="176"/>
      <c r="P1671" s="486"/>
      <c r="Q1671" s="247"/>
      <c r="R1671" s="246">
        <f t="shared" si="67"/>
        <v>0</v>
      </c>
      <c r="S1671" s="177"/>
      <c r="T1671" s="182"/>
      <c r="U1671" s="177"/>
      <c r="V1671" s="177"/>
      <c r="W1671" s="177"/>
      <c r="X1671" s="176"/>
      <c r="Y1671" s="177"/>
      <c r="Z1671" s="415"/>
      <c r="AA1671" s="488"/>
      <c r="AB1671" s="594"/>
      <c r="AC1671" s="595"/>
      <c r="AD1671" s="596" t="str">
        <f>IF(AND(AC1671&lt;&gt;"",S1671&lt;&gt;""),NETWORKDAYS(AC1671,S1671,#REF!),"")</f>
        <v/>
      </c>
      <c r="AE1671" s="596" t="str">
        <f ca="1">IF(AND(AD1671="",AC1671=""),"",IF(OR(AD1671&lt;&gt;"",O1671="*CANCELADO"),"",NETWORKDAYS(AC1671,TODAY(),#REF!)))</f>
        <v/>
      </c>
      <c r="AF1671" s="619"/>
    </row>
    <row r="1672" spans="1:32" ht="14.25" customHeight="1">
      <c r="A1672" s="176"/>
      <c r="B1672" s="176"/>
      <c r="C1672" s="177"/>
      <c r="D1672" s="176"/>
      <c r="E1672" s="176"/>
      <c r="F1672" s="259"/>
      <c r="G1672" s="176"/>
      <c r="H1672" s="178"/>
      <c r="I1672" s="592">
        <f t="shared" si="68"/>
        <v>0</v>
      </c>
      <c r="J1672" s="178"/>
      <c r="K1672" s="178"/>
      <c r="L1672" s="275" t="str">
        <f>IF(H:H=0,"",IF(ISERROR(VLOOKUP(H:H,produtos_escape2!$A$2:$B$2794,2,FALSE)),"Código não cadastrado",(VLOOKUP(H:H,produtos_escape2!$A$2:$B$2794,2,FALSE))))</f>
        <v/>
      </c>
      <c r="M1672" s="593" t="str">
        <f>IF(H:H=0,"",IF(ISERROR(VLOOKUP(H:H,produtos_escape2!$A$2:$D$2794,2,FALSE)),"Código não cadastrado",(VLOOKUP(H:H,produtos_escape2!$A$2:$D$2794,4,FALSE))))</f>
        <v/>
      </c>
      <c r="N1672" s="486"/>
      <c r="O1672" s="176"/>
      <c r="P1672" s="486"/>
      <c r="Q1672" s="247"/>
      <c r="R1672" s="246">
        <f t="shared" si="67"/>
        <v>0</v>
      </c>
      <c r="S1672" s="177"/>
      <c r="T1672" s="182"/>
      <c r="U1672" s="177"/>
      <c r="V1672" s="177"/>
      <c r="W1672" s="177"/>
      <c r="X1672" s="176"/>
      <c r="Y1672" s="177"/>
      <c r="Z1672" s="415"/>
      <c r="AA1672" s="488"/>
      <c r="AB1672" s="594"/>
      <c r="AC1672" s="595"/>
      <c r="AD1672" s="596" t="str">
        <f>IF(AND(AC1672&lt;&gt;"",S1672&lt;&gt;""),NETWORKDAYS(AC1672,S1672,#REF!),"")</f>
        <v/>
      </c>
      <c r="AE1672" s="596" t="str">
        <f ca="1">IF(AND(AD1672="",AC1672=""),"",IF(OR(AD1672&lt;&gt;"",O1672="*CANCELADO"),"",NETWORKDAYS(AC1672,TODAY(),#REF!)))</f>
        <v/>
      </c>
      <c r="AF1672" s="619"/>
    </row>
    <row r="1673" spans="1:32" ht="14.25" customHeight="1">
      <c r="A1673" s="176"/>
      <c r="B1673" s="176"/>
      <c r="C1673" s="177"/>
      <c r="D1673" s="176"/>
      <c r="E1673" s="176"/>
      <c r="F1673" s="259"/>
      <c r="G1673" s="176"/>
      <c r="H1673" s="178"/>
      <c r="I1673" s="592">
        <f t="shared" si="68"/>
        <v>0</v>
      </c>
      <c r="J1673" s="178"/>
      <c r="K1673" s="178"/>
      <c r="L1673" s="275" t="str">
        <f>IF(H:H=0,"",IF(ISERROR(VLOOKUP(H:H,produtos_escape2!$A$2:$B$2794,2,FALSE)),"Código não cadastrado",(VLOOKUP(H:H,produtos_escape2!$A$2:$B$2794,2,FALSE))))</f>
        <v/>
      </c>
      <c r="M1673" s="593" t="str">
        <f>IF(H:H=0,"",IF(ISERROR(VLOOKUP(H:H,produtos_escape2!$A$2:$D$2794,2,FALSE)),"Código não cadastrado",(VLOOKUP(H:H,produtos_escape2!$A$2:$D$2794,4,FALSE))))</f>
        <v/>
      </c>
      <c r="N1673" s="486"/>
      <c r="O1673" s="176"/>
      <c r="P1673" s="486"/>
      <c r="Q1673" s="247"/>
      <c r="R1673" s="246">
        <f t="shared" si="67"/>
        <v>0</v>
      </c>
      <c r="S1673" s="177"/>
      <c r="T1673" s="182"/>
      <c r="U1673" s="177"/>
      <c r="V1673" s="177"/>
      <c r="W1673" s="177"/>
      <c r="X1673" s="176"/>
      <c r="Y1673" s="177"/>
      <c r="Z1673" s="415"/>
      <c r="AA1673" s="488"/>
      <c r="AB1673" s="594"/>
      <c r="AC1673" s="595"/>
      <c r="AD1673" s="596" t="str">
        <f>IF(AND(AC1673&lt;&gt;"",S1673&lt;&gt;""),NETWORKDAYS(AC1673,S1673,#REF!),"")</f>
        <v/>
      </c>
      <c r="AE1673" s="596" t="str">
        <f ca="1">IF(AND(AD1673="",AC1673=""),"",IF(OR(AD1673&lt;&gt;"",O1673="*CANCELADO"),"",NETWORKDAYS(AC1673,TODAY(),#REF!)))</f>
        <v/>
      </c>
      <c r="AF1673" s="619"/>
    </row>
    <row r="1674" spans="1:32" ht="14.25" customHeight="1">
      <c r="A1674" s="176"/>
      <c r="B1674" s="176"/>
      <c r="C1674" s="177"/>
      <c r="D1674" s="176"/>
      <c r="E1674" s="176"/>
      <c r="F1674" s="259"/>
      <c r="G1674" s="176"/>
      <c r="H1674" s="178"/>
      <c r="I1674" s="592">
        <f t="shared" si="68"/>
        <v>0</v>
      </c>
      <c r="J1674" s="178"/>
      <c r="K1674" s="178"/>
      <c r="L1674" s="275" t="str">
        <f>IF(H:H=0,"",IF(ISERROR(VLOOKUP(H:H,produtos_escape2!$A$2:$B$2794,2,FALSE)),"Código não cadastrado",(VLOOKUP(H:H,produtos_escape2!$A$2:$B$2794,2,FALSE))))</f>
        <v/>
      </c>
      <c r="M1674" s="593" t="str">
        <f>IF(H:H=0,"",IF(ISERROR(VLOOKUP(H:H,produtos_escape2!$A$2:$D$2794,2,FALSE)),"Código não cadastrado",(VLOOKUP(H:H,produtos_escape2!$A$2:$D$2794,4,FALSE))))</f>
        <v/>
      </c>
      <c r="N1674" s="486"/>
      <c r="O1674" s="176"/>
      <c r="P1674" s="486"/>
      <c r="Q1674" s="247"/>
      <c r="R1674" s="246">
        <f t="shared" si="67"/>
        <v>0</v>
      </c>
      <c r="S1674" s="177"/>
      <c r="T1674" s="182"/>
      <c r="U1674" s="177"/>
      <c r="V1674" s="177"/>
      <c r="W1674" s="177"/>
      <c r="X1674" s="176"/>
      <c r="Y1674" s="177"/>
      <c r="Z1674" s="415"/>
      <c r="AA1674" s="488"/>
      <c r="AB1674" s="594"/>
      <c r="AC1674" s="595"/>
      <c r="AD1674" s="596" t="str">
        <f>IF(AND(AC1674&lt;&gt;"",S1674&lt;&gt;""),NETWORKDAYS(AC1674,S1674,#REF!),"")</f>
        <v/>
      </c>
      <c r="AE1674" s="596" t="str">
        <f ca="1">IF(AND(AD1674="",AC1674=""),"",IF(OR(AD1674&lt;&gt;"",O1674="*CANCELADO"),"",NETWORKDAYS(AC1674,TODAY(),#REF!)))</f>
        <v/>
      </c>
      <c r="AF1674" s="619"/>
    </row>
    <row r="1675" spans="1:32" ht="14.25" customHeight="1">
      <c r="A1675" s="176"/>
      <c r="B1675" s="176"/>
      <c r="C1675" s="177"/>
      <c r="D1675" s="176"/>
      <c r="E1675" s="176"/>
      <c r="F1675" s="259"/>
      <c r="G1675" s="176"/>
      <c r="H1675" s="178"/>
      <c r="I1675" s="592">
        <f t="shared" si="68"/>
        <v>0</v>
      </c>
      <c r="J1675" s="178"/>
      <c r="K1675" s="178"/>
      <c r="L1675" s="275" t="str">
        <f>IF(H:H=0,"",IF(ISERROR(VLOOKUP(H:H,produtos_escape2!$A$2:$B$2794,2,FALSE)),"Código não cadastrado",(VLOOKUP(H:H,produtos_escape2!$A$2:$B$2794,2,FALSE))))</f>
        <v/>
      </c>
      <c r="M1675" s="593" t="str">
        <f>IF(H:H=0,"",IF(ISERROR(VLOOKUP(H:H,produtos_escape2!$A$2:$D$2794,2,FALSE)),"Código não cadastrado",(VLOOKUP(H:H,produtos_escape2!$A$2:$D$2794,4,FALSE))))</f>
        <v/>
      </c>
      <c r="N1675" s="486"/>
      <c r="O1675" s="176"/>
      <c r="P1675" s="486"/>
      <c r="Q1675" s="247"/>
      <c r="R1675" s="246">
        <f t="shared" si="67"/>
        <v>0</v>
      </c>
      <c r="S1675" s="177"/>
      <c r="T1675" s="182"/>
      <c r="U1675" s="177"/>
      <c r="V1675" s="177"/>
      <c r="W1675" s="177"/>
      <c r="X1675" s="176"/>
      <c r="Y1675" s="177"/>
      <c r="Z1675" s="415"/>
      <c r="AA1675" s="488"/>
      <c r="AB1675" s="594"/>
      <c r="AC1675" s="595"/>
      <c r="AD1675" s="596" t="str">
        <f>IF(AND(AC1675&lt;&gt;"",S1675&lt;&gt;""),NETWORKDAYS(AC1675,S1675,#REF!),"")</f>
        <v/>
      </c>
      <c r="AE1675" s="596" t="str">
        <f ca="1">IF(AND(AD1675="",AC1675=""),"",IF(OR(AD1675&lt;&gt;"",O1675="*CANCELADO"),"",NETWORKDAYS(AC1675,TODAY(),#REF!)))</f>
        <v/>
      </c>
      <c r="AF1675" s="619"/>
    </row>
    <row r="1676" spans="1:32" ht="14.25" customHeight="1">
      <c r="A1676" s="176"/>
      <c r="B1676" s="176"/>
      <c r="C1676" s="177"/>
      <c r="D1676" s="176"/>
      <c r="E1676" s="176"/>
      <c r="F1676" s="259"/>
      <c r="G1676" s="176"/>
      <c r="H1676" s="178"/>
      <c r="I1676" s="592">
        <f t="shared" si="68"/>
        <v>0</v>
      </c>
      <c r="J1676" s="178"/>
      <c r="K1676" s="178"/>
      <c r="L1676" s="275" t="str">
        <f>IF(H:H=0,"",IF(ISERROR(VLOOKUP(H:H,produtos_escape2!$A$2:$B$2794,2,FALSE)),"Código não cadastrado",(VLOOKUP(H:H,produtos_escape2!$A$2:$B$2794,2,FALSE))))</f>
        <v/>
      </c>
      <c r="M1676" s="593" t="str">
        <f>IF(H:H=0,"",IF(ISERROR(VLOOKUP(H:H,produtos_escape2!$A$2:$D$2794,2,FALSE)),"Código não cadastrado",(VLOOKUP(H:H,produtos_escape2!$A$2:$D$2794,4,FALSE))))</f>
        <v/>
      </c>
      <c r="N1676" s="486"/>
      <c r="O1676" s="176"/>
      <c r="P1676" s="486"/>
      <c r="Q1676" s="247"/>
      <c r="R1676" s="246">
        <f t="shared" si="67"/>
        <v>0</v>
      </c>
      <c r="S1676" s="177"/>
      <c r="T1676" s="182"/>
      <c r="U1676" s="177"/>
      <c r="V1676" s="177"/>
      <c r="W1676" s="177"/>
      <c r="X1676" s="176"/>
      <c r="Y1676" s="177"/>
      <c r="Z1676" s="415"/>
      <c r="AA1676" s="488"/>
      <c r="AB1676" s="594"/>
      <c r="AC1676" s="595"/>
      <c r="AD1676" s="596" t="str">
        <f>IF(AND(AC1676&lt;&gt;"",S1676&lt;&gt;""),NETWORKDAYS(AC1676,S1676,#REF!),"")</f>
        <v/>
      </c>
      <c r="AE1676" s="596" t="str">
        <f ca="1">IF(AND(AD1676="",AC1676=""),"",IF(OR(AD1676&lt;&gt;"",O1676="*CANCELADO"),"",NETWORKDAYS(AC1676,TODAY(),#REF!)))</f>
        <v/>
      </c>
      <c r="AF1676" s="619"/>
    </row>
    <row r="1677" spans="1:32" ht="14.25" customHeight="1">
      <c r="A1677" s="176"/>
      <c r="B1677" s="176"/>
      <c r="C1677" s="177"/>
      <c r="D1677" s="176"/>
      <c r="E1677" s="176"/>
      <c r="F1677" s="259"/>
      <c r="G1677" s="176"/>
      <c r="H1677" s="178"/>
      <c r="I1677" s="592">
        <f t="shared" si="68"/>
        <v>0</v>
      </c>
      <c r="J1677" s="178"/>
      <c r="K1677" s="178"/>
      <c r="L1677" s="275" t="str">
        <f>IF(H:H=0,"",IF(ISERROR(VLOOKUP(H:H,produtos_escape2!$A$2:$B$2794,2,FALSE)),"Código não cadastrado",(VLOOKUP(H:H,produtos_escape2!$A$2:$B$2794,2,FALSE))))</f>
        <v/>
      </c>
      <c r="M1677" s="593" t="str">
        <f>IF(H:H=0,"",IF(ISERROR(VLOOKUP(H:H,produtos_escape2!$A$2:$D$2794,2,FALSE)),"Código não cadastrado",(VLOOKUP(H:H,produtos_escape2!$A$2:$D$2794,4,FALSE))))</f>
        <v/>
      </c>
      <c r="N1677" s="486"/>
      <c r="O1677" s="176"/>
      <c r="P1677" s="486"/>
      <c r="Q1677" s="247"/>
      <c r="R1677" s="246">
        <f t="shared" si="67"/>
        <v>0</v>
      </c>
      <c r="S1677" s="177"/>
      <c r="T1677" s="182"/>
      <c r="U1677" s="177"/>
      <c r="V1677" s="177"/>
      <c r="W1677" s="177"/>
      <c r="X1677" s="176"/>
      <c r="Y1677" s="177"/>
      <c r="Z1677" s="415"/>
      <c r="AA1677" s="488"/>
      <c r="AB1677" s="594"/>
      <c r="AC1677" s="595"/>
      <c r="AD1677" s="596" t="str">
        <f>IF(AND(AC1677&lt;&gt;"",S1677&lt;&gt;""),NETWORKDAYS(AC1677,S1677,#REF!),"")</f>
        <v/>
      </c>
      <c r="AE1677" s="596" t="str">
        <f ca="1">IF(AND(AD1677="",AC1677=""),"",IF(OR(AD1677&lt;&gt;"",O1677="*CANCELADO"),"",NETWORKDAYS(AC1677,TODAY(),#REF!)))</f>
        <v/>
      </c>
      <c r="AF1677" s="619"/>
    </row>
    <row r="1678" spans="1:32" ht="14.25" customHeight="1">
      <c r="A1678" s="176"/>
      <c r="B1678" s="176"/>
      <c r="C1678" s="177"/>
      <c r="D1678" s="176"/>
      <c r="E1678" s="176"/>
      <c r="F1678" s="259"/>
      <c r="G1678" s="176"/>
      <c r="H1678" s="178"/>
      <c r="I1678" s="592">
        <f t="shared" si="68"/>
        <v>0</v>
      </c>
      <c r="J1678" s="178"/>
      <c r="K1678" s="178"/>
      <c r="L1678" s="275" t="str">
        <f>IF(H:H=0,"",IF(ISERROR(VLOOKUP(H:H,produtos_escape2!$A$2:$B$2794,2,FALSE)),"Código não cadastrado",(VLOOKUP(H:H,produtos_escape2!$A$2:$B$2794,2,FALSE))))</f>
        <v/>
      </c>
      <c r="M1678" s="593" t="str">
        <f>IF(H:H=0,"",IF(ISERROR(VLOOKUP(H:H,produtos_escape2!$A$2:$D$2794,2,FALSE)),"Código não cadastrado",(VLOOKUP(H:H,produtos_escape2!$A$2:$D$2794,4,FALSE))))</f>
        <v/>
      </c>
      <c r="N1678" s="486"/>
      <c r="O1678" s="176"/>
      <c r="P1678" s="486"/>
      <c r="Q1678" s="247"/>
      <c r="R1678" s="246">
        <f t="shared" si="67"/>
        <v>0</v>
      </c>
      <c r="S1678" s="177"/>
      <c r="T1678" s="182"/>
      <c r="U1678" s="177"/>
      <c r="V1678" s="177"/>
      <c r="W1678" s="177"/>
      <c r="X1678" s="176"/>
      <c r="Y1678" s="177"/>
      <c r="Z1678" s="415"/>
      <c r="AA1678" s="488"/>
      <c r="AB1678" s="594"/>
      <c r="AC1678" s="595"/>
      <c r="AD1678" s="596" t="str">
        <f>IF(AND(AC1678&lt;&gt;"",S1678&lt;&gt;""),NETWORKDAYS(AC1678,S1678,#REF!),"")</f>
        <v/>
      </c>
      <c r="AE1678" s="596" t="str">
        <f ca="1">IF(AND(AD1678="",AC1678=""),"",IF(OR(AD1678&lt;&gt;"",O1678="*CANCELADO"),"",NETWORKDAYS(AC1678,TODAY(),#REF!)))</f>
        <v/>
      </c>
      <c r="AF1678" s="619"/>
    </row>
    <row r="1679" spans="1:32" ht="14.25" customHeight="1">
      <c r="A1679" s="176"/>
      <c r="B1679" s="176"/>
      <c r="C1679" s="177"/>
      <c r="D1679" s="176"/>
      <c r="E1679" s="176"/>
      <c r="F1679" s="259"/>
      <c r="G1679" s="176"/>
      <c r="H1679" s="178"/>
      <c r="I1679" s="592">
        <f t="shared" si="68"/>
        <v>0</v>
      </c>
      <c r="J1679" s="178"/>
      <c r="K1679" s="178"/>
      <c r="L1679" s="275" t="str">
        <f>IF(H:H=0,"",IF(ISERROR(VLOOKUP(H:H,produtos_escape2!$A$2:$B$2794,2,FALSE)),"Código não cadastrado",(VLOOKUP(H:H,produtos_escape2!$A$2:$B$2794,2,FALSE))))</f>
        <v/>
      </c>
      <c r="M1679" s="593" t="str">
        <f>IF(H:H=0,"",IF(ISERROR(VLOOKUP(H:H,produtos_escape2!$A$2:$D$2794,2,FALSE)),"Código não cadastrado",(VLOOKUP(H:H,produtos_escape2!$A$2:$D$2794,4,FALSE))))</f>
        <v/>
      </c>
      <c r="N1679" s="486"/>
      <c r="O1679" s="176"/>
      <c r="P1679" s="486"/>
      <c r="Q1679" s="247"/>
      <c r="R1679" s="246">
        <f t="shared" si="67"/>
        <v>0</v>
      </c>
      <c r="S1679" s="177"/>
      <c r="T1679" s="182"/>
      <c r="U1679" s="177"/>
      <c r="V1679" s="177"/>
      <c r="W1679" s="177"/>
      <c r="X1679" s="176"/>
      <c r="Y1679" s="177"/>
      <c r="Z1679" s="415"/>
      <c r="AA1679" s="488"/>
      <c r="AB1679" s="594"/>
      <c r="AC1679" s="595"/>
      <c r="AD1679" s="596" t="str">
        <f>IF(AND(AC1679&lt;&gt;"",S1679&lt;&gt;""),NETWORKDAYS(AC1679,S1679,#REF!),"")</f>
        <v/>
      </c>
      <c r="AE1679" s="596" t="str">
        <f ca="1">IF(AND(AD1679="",AC1679=""),"",IF(OR(AD1679&lt;&gt;"",O1679="*CANCELADO"),"",NETWORKDAYS(AC1679,TODAY(),#REF!)))</f>
        <v/>
      </c>
      <c r="AF1679" s="619"/>
    </row>
    <row r="1680" spans="1:32" ht="14.25" customHeight="1">
      <c r="A1680" s="176"/>
      <c r="B1680" s="176"/>
      <c r="C1680" s="177"/>
      <c r="D1680" s="176"/>
      <c r="E1680" s="176"/>
      <c r="F1680" s="259"/>
      <c r="G1680" s="176"/>
      <c r="H1680" s="178"/>
      <c r="I1680" s="592">
        <f t="shared" si="68"/>
        <v>0</v>
      </c>
      <c r="J1680" s="178"/>
      <c r="K1680" s="178"/>
      <c r="L1680" s="275" t="str">
        <f>IF(H:H=0,"",IF(ISERROR(VLOOKUP(H:H,produtos_escape2!$A$2:$B$2794,2,FALSE)),"Código não cadastrado",(VLOOKUP(H:H,produtos_escape2!$A$2:$B$2794,2,FALSE))))</f>
        <v/>
      </c>
      <c r="M1680" s="593" t="str">
        <f>IF(H:H=0,"",IF(ISERROR(VLOOKUP(H:H,produtos_escape2!$A$2:$D$2794,2,FALSE)),"Código não cadastrado",(VLOOKUP(H:H,produtos_escape2!$A$2:$D$2794,4,FALSE))))</f>
        <v/>
      </c>
      <c r="N1680" s="486"/>
      <c r="O1680" s="176"/>
      <c r="P1680" s="486"/>
      <c r="Q1680" s="247"/>
      <c r="R1680" s="246">
        <f t="shared" si="67"/>
        <v>0</v>
      </c>
      <c r="S1680" s="177"/>
      <c r="T1680" s="182"/>
      <c r="U1680" s="177"/>
      <c r="V1680" s="177"/>
      <c r="W1680" s="177"/>
      <c r="X1680" s="176"/>
      <c r="Y1680" s="177"/>
      <c r="Z1680" s="415"/>
      <c r="AA1680" s="488"/>
      <c r="AB1680" s="594"/>
      <c r="AC1680" s="595"/>
      <c r="AD1680" s="596" t="str">
        <f>IF(AND(AC1680&lt;&gt;"",S1680&lt;&gt;""),NETWORKDAYS(AC1680,S1680,#REF!),"")</f>
        <v/>
      </c>
      <c r="AE1680" s="596" t="str">
        <f ca="1">IF(AND(AD1680="",AC1680=""),"",IF(OR(AD1680&lt;&gt;"",O1680="*CANCELADO"),"",NETWORKDAYS(AC1680,TODAY(),#REF!)))</f>
        <v/>
      </c>
      <c r="AF1680" s="619"/>
    </row>
    <row r="1681" spans="1:32" ht="14.25" customHeight="1">
      <c r="A1681" s="176"/>
      <c r="B1681" s="176"/>
      <c r="C1681" s="177"/>
      <c r="D1681" s="176"/>
      <c r="E1681" s="176"/>
      <c r="F1681" s="259"/>
      <c r="G1681" s="176"/>
      <c r="H1681" s="178"/>
      <c r="I1681" s="592">
        <f t="shared" si="68"/>
        <v>0</v>
      </c>
      <c r="J1681" s="178"/>
      <c r="K1681" s="178"/>
      <c r="L1681" s="275" t="str">
        <f>IF(H:H=0,"",IF(ISERROR(VLOOKUP(H:H,produtos_escape2!$A$2:$B$2794,2,FALSE)),"Código não cadastrado",(VLOOKUP(H:H,produtos_escape2!$A$2:$B$2794,2,FALSE))))</f>
        <v/>
      </c>
      <c r="M1681" s="593" t="str">
        <f>IF(H:H=0,"",IF(ISERROR(VLOOKUP(H:H,produtos_escape2!$A$2:$D$2794,2,FALSE)),"Código não cadastrado",(VLOOKUP(H:H,produtos_escape2!$A$2:$D$2794,4,FALSE))))</f>
        <v/>
      </c>
      <c r="N1681" s="486"/>
      <c r="O1681" s="176"/>
      <c r="P1681" s="486"/>
      <c r="Q1681" s="247"/>
      <c r="R1681" s="246">
        <f t="shared" si="67"/>
        <v>0</v>
      </c>
      <c r="S1681" s="177"/>
      <c r="T1681" s="182"/>
      <c r="U1681" s="177"/>
      <c r="V1681" s="177"/>
      <c r="W1681" s="177"/>
      <c r="X1681" s="176"/>
      <c r="Y1681" s="177"/>
      <c r="Z1681" s="415"/>
      <c r="AA1681" s="488"/>
      <c r="AB1681" s="594"/>
      <c r="AC1681" s="595"/>
      <c r="AD1681" s="596" t="str">
        <f>IF(AND(AC1681&lt;&gt;"",S1681&lt;&gt;""),NETWORKDAYS(AC1681,S1681,#REF!),"")</f>
        <v/>
      </c>
      <c r="AE1681" s="596" t="str">
        <f ca="1">IF(AND(AD1681="",AC1681=""),"",IF(OR(AD1681&lt;&gt;"",O1681="*CANCELADO"),"",NETWORKDAYS(AC1681,TODAY(),#REF!)))</f>
        <v/>
      </c>
      <c r="AF1681" s="619"/>
    </row>
    <row r="1682" spans="1:32" ht="14.25" customHeight="1">
      <c r="A1682" s="176"/>
      <c r="B1682" s="176"/>
      <c r="C1682" s="177"/>
      <c r="D1682" s="176"/>
      <c r="E1682" s="176"/>
      <c r="F1682" s="259"/>
      <c r="G1682" s="176"/>
      <c r="H1682" s="178"/>
      <c r="I1682" s="592">
        <f t="shared" si="68"/>
        <v>0</v>
      </c>
      <c r="J1682" s="178"/>
      <c r="K1682" s="178"/>
      <c r="L1682" s="275" t="str">
        <f>IF(H:H=0,"",IF(ISERROR(VLOOKUP(H:H,produtos_escape2!$A$2:$B$2794,2,FALSE)),"Código não cadastrado",(VLOOKUP(H:H,produtos_escape2!$A$2:$B$2794,2,FALSE))))</f>
        <v/>
      </c>
      <c r="M1682" s="593" t="str">
        <f>IF(H:H=0,"",IF(ISERROR(VLOOKUP(H:H,produtos_escape2!$A$2:$D$2794,2,FALSE)),"Código não cadastrado",(VLOOKUP(H:H,produtos_escape2!$A$2:$D$2794,4,FALSE))))</f>
        <v/>
      </c>
      <c r="N1682" s="486"/>
      <c r="O1682" s="176"/>
      <c r="P1682" s="486"/>
      <c r="Q1682" s="247"/>
      <c r="R1682" s="246">
        <f t="shared" si="67"/>
        <v>0</v>
      </c>
      <c r="S1682" s="177"/>
      <c r="T1682" s="182"/>
      <c r="U1682" s="177"/>
      <c r="V1682" s="177"/>
      <c r="W1682" s="177"/>
      <c r="X1682" s="176"/>
      <c r="Y1682" s="177"/>
      <c r="Z1682" s="415"/>
      <c r="AA1682" s="488"/>
      <c r="AB1682" s="594"/>
      <c r="AC1682" s="595"/>
      <c r="AD1682" s="596" t="str">
        <f>IF(AND(AC1682&lt;&gt;"",S1682&lt;&gt;""),NETWORKDAYS(AC1682,S1682,#REF!),"")</f>
        <v/>
      </c>
      <c r="AE1682" s="596" t="str">
        <f ca="1">IF(AND(AD1682="",AC1682=""),"",IF(OR(AD1682&lt;&gt;"",O1682="*CANCELADO"),"",NETWORKDAYS(AC1682,TODAY(),#REF!)))</f>
        <v/>
      </c>
      <c r="AF1682" s="619"/>
    </row>
    <row r="1683" spans="1:32" ht="14.25" customHeight="1">
      <c r="A1683" s="176"/>
      <c r="B1683" s="176"/>
      <c r="C1683" s="177"/>
      <c r="D1683" s="176"/>
      <c r="E1683" s="176"/>
      <c r="F1683" s="259"/>
      <c r="G1683" s="176"/>
      <c r="H1683" s="178"/>
      <c r="I1683" s="592">
        <f t="shared" si="68"/>
        <v>0</v>
      </c>
      <c r="J1683" s="178"/>
      <c r="K1683" s="178"/>
      <c r="L1683" s="275" t="str">
        <f>IF(H:H=0,"",IF(ISERROR(VLOOKUP(H:H,produtos_escape2!$A$2:$B$2794,2,FALSE)),"Código não cadastrado",(VLOOKUP(H:H,produtos_escape2!$A$2:$B$2794,2,FALSE))))</f>
        <v/>
      </c>
      <c r="M1683" s="593" t="str">
        <f>IF(H:H=0,"",IF(ISERROR(VLOOKUP(H:H,produtos_escape2!$A$2:$D$2794,2,FALSE)),"Código não cadastrado",(VLOOKUP(H:H,produtos_escape2!$A$2:$D$2794,4,FALSE))))</f>
        <v/>
      </c>
      <c r="N1683" s="486"/>
      <c r="O1683" s="176"/>
      <c r="P1683" s="486"/>
      <c r="Q1683" s="247"/>
      <c r="R1683" s="246">
        <f t="shared" si="67"/>
        <v>0</v>
      </c>
      <c r="S1683" s="177"/>
      <c r="T1683" s="182"/>
      <c r="U1683" s="177"/>
      <c r="V1683" s="177"/>
      <c r="W1683" s="177"/>
      <c r="X1683" s="176"/>
      <c r="Y1683" s="177"/>
      <c r="Z1683" s="415"/>
      <c r="AA1683" s="488"/>
      <c r="AB1683" s="594"/>
      <c r="AC1683" s="595"/>
      <c r="AD1683" s="596" t="str">
        <f>IF(AND(AC1683&lt;&gt;"",S1683&lt;&gt;""),NETWORKDAYS(AC1683,S1683,#REF!),"")</f>
        <v/>
      </c>
      <c r="AE1683" s="596" t="str">
        <f ca="1">IF(AND(AD1683="",AC1683=""),"",IF(OR(AD1683&lt;&gt;"",O1683="*CANCELADO"),"",NETWORKDAYS(AC1683,TODAY(),#REF!)))</f>
        <v/>
      </c>
      <c r="AF1683" s="619"/>
    </row>
    <row r="1684" spans="1:32" ht="14.25" customHeight="1">
      <c r="A1684" s="176"/>
      <c r="B1684" s="176"/>
      <c r="C1684" s="177"/>
      <c r="D1684" s="176"/>
      <c r="E1684" s="176"/>
      <c r="F1684" s="259"/>
      <c r="G1684" s="176"/>
      <c r="H1684" s="178"/>
      <c r="I1684" s="592">
        <f t="shared" si="68"/>
        <v>0</v>
      </c>
      <c r="J1684" s="178"/>
      <c r="K1684" s="178"/>
      <c r="L1684" s="275" t="str">
        <f>IF(H:H=0,"",IF(ISERROR(VLOOKUP(H:H,produtos_escape2!$A$2:$B$2794,2,FALSE)),"Código não cadastrado",(VLOOKUP(H:H,produtos_escape2!$A$2:$B$2794,2,FALSE))))</f>
        <v/>
      </c>
      <c r="M1684" s="593" t="str">
        <f>IF(H:H=0,"",IF(ISERROR(VLOOKUP(H:H,produtos_escape2!$A$2:$D$2794,2,FALSE)),"Código não cadastrado",(VLOOKUP(H:H,produtos_escape2!$A$2:$D$2794,4,FALSE))))</f>
        <v/>
      </c>
      <c r="N1684" s="486"/>
      <c r="O1684" s="176"/>
      <c r="P1684" s="486"/>
      <c r="Q1684" s="247"/>
      <c r="R1684" s="246">
        <f t="shared" si="67"/>
        <v>0</v>
      </c>
      <c r="S1684" s="177"/>
      <c r="T1684" s="182"/>
      <c r="U1684" s="177"/>
      <c r="V1684" s="177"/>
      <c r="W1684" s="177"/>
      <c r="X1684" s="176"/>
      <c r="Y1684" s="177"/>
      <c r="Z1684" s="415"/>
      <c r="AA1684" s="488"/>
      <c r="AB1684" s="594"/>
      <c r="AC1684" s="595"/>
      <c r="AD1684" s="596" t="str">
        <f>IF(AND(AC1684&lt;&gt;"",S1684&lt;&gt;""),NETWORKDAYS(AC1684,S1684,#REF!),"")</f>
        <v/>
      </c>
      <c r="AE1684" s="596" t="str">
        <f ca="1">IF(AND(AD1684="",AC1684=""),"",IF(OR(AD1684&lt;&gt;"",O1684="*CANCELADO"),"",NETWORKDAYS(AC1684,TODAY(),#REF!)))</f>
        <v/>
      </c>
      <c r="AF1684" s="619"/>
    </row>
    <row r="1685" spans="1:32" ht="14.25" customHeight="1">
      <c r="A1685" s="176"/>
      <c r="B1685" s="176"/>
      <c r="C1685" s="177"/>
      <c r="D1685" s="176"/>
      <c r="E1685" s="176"/>
      <c r="F1685" s="259"/>
      <c r="G1685" s="176"/>
      <c r="H1685" s="178"/>
      <c r="I1685" s="592">
        <f t="shared" si="68"/>
        <v>0</v>
      </c>
      <c r="J1685" s="178"/>
      <c r="K1685" s="178"/>
      <c r="L1685" s="275" t="str">
        <f>IF(H:H=0,"",IF(ISERROR(VLOOKUP(H:H,produtos_escape2!$A$2:$B$2794,2,FALSE)),"Código não cadastrado",(VLOOKUP(H:H,produtos_escape2!$A$2:$B$2794,2,FALSE))))</f>
        <v/>
      </c>
      <c r="M1685" s="593" t="str">
        <f>IF(H:H=0,"",IF(ISERROR(VLOOKUP(H:H,produtos_escape2!$A$2:$D$2794,2,FALSE)),"Código não cadastrado",(VLOOKUP(H:H,produtos_escape2!$A$2:$D$2794,4,FALSE))))</f>
        <v/>
      </c>
      <c r="N1685" s="486"/>
      <c r="O1685" s="176"/>
      <c r="P1685" s="486"/>
      <c r="Q1685" s="247"/>
      <c r="R1685" s="246">
        <f t="shared" si="67"/>
        <v>0</v>
      </c>
      <c r="S1685" s="177"/>
      <c r="T1685" s="182"/>
      <c r="U1685" s="177"/>
      <c r="V1685" s="177"/>
      <c r="W1685" s="177"/>
      <c r="X1685" s="176"/>
      <c r="Y1685" s="177"/>
      <c r="Z1685" s="415"/>
      <c r="AA1685" s="488"/>
      <c r="AB1685" s="594"/>
      <c r="AC1685" s="595"/>
      <c r="AD1685" s="596" t="str">
        <f>IF(AND(AC1685&lt;&gt;"",S1685&lt;&gt;""),NETWORKDAYS(AC1685,S1685,#REF!),"")</f>
        <v/>
      </c>
      <c r="AE1685" s="596" t="str">
        <f ca="1">IF(AND(AD1685="",AC1685=""),"",IF(OR(AD1685&lt;&gt;"",O1685="*CANCELADO"),"",NETWORKDAYS(AC1685,TODAY(),#REF!)))</f>
        <v/>
      </c>
      <c r="AF1685" s="619"/>
    </row>
    <row r="1686" spans="1:32" ht="14.25" customHeight="1">
      <c r="A1686" s="176"/>
      <c r="B1686" s="176"/>
      <c r="C1686" s="177"/>
      <c r="D1686" s="176"/>
      <c r="E1686" s="176"/>
      <c r="F1686" s="259"/>
      <c r="G1686" s="176"/>
      <c r="H1686" s="178"/>
      <c r="I1686" s="592">
        <f t="shared" si="68"/>
        <v>0</v>
      </c>
      <c r="J1686" s="178"/>
      <c r="K1686" s="178"/>
      <c r="L1686" s="275" t="str">
        <f>IF(H:H=0,"",IF(ISERROR(VLOOKUP(H:H,produtos_escape2!$A$2:$B$2794,2,FALSE)),"Código não cadastrado",(VLOOKUP(H:H,produtos_escape2!$A$2:$B$2794,2,FALSE))))</f>
        <v/>
      </c>
      <c r="M1686" s="593" t="str">
        <f>IF(H:H=0,"",IF(ISERROR(VLOOKUP(H:H,produtos_escape2!$A$2:$D$2794,2,FALSE)),"Código não cadastrado",(VLOOKUP(H:H,produtos_escape2!$A$2:$D$2794,4,FALSE))))</f>
        <v/>
      </c>
      <c r="N1686" s="486"/>
      <c r="O1686" s="176"/>
      <c r="P1686" s="486"/>
      <c r="Q1686" s="247"/>
      <c r="R1686" s="246">
        <f t="shared" si="67"/>
        <v>0</v>
      </c>
      <c r="S1686" s="177"/>
      <c r="T1686" s="182"/>
      <c r="U1686" s="177"/>
      <c r="V1686" s="177"/>
      <c r="W1686" s="177"/>
      <c r="X1686" s="176"/>
      <c r="Y1686" s="177"/>
      <c r="Z1686" s="415"/>
      <c r="AA1686" s="488"/>
      <c r="AB1686" s="594"/>
      <c r="AC1686" s="595"/>
      <c r="AD1686" s="596" t="str">
        <f>IF(AND(AC1686&lt;&gt;"",S1686&lt;&gt;""),NETWORKDAYS(AC1686,S1686,#REF!),"")</f>
        <v/>
      </c>
      <c r="AE1686" s="596" t="str">
        <f ca="1">IF(AND(AD1686="",AC1686=""),"",IF(OR(AD1686&lt;&gt;"",O1686="*CANCELADO"),"",NETWORKDAYS(AC1686,TODAY(),#REF!)))</f>
        <v/>
      </c>
      <c r="AF1686" s="619"/>
    </row>
    <row r="1687" spans="1:32" ht="14.25" customHeight="1">
      <c r="A1687" s="176"/>
      <c r="B1687" s="176"/>
      <c r="C1687" s="177"/>
      <c r="D1687" s="176"/>
      <c r="E1687" s="176"/>
      <c r="F1687" s="259"/>
      <c r="G1687" s="176"/>
      <c r="H1687" s="178"/>
      <c r="I1687" s="592">
        <f t="shared" si="68"/>
        <v>0</v>
      </c>
      <c r="J1687" s="178"/>
      <c r="K1687" s="178"/>
      <c r="L1687" s="275" t="str">
        <f>IF(H:H=0,"",IF(ISERROR(VLOOKUP(H:H,produtos_escape2!$A$2:$B$2794,2,FALSE)),"Código não cadastrado",(VLOOKUP(H:H,produtos_escape2!$A$2:$B$2794,2,FALSE))))</f>
        <v/>
      </c>
      <c r="M1687" s="593" t="str">
        <f>IF(H:H=0,"",IF(ISERROR(VLOOKUP(H:H,produtos_escape2!$A$2:$D$2794,2,FALSE)),"Código não cadastrado",(VLOOKUP(H:H,produtos_escape2!$A$2:$D$2794,4,FALSE))))</f>
        <v/>
      </c>
      <c r="N1687" s="486"/>
      <c r="O1687" s="176"/>
      <c r="P1687" s="486"/>
      <c r="Q1687" s="247"/>
      <c r="R1687" s="246">
        <f t="shared" si="67"/>
        <v>0</v>
      </c>
      <c r="S1687" s="177"/>
      <c r="T1687" s="182"/>
      <c r="U1687" s="177"/>
      <c r="V1687" s="177"/>
      <c r="W1687" s="177"/>
      <c r="X1687" s="176"/>
      <c r="Y1687" s="177"/>
      <c r="Z1687" s="415"/>
      <c r="AA1687" s="488"/>
      <c r="AB1687" s="594"/>
      <c r="AC1687" s="595"/>
      <c r="AD1687" s="596" t="str">
        <f>IF(AND(AC1687&lt;&gt;"",S1687&lt;&gt;""),NETWORKDAYS(AC1687,S1687,#REF!),"")</f>
        <v/>
      </c>
      <c r="AE1687" s="596" t="str">
        <f ca="1">IF(AND(AD1687="",AC1687=""),"",IF(OR(AD1687&lt;&gt;"",O1687="*CANCELADO"),"",NETWORKDAYS(AC1687,TODAY(),#REF!)))</f>
        <v/>
      </c>
      <c r="AF1687" s="619"/>
    </row>
    <row r="1688" spans="1:32" ht="14.25" customHeight="1">
      <c r="A1688" s="176"/>
      <c r="B1688" s="176"/>
      <c r="C1688" s="177"/>
      <c r="D1688" s="176"/>
      <c r="E1688" s="176"/>
      <c r="F1688" s="259"/>
      <c r="G1688" s="176"/>
      <c r="H1688" s="178"/>
      <c r="I1688" s="592">
        <f t="shared" si="68"/>
        <v>0</v>
      </c>
      <c r="J1688" s="178"/>
      <c r="K1688" s="178"/>
      <c r="L1688" s="275" t="str">
        <f>IF(H:H=0,"",IF(ISERROR(VLOOKUP(H:H,produtos_escape2!$A$2:$B$2794,2,FALSE)),"Código não cadastrado",(VLOOKUP(H:H,produtos_escape2!$A$2:$B$2794,2,FALSE))))</f>
        <v/>
      </c>
      <c r="M1688" s="593" t="str">
        <f>IF(H:H=0,"",IF(ISERROR(VLOOKUP(H:H,produtos_escape2!$A$2:$D$2794,2,FALSE)),"Código não cadastrado",(VLOOKUP(H:H,produtos_escape2!$A$2:$D$2794,4,FALSE))))</f>
        <v/>
      </c>
      <c r="N1688" s="486"/>
      <c r="O1688" s="176"/>
      <c r="P1688" s="486"/>
      <c r="Q1688" s="247"/>
      <c r="R1688" s="246">
        <f t="shared" si="67"/>
        <v>0</v>
      </c>
      <c r="S1688" s="177"/>
      <c r="T1688" s="182"/>
      <c r="U1688" s="177"/>
      <c r="V1688" s="177"/>
      <c r="W1688" s="177"/>
      <c r="X1688" s="176"/>
      <c r="Y1688" s="177"/>
      <c r="Z1688" s="415"/>
      <c r="AA1688" s="488"/>
      <c r="AB1688" s="594"/>
      <c r="AC1688" s="595"/>
      <c r="AD1688" s="596" t="str">
        <f>IF(AND(AC1688&lt;&gt;"",S1688&lt;&gt;""),NETWORKDAYS(AC1688,S1688,#REF!),"")</f>
        <v/>
      </c>
      <c r="AE1688" s="596" t="str">
        <f ca="1">IF(AND(AD1688="",AC1688=""),"",IF(OR(AD1688&lt;&gt;"",O1688="*CANCELADO"),"",NETWORKDAYS(AC1688,TODAY(),#REF!)))</f>
        <v/>
      </c>
      <c r="AF1688" s="619"/>
    </row>
    <row r="1689" spans="1:32" ht="14.25" customHeight="1">
      <c r="A1689" s="176"/>
      <c r="B1689" s="176"/>
      <c r="C1689" s="177"/>
      <c r="D1689" s="176"/>
      <c r="E1689" s="176"/>
      <c r="F1689" s="259"/>
      <c r="G1689" s="176"/>
      <c r="H1689" s="178"/>
      <c r="I1689" s="592">
        <f t="shared" si="68"/>
        <v>0</v>
      </c>
      <c r="J1689" s="178"/>
      <c r="K1689" s="178"/>
      <c r="L1689" s="275" t="str">
        <f>IF(H:H=0,"",IF(ISERROR(VLOOKUP(H:H,produtos_escape2!$A$2:$B$2794,2,FALSE)),"Código não cadastrado",(VLOOKUP(H:H,produtos_escape2!$A$2:$B$2794,2,FALSE))))</f>
        <v/>
      </c>
      <c r="M1689" s="593" t="str">
        <f>IF(H:H=0,"",IF(ISERROR(VLOOKUP(H:H,produtos_escape2!$A$2:$D$2794,2,FALSE)),"Código não cadastrado",(VLOOKUP(H:H,produtos_escape2!$A$2:$D$2794,4,FALSE))))</f>
        <v/>
      </c>
      <c r="N1689" s="486"/>
      <c r="O1689" s="176"/>
      <c r="P1689" s="486"/>
      <c r="Q1689" s="247"/>
      <c r="R1689" s="246">
        <f t="shared" si="67"/>
        <v>0</v>
      </c>
      <c r="S1689" s="177"/>
      <c r="T1689" s="182"/>
      <c r="U1689" s="177"/>
      <c r="V1689" s="177"/>
      <c r="W1689" s="177"/>
      <c r="X1689" s="176"/>
      <c r="Y1689" s="177"/>
      <c r="Z1689" s="415"/>
      <c r="AA1689" s="488"/>
      <c r="AB1689" s="594"/>
      <c r="AC1689" s="595"/>
      <c r="AD1689" s="596" t="str">
        <f>IF(AND(AC1689&lt;&gt;"",S1689&lt;&gt;""),NETWORKDAYS(AC1689,S1689,#REF!),"")</f>
        <v/>
      </c>
      <c r="AE1689" s="596" t="str">
        <f ca="1">IF(AND(AD1689="",AC1689=""),"",IF(OR(AD1689&lt;&gt;"",O1689="*CANCELADO"),"",NETWORKDAYS(AC1689,TODAY(),#REF!)))</f>
        <v/>
      </c>
      <c r="AF1689" s="619"/>
    </row>
    <row r="1690" spans="1:32" ht="14.25" customHeight="1">
      <c r="A1690" s="176"/>
      <c r="B1690" s="176"/>
      <c r="C1690" s="177"/>
      <c r="D1690" s="176"/>
      <c r="E1690" s="176"/>
      <c r="F1690" s="259"/>
      <c r="G1690" s="176"/>
      <c r="H1690" s="178"/>
      <c r="I1690" s="592">
        <f t="shared" si="68"/>
        <v>0</v>
      </c>
      <c r="J1690" s="178"/>
      <c r="K1690" s="178"/>
      <c r="L1690" s="275" t="str">
        <f>IF(H:H=0,"",IF(ISERROR(VLOOKUP(H:H,produtos_escape2!$A$2:$B$2794,2,FALSE)),"Código não cadastrado",(VLOOKUP(H:H,produtos_escape2!$A$2:$B$2794,2,FALSE))))</f>
        <v/>
      </c>
      <c r="M1690" s="593" t="str">
        <f>IF(H:H=0,"",IF(ISERROR(VLOOKUP(H:H,produtos_escape2!$A$2:$D$2794,2,FALSE)),"Código não cadastrado",(VLOOKUP(H:H,produtos_escape2!$A$2:$D$2794,4,FALSE))))</f>
        <v/>
      </c>
      <c r="N1690" s="486"/>
      <c r="O1690" s="176"/>
      <c r="P1690" s="486"/>
      <c r="Q1690" s="247"/>
      <c r="R1690" s="246">
        <f t="shared" si="67"/>
        <v>0</v>
      </c>
      <c r="S1690" s="177"/>
      <c r="T1690" s="182"/>
      <c r="U1690" s="177"/>
      <c r="V1690" s="177"/>
      <c r="W1690" s="177"/>
      <c r="X1690" s="176"/>
      <c r="Y1690" s="177"/>
      <c r="Z1690" s="415"/>
      <c r="AA1690" s="488"/>
      <c r="AB1690" s="594"/>
      <c r="AC1690" s="595"/>
      <c r="AD1690" s="596" t="str">
        <f>IF(AND(AC1690&lt;&gt;"",S1690&lt;&gt;""),NETWORKDAYS(AC1690,S1690,#REF!),"")</f>
        <v/>
      </c>
      <c r="AE1690" s="596" t="str">
        <f ca="1">IF(AND(AD1690="",AC1690=""),"",IF(OR(AD1690&lt;&gt;"",O1690="*CANCELADO"),"",NETWORKDAYS(AC1690,TODAY(),#REF!)))</f>
        <v/>
      </c>
      <c r="AF1690" s="619"/>
    </row>
    <row r="1691" spans="1:32" ht="14.25" customHeight="1">
      <c r="A1691" s="176"/>
      <c r="B1691" s="176"/>
      <c r="C1691" s="177"/>
      <c r="D1691" s="176"/>
      <c r="E1691" s="176"/>
      <c r="F1691" s="259"/>
      <c r="G1691" s="176"/>
      <c r="H1691" s="178"/>
      <c r="I1691" s="592">
        <f t="shared" si="68"/>
        <v>0</v>
      </c>
      <c r="J1691" s="178"/>
      <c r="K1691" s="178"/>
      <c r="L1691" s="275" t="str">
        <f>IF(H:H=0,"",IF(ISERROR(VLOOKUP(H:H,produtos_escape2!$A$2:$B$2794,2,FALSE)),"Código não cadastrado",(VLOOKUP(H:H,produtos_escape2!$A$2:$B$2794,2,FALSE))))</f>
        <v/>
      </c>
      <c r="M1691" s="593" t="str">
        <f>IF(H:H=0,"",IF(ISERROR(VLOOKUP(H:H,produtos_escape2!$A$2:$D$2794,2,FALSE)),"Código não cadastrado",(VLOOKUP(H:H,produtos_escape2!$A$2:$D$2794,4,FALSE))))</f>
        <v/>
      </c>
      <c r="N1691" s="486"/>
      <c r="O1691" s="176"/>
      <c r="P1691" s="486"/>
      <c r="Q1691" s="247"/>
      <c r="R1691" s="246">
        <f t="shared" si="67"/>
        <v>0</v>
      </c>
      <c r="S1691" s="177"/>
      <c r="T1691" s="182"/>
      <c r="U1691" s="177"/>
      <c r="V1691" s="177"/>
      <c r="W1691" s="177"/>
      <c r="X1691" s="176"/>
      <c r="Y1691" s="177"/>
      <c r="Z1691" s="415"/>
      <c r="AA1691" s="488"/>
      <c r="AB1691" s="594"/>
      <c r="AC1691" s="595"/>
      <c r="AD1691" s="596" t="str">
        <f>IF(AND(AC1691&lt;&gt;"",S1691&lt;&gt;""),NETWORKDAYS(AC1691,S1691,#REF!),"")</f>
        <v/>
      </c>
      <c r="AE1691" s="596" t="str">
        <f ca="1">IF(AND(AD1691="",AC1691=""),"",IF(OR(AD1691&lt;&gt;"",O1691="*CANCELADO"),"",NETWORKDAYS(AC1691,TODAY(),#REF!)))</f>
        <v/>
      </c>
      <c r="AF1691" s="619"/>
    </row>
    <row r="1692" spans="1:32" ht="14.25" customHeight="1">
      <c r="A1692" s="176"/>
      <c r="B1692" s="176"/>
      <c r="C1692" s="177"/>
      <c r="D1692" s="176"/>
      <c r="E1692" s="176"/>
      <c r="F1692" s="259"/>
      <c r="G1692" s="176"/>
      <c r="H1692" s="178"/>
      <c r="I1692" s="592">
        <f t="shared" si="68"/>
        <v>0</v>
      </c>
      <c r="J1692" s="178"/>
      <c r="K1692" s="178"/>
      <c r="L1692" s="275" t="str">
        <f>IF(H:H=0,"",IF(ISERROR(VLOOKUP(H:H,produtos_escape2!$A$2:$B$2794,2,FALSE)),"Código não cadastrado",(VLOOKUP(H:H,produtos_escape2!$A$2:$B$2794,2,FALSE))))</f>
        <v/>
      </c>
      <c r="M1692" s="593" t="str">
        <f>IF(H:H=0,"",IF(ISERROR(VLOOKUP(H:H,produtos_escape2!$A$2:$D$2794,2,FALSE)),"Código não cadastrado",(VLOOKUP(H:H,produtos_escape2!$A$2:$D$2794,4,FALSE))))</f>
        <v/>
      </c>
      <c r="N1692" s="486"/>
      <c r="O1692" s="176"/>
      <c r="P1692" s="486"/>
      <c r="Q1692" s="247"/>
      <c r="R1692" s="246">
        <f t="shared" si="67"/>
        <v>0</v>
      </c>
      <c r="S1692" s="177"/>
      <c r="T1692" s="182"/>
      <c r="U1692" s="177"/>
      <c r="V1692" s="177"/>
      <c r="W1692" s="177"/>
      <c r="X1692" s="176"/>
      <c r="Y1692" s="177"/>
      <c r="Z1692" s="415"/>
      <c r="AA1692" s="488"/>
      <c r="AB1692" s="594"/>
      <c r="AC1692" s="595"/>
      <c r="AD1692" s="596" t="str">
        <f>IF(AND(AC1692&lt;&gt;"",S1692&lt;&gt;""),NETWORKDAYS(AC1692,S1692,#REF!),"")</f>
        <v/>
      </c>
      <c r="AE1692" s="596" t="str">
        <f ca="1">IF(AND(AD1692="",AC1692=""),"",IF(OR(AD1692&lt;&gt;"",O1692="*CANCELADO"),"",NETWORKDAYS(AC1692,TODAY(),#REF!)))</f>
        <v/>
      </c>
      <c r="AF1692" s="619"/>
    </row>
    <row r="1693" spans="1:32" ht="14.25" customHeight="1">
      <c r="A1693" s="176"/>
      <c r="B1693" s="176"/>
      <c r="C1693" s="177"/>
      <c r="D1693" s="176"/>
      <c r="E1693" s="176"/>
      <c r="F1693" s="259"/>
      <c r="G1693" s="176"/>
      <c r="H1693" s="178"/>
      <c r="I1693" s="592">
        <f t="shared" si="68"/>
        <v>0</v>
      </c>
      <c r="J1693" s="178"/>
      <c r="K1693" s="178"/>
      <c r="L1693" s="275" t="str">
        <f>IF(H:H=0,"",IF(ISERROR(VLOOKUP(H:H,produtos_escape2!$A$2:$B$2794,2,FALSE)),"Código não cadastrado",(VLOOKUP(H:H,produtos_escape2!$A$2:$B$2794,2,FALSE))))</f>
        <v/>
      </c>
      <c r="M1693" s="593" t="str">
        <f>IF(H:H=0,"",IF(ISERROR(VLOOKUP(H:H,produtos_escape2!$A$2:$D$2794,2,FALSE)),"Código não cadastrado",(VLOOKUP(H:H,produtos_escape2!$A$2:$D$2794,4,FALSE))))</f>
        <v/>
      </c>
      <c r="N1693" s="486"/>
      <c r="O1693" s="176"/>
      <c r="P1693" s="486"/>
      <c r="Q1693" s="247"/>
      <c r="R1693" s="246">
        <f t="shared" si="67"/>
        <v>0</v>
      </c>
      <c r="S1693" s="177"/>
      <c r="T1693" s="182"/>
      <c r="U1693" s="177"/>
      <c r="V1693" s="177"/>
      <c r="W1693" s="177"/>
      <c r="X1693" s="176"/>
      <c r="Y1693" s="177"/>
      <c r="Z1693" s="415"/>
      <c r="AA1693" s="488"/>
      <c r="AB1693" s="594"/>
      <c r="AC1693" s="595"/>
      <c r="AD1693" s="596" t="str">
        <f>IF(AND(AC1693&lt;&gt;"",S1693&lt;&gt;""),NETWORKDAYS(AC1693,S1693,#REF!),"")</f>
        <v/>
      </c>
      <c r="AE1693" s="596" t="str">
        <f ca="1">IF(AND(AD1693="",AC1693=""),"",IF(OR(AD1693&lt;&gt;"",O1693="*CANCELADO"),"",NETWORKDAYS(AC1693,TODAY(),#REF!)))</f>
        <v/>
      </c>
      <c r="AF1693" s="619"/>
    </row>
    <row r="1694" spans="1:32" ht="14.25" customHeight="1">
      <c r="A1694" s="176"/>
      <c r="B1694" s="176"/>
      <c r="C1694" s="177"/>
      <c r="D1694" s="176"/>
      <c r="E1694" s="176"/>
      <c r="F1694" s="259"/>
      <c r="G1694" s="176"/>
      <c r="H1694" s="178"/>
      <c r="I1694" s="592">
        <f t="shared" si="68"/>
        <v>0</v>
      </c>
      <c r="J1694" s="178"/>
      <c r="K1694" s="178"/>
      <c r="L1694" s="275" t="str">
        <f>IF(H:H=0,"",IF(ISERROR(VLOOKUP(H:H,produtos_escape2!$A$2:$B$2794,2,FALSE)),"Código não cadastrado",(VLOOKUP(H:H,produtos_escape2!$A$2:$B$2794,2,FALSE))))</f>
        <v/>
      </c>
      <c r="M1694" s="593" t="str">
        <f>IF(H:H=0,"",IF(ISERROR(VLOOKUP(H:H,produtos_escape2!$A$2:$D$2794,2,FALSE)),"Código não cadastrado",(VLOOKUP(H:H,produtos_escape2!$A$2:$D$2794,4,FALSE))))</f>
        <v/>
      </c>
      <c r="N1694" s="486"/>
      <c r="O1694" s="176"/>
      <c r="P1694" s="486"/>
      <c r="Q1694" s="247"/>
      <c r="R1694" s="246">
        <f t="shared" si="67"/>
        <v>0</v>
      </c>
      <c r="S1694" s="177"/>
      <c r="T1694" s="182"/>
      <c r="U1694" s="177"/>
      <c r="V1694" s="177"/>
      <c r="W1694" s="177"/>
      <c r="X1694" s="176"/>
      <c r="Y1694" s="177"/>
      <c r="Z1694" s="415"/>
      <c r="AA1694" s="488"/>
      <c r="AB1694" s="594"/>
      <c r="AC1694" s="595"/>
      <c r="AD1694" s="596" t="str">
        <f>IF(AND(AC1694&lt;&gt;"",S1694&lt;&gt;""),NETWORKDAYS(AC1694,S1694,#REF!),"")</f>
        <v/>
      </c>
      <c r="AE1694" s="596" t="str">
        <f ca="1">IF(AND(AD1694="",AC1694=""),"",IF(OR(AD1694&lt;&gt;"",O1694="*CANCELADO"),"",NETWORKDAYS(AC1694,TODAY(),#REF!)))</f>
        <v/>
      </c>
      <c r="AF1694" s="619"/>
    </row>
    <row r="1695" spans="1:32" ht="14.25" customHeight="1">
      <c r="A1695" s="176"/>
      <c r="B1695" s="176"/>
      <c r="C1695" s="177"/>
      <c r="D1695" s="176"/>
      <c r="E1695" s="176"/>
      <c r="F1695" s="259"/>
      <c r="G1695" s="176"/>
      <c r="H1695" s="178"/>
      <c r="I1695" s="592">
        <f t="shared" si="68"/>
        <v>0</v>
      </c>
      <c r="J1695" s="178"/>
      <c r="K1695" s="178"/>
      <c r="L1695" s="275" t="str">
        <f>IF(H:H=0,"",IF(ISERROR(VLOOKUP(H:H,produtos_escape2!$A$2:$B$2794,2,FALSE)),"Código não cadastrado",(VLOOKUP(H:H,produtos_escape2!$A$2:$B$2794,2,FALSE))))</f>
        <v/>
      </c>
      <c r="M1695" s="593" t="str">
        <f>IF(H:H=0,"",IF(ISERROR(VLOOKUP(H:H,produtos_escape2!$A$2:$D$2794,2,FALSE)),"Código não cadastrado",(VLOOKUP(H:H,produtos_escape2!$A$2:$D$2794,4,FALSE))))</f>
        <v/>
      </c>
      <c r="N1695" s="486"/>
      <c r="O1695" s="176"/>
      <c r="P1695" s="486"/>
      <c r="Q1695" s="247"/>
      <c r="R1695" s="246">
        <f t="shared" si="67"/>
        <v>0</v>
      </c>
      <c r="S1695" s="177"/>
      <c r="T1695" s="182"/>
      <c r="U1695" s="177"/>
      <c r="V1695" s="177"/>
      <c r="W1695" s="177"/>
      <c r="X1695" s="176"/>
      <c r="Y1695" s="177"/>
      <c r="Z1695" s="415"/>
      <c r="AA1695" s="488"/>
      <c r="AB1695" s="594"/>
      <c r="AC1695" s="595"/>
      <c r="AD1695" s="596" t="str">
        <f>IF(AND(AC1695&lt;&gt;"",S1695&lt;&gt;""),NETWORKDAYS(AC1695,S1695,#REF!),"")</f>
        <v/>
      </c>
      <c r="AE1695" s="596" t="str">
        <f ca="1">IF(AND(AD1695="",AC1695=""),"",IF(OR(AD1695&lt;&gt;"",O1695="*CANCELADO"),"",NETWORKDAYS(AC1695,TODAY(),#REF!)))</f>
        <v/>
      </c>
      <c r="AF1695" s="619"/>
    </row>
    <row r="1696" spans="1:32" ht="14.25" customHeight="1">
      <c r="A1696" s="176"/>
      <c r="B1696" s="176"/>
      <c r="C1696" s="177"/>
      <c r="D1696" s="176"/>
      <c r="E1696" s="176"/>
      <c r="F1696" s="259"/>
      <c r="G1696" s="176"/>
      <c r="H1696" s="178"/>
      <c r="I1696" s="592">
        <f t="shared" si="68"/>
        <v>0</v>
      </c>
      <c r="J1696" s="178"/>
      <c r="K1696" s="178"/>
      <c r="L1696" s="275" t="str">
        <f>IF(H:H=0,"",IF(ISERROR(VLOOKUP(H:H,produtos_escape2!$A$2:$B$2794,2,FALSE)),"Código não cadastrado",(VLOOKUP(H:H,produtos_escape2!$A$2:$B$2794,2,FALSE))))</f>
        <v/>
      </c>
      <c r="M1696" s="593" t="str">
        <f>IF(H:H=0,"",IF(ISERROR(VLOOKUP(H:H,produtos_escape2!$A$2:$D$2794,2,FALSE)),"Código não cadastrado",(VLOOKUP(H:H,produtos_escape2!$A$2:$D$2794,4,FALSE))))</f>
        <v/>
      </c>
      <c r="N1696" s="486"/>
      <c r="O1696" s="176"/>
      <c r="P1696" s="486"/>
      <c r="Q1696" s="247"/>
      <c r="R1696" s="246">
        <f t="shared" si="67"/>
        <v>0</v>
      </c>
      <c r="S1696" s="177"/>
      <c r="T1696" s="182"/>
      <c r="U1696" s="177"/>
      <c r="V1696" s="177"/>
      <c r="W1696" s="177"/>
      <c r="X1696" s="176"/>
      <c r="Y1696" s="177"/>
      <c r="Z1696" s="415"/>
      <c r="AA1696" s="488"/>
      <c r="AB1696" s="594"/>
      <c r="AC1696" s="595"/>
      <c r="AD1696" s="596" t="str">
        <f>IF(AND(AC1696&lt;&gt;"",S1696&lt;&gt;""),NETWORKDAYS(AC1696,S1696,#REF!),"")</f>
        <v/>
      </c>
      <c r="AE1696" s="596" t="str">
        <f ca="1">IF(AND(AD1696="",AC1696=""),"",IF(OR(AD1696&lt;&gt;"",O1696="*CANCELADO"),"",NETWORKDAYS(AC1696,TODAY(),#REF!)))</f>
        <v/>
      </c>
      <c r="AF1696" s="619"/>
    </row>
    <row r="1697" spans="1:32" ht="14.25" customHeight="1">
      <c r="A1697" s="176"/>
      <c r="B1697" s="176"/>
      <c r="C1697" s="177"/>
      <c r="D1697" s="176"/>
      <c r="E1697" s="176"/>
      <c r="F1697" s="259"/>
      <c r="G1697" s="176"/>
      <c r="H1697" s="178"/>
      <c r="I1697" s="592">
        <f t="shared" si="68"/>
        <v>0</v>
      </c>
      <c r="J1697" s="178"/>
      <c r="K1697" s="178"/>
      <c r="L1697" s="275" t="str">
        <f>IF(H:H=0,"",IF(ISERROR(VLOOKUP(H:H,produtos_escape2!$A$2:$B$2794,2,FALSE)),"Código não cadastrado",(VLOOKUP(H:H,produtos_escape2!$A$2:$B$2794,2,FALSE))))</f>
        <v/>
      </c>
      <c r="M1697" s="593" t="str">
        <f>IF(H:H=0,"",IF(ISERROR(VLOOKUP(H:H,produtos_escape2!$A$2:$D$2794,2,FALSE)),"Código não cadastrado",(VLOOKUP(H:H,produtos_escape2!$A$2:$D$2794,4,FALSE))))</f>
        <v/>
      </c>
      <c r="N1697" s="486"/>
      <c r="O1697" s="176"/>
      <c r="P1697" s="486"/>
      <c r="Q1697" s="247"/>
      <c r="R1697" s="246">
        <f t="shared" si="67"/>
        <v>0</v>
      </c>
      <c r="S1697" s="177"/>
      <c r="T1697" s="182"/>
      <c r="U1697" s="177"/>
      <c r="V1697" s="177"/>
      <c r="W1697" s="177"/>
      <c r="X1697" s="176"/>
      <c r="Y1697" s="177"/>
      <c r="Z1697" s="415"/>
      <c r="AA1697" s="488"/>
      <c r="AB1697" s="594"/>
      <c r="AC1697" s="595"/>
      <c r="AD1697" s="596" t="str">
        <f>IF(AND(AC1697&lt;&gt;"",S1697&lt;&gt;""),NETWORKDAYS(AC1697,S1697,#REF!),"")</f>
        <v/>
      </c>
      <c r="AE1697" s="596" t="str">
        <f ca="1">IF(AND(AD1697="",AC1697=""),"",IF(OR(AD1697&lt;&gt;"",O1697="*CANCELADO"),"",NETWORKDAYS(AC1697,TODAY(),#REF!)))</f>
        <v/>
      </c>
      <c r="AF1697" s="619"/>
    </row>
    <row r="1698" spans="1:32" ht="14.25" customHeight="1">
      <c r="A1698" s="176"/>
      <c r="B1698" s="176"/>
      <c r="C1698" s="177"/>
      <c r="D1698" s="176"/>
      <c r="E1698" s="176"/>
      <c r="F1698" s="259"/>
      <c r="G1698" s="176"/>
      <c r="H1698" s="178"/>
      <c r="I1698" s="592">
        <f t="shared" si="68"/>
        <v>0</v>
      </c>
      <c r="J1698" s="178"/>
      <c r="K1698" s="178"/>
      <c r="L1698" s="275" t="str">
        <f>IF(H:H=0,"",IF(ISERROR(VLOOKUP(H:H,produtos_escape2!$A$2:$B$2794,2,FALSE)),"Código não cadastrado",(VLOOKUP(H:H,produtos_escape2!$A$2:$B$2794,2,FALSE))))</f>
        <v/>
      </c>
      <c r="M1698" s="593" t="str">
        <f>IF(H:H=0,"",IF(ISERROR(VLOOKUP(H:H,produtos_escape2!$A$2:$D$2794,2,FALSE)),"Código não cadastrado",(VLOOKUP(H:H,produtos_escape2!$A$2:$D$2794,4,FALSE))))</f>
        <v/>
      </c>
      <c r="N1698" s="486"/>
      <c r="O1698" s="176"/>
      <c r="P1698" s="486"/>
      <c r="Q1698" s="247"/>
      <c r="R1698" s="246">
        <f t="shared" si="67"/>
        <v>0</v>
      </c>
      <c r="S1698" s="177"/>
      <c r="T1698" s="182"/>
      <c r="U1698" s="177"/>
      <c r="V1698" s="177"/>
      <c r="W1698" s="177"/>
      <c r="X1698" s="176"/>
      <c r="Y1698" s="177"/>
      <c r="Z1698" s="415"/>
      <c r="AA1698" s="488"/>
      <c r="AB1698" s="594"/>
      <c r="AC1698" s="595"/>
      <c r="AD1698" s="596" t="str">
        <f>IF(AND(AC1698&lt;&gt;"",S1698&lt;&gt;""),NETWORKDAYS(AC1698,S1698,#REF!),"")</f>
        <v/>
      </c>
      <c r="AE1698" s="596" t="str">
        <f ca="1">IF(AND(AD1698="",AC1698=""),"",IF(OR(AD1698&lt;&gt;"",O1698="*CANCELADO"),"",NETWORKDAYS(AC1698,TODAY(),#REF!)))</f>
        <v/>
      </c>
      <c r="AF1698" s="619"/>
    </row>
    <row r="1699" spans="1:32" ht="14.25" customHeight="1">
      <c r="A1699" s="176"/>
      <c r="B1699" s="176"/>
      <c r="C1699" s="177"/>
      <c r="D1699" s="176"/>
      <c r="E1699" s="176"/>
      <c r="F1699" s="259"/>
      <c r="G1699" s="176"/>
      <c r="H1699" s="178"/>
      <c r="I1699" s="592">
        <f t="shared" si="68"/>
        <v>0</v>
      </c>
      <c r="J1699" s="178"/>
      <c r="K1699" s="178"/>
      <c r="L1699" s="275" t="str">
        <f>IF(H:H=0,"",IF(ISERROR(VLOOKUP(H:H,produtos_escape2!$A$2:$B$2794,2,FALSE)),"Código não cadastrado",(VLOOKUP(H:H,produtos_escape2!$A$2:$B$2794,2,FALSE))))</f>
        <v/>
      </c>
      <c r="M1699" s="593" t="str">
        <f>IF(H:H=0,"",IF(ISERROR(VLOOKUP(H:H,produtos_escape2!$A$2:$D$2794,2,FALSE)),"Código não cadastrado",(VLOOKUP(H:H,produtos_escape2!$A$2:$D$2794,4,FALSE))))</f>
        <v/>
      </c>
      <c r="N1699" s="486"/>
      <c r="O1699" s="176"/>
      <c r="P1699" s="486"/>
      <c r="Q1699" s="247"/>
      <c r="R1699" s="246">
        <f t="shared" si="67"/>
        <v>0</v>
      </c>
      <c r="S1699" s="177"/>
      <c r="T1699" s="182"/>
      <c r="U1699" s="177"/>
      <c r="V1699" s="177"/>
      <c r="W1699" s="177"/>
      <c r="X1699" s="176"/>
      <c r="Y1699" s="177"/>
      <c r="Z1699" s="415"/>
      <c r="AA1699" s="488"/>
      <c r="AB1699" s="594"/>
      <c r="AC1699" s="595"/>
      <c r="AD1699" s="596" t="str">
        <f>IF(AND(AC1699&lt;&gt;"",S1699&lt;&gt;""),NETWORKDAYS(AC1699,S1699,#REF!),"")</f>
        <v/>
      </c>
      <c r="AE1699" s="596" t="str">
        <f ca="1">IF(AND(AD1699="",AC1699=""),"",IF(OR(AD1699&lt;&gt;"",O1699="*CANCELADO"),"",NETWORKDAYS(AC1699,TODAY(),#REF!)))</f>
        <v/>
      </c>
      <c r="AF1699" s="619"/>
    </row>
    <row r="1700" spans="1:32" ht="14.25" customHeight="1">
      <c r="A1700" s="176"/>
      <c r="B1700" s="176"/>
      <c r="C1700" s="177"/>
      <c r="D1700" s="176"/>
      <c r="E1700" s="176"/>
      <c r="F1700" s="259"/>
      <c r="G1700" s="176"/>
      <c r="H1700" s="178"/>
      <c r="I1700" s="592">
        <f t="shared" si="68"/>
        <v>0</v>
      </c>
      <c r="J1700" s="178"/>
      <c r="K1700" s="178"/>
      <c r="L1700" s="275" t="str">
        <f>IF(H:H=0,"",IF(ISERROR(VLOOKUP(H:H,produtos_escape2!$A$2:$B$2794,2,FALSE)),"Código não cadastrado",(VLOOKUP(H:H,produtos_escape2!$A$2:$B$2794,2,FALSE))))</f>
        <v/>
      </c>
      <c r="M1700" s="593" t="str">
        <f>IF(H:H=0,"",IF(ISERROR(VLOOKUP(H:H,produtos_escape2!$A$2:$D$2794,2,FALSE)),"Código não cadastrado",(VLOOKUP(H:H,produtos_escape2!$A$2:$D$2794,4,FALSE))))</f>
        <v/>
      </c>
      <c r="N1700" s="486"/>
      <c r="O1700" s="176"/>
      <c r="P1700" s="486"/>
      <c r="Q1700" s="247"/>
      <c r="R1700" s="246">
        <f t="shared" si="67"/>
        <v>0</v>
      </c>
      <c r="S1700" s="177"/>
      <c r="T1700" s="182"/>
      <c r="U1700" s="177"/>
      <c r="V1700" s="177"/>
      <c r="W1700" s="177"/>
      <c r="X1700" s="176"/>
      <c r="Y1700" s="177"/>
      <c r="Z1700" s="415"/>
      <c r="AA1700" s="488"/>
      <c r="AB1700" s="594"/>
      <c r="AC1700" s="595"/>
      <c r="AD1700" s="596" t="str">
        <f>IF(AND(AC1700&lt;&gt;"",S1700&lt;&gt;""),NETWORKDAYS(AC1700,S1700,#REF!),"")</f>
        <v/>
      </c>
      <c r="AE1700" s="596" t="str">
        <f ca="1">IF(AND(AD1700="",AC1700=""),"",IF(OR(AD1700&lt;&gt;"",O1700="*CANCELADO"),"",NETWORKDAYS(AC1700,TODAY(),#REF!)))</f>
        <v/>
      </c>
      <c r="AF1700" s="619"/>
    </row>
    <row r="1701" spans="1:32" ht="14.25" customHeight="1">
      <c r="A1701" s="176"/>
      <c r="B1701" s="176"/>
      <c r="C1701" s="177"/>
      <c r="D1701" s="176"/>
      <c r="E1701" s="176"/>
      <c r="F1701" s="259"/>
      <c r="G1701" s="176"/>
      <c r="H1701" s="178"/>
      <c r="I1701" s="592">
        <f t="shared" si="68"/>
        <v>0</v>
      </c>
      <c r="J1701" s="178"/>
      <c r="K1701" s="178"/>
      <c r="L1701" s="275" t="str">
        <f>IF(H:H=0,"",IF(ISERROR(VLOOKUP(H:H,produtos_escape2!$A$2:$B$2794,2,FALSE)),"Código não cadastrado",(VLOOKUP(H:H,produtos_escape2!$A$2:$B$2794,2,FALSE))))</f>
        <v/>
      </c>
      <c r="M1701" s="593" t="str">
        <f>IF(H:H=0,"",IF(ISERROR(VLOOKUP(H:H,produtos_escape2!$A$2:$D$2794,2,FALSE)),"Código não cadastrado",(VLOOKUP(H:H,produtos_escape2!$A$2:$D$2794,4,FALSE))))</f>
        <v/>
      </c>
      <c r="N1701" s="486"/>
      <c r="O1701" s="176"/>
      <c r="P1701" s="486"/>
      <c r="Q1701" s="247"/>
      <c r="R1701" s="246">
        <f t="shared" si="67"/>
        <v>0</v>
      </c>
      <c r="S1701" s="177"/>
      <c r="T1701" s="182"/>
      <c r="U1701" s="177"/>
      <c r="V1701" s="177"/>
      <c r="W1701" s="177"/>
      <c r="X1701" s="176"/>
      <c r="Y1701" s="177"/>
      <c r="Z1701" s="415"/>
      <c r="AA1701" s="488"/>
      <c r="AB1701" s="594"/>
      <c r="AC1701" s="595"/>
      <c r="AD1701" s="596" t="str">
        <f>IF(AND(AC1701&lt;&gt;"",S1701&lt;&gt;""),NETWORKDAYS(AC1701,S1701,#REF!),"")</f>
        <v/>
      </c>
      <c r="AE1701" s="596" t="str">
        <f ca="1">IF(AND(AD1701="",AC1701=""),"",IF(OR(AD1701&lt;&gt;"",O1701="*CANCELADO"),"",NETWORKDAYS(AC1701,TODAY(),#REF!)))</f>
        <v/>
      </c>
      <c r="AF1701" s="619"/>
    </row>
    <row r="1702" spans="1:32" ht="14.25" customHeight="1">
      <c r="A1702" s="176"/>
      <c r="B1702" s="176"/>
      <c r="C1702" s="177"/>
      <c r="D1702" s="176"/>
      <c r="E1702" s="176"/>
      <c r="F1702" s="259"/>
      <c r="G1702" s="176"/>
      <c r="H1702" s="178"/>
      <c r="I1702" s="592">
        <f t="shared" si="68"/>
        <v>0</v>
      </c>
      <c r="J1702" s="178"/>
      <c r="K1702" s="178"/>
      <c r="L1702" s="275" t="str">
        <f>IF(H:H=0,"",IF(ISERROR(VLOOKUP(H:H,produtos_escape2!$A$2:$B$2794,2,FALSE)),"Código não cadastrado",(VLOOKUP(H:H,produtos_escape2!$A$2:$B$2794,2,FALSE))))</f>
        <v/>
      </c>
      <c r="M1702" s="593" t="str">
        <f>IF(H:H=0,"",IF(ISERROR(VLOOKUP(H:H,produtos_escape2!$A$2:$D$2794,2,FALSE)),"Código não cadastrado",(VLOOKUP(H:H,produtos_escape2!$A$2:$D$2794,4,FALSE))))</f>
        <v/>
      </c>
      <c r="N1702" s="486"/>
      <c r="O1702" s="176"/>
      <c r="P1702" s="486"/>
      <c r="Q1702" s="247"/>
      <c r="R1702" s="246">
        <f t="shared" si="67"/>
        <v>0</v>
      </c>
      <c r="S1702" s="177"/>
      <c r="T1702" s="182"/>
      <c r="U1702" s="177"/>
      <c r="V1702" s="177"/>
      <c r="W1702" s="177"/>
      <c r="X1702" s="176"/>
      <c r="Y1702" s="177"/>
      <c r="Z1702" s="415"/>
      <c r="AA1702" s="488"/>
      <c r="AB1702" s="594"/>
      <c r="AC1702" s="595"/>
      <c r="AD1702" s="596" t="str">
        <f>IF(AND(AC1702&lt;&gt;"",S1702&lt;&gt;""),NETWORKDAYS(AC1702,S1702,#REF!),"")</f>
        <v/>
      </c>
      <c r="AE1702" s="596" t="str">
        <f ca="1">IF(AND(AD1702="",AC1702=""),"",IF(OR(AD1702&lt;&gt;"",O1702="*CANCELADO"),"",NETWORKDAYS(AC1702,TODAY(),#REF!)))</f>
        <v/>
      </c>
      <c r="AF1702" s="619"/>
    </row>
    <row r="1703" spans="1:32" ht="14.25" customHeight="1">
      <c r="A1703" s="176"/>
      <c r="B1703" s="176"/>
      <c r="C1703" s="177"/>
      <c r="D1703" s="176"/>
      <c r="E1703" s="176"/>
      <c r="F1703" s="259"/>
      <c r="G1703" s="176"/>
      <c r="H1703" s="178"/>
      <c r="I1703" s="592">
        <f t="shared" si="68"/>
        <v>0</v>
      </c>
      <c r="J1703" s="178"/>
      <c r="K1703" s="178"/>
      <c r="L1703" s="275" t="str">
        <f>IF(H:H=0,"",IF(ISERROR(VLOOKUP(H:H,produtos_escape2!$A$2:$B$2794,2,FALSE)),"Código não cadastrado",(VLOOKUP(H:H,produtos_escape2!$A$2:$B$2794,2,FALSE))))</f>
        <v/>
      </c>
      <c r="M1703" s="593" t="str">
        <f>IF(H:H=0,"",IF(ISERROR(VLOOKUP(H:H,produtos_escape2!$A$2:$D$2794,2,FALSE)),"Código não cadastrado",(VLOOKUP(H:H,produtos_escape2!$A$2:$D$2794,4,FALSE))))</f>
        <v/>
      </c>
      <c r="N1703" s="486"/>
      <c r="O1703" s="176"/>
      <c r="P1703" s="486"/>
      <c r="Q1703" s="247"/>
      <c r="R1703" s="246">
        <f t="shared" si="67"/>
        <v>0</v>
      </c>
      <c r="S1703" s="177"/>
      <c r="T1703" s="182"/>
      <c r="U1703" s="177"/>
      <c r="V1703" s="177"/>
      <c r="W1703" s="177"/>
      <c r="X1703" s="176"/>
      <c r="Y1703" s="177"/>
      <c r="Z1703" s="415"/>
      <c r="AA1703" s="488"/>
      <c r="AB1703" s="594"/>
      <c r="AC1703" s="595"/>
      <c r="AD1703" s="596" t="str">
        <f>IF(AND(AC1703&lt;&gt;"",S1703&lt;&gt;""),NETWORKDAYS(AC1703,S1703,#REF!),"")</f>
        <v/>
      </c>
      <c r="AE1703" s="596" t="str">
        <f ca="1">IF(AND(AD1703="",AC1703=""),"",IF(OR(AD1703&lt;&gt;"",O1703="*CANCELADO"),"",NETWORKDAYS(AC1703,TODAY(),#REF!)))</f>
        <v/>
      </c>
      <c r="AF1703" s="619"/>
    </row>
    <row r="1704" spans="1:32" ht="14.25" customHeight="1">
      <c r="A1704" s="176"/>
      <c r="B1704" s="176"/>
      <c r="C1704" s="177"/>
      <c r="D1704" s="176"/>
      <c r="E1704" s="176"/>
      <c r="F1704" s="259"/>
      <c r="G1704" s="176"/>
      <c r="H1704" s="178"/>
      <c r="I1704" s="592">
        <f t="shared" si="68"/>
        <v>0</v>
      </c>
      <c r="J1704" s="178"/>
      <c r="K1704" s="178"/>
      <c r="L1704" s="275" t="str">
        <f>IF(H:H=0,"",IF(ISERROR(VLOOKUP(H:H,produtos_escape2!$A$2:$B$2794,2,FALSE)),"Código não cadastrado",(VLOOKUP(H:H,produtos_escape2!$A$2:$B$2794,2,FALSE))))</f>
        <v/>
      </c>
      <c r="M1704" s="593" t="str">
        <f>IF(H:H=0,"",IF(ISERROR(VLOOKUP(H:H,produtos_escape2!$A$2:$D$2794,2,FALSE)),"Código não cadastrado",(VLOOKUP(H:H,produtos_escape2!$A$2:$D$2794,4,FALSE))))</f>
        <v/>
      </c>
      <c r="N1704" s="486"/>
      <c r="O1704" s="176"/>
      <c r="P1704" s="486"/>
      <c r="Q1704" s="247"/>
      <c r="R1704" s="246">
        <f t="shared" si="67"/>
        <v>0</v>
      </c>
      <c r="S1704" s="177"/>
      <c r="T1704" s="182"/>
      <c r="U1704" s="177"/>
      <c r="V1704" s="177"/>
      <c r="W1704" s="177"/>
      <c r="X1704" s="176"/>
      <c r="Y1704" s="177"/>
      <c r="Z1704" s="415"/>
      <c r="AA1704" s="488"/>
      <c r="AB1704" s="594"/>
      <c r="AC1704" s="595"/>
      <c r="AD1704" s="596" t="str">
        <f>IF(AND(AC1704&lt;&gt;"",S1704&lt;&gt;""),NETWORKDAYS(AC1704,S1704,#REF!),"")</f>
        <v/>
      </c>
      <c r="AE1704" s="596" t="str">
        <f ca="1">IF(AND(AD1704="",AC1704=""),"",IF(OR(AD1704&lt;&gt;"",O1704="*CANCELADO"),"",NETWORKDAYS(AC1704,TODAY(),#REF!)))</f>
        <v/>
      </c>
      <c r="AF1704" s="619"/>
    </row>
    <row r="1705" spans="1:32" ht="14.25" customHeight="1">
      <c r="A1705" s="176"/>
      <c r="B1705" s="176"/>
      <c r="C1705" s="177"/>
      <c r="D1705" s="176"/>
      <c r="E1705" s="176"/>
      <c r="F1705" s="259"/>
      <c r="G1705" s="176"/>
      <c r="H1705" s="178"/>
      <c r="I1705" s="592">
        <f t="shared" si="68"/>
        <v>0</v>
      </c>
      <c r="J1705" s="178"/>
      <c r="K1705" s="178"/>
      <c r="L1705" s="275" t="str">
        <f>IF(H:H=0,"",IF(ISERROR(VLOOKUP(H:H,produtos_escape2!$A$2:$B$2794,2,FALSE)),"Código não cadastrado",(VLOOKUP(H:H,produtos_escape2!$A$2:$B$2794,2,FALSE))))</f>
        <v/>
      </c>
      <c r="M1705" s="593" t="str">
        <f>IF(H:H=0,"",IF(ISERROR(VLOOKUP(H:H,produtos_escape2!$A$2:$D$2794,2,FALSE)),"Código não cadastrado",(VLOOKUP(H:H,produtos_escape2!$A$2:$D$2794,4,FALSE))))</f>
        <v/>
      </c>
      <c r="N1705" s="486"/>
      <c r="O1705" s="176"/>
      <c r="P1705" s="486"/>
      <c r="Q1705" s="247"/>
      <c r="R1705" s="246">
        <f t="shared" si="67"/>
        <v>0</v>
      </c>
      <c r="S1705" s="177"/>
      <c r="T1705" s="182"/>
      <c r="U1705" s="177"/>
      <c r="V1705" s="177"/>
      <c r="W1705" s="177"/>
      <c r="X1705" s="176"/>
      <c r="Y1705" s="177"/>
      <c r="Z1705" s="415"/>
      <c r="AA1705" s="488"/>
      <c r="AB1705" s="594"/>
      <c r="AC1705" s="595"/>
      <c r="AD1705" s="596" t="str">
        <f>IF(AND(AC1705&lt;&gt;"",S1705&lt;&gt;""),NETWORKDAYS(AC1705,S1705,#REF!),"")</f>
        <v/>
      </c>
      <c r="AE1705" s="596" t="str">
        <f ca="1">IF(AND(AD1705="",AC1705=""),"",IF(OR(AD1705&lt;&gt;"",O1705="*CANCELADO"),"",NETWORKDAYS(AC1705,TODAY(),#REF!)))</f>
        <v/>
      </c>
      <c r="AF1705" s="619"/>
    </row>
    <row r="1706" spans="1:32" ht="14.25" customHeight="1">
      <c r="A1706" s="176"/>
      <c r="B1706" s="176"/>
      <c r="C1706" s="177"/>
      <c r="D1706" s="176"/>
      <c r="E1706" s="176"/>
      <c r="F1706" s="259"/>
      <c r="G1706" s="176"/>
      <c r="H1706" s="178"/>
      <c r="I1706" s="592">
        <f t="shared" si="68"/>
        <v>0</v>
      </c>
      <c r="J1706" s="178"/>
      <c r="K1706" s="178"/>
      <c r="L1706" s="275" t="str">
        <f>IF(H:H=0,"",IF(ISERROR(VLOOKUP(H:H,produtos_escape2!$A$2:$B$2794,2,FALSE)),"Código não cadastrado",(VLOOKUP(H:H,produtos_escape2!$A$2:$B$2794,2,FALSE))))</f>
        <v/>
      </c>
      <c r="M1706" s="593" t="str">
        <f>IF(H:H=0,"",IF(ISERROR(VLOOKUP(H:H,produtos_escape2!$A$2:$D$2794,2,FALSE)),"Código não cadastrado",(VLOOKUP(H:H,produtos_escape2!$A$2:$D$2794,4,FALSE))))</f>
        <v/>
      </c>
      <c r="N1706" s="486"/>
      <c r="O1706" s="176"/>
      <c r="P1706" s="486"/>
      <c r="Q1706" s="247"/>
      <c r="R1706" s="246">
        <f t="shared" si="67"/>
        <v>0</v>
      </c>
      <c r="S1706" s="177"/>
      <c r="T1706" s="182"/>
      <c r="U1706" s="177"/>
      <c r="V1706" s="177"/>
      <c r="W1706" s="177"/>
      <c r="X1706" s="176"/>
      <c r="Y1706" s="177"/>
      <c r="Z1706" s="415"/>
      <c r="AA1706" s="488"/>
      <c r="AB1706" s="594"/>
      <c r="AC1706" s="595"/>
      <c r="AD1706" s="596" t="str">
        <f>IF(AND(AC1706&lt;&gt;"",S1706&lt;&gt;""),NETWORKDAYS(AC1706,S1706,#REF!),"")</f>
        <v/>
      </c>
      <c r="AE1706" s="596" t="str">
        <f ca="1">IF(AND(AD1706="",AC1706=""),"",IF(OR(AD1706&lt;&gt;"",O1706="*CANCELADO"),"",NETWORKDAYS(AC1706,TODAY(),#REF!)))</f>
        <v/>
      </c>
      <c r="AF1706" s="619"/>
    </row>
    <row r="1707" spans="1:32" ht="14.25" customHeight="1">
      <c r="A1707" s="176"/>
      <c r="B1707" s="176"/>
      <c r="C1707" s="177"/>
      <c r="D1707" s="176"/>
      <c r="E1707" s="176"/>
      <c r="F1707" s="259"/>
      <c r="G1707" s="176"/>
      <c r="H1707" s="178"/>
      <c r="I1707" s="592">
        <f t="shared" si="68"/>
        <v>0</v>
      </c>
      <c r="J1707" s="178"/>
      <c r="K1707" s="178"/>
      <c r="L1707" s="275" t="str">
        <f>IF(H:H=0,"",IF(ISERROR(VLOOKUP(H:H,produtos_escape2!$A$2:$B$2794,2,FALSE)),"Código não cadastrado",(VLOOKUP(H:H,produtos_escape2!$A$2:$B$2794,2,FALSE))))</f>
        <v/>
      </c>
      <c r="M1707" s="593" t="str">
        <f>IF(H:H=0,"",IF(ISERROR(VLOOKUP(H:H,produtos_escape2!$A$2:$D$2794,2,FALSE)),"Código não cadastrado",(VLOOKUP(H:H,produtos_escape2!$A$2:$D$2794,4,FALSE))))</f>
        <v/>
      </c>
      <c r="N1707" s="486"/>
      <c r="O1707" s="176"/>
      <c r="P1707" s="486"/>
      <c r="Q1707" s="247"/>
      <c r="R1707" s="246">
        <f t="shared" si="67"/>
        <v>0</v>
      </c>
      <c r="S1707" s="177"/>
      <c r="T1707" s="182"/>
      <c r="U1707" s="177"/>
      <c r="V1707" s="177"/>
      <c r="W1707" s="177"/>
      <c r="X1707" s="176"/>
      <c r="Y1707" s="177"/>
      <c r="Z1707" s="415"/>
      <c r="AA1707" s="488"/>
      <c r="AB1707" s="594"/>
      <c r="AC1707" s="595"/>
      <c r="AD1707" s="596" t="str">
        <f>IF(AND(AC1707&lt;&gt;"",S1707&lt;&gt;""),NETWORKDAYS(AC1707,S1707,#REF!),"")</f>
        <v/>
      </c>
      <c r="AE1707" s="596" t="str">
        <f ca="1">IF(AND(AD1707="",AC1707=""),"",IF(OR(AD1707&lt;&gt;"",O1707="*CANCELADO"),"",NETWORKDAYS(AC1707,TODAY(),#REF!)))</f>
        <v/>
      </c>
      <c r="AF1707" s="619"/>
    </row>
    <row r="1708" spans="1:32" ht="14.25" customHeight="1">
      <c r="A1708" s="176"/>
      <c r="B1708" s="176"/>
      <c r="C1708" s="177"/>
      <c r="D1708" s="176"/>
      <c r="E1708" s="176"/>
      <c r="F1708" s="259"/>
      <c r="G1708" s="176"/>
      <c r="H1708" s="178"/>
      <c r="I1708" s="592">
        <f t="shared" si="68"/>
        <v>0</v>
      </c>
      <c r="J1708" s="178"/>
      <c r="K1708" s="178"/>
      <c r="L1708" s="275" t="str">
        <f>IF(H:H=0,"",IF(ISERROR(VLOOKUP(H:H,produtos_escape2!$A$2:$B$2794,2,FALSE)),"Código não cadastrado",(VLOOKUP(H:H,produtos_escape2!$A$2:$B$2794,2,FALSE))))</f>
        <v/>
      </c>
      <c r="M1708" s="593" t="str">
        <f>IF(H:H=0,"",IF(ISERROR(VLOOKUP(H:H,produtos_escape2!$A$2:$D$2794,2,FALSE)),"Código não cadastrado",(VLOOKUP(H:H,produtos_escape2!$A$2:$D$2794,4,FALSE))))</f>
        <v/>
      </c>
      <c r="N1708" s="486"/>
      <c r="O1708" s="176"/>
      <c r="P1708" s="486"/>
      <c r="Q1708" s="247"/>
      <c r="R1708" s="246">
        <f t="shared" si="67"/>
        <v>0</v>
      </c>
      <c r="S1708" s="177"/>
      <c r="T1708" s="182"/>
      <c r="U1708" s="177"/>
      <c r="V1708" s="177"/>
      <c r="W1708" s="177"/>
      <c r="X1708" s="176"/>
      <c r="Y1708" s="177"/>
      <c r="Z1708" s="415"/>
      <c r="AA1708" s="488"/>
      <c r="AB1708" s="594"/>
      <c r="AC1708" s="595"/>
      <c r="AD1708" s="596" t="str">
        <f>IF(AND(AC1708&lt;&gt;"",S1708&lt;&gt;""),NETWORKDAYS(AC1708,S1708,#REF!),"")</f>
        <v/>
      </c>
      <c r="AE1708" s="596" t="str">
        <f ca="1">IF(AND(AD1708="",AC1708=""),"",IF(OR(AD1708&lt;&gt;"",O1708="*CANCELADO"),"",NETWORKDAYS(AC1708,TODAY(),#REF!)))</f>
        <v/>
      </c>
      <c r="AF1708" s="619"/>
    </row>
    <row r="1709" spans="1:32" ht="14.25" customHeight="1">
      <c r="A1709" s="176"/>
      <c r="B1709" s="176"/>
      <c r="C1709" s="177"/>
      <c r="D1709" s="176"/>
      <c r="E1709" s="176"/>
      <c r="F1709" s="259"/>
      <c r="G1709" s="176"/>
      <c r="H1709" s="178"/>
      <c r="I1709" s="592">
        <f t="shared" si="68"/>
        <v>0</v>
      </c>
      <c r="J1709" s="178"/>
      <c r="K1709" s="178"/>
      <c r="L1709" s="275" t="str">
        <f>IF(H:H=0,"",IF(ISERROR(VLOOKUP(H:H,produtos_escape2!$A$2:$B$2794,2,FALSE)),"Código não cadastrado",(VLOOKUP(H:H,produtos_escape2!$A$2:$B$2794,2,FALSE))))</f>
        <v/>
      </c>
      <c r="M1709" s="593" t="str">
        <f>IF(H:H=0,"",IF(ISERROR(VLOOKUP(H:H,produtos_escape2!$A$2:$D$2794,2,FALSE)),"Código não cadastrado",(VLOOKUP(H:H,produtos_escape2!$A$2:$D$2794,4,FALSE))))</f>
        <v/>
      </c>
      <c r="N1709" s="486"/>
      <c r="O1709" s="176"/>
      <c r="P1709" s="486"/>
      <c r="Q1709" s="247"/>
      <c r="R1709" s="246">
        <f t="shared" ref="R1709:R1772" si="69">P1709*Q1709</f>
        <v>0</v>
      </c>
      <c r="S1709" s="177"/>
      <c r="T1709" s="182"/>
      <c r="U1709" s="177"/>
      <c r="V1709" s="177"/>
      <c r="W1709" s="177"/>
      <c r="X1709" s="176"/>
      <c r="Y1709" s="177"/>
      <c r="Z1709" s="415"/>
      <c r="AA1709" s="488"/>
      <c r="AB1709" s="594"/>
      <c r="AC1709" s="595"/>
      <c r="AD1709" s="596" t="str">
        <f>IF(AND(AC1709&lt;&gt;"",S1709&lt;&gt;""),NETWORKDAYS(AC1709,S1709,#REF!),"")</f>
        <v/>
      </c>
      <c r="AE1709" s="596" t="str">
        <f ca="1">IF(AND(AD1709="",AC1709=""),"",IF(OR(AD1709&lt;&gt;"",O1709="*CANCELADO"),"",NETWORKDAYS(AC1709,TODAY(),#REF!)))</f>
        <v/>
      </c>
      <c r="AF1709" s="619"/>
    </row>
    <row r="1710" spans="1:32" ht="14.25" customHeight="1">
      <c r="A1710" s="176"/>
      <c r="B1710" s="176"/>
      <c r="C1710" s="177"/>
      <c r="D1710" s="176"/>
      <c r="E1710" s="176"/>
      <c r="F1710" s="259"/>
      <c r="G1710" s="176"/>
      <c r="H1710" s="178"/>
      <c r="I1710" s="592">
        <f t="shared" si="68"/>
        <v>0</v>
      </c>
      <c r="J1710" s="178"/>
      <c r="K1710" s="178"/>
      <c r="L1710" s="275" t="str">
        <f>IF(H:H=0,"",IF(ISERROR(VLOOKUP(H:H,produtos_escape2!$A$2:$B$2794,2,FALSE)),"Código não cadastrado",(VLOOKUP(H:H,produtos_escape2!$A$2:$B$2794,2,FALSE))))</f>
        <v/>
      </c>
      <c r="M1710" s="593" t="str">
        <f>IF(H:H=0,"",IF(ISERROR(VLOOKUP(H:H,produtos_escape2!$A$2:$D$2794,2,FALSE)),"Código não cadastrado",(VLOOKUP(H:H,produtos_escape2!$A$2:$D$2794,4,FALSE))))</f>
        <v/>
      </c>
      <c r="N1710" s="486"/>
      <c r="O1710" s="176"/>
      <c r="P1710" s="486"/>
      <c r="Q1710" s="247"/>
      <c r="R1710" s="246">
        <f t="shared" si="69"/>
        <v>0</v>
      </c>
      <c r="S1710" s="177"/>
      <c r="T1710" s="182"/>
      <c r="U1710" s="177"/>
      <c r="V1710" s="177"/>
      <c r="W1710" s="177"/>
      <c r="X1710" s="176"/>
      <c r="Y1710" s="177"/>
      <c r="Z1710" s="415"/>
      <c r="AA1710" s="488"/>
      <c r="AB1710" s="594"/>
      <c r="AC1710" s="595"/>
      <c r="AD1710" s="596" t="str">
        <f>IF(AND(AC1710&lt;&gt;"",S1710&lt;&gt;""),NETWORKDAYS(AC1710,S1710,#REF!),"")</f>
        <v/>
      </c>
      <c r="AE1710" s="596" t="str">
        <f ca="1">IF(AND(AD1710="",AC1710=""),"",IF(OR(AD1710&lt;&gt;"",O1710="*CANCELADO"),"",NETWORKDAYS(AC1710,TODAY(),#REF!)))</f>
        <v/>
      </c>
      <c r="AF1710" s="619"/>
    </row>
    <row r="1711" spans="1:32" ht="14.25" customHeight="1">
      <c r="A1711" s="176"/>
      <c r="B1711" s="176"/>
      <c r="C1711" s="177"/>
      <c r="D1711" s="176"/>
      <c r="E1711" s="176"/>
      <c r="F1711" s="259"/>
      <c r="G1711" s="176"/>
      <c r="H1711" s="178"/>
      <c r="I1711" s="592">
        <f t="shared" si="68"/>
        <v>0</v>
      </c>
      <c r="J1711" s="178"/>
      <c r="K1711" s="178"/>
      <c r="L1711" s="275" t="str">
        <f>IF(H:H=0,"",IF(ISERROR(VLOOKUP(H:H,produtos_escape2!$A$2:$B$2794,2,FALSE)),"Código não cadastrado",(VLOOKUP(H:H,produtos_escape2!$A$2:$B$2794,2,FALSE))))</f>
        <v/>
      </c>
      <c r="M1711" s="593" t="str">
        <f>IF(H:H=0,"",IF(ISERROR(VLOOKUP(H:H,produtos_escape2!$A$2:$D$2794,2,FALSE)),"Código não cadastrado",(VLOOKUP(H:H,produtos_escape2!$A$2:$D$2794,4,FALSE))))</f>
        <v/>
      </c>
      <c r="N1711" s="486"/>
      <c r="O1711" s="176"/>
      <c r="P1711" s="486"/>
      <c r="Q1711" s="247"/>
      <c r="R1711" s="246">
        <f t="shared" si="69"/>
        <v>0</v>
      </c>
      <c r="S1711" s="177"/>
      <c r="T1711" s="182"/>
      <c r="U1711" s="177"/>
      <c r="V1711" s="177"/>
      <c r="W1711" s="177"/>
      <c r="X1711" s="176"/>
      <c r="Y1711" s="177"/>
      <c r="Z1711" s="415"/>
      <c r="AA1711" s="488"/>
      <c r="AB1711" s="594"/>
      <c r="AC1711" s="595"/>
      <c r="AD1711" s="596" t="str">
        <f>IF(AND(AC1711&lt;&gt;"",S1711&lt;&gt;""),NETWORKDAYS(AC1711,S1711,#REF!),"")</f>
        <v/>
      </c>
      <c r="AE1711" s="596" t="str">
        <f ca="1">IF(AND(AD1711="",AC1711=""),"",IF(OR(AD1711&lt;&gt;"",O1711="*CANCELADO"),"",NETWORKDAYS(AC1711,TODAY(),#REF!)))</f>
        <v/>
      </c>
      <c r="AF1711" s="619"/>
    </row>
    <row r="1712" spans="1:32" ht="14.25" customHeight="1">
      <c r="A1712" s="176"/>
      <c r="B1712" s="176"/>
      <c r="C1712" s="177"/>
      <c r="D1712" s="176"/>
      <c r="E1712" s="176"/>
      <c r="F1712" s="259"/>
      <c r="G1712" s="176"/>
      <c r="H1712" s="178"/>
      <c r="I1712" s="592">
        <f t="shared" si="68"/>
        <v>0</v>
      </c>
      <c r="J1712" s="178"/>
      <c r="K1712" s="178"/>
      <c r="L1712" s="275" t="str">
        <f>IF(H:H=0,"",IF(ISERROR(VLOOKUP(H:H,produtos_escape2!$A$2:$B$2794,2,FALSE)),"Código não cadastrado",(VLOOKUP(H:H,produtos_escape2!$A$2:$B$2794,2,FALSE))))</f>
        <v/>
      </c>
      <c r="M1712" s="593" t="str">
        <f>IF(H:H=0,"",IF(ISERROR(VLOOKUP(H:H,produtos_escape2!$A$2:$D$2794,2,FALSE)),"Código não cadastrado",(VLOOKUP(H:H,produtos_escape2!$A$2:$D$2794,4,FALSE))))</f>
        <v/>
      </c>
      <c r="N1712" s="486"/>
      <c r="O1712" s="176"/>
      <c r="P1712" s="486"/>
      <c r="Q1712" s="247"/>
      <c r="R1712" s="246">
        <f t="shared" si="69"/>
        <v>0</v>
      </c>
      <c r="S1712" s="177"/>
      <c r="T1712" s="182"/>
      <c r="U1712" s="177"/>
      <c r="V1712" s="177"/>
      <c r="W1712" s="177"/>
      <c r="X1712" s="176"/>
      <c r="Y1712" s="177"/>
      <c r="Z1712" s="415"/>
      <c r="AA1712" s="488"/>
      <c r="AB1712" s="594"/>
      <c r="AC1712" s="595"/>
      <c r="AD1712" s="596" t="str">
        <f>IF(AND(AC1712&lt;&gt;"",S1712&lt;&gt;""),NETWORKDAYS(AC1712,S1712,#REF!),"")</f>
        <v/>
      </c>
      <c r="AE1712" s="596" t="str">
        <f ca="1">IF(AND(AD1712="",AC1712=""),"",IF(OR(AD1712&lt;&gt;"",O1712="*CANCELADO"),"",NETWORKDAYS(AC1712,TODAY(),#REF!)))</f>
        <v/>
      </c>
      <c r="AF1712" s="619"/>
    </row>
    <row r="1713" spans="1:32" ht="14.25" customHeight="1">
      <c r="A1713" s="176"/>
      <c r="B1713" s="176"/>
      <c r="C1713" s="177"/>
      <c r="D1713" s="176"/>
      <c r="E1713" s="176"/>
      <c r="F1713" s="259"/>
      <c r="G1713" s="176"/>
      <c r="H1713" s="178"/>
      <c r="I1713" s="592">
        <f t="shared" si="68"/>
        <v>0</v>
      </c>
      <c r="J1713" s="178"/>
      <c r="K1713" s="178"/>
      <c r="L1713" s="275" t="str">
        <f>IF(H:H=0,"",IF(ISERROR(VLOOKUP(H:H,produtos_escape2!$A$2:$B$2794,2,FALSE)),"Código não cadastrado",(VLOOKUP(H:H,produtos_escape2!$A$2:$B$2794,2,FALSE))))</f>
        <v/>
      </c>
      <c r="M1713" s="593" t="str">
        <f>IF(H:H=0,"",IF(ISERROR(VLOOKUP(H:H,produtos_escape2!$A$2:$D$2794,2,FALSE)),"Código não cadastrado",(VLOOKUP(H:H,produtos_escape2!$A$2:$D$2794,4,FALSE))))</f>
        <v/>
      </c>
      <c r="N1713" s="486"/>
      <c r="O1713" s="176"/>
      <c r="P1713" s="486"/>
      <c r="Q1713" s="247"/>
      <c r="R1713" s="246">
        <f t="shared" si="69"/>
        <v>0</v>
      </c>
      <c r="S1713" s="177"/>
      <c r="T1713" s="182"/>
      <c r="U1713" s="177"/>
      <c r="V1713" s="177"/>
      <c r="W1713" s="177"/>
      <c r="X1713" s="176"/>
      <c r="Y1713" s="177"/>
      <c r="Z1713" s="415"/>
      <c r="AA1713" s="488"/>
      <c r="AB1713" s="594"/>
      <c r="AC1713" s="595"/>
      <c r="AD1713" s="596" t="str">
        <f>IF(AND(AC1713&lt;&gt;"",S1713&lt;&gt;""),NETWORKDAYS(AC1713,S1713,#REF!),"")</f>
        <v/>
      </c>
      <c r="AE1713" s="596" t="str">
        <f ca="1">IF(AND(AD1713="",AC1713=""),"",IF(OR(AD1713&lt;&gt;"",O1713="*CANCELADO"),"",NETWORKDAYS(AC1713,TODAY(),#REF!)))</f>
        <v/>
      </c>
      <c r="AF1713" s="619"/>
    </row>
    <row r="1714" spans="1:32" ht="14.25" customHeight="1">
      <c r="A1714" s="176"/>
      <c r="B1714" s="176"/>
      <c r="C1714" s="177"/>
      <c r="D1714" s="176"/>
      <c r="E1714" s="176"/>
      <c r="F1714" s="259"/>
      <c r="G1714" s="176"/>
      <c r="H1714" s="178"/>
      <c r="I1714" s="592">
        <f t="shared" si="68"/>
        <v>0</v>
      </c>
      <c r="J1714" s="178"/>
      <c r="K1714" s="178"/>
      <c r="L1714" s="275" t="str">
        <f>IF(H:H=0,"",IF(ISERROR(VLOOKUP(H:H,produtos_escape2!$A$2:$B$2794,2,FALSE)),"Código não cadastrado",(VLOOKUP(H:H,produtos_escape2!$A$2:$B$2794,2,FALSE))))</f>
        <v/>
      </c>
      <c r="M1714" s="593" t="str">
        <f>IF(H:H=0,"",IF(ISERROR(VLOOKUP(H:H,produtos_escape2!$A$2:$D$2794,2,FALSE)),"Código não cadastrado",(VLOOKUP(H:H,produtos_escape2!$A$2:$D$2794,4,FALSE))))</f>
        <v/>
      </c>
      <c r="N1714" s="486"/>
      <c r="O1714" s="176"/>
      <c r="P1714" s="486"/>
      <c r="Q1714" s="247"/>
      <c r="R1714" s="246">
        <f t="shared" si="69"/>
        <v>0</v>
      </c>
      <c r="S1714" s="177"/>
      <c r="T1714" s="182"/>
      <c r="U1714" s="177"/>
      <c r="V1714" s="177"/>
      <c r="W1714" s="177"/>
      <c r="X1714" s="176"/>
      <c r="Y1714" s="177"/>
      <c r="Z1714" s="415"/>
      <c r="AA1714" s="488"/>
      <c r="AB1714" s="594"/>
      <c r="AC1714" s="595"/>
      <c r="AD1714" s="596" t="str">
        <f>IF(AND(AC1714&lt;&gt;"",S1714&lt;&gt;""),NETWORKDAYS(AC1714,S1714,#REF!),"")</f>
        <v/>
      </c>
      <c r="AE1714" s="596" t="str">
        <f ca="1">IF(AND(AD1714="",AC1714=""),"",IF(OR(AD1714&lt;&gt;"",O1714="*CANCELADO"),"",NETWORKDAYS(AC1714,TODAY(),#REF!)))</f>
        <v/>
      </c>
      <c r="AF1714" s="619"/>
    </row>
    <row r="1715" spans="1:32" ht="14.25" customHeight="1">
      <c r="A1715" s="176"/>
      <c r="B1715" s="176"/>
      <c r="C1715" s="177"/>
      <c r="D1715" s="176"/>
      <c r="E1715" s="176"/>
      <c r="F1715" s="259"/>
      <c r="G1715" s="176"/>
      <c r="H1715" s="178"/>
      <c r="I1715" s="592">
        <f t="shared" si="68"/>
        <v>0</v>
      </c>
      <c r="J1715" s="178"/>
      <c r="K1715" s="178"/>
      <c r="L1715" s="275" t="str">
        <f>IF(H:H=0,"",IF(ISERROR(VLOOKUP(H:H,produtos_escape2!$A$2:$B$2794,2,FALSE)),"Código não cadastrado",(VLOOKUP(H:H,produtos_escape2!$A$2:$B$2794,2,FALSE))))</f>
        <v/>
      </c>
      <c r="M1715" s="593" t="str">
        <f>IF(H:H=0,"",IF(ISERROR(VLOOKUP(H:H,produtos_escape2!$A$2:$D$2794,2,FALSE)),"Código não cadastrado",(VLOOKUP(H:H,produtos_escape2!$A$2:$D$2794,4,FALSE))))</f>
        <v/>
      </c>
      <c r="N1715" s="486"/>
      <c r="O1715" s="176"/>
      <c r="P1715" s="486"/>
      <c r="Q1715" s="247"/>
      <c r="R1715" s="246">
        <f t="shared" si="69"/>
        <v>0</v>
      </c>
      <c r="S1715" s="177"/>
      <c r="T1715" s="182"/>
      <c r="U1715" s="177"/>
      <c r="V1715" s="177"/>
      <c r="W1715" s="177"/>
      <c r="X1715" s="176"/>
      <c r="Y1715" s="177"/>
      <c r="Z1715" s="415"/>
      <c r="AA1715" s="488"/>
      <c r="AB1715" s="594"/>
      <c r="AC1715" s="595"/>
      <c r="AD1715" s="596" t="str">
        <f>IF(AND(AC1715&lt;&gt;"",S1715&lt;&gt;""),NETWORKDAYS(AC1715,S1715,#REF!),"")</f>
        <v/>
      </c>
      <c r="AE1715" s="596" t="str">
        <f ca="1">IF(AND(AD1715="",AC1715=""),"",IF(OR(AD1715&lt;&gt;"",O1715="*CANCELADO"),"",NETWORKDAYS(AC1715,TODAY(),#REF!)))</f>
        <v/>
      </c>
      <c r="AF1715" s="619"/>
    </row>
    <row r="1716" spans="1:32" ht="14.25" customHeight="1">
      <c r="A1716" s="176"/>
      <c r="B1716" s="176"/>
      <c r="C1716" s="177"/>
      <c r="D1716" s="176"/>
      <c r="E1716" s="176"/>
      <c r="F1716" s="259"/>
      <c r="G1716" s="176"/>
      <c r="H1716" s="178"/>
      <c r="I1716" s="592">
        <f t="shared" si="68"/>
        <v>0</v>
      </c>
      <c r="J1716" s="178"/>
      <c r="K1716" s="178"/>
      <c r="L1716" s="275" t="str">
        <f>IF(H:H=0,"",IF(ISERROR(VLOOKUP(H:H,produtos_escape2!$A$2:$B$2794,2,FALSE)),"Código não cadastrado",(VLOOKUP(H:H,produtos_escape2!$A$2:$B$2794,2,FALSE))))</f>
        <v/>
      </c>
      <c r="M1716" s="593" t="str">
        <f>IF(H:H=0,"",IF(ISERROR(VLOOKUP(H:H,produtos_escape2!$A$2:$D$2794,2,FALSE)),"Código não cadastrado",(VLOOKUP(H:H,produtos_escape2!$A$2:$D$2794,4,FALSE))))</f>
        <v/>
      </c>
      <c r="N1716" s="486"/>
      <c r="O1716" s="176"/>
      <c r="P1716" s="486"/>
      <c r="Q1716" s="247"/>
      <c r="R1716" s="246">
        <f t="shared" si="69"/>
        <v>0</v>
      </c>
      <c r="S1716" s="177"/>
      <c r="T1716" s="182"/>
      <c r="U1716" s="177"/>
      <c r="V1716" s="177"/>
      <c r="W1716" s="177"/>
      <c r="X1716" s="176"/>
      <c r="Y1716" s="177"/>
      <c r="Z1716" s="415"/>
      <c r="AA1716" s="488"/>
      <c r="AB1716" s="594"/>
      <c r="AC1716" s="595"/>
      <c r="AD1716" s="596" t="str">
        <f>IF(AND(AC1716&lt;&gt;"",S1716&lt;&gt;""),NETWORKDAYS(AC1716,S1716,#REF!),"")</f>
        <v/>
      </c>
      <c r="AE1716" s="596" t="str">
        <f ca="1">IF(AND(AD1716="",AC1716=""),"",IF(OR(AD1716&lt;&gt;"",O1716="*CANCELADO"),"",NETWORKDAYS(AC1716,TODAY(),#REF!)))</f>
        <v/>
      </c>
      <c r="AF1716" s="619"/>
    </row>
    <row r="1717" spans="1:32" ht="14.25" customHeight="1">
      <c r="A1717" s="176"/>
      <c r="B1717" s="176"/>
      <c r="C1717" s="177"/>
      <c r="D1717" s="176"/>
      <c r="E1717" s="176"/>
      <c r="F1717" s="259"/>
      <c r="G1717" s="176"/>
      <c r="H1717" s="178"/>
      <c r="I1717" s="592">
        <f t="shared" si="68"/>
        <v>0</v>
      </c>
      <c r="J1717" s="178"/>
      <c r="K1717" s="178"/>
      <c r="L1717" s="275" t="str">
        <f>IF(H:H=0,"",IF(ISERROR(VLOOKUP(H:H,produtos_escape2!$A$2:$B$2794,2,FALSE)),"Código não cadastrado",(VLOOKUP(H:H,produtos_escape2!$A$2:$B$2794,2,FALSE))))</f>
        <v/>
      </c>
      <c r="M1717" s="593" t="str">
        <f>IF(H:H=0,"",IF(ISERROR(VLOOKUP(H:H,produtos_escape2!$A$2:$D$2794,2,FALSE)),"Código não cadastrado",(VLOOKUP(H:H,produtos_escape2!$A$2:$D$2794,4,FALSE))))</f>
        <v/>
      </c>
      <c r="N1717" s="486"/>
      <c r="O1717" s="176"/>
      <c r="P1717" s="486"/>
      <c r="Q1717" s="247"/>
      <c r="R1717" s="246">
        <f t="shared" si="69"/>
        <v>0</v>
      </c>
      <c r="S1717" s="177"/>
      <c r="T1717" s="182"/>
      <c r="U1717" s="177"/>
      <c r="V1717" s="177"/>
      <c r="W1717" s="177"/>
      <c r="X1717" s="176"/>
      <c r="Y1717" s="177"/>
      <c r="Z1717" s="415"/>
      <c r="AA1717" s="488"/>
      <c r="AB1717" s="594"/>
      <c r="AC1717" s="595"/>
      <c r="AD1717" s="596" t="str">
        <f>IF(AND(AC1717&lt;&gt;"",S1717&lt;&gt;""),NETWORKDAYS(AC1717,S1717,#REF!),"")</f>
        <v/>
      </c>
      <c r="AE1717" s="596" t="str">
        <f ca="1">IF(AND(AD1717="",AC1717=""),"",IF(OR(AD1717&lt;&gt;"",O1717="*CANCELADO"),"",NETWORKDAYS(AC1717,TODAY(),#REF!)))</f>
        <v/>
      </c>
      <c r="AF1717" s="619"/>
    </row>
    <row r="1718" spans="1:32" ht="14.25" customHeight="1">
      <c r="A1718" s="176"/>
      <c r="B1718" s="176"/>
      <c r="C1718" s="177"/>
      <c r="D1718" s="176"/>
      <c r="E1718" s="176"/>
      <c r="F1718" s="259"/>
      <c r="G1718" s="176"/>
      <c r="H1718" s="178"/>
      <c r="I1718" s="592">
        <f t="shared" ref="I1718:I1781" si="70">COUNTIF($H$3:$H$3041,H1718)</f>
        <v>0</v>
      </c>
      <c r="J1718" s="178"/>
      <c r="K1718" s="178"/>
      <c r="L1718" s="275" t="str">
        <f>IF(H:H=0,"",IF(ISERROR(VLOOKUP(H:H,produtos_escape2!$A$2:$B$2794,2,FALSE)),"Código não cadastrado",(VLOOKUP(H:H,produtos_escape2!$A$2:$B$2794,2,FALSE))))</f>
        <v/>
      </c>
      <c r="M1718" s="593" t="str">
        <f>IF(H:H=0,"",IF(ISERROR(VLOOKUP(H:H,produtos_escape2!$A$2:$D$2794,2,FALSE)),"Código não cadastrado",(VLOOKUP(H:H,produtos_escape2!$A$2:$D$2794,4,FALSE))))</f>
        <v/>
      </c>
      <c r="N1718" s="486"/>
      <c r="O1718" s="176"/>
      <c r="P1718" s="486"/>
      <c r="Q1718" s="247"/>
      <c r="R1718" s="246">
        <f t="shared" si="69"/>
        <v>0</v>
      </c>
      <c r="S1718" s="177"/>
      <c r="T1718" s="182"/>
      <c r="U1718" s="177"/>
      <c r="V1718" s="177"/>
      <c r="W1718" s="177"/>
      <c r="X1718" s="176"/>
      <c r="Y1718" s="177"/>
      <c r="Z1718" s="415"/>
      <c r="AA1718" s="488"/>
      <c r="AB1718" s="594"/>
      <c r="AC1718" s="595"/>
      <c r="AD1718" s="596" t="str">
        <f>IF(AND(AC1718&lt;&gt;"",S1718&lt;&gt;""),NETWORKDAYS(AC1718,S1718,#REF!),"")</f>
        <v/>
      </c>
      <c r="AE1718" s="596" t="str">
        <f ca="1">IF(AND(AD1718="",AC1718=""),"",IF(OR(AD1718&lt;&gt;"",O1718="*CANCELADO"),"",NETWORKDAYS(AC1718,TODAY(),#REF!)))</f>
        <v/>
      </c>
      <c r="AF1718" s="619"/>
    </row>
    <row r="1719" spans="1:32" ht="14.25" customHeight="1">
      <c r="A1719" s="176"/>
      <c r="B1719" s="176"/>
      <c r="C1719" s="177"/>
      <c r="D1719" s="176"/>
      <c r="E1719" s="176"/>
      <c r="F1719" s="259"/>
      <c r="G1719" s="176"/>
      <c r="H1719" s="178"/>
      <c r="I1719" s="592">
        <f t="shared" si="70"/>
        <v>0</v>
      </c>
      <c r="J1719" s="178"/>
      <c r="K1719" s="178"/>
      <c r="L1719" s="275" t="str">
        <f>IF(H:H=0,"",IF(ISERROR(VLOOKUP(H:H,produtos_escape2!$A$2:$B$2794,2,FALSE)),"Código não cadastrado",(VLOOKUP(H:H,produtos_escape2!$A$2:$B$2794,2,FALSE))))</f>
        <v/>
      </c>
      <c r="M1719" s="593" t="str">
        <f>IF(H:H=0,"",IF(ISERROR(VLOOKUP(H:H,produtos_escape2!$A$2:$D$2794,2,FALSE)),"Código não cadastrado",(VLOOKUP(H:H,produtos_escape2!$A$2:$D$2794,4,FALSE))))</f>
        <v/>
      </c>
      <c r="N1719" s="486"/>
      <c r="O1719" s="176"/>
      <c r="P1719" s="486"/>
      <c r="Q1719" s="247"/>
      <c r="R1719" s="246">
        <f t="shared" si="69"/>
        <v>0</v>
      </c>
      <c r="S1719" s="177"/>
      <c r="T1719" s="182"/>
      <c r="U1719" s="177"/>
      <c r="V1719" s="177"/>
      <c r="W1719" s="177"/>
      <c r="X1719" s="176"/>
      <c r="Y1719" s="177"/>
      <c r="Z1719" s="415"/>
      <c r="AA1719" s="488"/>
      <c r="AB1719" s="594"/>
      <c r="AC1719" s="595"/>
      <c r="AD1719" s="596" t="str">
        <f>IF(AND(AC1719&lt;&gt;"",S1719&lt;&gt;""),NETWORKDAYS(AC1719,S1719,#REF!),"")</f>
        <v/>
      </c>
      <c r="AE1719" s="596" t="str">
        <f ca="1">IF(AND(AD1719="",AC1719=""),"",IF(OR(AD1719&lt;&gt;"",O1719="*CANCELADO"),"",NETWORKDAYS(AC1719,TODAY(),#REF!)))</f>
        <v/>
      </c>
      <c r="AF1719" s="619"/>
    </row>
    <row r="1720" spans="1:32" ht="14.25" customHeight="1">
      <c r="A1720" s="176"/>
      <c r="B1720" s="176"/>
      <c r="C1720" s="177"/>
      <c r="D1720" s="176"/>
      <c r="E1720" s="176"/>
      <c r="F1720" s="259"/>
      <c r="G1720" s="176"/>
      <c r="H1720" s="178"/>
      <c r="I1720" s="592">
        <f t="shared" si="70"/>
        <v>0</v>
      </c>
      <c r="J1720" s="178"/>
      <c r="K1720" s="178"/>
      <c r="L1720" s="275" t="str">
        <f>IF(H:H=0,"",IF(ISERROR(VLOOKUP(H:H,produtos_escape2!$A$2:$B$2794,2,FALSE)),"Código não cadastrado",(VLOOKUP(H:H,produtos_escape2!$A$2:$B$2794,2,FALSE))))</f>
        <v/>
      </c>
      <c r="M1720" s="593" t="str">
        <f>IF(H:H=0,"",IF(ISERROR(VLOOKUP(H:H,produtos_escape2!$A$2:$D$2794,2,FALSE)),"Código não cadastrado",(VLOOKUP(H:H,produtos_escape2!$A$2:$D$2794,4,FALSE))))</f>
        <v/>
      </c>
      <c r="N1720" s="486"/>
      <c r="O1720" s="176"/>
      <c r="P1720" s="486"/>
      <c r="Q1720" s="247"/>
      <c r="R1720" s="246">
        <f t="shared" si="69"/>
        <v>0</v>
      </c>
      <c r="S1720" s="177"/>
      <c r="T1720" s="182"/>
      <c r="U1720" s="177"/>
      <c r="V1720" s="177"/>
      <c r="W1720" s="177"/>
      <c r="X1720" s="176"/>
      <c r="Y1720" s="177"/>
      <c r="Z1720" s="415"/>
      <c r="AA1720" s="488"/>
      <c r="AB1720" s="594"/>
      <c r="AC1720" s="595"/>
      <c r="AD1720" s="596" t="str">
        <f>IF(AND(AC1720&lt;&gt;"",S1720&lt;&gt;""),NETWORKDAYS(AC1720,S1720,#REF!),"")</f>
        <v/>
      </c>
      <c r="AE1720" s="596" t="str">
        <f ca="1">IF(AND(AD1720="",AC1720=""),"",IF(OR(AD1720&lt;&gt;"",O1720="*CANCELADO"),"",NETWORKDAYS(AC1720,TODAY(),#REF!)))</f>
        <v/>
      </c>
      <c r="AF1720" s="619"/>
    </row>
    <row r="1721" spans="1:32" ht="14.25" customHeight="1">
      <c r="A1721" s="176"/>
      <c r="B1721" s="176"/>
      <c r="C1721" s="177"/>
      <c r="D1721" s="176"/>
      <c r="E1721" s="176"/>
      <c r="F1721" s="259"/>
      <c r="G1721" s="176"/>
      <c r="H1721" s="178"/>
      <c r="I1721" s="592">
        <f t="shared" si="70"/>
        <v>0</v>
      </c>
      <c r="J1721" s="178"/>
      <c r="K1721" s="178"/>
      <c r="L1721" s="275" t="str">
        <f>IF(H:H=0,"",IF(ISERROR(VLOOKUP(H:H,produtos_escape2!$A$2:$B$2794,2,FALSE)),"Código não cadastrado",(VLOOKUP(H:H,produtos_escape2!$A$2:$B$2794,2,FALSE))))</f>
        <v/>
      </c>
      <c r="M1721" s="593" t="str">
        <f>IF(H:H=0,"",IF(ISERROR(VLOOKUP(H:H,produtos_escape2!$A$2:$D$2794,2,FALSE)),"Código não cadastrado",(VLOOKUP(H:H,produtos_escape2!$A$2:$D$2794,4,FALSE))))</f>
        <v/>
      </c>
      <c r="N1721" s="486"/>
      <c r="O1721" s="176"/>
      <c r="P1721" s="486"/>
      <c r="Q1721" s="247"/>
      <c r="R1721" s="246">
        <f t="shared" si="69"/>
        <v>0</v>
      </c>
      <c r="S1721" s="177"/>
      <c r="T1721" s="182"/>
      <c r="U1721" s="177"/>
      <c r="V1721" s="177"/>
      <c r="W1721" s="177"/>
      <c r="X1721" s="176"/>
      <c r="Y1721" s="177"/>
      <c r="Z1721" s="415"/>
      <c r="AA1721" s="488"/>
      <c r="AB1721" s="594"/>
      <c r="AC1721" s="595"/>
      <c r="AD1721" s="596" t="str">
        <f>IF(AND(AC1721&lt;&gt;"",S1721&lt;&gt;""),NETWORKDAYS(AC1721,S1721,#REF!),"")</f>
        <v/>
      </c>
      <c r="AE1721" s="596" t="str">
        <f ca="1">IF(AND(AD1721="",AC1721=""),"",IF(OR(AD1721&lt;&gt;"",O1721="*CANCELADO"),"",NETWORKDAYS(AC1721,TODAY(),#REF!)))</f>
        <v/>
      </c>
      <c r="AF1721" s="619"/>
    </row>
    <row r="1722" spans="1:32" ht="14.25" customHeight="1">
      <c r="A1722" s="176"/>
      <c r="B1722" s="176"/>
      <c r="C1722" s="177"/>
      <c r="D1722" s="176"/>
      <c r="E1722" s="176"/>
      <c r="F1722" s="259"/>
      <c r="G1722" s="176"/>
      <c r="H1722" s="178"/>
      <c r="I1722" s="592">
        <f t="shared" si="70"/>
        <v>0</v>
      </c>
      <c r="J1722" s="178"/>
      <c r="K1722" s="178"/>
      <c r="L1722" s="275" t="str">
        <f>IF(H:H=0,"",IF(ISERROR(VLOOKUP(H:H,produtos_escape2!$A$2:$B$2794,2,FALSE)),"Código não cadastrado",(VLOOKUP(H:H,produtos_escape2!$A$2:$B$2794,2,FALSE))))</f>
        <v/>
      </c>
      <c r="M1722" s="593" t="str">
        <f>IF(H:H=0,"",IF(ISERROR(VLOOKUP(H:H,produtos_escape2!$A$2:$D$2794,2,FALSE)),"Código não cadastrado",(VLOOKUP(H:H,produtos_escape2!$A$2:$D$2794,4,FALSE))))</f>
        <v/>
      </c>
      <c r="N1722" s="486"/>
      <c r="O1722" s="176"/>
      <c r="P1722" s="486"/>
      <c r="Q1722" s="247"/>
      <c r="R1722" s="246">
        <f t="shared" si="69"/>
        <v>0</v>
      </c>
      <c r="S1722" s="177"/>
      <c r="T1722" s="182"/>
      <c r="U1722" s="177"/>
      <c r="V1722" s="177"/>
      <c r="W1722" s="177"/>
      <c r="X1722" s="176"/>
      <c r="Y1722" s="177"/>
      <c r="Z1722" s="415"/>
      <c r="AA1722" s="488"/>
      <c r="AB1722" s="594"/>
      <c r="AC1722" s="595"/>
      <c r="AD1722" s="596" t="str">
        <f>IF(AND(AC1722&lt;&gt;"",S1722&lt;&gt;""),NETWORKDAYS(AC1722,S1722,#REF!),"")</f>
        <v/>
      </c>
      <c r="AE1722" s="596" t="str">
        <f ca="1">IF(AND(AD1722="",AC1722=""),"",IF(OR(AD1722&lt;&gt;"",O1722="*CANCELADO"),"",NETWORKDAYS(AC1722,TODAY(),#REF!)))</f>
        <v/>
      </c>
      <c r="AF1722" s="619"/>
    </row>
    <row r="1723" spans="1:32" ht="14.25" customHeight="1">
      <c r="A1723" s="176"/>
      <c r="B1723" s="176"/>
      <c r="C1723" s="177"/>
      <c r="D1723" s="176"/>
      <c r="E1723" s="176"/>
      <c r="F1723" s="259"/>
      <c r="G1723" s="176"/>
      <c r="H1723" s="178"/>
      <c r="I1723" s="592">
        <f t="shared" si="70"/>
        <v>0</v>
      </c>
      <c r="J1723" s="178"/>
      <c r="K1723" s="178"/>
      <c r="L1723" s="275" t="str">
        <f>IF(H:H=0,"",IF(ISERROR(VLOOKUP(H:H,produtos_escape2!$A$2:$B$2794,2,FALSE)),"Código não cadastrado",(VLOOKUP(H:H,produtos_escape2!$A$2:$B$2794,2,FALSE))))</f>
        <v/>
      </c>
      <c r="M1723" s="593" t="str">
        <f>IF(H:H=0,"",IF(ISERROR(VLOOKUP(H:H,produtos_escape2!$A$2:$D$2794,2,FALSE)),"Código não cadastrado",(VLOOKUP(H:H,produtos_escape2!$A$2:$D$2794,4,FALSE))))</f>
        <v/>
      </c>
      <c r="N1723" s="486"/>
      <c r="O1723" s="176"/>
      <c r="P1723" s="486"/>
      <c r="Q1723" s="247"/>
      <c r="R1723" s="246">
        <f t="shared" si="69"/>
        <v>0</v>
      </c>
      <c r="S1723" s="177"/>
      <c r="T1723" s="182"/>
      <c r="U1723" s="177"/>
      <c r="V1723" s="177"/>
      <c r="W1723" s="177"/>
      <c r="X1723" s="176"/>
      <c r="Y1723" s="177"/>
      <c r="Z1723" s="415"/>
      <c r="AA1723" s="488"/>
      <c r="AB1723" s="594"/>
      <c r="AC1723" s="595"/>
      <c r="AD1723" s="596" t="str">
        <f>IF(AND(AC1723&lt;&gt;"",S1723&lt;&gt;""),NETWORKDAYS(AC1723,S1723,#REF!),"")</f>
        <v/>
      </c>
      <c r="AE1723" s="596" t="str">
        <f ca="1">IF(AND(AD1723="",AC1723=""),"",IF(OR(AD1723&lt;&gt;"",O1723="*CANCELADO"),"",NETWORKDAYS(AC1723,TODAY(),#REF!)))</f>
        <v/>
      </c>
      <c r="AF1723" s="619"/>
    </row>
    <row r="1724" spans="1:32" ht="14.25" customHeight="1">
      <c r="A1724" s="176"/>
      <c r="B1724" s="176"/>
      <c r="C1724" s="177"/>
      <c r="D1724" s="176"/>
      <c r="E1724" s="176"/>
      <c r="F1724" s="259"/>
      <c r="G1724" s="176"/>
      <c r="H1724" s="178"/>
      <c r="I1724" s="592">
        <f t="shared" si="70"/>
        <v>0</v>
      </c>
      <c r="J1724" s="178"/>
      <c r="K1724" s="178"/>
      <c r="L1724" s="275" t="str">
        <f>IF(H:H=0,"",IF(ISERROR(VLOOKUP(H:H,produtos_escape2!$A$2:$B$2794,2,FALSE)),"Código não cadastrado",(VLOOKUP(H:H,produtos_escape2!$A$2:$B$2794,2,FALSE))))</f>
        <v/>
      </c>
      <c r="M1724" s="593" t="str">
        <f>IF(H:H=0,"",IF(ISERROR(VLOOKUP(H:H,produtos_escape2!$A$2:$D$2794,2,FALSE)),"Código não cadastrado",(VLOOKUP(H:H,produtos_escape2!$A$2:$D$2794,4,FALSE))))</f>
        <v/>
      </c>
      <c r="N1724" s="486"/>
      <c r="O1724" s="176"/>
      <c r="P1724" s="486"/>
      <c r="Q1724" s="247"/>
      <c r="R1724" s="246">
        <f t="shared" si="69"/>
        <v>0</v>
      </c>
      <c r="S1724" s="177"/>
      <c r="T1724" s="182"/>
      <c r="U1724" s="177"/>
      <c r="V1724" s="177"/>
      <c r="W1724" s="177"/>
      <c r="X1724" s="176"/>
      <c r="Y1724" s="177"/>
      <c r="Z1724" s="415"/>
      <c r="AA1724" s="488"/>
      <c r="AB1724" s="594"/>
      <c r="AC1724" s="595"/>
      <c r="AD1724" s="596" t="str">
        <f>IF(AND(AC1724&lt;&gt;"",S1724&lt;&gt;""),NETWORKDAYS(AC1724,S1724,#REF!),"")</f>
        <v/>
      </c>
      <c r="AE1724" s="596" t="str">
        <f ca="1">IF(AND(AD1724="",AC1724=""),"",IF(OR(AD1724&lt;&gt;"",O1724="*CANCELADO"),"",NETWORKDAYS(AC1724,TODAY(),#REF!)))</f>
        <v/>
      </c>
      <c r="AF1724" s="619"/>
    </row>
    <row r="1725" spans="1:32" ht="14.25" customHeight="1">
      <c r="A1725" s="176"/>
      <c r="B1725" s="176"/>
      <c r="C1725" s="177"/>
      <c r="D1725" s="176"/>
      <c r="E1725" s="176"/>
      <c r="F1725" s="259"/>
      <c r="G1725" s="176"/>
      <c r="H1725" s="178"/>
      <c r="I1725" s="592">
        <f t="shared" si="70"/>
        <v>0</v>
      </c>
      <c r="J1725" s="178"/>
      <c r="K1725" s="178"/>
      <c r="L1725" s="275" t="str">
        <f>IF(H:H=0,"",IF(ISERROR(VLOOKUP(H:H,produtos_escape2!$A$2:$B$2794,2,FALSE)),"Código não cadastrado",(VLOOKUP(H:H,produtos_escape2!$A$2:$B$2794,2,FALSE))))</f>
        <v/>
      </c>
      <c r="M1725" s="593" t="str">
        <f>IF(H:H=0,"",IF(ISERROR(VLOOKUP(H:H,produtos_escape2!$A$2:$D$2794,2,FALSE)),"Código não cadastrado",(VLOOKUP(H:H,produtos_escape2!$A$2:$D$2794,4,FALSE))))</f>
        <v/>
      </c>
      <c r="N1725" s="486"/>
      <c r="O1725" s="176"/>
      <c r="P1725" s="486"/>
      <c r="Q1725" s="247"/>
      <c r="R1725" s="246">
        <f t="shared" si="69"/>
        <v>0</v>
      </c>
      <c r="S1725" s="177"/>
      <c r="T1725" s="182"/>
      <c r="U1725" s="177"/>
      <c r="V1725" s="177"/>
      <c r="W1725" s="177"/>
      <c r="X1725" s="176"/>
      <c r="Y1725" s="177"/>
      <c r="Z1725" s="415"/>
      <c r="AA1725" s="488"/>
      <c r="AB1725" s="594"/>
      <c r="AC1725" s="595"/>
      <c r="AD1725" s="596" t="str">
        <f>IF(AND(AC1725&lt;&gt;"",S1725&lt;&gt;""),NETWORKDAYS(AC1725,S1725,#REF!),"")</f>
        <v/>
      </c>
      <c r="AE1725" s="596" t="str">
        <f ca="1">IF(AND(AD1725="",AC1725=""),"",IF(OR(AD1725&lt;&gt;"",O1725="*CANCELADO"),"",NETWORKDAYS(AC1725,TODAY(),#REF!)))</f>
        <v/>
      </c>
      <c r="AF1725" s="619"/>
    </row>
    <row r="1726" spans="1:32" ht="14.25" customHeight="1">
      <c r="A1726" s="176"/>
      <c r="B1726" s="176"/>
      <c r="C1726" s="177"/>
      <c r="D1726" s="176"/>
      <c r="E1726" s="176"/>
      <c r="F1726" s="259"/>
      <c r="G1726" s="176"/>
      <c r="H1726" s="178"/>
      <c r="I1726" s="592">
        <f t="shared" si="70"/>
        <v>0</v>
      </c>
      <c r="J1726" s="178"/>
      <c r="K1726" s="178"/>
      <c r="L1726" s="275" t="str">
        <f>IF(H:H=0,"",IF(ISERROR(VLOOKUP(H:H,produtos_escape2!$A$2:$B$2794,2,FALSE)),"Código não cadastrado",(VLOOKUP(H:H,produtos_escape2!$A$2:$B$2794,2,FALSE))))</f>
        <v/>
      </c>
      <c r="M1726" s="593" t="str">
        <f>IF(H:H=0,"",IF(ISERROR(VLOOKUP(H:H,produtos_escape2!$A$2:$D$2794,2,FALSE)),"Código não cadastrado",(VLOOKUP(H:H,produtos_escape2!$A$2:$D$2794,4,FALSE))))</f>
        <v/>
      </c>
      <c r="N1726" s="486"/>
      <c r="O1726" s="176"/>
      <c r="P1726" s="486"/>
      <c r="Q1726" s="247"/>
      <c r="R1726" s="246">
        <f t="shared" si="69"/>
        <v>0</v>
      </c>
      <c r="S1726" s="177"/>
      <c r="T1726" s="182"/>
      <c r="U1726" s="177"/>
      <c r="V1726" s="177"/>
      <c r="W1726" s="177"/>
      <c r="X1726" s="176"/>
      <c r="Y1726" s="177"/>
      <c r="Z1726" s="415"/>
      <c r="AA1726" s="488"/>
      <c r="AB1726" s="594"/>
      <c r="AC1726" s="595"/>
      <c r="AD1726" s="596" t="str">
        <f>IF(AND(AC1726&lt;&gt;"",S1726&lt;&gt;""),NETWORKDAYS(AC1726,S1726,#REF!),"")</f>
        <v/>
      </c>
      <c r="AE1726" s="596" t="str">
        <f ca="1">IF(AND(AD1726="",AC1726=""),"",IF(OR(AD1726&lt;&gt;"",O1726="*CANCELADO"),"",NETWORKDAYS(AC1726,TODAY(),#REF!)))</f>
        <v/>
      </c>
      <c r="AF1726" s="619"/>
    </row>
    <row r="1727" spans="1:32" ht="14.25" customHeight="1">
      <c r="A1727" s="176"/>
      <c r="B1727" s="176"/>
      <c r="C1727" s="177"/>
      <c r="D1727" s="176"/>
      <c r="E1727" s="176"/>
      <c r="F1727" s="259"/>
      <c r="G1727" s="176"/>
      <c r="H1727" s="178"/>
      <c r="I1727" s="592">
        <f t="shared" si="70"/>
        <v>0</v>
      </c>
      <c r="J1727" s="178"/>
      <c r="K1727" s="178"/>
      <c r="L1727" s="275" t="str">
        <f>IF(H:H=0,"",IF(ISERROR(VLOOKUP(H:H,produtos_escape2!$A$2:$B$2794,2,FALSE)),"Código não cadastrado",(VLOOKUP(H:H,produtos_escape2!$A$2:$B$2794,2,FALSE))))</f>
        <v/>
      </c>
      <c r="M1727" s="593" t="str">
        <f>IF(H:H=0,"",IF(ISERROR(VLOOKUP(H:H,produtos_escape2!$A$2:$D$2794,2,FALSE)),"Código não cadastrado",(VLOOKUP(H:H,produtos_escape2!$A$2:$D$2794,4,FALSE))))</f>
        <v/>
      </c>
      <c r="N1727" s="486"/>
      <c r="O1727" s="176"/>
      <c r="P1727" s="486"/>
      <c r="Q1727" s="247"/>
      <c r="R1727" s="246">
        <f t="shared" si="69"/>
        <v>0</v>
      </c>
      <c r="S1727" s="177"/>
      <c r="T1727" s="182"/>
      <c r="U1727" s="177"/>
      <c r="V1727" s="177"/>
      <c r="W1727" s="177"/>
      <c r="X1727" s="176"/>
      <c r="Y1727" s="177"/>
      <c r="Z1727" s="415"/>
      <c r="AA1727" s="488"/>
      <c r="AB1727" s="594"/>
      <c r="AC1727" s="595"/>
      <c r="AD1727" s="596" t="str">
        <f>IF(AND(AC1727&lt;&gt;"",S1727&lt;&gt;""),NETWORKDAYS(AC1727,S1727,#REF!),"")</f>
        <v/>
      </c>
      <c r="AE1727" s="596" t="str">
        <f ca="1">IF(AND(AD1727="",AC1727=""),"",IF(OR(AD1727&lt;&gt;"",O1727="*CANCELADO"),"",NETWORKDAYS(AC1727,TODAY(),#REF!)))</f>
        <v/>
      </c>
      <c r="AF1727" s="619"/>
    </row>
    <row r="1728" spans="1:32" ht="14.25" customHeight="1">
      <c r="A1728" s="176"/>
      <c r="B1728" s="176"/>
      <c r="C1728" s="177"/>
      <c r="D1728" s="176"/>
      <c r="E1728" s="176"/>
      <c r="F1728" s="259"/>
      <c r="G1728" s="176"/>
      <c r="H1728" s="178"/>
      <c r="I1728" s="592">
        <f t="shared" si="70"/>
        <v>0</v>
      </c>
      <c r="J1728" s="178"/>
      <c r="K1728" s="178"/>
      <c r="L1728" s="275" t="str">
        <f>IF(H:H=0,"",IF(ISERROR(VLOOKUP(H:H,produtos_escape2!$A$2:$B$2794,2,FALSE)),"Código não cadastrado",(VLOOKUP(H:H,produtos_escape2!$A$2:$B$2794,2,FALSE))))</f>
        <v/>
      </c>
      <c r="M1728" s="593" t="str">
        <f>IF(H:H=0,"",IF(ISERROR(VLOOKUP(H:H,produtos_escape2!$A$2:$D$2794,2,FALSE)),"Código não cadastrado",(VLOOKUP(H:H,produtos_escape2!$A$2:$D$2794,4,FALSE))))</f>
        <v/>
      </c>
      <c r="N1728" s="486"/>
      <c r="O1728" s="176"/>
      <c r="P1728" s="486"/>
      <c r="Q1728" s="247"/>
      <c r="R1728" s="246">
        <f t="shared" si="69"/>
        <v>0</v>
      </c>
      <c r="S1728" s="177"/>
      <c r="T1728" s="182"/>
      <c r="U1728" s="177"/>
      <c r="V1728" s="177"/>
      <c r="W1728" s="177"/>
      <c r="X1728" s="176"/>
      <c r="Y1728" s="177"/>
      <c r="Z1728" s="415"/>
      <c r="AA1728" s="488"/>
      <c r="AB1728" s="594"/>
      <c r="AC1728" s="595"/>
      <c r="AD1728" s="596" t="str">
        <f>IF(AND(AC1728&lt;&gt;"",S1728&lt;&gt;""),NETWORKDAYS(AC1728,S1728,#REF!),"")</f>
        <v/>
      </c>
      <c r="AE1728" s="596" t="str">
        <f ca="1">IF(AND(AD1728="",AC1728=""),"",IF(OR(AD1728&lt;&gt;"",O1728="*CANCELADO"),"",NETWORKDAYS(AC1728,TODAY(),#REF!)))</f>
        <v/>
      </c>
      <c r="AF1728" s="619"/>
    </row>
    <row r="1729" spans="1:32" ht="14.25" customHeight="1">
      <c r="A1729" s="176"/>
      <c r="B1729" s="176"/>
      <c r="C1729" s="177"/>
      <c r="D1729" s="176"/>
      <c r="E1729" s="176"/>
      <c r="F1729" s="259"/>
      <c r="G1729" s="176"/>
      <c r="H1729" s="178"/>
      <c r="I1729" s="592">
        <f t="shared" si="70"/>
        <v>0</v>
      </c>
      <c r="J1729" s="178"/>
      <c r="K1729" s="178"/>
      <c r="L1729" s="275" t="str">
        <f>IF(H:H=0,"",IF(ISERROR(VLOOKUP(H:H,produtos_escape2!$A$2:$B$2794,2,FALSE)),"Código não cadastrado",(VLOOKUP(H:H,produtos_escape2!$A$2:$B$2794,2,FALSE))))</f>
        <v/>
      </c>
      <c r="M1729" s="593" t="str">
        <f>IF(H:H=0,"",IF(ISERROR(VLOOKUP(H:H,produtos_escape2!$A$2:$D$2794,2,FALSE)),"Código não cadastrado",(VLOOKUP(H:H,produtos_escape2!$A$2:$D$2794,4,FALSE))))</f>
        <v/>
      </c>
      <c r="N1729" s="486"/>
      <c r="O1729" s="176"/>
      <c r="P1729" s="486"/>
      <c r="Q1729" s="247"/>
      <c r="R1729" s="246">
        <f t="shared" si="69"/>
        <v>0</v>
      </c>
      <c r="S1729" s="177"/>
      <c r="T1729" s="182"/>
      <c r="U1729" s="177"/>
      <c r="V1729" s="177"/>
      <c r="W1729" s="177"/>
      <c r="X1729" s="176"/>
      <c r="Y1729" s="177"/>
      <c r="Z1729" s="415"/>
      <c r="AA1729" s="488"/>
      <c r="AB1729" s="594"/>
      <c r="AC1729" s="595"/>
      <c r="AD1729" s="596" t="str">
        <f>IF(AND(AC1729&lt;&gt;"",S1729&lt;&gt;""),NETWORKDAYS(AC1729,S1729,#REF!),"")</f>
        <v/>
      </c>
      <c r="AE1729" s="596" t="str">
        <f ca="1">IF(AND(AD1729="",AC1729=""),"",IF(OR(AD1729&lt;&gt;"",O1729="*CANCELADO"),"",NETWORKDAYS(AC1729,TODAY(),#REF!)))</f>
        <v/>
      </c>
      <c r="AF1729" s="619"/>
    </row>
    <row r="1730" spans="1:32" ht="14.25" customHeight="1">
      <c r="A1730" s="176"/>
      <c r="B1730" s="176"/>
      <c r="C1730" s="177"/>
      <c r="D1730" s="176"/>
      <c r="E1730" s="176"/>
      <c r="F1730" s="259"/>
      <c r="G1730" s="176"/>
      <c r="H1730" s="178"/>
      <c r="I1730" s="592">
        <f t="shared" si="70"/>
        <v>0</v>
      </c>
      <c r="J1730" s="178"/>
      <c r="K1730" s="178"/>
      <c r="L1730" s="275" t="str">
        <f>IF(H:H=0,"",IF(ISERROR(VLOOKUP(H:H,produtos_escape2!$A$2:$B$2794,2,FALSE)),"Código não cadastrado",(VLOOKUP(H:H,produtos_escape2!$A$2:$B$2794,2,FALSE))))</f>
        <v/>
      </c>
      <c r="M1730" s="593" t="str">
        <f>IF(H:H=0,"",IF(ISERROR(VLOOKUP(H:H,produtos_escape2!$A$2:$D$2794,2,FALSE)),"Código não cadastrado",(VLOOKUP(H:H,produtos_escape2!$A$2:$D$2794,4,FALSE))))</f>
        <v/>
      </c>
      <c r="N1730" s="486"/>
      <c r="O1730" s="176"/>
      <c r="P1730" s="486"/>
      <c r="Q1730" s="247"/>
      <c r="R1730" s="246">
        <f t="shared" si="69"/>
        <v>0</v>
      </c>
      <c r="S1730" s="177"/>
      <c r="T1730" s="182"/>
      <c r="U1730" s="177"/>
      <c r="V1730" s="177"/>
      <c r="W1730" s="177"/>
      <c r="X1730" s="176"/>
      <c r="Y1730" s="177"/>
      <c r="Z1730" s="415"/>
      <c r="AA1730" s="488"/>
      <c r="AB1730" s="594"/>
      <c r="AC1730" s="595"/>
      <c r="AD1730" s="596" t="str">
        <f>IF(AND(AC1730&lt;&gt;"",S1730&lt;&gt;""),NETWORKDAYS(AC1730,S1730,#REF!),"")</f>
        <v/>
      </c>
      <c r="AE1730" s="596" t="str">
        <f ca="1">IF(AND(AD1730="",AC1730=""),"",IF(OR(AD1730&lt;&gt;"",O1730="*CANCELADO"),"",NETWORKDAYS(AC1730,TODAY(),#REF!)))</f>
        <v/>
      </c>
      <c r="AF1730" s="619"/>
    </row>
    <row r="1731" spans="1:32" ht="14.25" customHeight="1">
      <c r="A1731" s="176"/>
      <c r="B1731" s="176"/>
      <c r="C1731" s="177"/>
      <c r="D1731" s="176"/>
      <c r="E1731" s="176"/>
      <c r="F1731" s="259"/>
      <c r="G1731" s="176"/>
      <c r="H1731" s="178"/>
      <c r="I1731" s="592">
        <f t="shared" si="70"/>
        <v>0</v>
      </c>
      <c r="J1731" s="178"/>
      <c r="K1731" s="178"/>
      <c r="L1731" s="275" t="str">
        <f>IF(H:H=0,"",IF(ISERROR(VLOOKUP(H:H,produtos_escape2!$A$2:$B$2794,2,FALSE)),"Código não cadastrado",(VLOOKUP(H:H,produtos_escape2!$A$2:$B$2794,2,FALSE))))</f>
        <v/>
      </c>
      <c r="M1731" s="593" t="str">
        <f>IF(H:H=0,"",IF(ISERROR(VLOOKUP(H:H,produtos_escape2!$A$2:$D$2794,2,FALSE)),"Código não cadastrado",(VLOOKUP(H:H,produtos_escape2!$A$2:$D$2794,4,FALSE))))</f>
        <v/>
      </c>
      <c r="N1731" s="486"/>
      <c r="O1731" s="176"/>
      <c r="P1731" s="486"/>
      <c r="Q1731" s="247"/>
      <c r="R1731" s="246">
        <f t="shared" si="69"/>
        <v>0</v>
      </c>
      <c r="S1731" s="177"/>
      <c r="T1731" s="182"/>
      <c r="U1731" s="177"/>
      <c r="V1731" s="177"/>
      <c r="W1731" s="177"/>
      <c r="X1731" s="176"/>
      <c r="Y1731" s="177"/>
      <c r="Z1731" s="415"/>
      <c r="AA1731" s="488"/>
      <c r="AB1731" s="594"/>
      <c r="AC1731" s="595"/>
      <c r="AD1731" s="596" t="str">
        <f>IF(AND(AC1731&lt;&gt;"",S1731&lt;&gt;""),NETWORKDAYS(AC1731,S1731,#REF!),"")</f>
        <v/>
      </c>
      <c r="AE1731" s="596" t="str">
        <f ca="1">IF(AND(AD1731="",AC1731=""),"",IF(OR(AD1731&lt;&gt;"",O1731="*CANCELADO"),"",NETWORKDAYS(AC1731,TODAY(),#REF!)))</f>
        <v/>
      </c>
      <c r="AF1731" s="619"/>
    </row>
    <row r="1732" spans="1:32" ht="14.25" customHeight="1">
      <c r="A1732" s="176"/>
      <c r="B1732" s="176"/>
      <c r="C1732" s="177"/>
      <c r="D1732" s="176"/>
      <c r="E1732" s="176"/>
      <c r="F1732" s="259"/>
      <c r="G1732" s="176"/>
      <c r="H1732" s="178"/>
      <c r="I1732" s="592">
        <f t="shared" si="70"/>
        <v>0</v>
      </c>
      <c r="J1732" s="178"/>
      <c r="K1732" s="178"/>
      <c r="L1732" s="275" t="str">
        <f>IF(H:H=0,"",IF(ISERROR(VLOOKUP(H:H,produtos_escape2!$A$2:$B$2794,2,FALSE)),"Código não cadastrado",(VLOOKUP(H:H,produtos_escape2!$A$2:$B$2794,2,FALSE))))</f>
        <v/>
      </c>
      <c r="M1732" s="593" t="str">
        <f>IF(H:H=0,"",IF(ISERROR(VLOOKUP(H:H,produtos_escape2!$A$2:$D$2794,2,FALSE)),"Código não cadastrado",(VLOOKUP(H:H,produtos_escape2!$A$2:$D$2794,4,FALSE))))</f>
        <v/>
      </c>
      <c r="N1732" s="486"/>
      <c r="O1732" s="176"/>
      <c r="P1732" s="486"/>
      <c r="Q1732" s="247"/>
      <c r="R1732" s="246">
        <f t="shared" si="69"/>
        <v>0</v>
      </c>
      <c r="S1732" s="177"/>
      <c r="T1732" s="182"/>
      <c r="U1732" s="177"/>
      <c r="V1732" s="177"/>
      <c r="W1732" s="177"/>
      <c r="X1732" s="176"/>
      <c r="Y1732" s="177"/>
      <c r="Z1732" s="415"/>
      <c r="AA1732" s="488"/>
      <c r="AB1732" s="594"/>
      <c r="AC1732" s="595"/>
      <c r="AD1732" s="596" t="str">
        <f>IF(AND(AC1732&lt;&gt;"",S1732&lt;&gt;""),NETWORKDAYS(AC1732,S1732,#REF!),"")</f>
        <v/>
      </c>
      <c r="AE1732" s="596" t="str">
        <f ca="1">IF(AND(AD1732="",AC1732=""),"",IF(OR(AD1732&lt;&gt;"",O1732="*CANCELADO"),"",NETWORKDAYS(AC1732,TODAY(),#REF!)))</f>
        <v/>
      </c>
      <c r="AF1732" s="619"/>
    </row>
    <row r="1733" spans="1:32" ht="14.25" customHeight="1">
      <c r="A1733" s="176"/>
      <c r="B1733" s="176"/>
      <c r="C1733" s="177"/>
      <c r="D1733" s="176"/>
      <c r="E1733" s="176"/>
      <c r="F1733" s="259"/>
      <c r="G1733" s="176"/>
      <c r="H1733" s="178"/>
      <c r="I1733" s="592">
        <f t="shared" si="70"/>
        <v>0</v>
      </c>
      <c r="J1733" s="178"/>
      <c r="K1733" s="178"/>
      <c r="L1733" s="275" t="str">
        <f>IF(H:H=0,"",IF(ISERROR(VLOOKUP(H:H,produtos_escape2!$A$2:$B$2794,2,FALSE)),"Código não cadastrado",(VLOOKUP(H:H,produtos_escape2!$A$2:$B$2794,2,FALSE))))</f>
        <v/>
      </c>
      <c r="M1733" s="593" t="str">
        <f>IF(H:H=0,"",IF(ISERROR(VLOOKUP(H:H,produtos_escape2!$A$2:$D$2794,2,FALSE)),"Código não cadastrado",(VLOOKUP(H:H,produtos_escape2!$A$2:$D$2794,4,FALSE))))</f>
        <v/>
      </c>
      <c r="N1733" s="486"/>
      <c r="O1733" s="176"/>
      <c r="P1733" s="486"/>
      <c r="Q1733" s="247"/>
      <c r="R1733" s="246">
        <f t="shared" si="69"/>
        <v>0</v>
      </c>
      <c r="S1733" s="177"/>
      <c r="T1733" s="182"/>
      <c r="U1733" s="177"/>
      <c r="V1733" s="177"/>
      <c r="W1733" s="177"/>
      <c r="X1733" s="176"/>
      <c r="Y1733" s="177"/>
      <c r="Z1733" s="415"/>
      <c r="AA1733" s="488"/>
      <c r="AB1733" s="594"/>
      <c r="AC1733" s="595"/>
      <c r="AD1733" s="596" t="str">
        <f>IF(AND(AC1733&lt;&gt;"",S1733&lt;&gt;""),NETWORKDAYS(AC1733,S1733,#REF!),"")</f>
        <v/>
      </c>
      <c r="AE1733" s="596" t="str">
        <f ca="1">IF(AND(AD1733="",AC1733=""),"",IF(OR(AD1733&lt;&gt;"",O1733="*CANCELADO"),"",NETWORKDAYS(AC1733,TODAY(),#REF!)))</f>
        <v/>
      </c>
      <c r="AF1733" s="619"/>
    </row>
    <row r="1734" spans="1:32" ht="14.25" customHeight="1">
      <c r="A1734" s="176"/>
      <c r="B1734" s="176"/>
      <c r="C1734" s="177"/>
      <c r="D1734" s="176"/>
      <c r="E1734" s="176"/>
      <c r="F1734" s="259"/>
      <c r="G1734" s="176"/>
      <c r="H1734" s="178"/>
      <c r="I1734" s="592">
        <f t="shared" si="70"/>
        <v>0</v>
      </c>
      <c r="J1734" s="178"/>
      <c r="K1734" s="178"/>
      <c r="L1734" s="275" t="str">
        <f>IF(H:H=0,"",IF(ISERROR(VLOOKUP(H:H,produtos_escape2!$A$2:$B$2794,2,FALSE)),"Código não cadastrado",(VLOOKUP(H:H,produtos_escape2!$A$2:$B$2794,2,FALSE))))</f>
        <v/>
      </c>
      <c r="M1734" s="593" t="str">
        <f>IF(H:H=0,"",IF(ISERROR(VLOOKUP(H:H,produtos_escape2!$A$2:$D$2794,2,FALSE)),"Código não cadastrado",(VLOOKUP(H:H,produtos_escape2!$A$2:$D$2794,4,FALSE))))</f>
        <v/>
      </c>
      <c r="N1734" s="486"/>
      <c r="O1734" s="176"/>
      <c r="P1734" s="486"/>
      <c r="Q1734" s="247"/>
      <c r="R1734" s="246">
        <f t="shared" si="69"/>
        <v>0</v>
      </c>
      <c r="S1734" s="177"/>
      <c r="T1734" s="182"/>
      <c r="U1734" s="177"/>
      <c r="V1734" s="177"/>
      <c r="W1734" s="177"/>
      <c r="X1734" s="176"/>
      <c r="Y1734" s="177"/>
      <c r="Z1734" s="415"/>
      <c r="AA1734" s="488"/>
      <c r="AB1734" s="594"/>
      <c r="AC1734" s="595"/>
      <c r="AD1734" s="596" t="str">
        <f>IF(AND(AC1734&lt;&gt;"",S1734&lt;&gt;""),NETWORKDAYS(AC1734,S1734,#REF!),"")</f>
        <v/>
      </c>
      <c r="AE1734" s="596" t="str">
        <f ca="1">IF(AND(AD1734="",AC1734=""),"",IF(OR(AD1734&lt;&gt;"",O1734="*CANCELADO"),"",NETWORKDAYS(AC1734,TODAY(),#REF!)))</f>
        <v/>
      </c>
      <c r="AF1734" s="619"/>
    </row>
    <row r="1735" spans="1:32" ht="14.25" customHeight="1">
      <c r="A1735" s="176"/>
      <c r="B1735" s="176"/>
      <c r="C1735" s="177"/>
      <c r="D1735" s="176"/>
      <c r="E1735" s="176"/>
      <c r="F1735" s="259"/>
      <c r="G1735" s="176"/>
      <c r="H1735" s="178"/>
      <c r="I1735" s="592">
        <f t="shared" si="70"/>
        <v>0</v>
      </c>
      <c r="J1735" s="178"/>
      <c r="K1735" s="178"/>
      <c r="L1735" s="275" t="str">
        <f>IF(H:H=0,"",IF(ISERROR(VLOOKUP(H:H,produtos_escape2!$A$2:$B$2794,2,FALSE)),"Código não cadastrado",(VLOOKUP(H:H,produtos_escape2!$A$2:$B$2794,2,FALSE))))</f>
        <v/>
      </c>
      <c r="M1735" s="593" t="str">
        <f>IF(H:H=0,"",IF(ISERROR(VLOOKUP(H:H,produtos_escape2!$A$2:$D$2794,2,FALSE)),"Código não cadastrado",(VLOOKUP(H:H,produtos_escape2!$A$2:$D$2794,4,FALSE))))</f>
        <v/>
      </c>
      <c r="N1735" s="486"/>
      <c r="O1735" s="176"/>
      <c r="P1735" s="486"/>
      <c r="Q1735" s="247"/>
      <c r="R1735" s="246">
        <f t="shared" si="69"/>
        <v>0</v>
      </c>
      <c r="S1735" s="177"/>
      <c r="T1735" s="182"/>
      <c r="U1735" s="177"/>
      <c r="V1735" s="177"/>
      <c r="W1735" s="177"/>
      <c r="X1735" s="176"/>
      <c r="Y1735" s="177"/>
      <c r="Z1735" s="415"/>
      <c r="AA1735" s="488"/>
      <c r="AB1735" s="594"/>
      <c r="AC1735" s="595"/>
      <c r="AD1735" s="596" t="str">
        <f>IF(AND(AC1735&lt;&gt;"",S1735&lt;&gt;""),NETWORKDAYS(AC1735,S1735,#REF!),"")</f>
        <v/>
      </c>
      <c r="AE1735" s="596" t="str">
        <f ca="1">IF(AND(AD1735="",AC1735=""),"",IF(OR(AD1735&lt;&gt;"",O1735="*CANCELADO"),"",NETWORKDAYS(AC1735,TODAY(),#REF!)))</f>
        <v/>
      </c>
      <c r="AF1735" s="619"/>
    </row>
    <row r="1736" spans="1:32" ht="14.25" customHeight="1">
      <c r="A1736" s="176"/>
      <c r="B1736" s="176"/>
      <c r="C1736" s="177"/>
      <c r="D1736" s="176"/>
      <c r="E1736" s="176"/>
      <c r="F1736" s="259"/>
      <c r="G1736" s="176"/>
      <c r="H1736" s="178"/>
      <c r="I1736" s="592">
        <f t="shared" si="70"/>
        <v>0</v>
      </c>
      <c r="J1736" s="178"/>
      <c r="K1736" s="178"/>
      <c r="L1736" s="275" t="str">
        <f>IF(H:H=0,"",IF(ISERROR(VLOOKUP(H:H,produtos_escape2!$A$2:$B$2794,2,FALSE)),"Código não cadastrado",(VLOOKUP(H:H,produtos_escape2!$A$2:$B$2794,2,FALSE))))</f>
        <v/>
      </c>
      <c r="M1736" s="593" t="str">
        <f>IF(H:H=0,"",IF(ISERROR(VLOOKUP(H:H,produtos_escape2!$A$2:$D$2794,2,FALSE)),"Código não cadastrado",(VLOOKUP(H:H,produtos_escape2!$A$2:$D$2794,4,FALSE))))</f>
        <v/>
      </c>
      <c r="N1736" s="486"/>
      <c r="O1736" s="176"/>
      <c r="P1736" s="486"/>
      <c r="Q1736" s="247"/>
      <c r="R1736" s="246">
        <f t="shared" si="69"/>
        <v>0</v>
      </c>
      <c r="S1736" s="177"/>
      <c r="T1736" s="182"/>
      <c r="U1736" s="177"/>
      <c r="V1736" s="177"/>
      <c r="W1736" s="177"/>
      <c r="X1736" s="176"/>
      <c r="Y1736" s="177"/>
      <c r="Z1736" s="415"/>
      <c r="AA1736" s="488"/>
      <c r="AB1736" s="594"/>
      <c r="AC1736" s="595"/>
      <c r="AD1736" s="596" t="str">
        <f>IF(AND(AC1736&lt;&gt;"",S1736&lt;&gt;""),NETWORKDAYS(AC1736,S1736,#REF!),"")</f>
        <v/>
      </c>
      <c r="AE1736" s="596" t="str">
        <f ca="1">IF(AND(AD1736="",AC1736=""),"",IF(OR(AD1736&lt;&gt;"",O1736="*CANCELADO"),"",NETWORKDAYS(AC1736,TODAY(),#REF!)))</f>
        <v/>
      </c>
      <c r="AF1736" s="619"/>
    </row>
    <row r="1737" spans="1:32" ht="14.25" customHeight="1">
      <c r="A1737" s="176"/>
      <c r="B1737" s="176"/>
      <c r="C1737" s="177"/>
      <c r="D1737" s="176"/>
      <c r="E1737" s="176"/>
      <c r="F1737" s="259"/>
      <c r="G1737" s="176"/>
      <c r="H1737" s="178"/>
      <c r="I1737" s="592">
        <f t="shared" si="70"/>
        <v>0</v>
      </c>
      <c r="J1737" s="178"/>
      <c r="K1737" s="178"/>
      <c r="L1737" s="275" t="str">
        <f>IF(H:H=0,"",IF(ISERROR(VLOOKUP(H:H,produtos_escape2!$A$2:$B$2794,2,FALSE)),"Código não cadastrado",(VLOOKUP(H:H,produtos_escape2!$A$2:$B$2794,2,FALSE))))</f>
        <v/>
      </c>
      <c r="M1737" s="593" t="str">
        <f>IF(H:H=0,"",IF(ISERROR(VLOOKUP(H:H,produtos_escape2!$A$2:$D$2794,2,FALSE)),"Código não cadastrado",(VLOOKUP(H:H,produtos_escape2!$A$2:$D$2794,4,FALSE))))</f>
        <v/>
      </c>
      <c r="N1737" s="486"/>
      <c r="O1737" s="176"/>
      <c r="P1737" s="486"/>
      <c r="Q1737" s="247"/>
      <c r="R1737" s="246">
        <f t="shared" si="69"/>
        <v>0</v>
      </c>
      <c r="S1737" s="177"/>
      <c r="T1737" s="182"/>
      <c r="U1737" s="177"/>
      <c r="V1737" s="177"/>
      <c r="W1737" s="177"/>
      <c r="X1737" s="176"/>
      <c r="Y1737" s="177"/>
      <c r="Z1737" s="415"/>
      <c r="AA1737" s="488"/>
      <c r="AB1737" s="594"/>
      <c r="AC1737" s="595"/>
      <c r="AD1737" s="596" t="str">
        <f>IF(AND(AC1737&lt;&gt;"",S1737&lt;&gt;""),NETWORKDAYS(AC1737,S1737,#REF!),"")</f>
        <v/>
      </c>
      <c r="AE1737" s="596" t="str">
        <f ca="1">IF(AND(AD1737="",AC1737=""),"",IF(OR(AD1737&lt;&gt;"",O1737="*CANCELADO"),"",NETWORKDAYS(AC1737,TODAY(),#REF!)))</f>
        <v/>
      </c>
      <c r="AF1737" s="619"/>
    </row>
    <row r="1738" spans="1:32" ht="14.25" customHeight="1">
      <c r="A1738" s="176"/>
      <c r="B1738" s="176"/>
      <c r="C1738" s="177"/>
      <c r="D1738" s="176"/>
      <c r="E1738" s="176"/>
      <c r="F1738" s="259"/>
      <c r="G1738" s="176"/>
      <c r="H1738" s="178"/>
      <c r="I1738" s="592">
        <f t="shared" si="70"/>
        <v>0</v>
      </c>
      <c r="J1738" s="178"/>
      <c r="K1738" s="178"/>
      <c r="L1738" s="275" t="str">
        <f>IF(H:H=0,"",IF(ISERROR(VLOOKUP(H:H,produtos_escape2!$A$2:$B$2794,2,FALSE)),"Código não cadastrado",(VLOOKUP(H:H,produtos_escape2!$A$2:$B$2794,2,FALSE))))</f>
        <v/>
      </c>
      <c r="M1738" s="593" t="str">
        <f>IF(H:H=0,"",IF(ISERROR(VLOOKUP(H:H,produtos_escape2!$A$2:$D$2794,2,FALSE)),"Código não cadastrado",(VLOOKUP(H:H,produtos_escape2!$A$2:$D$2794,4,FALSE))))</f>
        <v/>
      </c>
      <c r="N1738" s="486"/>
      <c r="O1738" s="176"/>
      <c r="P1738" s="486"/>
      <c r="Q1738" s="247"/>
      <c r="R1738" s="246">
        <f t="shared" si="69"/>
        <v>0</v>
      </c>
      <c r="S1738" s="177"/>
      <c r="T1738" s="182"/>
      <c r="U1738" s="177"/>
      <c r="V1738" s="177"/>
      <c r="W1738" s="177"/>
      <c r="X1738" s="176"/>
      <c r="Y1738" s="177"/>
      <c r="Z1738" s="415"/>
      <c r="AA1738" s="488"/>
      <c r="AB1738" s="594"/>
      <c r="AC1738" s="595"/>
      <c r="AD1738" s="596" t="str">
        <f>IF(AND(AC1738&lt;&gt;"",S1738&lt;&gt;""),NETWORKDAYS(AC1738,S1738,#REF!),"")</f>
        <v/>
      </c>
      <c r="AE1738" s="596" t="str">
        <f ca="1">IF(AND(AD1738="",AC1738=""),"",IF(OR(AD1738&lt;&gt;"",O1738="*CANCELADO"),"",NETWORKDAYS(AC1738,TODAY(),#REF!)))</f>
        <v/>
      </c>
      <c r="AF1738" s="619"/>
    </row>
    <row r="1739" spans="1:32" ht="14.25" customHeight="1">
      <c r="A1739" s="176"/>
      <c r="B1739" s="176"/>
      <c r="C1739" s="177"/>
      <c r="D1739" s="176"/>
      <c r="E1739" s="176"/>
      <c r="F1739" s="259"/>
      <c r="G1739" s="176"/>
      <c r="H1739" s="178"/>
      <c r="I1739" s="592">
        <f t="shared" si="70"/>
        <v>0</v>
      </c>
      <c r="J1739" s="178"/>
      <c r="K1739" s="178"/>
      <c r="L1739" s="275" t="str">
        <f>IF(H:H=0,"",IF(ISERROR(VLOOKUP(H:H,produtos_escape2!$A$2:$B$2794,2,FALSE)),"Código não cadastrado",(VLOOKUP(H:H,produtos_escape2!$A$2:$B$2794,2,FALSE))))</f>
        <v/>
      </c>
      <c r="M1739" s="593" t="str">
        <f>IF(H:H=0,"",IF(ISERROR(VLOOKUP(H:H,produtos_escape2!$A$2:$D$2794,2,FALSE)),"Código não cadastrado",(VLOOKUP(H:H,produtos_escape2!$A$2:$D$2794,4,FALSE))))</f>
        <v/>
      </c>
      <c r="N1739" s="486"/>
      <c r="O1739" s="176"/>
      <c r="P1739" s="486"/>
      <c r="Q1739" s="247"/>
      <c r="R1739" s="246">
        <f t="shared" si="69"/>
        <v>0</v>
      </c>
      <c r="S1739" s="177"/>
      <c r="T1739" s="182"/>
      <c r="U1739" s="177"/>
      <c r="V1739" s="177"/>
      <c r="W1739" s="177"/>
      <c r="X1739" s="176"/>
      <c r="Y1739" s="177"/>
      <c r="Z1739" s="415"/>
      <c r="AA1739" s="488"/>
      <c r="AB1739" s="594"/>
      <c r="AC1739" s="595"/>
      <c r="AD1739" s="596" t="str">
        <f>IF(AND(AC1739&lt;&gt;"",S1739&lt;&gt;""),NETWORKDAYS(AC1739,S1739,#REF!),"")</f>
        <v/>
      </c>
      <c r="AE1739" s="596" t="str">
        <f ca="1">IF(AND(AD1739="",AC1739=""),"",IF(OR(AD1739&lt;&gt;"",O1739="*CANCELADO"),"",NETWORKDAYS(AC1739,TODAY(),#REF!)))</f>
        <v/>
      </c>
      <c r="AF1739" s="619"/>
    </row>
    <row r="1740" spans="1:32" ht="14.25" customHeight="1">
      <c r="A1740" s="176"/>
      <c r="B1740" s="176"/>
      <c r="C1740" s="177"/>
      <c r="D1740" s="176"/>
      <c r="E1740" s="176"/>
      <c r="F1740" s="259"/>
      <c r="G1740" s="176"/>
      <c r="H1740" s="178"/>
      <c r="I1740" s="592">
        <f t="shared" si="70"/>
        <v>0</v>
      </c>
      <c r="J1740" s="178"/>
      <c r="K1740" s="178"/>
      <c r="L1740" s="275" t="str">
        <f>IF(H:H=0,"",IF(ISERROR(VLOOKUP(H:H,produtos_escape2!$A$2:$B$2794,2,FALSE)),"Código não cadastrado",(VLOOKUP(H:H,produtos_escape2!$A$2:$B$2794,2,FALSE))))</f>
        <v/>
      </c>
      <c r="M1740" s="593" t="str">
        <f>IF(H:H=0,"",IF(ISERROR(VLOOKUP(H:H,produtos_escape2!$A$2:$D$2794,2,FALSE)),"Código não cadastrado",(VLOOKUP(H:H,produtos_escape2!$A$2:$D$2794,4,FALSE))))</f>
        <v/>
      </c>
      <c r="N1740" s="486"/>
      <c r="O1740" s="176"/>
      <c r="P1740" s="486"/>
      <c r="Q1740" s="247"/>
      <c r="R1740" s="246">
        <f t="shared" si="69"/>
        <v>0</v>
      </c>
      <c r="S1740" s="177"/>
      <c r="T1740" s="182"/>
      <c r="U1740" s="177"/>
      <c r="V1740" s="177"/>
      <c r="W1740" s="177"/>
      <c r="X1740" s="176"/>
      <c r="Y1740" s="177"/>
      <c r="Z1740" s="415"/>
      <c r="AA1740" s="488"/>
      <c r="AB1740" s="594"/>
      <c r="AC1740" s="595"/>
      <c r="AD1740" s="596" t="str">
        <f>IF(AND(AC1740&lt;&gt;"",S1740&lt;&gt;""),NETWORKDAYS(AC1740,S1740,#REF!),"")</f>
        <v/>
      </c>
      <c r="AE1740" s="596" t="str">
        <f ca="1">IF(AND(AD1740="",AC1740=""),"",IF(OR(AD1740&lt;&gt;"",O1740="*CANCELADO"),"",NETWORKDAYS(AC1740,TODAY(),#REF!)))</f>
        <v/>
      </c>
      <c r="AF1740" s="619"/>
    </row>
    <row r="1741" spans="1:32" ht="14.25" customHeight="1">
      <c r="A1741" s="176"/>
      <c r="B1741" s="176"/>
      <c r="C1741" s="177"/>
      <c r="D1741" s="176"/>
      <c r="E1741" s="176"/>
      <c r="F1741" s="259"/>
      <c r="G1741" s="176"/>
      <c r="H1741" s="178"/>
      <c r="I1741" s="592">
        <f t="shared" si="70"/>
        <v>0</v>
      </c>
      <c r="J1741" s="178"/>
      <c r="K1741" s="178"/>
      <c r="L1741" s="275" t="str">
        <f>IF(H:H=0,"",IF(ISERROR(VLOOKUP(H:H,produtos_escape2!$A$2:$B$2794,2,FALSE)),"Código não cadastrado",(VLOOKUP(H:H,produtos_escape2!$A$2:$B$2794,2,FALSE))))</f>
        <v/>
      </c>
      <c r="M1741" s="593" t="str">
        <f>IF(H:H=0,"",IF(ISERROR(VLOOKUP(H:H,produtos_escape2!$A$2:$D$2794,2,FALSE)),"Código não cadastrado",(VLOOKUP(H:H,produtos_escape2!$A$2:$D$2794,4,FALSE))))</f>
        <v/>
      </c>
      <c r="N1741" s="486"/>
      <c r="O1741" s="176"/>
      <c r="P1741" s="486"/>
      <c r="Q1741" s="247"/>
      <c r="R1741" s="246">
        <f t="shared" si="69"/>
        <v>0</v>
      </c>
      <c r="S1741" s="177"/>
      <c r="T1741" s="182"/>
      <c r="U1741" s="177"/>
      <c r="V1741" s="177"/>
      <c r="W1741" s="177"/>
      <c r="X1741" s="176"/>
      <c r="Y1741" s="177"/>
      <c r="Z1741" s="415"/>
      <c r="AA1741" s="488"/>
      <c r="AB1741" s="594"/>
      <c r="AC1741" s="595"/>
      <c r="AD1741" s="596" t="str">
        <f>IF(AND(AC1741&lt;&gt;"",S1741&lt;&gt;""),NETWORKDAYS(AC1741,S1741,#REF!),"")</f>
        <v/>
      </c>
      <c r="AE1741" s="596" t="str">
        <f ca="1">IF(AND(AD1741="",AC1741=""),"",IF(OR(AD1741&lt;&gt;"",O1741="*CANCELADO"),"",NETWORKDAYS(AC1741,TODAY(),#REF!)))</f>
        <v/>
      </c>
      <c r="AF1741" s="619"/>
    </row>
    <row r="1742" spans="1:32" ht="14.25" customHeight="1">
      <c r="A1742" s="176"/>
      <c r="B1742" s="176"/>
      <c r="C1742" s="177"/>
      <c r="D1742" s="176"/>
      <c r="E1742" s="176"/>
      <c r="F1742" s="259"/>
      <c r="G1742" s="176"/>
      <c r="H1742" s="178"/>
      <c r="I1742" s="592">
        <f t="shared" si="70"/>
        <v>0</v>
      </c>
      <c r="J1742" s="178"/>
      <c r="K1742" s="178"/>
      <c r="L1742" s="275" t="str">
        <f>IF(H:H=0,"",IF(ISERROR(VLOOKUP(H:H,produtos_escape2!$A$2:$B$2794,2,FALSE)),"Código não cadastrado",(VLOOKUP(H:H,produtos_escape2!$A$2:$B$2794,2,FALSE))))</f>
        <v/>
      </c>
      <c r="M1742" s="593" t="str">
        <f>IF(H:H=0,"",IF(ISERROR(VLOOKUP(H:H,produtos_escape2!$A$2:$D$2794,2,FALSE)),"Código não cadastrado",(VLOOKUP(H:H,produtos_escape2!$A$2:$D$2794,4,FALSE))))</f>
        <v/>
      </c>
      <c r="N1742" s="486"/>
      <c r="O1742" s="176"/>
      <c r="P1742" s="486"/>
      <c r="Q1742" s="247"/>
      <c r="R1742" s="246">
        <f t="shared" si="69"/>
        <v>0</v>
      </c>
      <c r="S1742" s="177"/>
      <c r="T1742" s="182"/>
      <c r="U1742" s="177"/>
      <c r="V1742" s="177"/>
      <c r="W1742" s="177"/>
      <c r="X1742" s="176"/>
      <c r="Y1742" s="177"/>
      <c r="Z1742" s="415"/>
      <c r="AA1742" s="488"/>
      <c r="AB1742" s="594"/>
      <c r="AC1742" s="595"/>
      <c r="AD1742" s="596" t="str">
        <f>IF(AND(AC1742&lt;&gt;"",S1742&lt;&gt;""),NETWORKDAYS(AC1742,S1742,#REF!),"")</f>
        <v/>
      </c>
      <c r="AE1742" s="596" t="str">
        <f ca="1">IF(AND(AD1742="",AC1742=""),"",IF(OR(AD1742&lt;&gt;"",O1742="*CANCELADO"),"",NETWORKDAYS(AC1742,TODAY(),#REF!)))</f>
        <v/>
      </c>
      <c r="AF1742" s="619"/>
    </row>
    <row r="1743" spans="1:32" ht="14.25" customHeight="1">
      <c r="A1743" s="176"/>
      <c r="B1743" s="176"/>
      <c r="C1743" s="177"/>
      <c r="D1743" s="176"/>
      <c r="E1743" s="176"/>
      <c r="F1743" s="259"/>
      <c r="G1743" s="176"/>
      <c r="H1743" s="178"/>
      <c r="I1743" s="592">
        <f t="shared" si="70"/>
        <v>0</v>
      </c>
      <c r="J1743" s="178"/>
      <c r="K1743" s="178"/>
      <c r="L1743" s="275" t="str">
        <f>IF(H:H=0,"",IF(ISERROR(VLOOKUP(H:H,produtos_escape2!$A$2:$B$2794,2,FALSE)),"Código não cadastrado",(VLOOKUP(H:H,produtos_escape2!$A$2:$B$2794,2,FALSE))))</f>
        <v/>
      </c>
      <c r="M1743" s="593" t="str">
        <f>IF(H:H=0,"",IF(ISERROR(VLOOKUP(H:H,produtos_escape2!$A$2:$D$2794,2,FALSE)),"Código não cadastrado",(VLOOKUP(H:H,produtos_escape2!$A$2:$D$2794,4,FALSE))))</f>
        <v/>
      </c>
      <c r="N1743" s="486"/>
      <c r="O1743" s="176"/>
      <c r="P1743" s="486"/>
      <c r="Q1743" s="247"/>
      <c r="R1743" s="246">
        <f t="shared" si="69"/>
        <v>0</v>
      </c>
      <c r="S1743" s="177"/>
      <c r="T1743" s="182"/>
      <c r="U1743" s="177"/>
      <c r="V1743" s="177"/>
      <c r="W1743" s="177"/>
      <c r="X1743" s="176"/>
      <c r="Y1743" s="177"/>
      <c r="Z1743" s="415"/>
      <c r="AA1743" s="488"/>
      <c r="AB1743" s="594"/>
      <c r="AC1743" s="595"/>
      <c r="AD1743" s="596" t="str">
        <f>IF(AND(AC1743&lt;&gt;"",S1743&lt;&gt;""),NETWORKDAYS(AC1743,S1743,#REF!),"")</f>
        <v/>
      </c>
      <c r="AE1743" s="596" t="str">
        <f ca="1">IF(AND(AD1743="",AC1743=""),"",IF(OR(AD1743&lt;&gt;"",O1743="*CANCELADO"),"",NETWORKDAYS(AC1743,TODAY(),#REF!)))</f>
        <v/>
      </c>
      <c r="AF1743" s="619"/>
    </row>
    <row r="1744" spans="1:32" ht="14.25" customHeight="1">
      <c r="A1744" s="176"/>
      <c r="B1744" s="176"/>
      <c r="C1744" s="177"/>
      <c r="D1744" s="176"/>
      <c r="E1744" s="176"/>
      <c r="F1744" s="259"/>
      <c r="G1744" s="176"/>
      <c r="H1744" s="178"/>
      <c r="I1744" s="592">
        <f t="shared" si="70"/>
        <v>0</v>
      </c>
      <c r="J1744" s="178"/>
      <c r="K1744" s="178"/>
      <c r="L1744" s="275" t="str">
        <f>IF(H:H=0,"",IF(ISERROR(VLOOKUP(H:H,produtos_escape2!$A$2:$B$2794,2,FALSE)),"Código não cadastrado",(VLOOKUP(H:H,produtos_escape2!$A$2:$B$2794,2,FALSE))))</f>
        <v/>
      </c>
      <c r="M1744" s="593" t="str">
        <f>IF(H:H=0,"",IF(ISERROR(VLOOKUP(H:H,produtos_escape2!$A$2:$D$2794,2,FALSE)),"Código não cadastrado",(VLOOKUP(H:H,produtos_escape2!$A$2:$D$2794,4,FALSE))))</f>
        <v/>
      </c>
      <c r="N1744" s="486"/>
      <c r="O1744" s="176"/>
      <c r="P1744" s="486"/>
      <c r="Q1744" s="247"/>
      <c r="R1744" s="246">
        <f t="shared" si="69"/>
        <v>0</v>
      </c>
      <c r="S1744" s="177"/>
      <c r="T1744" s="182"/>
      <c r="U1744" s="177"/>
      <c r="V1744" s="177"/>
      <c r="W1744" s="177"/>
      <c r="X1744" s="176"/>
      <c r="Y1744" s="177"/>
      <c r="Z1744" s="415"/>
      <c r="AA1744" s="488"/>
      <c r="AB1744" s="594"/>
      <c r="AC1744" s="595"/>
      <c r="AD1744" s="596" t="str">
        <f>IF(AND(AC1744&lt;&gt;"",S1744&lt;&gt;""),NETWORKDAYS(AC1744,S1744,#REF!),"")</f>
        <v/>
      </c>
      <c r="AE1744" s="596" t="str">
        <f ca="1">IF(AND(AD1744="",AC1744=""),"",IF(OR(AD1744&lt;&gt;"",O1744="*CANCELADO"),"",NETWORKDAYS(AC1744,TODAY(),#REF!)))</f>
        <v/>
      </c>
      <c r="AF1744" s="619"/>
    </row>
    <row r="1745" spans="1:32" ht="14.25" customHeight="1">
      <c r="A1745" s="176"/>
      <c r="B1745" s="176"/>
      <c r="C1745" s="177"/>
      <c r="D1745" s="176"/>
      <c r="E1745" s="176"/>
      <c r="F1745" s="259"/>
      <c r="G1745" s="176"/>
      <c r="H1745" s="178"/>
      <c r="I1745" s="592">
        <f t="shared" si="70"/>
        <v>0</v>
      </c>
      <c r="J1745" s="178"/>
      <c r="K1745" s="178"/>
      <c r="L1745" s="275" t="str">
        <f>IF(H:H=0,"",IF(ISERROR(VLOOKUP(H:H,produtos_escape2!$A$2:$B$2794,2,FALSE)),"Código não cadastrado",(VLOOKUP(H:H,produtos_escape2!$A$2:$B$2794,2,FALSE))))</f>
        <v/>
      </c>
      <c r="M1745" s="593" t="str">
        <f>IF(H:H=0,"",IF(ISERROR(VLOOKUP(H:H,produtos_escape2!$A$2:$D$2794,2,FALSE)),"Código não cadastrado",(VLOOKUP(H:H,produtos_escape2!$A$2:$D$2794,4,FALSE))))</f>
        <v/>
      </c>
      <c r="N1745" s="486"/>
      <c r="O1745" s="176"/>
      <c r="P1745" s="486"/>
      <c r="Q1745" s="247"/>
      <c r="R1745" s="246">
        <f t="shared" si="69"/>
        <v>0</v>
      </c>
      <c r="S1745" s="177"/>
      <c r="T1745" s="182"/>
      <c r="U1745" s="177"/>
      <c r="V1745" s="177"/>
      <c r="W1745" s="177"/>
      <c r="X1745" s="176"/>
      <c r="Y1745" s="177"/>
      <c r="Z1745" s="415"/>
      <c r="AA1745" s="488"/>
      <c r="AB1745" s="594"/>
      <c r="AC1745" s="595"/>
      <c r="AD1745" s="596" t="str">
        <f>IF(AND(AC1745&lt;&gt;"",S1745&lt;&gt;""),NETWORKDAYS(AC1745,S1745,#REF!),"")</f>
        <v/>
      </c>
      <c r="AE1745" s="596" t="str">
        <f ca="1">IF(AND(AD1745="",AC1745=""),"",IF(OR(AD1745&lt;&gt;"",O1745="*CANCELADO"),"",NETWORKDAYS(AC1745,TODAY(),#REF!)))</f>
        <v/>
      </c>
      <c r="AF1745" s="619"/>
    </row>
    <row r="1746" spans="1:32" ht="14.25" customHeight="1">
      <c r="A1746" s="176"/>
      <c r="B1746" s="176"/>
      <c r="C1746" s="177"/>
      <c r="D1746" s="176"/>
      <c r="E1746" s="176"/>
      <c r="F1746" s="259"/>
      <c r="G1746" s="176"/>
      <c r="H1746" s="178"/>
      <c r="I1746" s="592">
        <f t="shared" si="70"/>
        <v>0</v>
      </c>
      <c r="J1746" s="178"/>
      <c r="K1746" s="178"/>
      <c r="L1746" s="275" t="str">
        <f>IF(H:H=0,"",IF(ISERROR(VLOOKUP(H:H,produtos_escape2!$A$2:$B$2794,2,FALSE)),"Código não cadastrado",(VLOOKUP(H:H,produtos_escape2!$A$2:$B$2794,2,FALSE))))</f>
        <v/>
      </c>
      <c r="M1746" s="593" t="str">
        <f>IF(H:H=0,"",IF(ISERROR(VLOOKUP(H:H,produtos_escape2!$A$2:$D$2794,2,FALSE)),"Código não cadastrado",(VLOOKUP(H:H,produtos_escape2!$A$2:$D$2794,4,FALSE))))</f>
        <v/>
      </c>
      <c r="N1746" s="486"/>
      <c r="O1746" s="176"/>
      <c r="P1746" s="486"/>
      <c r="Q1746" s="247"/>
      <c r="R1746" s="246">
        <f t="shared" si="69"/>
        <v>0</v>
      </c>
      <c r="S1746" s="177"/>
      <c r="T1746" s="182"/>
      <c r="U1746" s="177"/>
      <c r="V1746" s="177"/>
      <c r="W1746" s="177"/>
      <c r="X1746" s="176"/>
      <c r="Y1746" s="177"/>
      <c r="Z1746" s="415"/>
      <c r="AA1746" s="488"/>
      <c r="AB1746" s="594"/>
      <c r="AC1746" s="595"/>
      <c r="AD1746" s="596" t="str">
        <f>IF(AND(AC1746&lt;&gt;"",S1746&lt;&gt;""),NETWORKDAYS(AC1746,S1746,#REF!),"")</f>
        <v/>
      </c>
      <c r="AE1746" s="596" t="str">
        <f ca="1">IF(AND(AD1746="",AC1746=""),"",IF(OR(AD1746&lt;&gt;"",O1746="*CANCELADO"),"",NETWORKDAYS(AC1746,TODAY(),#REF!)))</f>
        <v/>
      </c>
      <c r="AF1746" s="619"/>
    </row>
    <row r="1747" spans="1:32" ht="14.25" customHeight="1">
      <c r="A1747" s="176"/>
      <c r="B1747" s="176"/>
      <c r="C1747" s="177"/>
      <c r="D1747" s="176"/>
      <c r="E1747" s="176"/>
      <c r="F1747" s="259"/>
      <c r="G1747" s="176"/>
      <c r="H1747" s="178"/>
      <c r="I1747" s="592">
        <f t="shared" si="70"/>
        <v>0</v>
      </c>
      <c r="J1747" s="178"/>
      <c r="K1747" s="178"/>
      <c r="L1747" s="275" t="str">
        <f>IF(H:H=0,"",IF(ISERROR(VLOOKUP(H:H,produtos_escape2!$A$2:$B$2794,2,FALSE)),"Código não cadastrado",(VLOOKUP(H:H,produtos_escape2!$A$2:$B$2794,2,FALSE))))</f>
        <v/>
      </c>
      <c r="M1747" s="593" t="str">
        <f>IF(H:H=0,"",IF(ISERROR(VLOOKUP(H:H,produtos_escape2!$A$2:$D$2794,2,FALSE)),"Código não cadastrado",(VLOOKUP(H:H,produtos_escape2!$A$2:$D$2794,4,FALSE))))</f>
        <v/>
      </c>
      <c r="N1747" s="486"/>
      <c r="O1747" s="176"/>
      <c r="P1747" s="486"/>
      <c r="Q1747" s="247"/>
      <c r="R1747" s="246">
        <f t="shared" si="69"/>
        <v>0</v>
      </c>
      <c r="S1747" s="177"/>
      <c r="T1747" s="182"/>
      <c r="U1747" s="177"/>
      <c r="V1747" s="177"/>
      <c r="W1747" s="177"/>
      <c r="X1747" s="176"/>
      <c r="Y1747" s="177"/>
      <c r="Z1747" s="415"/>
      <c r="AA1747" s="488"/>
      <c r="AB1747" s="594"/>
      <c r="AC1747" s="595"/>
      <c r="AD1747" s="596" t="str">
        <f>IF(AND(AC1747&lt;&gt;"",S1747&lt;&gt;""),NETWORKDAYS(AC1747,S1747,#REF!),"")</f>
        <v/>
      </c>
      <c r="AE1747" s="596" t="str">
        <f ca="1">IF(AND(AD1747="",AC1747=""),"",IF(OR(AD1747&lt;&gt;"",O1747="*CANCELADO"),"",NETWORKDAYS(AC1747,TODAY(),#REF!)))</f>
        <v/>
      </c>
      <c r="AF1747" s="619"/>
    </row>
    <row r="1748" spans="1:32" ht="14.25" customHeight="1">
      <c r="A1748" s="176"/>
      <c r="B1748" s="176"/>
      <c r="C1748" s="177"/>
      <c r="D1748" s="176"/>
      <c r="E1748" s="176"/>
      <c r="F1748" s="259"/>
      <c r="G1748" s="176"/>
      <c r="H1748" s="178"/>
      <c r="I1748" s="592">
        <f t="shared" si="70"/>
        <v>0</v>
      </c>
      <c r="J1748" s="178"/>
      <c r="K1748" s="178"/>
      <c r="L1748" s="275" t="str">
        <f>IF(H:H=0,"",IF(ISERROR(VLOOKUP(H:H,produtos_escape2!$A$2:$B$2794,2,FALSE)),"Código não cadastrado",(VLOOKUP(H:H,produtos_escape2!$A$2:$B$2794,2,FALSE))))</f>
        <v/>
      </c>
      <c r="M1748" s="593" t="str">
        <f>IF(H:H=0,"",IF(ISERROR(VLOOKUP(H:H,produtos_escape2!$A$2:$D$2794,2,FALSE)),"Código não cadastrado",(VLOOKUP(H:H,produtos_escape2!$A$2:$D$2794,4,FALSE))))</f>
        <v/>
      </c>
      <c r="N1748" s="486"/>
      <c r="O1748" s="176"/>
      <c r="P1748" s="486"/>
      <c r="Q1748" s="247"/>
      <c r="R1748" s="246">
        <f t="shared" si="69"/>
        <v>0</v>
      </c>
      <c r="S1748" s="177"/>
      <c r="T1748" s="182"/>
      <c r="U1748" s="177"/>
      <c r="V1748" s="177"/>
      <c r="W1748" s="177"/>
      <c r="X1748" s="176"/>
      <c r="Y1748" s="177"/>
      <c r="Z1748" s="415"/>
      <c r="AA1748" s="488"/>
      <c r="AB1748" s="594"/>
      <c r="AC1748" s="595"/>
      <c r="AD1748" s="596" t="str">
        <f>IF(AND(AC1748&lt;&gt;"",S1748&lt;&gt;""),NETWORKDAYS(AC1748,S1748,#REF!),"")</f>
        <v/>
      </c>
      <c r="AE1748" s="596" t="str">
        <f ca="1">IF(AND(AD1748="",AC1748=""),"",IF(OR(AD1748&lt;&gt;"",O1748="*CANCELADO"),"",NETWORKDAYS(AC1748,TODAY(),#REF!)))</f>
        <v/>
      </c>
      <c r="AF1748" s="619"/>
    </row>
    <row r="1749" spans="1:32" ht="14.25" customHeight="1">
      <c r="A1749" s="176"/>
      <c r="B1749" s="176"/>
      <c r="C1749" s="177"/>
      <c r="D1749" s="176"/>
      <c r="E1749" s="176"/>
      <c r="F1749" s="259"/>
      <c r="G1749" s="176"/>
      <c r="H1749" s="178"/>
      <c r="I1749" s="592">
        <f t="shared" si="70"/>
        <v>0</v>
      </c>
      <c r="J1749" s="178"/>
      <c r="K1749" s="178"/>
      <c r="L1749" s="275" t="str">
        <f>IF(H:H=0,"",IF(ISERROR(VLOOKUP(H:H,produtos_escape2!$A$2:$B$2794,2,FALSE)),"Código não cadastrado",(VLOOKUP(H:H,produtos_escape2!$A$2:$B$2794,2,FALSE))))</f>
        <v/>
      </c>
      <c r="M1749" s="593" t="str">
        <f>IF(H:H=0,"",IF(ISERROR(VLOOKUP(H:H,produtos_escape2!$A$2:$D$2794,2,FALSE)),"Código não cadastrado",(VLOOKUP(H:H,produtos_escape2!$A$2:$D$2794,4,FALSE))))</f>
        <v/>
      </c>
      <c r="N1749" s="486"/>
      <c r="O1749" s="176"/>
      <c r="P1749" s="486"/>
      <c r="Q1749" s="247"/>
      <c r="R1749" s="246">
        <f t="shared" si="69"/>
        <v>0</v>
      </c>
      <c r="S1749" s="177"/>
      <c r="T1749" s="182"/>
      <c r="U1749" s="177"/>
      <c r="V1749" s="177"/>
      <c r="W1749" s="177"/>
      <c r="X1749" s="176"/>
      <c r="Y1749" s="177"/>
      <c r="Z1749" s="415"/>
      <c r="AA1749" s="488"/>
      <c r="AB1749" s="594"/>
      <c r="AC1749" s="595"/>
      <c r="AD1749" s="596" t="str">
        <f>IF(AND(AC1749&lt;&gt;"",S1749&lt;&gt;""),NETWORKDAYS(AC1749,S1749,#REF!),"")</f>
        <v/>
      </c>
      <c r="AE1749" s="596" t="str">
        <f ca="1">IF(AND(AD1749="",AC1749=""),"",IF(OR(AD1749&lt;&gt;"",O1749="*CANCELADO"),"",NETWORKDAYS(AC1749,TODAY(),#REF!)))</f>
        <v/>
      </c>
      <c r="AF1749" s="619"/>
    </row>
    <row r="1750" spans="1:32" ht="14.25" customHeight="1">
      <c r="A1750" s="176"/>
      <c r="B1750" s="176"/>
      <c r="C1750" s="177"/>
      <c r="D1750" s="176"/>
      <c r="E1750" s="176"/>
      <c r="F1750" s="259"/>
      <c r="G1750" s="176"/>
      <c r="H1750" s="178"/>
      <c r="I1750" s="592">
        <f t="shared" si="70"/>
        <v>0</v>
      </c>
      <c r="J1750" s="178"/>
      <c r="K1750" s="178"/>
      <c r="L1750" s="275" t="str">
        <f>IF(H:H=0,"",IF(ISERROR(VLOOKUP(H:H,produtos_escape2!$A$2:$B$2794,2,FALSE)),"Código não cadastrado",(VLOOKUP(H:H,produtos_escape2!$A$2:$B$2794,2,FALSE))))</f>
        <v/>
      </c>
      <c r="M1750" s="593" t="str">
        <f>IF(H:H=0,"",IF(ISERROR(VLOOKUP(H:H,produtos_escape2!$A$2:$D$2794,2,FALSE)),"Código não cadastrado",(VLOOKUP(H:H,produtos_escape2!$A$2:$D$2794,4,FALSE))))</f>
        <v/>
      </c>
      <c r="N1750" s="486"/>
      <c r="O1750" s="176"/>
      <c r="P1750" s="486"/>
      <c r="Q1750" s="247"/>
      <c r="R1750" s="246">
        <f t="shared" si="69"/>
        <v>0</v>
      </c>
      <c r="S1750" s="177"/>
      <c r="T1750" s="182"/>
      <c r="U1750" s="177"/>
      <c r="V1750" s="177"/>
      <c r="W1750" s="177"/>
      <c r="X1750" s="176"/>
      <c r="Y1750" s="177"/>
      <c r="Z1750" s="415"/>
      <c r="AA1750" s="488"/>
      <c r="AB1750" s="594"/>
      <c r="AC1750" s="595"/>
      <c r="AD1750" s="596" t="str">
        <f>IF(AND(AC1750&lt;&gt;"",S1750&lt;&gt;""),NETWORKDAYS(AC1750,S1750,#REF!),"")</f>
        <v/>
      </c>
      <c r="AE1750" s="596" t="str">
        <f ca="1">IF(AND(AD1750="",AC1750=""),"",IF(OR(AD1750&lt;&gt;"",O1750="*CANCELADO"),"",NETWORKDAYS(AC1750,TODAY(),#REF!)))</f>
        <v/>
      </c>
      <c r="AF1750" s="619"/>
    </row>
    <row r="1751" spans="1:32" ht="14.25" customHeight="1">
      <c r="A1751" s="176"/>
      <c r="B1751" s="176"/>
      <c r="C1751" s="177"/>
      <c r="D1751" s="176"/>
      <c r="E1751" s="176"/>
      <c r="F1751" s="259"/>
      <c r="G1751" s="176"/>
      <c r="H1751" s="178"/>
      <c r="I1751" s="592">
        <f t="shared" si="70"/>
        <v>0</v>
      </c>
      <c r="J1751" s="178"/>
      <c r="K1751" s="178"/>
      <c r="L1751" s="275" t="str">
        <f>IF(H:H=0,"",IF(ISERROR(VLOOKUP(H:H,produtos_escape2!$A$2:$B$2794,2,FALSE)),"Código não cadastrado",(VLOOKUP(H:H,produtos_escape2!$A$2:$B$2794,2,FALSE))))</f>
        <v/>
      </c>
      <c r="M1751" s="593" t="str">
        <f>IF(H:H=0,"",IF(ISERROR(VLOOKUP(H:H,produtos_escape2!$A$2:$D$2794,2,FALSE)),"Código não cadastrado",(VLOOKUP(H:H,produtos_escape2!$A$2:$D$2794,4,FALSE))))</f>
        <v/>
      </c>
      <c r="N1751" s="486"/>
      <c r="O1751" s="176"/>
      <c r="P1751" s="486"/>
      <c r="Q1751" s="247"/>
      <c r="R1751" s="246">
        <f t="shared" si="69"/>
        <v>0</v>
      </c>
      <c r="S1751" s="177"/>
      <c r="T1751" s="182"/>
      <c r="U1751" s="177"/>
      <c r="V1751" s="177"/>
      <c r="W1751" s="177"/>
      <c r="X1751" s="176"/>
      <c r="Y1751" s="177"/>
      <c r="Z1751" s="415"/>
      <c r="AA1751" s="488"/>
      <c r="AB1751" s="594"/>
      <c r="AC1751" s="595"/>
      <c r="AD1751" s="596" t="str">
        <f>IF(AND(AC1751&lt;&gt;"",S1751&lt;&gt;""),NETWORKDAYS(AC1751,S1751,#REF!),"")</f>
        <v/>
      </c>
      <c r="AE1751" s="596" t="str">
        <f ca="1">IF(AND(AD1751="",AC1751=""),"",IF(OR(AD1751&lt;&gt;"",O1751="*CANCELADO"),"",NETWORKDAYS(AC1751,TODAY(),#REF!)))</f>
        <v/>
      </c>
      <c r="AF1751" s="619"/>
    </row>
    <row r="1752" spans="1:32" ht="14.25" customHeight="1">
      <c r="A1752" s="176"/>
      <c r="B1752" s="176"/>
      <c r="C1752" s="177"/>
      <c r="D1752" s="176"/>
      <c r="E1752" s="176"/>
      <c r="F1752" s="259"/>
      <c r="G1752" s="176"/>
      <c r="H1752" s="178"/>
      <c r="I1752" s="592">
        <f t="shared" si="70"/>
        <v>0</v>
      </c>
      <c r="J1752" s="178"/>
      <c r="K1752" s="178"/>
      <c r="L1752" s="275" t="str">
        <f>IF(H:H=0,"",IF(ISERROR(VLOOKUP(H:H,produtos_escape2!$A$2:$B$2794,2,FALSE)),"Código não cadastrado",(VLOOKUP(H:H,produtos_escape2!$A$2:$B$2794,2,FALSE))))</f>
        <v/>
      </c>
      <c r="M1752" s="593" t="str">
        <f>IF(H:H=0,"",IF(ISERROR(VLOOKUP(H:H,produtos_escape2!$A$2:$D$2794,2,FALSE)),"Código não cadastrado",(VLOOKUP(H:H,produtos_escape2!$A$2:$D$2794,4,FALSE))))</f>
        <v/>
      </c>
      <c r="N1752" s="486"/>
      <c r="O1752" s="176"/>
      <c r="P1752" s="486"/>
      <c r="Q1752" s="247"/>
      <c r="R1752" s="246">
        <f t="shared" si="69"/>
        <v>0</v>
      </c>
      <c r="S1752" s="177"/>
      <c r="T1752" s="182"/>
      <c r="U1752" s="177"/>
      <c r="V1752" s="177"/>
      <c r="W1752" s="177"/>
      <c r="X1752" s="176"/>
      <c r="Y1752" s="177"/>
      <c r="Z1752" s="415"/>
      <c r="AA1752" s="488"/>
      <c r="AB1752" s="594"/>
      <c r="AC1752" s="595"/>
      <c r="AD1752" s="596" t="str">
        <f>IF(AND(AC1752&lt;&gt;"",S1752&lt;&gt;""),NETWORKDAYS(AC1752,S1752,#REF!),"")</f>
        <v/>
      </c>
      <c r="AE1752" s="596" t="str">
        <f ca="1">IF(AND(AD1752="",AC1752=""),"",IF(OR(AD1752&lt;&gt;"",O1752="*CANCELADO"),"",NETWORKDAYS(AC1752,TODAY(),#REF!)))</f>
        <v/>
      </c>
      <c r="AF1752" s="619"/>
    </row>
    <row r="1753" spans="1:32" ht="14.25" customHeight="1">
      <c r="A1753" s="176"/>
      <c r="B1753" s="176"/>
      <c r="C1753" s="177"/>
      <c r="D1753" s="176"/>
      <c r="E1753" s="176"/>
      <c r="F1753" s="259"/>
      <c r="G1753" s="176"/>
      <c r="H1753" s="178"/>
      <c r="I1753" s="592">
        <f t="shared" si="70"/>
        <v>0</v>
      </c>
      <c r="J1753" s="178"/>
      <c r="K1753" s="178"/>
      <c r="L1753" s="275" t="str">
        <f>IF(H:H=0,"",IF(ISERROR(VLOOKUP(H:H,produtos_escape2!$A$2:$B$2794,2,FALSE)),"Código não cadastrado",(VLOOKUP(H:H,produtos_escape2!$A$2:$B$2794,2,FALSE))))</f>
        <v/>
      </c>
      <c r="M1753" s="593" t="str">
        <f>IF(H:H=0,"",IF(ISERROR(VLOOKUP(H:H,produtos_escape2!$A$2:$D$2794,2,FALSE)),"Código não cadastrado",(VLOOKUP(H:H,produtos_escape2!$A$2:$D$2794,4,FALSE))))</f>
        <v/>
      </c>
      <c r="N1753" s="486"/>
      <c r="O1753" s="176"/>
      <c r="P1753" s="486"/>
      <c r="Q1753" s="247"/>
      <c r="R1753" s="246">
        <f t="shared" si="69"/>
        <v>0</v>
      </c>
      <c r="S1753" s="177"/>
      <c r="T1753" s="182"/>
      <c r="U1753" s="177"/>
      <c r="V1753" s="177"/>
      <c r="W1753" s="177"/>
      <c r="X1753" s="176"/>
      <c r="Y1753" s="177"/>
      <c r="Z1753" s="415"/>
      <c r="AA1753" s="488"/>
      <c r="AB1753" s="594"/>
      <c r="AC1753" s="595"/>
      <c r="AD1753" s="596" t="str">
        <f>IF(AND(AC1753&lt;&gt;"",S1753&lt;&gt;""),NETWORKDAYS(AC1753,S1753,#REF!),"")</f>
        <v/>
      </c>
      <c r="AE1753" s="596" t="str">
        <f ca="1">IF(AND(AD1753="",AC1753=""),"",IF(OR(AD1753&lt;&gt;"",O1753="*CANCELADO"),"",NETWORKDAYS(AC1753,TODAY(),#REF!)))</f>
        <v/>
      </c>
      <c r="AF1753" s="619"/>
    </row>
    <row r="1754" spans="1:32" ht="14.25" customHeight="1">
      <c r="A1754" s="176"/>
      <c r="B1754" s="176"/>
      <c r="C1754" s="177"/>
      <c r="D1754" s="176"/>
      <c r="E1754" s="176"/>
      <c r="F1754" s="259"/>
      <c r="G1754" s="176"/>
      <c r="H1754" s="178"/>
      <c r="I1754" s="592">
        <f t="shared" si="70"/>
        <v>0</v>
      </c>
      <c r="J1754" s="178"/>
      <c r="K1754" s="178"/>
      <c r="L1754" s="275" t="str">
        <f>IF(H:H=0,"",IF(ISERROR(VLOOKUP(H:H,produtos_escape2!$A$2:$B$2794,2,FALSE)),"Código não cadastrado",(VLOOKUP(H:H,produtos_escape2!$A$2:$B$2794,2,FALSE))))</f>
        <v/>
      </c>
      <c r="M1754" s="593" t="str">
        <f>IF(H:H=0,"",IF(ISERROR(VLOOKUP(H:H,produtos_escape2!$A$2:$D$2794,2,FALSE)),"Código não cadastrado",(VLOOKUP(H:H,produtos_escape2!$A$2:$D$2794,4,FALSE))))</f>
        <v/>
      </c>
      <c r="N1754" s="486"/>
      <c r="O1754" s="176"/>
      <c r="P1754" s="486"/>
      <c r="Q1754" s="247"/>
      <c r="R1754" s="246">
        <f t="shared" si="69"/>
        <v>0</v>
      </c>
      <c r="S1754" s="177"/>
      <c r="T1754" s="182"/>
      <c r="U1754" s="177"/>
      <c r="V1754" s="177"/>
      <c r="W1754" s="177"/>
      <c r="X1754" s="176"/>
      <c r="Y1754" s="177"/>
      <c r="Z1754" s="415"/>
      <c r="AA1754" s="488"/>
      <c r="AB1754" s="594"/>
      <c r="AC1754" s="595"/>
      <c r="AD1754" s="596" t="str">
        <f>IF(AND(AC1754&lt;&gt;"",S1754&lt;&gt;""),NETWORKDAYS(AC1754,S1754,#REF!),"")</f>
        <v/>
      </c>
      <c r="AE1754" s="596" t="str">
        <f ca="1">IF(AND(AD1754="",AC1754=""),"",IF(OR(AD1754&lt;&gt;"",O1754="*CANCELADO"),"",NETWORKDAYS(AC1754,TODAY(),#REF!)))</f>
        <v/>
      </c>
      <c r="AF1754" s="619"/>
    </row>
    <row r="1755" spans="1:32" ht="14.25" customHeight="1">
      <c r="A1755" s="176"/>
      <c r="B1755" s="176"/>
      <c r="C1755" s="177"/>
      <c r="D1755" s="176"/>
      <c r="E1755" s="176"/>
      <c r="F1755" s="259"/>
      <c r="G1755" s="176"/>
      <c r="H1755" s="178"/>
      <c r="I1755" s="592">
        <f t="shared" si="70"/>
        <v>0</v>
      </c>
      <c r="J1755" s="178"/>
      <c r="K1755" s="178"/>
      <c r="L1755" s="275" t="str">
        <f>IF(H:H=0,"",IF(ISERROR(VLOOKUP(H:H,produtos_escape2!$A$2:$B$2794,2,FALSE)),"Código não cadastrado",(VLOOKUP(H:H,produtos_escape2!$A$2:$B$2794,2,FALSE))))</f>
        <v/>
      </c>
      <c r="M1755" s="593" t="str">
        <f>IF(H:H=0,"",IF(ISERROR(VLOOKUP(H:H,produtos_escape2!$A$2:$D$2794,2,FALSE)),"Código não cadastrado",(VLOOKUP(H:H,produtos_escape2!$A$2:$D$2794,4,FALSE))))</f>
        <v/>
      </c>
      <c r="N1755" s="486"/>
      <c r="O1755" s="176"/>
      <c r="P1755" s="486"/>
      <c r="Q1755" s="247"/>
      <c r="R1755" s="246">
        <f t="shared" si="69"/>
        <v>0</v>
      </c>
      <c r="S1755" s="177"/>
      <c r="T1755" s="182"/>
      <c r="U1755" s="177"/>
      <c r="V1755" s="177"/>
      <c r="W1755" s="177"/>
      <c r="X1755" s="176"/>
      <c r="Y1755" s="177"/>
      <c r="Z1755" s="415"/>
      <c r="AA1755" s="488"/>
      <c r="AB1755" s="594"/>
      <c r="AC1755" s="595"/>
      <c r="AD1755" s="596" t="str">
        <f>IF(AND(AC1755&lt;&gt;"",S1755&lt;&gt;""),NETWORKDAYS(AC1755,S1755,#REF!),"")</f>
        <v/>
      </c>
      <c r="AE1755" s="596" t="str">
        <f ca="1">IF(AND(AD1755="",AC1755=""),"",IF(OR(AD1755&lt;&gt;"",O1755="*CANCELADO"),"",NETWORKDAYS(AC1755,TODAY(),#REF!)))</f>
        <v/>
      </c>
      <c r="AF1755" s="619"/>
    </row>
    <row r="1756" spans="1:32" ht="14.25" customHeight="1">
      <c r="A1756" s="176"/>
      <c r="B1756" s="176"/>
      <c r="C1756" s="177"/>
      <c r="D1756" s="176"/>
      <c r="E1756" s="176"/>
      <c r="F1756" s="259"/>
      <c r="G1756" s="176"/>
      <c r="H1756" s="178"/>
      <c r="I1756" s="592">
        <f t="shared" si="70"/>
        <v>0</v>
      </c>
      <c r="J1756" s="178"/>
      <c r="K1756" s="178"/>
      <c r="L1756" s="275" t="str">
        <f>IF(H:H=0,"",IF(ISERROR(VLOOKUP(H:H,produtos_escape2!$A$2:$B$2794,2,FALSE)),"Código não cadastrado",(VLOOKUP(H:H,produtos_escape2!$A$2:$B$2794,2,FALSE))))</f>
        <v/>
      </c>
      <c r="M1756" s="593" t="str">
        <f>IF(H:H=0,"",IF(ISERROR(VLOOKUP(H:H,produtos_escape2!$A$2:$D$2794,2,FALSE)),"Código não cadastrado",(VLOOKUP(H:H,produtos_escape2!$A$2:$D$2794,4,FALSE))))</f>
        <v/>
      </c>
      <c r="N1756" s="486"/>
      <c r="O1756" s="176"/>
      <c r="P1756" s="486"/>
      <c r="Q1756" s="247"/>
      <c r="R1756" s="246">
        <f t="shared" si="69"/>
        <v>0</v>
      </c>
      <c r="S1756" s="177"/>
      <c r="T1756" s="182"/>
      <c r="U1756" s="177"/>
      <c r="V1756" s="177"/>
      <c r="W1756" s="177"/>
      <c r="X1756" s="176"/>
      <c r="Y1756" s="177"/>
      <c r="Z1756" s="415"/>
      <c r="AA1756" s="488"/>
      <c r="AB1756" s="594"/>
      <c r="AC1756" s="595"/>
      <c r="AD1756" s="596" t="str">
        <f>IF(AND(AC1756&lt;&gt;"",S1756&lt;&gt;""),NETWORKDAYS(AC1756,S1756,#REF!),"")</f>
        <v/>
      </c>
      <c r="AE1756" s="596" t="str">
        <f ca="1">IF(AND(AD1756="",AC1756=""),"",IF(OR(AD1756&lt;&gt;"",O1756="*CANCELADO"),"",NETWORKDAYS(AC1756,TODAY(),#REF!)))</f>
        <v/>
      </c>
      <c r="AF1756" s="619"/>
    </row>
    <row r="1757" spans="1:32" ht="14.25" customHeight="1">
      <c r="A1757" s="176"/>
      <c r="B1757" s="176"/>
      <c r="C1757" s="177"/>
      <c r="D1757" s="176"/>
      <c r="E1757" s="176"/>
      <c r="F1757" s="259"/>
      <c r="G1757" s="176"/>
      <c r="H1757" s="178"/>
      <c r="I1757" s="592">
        <f t="shared" si="70"/>
        <v>0</v>
      </c>
      <c r="J1757" s="178"/>
      <c r="K1757" s="178"/>
      <c r="L1757" s="275" t="str">
        <f>IF(H:H=0,"",IF(ISERROR(VLOOKUP(H:H,produtos_escape2!$A$2:$B$2794,2,FALSE)),"Código não cadastrado",(VLOOKUP(H:H,produtos_escape2!$A$2:$B$2794,2,FALSE))))</f>
        <v/>
      </c>
      <c r="M1757" s="593" t="str">
        <f>IF(H:H=0,"",IF(ISERROR(VLOOKUP(H:H,produtos_escape2!$A$2:$D$2794,2,FALSE)),"Código não cadastrado",(VLOOKUP(H:H,produtos_escape2!$A$2:$D$2794,4,FALSE))))</f>
        <v/>
      </c>
      <c r="N1757" s="486"/>
      <c r="O1757" s="176"/>
      <c r="P1757" s="486"/>
      <c r="Q1757" s="247"/>
      <c r="R1757" s="246">
        <f t="shared" si="69"/>
        <v>0</v>
      </c>
      <c r="S1757" s="177"/>
      <c r="T1757" s="182"/>
      <c r="U1757" s="177"/>
      <c r="V1757" s="177"/>
      <c r="W1757" s="177"/>
      <c r="X1757" s="176"/>
      <c r="Y1757" s="177"/>
      <c r="Z1757" s="415"/>
      <c r="AA1757" s="488"/>
      <c r="AB1757" s="594"/>
      <c r="AC1757" s="595"/>
      <c r="AD1757" s="596" t="str">
        <f>IF(AND(AC1757&lt;&gt;"",S1757&lt;&gt;""),NETWORKDAYS(AC1757,S1757,#REF!),"")</f>
        <v/>
      </c>
      <c r="AE1757" s="596" t="str">
        <f ca="1">IF(AND(AD1757="",AC1757=""),"",IF(OR(AD1757&lt;&gt;"",O1757="*CANCELADO"),"",NETWORKDAYS(AC1757,TODAY(),#REF!)))</f>
        <v/>
      </c>
      <c r="AF1757" s="619"/>
    </row>
    <row r="1758" spans="1:32" ht="14.25" customHeight="1">
      <c r="A1758" s="176"/>
      <c r="B1758" s="176"/>
      <c r="C1758" s="177"/>
      <c r="D1758" s="176"/>
      <c r="E1758" s="176"/>
      <c r="F1758" s="259"/>
      <c r="G1758" s="176"/>
      <c r="H1758" s="178"/>
      <c r="I1758" s="592">
        <f t="shared" si="70"/>
        <v>0</v>
      </c>
      <c r="J1758" s="178"/>
      <c r="K1758" s="178"/>
      <c r="L1758" s="275" t="str">
        <f>IF(H:H=0,"",IF(ISERROR(VLOOKUP(H:H,produtos_escape2!$A$2:$B$2794,2,FALSE)),"Código não cadastrado",(VLOOKUP(H:H,produtos_escape2!$A$2:$B$2794,2,FALSE))))</f>
        <v/>
      </c>
      <c r="M1758" s="593" t="str">
        <f>IF(H:H=0,"",IF(ISERROR(VLOOKUP(H:H,produtos_escape2!$A$2:$D$2794,2,FALSE)),"Código não cadastrado",(VLOOKUP(H:H,produtos_escape2!$A$2:$D$2794,4,FALSE))))</f>
        <v/>
      </c>
      <c r="N1758" s="486"/>
      <c r="O1758" s="176"/>
      <c r="P1758" s="486"/>
      <c r="Q1758" s="247"/>
      <c r="R1758" s="246">
        <f t="shared" si="69"/>
        <v>0</v>
      </c>
      <c r="S1758" s="177"/>
      <c r="T1758" s="182"/>
      <c r="U1758" s="177"/>
      <c r="V1758" s="177"/>
      <c r="W1758" s="177"/>
      <c r="X1758" s="176"/>
      <c r="Y1758" s="177"/>
      <c r="Z1758" s="415"/>
      <c r="AA1758" s="488"/>
      <c r="AB1758" s="594"/>
      <c r="AC1758" s="595"/>
      <c r="AD1758" s="596" t="str">
        <f>IF(AND(AC1758&lt;&gt;"",S1758&lt;&gt;""),NETWORKDAYS(AC1758,S1758,#REF!),"")</f>
        <v/>
      </c>
      <c r="AE1758" s="596" t="str">
        <f ca="1">IF(AND(AD1758="",AC1758=""),"",IF(OR(AD1758&lt;&gt;"",O1758="*CANCELADO"),"",NETWORKDAYS(AC1758,TODAY(),#REF!)))</f>
        <v/>
      </c>
      <c r="AF1758" s="619"/>
    </row>
    <row r="1759" spans="1:32" ht="14.25" customHeight="1">
      <c r="A1759" s="176"/>
      <c r="B1759" s="176"/>
      <c r="C1759" s="177"/>
      <c r="D1759" s="176"/>
      <c r="E1759" s="176"/>
      <c r="F1759" s="259"/>
      <c r="G1759" s="176"/>
      <c r="H1759" s="178"/>
      <c r="I1759" s="592">
        <f t="shared" si="70"/>
        <v>0</v>
      </c>
      <c r="J1759" s="178"/>
      <c r="K1759" s="178"/>
      <c r="L1759" s="275" t="str">
        <f>IF(H:H=0,"",IF(ISERROR(VLOOKUP(H:H,produtos_escape2!$A$2:$B$2794,2,FALSE)),"Código não cadastrado",(VLOOKUP(H:H,produtos_escape2!$A$2:$B$2794,2,FALSE))))</f>
        <v/>
      </c>
      <c r="M1759" s="593" t="str">
        <f>IF(H:H=0,"",IF(ISERROR(VLOOKUP(H:H,produtos_escape2!$A$2:$D$2794,2,FALSE)),"Código não cadastrado",(VLOOKUP(H:H,produtos_escape2!$A$2:$D$2794,4,FALSE))))</f>
        <v/>
      </c>
      <c r="N1759" s="486"/>
      <c r="O1759" s="176"/>
      <c r="P1759" s="486"/>
      <c r="Q1759" s="247"/>
      <c r="R1759" s="246">
        <f t="shared" si="69"/>
        <v>0</v>
      </c>
      <c r="S1759" s="177"/>
      <c r="T1759" s="182"/>
      <c r="U1759" s="177"/>
      <c r="V1759" s="177"/>
      <c r="W1759" s="177"/>
      <c r="X1759" s="176"/>
      <c r="Y1759" s="177"/>
      <c r="Z1759" s="415"/>
      <c r="AA1759" s="488"/>
      <c r="AB1759" s="594"/>
      <c r="AC1759" s="595"/>
      <c r="AD1759" s="596" t="str">
        <f>IF(AND(AC1759&lt;&gt;"",S1759&lt;&gt;""),NETWORKDAYS(AC1759,S1759,#REF!),"")</f>
        <v/>
      </c>
      <c r="AE1759" s="596" t="str">
        <f ca="1">IF(AND(AD1759="",AC1759=""),"",IF(OR(AD1759&lt;&gt;"",O1759="*CANCELADO"),"",NETWORKDAYS(AC1759,TODAY(),#REF!)))</f>
        <v/>
      </c>
      <c r="AF1759" s="619"/>
    </row>
    <row r="1760" spans="1:32" ht="14.25" customHeight="1">
      <c r="A1760" s="176"/>
      <c r="B1760" s="176"/>
      <c r="C1760" s="177"/>
      <c r="D1760" s="176"/>
      <c r="E1760" s="176"/>
      <c r="F1760" s="259"/>
      <c r="G1760" s="176"/>
      <c r="H1760" s="178"/>
      <c r="I1760" s="592">
        <f t="shared" si="70"/>
        <v>0</v>
      </c>
      <c r="J1760" s="178"/>
      <c r="K1760" s="178"/>
      <c r="L1760" s="275" t="str">
        <f>IF(H:H=0,"",IF(ISERROR(VLOOKUP(H:H,produtos_escape2!$A$2:$B$2794,2,FALSE)),"Código não cadastrado",(VLOOKUP(H:H,produtos_escape2!$A$2:$B$2794,2,FALSE))))</f>
        <v/>
      </c>
      <c r="M1760" s="593" t="str">
        <f>IF(H:H=0,"",IF(ISERROR(VLOOKUP(H:H,produtos_escape2!$A$2:$D$2794,2,FALSE)),"Código não cadastrado",(VLOOKUP(H:H,produtos_escape2!$A$2:$D$2794,4,FALSE))))</f>
        <v/>
      </c>
      <c r="N1760" s="486"/>
      <c r="O1760" s="176"/>
      <c r="P1760" s="486"/>
      <c r="Q1760" s="247"/>
      <c r="R1760" s="246">
        <f t="shared" si="69"/>
        <v>0</v>
      </c>
      <c r="S1760" s="177"/>
      <c r="T1760" s="182"/>
      <c r="U1760" s="177"/>
      <c r="V1760" s="177"/>
      <c r="W1760" s="177"/>
      <c r="X1760" s="176"/>
      <c r="Y1760" s="177"/>
      <c r="Z1760" s="415"/>
      <c r="AA1760" s="488"/>
      <c r="AB1760" s="594"/>
      <c r="AC1760" s="595"/>
      <c r="AD1760" s="596" t="str">
        <f>IF(AND(AC1760&lt;&gt;"",S1760&lt;&gt;""),NETWORKDAYS(AC1760,S1760,#REF!),"")</f>
        <v/>
      </c>
      <c r="AE1760" s="596" t="str">
        <f ca="1">IF(AND(AD1760="",AC1760=""),"",IF(OR(AD1760&lt;&gt;"",O1760="*CANCELADO"),"",NETWORKDAYS(AC1760,TODAY(),#REF!)))</f>
        <v/>
      </c>
      <c r="AF1760" s="619"/>
    </row>
    <row r="1761" spans="1:32" ht="14.25" customHeight="1">
      <c r="A1761" s="176"/>
      <c r="B1761" s="176"/>
      <c r="C1761" s="177"/>
      <c r="D1761" s="176"/>
      <c r="E1761" s="176"/>
      <c r="F1761" s="259"/>
      <c r="G1761" s="176"/>
      <c r="H1761" s="178"/>
      <c r="I1761" s="592">
        <f t="shared" si="70"/>
        <v>0</v>
      </c>
      <c r="J1761" s="178"/>
      <c r="K1761" s="178"/>
      <c r="L1761" s="275" t="str">
        <f>IF(H:H=0,"",IF(ISERROR(VLOOKUP(H:H,produtos_escape2!$A$2:$B$2794,2,FALSE)),"Código não cadastrado",(VLOOKUP(H:H,produtos_escape2!$A$2:$B$2794,2,FALSE))))</f>
        <v/>
      </c>
      <c r="M1761" s="593" t="str">
        <f>IF(H:H=0,"",IF(ISERROR(VLOOKUP(H:H,produtos_escape2!$A$2:$D$2794,2,FALSE)),"Código não cadastrado",(VLOOKUP(H:H,produtos_escape2!$A$2:$D$2794,4,FALSE))))</f>
        <v/>
      </c>
      <c r="N1761" s="486"/>
      <c r="O1761" s="176"/>
      <c r="P1761" s="486"/>
      <c r="Q1761" s="247"/>
      <c r="R1761" s="246">
        <f t="shared" si="69"/>
        <v>0</v>
      </c>
      <c r="S1761" s="177"/>
      <c r="T1761" s="182"/>
      <c r="U1761" s="177"/>
      <c r="V1761" s="177"/>
      <c r="W1761" s="177"/>
      <c r="X1761" s="176"/>
      <c r="Y1761" s="177"/>
      <c r="Z1761" s="415"/>
      <c r="AA1761" s="488"/>
      <c r="AB1761" s="594"/>
      <c r="AC1761" s="595"/>
      <c r="AD1761" s="596" t="str">
        <f>IF(AND(AC1761&lt;&gt;"",S1761&lt;&gt;""),NETWORKDAYS(AC1761,S1761,#REF!),"")</f>
        <v/>
      </c>
      <c r="AE1761" s="596" t="str">
        <f ca="1">IF(AND(AD1761="",AC1761=""),"",IF(OR(AD1761&lt;&gt;"",O1761="*CANCELADO"),"",NETWORKDAYS(AC1761,TODAY(),#REF!)))</f>
        <v/>
      </c>
      <c r="AF1761" s="619"/>
    </row>
    <row r="1762" spans="1:32" ht="14.25" customHeight="1">
      <c r="A1762" s="176"/>
      <c r="B1762" s="176"/>
      <c r="C1762" s="177"/>
      <c r="D1762" s="176"/>
      <c r="E1762" s="176"/>
      <c r="F1762" s="259"/>
      <c r="G1762" s="176"/>
      <c r="H1762" s="178"/>
      <c r="I1762" s="592">
        <f t="shared" si="70"/>
        <v>0</v>
      </c>
      <c r="J1762" s="178"/>
      <c r="K1762" s="178"/>
      <c r="L1762" s="275" t="str">
        <f>IF(H:H=0,"",IF(ISERROR(VLOOKUP(H:H,produtos_escape2!$A$2:$B$2794,2,FALSE)),"Código não cadastrado",(VLOOKUP(H:H,produtos_escape2!$A$2:$B$2794,2,FALSE))))</f>
        <v/>
      </c>
      <c r="M1762" s="593" t="str">
        <f>IF(H:H=0,"",IF(ISERROR(VLOOKUP(H:H,produtos_escape2!$A$2:$D$2794,2,FALSE)),"Código não cadastrado",(VLOOKUP(H:H,produtos_escape2!$A$2:$D$2794,4,FALSE))))</f>
        <v/>
      </c>
      <c r="N1762" s="486"/>
      <c r="O1762" s="176"/>
      <c r="P1762" s="486"/>
      <c r="Q1762" s="247"/>
      <c r="R1762" s="246">
        <f t="shared" si="69"/>
        <v>0</v>
      </c>
      <c r="S1762" s="177"/>
      <c r="T1762" s="182"/>
      <c r="U1762" s="177"/>
      <c r="V1762" s="177"/>
      <c r="W1762" s="177"/>
      <c r="X1762" s="176"/>
      <c r="Y1762" s="177"/>
      <c r="Z1762" s="415"/>
      <c r="AA1762" s="488"/>
      <c r="AB1762" s="594"/>
      <c r="AC1762" s="595"/>
      <c r="AD1762" s="596" t="str">
        <f>IF(AND(AC1762&lt;&gt;"",S1762&lt;&gt;""),NETWORKDAYS(AC1762,S1762,#REF!),"")</f>
        <v/>
      </c>
      <c r="AE1762" s="596" t="str">
        <f ca="1">IF(AND(AD1762="",AC1762=""),"",IF(OR(AD1762&lt;&gt;"",O1762="*CANCELADO"),"",NETWORKDAYS(AC1762,TODAY(),#REF!)))</f>
        <v/>
      </c>
      <c r="AF1762" s="619"/>
    </row>
    <row r="1763" spans="1:32" ht="14.25" customHeight="1">
      <c r="A1763" s="176"/>
      <c r="B1763" s="176"/>
      <c r="C1763" s="177"/>
      <c r="D1763" s="176"/>
      <c r="E1763" s="176"/>
      <c r="F1763" s="259"/>
      <c r="G1763" s="176"/>
      <c r="H1763" s="178"/>
      <c r="I1763" s="592">
        <f t="shared" si="70"/>
        <v>0</v>
      </c>
      <c r="J1763" s="178"/>
      <c r="K1763" s="178"/>
      <c r="L1763" s="275" t="str">
        <f>IF(H:H=0,"",IF(ISERROR(VLOOKUP(H:H,produtos_escape2!$A$2:$B$2794,2,FALSE)),"Código não cadastrado",(VLOOKUP(H:H,produtos_escape2!$A$2:$B$2794,2,FALSE))))</f>
        <v/>
      </c>
      <c r="M1763" s="593" t="str">
        <f>IF(H:H=0,"",IF(ISERROR(VLOOKUP(H:H,produtos_escape2!$A$2:$D$2794,2,FALSE)),"Código não cadastrado",(VLOOKUP(H:H,produtos_escape2!$A$2:$D$2794,4,FALSE))))</f>
        <v/>
      </c>
      <c r="N1763" s="486"/>
      <c r="O1763" s="176"/>
      <c r="P1763" s="486"/>
      <c r="Q1763" s="247"/>
      <c r="R1763" s="246">
        <f t="shared" si="69"/>
        <v>0</v>
      </c>
      <c r="S1763" s="177"/>
      <c r="T1763" s="182"/>
      <c r="U1763" s="177"/>
      <c r="V1763" s="177"/>
      <c r="W1763" s="177"/>
      <c r="X1763" s="176"/>
      <c r="Y1763" s="177"/>
      <c r="Z1763" s="415"/>
      <c r="AA1763" s="488"/>
      <c r="AB1763" s="594"/>
      <c r="AC1763" s="595"/>
      <c r="AD1763" s="596" t="str">
        <f>IF(AND(AC1763&lt;&gt;"",S1763&lt;&gt;""),NETWORKDAYS(AC1763,S1763,#REF!),"")</f>
        <v/>
      </c>
      <c r="AE1763" s="596" t="str">
        <f ca="1">IF(AND(AD1763="",AC1763=""),"",IF(OR(AD1763&lt;&gt;"",O1763="*CANCELADO"),"",NETWORKDAYS(AC1763,TODAY(),#REF!)))</f>
        <v/>
      </c>
      <c r="AF1763" s="619"/>
    </row>
    <row r="1764" spans="1:32" ht="14.25" customHeight="1">
      <c r="A1764" s="176"/>
      <c r="B1764" s="176"/>
      <c r="C1764" s="177"/>
      <c r="D1764" s="176"/>
      <c r="E1764" s="176"/>
      <c r="F1764" s="259"/>
      <c r="G1764" s="176"/>
      <c r="H1764" s="178"/>
      <c r="I1764" s="592">
        <f t="shared" si="70"/>
        <v>0</v>
      </c>
      <c r="J1764" s="178"/>
      <c r="K1764" s="178"/>
      <c r="L1764" s="275" t="str">
        <f>IF(H:H=0,"",IF(ISERROR(VLOOKUP(H:H,produtos_escape2!$A$2:$B$2794,2,FALSE)),"Código não cadastrado",(VLOOKUP(H:H,produtos_escape2!$A$2:$B$2794,2,FALSE))))</f>
        <v/>
      </c>
      <c r="M1764" s="593" t="str">
        <f>IF(H:H=0,"",IF(ISERROR(VLOOKUP(H:H,produtos_escape2!$A$2:$D$2794,2,FALSE)),"Código não cadastrado",(VLOOKUP(H:H,produtos_escape2!$A$2:$D$2794,4,FALSE))))</f>
        <v/>
      </c>
      <c r="N1764" s="486"/>
      <c r="O1764" s="176"/>
      <c r="P1764" s="486"/>
      <c r="Q1764" s="247"/>
      <c r="R1764" s="246">
        <f t="shared" si="69"/>
        <v>0</v>
      </c>
      <c r="S1764" s="177"/>
      <c r="T1764" s="182"/>
      <c r="U1764" s="177"/>
      <c r="V1764" s="177"/>
      <c r="W1764" s="177"/>
      <c r="X1764" s="176"/>
      <c r="Y1764" s="177"/>
      <c r="Z1764" s="415"/>
      <c r="AA1764" s="488"/>
      <c r="AB1764" s="594"/>
      <c r="AC1764" s="595"/>
      <c r="AD1764" s="596" t="str">
        <f>IF(AND(AC1764&lt;&gt;"",S1764&lt;&gt;""),NETWORKDAYS(AC1764,S1764,#REF!),"")</f>
        <v/>
      </c>
      <c r="AE1764" s="596" t="str">
        <f ca="1">IF(AND(AD1764="",AC1764=""),"",IF(OR(AD1764&lt;&gt;"",O1764="*CANCELADO"),"",NETWORKDAYS(AC1764,TODAY(),#REF!)))</f>
        <v/>
      </c>
      <c r="AF1764" s="619"/>
    </row>
    <row r="1765" spans="1:32" ht="14.25" customHeight="1">
      <c r="A1765" s="176"/>
      <c r="B1765" s="176"/>
      <c r="C1765" s="177"/>
      <c r="D1765" s="176"/>
      <c r="E1765" s="176"/>
      <c r="F1765" s="259"/>
      <c r="G1765" s="176"/>
      <c r="H1765" s="178"/>
      <c r="I1765" s="592">
        <f t="shared" si="70"/>
        <v>0</v>
      </c>
      <c r="J1765" s="178"/>
      <c r="K1765" s="178"/>
      <c r="L1765" s="275" t="str">
        <f>IF(H:H=0,"",IF(ISERROR(VLOOKUP(H:H,produtos_escape2!$A$2:$B$2794,2,FALSE)),"Código não cadastrado",(VLOOKUP(H:H,produtos_escape2!$A$2:$B$2794,2,FALSE))))</f>
        <v/>
      </c>
      <c r="M1765" s="593" t="str">
        <f>IF(H:H=0,"",IF(ISERROR(VLOOKUP(H:H,produtos_escape2!$A$2:$D$2794,2,FALSE)),"Código não cadastrado",(VLOOKUP(H:H,produtos_escape2!$A$2:$D$2794,4,FALSE))))</f>
        <v/>
      </c>
      <c r="N1765" s="486"/>
      <c r="O1765" s="176"/>
      <c r="P1765" s="486"/>
      <c r="Q1765" s="247"/>
      <c r="R1765" s="246">
        <f t="shared" si="69"/>
        <v>0</v>
      </c>
      <c r="S1765" s="177"/>
      <c r="T1765" s="182"/>
      <c r="U1765" s="177"/>
      <c r="V1765" s="177"/>
      <c r="W1765" s="177"/>
      <c r="X1765" s="176"/>
      <c r="Y1765" s="177"/>
      <c r="Z1765" s="415"/>
      <c r="AA1765" s="488"/>
      <c r="AB1765" s="594"/>
      <c r="AC1765" s="595"/>
      <c r="AD1765" s="596" t="str">
        <f>IF(AND(AC1765&lt;&gt;"",S1765&lt;&gt;""),NETWORKDAYS(AC1765,S1765,#REF!),"")</f>
        <v/>
      </c>
      <c r="AE1765" s="596" t="str">
        <f ca="1">IF(AND(AD1765="",AC1765=""),"",IF(OR(AD1765&lt;&gt;"",O1765="*CANCELADO"),"",NETWORKDAYS(AC1765,TODAY(),#REF!)))</f>
        <v/>
      </c>
      <c r="AF1765" s="619"/>
    </row>
    <row r="1766" spans="1:32" ht="14.25" customHeight="1">
      <c r="A1766" s="176"/>
      <c r="B1766" s="176"/>
      <c r="C1766" s="177"/>
      <c r="D1766" s="176"/>
      <c r="E1766" s="176"/>
      <c r="F1766" s="259"/>
      <c r="G1766" s="176"/>
      <c r="H1766" s="178"/>
      <c r="I1766" s="592">
        <f t="shared" si="70"/>
        <v>0</v>
      </c>
      <c r="J1766" s="178"/>
      <c r="K1766" s="178"/>
      <c r="L1766" s="275" t="str">
        <f>IF(H:H=0,"",IF(ISERROR(VLOOKUP(H:H,produtos_escape2!$A$2:$B$2794,2,FALSE)),"Código não cadastrado",(VLOOKUP(H:H,produtos_escape2!$A$2:$B$2794,2,FALSE))))</f>
        <v/>
      </c>
      <c r="M1766" s="593" t="str">
        <f>IF(H:H=0,"",IF(ISERROR(VLOOKUP(H:H,produtos_escape2!$A$2:$D$2794,2,FALSE)),"Código não cadastrado",(VLOOKUP(H:H,produtos_escape2!$A$2:$D$2794,4,FALSE))))</f>
        <v/>
      </c>
      <c r="N1766" s="486"/>
      <c r="O1766" s="176"/>
      <c r="P1766" s="486"/>
      <c r="Q1766" s="247"/>
      <c r="R1766" s="246">
        <f t="shared" si="69"/>
        <v>0</v>
      </c>
      <c r="S1766" s="177"/>
      <c r="T1766" s="182"/>
      <c r="U1766" s="177"/>
      <c r="V1766" s="177"/>
      <c r="W1766" s="177"/>
      <c r="X1766" s="176"/>
      <c r="Y1766" s="177"/>
      <c r="Z1766" s="415"/>
      <c r="AA1766" s="488"/>
      <c r="AB1766" s="594"/>
      <c r="AC1766" s="595"/>
      <c r="AD1766" s="596" t="str">
        <f>IF(AND(AC1766&lt;&gt;"",S1766&lt;&gt;""),NETWORKDAYS(AC1766,S1766,#REF!),"")</f>
        <v/>
      </c>
      <c r="AE1766" s="596" t="str">
        <f ca="1">IF(AND(AD1766="",AC1766=""),"",IF(OR(AD1766&lt;&gt;"",O1766="*CANCELADO"),"",NETWORKDAYS(AC1766,TODAY(),#REF!)))</f>
        <v/>
      </c>
      <c r="AF1766" s="619"/>
    </row>
    <row r="1767" spans="1:32" ht="14.25" customHeight="1">
      <c r="A1767" s="176"/>
      <c r="B1767" s="176"/>
      <c r="C1767" s="177"/>
      <c r="D1767" s="176"/>
      <c r="E1767" s="176"/>
      <c r="F1767" s="259"/>
      <c r="G1767" s="176"/>
      <c r="H1767" s="178"/>
      <c r="I1767" s="592">
        <f t="shared" si="70"/>
        <v>0</v>
      </c>
      <c r="J1767" s="178"/>
      <c r="K1767" s="178"/>
      <c r="L1767" s="275" t="str">
        <f>IF(H:H=0,"",IF(ISERROR(VLOOKUP(H:H,produtos_escape2!$A$2:$B$2794,2,FALSE)),"Código não cadastrado",(VLOOKUP(H:H,produtos_escape2!$A$2:$B$2794,2,FALSE))))</f>
        <v/>
      </c>
      <c r="M1767" s="593" t="str">
        <f>IF(H:H=0,"",IF(ISERROR(VLOOKUP(H:H,produtos_escape2!$A$2:$D$2794,2,FALSE)),"Código não cadastrado",(VLOOKUP(H:H,produtos_escape2!$A$2:$D$2794,4,FALSE))))</f>
        <v/>
      </c>
      <c r="N1767" s="486"/>
      <c r="O1767" s="176"/>
      <c r="P1767" s="486"/>
      <c r="Q1767" s="247"/>
      <c r="R1767" s="246">
        <f t="shared" si="69"/>
        <v>0</v>
      </c>
      <c r="S1767" s="177"/>
      <c r="T1767" s="182"/>
      <c r="U1767" s="177"/>
      <c r="V1767" s="177"/>
      <c r="W1767" s="177"/>
      <c r="X1767" s="176"/>
      <c r="Y1767" s="177"/>
      <c r="Z1767" s="415"/>
      <c r="AA1767" s="488"/>
      <c r="AB1767" s="594"/>
      <c r="AC1767" s="595"/>
      <c r="AD1767" s="596" t="str">
        <f>IF(AND(AC1767&lt;&gt;"",S1767&lt;&gt;""),NETWORKDAYS(AC1767,S1767,#REF!),"")</f>
        <v/>
      </c>
      <c r="AE1767" s="596" t="str">
        <f ca="1">IF(AND(AD1767="",AC1767=""),"",IF(OR(AD1767&lt;&gt;"",O1767="*CANCELADO"),"",NETWORKDAYS(AC1767,TODAY(),#REF!)))</f>
        <v/>
      </c>
      <c r="AF1767" s="619"/>
    </row>
    <row r="1768" spans="1:32" ht="14.25" customHeight="1">
      <c r="A1768" s="176"/>
      <c r="B1768" s="176"/>
      <c r="C1768" s="177"/>
      <c r="D1768" s="176"/>
      <c r="E1768" s="176"/>
      <c r="F1768" s="259"/>
      <c r="G1768" s="176"/>
      <c r="H1768" s="178"/>
      <c r="I1768" s="592">
        <f t="shared" si="70"/>
        <v>0</v>
      </c>
      <c r="J1768" s="178"/>
      <c r="K1768" s="178"/>
      <c r="L1768" s="275" t="str">
        <f>IF(H:H=0,"",IF(ISERROR(VLOOKUP(H:H,produtos_escape2!$A$2:$B$2794,2,FALSE)),"Código não cadastrado",(VLOOKUP(H:H,produtos_escape2!$A$2:$B$2794,2,FALSE))))</f>
        <v/>
      </c>
      <c r="M1768" s="593" t="str">
        <f>IF(H:H=0,"",IF(ISERROR(VLOOKUP(H:H,produtos_escape2!$A$2:$D$2794,2,FALSE)),"Código não cadastrado",(VLOOKUP(H:H,produtos_escape2!$A$2:$D$2794,4,FALSE))))</f>
        <v/>
      </c>
      <c r="N1768" s="486"/>
      <c r="O1768" s="176"/>
      <c r="P1768" s="486"/>
      <c r="Q1768" s="247"/>
      <c r="R1768" s="246">
        <f t="shared" si="69"/>
        <v>0</v>
      </c>
      <c r="S1768" s="177"/>
      <c r="T1768" s="182"/>
      <c r="U1768" s="177"/>
      <c r="V1768" s="177"/>
      <c r="W1768" s="177"/>
      <c r="X1768" s="176"/>
      <c r="Y1768" s="177"/>
      <c r="Z1768" s="415"/>
      <c r="AA1768" s="488"/>
      <c r="AB1768" s="594"/>
      <c r="AC1768" s="595"/>
      <c r="AD1768" s="596" t="str">
        <f>IF(AND(AC1768&lt;&gt;"",S1768&lt;&gt;""),NETWORKDAYS(AC1768,S1768,#REF!),"")</f>
        <v/>
      </c>
      <c r="AE1768" s="596" t="str">
        <f ca="1">IF(AND(AD1768="",AC1768=""),"",IF(OR(AD1768&lt;&gt;"",O1768="*CANCELADO"),"",NETWORKDAYS(AC1768,TODAY(),#REF!)))</f>
        <v/>
      </c>
      <c r="AF1768" s="619"/>
    </row>
    <row r="1769" spans="1:32" ht="14.25" customHeight="1">
      <c r="A1769" s="176"/>
      <c r="B1769" s="176"/>
      <c r="C1769" s="177"/>
      <c r="D1769" s="176"/>
      <c r="E1769" s="176"/>
      <c r="F1769" s="259"/>
      <c r="G1769" s="176"/>
      <c r="H1769" s="178"/>
      <c r="I1769" s="592">
        <f t="shared" si="70"/>
        <v>0</v>
      </c>
      <c r="J1769" s="178"/>
      <c r="K1769" s="178"/>
      <c r="L1769" s="275" t="str">
        <f>IF(H:H=0,"",IF(ISERROR(VLOOKUP(H:H,produtos_escape2!$A$2:$B$2794,2,FALSE)),"Código não cadastrado",(VLOOKUP(H:H,produtos_escape2!$A$2:$B$2794,2,FALSE))))</f>
        <v/>
      </c>
      <c r="M1769" s="593" t="str">
        <f>IF(H:H=0,"",IF(ISERROR(VLOOKUP(H:H,produtos_escape2!$A$2:$D$2794,2,FALSE)),"Código não cadastrado",(VLOOKUP(H:H,produtos_escape2!$A$2:$D$2794,4,FALSE))))</f>
        <v/>
      </c>
      <c r="N1769" s="486"/>
      <c r="O1769" s="176"/>
      <c r="P1769" s="486"/>
      <c r="Q1769" s="247"/>
      <c r="R1769" s="246">
        <f t="shared" si="69"/>
        <v>0</v>
      </c>
      <c r="S1769" s="177"/>
      <c r="T1769" s="182"/>
      <c r="U1769" s="177"/>
      <c r="V1769" s="177"/>
      <c r="W1769" s="177"/>
      <c r="X1769" s="176"/>
      <c r="Y1769" s="177"/>
      <c r="Z1769" s="415"/>
      <c r="AA1769" s="488"/>
      <c r="AB1769" s="594"/>
      <c r="AC1769" s="595"/>
      <c r="AD1769" s="596" t="str">
        <f>IF(AND(AC1769&lt;&gt;"",S1769&lt;&gt;""),NETWORKDAYS(AC1769,S1769,#REF!),"")</f>
        <v/>
      </c>
      <c r="AE1769" s="596" t="str">
        <f ca="1">IF(AND(AD1769="",AC1769=""),"",IF(OR(AD1769&lt;&gt;"",O1769="*CANCELADO"),"",NETWORKDAYS(AC1769,TODAY(),#REF!)))</f>
        <v/>
      </c>
      <c r="AF1769" s="619"/>
    </row>
    <row r="1770" spans="1:32" ht="14.25" customHeight="1">
      <c r="A1770" s="176"/>
      <c r="B1770" s="176"/>
      <c r="C1770" s="177"/>
      <c r="D1770" s="176"/>
      <c r="E1770" s="176"/>
      <c r="F1770" s="259"/>
      <c r="G1770" s="176"/>
      <c r="H1770" s="178"/>
      <c r="I1770" s="592">
        <f t="shared" si="70"/>
        <v>0</v>
      </c>
      <c r="J1770" s="178"/>
      <c r="K1770" s="178"/>
      <c r="L1770" s="275" t="str">
        <f>IF(H:H=0,"",IF(ISERROR(VLOOKUP(H:H,produtos_escape2!$A$2:$B$2794,2,FALSE)),"Código não cadastrado",(VLOOKUP(H:H,produtos_escape2!$A$2:$B$2794,2,FALSE))))</f>
        <v/>
      </c>
      <c r="M1770" s="593" t="str">
        <f>IF(H:H=0,"",IF(ISERROR(VLOOKUP(H:H,produtos_escape2!$A$2:$D$2794,2,FALSE)),"Código não cadastrado",(VLOOKUP(H:H,produtos_escape2!$A$2:$D$2794,4,FALSE))))</f>
        <v/>
      </c>
      <c r="N1770" s="486"/>
      <c r="O1770" s="176"/>
      <c r="P1770" s="486"/>
      <c r="Q1770" s="247"/>
      <c r="R1770" s="246">
        <f t="shared" si="69"/>
        <v>0</v>
      </c>
      <c r="S1770" s="177"/>
      <c r="T1770" s="182"/>
      <c r="U1770" s="177"/>
      <c r="V1770" s="177"/>
      <c r="W1770" s="177"/>
      <c r="X1770" s="176"/>
      <c r="Y1770" s="177"/>
      <c r="Z1770" s="415"/>
      <c r="AA1770" s="488"/>
      <c r="AB1770" s="594"/>
      <c r="AC1770" s="595"/>
      <c r="AD1770" s="596" t="str">
        <f>IF(AND(AC1770&lt;&gt;"",S1770&lt;&gt;""),NETWORKDAYS(AC1770,S1770,#REF!),"")</f>
        <v/>
      </c>
      <c r="AE1770" s="596" t="str">
        <f ca="1">IF(AND(AD1770="",AC1770=""),"",IF(OR(AD1770&lt;&gt;"",O1770="*CANCELADO"),"",NETWORKDAYS(AC1770,TODAY(),#REF!)))</f>
        <v/>
      </c>
      <c r="AF1770" s="619"/>
    </row>
    <row r="1771" spans="1:32" ht="14.25" customHeight="1">
      <c r="A1771" s="176"/>
      <c r="B1771" s="176"/>
      <c r="C1771" s="177"/>
      <c r="D1771" s="176"/>
      <c r="E1771" s="176"/>
      <c r="F1771" s="259"/>
      <c r="G1771" s="176"/>
      <c r="H1771" s="178"/>
      <c r="I1771" s="592">
        <f t="shared" si="70"/>
        <v>0</v>
      </c>
      <c r="J1771" s="178"/>
      <c r="K1771" s="178"/>
      <c r="L1771" s="275" t="str">
        <f>IF(H:H=0,"",IF(ISERROR(VLOOKUP(H:H,produtos_escape2!$A$2:$B$2794,2,FALSE)),"Código não cadastrado",(VLOOKUP(H:H,produtos_escape2!$A$2:$B$2794,2,FALSE))))</f>
        <v/>
      </c>
      <c r="M1771" s="593" t="str">
        <f>IF(H:H=0,"",IF(ISERROR(VLOOKUP(H:H,produtos_escape2!$A$2:$D$2794,2,FALSE)),"Código não cadastrado",(VLOOKUP(H:H,produtos_escape2!$A$2:$D$2794,4,FALSE))))</f>
        <v/>
      </c>
      <c r="N1771" s="486"/>
      <c r="O1771" s="176"/>
      <c r="P1771" s="486"/>
      <c r="Q1771" s="247"/>
      <c r="R1771" s="246">
        <f t="shared" si="69"/>
        <v>0</v>
      </c>
      <c r="S1771" s="177"/>
      <c r="T1771" s="182"/>
      <c r="U1771" s="177"/>
      <c r="V1771" s="177"/>
      <c r="W1771" s="177"/>
      <c r="X1771" s="176"/>
      <c r="Y1771" s="177"/>
      <c r="Z1771" s="415"/>
      <c r="AA1771" s="488"/>
      <c r="AB1771" s="594"/>
      <c r="AC1771" s="595"/>
      <c r="AD1771" s="596" t="str">
        <f>IF(AND(AC1771&lt;&gt;"",S1771&lt;&gt;""),NETWORKDAYS(AC1771,S1771,#REF!),"")</f>
        <v/>
      </c>
      <c r="AE1771" s="596" t="str">
        <f ca="1">IF(AND(AD1771="",AC1771=""),"",IF(OR(AD1771&lt;&gt;"",O1771="*CANCELADO"),"",NETWORKDAYS(AC1771,TODAY(),#REF!)))</f>
        <v/>
      </c>
      <c r="AF1771" s="619"/>
    </row>
    <row r="1772" spans="1:32" ht="14.25" customHeight="1">
      <c r="A1772" s="176"/>
      <c r="B1772" s="176"/>
      <c r="C1772" s="177"/>
      <c r="D1772" s="176"/>
      <c r="E1772" s="176"/>
      <c r="F1772" s="259"/>
      <c r="G1772" s="176"/>
      <c r="H1772" s="178"/>
      <c r="I1772" s="592">
        <f t="shared" si="70"/>
        <v>0</v>
      </c>
      <c r="J1772" s="178"/>
      <c r="K1772" s="178"/>
      <c r="L1772" s="275" t="str">
        <f>IF(H:H=0,"",IF(ISERROR(VLOOKUP(H:H,produtos_escape2!$A$2:$B$2794,2,FALSE)),"Código não cadastrado",(VLOOKUP(H:H,produtos_escape2!$A$2:$B$2794,2,FALSE))))</f>
        <v/>
      </c>
      <c r="M1772" s="593" t="str">
        <f>IF(H:H=0,"",IF(ISERROR(VLOOKUP(H:H,produtos_escape2!$A$2:$D$2794,2,FALSE)),"Código não cadastrado",(VLOOKUP(H:H,produtos_escape2!$A$2:$D$2794,4,FALSE))))</f>
        <v/>
      </c>
      <c r="N1772" s="486"/>
      <c r="O1772" s="176"/>
      <c r="P1772" s="486"/>
      <c r="Q1772" s="247"/>
      <c r="R1772" s="246">
        <f t="shared" si="69"/>
        <v>0</v>
      </c>
      <c r="S1772" s="177"/>
      <c r="T1772" s="182"/>
      <c r="U1772" s="177"/>
      <c r="V1772" s="177"/>
      <c r="W1772" s="177"/>
      <c r="X1772" s="176"/>
      <c r="Y1772" s="177"/>
      <c r="Z1772" s="415"/>
      <c r="AA1772" s="488"/>
      <c r="AB1772" s="594"/>
      <c r="AC1772" s="595"/>
      <c r="AD1772" s="596" t="str">
        <f>IF(AND(AC1772&lt;&gt;"",S1772&lt;&gt;""),NETWORKDAYS(AC1772,S1772,#REF!),"")</f>
        <v/>
      </c>
      <c r="AE1772" s="596" t="str">
        <f ca="1">IF(AND(AD1772="",AC1772=""),"",IF(OR(AD1772&lt;&gt;"",O1772="*CANCELADO"),"",NETWORKDAYS(AC1772,TODAY(),#REF!)))</f>
        <v/>
      </c>
      <c r="AF1772" s="619"/>
    </row>
    <row r="1773" spans="1:32" ht="14.25" customHeight="1">
      <c r="A1773" s="176"/>
      <c r="B1773" s="176"/>
      <c r="C1773" s="177"/>
      <c r="D1773" s="176"/>
      <c r="E1773" s="176"/>
      <c r="F1773" s="259"/>
      <c r="G1773" s="176"/>
      <c r="H1773" s="178"/>
      <c r="I1773" s="592">
        <f t="shared" si="70"/>
        <v>0</v>
      </c>
      <c r="J1773" s="178"/>
      <c r="K1773" s="178"/>
      <c r="L1773" s="275" t="str">
        <f>IF(H:H=0,"",IF(ISERROR(VLOOKUP(H:H,produtos_escape2!$A$2:$B$2794,2,FALSE)),"Código não cadastrado",(VLOOKUP(H:H,produtos_escape2!$A$2:$B$2794,2,FALSE))))</f>
        <v/>
      </c>
      <c r="M1773" s="593" t="str">
        <f>IF(H:H=0,"",IF(ISERROR(VLOOKUP(H:H,produtos_escape2!$A$2:$D$2794,2,FALSE)),"Código não cadastrado",(VLOOKUP(H:H,produtos_escape2!$A$2:$D$2794,4,FALSE))))</f>
        <v/>
      </c>
      <c r="N1773" s="486"/>
      <c r="O1773" s="176"/>
      <c r="P1773" s="486"/>
      <c r="Q1773" s="247"/>
      <c r="R1773" s="246">
        <f t="shared" ref="R1773:R1836" si="71">P1773*Q1773</f>
        <v>0</v>
      </c>
      <c r="S1773" s="177"/>
      <c r="T1773" s="182"/>
      <c r="U1773" s="177"/>
      <c r="V1773" s="177"/>
      <c r="W1773" s="177"/>
      <c r="X1773" s="176"/>
      <c r="Y1773" s="177"/>
      <c r="Z1773" s="415"/>
      <c r="AA1773" s="488"/>
      <c r="AB1773" s="594"/>
      <c r="AC1773" s="595"/>
      <c r="AD1773" s="596" t="str">
        <f>IF(AND(AC1773&lt;&gt;"",S1773&lt;&gt;""),NETWORKDAYS(AC1773,S1773,#REF!),"")</f>
        <v/>
      </c>
      <c r="AE1773" s="596" t="str">
        <f ca="1">IF(AND(AD1773="",AC1773=""),"",IF(OR(AD1773&lt;&gt;"",O1773="*CANCELADO"),"",NETWORKDAYS(AC1773,TODAY(),#REF!)))</f>
        <v/>
      </c>
      <c r="AF1773" s="619"/>
    </row>
    <row r="1774" spans="1:32" ht="14.25" customHeight="1">
      <c r="A1774" s="176"/>
      <c r="B1774" s="176"/>
      <c r="C1774" s="177"/>
      <c r="D1774" s="176"/>
      <c r="E1774" s="176"/>
      <c r="F1774" s="259"/>
      <c r="G1774" s="176"/>
      <c r="H1774" s="178"/>
      <c r="I1774" s="592">
        <f t="shared" si="70"/>
        <v>0</v>
      </c>
      <c r="J1774" s="178"/>
      <c r="K1774" s="178"/>
      <c r="L1774" s="275" t="str">
        <f>IF(H:H=0,"",IF(ISERROR(VLOOKUP(H:H,produtos_escape2!$A$2:$B$2794,2,FALSE)),"Código não cadastrado",(VLOOKUP(H:H,produtos_escape2!$A$2:$B$2794,2,FALSE))))</f>
        <v/>
      </c>
      <c r="M1774" s="593" t="str">
        <f>IF(H:H=0,"",IF(ISERROR(VLOOKUP(H:H,produtos_escape2!$A$2:$D$2794,2,FALSE)),"Código não cadastrado",(VLOOKUP(H:H,produtos_escape2!$A$2:$D$2794,4,FALSE))))</f>
        <v/>
      </c>
      <c r="N1774" s="486"/>
      <c r="O1774" s="176"/>
      <c r="P1774" s="486"/>
      <c r="Q1774" s="247"/>
      <c r="R1774" s="246">
        <f t="shared" si="71"/>
        <v>0</v>
      </c>
      <c r="S1774" s="177"/>
      <c r="T1774" s="182"/>
      <c r="U1774" s="177"/>
      <c r="V1774" s="177"/>
      <c r="W1774" s="177"/>
      <c r="X1774" s="176"/>
      <c r="Y1774" s="177"/>
      <c r="Z1774" s="415"/>
      <c r="AA1774" s="488"/>
      <c r="AB1774" s="594"/>
      <c r="AC1774" s="595"/>
      <c r="AD1774" s="596" t="str">
        <f>IF(AND(AC1774&lt;&gt;"",S1774&lt;&gt;""),NETWORKDAYS(AC1774,S1774,#REF!),"")</f>
        <v/>
      </c>
      <c r="AE1774" s="596" t="str">
        <f ca="1">IF(AND(AD1774="",AC1774=""),"",IF(OR(AD1774&lt;&gt;"",O1774="*CANCELADO"),"",NETWORKDAYS(AC1774,TODAY(),#REF!)))</f>
        <v/>
      </c>
      <c r="AF1774" s="619"/>
    </row>
    <row r="1775" spans="1:32" ht="14.25" customHeight="1">
      <c r="A1775" s="176"/>
      <c r="B1775" s="176"/>
      <c r="C1775" s="177"/>
      <c r="D1775" s="176"/>
      <c r="E1775" s="176"/>
      <c r="F1775" s="259"/>
      <c r="G1775" s="176"/>
      <c r="H1775" s="178"/>
      <c r="I1775" s="592">
        <f t="shared" si="70"/>
        <v>0</v>
      </c>
      <c r="J1775" s="178"/>
      <c r="K1775" s="178"/>
      <c r="L1775" s="275" t="str">
        <f>IF(H:H=0,"",IF(ISERROR(VLOOKUP(H:H,produtos_escape2!$A$2:$B$2794,2,FALSE)),"Código não cadastrado",(VLOOKUP(H:H,produtos_escape2!$A$2:$B$2794,2,FALSE))))</f>
        <v/>
      </c>
      <c r="M1775" s="593" t="str">
        <f>IF(H:H=0,"",IF(ISERROR(VLOOKUP(H:H,produtos_escape2!$A$2:$D$2794,2,FALSE)),"Código não cadastrado",(VLOOKUP(H:H,produtos_escape2!$A$2:$D$2794,4,FALSE))))</f>
        <v/>
      </c>
      <c r="N1775" s="486"/>
      <c r="O1775" s="176"/>
      <c r="P1775" s="486"/>
      <c r="Q1775" s="247"/>
      <c r="R1775" s="246">
        <f t="shared" si="71"/>
        <v>0</v>
      </c>
      <c r="S1775" s="177"/>
      <c r="T1775" s="182"/>
      <c r="U1775" s="177"/>
      <c r="V1775" s="177"/>
      <c r="W1775" s="177"/>
      <c r="X1775" s="176"/>
      <c r="Y1775" s="177"/>
      <c r="Z1775" s="415"/>
      <c r="AA1775" s="488"/>
      <c r="AB1775" s="594"/>
      <c r="AC1775" s="595"/>
      <c r="AD1775" s="596" t="str">
        <f>IF(AND(AC1775&lt;&gt;"",S1775&lt;&gt;""),NETWORKDAYS(AC1775,S1775,#REF!),"")</f>
        <v/>
      </c>
      <c r="AE1775" s="596" t="str">
        <f ca="1">IF(AND(AD1775="",AC1775=""),"",IF(OR(AD1775&lt;&gt;"",O1775="*CANCELADO"),"",NETWORKDAYS(AC1775,TODAY(),#REF!)))</f>
        <v/>
      </c>
      <c r="AF1775" s="619"/>
    </row>
    <row r="1776" spans="1:32" ht="14.25" customHeight="1">
      <c r="A1776" s="176"/>
      <c r="B1776" s="176"/>
      <c r="C1776" s="177"/>
      <c r="D1776" s="176"/>
      <c r="E1776" s="176"/>
      <c r="F1776" s="259"/>
      <c r="G1776" s="176"/>
      <c r="H1776" s="178"/>
      <c r="I1776" s="592">
        <f t="shared" si="70"/>
        <v>0</v>
      </c>
      <c r="J1776" s="178"/>
      <c r="K1776" s="178"/>
      <c r="L1776" s="275" t="str">
        <f>IF(H:H=0,"",IF(ISERROR(VLOOKUP(H:H,produtos_escape2!$A$2:$B$2794,2,FALSE)),"Código não cadastrado",(VLOOKUP(H:H,produtos_escape2!$A$2:$B$2794,2,FALSE))))</f>
        <v/>
      </c>
      <c r="M1776" s="593" t="str">
        <f>IF(H:H=0,"",IF(ISERROR(VLOOKUP(H:H,produtos_escape2!$A$2:$D$2794,2,FALSE)),"Código não cadastrado",(VLOOKUP(H:H,produtos_escape2!$A$2:$D$2794,4,FALSE))))</f>
        <v/>
      </c>
      <c r="N1776" s="486"/>
      <c r="O1776" s="176"/>
      <c r="P1776" s="486"/>
      <c r="Q1776" s="247"/>
      <c r="R1776" s="246">
        <f t="shared" si="71"/>
        <v>0</v>
      </c>
      <c r="S1776" s="177"/>
      <c r="T1776" s="182"/>
      <c r="U1776" s="177"/>
      <c r="V1776" s="177"/>
      <c r="W1776" s="177"/>
      <c r="X1776" s="176"/>
      <c r="Y1776" s="177"/>
      <c r="Z1776" s="415"/>
      <c r="AA1776" s="488"/>
      <c r="AB1776" s="594"/>
      <c r="AC1776" s="595"/>
      <c r="AD1776" s="596" t="str">
        <f>IF(AND(AC1776&lt;&gt;"",S1776&lt;&gt;""),NETWORKDAYS(AC1776,S1776,#REF!),"")</f>
        <v/>
      </c>
      <c r="AE1776" s="596" t="str">
        <f ca="1">IF(AND(AD1776="",AC1776=""),"",IF(OR(AD1776&lt;&gt;"",O1776="*CANCELADO"),"",NETWORKDAYS(AC1776,TODAY(),#REF!)))</f>
        <v/>
      </c>
      <c r="AF1776" s="619"/>
    </row>
    <row r="1777" spans="1:32" ht="14.25" customHeight="1">
      <c r="A1777" s="176"/>
      <c r="B1777" s="176"/>
      <c r="C1777" s="177"/>
      <c r="D1777" s="176"/>
      <c r="E1777" s="176"/>
      <c r="F1777" s="259"/>
      <c r="G1777" s="176"/>
      <c r="H1777" s="178"/>
      <c r="I1777" s="592">
        <f t="shared" si="70"/>
        <v>0</v>
      </c>
      <c r="J1777" s="178"/>
      <c r="K1777" s="178"/>
      <c r="L1777" s="275" t="str">
        <f>IF(H:H=0,"",IF(ISERROR(VLOOKUP(H:H,produtos_escape2!$A$2:$B$2794,2,FALSE)),"Código não cadastrado",(VLOOKUP(H:H,produtos_escape2!$A$2:$B$2794,2,FALSE))))</f>
        <v/>
      </c>
      <c r="M1777" s="593" t="str">
        <f>IF(H:H=0,"",IF(ISERROR(VLOOKUP(H:H,produtos_escape2!$A$2:$D$2794,2,FALSE)),"Código não cadastrado",(VLOOKUP(H:H,produtos_escape2!$A$2:$D$2794,4,FALSE))))</f>
        <v/>
      </c>
      <c r="N1777" s="486"/>
      <c r="O1777" s="176"/>
      <c r="P1777" s="486"/>
      <c r="Q1777" s="247"/>
      <c r="R1777" s="246">
        <f t="shared" si="71"/>
        <v>0</v>
      </c>
      <c r="S1777" s="177"/>
      <c r="T1777" s="182"/>
      <c r="U1777" s="177"/>
      <c r="V1777" s="177"/>
      <c r="W1777" s="177"/>
      <c r="X1777" s="176"/>
      <c r="Y1777" s="177"/>
      <c r="Z1777" s="415"/>
      <c r="AA1777" s="488"/>
      <c r="AB1777" s="594"/>
      <c r="AC1777" s="595"/>
      <c r="AD1777" s="596" t="str">
        <f>IF(AND(AC1777&lt;&gt;"",S1777&lt;&gt;""),NETWORKDAYS(AC1777,S1777,#REF!),"")</f>
        <v/>
      </c>
      <c r="AE1777" s="596" t="str">
        <f ca="1">IF(AND(AD1777="",AC1777=""),"",IF(OR(AD1777&lt;&gt;"",O1777="*CANCELADO"),"",NETWORKDAYS(AC1777,TODAY(),#REF!)))</f>
        <v/>
      </c>
      <c r="AF1777" s="619"/>
    </row>
    <row r="1778" spans="1:32" ht="14.25" customHeight="1">
      <c r="A1778" s="176"/>
      <c r="B1778" s="176"/>
      <c r="C1778" s="177"/>
      <c r="D1778" s="176"/>
      <c r="E1778" s="176"/>
      <c r="F1778" s="259"/>
      <c r="G1778" s="176"/>
      <c r="H1778" s="178"/>
      <c r="I1778" s="592">
        <f t="shared" si="70"/>
        <v>0</v>
      </c>
      <c r="J1778" s="178"/>
      <c r="K1778" s="178"/>
      <c r="L1778" s="275" t="str">
        <f>IF(H:H=0,"",IF(ISERROR(VLOOKUP(H:H,produtos_escape2!$A$2:$B$2794,2,FALSE)),"Código não cadastrado",(VLOOKUP(H:H,produtos_escape2!$A$2:$B$2794,2,FALSE))))</f>
        <v/>
      </c>
      <c r="M1778" s="593" t="str">
        <f>IF(H:H=0,"",IF(ISERROR(VLOOKUP(H:H,produtos_escape2!$A$2:$D$2794,2,FALSE)),"Código não cadastrado",(VLOOKUP(H:H,produtos_escape2!$A$2:$D$2794,4,FALSE))))</f>
        <v/>
      </c>
      <c r="N1778" s="486"/>
      <c r="O1778" s="176"/>
      <c r="P1778" s="486"/>
      <c r="Q1778" s="247"/>
      <c r="R1778" s="246">
        <f t="shared" si="71"/>
        <v>0</v>
      </c>
      <c r="S1778" s="177"/>
      <c r="T1778" s="182"/>
      <c r="U1778" s="177"/>
      <c r="V1778" s="177"/>
      <c r="W1778" s="177"/>
      <c r="X1778" s="176"/>
      <c r="Y1778" s="177"/>
      <c r="Z1778" s="415"/>
      <c r="AA1778" s="488"/>
      <c r="AB1778" s="594"/>
      <c r="AC1778" s="595"/>
      <c r="AD1778" s="596" t="str">
        <f>IF(AND(AC1778&lt;&gt;"",S1778&lt;&gt;""),NETWORKDAYS(AC1778,S1778,#REF!),"")</f>
        <v/>
      </c>
      <c r="AE1778" s="596" t="str">
        <f ca="1">IF(AND(AD1778="",AC1778=""),"",IF(OR(AD1778&lt;&gt;"",O1778="*CANCELADO"),"",NETWORKDAYS(AC1778,TODAY(),#REF!)))</f>
        <v/>
      </c>
      <c r="AF1778" s="619"/>
    </row>
    <row r="1779" spans="1:32" ht="14.25" customHeight="1">
      <c r="A1779" s="176"/>
      <c r="B1779" s="176"/>
      <c r="C1779" s="177"/>
      <c r="D1779" s="176"/>
      <c r="E1779" s="176"/>
      <c r="F1779" s="259"/>
      <c r="G1779" s="176"/>
      <c r="H1779" s="178"/>
      <c r="I1779" s="592">
        <f t="shared" si="70"/>
        <v>0</v>
      </c>
      <c r="J1779" s="178"/>
      <c r="K1779" s="178"/>
      <c r="L1779" s="275" t="str">
        <f>IF(H:H=0,"",IF(ISERROR(VLOOKUP(H:H,produtos_escape2!$A$2:$B$2794,2,FALSE)),"Código não cadastrado",(VLOOKUP(H:H,produtos_escape2!$A$2:$B$2794,2,FALSE))))</f>
        <v/>
      </c>
      <c r="M1779" s="593" t="str">
        <f>IF(H:H=0,"",IF(ISERROR(VLOOKUP(H:H,produtos_escape2!$A$2:$D$2794,2,FALSE)),"Código não cadastrado",(VLOOKUP(H:H,produtos_escape2!$A$2:$D$2794,4,FALSE))))</f>
        <v/>
      </c>
      <c r="N1779" s="486"/>
      <c r="O1779" s="176"/>
      <c r="P1779" s="486"/>
      <c r="Q1779" s="247"/>
      <c r="R1779" s="246">
        <f t="shared" si="71"/>
        <v>0</v>
      </c>
      <c r="S1779" s="177"/>
      <c r="T1779" s="182"/>
      <c r="U1779" s="177"/>
      <c r="V1779" s="177"/>
      <c r="W1779" s="177"/>
      <c r="X1779" s="176"/>
      <c r="Y1779" s="177"/>
      <c r="Z1779" s="415"/>
      <c r="AA1779" s="488"/>
      <c r="AB1779" s="594"/>
      <c r="AC1779" s="595"/>
      <c r="AD1779" s="596" t="str">
        <f>IF(AND(AC1779&lt;&gt;"",S1779&lt;&gt;""),NETWORKDAYS(AC1779,S1779,#REF!),"")</f>
        <v/>
      </c>
      <c r="AE1779" s="596" t="str">
        <f ca="1">IF(AND(AD1779="",AC1779=""),"",IF(OR(AD1779&lt;&gt;"",O1779="*CANCELADO"),"",NETWORKDAYS(AC1779,TODAY(),#REF!)))</f>
        <v/>
      </c>
      <c r="AF1779" s="619"/>
    </row>
    <row r="1780" spans="1:32" ht="14.25" customHeight="1">
      <c r="A1780" s="176"/>
      <c r="B1780" s="176"/>
      <c r="C1780" s="177"/>
      <c r="D1780" s="176"/>
      <c r="E1780" s="176"/>
      <c r="F1780" s="259"/>
      <c r="G1780" s="176"/>
      <c r="H1780" s="178"/>
      <c r="I1780" s="592">
        <f t="shared" si="70"/>
        <v>0</v>
      </c>
      <c r="J1780" s="178"/>
      <c r="K1780" s="178"/>
      <c r="L1780" s="275" t="str">
        <f>IF(H:H=0,"",IF(ISERROR(VLOOKUP(H:H,produtos_escape2!$A$2:$B$2794,2,FALSE)),"Código não cadastrado",(VLOOKUP(H:H,produtos_escape2!$A$2:$B$2794,2,FALSE))))</f>
        <v/>
      </c>
      <c r="M1780" s="593" t="str">
        <f>IF(H:H=0,"",IF(ISERROR(VLOOKUP(H:H,produtos_escape2!$A$2:$D$2794,2,FALSE)),"Código não cadastrado",(VLOOKUP(H:H,produtos_escape2!$A$2:$D$2794,4,FALSE))))</f>
        <v/>
      </c>
      <c r="N1780" s="486"/>
      <c r="O1780" s="176"/>
      <c r="P1780" s="486"/>
      <c r="Q1780" s="247"/>
      <c r="R1780" s="246">
        <f t="shared" si="71"/>
        <v>0</v>
      </c>
      <c r="S1780" s="177"/>
      <c r="T1780" s="182"/>
      <c r="U1780" s="177"/>
      <c r="V1780" s="177"/>
      <c r="W1780" s="177"/>
      <c r="X1780" s="176"/>
      <c r="Y1780" s="177"/>
      <c r="Z1780" s="415"/>
      <c r="AA1780" s="488"/>
      <c r="AB1780" s="594"/>
      <c r="AC1780" s="595"/>
      <c r="AD1780" s="596" t="str">
        <f>IF(AND(AC1780&lt;&gt;"",S1780&lt;&gt;""),NETWORKDAYS(AC1780,S1780,#REF!),"")</f>
        <v/>
      </c>
      <c r="AE1780" s="596" t="str">
        <f ca="1">IF(AND(AD1780="",AC1780=""),"",IF(OR(AD1780&lt;&gt;"",O1780="*CANCELADO"),"",NETWORKDAYS(AC1780,TODAY(),#REF!)))</f>
        <v/>
      </c>
      <c r="AF1780" s="619"/>
    </row>
    <row r="1781" spans="1:32" ht="14.25" customHeight="1">
      <c r="A1781" s="176"/>
      <c r="B1781" s="176"/>
      <c r="C1781" s="177"/>
      <c r="D1781" s="176"/>
      <c r="E1781" s="176"/>
      <c r="F1781" s="259"/>
      <c r="G1781" s="176"/>
      <c r="H1781" s="178"/>
      <c r="I1781" s="592">
        <f t="shared" si="70"/>
        <v>0</v>
      </c>
      <c r="J1781" s="178"/>
      <c r="K1781" s="178"/>
      <c r="L1781" s="275" t="str">
        <f>IF(H:H=0,"",IF(ISERROR(VLOOKUP(H:H,produtos_escape2!$A$2:$B$2794,2,FALSE)),"Código não cadastrado",(VLOOKUP(H:H,produtos_escape2!$A$2:$B$2794,2,FALSE))))</f>
        <v/>
      </c>
      <c r="M1781" s="593" t="str">
        <f>IF(H:H=0,"",IF(ISERROR(VLOOKUP(H:H,produtos_escape2!$A$2:$D$2794,2,FALSE)),"Código não cadastrado",(VLOOKUP(H:H,produtos_escape2!$A$2:$D$2794,4,FALSE))))</f>
        <v/>
      </c>
      <c r="N1781" s="486"/>
      <c r="O1781" s="176"/>
      <c r="P1781" s="486"/>
      <c r="Q1781" s="247"/>
      <c r="R1781" s="246">
        <f t="shared" si="71"/>
        <v>0</v>
      </c>
      <c r="S1781" s="177"/>
      <c r="T1781" s="182"/>
      <c r="U1781" s="177"/>
      <c r="V1781" s="177"/>
      <c r="W1781" s="177"/>
      <c r="X1781" s="176"/>
      <c r="Y1781" s="177"/>
      <c r="Z1781" s="415"/>
      <c r="AA1781" s="488"/>
      <c r="AB1781" s="594"/>
      <c r="AC1781" s="595"/>
      <c r="AD1781" s="596" t="str">
        <f>IF(AND(AC1781&lt;&gt;"",S1781&lt;&gt;""),NETWORKDAYS(AC1781,S1781,#REF!),"")</f>
        <v/>
      </c>
      <c r="AE1781" s="596" t="str">
        <f ca="1">IF(AND(AD1781="",AC1781=""),"",IF(OR(AD1781&lt;&gt;"",O1781="*CANCELADO"),"",NETWORKDAYS(AC1781,TODAY(),#REF!)))</f>
        <v/>
      </c>
      <c r="AF1781" s="619"/>
    </row>
    <row r="1782" spans="1:32" ht="14.25" customHeight="1">
      <c r="A1782" s="176"/>
      <c r="B1782" s="176"/>
      <c r="C1782" s="177"/>
      <c r="D1782" s="176"/>
      <c r="E1782" s="176"/>
      <c r="F1782" s="259"/>
      <c r="G1782" s="176"/>
      <c r="H1782" s="178"/>
      <c r="I1782" s="592">
        <f t="shared" ref="I1782:I1845" si="72">COUNTIF($H$3:$H$3041,H1782)</f>
        <v>0</v>
      </c>
      <c r="J1782" s="178"/>
      <c r="K1782" s="178"/>
      <c r="L1782" s="275" t="str">
        <f>IF(H:H=0,"",IF(ISERROR(VLOOKUP(H:H,produtos_escape2!$A$2:$B$2794,2,FALSE)),"Código não cadastrado",(VLOOKUP(H:H,produtos_escape2!$A$2:$B$2794,2,FALSE))))</f>
        <v/>
      </c>
      <c r="M1782" s="593" t="str">
        <f>IF(H:H=0,"",IF(ISERROR(VLOOKUP(H:H,produtos_escape2!$A$2:$D$2794,2,FALSE)),"Código não cadastrado",(VLOOKUP(H:H,produtos_escape2!$A$2:$D$2794,4,FALSE))))</f>
        <v/>
      </c>
      <c r="N1782" s="486"/>
      <c r="O1782" s="176"/>
      <c r="P1782" s="486"/>
      <c r="Q1782" s="247"/>
      <c r="R1782" s="246">
        <f t="shared" si="71"/>
        <v>0</v>
      </c>
      <c r="S1782" s="177"/>
      <c r="T1782" s="182"/>
      <c r="U1782" s="177"/>
      <c r="V1782" s="177"/>
      <c r="W1782" s="177"/>
      <c r="X1782" s="176"/>
      <c r="Y1782" s="177"/>
      <c r="Z1782" s="415"/>
      <c r="AA1782" s="488"/>
      <c r="AB1782" s="594"/>
      <c r="AC1782" s="595"/>
      <c r="AD1782" s="596" t="str">
        <f>IF(AND(AC1782&lt;&gt;"",S1782&lt;&gt;""),NETWORKDAYS(AC1782,S1782,#REF!),"")</f>
        <v/>
      </c>
      <c r="AE1782" s="596" t="str">
        <f ca="1">IF(AND(AD1782="",AC1782=""),"",IF(OR(AD1782&lt;&gt;"",O1782="*CANCELADO"),"",NETWORKDAYS(AC1782,TODAY(),#REF!)))</f>
        <v/>
      </c>
      <c r="AF1782" s="619"/>
    </row>
    <row r="1783" spans="1:32" ht="14.25" customHeight="1">
      <c r="A1783" s="176"/>
      <c r="B1783" s="176"/>
      <c r="C1783" s="177"/>
      <c r="D1783" s="176"/>
      <c r="E1783" s="176"/>
      <c r="F1783" s="259"/>
      <c r="G1783" s="176"/>
      <c r="H1783" s="178"/>
      <c r="I1783" s="592">
        <f t="shared" si="72"/>
        <v>0</v>
      </c>
      <c r="J1783" s="178"/>
      <c r="K1783" s="178"/>
      <c r="L1783" s="275" t="str">
        <f>IF(H:H=0,"",IF(ISERROR(VLOOKUP(H:H,produtos_escape2!$A$2:$B$2794,2,FALSE)),"Código não cadastrado",(VLOOKUP(H:H,produtos_escape2!$A$2:$B$2794,2,FALSE))))</f>
        <v/>
      </c>
      <c r="M1783" s="593" t="str">
        <f>IF(H:H=0,"",IF(ISERROR(VLOOKUP(H:H,produtos_escape2!$A$2:$D$2794,2,FALSE)),"Código não cadastrado",(VLOOKUP(H:H,produtos_escape2!$A$2:$D$2794,4,FALSE))))</f>
        <v/>
      </c>
      <c r="N1783" s="486"/>
      <c r="O1783" s="176"/>
      <c r="P1783" s="486"/>
      <c r="Q1783" s="247"/>
      <c r="R1783" s="246">
        <f t="shared" si="71"/>
        <v>0</v>
      </c>
      <c r="S1783" s="177"/>
      <c r="T1783" s="182"/>
      <c r="U1783" s="177"/>
      <c r="V1783" s="177"/>
      <c r="W1783" s="177"/>
      <c r="X1783" s="176"/>
      <c r="Y1783" s="177"/>
      <c r="Z1783" s="415"/>
      <c r="AA1783" s="488"/>
      <c r="AB1783" s="594"/>
      <c r="AC1783" s="595"/>
      <c r="AD1783" s="596" t="str">
        <f>IF(AND(AC1783&lt;&gt;"",S1783&lt;&gt;""),NETWORKDAYS(AC1783,S1783,#REF!),"")</f>
        <v/>
      </c>
      <c r="AE1783" s="596" t="str">
        <f ca="1">IF(AND(AD1783="",AC1783=""),"",IF(OR(AD1783&lt;&gt;"",O1783="*CANCELADO"),"",NETWORKDAYS(AC1783,TODAY(),#REF!)))</f>
        <v/>
      </c>
      <c r="AF1783" s="619"/>
    </row>
    <row r="1784" spans="1:32" ht="14.25" customHeight="1">
      <c r="A1784" s="176"/>
      <c r="B1784" s="176"/>
      <c r="C1784" s="177"/>
      <c r="D1784" s="176"/>
      <c r="E1784" s="176"/>
      <c r="F1784" s="259"/>
      <c r="G1784" s="176"/>
      <c r="H1784" s="178"/>
      <c r="I1784" s="592">
        <f t="shared" si="72"/>
        <v>0</v>
      </c>
      <c r="J1784" s="178"/>
      <c r="K1784" s="178"/>
      <c r="L1784" s="275" t="str">
        <f>IF(H:H=0,"",IF(ISERROR(VLOOKUP(H:H,produtos_escape2!$A$2:$B$2794,2,FALSE)),"Código não cadastrado",(VLOOKUP(H:H,produtos_escape2!$A$2:$B$2794,2,FALSE))))</f>
        <v/>
      </c>
      <c r="M1784" s="593" t="str">
        <f>IF(H:H=0,"",IF(ISERROR(VLOOKUP(H:H,produtos_escape2!$A$2:$D$2794,2,FALSE)),"Código não cadastrado",(VLOOKUP(H:H,produtos_escape2!$A$2:$D$2794,4,FALSE))))</f>
        <v/>
      </c>
      <c r="N1784" s="486"/>
      <c r="O1784" s="176"/>
      <c r="P1784" s="486"/>
      <c r="Q1784" s="247"/>
      <c r="R1784" s="246">
        <f t="shared" si="71"/>
        <v>0</v>
      </c>
      <c r="S1784" s="177"/>
      <c r="T1784" s="182"/>
      <c r="U1784" s="177"/>
      <c r="V1784" s="177"/>
      <c r="W1784" s="177"/>
      <c r="X1784" s="176"/>
      <c r="Y1784" s="177"/>
      <c r="Z1784" s="415"/>
      <c r="AA1784" s="488"/>
      <c r="AB1784" s="594"/>
      <c r="AC1784" s="595"/>
      <c r="AD1784" s="596" t="str">
        <f>IF(AND(AC1784&lt;&gt;"",S1784&lt;&gt;""),NETWORKDAYS(AC1784,S1784,#REF!),"")</f>
        <v/>
      </c>
      <c r="AE1784" s="596" t="str">
        <f ca="1">IF(AND(AD1784="",AC1784=""),"",IF(OR(AD1784&lt;&gt;"",O1784="*CANCELADO"),"",NETWORKDAYS(AC1784,TODAY(),#REF!)))</f>
        <v/>
      </c>
      <c r="AF1784" s="619"/>
    </row>
    <row r="1785" spans="1:32" ht="14.25" customHeight="1">
      <c r="A1785" s="176"/>
      <c r="B1785" s="176"/>
      <c r="C1785" s="177"/>
      <c r="D1785" s="176"/>
      <c r="E1785" s="176"/>
      <c r="F1785" s="259"/>
      <c r="G1785" s="176"/>
      <c r="H1785" s="178"/>
      <c r="I1785" s="592">
        <f t="shared" si="72"/>
        <v>0</v>
      </c>
      <c r="J1785" s="178"/>
      <c r="K1785" s="178"/>
      <c r="L1785" s="275" t="str">
        <f>IF(H:H=0,"",IF(ISERROR(VLOOKUP(H:H,produtos_escape2!$A$2:$B$2794,2,FALSE)),"Código não cadastrado",(VLOOKUP(H:H,produtos_escape2!$A$2:$B$2794,2,FALSE))))</f>
        <v/>
      </c>
      <c r="M1785" s="593" t="str">
        <f>IF(H:H=0,"",IF(ISERROR(VLOOKUP(H:H,produtos_escape2!$A$2:$D$2794,2,FALSE)),"Código não cadastrado",(VLOOKUP(H:H,produtos_escape2!$A$2:$D$2794,4,FALSE))))</f>
        <v/>
      </c>
      <c r="N1785" s="486"/>
      <c r="O1785" s="176"/>
      <c r="P1785" s="486"/>
      <c r="Q1785" s="247"/>
      <c r="R1785" s="246">
        <f t="shared" si="71"/>
        <v>0</v>
      </c>
      <c r="S1785" s="177"/>
      <c r="T1785" s="182"/>
      <c r="U1785" s="177"/>
      <c r="V1785" s="177"/>
      <c r="W1785" s="177"/>
      <c r="X1785" s="176"/>
      <c r="Y1785" s="177"/>
      <c r="Z1785" s="415"/>
      <c r="AA1785" s="488"/>
      <c r="AB1785" s="594"/>
      <c r="AC1785" s="595"/>
      <c r="AD1785" s="596" t="str">
        <f>IF(AND(AC1785&lt;&gt;"",S1785&lt;&gt;""),NETWORKDAYS(AC1785,S1785,#REF!),"")</f>
        <v/>
      </c>
      <c r="AE1785" s="596" t="str">
        <f ca="1">IF(AND(AD1785="",AC1785=""),"",IF(OR(AD1785&lt;&gt;"",O1785="*CANCELADO"),"",NETWORKDAYS(AC1785,TODAY(),#REF!)))</f>
        <v/>
      </c>
      <c r="AF1785" s="619"/>
    </row>
    <row r="1786" spans="1:32" ht="14.25" customHeight="1">
      <c r="A1786" s="176"/>
      <c r="B1786" s="176"/>
      <c r="C1786" s="177"/>
      <c r="D1786" s="176"/>
      <c r="E1786" s="176"/>
      <c r="F1786" s="259"/>
      <c r="G1786" s="176"/>
      <c r="H1786" s="178"/>
      <c r="I1786" s="592">
        <f t="shared" si="72"/>
        <v>0</v>
      </c>
      <c r="J1786" s="178"/>
      <c r="K1786" s="178"/>
      <c r="L1786" s="275" t="str">
        <f>IF(H:H=0,"",IF(ISERROR(VLOOKUP(H:H,produtos_escape2!$A$2:$B$2794,2,FALSE)),"Código não cadastrado",(VLOOKUP(H:H,produtos_escape2!$A$2:$B$2794,2,FALSE))))</f>
        <v/>
      </c>
      <c r="M1786" s="593" t="str">
        <f>IF(H:H=0,"",IF(ISERROR(VLOOKUP(H:H,produtos_escape2!$A$2:$D$2794,2,FALSE)),"Código não cadastrado",(VLOOKUP(H:H,produtos_escape2!$A$2:$D$2794,4,FALSE))))</f>
        <v/>
      </c>
      <c r="N1786" s="486"/>
      <c r="O1786" s="176"/>
      <c r="P1786" s="486"/>
      <c r="Q1786" s="247"/>
      <c r="R1786" s="246">
        <f t="shared" si="71"/>
        <v>0</v>
      </c>
      <c r="S1786" s="177"/>
      <c r="T1786" s="182"/>
      <c r="U1786" s="177"/>
      <c r="V1786" s="177"/>
      <c r="W1786" s="177"/>
      <c r="X1786" s="176"/>
      <c r="Y1786" s="177"/>
      <c r="Z1786" s="415"/>
      <c r="AA1786" s="488"/>
      <c r="AB1786" s="594"/>
      <c r="AC1786" s="595"/>
      <c r="AD1786" s="596" t="str">
        <f>IF(AND(AC1786&lt;&gt;"",S1786&lt;&gt;""),NETWORKDAYS(AC1786,S1786,#REF!),"")</f>
        <v/>
      </c>
      <c r="AE1786" s="596" t="str">
        <f ca="1">IF(AND(AD1786="",AC1786=""),"",IF(OR(AD1786&lt;&gt;"",O1786="*CANCELADO"),"",NETWORKDAYS(AC1786,TODAY(),#REF!)))</f>
        <v/>
      </c>
      <c r="AF1786" s="619"/>
    </row>
    <row r="1787" spans="1:32" ht="14.25" customHeight="1">
      <c r="A1787" s="176"/>
      <c r="B1787" s="176"/>
      <c r="C1787" s="177"/>
      <c r="D1787" s="176"/>
      <c r="E1787" s="176"/>
      <c r="F1787" s="259"/>
      <c r="G1787" s="176"/>
      <c r="H1787" s="178"/>
      <c r="I1787" s="592">
        <f t="shared" si="72"/>
        <v>0</v>
      </c>
      <c r="J1787" s="178"/>
      <c r="K1787" s="178"/>
      <c r="L1787" s="275" t="str">
        <f>IF(H:H=0,"",IF(ISERROR(VLOOKUP(H:H,produtos_escape2!$A$2:$B$2794,2,FALSE)),"Código não cadastrado",(VLOOKUP(H:H,produtos_escape2!$A$2:$B$2794,2,FALSE))))</f>
        <v/>
      </c>
      <c r="M1787" s="593" t="str">
        <f>IF(H:H=0,"",IF(ISERROR(VLOOKUP(H:H,produtos_escape2!$A$2:$D$2794,2,FALSE)),"Código não cadastrado",(VLOOKUP(H:H,produtos_escape2!$A$2:$D$2794,4,FALSE))))</f>
        <v/>
      </c>
      <c r="N1787" s="486"/>
      <c r="O1787" s="176"/>
      <c r="P1787" s="486"/>
      <c r="Q1787" s="247"/>
      <c r="R1787" s="246">
        <f t="shared" si="71"/>
        <v>0</v>
      </c>
      <c r="S1787" s="177"/>
      <c r="T1787" s="182"/>
      <c r="U1787" s="177"/>
      <c r="V1787" s="177"/>
      <c r="W1787" s="177"/>
      <c r="X1787" s="176"/>
      <c r="Y1787" s="177"/>
      <c r="Z1787" s="415"/>
      <c r="AA1787" s="488"/>
      <c r="AB1787" s="594"/>
      <c r="AC1787" s="595"/>
      <c r="AD1787" s="596" t="str">
        <f>IF(AND(AC1787&lt;&gt;"",S1787&lt;&gt;""),NETWORKDAYS(AC1787,S1787,#REF!),"")</f>
        <v/>
      </c>
      <c r="AE1787" s="596" t="str">
        <f ca="1">IF(AND(AD1787="",AC1787=""),"",IF(OR(AD1787&lt;&gt;"",O1787="*CANCELADO"),"",NETWORKDAYS(AC1787,TODAY(),#REF!)))</f>
        <v/>
      </c>
      <c r="AF1787" s="619"/>
    </row>
    <row r="1788" spans="1:32" ht="14.25" customHeight="1">
      <c r="A1788" s="176"/>
      <c r="B1788" s="176"/>
      <c r="C1788" s="177"/>
      <c r="D1788" s="176"/>
      <c r="E1788" s="176"/>
      <c r="F1788" s="259"/>
      <c r="G1788" s="176"/>
      <c r="H1788" s="178"/>
      <c r="I1788" s="592">
        <f t="shared" si="72"/>
        <v>0</v>
      </c>
      <c r="J1788" s="178"/>
      <c r="K1788" s="178"/>
      <c r="L1788" s="275" t="str">
        <f>IF(H:H=0,"",IF(ISERROR(VLOOKUP(H:H,produtos_escape2!$A$2:$B$2794,2,FALSE)),"Código não cadastrado",(VLOOKUP(H:H,produtos_escape2!$A$2:$B$2794,2,FALSE))))</f>
        <v/>
      </c>
      <c r="M1788" s="593" t="str">
        <f>IF(H:H=0,"",IF(ISERROR(VLOOKUP(H:H,produtos_escape2!$A$2:$D$2794,2,FALSE)),"Código não cadastrado",(VLOOKUP(H:H,produtos_escape2!$A$2:$D$2794,4,FALSE))))</f>
        <v/>
      </c>
      <c r="N1788" s="486"/>
      <c r="O1788" s="176"/>
      <c r="P1788" s="486"/>
      <c r="Q1788" s="247"/>
      <c r="R1788" s="246">
        <f t="shared" si="71"/>
        <v>0</v>
      </c>
      <c r="S1788" s="177"/>
      <c r="T1788" s="182"/>
      <c r="U1788" s="177"/>
      <c r="V1788" s="177"/>
      <c r="W1788" s="177"/>
      <c r="X1788" s="176"/>
      <c r="Y1788" s="177"/>
      <c r="Z1788" s="415"/>
      <c r="AA1788" s="488"/>
      <c r="AB1788" s="594"/>
      <c r="AC1788" s="595"/>
      <c r="AD1788" s="596" t="str">
        <f>IF(AND(AC1788&lt;&gt;"",S1788&lt;&gt;""),NETWORKDAYS(AC1788,S1788,#REF!),"")</f>
        <v/>
      </c>
      <c r="AE1788" s="596" t="str">
        <f ca="1">IF(AND(AD1788="",AC1788=""),"",IF(OR(AD1788&lt;&gt;"",O1788="*CANCELADO"),"",NETWORKDAYS(AC1788,TODAY(),#REF!)))</f>
        <v/>
      </c>
      <c r="AF1788" s="619"/>
    </row>
    <row r="1789" spans="1:32" ht="14.25" customHeight="1">
      <c r="A1789" s="176"/>
      <c r="B1789" s="176"/>
      <c r="C1789" s="177"/>
      <c r="D1789" s="176"/>
      <c r="E1789" s="176"/>
      <c r="F1789" s="259"/>
      <c r="G1789" s="176"/>
      <c r="H1789" s="178"/>
      <c r="I1789" s="592">
        <f t="shared" si="72"/>
        <v>0</v>
      </c>
      <c r="J1789" s="178"/>
      <c r="K1789" s="178"/>
      <c r="L1789" s="275" t="str">
        <f>IF(H:H=0,"",IF(ISERROR(VLOOKUP(H:H,produtos_escape2!$A$2:$B$2794,2,FALSE)),"Código não cadastrado",(VLOOKUP(H:H,produtos_escape2!$A$2:$B$2794,2,FALSE))))</f>
        <v/>
      </c>
      <c r="M1789" s="593" t="str">
        <f>IF(H:H=0,"",IF(ISERROR(VLOOKUP(H:H,produtos_escape2!$A$2:$D$2794,2,FALSE)),"Código não cadastrado",(VLOOKUP(H:H,produtos_escape2!$A$2:$D$2794,4,FALSE))))</f>
        <v/>
      </c>
      <c r="N1789" s="486"/>
      <c r="O1789" s="176"/>
      <c r="P1789" s="486"/>
      <c r="Q1789" s="247"/>
      <c r="R1789" s="246">
        <f t="shared" si="71"/>
        <v>0</v>
      </c>
      <c r="S1789" s="177"/>
      <c r="T1789" s="182"/>
      <c r="U1789" s="177"/>
      <c r="V1789" s="177"/>
      <c r="W1789" s="177"/>
      <c r="X1789" s="176"/>
      <c r="Y1789" s="177"/>
      <c r="Z1789" s="415"/>
      <c r="AA1789" s="488"/>
      <c r="AB1789" s="594"/>
      <c r="AC1789" s="595"/>
      <c r="AD1789" s="596" t="str">
        <f>IF(AND(AC1789&lt;&gt;"",S1789&lt;&gt;""),NETWORKDAYS(AC1789,S1789,#REF!),"")</f>
        <v/>
      </c>
      <c r="AE1789" s="596" t="str">
        <f ca="1">IF(AND(AD1789="",AC1789=""),"",IF(OR(AD1789&lt;&gt;"",O1789="*CANCELADO"),"",NETWORKDAYS(AC1789,TODAY(),#REF!)))</f>
        <v/>
      </c>
      <c r="AF1789" s="619"/>
    </row>
    <row r="1790" spans="1:32" ht="14.25" customHeight="1">
      <c r="A1790" s="176"/>
      <c r="B1790" s="176"/>
      <c r="C1790" s="177"/>
      <c r="D1790" s="176"/>
      <c r="E1790" s="176"/>
      <c r="F1790" s="259"/>
      <c r="G1790" s="176"/>
      <c r="H1790" s="178"/>
      <c r="I1790" s="592">
        <f t="shared" si="72"/>
        <v>0</v>
      </c>
      <c r="J1790" s="178"/>
      <c r="K1790" s="178"/>
      <c r="L1790" s="275" t="str">
        <f>IF(H:H=0,"",IF(ISERROR(VLOOKUP(H:H,produtos_escape2!$A$2:$B$2794,2,FALSE)),"Código não cadastrado",(VLOOKUP(H:H,produtos_escape2!$A$2:$B$2794,2,FALSE))))</f>
        <v/>
      </c>
      <c r="M1790" s="593" t="str">
        <f>IF(H:H=0,"",IF(ISERROR(VLOOKUP(H:H,produtos_escape2!$A$2:$D$2794,2,FALSE)),"Código não cadastrado",(VLOOKUP(H:H,produtos_escape2!$A$2:$D$2794,4,FALSE))))</f>
        <v/>
      </c>
      <c r="N1790" s="486"/>
      <c r="O1790" s="176"/>
      <c r="P1790" s="486"/>
      <c r="Q1790" s="247"/>
      <c r="R1790" s="246">
        <f t="shared" si="71"/>
        <v>0</v>
      </c>
      <c r="S1790" s="177"/>
      <c r="T1790" s="182"/>
      <c r="U1790" s="177"/>
      <c r="V1790" s="177"/>
      <c r="W1790" s="177"/>
      <c r="X1790" s="176"/>
      <c r="Y1790" s="177"/>
      <c r="Z1790" s="415"/>
      <c r="AA1790" s="488"/>
      <c r="AB1790" s="594"/>
      <c r="AC1790" s="595"/>
      <c r="AD1790" s="596" t="str">
        <f>IF(AND(AC1790&lt;&gt;"",S1790&lt;&gt;""),NETWORKDAYS(AC1790,S1790,#REF!),"")</f>
        <v/>
      </c>
      <c r="AE1790" s="596" t="str">
        <f ca="1">IF(AND(AD1790="",AC1790=""),"",IF(OR(AD1790&lt;&gt;"",O1790="*CANCELADO"),"",NETWORKDAYS(AC1790,TODAY(),#REF!)))</f>
        <v/>
      </c>
      <c r="AF1790" s="619"/>
    </row>
    <row r="1791" spans="1:32" ht="14.25" customHeight="1">
      <c r="A1791" s="176"/>
      <c r="B1791" s="176"/>
      <c r="C1791" s="177"/>
      <c r="D1791" s="176"/>
      <c r="E1791" s="176"/>
      <c r="F1791" s="259"/>
      <c r="G1791" s="176"/>
      <c r="H1791" s="178"/>
      <c r="I1791" s="592">
        <f t="shared" si="72"/>
        <v>0</v>
      </c>
      <c r="J1791" s="178"/>
      <c r="K1791" s="178"/>
      <c r="L1791" s="275" t="str">
        <f>IF(H:H=0,"",IF(ISERROR(VLOOKUP(H:H,produtos_escape2!$A$2:$B$2794,2,FALSE)),"Código não cadastrado",(VLOOKUP(H:H,produtos_escape2!$A$2:$B$2794,2,FALSE))))</f>
        <v/>
      </c>
      <c r="M1791" s="593" t="str">
        <f>IF(H:H=0,"",IF(ISERROR(VLOOKUP(H:H,produtos_escape2!$A$2:$D$2794,2,FALSE)),"Código não cadastrado",(VLOOKUP(H:H,produtos_escape2!$A$2:$D$2794,4,FALSE))))</f>
        <v/>
      </c>
      <c r="N1791" s="486"/>
      <c r="O1791" s="176"/>
      <c r="P1791" s="486"/>
      <c r="Q1791" s="247"/>
      <c r="R1791" s="246">
        <f t="shared" si="71"/>
        <v>0</v>
      </c>
      <c r="S1791" s="177"/>
      <c r="T1791" s="182"/>
      <c r="U1791" s="177"/>
      <c r="V1791" s="177"/>
      <c r="W1791" s="177"/>
      <c r="X1791" s="176"/>
      <c r="Y1791" s="177"/>
      <c r="Z1791" s="415"/>
      <c r="AA1791" s="488"/>
      <c r="AB1791" s="594"/>
      <c r="AC1791" s="595"/>
      <c r="AD1791" s="596" t="str">
        <f>IF(AND(AC1791&lt;&gt;"",S1791&lt;&gt;""),NETWORKDAYS(AC1791,S1791,#REF!),"")</f>
        <v/>
      </c>
      <c r="AE1791" s="596" t="str">
        <f ca="1">IF(AND(AD1791="",AC1791=""),"",IF(OR(AD1791&lt;&gt;"",O1791="*CANCELADO"),"",NETWORKDAYS(AC1791,TODAY(),#REF!)))</f>
        <v/>
      </c>
      <c r="AF1791" s="619"/>
    </row>
    <row r="1792" spans="1:32" ht="14.25" customHeight="1">
      <c r="A1792" s="176"/>
      <c r="B1792" s="176"/>
      <c r="C1792" s="177"/>
      <c r="D1792" s="176"/>
      <c r="E1792" s="176"/>
      <c r="F1792" s="259"/>
      <c r="G1792" s="176"/>
      <c r="H1792" s="178"/>
      <c r="I1792" s="592">
        <f t="shared" si="72"/>
        <v>0</v>
      </c>
      <c r="J1792" s="178"/>
      <c r="K1792" s="178"/>
      <c r="L1792" s="275" t="str">
        <f>IF(H:H=0,"",IF(ISERROR(VLOOKUP(H:H,produtos_escape2!$A$2:$B$2794,2,FALSE)),"Código não cadastrado",(VLOOKUP(H:H,produtos_escape2!$A$2:$B$2794,2,FALSE))))</f>
        <v/>
      </c>
      <c r="M1792" s="593" t="str">
        <f>IF(H:H=0,"",IF(ISERROR(VLOOKUP(H:H,produtos_escape2!$A$2:$D$2794,2,FALSE)),"Código não cadastrado",(VLOOKUP(H:H,produtos_escape2!$A$2:$D$2794,4,FALSE))))</f>
        <v/>
      </c>
      <c r="N1792" s="486"/>
      <c r="O1792" s="176"/>
      <c r="P1792" s="486"/>
      <c r="Q1792" s="247"/>
      <c r="R1792" s="246">
        <f t="shared" si="71"/>
        <v>0</v>
      </c>
      <c r="S1792" s="177"/>
      <c r="T1792" s="182"/>
      <c r="U1792" s="177"/>
      <c r="V1792" s="177"/>
      <c r="W1792" s="177"/>
      <c r="X1792" s="176"/>
      <c r="Y1792" s="177"/>
      <c r="Z1792" s="415"/>
      <c r="AA1792" s="488"/>
      <c r="AB1792" s="594"/>
      <c r="AC1792" s="595"/>
      <c r="AD1792" s="596" t="str">
        <f>IF(AND(AC1792&lt;&gt;"",S1792&lt;&gt;""),NETWORKDAYS(AC1792,S1792,#REF!),"")</f>
        <v/>
      </c>
      <c r="AE1792" s="596" t="str">
        <f ca="1">IF(AND(AD1792="",AC1792=""),"",IF(OR(AD1792&lt;&gt;"",O1792="*CANCELADO"),"",NETWORKDAYS(AC1792,TODAY(),#REF!)))</f>
        <v/>
      </c>
      <c r="AF1792" s="619"/>
    </row>
    <row r="1793" spans="1:32" ht="14.25" customHeight="1">
      <c r="A1793" s="176"/>
      <c r="B1793" s="176"/>
      <c r="C1793" s="177"/>
      <c r="D1793" s="176"/>
      <c r="E1793" s="176"/>
      <c r="F1793" s="259"/>
      <c r="G1793" s="176"/>
      <c r="H1793" s="178"/>
      <c r="I1793" s="592">
        <f t="shared" si="72"/>
        <v>0</v>
      </c>
      <c r="J1793" s="178"/>
      <c r="K1793" s="178"/>
      <c r="L1793" s="275" t="str">
        <f>IF(H:H=0,"",IF(ISERROR(VLOOKUP(H:H,produtos_escape2!$A$2:$B$2794,2,FALSE)),"Código não cadastrado",(VLOOKUP(H:H,produtos_escape2!$A$2:$B$2794,2,FALSE))))</f>
        <v/>
      </c>
      <c r="M1793" s="593" t="str">
        <f>IF(H:H=0,"",IF(ISERROR(VLOOKUP(H:H,produtos_escape2!$A$2:$D$2794,2,FALSE)),"Código não cadastrado",(VLOOKUP(H:H,produtos_escape2!$A$2:$D$2794,4,FALSE))))</f>
        <v/>
      </c>
      <c r="N1793" s="486"/>
      <c r="O1793" s="176"/>
      <c r="P1793" s="486"/>
      <c r="Q1793" s="247"/>
      <c r="R1793" s="246">
        <f t="shared" si="71"/>
        <v>0</v>
      </c>
      <c r="S1793" s="177"/>
      <c r="T1793" s="182"/>
      <c r="U1793" s="177"/>
      <c r="V1793" s="177"/>
      <c r="W1793" s="177"/>
      <c r="X1793" s="176"/>
      <c r="Y1793" s="177"/>
      <c r="Z1793" s="415"/>
      <c r="AA1793" s="488"/>
      <c r="AB1793" s="594"/>
      <c r="AC1793" s="595"/>
      <c r="AD1793" s="596" t="str">
        <f>IF(AND(AC1793&lt;&gt;"",S1793&lt;&gt;""),NETWORKDAYS(AC1793,S1793,#REF!),"")</f>
        <v/>
      </c>
      <c r="AE1793" s="596" t="str">
        <f ca="1">IF(AND(AD1793="",AC1793=""),"",IF(OR(AD1793&lt;&gt;"",O1793="*CANCELADO"),"",NETWORKDAYS(AC1793,TODAY(),#REF!)))</f>
        <v/>
      </c>
      <c r="AF1793" s="619"/>
    </row>
    <row r="1794" spans="1:32" ht="14.25" customHeight="1">
      <c r="A1794" s="176"/>
      <c r="B1794" s="176"/>
      <c r="C1794" s="177"/>
      <c r="D1794" s="176"/>
      <c r="E1794" s="176"/>
      <c r="F1794" s="259"/>
      <c r="G1794" s="176"/>
      <c r="H1794" s="178"/>
      <c r="I1794" s="592">
        <f t="shared" si="72"/>
        <v>0</v>
      </c>
      <c r="J1794" s="178"/>
      <c r="K1794" s="178"/>
      <c r="L1794" s="275" t="str">
        <f>IF(H:H=0,"",IF(ISERROR(VLOOKUP(H:H,produtos_escape2!$A$2:$B$2794,2,FALSE)),"Código não cadastrado",(VLOOKUP(H:H,produtos_escape2!$A$2:$B$2794,2,FALSE))))</f>
        <v/>
      </c>
      <c r="M1794" s="593" t="str">
        <f>IF(H:H=0,"",IF(ISERROR(VLOOKUP(H:H,produtos_escape2!$A$2:$D$2794,2,FALSE)),"Código não cadastrado",(VLOOKUP(H:H,produtos_escape2!$A$2:$D$2794,4,FALSE))))</f>
        <v/>
      </c>
      <c r="N1794" s="486"/>
      <c r="O1794" s="176"/>
      <c r="P1794" s="486"/>
      <c r="Q1794" s="247"/>
      <c r="R1794" s="246">
        <f t="shared" si="71"/>
        <v>0</v>
      </c>
      <c r="S1794" s="177"/>
      <c r="T1794" s="182"/>
      <c r="U1794" s="177"/>
      <c r="V1794" s="177"/>
      <c r="W1794" s="177"/>
      <c r="X1794" s="176"/>
      <c r="Y1794" s="177"/>
      <c r="Z1794" s="415"/>
      <c r="AA1794" s="488"/>
      <c r="AB1794" s="594"/>
      <c r="AC1794" s="595"/>
      <c r="AD1794" s="596" t="str">
        <f>IF(AND(AC1794&lt;&gt;"",S1794&lt;&gt;""),NETWORKDAYS(AC1794,S1794,#REF!),"")</f>
        <v/>
      </c>
      <c r="AE1794" s="596" t="str">
        <f ca="1">IF(AND(AD1794="",AC1794=""),"",IF(OR(AD1794&lt;&gt;"",O1794="*CANCELADO"),"",NETWORKDAYS(AC1794,TODAY(),#REF!)))</f>
        <v/>
      </c>
      <c r="AF1794" s="619"/>
    </row>
    <row r="1795" spans="1:32" ht="14.25" customHeight="1">
      <c r="A1795" s="176"/>
      <c r="B1795" s="176"/>
      <c r="C1795" s="177"/>
      <c r="D1795" s="176"/>
      <c r="E1795" s="176"/>
      <c r="F1795" s="259"/>
      <c r="G1795" s="176"/>
      <c r="H1795" s="178"/>
      <c r="I1795" s="592">
        <f t="shared" si="72"/>
        <v>0</v>
      </c>
      <c r="J1795" s="178"/>
      <c r="K1795" s="178"/>
      <c r="L1795" s="275" t="str">
        <f>IF(H:H=0,"",IF(ISERROR(VLOOKUP(H:H,produtos_escape2!$A$2:$B$2794,2,FALSE)),"Código não cadastrado",(VLOOKUP(H:H,produtos_escape2!$A$2:$B$2794,2,FALSE))))</f>
        <v/>
      </c>
      <c r="M1795" s="593" t="str">
        <f>IF(H:H=0,"",IF(ISERROR(VLOOKUP(H:H,produtos_escape2!$A$2:$D$2794,2,FALSE)),"Código não cadastrado",(VLOOKUP(H:H,produtos_escape2!$A$2:$D$2794,4,FALSE))))</f>
        <v/>
      </c>
      <c r="N1795" s="486"/>
      <c r="O1795" s="176"/>
      <c r="P1795" s="486"/>
      <c r="Q1795" s="247"/>
      <c r="R1795" s="246">
        <f t="shared" si="71"/>
        <v>0</v>
      </c>
      <c r="S1795" s="177"/>
      <c r="T1795" s="182"/>
      <c r="U1795" s="177"/>
      <c r="V1795" s="177"/>
      <c r="W1795" s="177"/>
      <c r="X1795" s="176"/>
      <c r="Y1795" s="177"/>
      <c r="Z1795" s="415"/>
      <c r="AA1795" s="488"/>
      <c r="AB1795" s="594"/>
      <c r="AC1795" s="595"/>
      <c r="AD1795" s="596" t="str">
        <f>IF(AND(AC1795&lt;&gt;"",S1795&lt;&gt;""),NETWORKDAYS(AC1795,S1795,#REF!),"")</f>
        <v/>
      </c>
      <c r="AE1795" s="596" t="str">
        <f ca="1">IF(AND(AD1795="",AC1795=""),"",IF(OR(AD1795&lt;&gt;"",O1795="*CANCELADO"),"",NETWORKDAYS(AC1795,TODAY(),#REF!)))</f>
        <v/>
      </c>
      <c r="AF1795" s="619"/>
    </row>
    <row r="1796" spans="1:32" ht="14.25" customHeight="1">
      <c r="A1796" s="176"/>
      <c r="B1796" s="176"/>
      <c r="C1796" s="177"/>
      <c r="D1796" s="176"/>
      <c r="E1796" s="176"/>
      <c r="F1796" s="259"/>
      <c r="G1796" s="176"/>
      <c r="H1796" s="178"/>
      <c r="I1796" s="592">
        <f t="shared" si="72"/>
        <v>0</v>
      </c>
      <c r="J1796" s="178"/>
      <c r="K1796" s="178"/>
      <c r="L1796" s="275" t="str">
        <f>IF(H:H=0,"",IF(ISERROR(VLOOKUP(H:H,produtos_escape2!$A$2:$B$2794,2,FALSE)),"Código não cadastrado",(VLOOKUP(H:H,produtos_escape2!$A$2:$B$2794,2,FALSE))))</f>
        <v/>
      </c>
      <c r="M1796" s="593" t="str">
        <f>IF(H:H=0,"",IF(ISERROR(VLOOKUP(H:H,produtos_escape2!$A$2:$D$2794,2,FALSE)),"Código não cadastrado",(VLOOKUP(H:H,produtos_escape2!$A$2:$D$2794,4,FALSE))))</f>
        <v/>
      </c>
      <c r="N1796" s="486"/>
      <c r="O1796" s="176"/>
      <c r="P1796" s="486"/>
      <c r="Q1796" s="247"/>
      <c r="R1796" s="246">
        <f t="shared" si="71"/>
        <v>0</v>
      </c>
      <c r="S1796" s="177"/>
      <c r="T1796" s="182"/>
      <c r="U1796" s="177"/>
      <c r="V1796" s="177"/>
      <c r="W1796" s="177"/>
      <c r="X1796" s="176"/>
      <c r="Y1796" s="177"/>
      <c r="Z1796" s="415"/>
      <c r="AA1796" s="488"/>
      <c r="AB1796" s="594"/>
      <c r="AC1796" s="595"/>
      <c r="AD1796" s="596" t="str">
        <f>IF(AND(AC1796&lt;&gt;"",S1796&lt;&gt;""),NETWORKDAYS(AC1796,S1796,#REF!),"")</f>
        <v/>
      </c>
      <c r="AE1796" s="596" t="str">
        <f ca="1">IF(AND(AD1796="",AC1796=""),"",IF(OR(AD1796&lt;&gt;"",O1796="*CANCELADO"),"",NETWORKDAYS(AC1796,TODAY(),#REF!)))</f>
        <v/>
      </c>
      <c r="AF1796" s="619"/>
    </row>
    <row r="1797" spans="1:32" ht="14.25" customHeight="1">
      <c r="A1797" s="176"/>
      <c r="B1797" s="176"/>
      <c r="C1797" s="177"/>
      <c r="D1797" s="176"/>
      <c r="E1797" s="176"/>
      <c r="F1797" s="259"/>
      <c r="G1797" s="176"/>
      <c r="H1797" s="178"/>
      <c r="I1797" s="592">
        <f t="shared" si="72"/>
        <v>0</v>
      </c>
      <c r="J1797" s="178"/>
      <c r="K1797" s="178"/>
      <c r="L1797" s="275" t="str">
        <f>IF(H:H=0,"",IF(ISERROR(VLOOKUP(H:H,produtos_escape2!$A$2:$B$2794,2,FALSE)),"Código não cadastrado",(VLOOKUP(H:H,produtos_escape2!$A$2:$B$2794,2,FALSE))))</f>
        <v/>
      </c>
      <c r="M1797" s="593" t="str">
        <f>IF(H:H=0,"",IF(ISERROR(VLOOKUP(H:H,produtos_escape2!$A$2:$D$2794,2,FALSE)),"Código não cadastrado",(VLOOKUP(H:H,produtos_escape2!$A$2:$D$2794,4,FALSE))))</f>
        <v/>
      </c>
      <c r="N1797" s="486"/>
      <c r="O1797" s="176"/>
      <c r="P1797" s="486"/>
      <c r="Q1797" s="247"/>
      <c r="R1797" s="246">
        <f t="shared" si="71"/>
        <v>0</v>
      </c>
      <c r="S1797" s="177"/>
      <c r="T1797" s="182"/>
      <c r="U1797" s="177"/>
      <c r="V1797" s="177"/>
      <c r="W1797" s="177"/>
      <c r="X1797" s="176"/>
      <c r="Y1797" s="177"/>
      <c r="Z1797" s="415"/>
      <c r="AA1797" s="488"/>
      <c r="AB1797" s="594"/>
      <c r="AC1797" s="595"/>
      <c r="AD1797" s="596" t="str">
        <f>IF(AND(AC1797&lt;&gt;"",S1797&lt;&gt;""),NETWORKDAYS(AC1797,S1797,#REF!),"")</f>
        <v/>
      </c>
      <c r="AE1797" s="596" t="str">
        <f ca="1">IF(AND(AD1797="",AC1797=""),"",IF(OR(AD1797&lt;&gt;"",O1797="*CANCELADO"),"",NETWORKDAYS(AC1797,TODAY(),#REF!)))</f>
        <v/>
      </c>
      <c r="AF1797" s="619"/>
    </row>
    <row r="1798" spans="1:32" ht="14.25" customHeight="1">
      <c r="A1798" s="176"/>
      <c r="B1798" s="176"/>
      <c r="C1798" s="177"/>
      <c r="D1798" s="176"/>
      <c r="E1798" s="176"/>
      <c r="F1798" s="259"/>
      <c r="G1798" s="176"/>
      <c r="H1798" s="178"/>
      <c r="I1798" s="592">
        <f t="shared" si="72"/>
        <v>0</v>
      </c>
      <c r="J1798" s="178"/>
      <c r="K1798" s="178"/>
      <c r="L1798" s="275" t="str">
        <f>IF(H:H=0,"",IF(ISERROR(VLOOKUP(H:H,produtos_escape2!$A$2:$B$2794,2,FALSE)),"Código não cadastrado",(VLOOKUP(H:H,produtos_escape2!$A$2:$B$2794,2,FALSE))))</f>
        <v/>
      </c>
      <c r="M1798" s="593" t="str">
        <f>IF(H:H=0,"",IF(ISERROR(VLOOKUP(H:H,produtos_escape2!$A$2:$D$2794,2,FALSE)),"Código não cadastrado",(VLOOKUP(H:H,produtos_escape2!$A$2:$D$2794,4,FALSE))))</f>
        <v/>
      </c>
      <c r="N1798" s="486"/>
      <c r="O1798" s="176"/>
      <c r="P1798" s="486"/>
      <c r="Q1798" s="247"/>
      <c r="R1798" s="246">
        <f t="shared" si="71"/>
        <v>0</v>
      </c>
      <c r="S1798" s="177"/>
      <c r="T1798" s="182"/>
      <c r="U1798" s="177"/>
      <c r="V1798" s="177"/>
      <c r="W1798" s="177"/>
      <c r="X1798" s="176"/>
      <c r="Y1798" s="177"/>
      <c r="Z1798" s="415"/>
      <c r="AA1798" s="488"/>
      <c r="AB1798" s="594"/>
      <c r="AC1798" s="595"/>
      <c r="AD1798" s="596" t="str">
        <f>IF(AND(AC1798&lt;&gt;"",S1798&lt;&gt;""),NETWORKDAYS(AC1798,S1798,#REF!),"")</f>
        <v/>
      </c>
      <c r="AE1798" s="596" t="str">
        <f ca="1">IF(AND(AD1798="",AC1798=""),"",IF(OR(AD1798&lt;&gt;"",O1798="*CANCELADO"),"",NETWORKDAYS(AC1798,TODAY(),#REF!)))</f>
        <v/>
      </c>
      <c r="AF1798" s="619"/>
    </row>
    <row r="1799" spans="1:32" ht="14.25" customHeight="1">
      <c r="A1799" s="176"/>
      <c r="B1799" s="176"/>
      <c r="C1799" s="177"/>
      <c r="D1799" s="176"/>
      <c r="E1799" s="176"/>
      <c r="F1799" s="259"/>
      <c r="G1799" s="176"/>
      <c r="H1799" s="178"/>
      <c r="I1799" s="592">
        <f t="shared" si="72"/>
        <v>0</v>
      </c>
      <c r="J1799" s="178"/>
      <c r="K1799" s="178"/>
      <c r="L1799" s="275" t="str">
        <f>IF(H:H=0,"",IF(ISERROR(VLOOKUP(H:H,produtos_escape2!$A$2:$B$2794,2,FALSE)),"Código não cadastrado",(VLOOKUP(H:H,produtos_escape2!$A$2:$B$2794,2,FALSE))))</f>
        <v/>
      </c>
      <c r="M1799" s="593" t="str">
        <f>IF(H:H=0,"",IF(ISERROR(VLOOKUP(H:H,produtos_escape2!$A$2:$D$2794,2,FALSE)),"Código não cadastrado",(VLOOKUP(H:H,produtos_escape2!$A$2:$D$2794,4,FALSE))))</f>
        <v/>
      </c>
      <c r="N1799" s="486"/>
      <c r="O1799" s="176"/>
      <c r="P1799" s="486"/>
      <c r="Q1799" s="247"/>
      <c r="R1799" s="246">
        <f t="shared" si="71"/>
        <v>0</v>
      </c>
      <c r="S1799" s="177"/>
      <c r="T1799" s="182"/>
      <c r="U1799" s="177"/>
      <c r="V1799" s="177"/>
      <c r="W1799" s="177"/>
      <c r="X1799" s="176"/>
      <c r="Y1799" s="177"/>
      <c r="Z1799" s="415"/>
      <c r="AA1799" s="488"/>
      <c r="AB1799" s="594"/>
      <c r="AC1799" s="595"/>
      <c r="AD1799" s="596" t="str">
        <f>IF(AND(AC1799&lt;&gt;"",S1799&lt;&gt;""),NETWORKDAYS(AC1799,S1799,#REF!),"")</f>
        <v/>
      </c>
      <c r="AE1799" s="596" t="str">
        <f ca="1">IF(AND(AD1799="",AC1799=""),"",IF(OR(AD1799&lt;&gt;"",O1799="*CANCELADO"),"",NETWORKDAYS(AC1799,TODAY(),#REF!)))</f>
        <v/>
      </c>
      <c r="AF1799" s="619"/>
    </row>
    <row r="1800" spans="1:32" ht="14.25" customHeight="1">
      <c r="A1800" s="176"/>
      <c r="B1800" s="176"/>
      <c r="C1800" s="177"/>
      <c r="D1800" s="176"/>
      <c r="E1800" s="176"/>
      <c r="F1800" s="259"/>
      <c r="G1800" s="176"/>
      <c r="H1800" s="178"/>
      <c r="I1800" s="592">
        <f t="shared" si="72"/>
        <v>0</v>
      </c>
      <c r="J1800" s="178"/>
      <c r="K1800" s="178"/>
      <c r="L1800" s="275" t="str">
        <f>IF(H:H=0,"",IF(ISERROR(VLOOKUP(H:H,produtos_escape2!$A$2:$B$2794,2,FALSE)),"Código não cadastrado",(VLOOKUP(H:H,produtos_escape2!$A$2:$B$2794,2,FALSE))))</f>
        <v/>
      </c>
      <c r="M1800" s="593" t="str">
        <f>IF(H:H=0,"",IF(ISERROR(VLOOKUP(H:H,produtos_escape2!$A$2:$D$2794,2,FALSE)),"Código não cadastrado",(VLOOKUP(H:H,produtos_escape2!$A$2:$D$2794,4,FALSE))))</f>
        <v/>
      </c>
      <c r="N1800" s="486"/>
      <c r="O1800" s="176"/>
      <c r="P1800" s="486"/>
      <c r="Q1800" s="247"/>
      <c r="R1800" s="246">
        <f t="shared" si="71"/>
        <v>0</v>
      </c>
      <c r="S1800" s="177"/>
      <c r="T1800" s="182"/>
      <c r="U1800" s="177"/>
      <c r="V1800" s="177"/>
      <c r="W1800" s="177"/>
      <c r="X1800" s="176"/>
      <c r="Y1800" s="177"/>
      <c r="Z1800" s="415"/>
      <c r="AA1800" s="488"/>
      <c r="AB1800" s="594"/>
      <c r="AC1800" s="595"/>
      <c r="AD1800" s="596" t="str">
        <f>IF(AND(AC1800&lt;&gt;"",S1800&lt;&gt;""),NETWORKDAYS(AC1800,S1800,#REF!),"")</f>
        <v/>
      </c>
      <c r="AE1800" s="596" t="str">
        <f ca="1">IF(AND(AD1800="",AC1800=""),"",IF(OR(AD1800&lt;&gt;"",O1800="*CANCELADO"),"",NETWORKDAYS(AC1800,TODAY(),#REF!)))</f>
        <v/>
      </c>
      <c r="AF1800" s="619"/>
    </row>
    <row r="1801" spans="1:32" ht="14.25" customHeight="1">
      <c r="A1801" s="176"/>
      <c r="B1801" s="176"/>
      <c r="C1801" s="177"/>
      <c r="D1801" s="176"/>
      <c r="E1801" s="176"/>
      <c r="F1801" s="259"/>
      <c r="G1801" s="176"/>
      <c r="H1801" s="178"/>
      <c r="I1801" s="592">
        <f t="shared" si="72"/>
        <v>0</v>
      </c>
      <c r="J1801" s="178"/>
      <c r="K1801" s="178"/>
      <c r="L1801" s="275" t="str">
        <f>IF(H:H=0,"",IF(ISERROR(VLOOKUP(H:H,produtos_escape2!$A$2:$B$2794,2,FALSE)),"Código não cadastrado",(VLOOKUP(H:H,produtos_escape2!$A$2:$B$2794,2,FALSE))))</f>
        <v/>
      </c>
      <c r="M1801" s="593" t="str">
        <f>IF(H:H=0,"",IF(ISERROR(VLOOKUP(H:H,produtos_escape2!$A$2:$D$2794,2,FALSE)),"Código não cadastrado",(VLOOKUP(H:H,produtos_escape2!$A$2:$D$2794,4,FALSE))))</f>
        <v/>
      </c>
      <c r="N1801" s="486"/>
      <c r="O1801" s="176"/>
      <c r="P1801" s="486"/>
      <c r="Q1801" s="247"/>
      <c r="R1801" s="246">
        <f t="shared" si="71"/>
        <v>0</v>
      </c>
      <c r="S1801" s="177"/>
      <c r="T1801" s="182"/>
      <c r="U1801" s="177"/>
      <c r="V1801" s="177"/>
      <c r="W1801" s="177"/>
      <c r="X1801" s="176"/>
      <c r="Y1801" s="177"/>
      <c r="Z1801" s="415"/>
      <c r="AA1801" s="488"/>
      <c r="AB1801" s="594"/>
      <c r="AC1801" s="595"/>
      <c r="AD1801" s="596" t="str">
        <f>IF(AND(AC1801&lt;&gt;"",S1801&lt;&gt;""),NETWORKDAYS(AC1801,S1801,#REF!),"")</f>
        <v/>
      </c>
      <c r="AE1801" s="596" t="str">
        <f ca="1">IF(AND(AD1801="",AC1801=""),"",IF(OR(AD1801&lt;&gt;"",O1801="*CANCELADO"),"",NETWORKDAYS(AC1801,TODAY(),#REF!)))</f>
        <v/>
      </c>
      <c r="AF1801" s="619"/>
    </row>
    <row r="1802" spans="1:32" ht="14.25" customHeight="1">
      <c r="A1802" s="176"/>
      <c r="B1802" s="176"/>
      <c r="C1802" s="177"/>
      <c r="D1802" s="176"/>
      <c r="E1802" s="176"/>
      <c r="F1802" s="259"/>
      <c r="G1802" s="176"/>
      <c r="H1802" s="178"/>
      <c r="I1802" s="592">
        <f t="shared" si="72"/>
        <v>0</v>
      </c>
      <c r="J1802" s="178"/>
      <c r="K1802" s="178"/>
      <c r="L1802" s="275" t="str">
        <f>IF(H:H=0,"",IF(ISERROR(VLOOKUP(H:H,produtos_escape2!$A$2:$B$2794,2,FALSE)),"Código não cadastrado",(VLOOKUP(H:H,produtos_escape2!$A$2:$B$2794,2,FALSE))))</f>
        <v/>
      </c>
      <c r="M1802" s="593" t="str">
        <f>IF(H:H=0,"",IF(ISERROR(VLOOKUP(H:H,produtos_escape2!$A$2:$D$2794,2,FALSE)),"Código não cadastrado",(VLOOKUP(H:H,produtos_escape2!$A$2:$D$2794,4,FALSE))))</f>
        <v/>
      </c>
      <c r="N1802" s="486"/>
      <c r="O1802" s="176"/>
      <c r="P1802" s="486"/>
      <c r="Q1802" s="247"/>
      <c r="R1802" s="246">
        <f t="shared" si="71"/>
        <v>0</v>
      </c>
      <c r="S1802" s="177"/>
      <c r="T1802" s="182"/>
      <c r="U1802" s="177"/>
      <c r="V1802" s="177"/>
      <c r="W1802" s="177"/>
      <c r="X1802" s="176"/>
      <c r="Y1802" s="177"/>
      <c r="Z1802" s="415"/>
      <c r="AA1802" s="488"/>
      <c r="AB1802" s="594"/>
      <c r="AC1802" s="595"/>
      <c r="AD1802" s="596" t="str">
        <f>IF(AND(AC1802&lt;&gt;"",S1802&lt;&gt;""),NETWORKDAYS(AC1802,S1802,#REF!),"")</f>
        <v/>
      </c>
      <c r="AE1802" s="596" t="str">
        <f ca="1">IF(AND(AD1802="",AC1802=""),"",IF(OR(AD1802&lt;&gt;"",O1802="*CANCELADO"),"",NETWORKDAYS(AC1802,TODAY(),#REF!)))</f>
        <v/>
      </c>
      <c r="AF1802" s="619"/>
    </row>
    <row r="1803" spans="1:32" ht="14.25" customHeight="1">
      <c r="A1803" s="176"/>
      <c r="B1803" s="176"/>
      <c r="C1803" s="177"/>
      <c r="D1803" s="176"/>
      <c r="E1803" s="176"/>
      <c r="F1803" s="259"/>
      <c r="G1803" s="176"/>
      <c r="H1803" s="178"/>
      <c r="I1803" s="592">
        <f t="shared" si="72"/>
        <v>0</v>
      </c>
      <c r="J1803" s="178"/>
      <c r="K1803" s="178"/>
      <c r="L1803" s="275" t="str">
        <f>IF(H:H=0,"",IF(ISERROR(VLOOKUP(H:H,produtos_escape2!$A$2:$B$2794,2,FALSE)),"Código não cadastrado",(VLOOKUP(H:H,produtos_escape2!$A$2:$B$2794,2,FALSE))))</f>
        <v/>
      </c>
      <c r="M1803" s="593" t="str">
        <f>IF(H:H=0,"",IF(ISERROR(VLOOKUP(H:H,produtos_escape2!$A$2:$D$2794,2,FALSE)),"Código não cadastrado",(VLOOKUP(H:H,produtos_escape2!$A$2:$D$2794,4,FALSE))))</f>
        <v/>
      </c>
      <c r="N1803" s="486"/>
      <c r="O1803" s="176"/>
      <c r="P1803" s="486"/>
      <c r="Q1803" s="247"/>
      <c r="R1803" s="246">
        <f t="shared" si="71"/>
        <v>0</v>
      </c>
      <c r="S1803" s="177"/>
      <c r="T1803" s="182"/>
      <c r="U1803" s="177"/>
      <c r="V1803" s="177"/>
      <c r="W1803" s="177"/>
      <c r="X1803" s="176"/>
      <c r="Y1803" s="177"/>
      <c r="Z1803" s="415"/>
      <c r="AA1803" s="488"/>
      <c r="AB1803" s="594"/>
      <c r="AC1803" s="595"/>
      <c r="AD1803" s="596" t="str">
        <f>IF(AND(AC1803&lt;&gt;"",S1803&lt;&gt;""),NETWORKDAYS(AC1803,S1803,#REF!),"")</f>
        <v/>
      </c>
      <c r="AE1803" s="596" t="str">
        <f ca="1">IF(AND(AD1803="",AC1803=""),"",IF(OR(AD1803&lt;&gt;"",O1803="*CANCELADO"),"",NETWORKDAYS(AC1803,TODAY(),#REF!)))</f>
        <v/>
      </c>
      <c r="AF1803" s="619"/>
    </row>
    <row r="1804" spans="1:32" ht="14.25" customHeight="1">
      <c r="A1804" s="176"/>
      <c r="B1804" s="176"/>
      <c r="C1804" s="177"/>
      <c r="D1804" s="176"/>
      <c r="E1804" s="176"/>
      <c r="F1804" s="259"/>
      <c r="G1804" s="176"/>
      <c r="H1804" s="178"/>
      <c r="I1804" s="592">
        <f t="shared" si="72"/>
        <v>0</v>
      </c>
      <c r="J1804" s="178"/>
      <c r="K1804" s="178"/>
      <c r="L1804" s="275" t="str">
        <f>IF(H:H=0,"",IF(ISERROR(VLOOKUP(H:H,produtos_escape2!$A$2:$B$2794,2,FALSE)),"Código não cadastrado",(VLOOKUP(H:H,produtos_escape2!$A$2:$B$2794,2,FALSE))))</f>
        <v/>
      </c>
      <c r="M1804" s="593" t="str">
        <f>IF(H:H=0,"",IF(ISERROR(VLOOKUP(H:H,produtos_escape2!$A$2:$D$2794,2,FALSE)),"Código não cadastrado",(VLOOKUP(H:H,produtos_escape2!$A$2:$D$2794,4,FALSE))))</f>
        <v/>
      </c>
      <c r="N1804" s="486"/>
      <c r="O1804" s="176"/>
      <c r="P1804" s="486"/>
      <c r="Q1804" s="247"/>
      <c r="R1804" s="246">
        <f t="shared" si="71"/>
        <v>0</v>
      </c>
      <c r="S1804" s="177"/>
      <c r="T1804" s="182"/>
      <c r="U1804" s="177"/>
      <c r="V1804" s="177"/>
      <c r="W1804" s="177"/>
      <c r="X1804" s="176"/>
      <c r="Y1804" s="177"/>
      <c r="Z1804" s="415"/>
      <c r="AA1804" s="488"/>
      <c r="AB1804" s="594"/>
      <c r="AC1804" s="595"/>
      <c r="AD1804" s="596" t="str">
        <f>IF(AND(AC1804&lt;&gt;"",S1804&lt;&gt;""),NETWORKDAYS(AC1804,S1804,#REF!),"")</f>
        <v/>
      </c>
      <c r="AE1804" s="596" t="str">
        <f ca="1">IF(AND(AD1804="",AC1804=""),"",IF(OR(AD1804&lt;&gt;"",O1804="*CANCELADO"),"",NETWORKDAYS(AC1804,TODAY(),#REF!)))</f>
        <v/>
      </c>
      <c r="AF1804" s="619"/>
    </row>
    <row r="1805" spans="1:32" ht="14.25" customHeight="1">
      <c r="A1805" s="176"/>
      <c r="B1805" s="176"/>
      <c r="C1805" s="177"/>
      <c r="D1805" s="176"/>
      <c r="E1805" s="176"/>
      <c r="F1805" s="259"/>
      <c r="G1805" s="176"/>
      <c r="H1805" s="178"/>
      <c r="I1805" s="592">
        <f t="shared" si="72"/>
        <v>0</v>
      </c>
      <c r="J1805" s="178"/>
      <c r="K1805" s="178"/>
      <c r="L1805" s="275" t="str">
        <f>IF(H:H=0,"",IF(ISERROR(VLOOKUP(H:H,produtos_escape2!$A$2:$B$2794,2,FALSE)),"Código não cadastrado",(VLOOKUP(H:H,produtos_escape2!$A$2:$B$2794,2,FALSE))))</f>
        <v/>
      </c>
      <c r="M1805" s="593" t="str">
        <f>IF(H:H=0,"",IF(ISERROR(VLOOKUP(H:H,produtos_escape2!$A$2:$D$2794,2,FALSE)),"Código não cadastrado",(VLOOKUP(H:H,produtos_escape2!$A$2:$D$2794,4,FALSE))))</f>
        <v/>
      </c>
      <c r="N1805" s="486"/>
      <c r="O1805" s="176"/>
      <c r="P1805" s="486"/>
      <c r="Q1805" s="247"/>
      <c r="R1805" s="246">
        <f t="shared" si="71"/>
        <v>0</v>
      </c>
      <c r="S1805" s="177"/>
      <c r="T1805" s="182"/>
      <c r="U1805" s="177"/>
      <c r="V1805" s="177"/>
      <c r="W1805" s="177"/>
      <c r="X1805" s="176"/>
      <c r="Y1805" s="177"/>
      <c r="Z1805" s="415"/>
      <c r="AA1805" s="488"/>
      <c r="AB1805" s="594"/>
      <c r="AC1805" s="595"/>
      <c r="AD1805" s="596" t="str">
        <f>IF(AND(AC1805&lt;&gt;"",S1805&lt;&gt;""),NETWORKDAYS(AC1805,S1805,#REF!),"")</f>
        <v/>
      </c>
      <c r="AE1805" s="596" t="str">
        <f ca="1">IF(AND(AD1805="",AC1805=""),"",IF(OR(AD1805&lt;&gt;"",O1805="*CANCELADO"),"",NETWORKDAYS(AC1805,TODAY(),#REF!)))</f>
        <v/>
      </c>
      <c r="AF1805" s="619"/>
    </row>
    <row r="1806" spans="1:32" ht="14.25" customHeight="1">
      <c r="A1806" s="176"/>
      <c r="B1806" s="176"/>
      <c r="C1806" s="177"/>
      <c r="D1806" s="176"/>
      <c r="E1806" s="176"/>
      <c r="F1806" s="259"/>
      <c r="G1806" s="176"/>
      <c r="H1806" s="178"/>
      <c r="I1806" s="592">
        <f t="shared" si="72"/>
        <v>0</v>
      </c>
      <c r="J1806" s="178"/>
      <c r="K1806" s="178"/>
      <c r="L1806" s="275" t="str">
        <f>IF(H:H=0,"",IF(ISERROR(VLOOKUP(H:H,produtos_escape2!$A$2:$B$2794,2,FALSE)),"Código não cadastrado",(VLOOKUP(H:H,produtos_escape2!$A$2:$B$2794,2,FALSE))))</f>
        <v/>
      </c>
      <c r="M1806" s="593" t="str">
        <f>IF(H:H=0,"",IF(ISERROR(VLOOKUP(H:H,produtos_escape2!$A$2:$D$2794,2,FALSE)),"Código não cadastrado",(VLOOKUP(H:H,produtos_escape2!$A$2:$D$2794,4,FALSE))))</f>
        <v/>
      </c>
      <c r="N1806" s="486"/>
      <c r="O1806" s="176"/>
      <c r="P1806" s="486"/>
      <c r="Q1806" s="247"/>
      <c r="R1806" s="246">
        <f t="shared" si="71"/>
        <v>0</v>
      </c>
      <c r="S1806" s="177"/>
      <c r="T1806" s="182"/>
      <c r="U1806" s="177"/>
      <c r="V1806" s="177"/>
      <c r="W1806" s="177"/>
      <c r="X1806" s="176"/>
      <c r="Y1806" s="177"/>
      <c r="Z1806" s="415"/>
      <c r="AA1806" s="488"/>
      <c r="AB1806" s="594"/>
      <c r="AC1806" s="595"/>
      <c r="AD1806" s="596" t="str">
        <f>IF(AND(AC1806&lt;&gt;"",S1806&lt;&gt;""),NETWORKDAYS(AC1806,S1806,#REF!),"")</f>
        <v/>
      </c>
      <c r="AE1806" s="596" t="str">
        <f ca="1">IF(AND(AD1806="",AC1806=""),"",IF(OR(AD1806&lt;&gt;"",O1806="*CANCELADO"),"",NETWORKDAYS(AC1806,TODAY(),#REF!)))</f>
        <v/>
      </c>
      <c r="AF1806" s="619"/>
    </row>
    <row r="1807" spans="1:32" ht="14.25" customHeight="1">
      <c r="A1807" s="176"/>
      <c r="B1807" s="176"/>
      <c r="C1807" s="177"/>
      <c r="D1807" s="176"/>
      <c r="E1807" s="176"/>
      <c r="F1807" s="259"/>
      <c r="G1807" s="176"/>
      <c r="H1807" s="178"/>
      <c r="I1807" s="592">
        <f t="shared" si="72"/>
        <v>0</v>
      </c>
      <c r="J1807" s="178"/>
      <c r="K1807" s="178"/>
      <c r="L1807" s="275" t="str">
        <f>IF(H:H=0,"",IF(ISERROR(VLOOKUP(H:H,produtos_escape2!$A$2:$B$2794,2,FALSE)),"Código não cadastrado",(VLOOKUP(H:H,produtos_escape2!$A$2:$B$2794,2,FALSE))))</f>
        <v/>
      </c>
      <c r="M1807" s="593" t="str">
        <f>IF(H:H=0,"",IF(ISERROR(VLOOKUP(H:H,produtos_escape2!$A$2:$D$2794,2,FALSE)),"Código não cadastrado",(VLOOKUP(H:H,produtos_escape2!$A$2:$D$2794,4,FALSE))))</f>
        <v/>
      </c>
      <c r="N1807" s="486"/>
      <c r="O1807" s="176"/>
      <c r="P1807" s="486"/>
      <c r="Q1807" s="247"/>
      <c r="R1807" s="246">
        <f t="shared" si="71"/>
        <v>0</v>
      </c>
      <c r="S1807" s="177"/>
      <c r="T1807" s="182"/>
      <c r="U1807" s="177"/>
      <c r="V1807" s="177"/>
      <c r="W1807" s="177"/>
      <c r="X1807" s="176"/>
      <c r="Y1807" s="177"/>
      <c r="Z1807" s="415"/>
      <c r="AA1807" s="488"/>
      <c r="AB1807" s="594"/>
      <c r="AC1807" s="595"/>
      <c r="AD1807" s="596" t="str">
        <f>IF(AND(AC1807&lt;&gt;"",S1807&lt;&gt;""),NETWORKDAYS(AC1807,S1807,#REF!),"")</f>
        <v/>
      </c>
      <c r="AE1807" s="596" t="str">
        <f ca="1">IF(AND(AD1807="",AC1807=""),"",IF(OR(AD1807&lt;&gt;"",O1807="*CANCELADO"),"",NETWORKDAYS(AC1807,TODAY(),#REF!)))</f>
        <v/>
      </c>
      <c r="AF1807" s="619"/>
    </row>
    <row r="1808" spans="1:32" ht="14.25" customHeight="1">
      <c r="A1808" s="176"/>
      <c r="B1808" s="176"/>
      <c r="C1808" s="177"/>
      <c r="D1808" s="176"/>
      <c r="E1808" s="176"/>
      <c r="F1808" s="259"/>
      <c r="G1808" s="176"/>
      <c r="H1808" s="178"/>
      <c r="I1808" s="592">
        <f t="shared" si="72"/>
        <v>0</v>
      </c>
      <c r="J1808" s="178"/>
      <c r="K1808" s="178"/>
      <c r="L1808" s="275" t="str">
        <f>IF(H:H=0,"",IF(ISERROR(VLOOKUP(H:H,produtos_escape2!$A$2:$B$2794,2,FALSE)),"Código não cadastrado",(VLOOKUP(H:H,produtos_escape2!$A$2:$B$2794,2,FALSE))))</f>
        <v/>
      </c>
      <c r="M1808" s="593" t="str">
        <f>IF(H:H=0,"",IF(ISERROR(VLOOKUP(H:H,produtos_escape2!$A$2:$D$2794,2,FALSE)),"Código não cadastrado",(VLOOKUP(H:H,produtos_escape2!$A$2:$D$2794,4,FALSE))))</f>
        <v/>
      </c>
      <c r="N1808" s="486"/>
      <c r="O1808" s="176"/>
      <c r="P1808" s="486"/>
      <c r="Q1808" s="247"/>
      <c r="R1808" s="246">
        <f t="shared" si="71"/>
        <v>0</v>
      </c>
      <c r="S1808" s="177"/>
      <c r="T1808" s="182"/>
      <c r="U1808" s="177"/>
      <c r="V1808" s="177"/>
      <c r="W1808" s="177"/>
      <c r="X1808" s="176"/>
      <c r="Y1808" s="177"/>
      <c r="Z1808" s="415"/>
      <c r="AA1808" s="488"/>
      <c r="AB1808" s="594"/>
      <c r="AC1808" s="595"/>
      <c r="AD1808" s="596" t="str">
        <f>IF(AND(AC1808&lt;&gt;"",S1808&lt;&gt;""),NETWORKDAYS(AC1808,S1808,#REF!),"")</f>
        <v/>
      </c>
      <c r="AE1808" s="596" t="str">
        <f ca="1">IF(AND(AD1808="",AC1808=""),"",IF(OR(AD1808&lt;&gt;"",O1808="*CANCELADO"),"",NETWORKDAYS(AC1808,TODAY(),#REF!)))</f>
        <v/>
      </c>
      <c r="AF1808" s="619"/>
    </row>
    <row r="1809" spans="1:32" ht="14.25" customHeight="1">
      <c r="A1809" s="176"/>
      <c r="B1809" s="176"/>
      <c r="C1809" s="177"/>
      <c r="D1809" s="176"/>
      <c r="E1809" s="176"/>
      <c r="F1809" s="259"/>
      <c r="G1809" s="176"/>
      <c r="H1809" s="178"/>
      <c r="I1809" s="592">
        <f t="shared" si="72"/>
        <v>0</v>
      </c>
      <c r="J1809" s="178"/>
      <c r="K1809" s="178"/>
      <c r="L1809" s="275" t="str">
        <f>IF(H:H=0,"",IF(ISERROR(VLOOKUP(H:H,produtos_escape2!$A$2:$B$2794,2,FALSE)),"Código não cadastrado",(VLOOKUP(H:H,produtos_escape2!$A$2:$B$2794,2,FALSE))))</f>
        <v/>
      </c>
      <c r="M1809" s="593" t="str">
        <f>IF(H:H=0,"",IF(ISERROR(VLOOKUP(H:H,produtos_escape2!$A$2:$D$2794,2,FALSE)),"Código não cadastrado",(VLOOKUP(H:H,produtos_escape2!$A$2:$D$2794,4,FALSE))))</f>
        <v/>
      </c>
      <c r="N1809" s="486"/>
      <c r="O1809" s="176"/>
      <c r="P1809" s="486"/>
      <c r="Q1809" s="247"/>
      <c r="R1809" s="246">
        <f t="shared" si="71"/>
        <v>0</v>
      </c>
      <c r="S1809" s="177"/>
      <c r="T1809" s="182"/>
      <c r="U1809" s="177"/>
      <c r="V1809" s="177"/>
      <c r="W1809" s="177"/>
      <c r="X1809" s="176"/>
      <c r="Y1809" s="177"/>
      <c r="Z1809" s="415"/>
      <c r="AA1809" s="488"/>
      <c r="AB1809" s="594"/>
      <c r="AC1809" s="595"/>
      <c r="AD1809" s="596" t="str">
        <f>IF(AND(AC1809&lt;&gt;"",S1809&lt;&gt;""),NETWORKDAYS(AC1809,S1809,#REF!),"")</f>
        <v/>
      </c>
      <c r="AE1809" s="596" t="str">
        <f ca="1">IF(AND(AD1809="",AC1809=""),"",IF(OR(AD1809&lt;&gt;"",O1809="*CANCELADO"),"",NETWORKDAYS(AC1809,TODAY(),#REF!)))</f>
        <v/>
      </c>
      <c r="AF1809" s="619"/>
    </row>
    <row r="1810" spans="1:32" ht="14.25" customHeight="1">
      <c r="A1810" s="176"/>
      <c r="B1810" s="176"/>
      <c r="C1810" s="177"/>
      <c r="D1810" s="176"/>
      <c r="E1810" s="176"/>
      <c r="F1810" s="259"/>
      <c r="G1810" s="176"/>
      <c r="H1810" s="178"/>
      <c r="I1810" s="592">
        <f t="shared" si="72"/>
        <v>0</v>
      </c>
      <c r="J1810" s="178"/>
      <c r="K1810" s="178"/>
      <c r="L1810" s="275" t="str">
        <f>IF(H:H=0,"",IF(ISERROR(VLOOKUP(H:H,produtos_escape2!$A$2:$B$2794,2,FALSE)),"Código não cadastrado",(VLOOKUP(H:H,produtos_escape2!$A$2:$B$2794,2,FALSE))))</f>
        <v/>
      </c>
      <c r="M1810" s="593" t="str">
        <f>IF(H:H=0,"",IF(ISERROR(VLOOKUP(H:H,produtos_escape2!$A$2:$D$2794,2,FALSE)),"Código não cadastrado",(VLOOKUP(H:H,produtos_escape2!$A$2:$D$2794,4,FALSE))))</f>
        <v/>
      </c>
      <c r="N1810" s="486"/>
      <c r="O1810" s="176"/>
      <c r="P1810" s="486"/>
      <c r="Q1810" s="247"/>
      <c r="R1810" s="246">
        <f t="shared" si="71"/>
        <v>0</v>
      </c>
      <c r="S1810" s="177"/>
      <c r="T1810" s="182"/>
      <c r="U1810" s="177"/>
      <c r="V1810" s="177"/>
      <c r="W1810" s="177"/>
      <c r="X1810" s="176"/>
      <c r="Y1810" s="177"/>
      <c r="Z1810" s="415"/>
      <c r="AA1810" s="488"/>
      <c r="AB1810" s="594"/>
      <c r="AC1810" s="595"/>
      <c r="AD1810" s="596" t="str">
        <f>IF(AND(AC1810&lt;&gt;"",S1810&lt;&gt;""),NETWORKDAYS(AC1810,S1810,#REF!),"")</f>
        <v/>
      </c>
      <c r="AE1810" s="596" t="str">
        <f ca="1">IF(AND(AD1810="",AC1810=""),"",IF(OR(AD1810&lt;&gt;"",O1810="*CANCELADO"),"",NETWORKDAYS(AC1810,TODAY(),#REF!)))</f>
        <v/>
      </c>
      <c r="AF1810" s="619"/>
    </row>
    <row r="1811" spans="1:32" ht="14.25" customHeight="1">
      <c r="A1811" s="176"/>
      <c r="B1811" s="176"/>
      <c r="C1811" s="177"/>
      <c r="D1811" s="176"/>
      <c r="E1811" s="176"/>
      <c r="F1811" s="259"/>
      <c r="G1811" s="176"/>
      <c r="H1811" s="178"/>
      <c r="I1811" s="592">
        <f t="shared" si="72"/>
        <v>0</v>
      </c>
      <c r="J1811" s="178"/>
      <c r="K1811" s="178"/>
      <c r="L1811" s="275" t="str">
        <f>IF(H:H=0,"",IF(ISERROR(VLOOKUP(H:H,produtos_escape2!$A$2:$B$2794,2,FALSE)),"Código não cadastrado",(VLOOKUP(H:H,produtos_escape2!$A$2:$B$2794,2,FALSE))))</f>
        <v/>
      </c>
      <c r="M1811" s="593" t="str">
        <f>IF(H:H=0,"",IF(ISERROR(VLOOKUP(H:H,produtos_escape2!$A$2:$D$2794,2,FALSE)),"Código não cadastrado",(VLOOKUP(H:H,produtos_escape2!$A$2:$D$2794,4,FALSE))))</f>
        <v/>
      </c>
      <c r="N1811" s="486"/>
      <c r="O1811" s="176"/>
      <c r="P1811" s="486"/>
      <c r="Q1811" s="247"/>
      <c r="R1811" s="246">
        <f t="shared" si="71"/>
        <v>0</v>
      </c>
      <c r="S1811" s="177"/>
      <c r="T1811" s="182"/>
      <c r="U1811" s="177"/>
      <c r="V1811" s="177"/>
      <c r="W1811" s="177"/>
      <c r="X1811" s="176"/>
      <c r="Y1811" s="177"/>
      <c r="Z1811" s="415"/>
      <c r="AA1811" s="488"/>
      <c r="AB1811" s="594"/>
      <c r="AC1811" s="595"/>
      <c r="AD1811" s="596" t="str">
        <f>IF(AND(AC1811&lt;&gt;"",S1811&lt;&gt;""),NETWORKDAYS(AC1811,S1811,#REF!),"")</f>
        <v/>
      </c>
      <c r="AE1811" s="596" t="str">
        <f ca="1">IF(AND(AD1811="",AC1811=""),"",IF(OR(AD1811&lt;&gt;"",O1811="*CANCELADO"),"",NETWORKDAYS(AC1811,TODAY(),#REF!)))</f>
        <v/>
      </c>
      <c r="AF1811" s="619"/>
    </row>
    <row r="1812" spans="1:32" ht="14.25" customHeight="1">
      <c r="A1812" s="176"/>
      <c r="B1812" s="176"/>
      <c r="C1812" s="177"/>
      <c r="D1812" s="176"/>
      <c r="E1812" s="176"/>
      <c r="F1812" s="259"/>
      <c r="G1812" s="176"/>
      <c r="H1812" s="178"/>
      <c r="I1812" s="592">
        <f t="shared" si="72"/>
        <v>0</v>
      </c>
      <c r="J1812" s="178"/>
      <c r="K1812" s="178"/>
      <c r="L1812" s="275" t="str">
        <f>IF(H:H=0,"",IF(ISERROR(VLOOKUP(H:H,produtos_escape2!$A$2:$B$2794,2,FALSE)),"Código não cadastrado",(VLOOKUP(H:H,produtos_escape2!$A$2:$B$2794,2,FALSE))))</f>
        <v/>
      </c>
      <c r="M1812" s="593" t="str">
        <f>IF(H:H=0,"",IF(ISERROR(VLOOKUP(H:H,produtos_escape2!$A$2:$D$2794,2,FALSE)),"Código não cadastrado",(VLOOKUP(H:H,produtos_escape2!$A$2:$D$2794,4,FALSE))))</f>
        <v/>
      </c>
      <c r="N1812" s="486"/>
      <c r="O1812" s="176"/>
      <c r="P1812" s="486"/>
      <c r="Q1812" s="247"/>
      <c r="R1812" s="246">
        <f t="shared" si="71"/>
        <v>0</v>
      </c>
      <c r="S1812" s="177"/>
      <c r="T1812" s="182"/>
      <c r="U1812" s="177"/>
      <c r="V1812" s="177"/>
      <c r="W1812" s="177"/>
      <c r="X1812" s="176"/>
      <c r="Y1812" s="177"/>
      <c r="Z1812" s="415"/>
      <c r="AA1812" s="488"/>
      <c r="AB1812" s="594"/>
      <c r="AC1812" s="595"/>
      <c r="AD1812" s="596" t="str">
        <f>IF(AND(AC1812&lt;&gt;"",S1812&lt;&gt;""),NETWORKDAYS(AC1812,S1812,#REF!),"")</f>
        <v/>
      </c>
      <c r="AE1812" s="596" t="str">
        <f ca="1">IF(AND(AD1812="",AC1812=""),"",IF(OR(AD1812&lt;&gt;"",O1812="*CANCELADO"),"",NETWORKDAYS(AC1812,TODAY(),#REF!)))</f>
        <v/>
      </c>
      <c r="AF1812" s="619"/>
    </row>
    <row r="1813" spans="1:32" ht="14.25" customHeight="1">
      <c r="A1813" s="176"/>
      <c r="B1813" s="176"/>
      <c r="C1813" s="177"/>
      <c r="D1813" s="176"/>
      <c r="E1813" s="176"/>
      <c r="F1813" s="259"/>
      <c r="G1813" s="176"/>
      <c r="H1813" s="178"/>
      <c r="I1813" s="592">
        <f t="shared" si="72"/>
        <v>0</v>
      </c>
      <c r="J1813" s="178"/>
      <c r="K1813" s="178"/>
      <c r="L1813" s="275" t="str">
        <f>IF(H:H=0,"",IF(ISERROR(VLOOKUP(H:H,produtos_escape2!$A$2:$B$2794,2,FALSE)),"Código não cadastrado",(VLOOKUP(H:H,produtos_escape2!$A$2:$B$2794,2,FALSE))))</f>
        <v/>
      </c>
      <c r="M1813" s="593" t="str">
        <f>IF(H:H=0,"",IF(ISERROR(VLOOKUP(H:H,produtos_escape2!$A$2:$D$2794,2,FALSE)),"Código não cadastrado",(VLOOKUP(H:H,produtos_escape2!$A$2:$D$2794,4,FALSE))))</f>
        <v/>
      </c>
      <c r="N1813" s="486"/>
      <c r="O1813" s="176"/>
      <c r="P1813" s="486"/>
      <c r="Q1813" s="247"/>
      <c r="R1813" s="246">
        <f t="shared" si="71"/>
        <v>0</v>
      </c>
      <c r="S1813" s="177"/>
      <c r="T1813" s="182"/>
      <c r="U1813" s="177"/>
      <c r="V1813" s="177"/>
      <c r="W1813" s="177"/>
      <c r="X1813" s="176"/>
      <c r="Y1813" s="177"/>
      <c r="Z1813" s="415"/>
      <c r="AA1813" s="488"/>
      <c r="AB1813" s="594"/>
      <c r="AC1813" s="595"/>
      <c r="AD1813" s="596" t="str">
        <f>IF(AND(AC1813&lt;&gt;"",S1813&lt;&gt;""),NETWORKDAYS(AC1813,S1813,#REF!),"")</f>
        <v/>
      </c>
      <c r="AE1813" s="596" t="str">
        <f ca="1">IF(AND(AD1813="",AC1813=""),"",IF(OR(AD1813&lt;&gt;"",O1813="*CANCELADO"),"",NETWORKDAYS(AC1813,TODAY(),#REF!)))</f>
        <v/>
      </c>
      <c r="AF1813" s="619"/>
    </row>
    <row r="1814" spans="1:32" ht="14.25" customHeight="1">
      <c r="A1814" s="176"/>
      <c r="B1814" s="176"/>
      <c r="C1814" s="177"/>
      <c r="D1814" s="176"/>
      <c r="E1814" s="176"/>
      <c r="F1814" s="259"/>
      <c r="G1814" s="176"/>
      <c r="H1814" s="178"/>
      <c r="I1814" s="592">
        <f t="shared" si="72"/>
        <v>0</v>
      </c>
      <c r="J1814" s="178"/>
      <c r="K1814" s="178"/>
      <c r="L1814" s="275" t="str">
        <f>IF(H:H=0,"",IF(ISERROR(VLOOKUP(H:H,produtos_escape2!$A$2:$B$2794,2,FALSE)),"Código não cadastrado",(VLOOKUP(H:H,produtos_escape2!$A$2:$B$2794,2,FALSE))))</f>
        <v/>
      </c>
      <c r="M1814" s="593" t="str">
        <f>IF(H:H=0,"",IF(ISERROR(VLOOKUP(H:H,produtos_escape2!$A$2:$D$2794,2,FALSE)),"Código não cadastrado",(VLOOKUP(H:H,produtos_escape2!$A$2:$D$2794,4,FALSE))))</f>
        <v/>
      </c>
      <c r="N1814" s="486"/>
      <c r="O1814" s="176"/>
      <c r="P1814" s="486"/>
      <c r="Q1814" s="247"/>
      <c r="R1814" s="246">
        <f t="shared" si="71"/>
        <v>0</v>
      </c>
      <c r="S1814" s="177"/>
      <c r="T1814" s="182"/>
      <c r="U1814" s="177"/>
      <c r="V1814" s="177"/>
      <c r="W1814" s="177"/>
      <c r="X1814" s="176"/>
      <c r="Y1814" s="177"/>
      <c r="Z1814" s="415"/>
      <c r="AA1814" s="488"/>
      <c r="AB1814" s="594"/>
      <c r="AC1814" s="595"/>
      <c r="AD1814" s="596" t="str">
        <f>IF(AND(AC1814&lt;&gt;"",S1814&lt;&gt;""),NETWORKDAYS(AC1814,S1814,#REF!),"")</f>
        <v/>
      </c>
      <c r="AE1814" s="596" t="str">
        <f ca="1">IF(AND(AD1814="",AC1814=""),"",IF(OR(AD1814&lt;&gt;"",O1814="*CANCELADO"),"",NETWORKDAYS(AC1814,TODAY(),#REF!)))</f>
        <v/>
      </c>
      <c r="AF1814" s="619"/>
    </row>
    <row r="1815" spans="1:32" ht="14.25" customHeight="1">
      <c r="A1815" s="176"/>
      <c r="B1815" s="176"/>
      <c r="C1815" s="177"/>
      <c r="D1815" s="176"/>
      <c r="E1815" s="176"/>
      <c r="F1815" s="259"/>
      <c r="G1815" s="176"/>
      <c r="H1815" s="178"/>
      <c r="I1815" s="592">
        <f t="shared" si="72"/>
        <v>0</v>
      </c>
      <c r="J1815" s="178"/>
      <c r="K1815" s="178"/>
      <c r="L1815" s="275" t="str">
        <f>IF(H:H=0,"",IF(ISERROR(VLOOKUP(H:H,produtos_escape2!$A$2:$B$2794,2,FALSE)),"Código não cadastrado",(VLOOKUP(H:H,produtos_escape2!$A$2:$B$2794,2,FALSE))))</f>
        <v/>
      </c>
      <c r="M1815" s="593" t="str">
        <f>IF(H:H=0,"",IF(ISERROR(VLOOKUP(H:H,produtos_escape2!$A$2:$D$2794,2,FALSE)),"Código não cadastrado",(VLOOKUP(H:H,produtos_escape2!$A$2:$D$2794,4,FALSE))))</f>
        <v/>
      </c>
      <c r="N1815" s="486"/>
      <c r="O1815" s="176"/>
      <c r="P1815" s="486"/>
      <c r="Q1815" s="247"/>
      <c r="R1815" s="246">
        <f t="shared" si="71"/>
        <v>0</v>
      </c>
      <c r="S1815" s="177"/>
      <c r="T1815" s="182"/>
      <c r="U1815" s="177"/>
      <c r="V1815" s="177"/>
      <c r="W1815" s="177"/>
      <c r="X1815" s="176"/>
      <c r="Y1815" s="177"/>
      <c r="Z1815" s="415"/>
      <c r="AA1815" s="488"/>
      <c r="AB1815" s="594"/>
      <c r="AC1815" s="595"/>
      <c r="AD1815" s="596" t="str">
        <f>IF(AND(AC1815&lt;&gt;"",S1815&lt;&gt;""),NETWORKDAYS(AC1815,S1815,#REF!),"")</f>
        <v/>
      </c>
      <c r="AE1815" s="596" t="str">
        <f ca="1">IF(AND(AD1815="",AC1815=""),"",IF(OR(AD1815&lt;&gt;"",O1815="*CANCELADO"),"",NETWORKDAYS(AC1815,TODAY(),#REF!)))</f>
        <v/>
      </c>
      <c r="AF1815" s="619"/>
    </row>
    <row r="1816" spans="1:32" ht="14.25" customHeight="1">
      <c r="A1816" s="176"/>
      <c r="B1816" s="176"/>
      <c r="C1816" s="177"/>
      <c r="D1816" s="176"/>
      <c r="E1816" s="176"/>
      <c r="F1816" s="259"/>
      <c r="G1816" s="176"/>
      <c r="H1816" s="178"/>
      <c r="I1816" s="592">
        <f t="shared" si="72"/>
        <v>0</v>
      </c>
      <c r="J1816" s="178"/>
      <c r="K1816" s="178"/>
      <c r="L1816" s="275" t="str">
        <f>IF(H:H=0,"",IF(ISERROR(VLOOKUP(H:H,produtos_escape2!$A$2:$B$2794,2,FALSE)),"Código não cadastrado",(VLOOKUP(H:H,produtos_escape2!$A$2:$B$2794,2,FALSE))))</f>
        <v/>
      </c>
      <c r="M1816" s="593" t="str">
        <f>IF(H:H=0,"",IF(ISERROR(VLOOKUP(H:H,produtos_escape2!$A$2:$D$2794,2,FALSE)),"Código não cadastrado",(VLOOKUP(H:H,produtos_escape2!$A$2:$D$2794,4,FALSE))))</f>
        <v/>
      </c>
      <c r="N1816" s="486"/>
      <c r="O1816" s="176"/>
      <c r="P1816" s="486"/>
      <c r="Q1816" s="247"/>
      <c r="R1816" s="246">
        <f t="shared" si="71"/>
        <v>0</v>
      </c>
      <c r="S1816" s="177"/>
      <c r="T1816" s="182"/>
      <c r="U1816" s="177"/>
      <c r="V1816" s="177"/>
      <c r="W1816" s="177"/>
      <c r="X1816" s="176"/>
      <c r="Y1816" s="177"/>
      <c r="Z1816" s="415"/>
      <c r="AA1816" s="488"/>
      <c r="AB1816" s="594"/>
      <c r="AC1816" s="595"/>
      <c r="AD1816" s="596" t="str">
        <f>IF(AND(AC1816&lt;&gt;"",S1816&lt;&gt;""),NETWORKDAYS(AC1816,S1816,#REF!),"")</f>
        <v/>
      </c>
      <c r="AE1816" s="596" t="str">
        <f ca="1">IF(AND(AD1816="",AC1816=""),"",IF(OR(AD1816&lt;&gt;"",O1816="*CANCELADO"),"",NETWORKDAYS(AC1816,TODAY(),#REF!)))</f>
        <v/>
      </c>
      <c r="AF1816" s="619"/>
    </row>
    <row r="1817" spans="1:32" ht="14.25" customHeight="1">
      <c r="A1817" s="176"/>
      <c r="B1817" s="176"/>
      <c r="C1817" s="177"/>
      <c r="D1817" s="176"/>
      <c r="E1817" s="176"/>
      <c r="F1817" s="259"/>
      <c r="G1817" s="176"/>
      <c r="H1817" s="178"/>
      <c r="I1817" s="592">
        <f t="shared" si="72"/>
        <v>0</v>
      </c>
      <c r="J1817" s="178"/>
      <c r="K1817" s="178"/>
      <c r="L1817" s="275" t="str">
        <f>IF(H:H=0,"",IF(ISERROR(VLOOKUP(H:H,produtos_escape2!$A$2:$B$2794,2,FALSE)),"Código não cadastrado",(VLOOKUP(H:H,produtos_escape2!$A$2:$B$2794,2,FALSE))))</f>
        <v/>
      </c>
      <c r="M1817" s="593" t="str">
        <f>IF(H:H=0,"",IF(ISERROR(VLOOKUP(H:H,produtos_escape2!$A$2:$D$2794,2,FALSE)),"Código não cadastrado",(VLOOKUP(H:H,produtos_escape2!$A$2:$D$2794,4,FALSE))))</f>
        <v/>
      </c>
      <c r="N1817" s="486"/>
      <c r="O1817" s="176"/>
      <c r="P1817" s="486"/>
      <c r="Q1817" s="247"/>
      <c r="R1817" s="246">
        <f t="shared" si="71"/>
        <v>0</v>
      </c>
      <c r="S1817" s="177"/>
      <c r="T1817" s="182"/>
      <c r="U1817" s="177"/>
      <c r="V1817" s="177"/>
      <c r="W1817" s="177"/>
      <c r="X1817" s="176"/>
      <c r="Y1817" s="177"/>
      <c r="Z1817" s="415"/>
      <c r="AA1817" s="488"/>
      <c r="AB1817" s="594"/>
      <c r="AC1817" s="595"/>
      <c r="AD1817" s="596" t="str">
        <f>IF(AND(AC1817&lt;&gt;"",S1817&lt;&gt;""),NETWORKDAYS(AC1817,S1817,#REF!),"")</f>
        <v/>
      </c>
      <c r="AE1817" s="596" t="str">
        <f ca="1">IF(AND(AD1817="",AC1817=""),"",IF(OR(AD1817&lt;&gt;"",O1817="*CANCELADO"),"",NETWORKDAYS(AC1817,TODAY(),#REF!)))</f>
        <v/>
      </c>
      <c r="AF1817" s="619"/>
    </row>
    <row r="1818" spans="1:32" ht="14.25" customHeight="1">
      <c r="A1818" s="176"/>
      <c r="B1818" s="176"/>
      <c r="C1818" s="177"/>
      <c r="D1818" s="176"/>
      <c r="E1818" s="176"/>
      <c r="F1818" s="259"/>
      <c r="G1818" s="176"/>
      <c r="H1818" s="178"/>
      <c r="I1818" s="592">
        <f t="shared" si="72"/>
        <v>0</v>
      </c>
      <c r="J1818" s="178"/>
      <c r="K1818" s="178"/>
      <c r="L1818" s="275" t="str">
        <f>IF(H:H=0,"",IF(ISERROR(VLOOKUP(H:H,produtos_escape2!$A$2:$B$2794,2,FALSE)),"Código não cadastrado",(VLOOKUP(H:H,produtos_escape2!$A$2:$B$2794,2,FALSE))))</f>
        <v/>
      </c>
      <c r="M1818" s="593" t="str">
        <f>IF(H:H=0,"",IF(ISERROR(VLOOKUP(H:H,produtos_escape2!$A$2:$D$2794,2,FALSE)),"Código não cadastrado",(VLOOKUP(H:H,produtos_escape2!$A$2:$D$2794,4,FALSE))))</f>
        <v/>
      </c>
      <c r="N1818" s="486"/>
      <c r="O1818" s="176"/>
      <c r="P1818" s="486"/>
      <c r="Q1818" s="247"/>
      <c r="R1818" s="246">
        <f t="shared" si="71"/>
        <v>0</v>
      </c>
      <c r="S1818" s="177"/>
      <c r="T1818" s="182"/>
      <c r="U1818" s="177"/>
      <c r="V1818" s="177"/>
      <c r="W1818" s="177"/>
      <c r="X1818" s="176"/>
      <c r="Y1818" s="177"/>
      <c r="Z1818" s="415"/>
      <c r="AA1818" s="488"/>
      <c r="AB1818" s="594"/>
      <c r="AC1818" s="595"/>
      <c r="AD1818" s="596" t="str">
        <f>IF(AND(AC1818&lt;&gt;"",S1818&lt;&gt;""),NETWORKDAYS(AC1818,S1818,#REF!),"")</f>
        <v/>
      </c>
      <c r="AE1818" s="596" t="str">
        <f ca="1">IF(AND(AD1818="",AC1818=""),"",IF(OR(AD1818&lt;&gt;"",O1818="*CANCELADO"),"",NETWORKDAYS(AC1818,TODAY(),#REF!)))</f>
        <v/>
      </c>
      <c r="AF1818" s="619"/>
    </row>
    <row r="1819" spans="1:32" ht="14.25" customHeight="1">
      <c r="A1819" s="176"/>
      <c r="B1819" s="176"/>
      <c r="C1819" s="177"/>
      <c r="D1819" s="176"/>
      <c r="E1819" s="176"/>
      <c r="F1819" s="259"/>
      <c r="G1819" s="176"/>
      <c r="H1819" s="178"/>
      <c r="I1819" s="592">
        <f t="shared" si="72"/>
        <v>0</v>
      </c>
      <c r="J1819" s="178"/>
      <c r="K1819" s="178"/>
      <c r="L1819" s="275" t="str">
        <f>IF(H:H=0,"",IF(ISERROR(VLOOKUP(H:H,produtos_escape2!$A$2:$B$2794,2,FALSE)),"Código não cadastrado",(VLOOKUP(H:H,produtos_escape2!$A$2:$B$2794,2,FALSE))))</f>
        <v/>
      </c>
      <c r="M1819" s="593" t="str">
        <f>IF(H:H=0,"",IF(ISERROR(VLOOKUP(H:H,produtos_escape2!$A$2:$D$2794,2,FALSE)),"Código não cadastrado",(VLOOKUP(H:H,produtos_escape2!$A$2:$D$2794,4,FALSE))))</f>
        <v/>
      </c>
      <c r="N1819" s="486"/>
      <c r="O1819" s="176"/>
      <c r="P1819" s="486"/>
      <c r="Q1819" s="247"/>
      <c r="R1819" s="246">
        <f t="shared" si="71"/>
        <v>0</v>
      </c>
      <c r="S1819" s="177"/>
      <c r="T1819" s="182"/>
      <c r="U1819" s="177"/>
      <c r="V1819" s="177"/>
      <c r="W1819" s="177"/>
      <c r="X1819" s="176"/>
      <c r="Y1819" s="177"/>
      <c r="Z1819" s="415"/>
      <c r="AA1819" s="488"/>
      <c r="AB1819" s="594"/>
      <c r="AC1819" s="595"/>
      <c r="AD1819" s="596" t="str">
        <f>IF(AND(AC1819&lt;&gt;"",S1819&lt;&gt;""),NETWORKDAYS(AC1819,S1819,#REF!),"")</f>
        <v/>
      </c>
      <c r="AE1819" s="596" t="str">
        <f ca="1">IF(AND(AD1819="",AC1819=""),"",IF(OR(AD1819&lt;&gt;"",O1819="*CANCELADO"),"",NETWORKDAYS(AC1819,TODAY(),#REF!)))</f>
        <v/>
      </c>
      <c r="AF1819" s="619"/>
    </row>
    <row r="1820" spans="1:32" ht="14.25" customHeight="1">
      <c r="A1820" s="176"/>
      <c r="B1820" s="176"/>
      <c r="C1820" s="177"/>
      <c r="D1820" s="176"/>
      <c r="E1820" s="176"/>
      <c r="F1820" s="259"/>
      <c r="G1820" s="176"/>
      <c r="H1820" s="178"/>
      <c r="I1820" s="592">
        <f t="shared" si="72"/>
        <v>0</v>
      </c>
      <c r="J1820" s="178"/>
      <c r="K1820" s="178"/>
      <c r="L1820" s="275" t="str">
        <f>IF(H:H=0,"",IF(ISERROR(VLOOKUP(H:H,produtos_escape2!$A$2:$B$2794,2,FALSE)),"Código não cadastrado",(VLOOKUP(H:H,produtos_escape2!$A$2:$B$2794,2,FALSE))))</f>
        <v/>
      </c>
      <c r="M1820" s="593" t="str">
        <f>IF(H:H=0,"",IF(ISERROR(VLOOKUP(H:H,produtos_escape2!$A$2:$D$2794,2,FALSE)),"Código não cadastrado",(VLOOKUP(H:H,produtos_escape2!$A$2:$D$2794,4,FALSE))))</f>
        <v/>
      </c>
      <c r="N1820" s="486"/>
      <c r="O1820" s="176"/>
      <c r="P1820" s="486"/>
      <c r="Q1820" s="247"/>
      <c r="R1820" s="246">
        <f t="shared" si="71"/>
        <v>0</v>
      </c>
      <c r="S1820" s="177"/>
      <c r="T1820" s="182"/>
      <c r="U1820" s="177"/>
      <c r="V1820" s="177"/>
      <c r="W1820" s="177"/>
      <c r="X1820" s="176"/>
      <c r="Y1820" s="177"/>
      <c r="Z1820" s="415"/>
      <c r="AA1820" s="488"/>
      <c r="AB1820" s="594"/>
      <c r="AC1820" s="595"/>
      <c r="AD1820" s="596" t="str">
        <f>IF(AND(AC1820&lt;&gt;"",S1820&lt;&gt;""),NETWORKDAYS(AC1820,S1820,#REF!),"")</f>
        <v/>
      </c>
      <c r="AE1820" s="596" t="str">
        <f ca="1">IF(AND(AD1820="",AC1820=""),"",IF(OR(AD1820&lt;&gt;"",O1820="*CANCELADO"),"",NETWORKDAYS(AC1820,TODAY(),#REF!)))</f>
        <v/>
      </c>
      <c r="AF1820" s="619"/>
    </row>
    <row r="1821" spans="1:32" ht="14.25" customHeight="1">
      <c r="A1821" s="176"/>
      <c r="B1821" s="176"/>
      <c r="C1821" s="177"/>
      <c r="D1821" s="176"/>
      <c r="E1821" s="176"/>
      <c r="F1821" s="259"/>
      <c r="G1821" s="176"/>
      <c r="H1821" s="178"/>
      <c r="I1821" s="592">
        <f t="shared" si="72"/>
        <v>0</v>
      </c>
      <c r="J1821" s="178"/>
      <c r="K1821" s="178"/>
      <c r="L1821" s="275" t="str">
        <f>IF(H:H=0,"",IF(ISERROR(VLOOKUP(H:H,produtos_escape2!$A$2:$B$2794,2,FALSE)),"Código não cadastrado",(VLOOKUP(H:H,produtos_escape2!$A$2:$B$2794,2,FALSE))))</f>
        <v/>
      </c>
      <c r="M1821" s="593" t="str">
        <f>IF(H:H=0,"",IF(ISERROR(VLOOKUP(H:H,produtos_escape2!$A$2:$D$2794,2,FALSE)),"Código não cadastrado",(VLOOKUP(H:H,produtos_escape2!$A$2:$D$2794,4,FALSE))))</f>
        <v/>
      </c>
      <c r="N1821" s="486"/>
      <c r="O1821" s="176"/>
      <c r="P1821" s="486"/>
      <c r="Q1821" s="247"/>
      <c r="R1821" s="246">
        <f t="shared" si="71"/>
        <v>0</v>
      </c>
      <c r="S1821" s="177"/>
      <c r="T1821" s="182"/>
      <c r="U1821" s="177"/>
      <c r="V1821" s="177"/>
      <c r="W1821" s="177"/>
      <c r="X1821" s="176"/>
      <c r="Y1821" s="177"/>
      <c r="Z1821" s="415"/>
      <c r="AA1821" s="488"/>
      <c r="AB1821" s="594"/>
      <c r="AC1821" s="595"/>
      <c r="AD1821" s="596" t="str">
        <f>IF(AND(AC1821&lt;&gt;"",S1821&lt;&gt;""),NETWORKDAYS(AC1821,S1821,#REF!),"")</f>
        <v/>
      </c>
      <c r="AE1821" s="596" t="str">
        <f ca="1">IF(AND(AD1821="",AC1821=""),"",IF(OR(AD1821&lt;&gt;"",O1821="*CANCELADO"),"",NETWORKDAYS(AC1821,TODAY(),#REF!)))</f>
        <v/>
      </c>
      <c r="AF1821" s="619"/>
    </row>
    <row r="1822" spans="1:32" ht="14.25" customHeight="1">
      <c r="A1822" s="176"/>
      <c r="B1822" s="176"/>
      <c r="C1822" s="177"/>
      <c r="D1822" s="176"/>
      <c r="E1822" s="176"/>
      <c r="F1822" s="259"/>
      <c r="G1822" s="176"/>
      <c r="H1822" s="178"/>
      <c r="I1822" s="592">
        <f t="shared" si="72"/>
        <v>0</v>
      </c>
      <c r="J1822" s="178"/>
      <c r="K1822" s="178"/>
      <c r="L1822" s="275" t="str">
        <f>IF(H:H=0,"",IF(ISERROR(VLOOKUP(H:H,produtos_escape2!$A$2:$B$2794,2,FALSE)),"Código não cadastrado",(VLOOKUP(H:H,produtos_escape2!$A$2:$B$2794,2,FALSE))))</f>
        <v/>
      </c>
      <c r="M1822" s="593" t="str">
        <f>IF(H:H=0,"",IF(ISERROR(VLOOKUP(H:H,produtos_escape2!$A$2:$D$2794,2,FALSE)),"Código não cadastrado",(VLOOKUP(H:H,produtos_escape2!$A$2:$D$2794,4,FALSE))))</f>
        <v/>
      </c>
      <c r="N1822" s="486"/>
      <c r="O1822" s="176"/>
      <c r="P1822" s="486"/>
      <c r="Q1822" s="247"/>
      <c r="R1822" s="246">
        <f t="shared" si="71"/>
        <v>0</v>
      </c>
      <c r="S1822" s="177"/>
      <c r="T1822" s="182"/>
      <c r="U1822" s="177"/>
      <c r="V1822" s="177"/>
      <c r="W1822" s="177"/>
      <c r="X1822" s="176"/>
      <c r="Y1822" s="177"/>
      <c r="Z1822" s="415"/>
      <c r="AA1822" s="488"/>
      <c r="AB1822" s="594"/>
      <c r="AC1822" s="595"/>
      <c r="AD1822" s="596" t="str">
        <f>IF(AND(AC1822&lt;&gt;"",S1822&lt;&gt;""),NETWORKDAYS(AC1822,S1822,#REF!),"")</f>
        <v/>
      </c>
      <c r="AE1822" s="596" t="str">
        <f ca="1">IF(AND(AD1822="",AC1822=""),"",IF(OR(AD1822&lt;&gt;"",O1822="*CANCELADO"),"",NETWORKDAYS(AC1822,TODAY(),#REF!)))</f>
        <v/>
      </c>
      <c r="AF1822" s="619"/>
    </row>
    <row r="1823" spans="1:32" ht="14.25" customHeight="1">
      <c r="A1823" s="176"/>
      <c r="B1823" s="176"/>
      <c r="C1823" s="177"/>
      <c r="D1823" s="176"/>
      <c r="E1823" s="176"/>
      <c r="F1823" s="259"/>
      <c r="G1823" s="176"/>
      <c r="H1823" s="178"/>
      <c r="I1823" s="592">
        <f t="shared" si="72"/>
        <v>0</v>
      </c>
      <c r="J1823" s="178"/>
      <c r="K1823" s="178"/>
      <c r="L1823" s="275" t="str">
        <f>IF(H:H=0,"",IF(ISERROR(VLOOKUP(H:H,produtos_escape2!$A$2:$B$2794,2,FALSE)),"Código não cadastrado",(VLOOKUP(H:H,produtos_escape2!$A$2:$B$2794,2,FALSE))))</f>
        <v/>
      </c>
      <c r="M1823" s="593" t="str">
        <f>IF(H:H=0,"",IF(ISERROR(VLOOKUP(H:H,produtos_escape2!$A$2:$D$2794,2,FALSE)),"Código não cadastrado",(VLOOKUP(H:H,produtos_escape2!$A$2:$D$2794,4,FALSE))))</f>
        <v/>
      </c>
      <c r="N1823" s="486"/>
      <c r="O1823" s="176"/>
      <c r="P1823" s="486"/>
      <c r="Q1823" s="247"/>
      <c r="R1823" s="246">
        <f t="shared" si="71"/>
        <v>0</v>
      </c>
      <c r="S1823" s="177"/>
      <c r="T1823" s="182"/>
      <c r="U1823" s="177"/>
      <c r="V1823" s="177"/>
      <c r="W1823" s="177"/>
      <c r="X1823" s="176"/>
      <c r="Y1823" s="177"/>
      <c r="Z1823" s="415"/>
      <c r="AA1823" s="488"/>
      <c r="AB1823" s="594"/>
      <c r="AC1823" s="595"/>
      <c r="AD1823" s="596" t="str">
        <f>IF(AND(AC1823&lt;&gt;"",S1823&lt;&gt;""),NETWORKDAYS(AC1823,S1823,#REF!),"")</f>
        <v/>
      </c>
      <c r="AE1823" s="596" t="str">
        <f ca="1">IF(AND(AD1823="",AC1823=""),"",IF(OR(AD1823&lt;&gt;"",O1823="*CANCELADO"),"",NETWORKDAYS(AC1823,TODAY(),#REF!)))</f>
        <v/>
      </c>
      <c r="AF1823" s="619"/>
    </row>
    <row r="1824" spans="1:32" ht="14.25" customHeight="1">
      <c r="A1824" s="176"/>
      <c r="B1824" s="176"/>
      <c r="C1824" s="177"/>
      <c r="D1824" s="176"/>
      <c r="E1824" s="176"/>
      <c r="F1824" s="259"/>
      <c r="G1824" s="176"/>
      <c r="H1824" s="178"/>
      <c r="I1824" s="592">
        <f t="shared" si="72"/>
        <v>0</v>
      </c>
      <c r="J1824" s="178"/>
      <c r="K1824" s="178"/>
      <c r="L1824" s="275" t="str">
        <f>IF(H:H=0,"",IF(ISERROR(VLOOKUP(H:H,produtos_escape2!$A$2:$B$2794,2,FALSE)),"Código não cadastrado",(VLOOKUP(H:H,produtos_escape2!$A$2:$B$2794,2,FALSE))))</f>
        <v/>
      </c>
      <c r="M1824" s="593" t="str">
        <f>IF(H:H=0,"",IF(ISERROR(VLOOKUP(H:H,produtos_escape2!$A$2:$D$2794,2,FALSE)),"Código não cadastrado",(VLOOKUP(H:H,produtos_escape2!$A$2:$D$2794,4,FALSE))))</f>
        <v/>
      </c>
      <c r="N1824" s="486"/>
      <c r="O1824" s="176"/>
      <c r="P1824" s="486"/>
      <c r="Q1824" s="247"/>
      <c r="R1824" s="246">
        <f t="shared" si="71"/>
        <v>0</v>
      </c>
      <c r="S1824" s="177"/>
      <c r="T1824" s="182"/>
      <c r="U1824" s="177"/>
      <c r="V1824" s="177"/>
      <c r="W1824" s="177"/>
      <c r="X1824" s="176"/>
      <c r="Y1824" s="177"/>
      <c r="Z1824" s="415"/>
      <c r="AA1824" s="488"/>
      <c r="AB1824" s="594"/>
      <c r="AC1824" s="595"/>
      <c r="AD1824" s="596" t="str">
        <f>IF(AND(AC1824&lt;&gt;"",S1824&lt;&gt;""),NETWORKDAYS(AC1824,S1824,#REF!),"")</f>
        <v/>
      </c>
      <c r="AE1824" s="596" t="str">
        <f ca="1">IF(AND(AD1824="",AC1824=""),"",IF(OR(AD1824&lt;&gt;"",O1824="*CANCELADO"),"",NETWORKDAYS(AC1824,TODAY(),#REF!)))</f>
        <v/>
      </c>
      <c r="AF1824" s="619"/>
    </row>
    <row r="1825" spans="1:32" ht="14.25" customHeight="1">
      <c r="A1825" s="176"/>
      <c r="B1825" s="176"/>
      <c r="C1825" s="177"/>
      <c r="D1825" s="176"/>
      <c r="E1825" s="176"/>
      <c r="F1825" s="259"/>
      <c r="G1825" s="176"/>
      <c r="H1825" s="178"/>
      <c r="I1825" s="592">
        <f t="shared" si="72"/>
        <v>0</v>
      </c>
      <c r="J1825" s="178"/>
      <c r="K1825" s="178"/>
      <c r="L1825" s="275" t="str">
        <f>IF(H:H=0,"",IF(ISERROR(VLOOKUP(H:H,produtos_escape2!$A$2:$B$2794,2,FALSE)),"Código não cadastrado",(VLOOKUP(H:H,produtos_escape2!$A$2:$B$2794,2,FALSE))))</f>
        <v/>
      </c>
      <c r="M1825" s="593" t="str">
        <f>IF(H:H=0,"",IF(ISERROR(VLOOKUP(H:H,produtos_escape2!$A$2:$D$2794,2,FALSE)),"Código não cadastrado",(VLOOKUP(H:H,produtos_escape2!$A$2:$D$2794,4,FALSE))))</f>
        <v/>
      </c>
      <c r="N1825" s="486"/>
      <c r="O1825" s="176"/>
      <c r="P1825" s="486"/>
      <c r="Q1825" s="247"/>
      <c r="R1825" s="246">
        <f t="shared" si="71"/>
        <v>0</v>
      </c>
      <c r="S1825" s="177"/>
      <c r="T1825" s="182"/>
      <c r="U1825" s="177"/>
      <c r="V1825" s="177"/>
      <c r="W1825" s="177"/>
      <c r="X1825" s="176"/>
      <c r="Y1825" s="177"/>
      <c r="Z1825" s="415"/>
      <c r="AA1825" s="488"/>
      <c r="AB1825" s="594"/>
      <c r="AC1825" s="595"/>
      <c r="AD1825" s="596" t="str">
        <f>IF(AND(AC1825&lt;&gt;"",S1825&lt;&gt;""),NETWORKDAYS(AC1825,S1825,#REF!),"")</f>
        <v/>
      </c>
      <c r="AE1825" s="596" t="str">
        <f ca="1">IF(AND(AD1825="",AC1825=""),"",IF(OR(AD1825&lt;&gt;"",O1825="*CANCELADO"),"",NETWORKDAYS(AC1825,TODAY(),#REF!)))</f>
        <v/>
      </c>
      <c r="AF1825" s="619"/>
    </row>
    <row r="1826" spans="1:32" ht="14.25" customHeight="1">
      <c r="A1826" s="176"/>
      <c r="B1826" s="176"/>
      <c r="C1826" s="177"/>
      <c r="D1826" s="176"/>
      <c r="E1826" s="176"/>
      <c r="F1826" s="259"/>
      <c r="G1826" s="176"/>
      <c r="H1826" s="178"/>
      <c r="I1826" s="592">
        <f t="shared" si="72"/>
        <v>0</v>
      </c>
      <c r="J1826" s="178"/>
      <c r="K1826" s="178"/>
      <c r="L1826" s="275" t="str">
        <f>IF(H:H=0,"",IF(ISERROR(VLOOKUP(H:H,produtos_escape2!$A$2:$B$2794,2,FALSE)),"Código não cadastrado",(VLOOKUP(H:H,produtos_escape2!$A$2:$B$2794,2,FALSE))))</f>
        <v/>
      </c>
      <c r="M1826" s="593" t="str">
        <f>IF(H:H=0,"",IF(ISERROR(VLOOKUP(H:H,produtos_escape2!$A$2:$D$2794,2,FALSE)),"Código não cadastrado",(VLOOKUP(H:H,produtos_escape2!$A$2:$D$2794,4,FALSE))))</f>
        <v/>
      </c>
      <c r="N1826" s="486"/>
      <c r="O1826" s="176"/>
      <c r="P1826" s="486"/>
      <c r="Q1826" s="247"/>
      <c r="R1826" s="246">
        <f t="shared" si="71"/>
        <v>0</v>
      </c>
      <c r="S1826" s="177"/>
      <c r="T1826" s="182"/>
      <c r="U1826" s="177"/>
      <c r="V1826" s="177"/>
      <c r="W1826" s="177"/>
      <c r="X1826" s="176"/>
      <c r="Y1826" s="177"/>
      <c r="Z1826" s="415"/>
      <c r="AA1826" s="488"/>
      <c r="AB1826" s="594"/>
      <c r="AC1826" s="595"/>
      <c r="AD1826" s="596" t="str">
        <f>IF(AND(AC1826&lt;&gt;"",S1826&lt;&gt;""),NETWORKDAYS(AC1826,S1826,#REF!),"")</f>
        <v/>
      </c>
      <c r="AE1826" s="596" t="str">
        <f ca="1">IF(AND(AD1826="",AC1826=""),"",IF(OR(AD1826&lt;&gt;"",O1826="*CANCELADO"),"",NETWORKDAYS(AC1826,TODAY(),#REF!)))</f>
        <v/>
      </c>
      <c r="AF1826" s="619"/>
    </row>
    <row r="1827" spans="1:32" ht="14.25" customHeight="1">
      <c r="A1827" s="176"/>
      <c r="B1827" s="176"/>
      <c r="C1827" s="177"/>
      <c r="D1827" s="176"/>
      <c r="E1827" s="176"/>
      <c r="F1827" s="259"/>
      <c r="G1827" s="176"/>
      <c r="H1827" s="178"/>
      <c r="I1827" s="592">
        <f t="shared" si="72"/>
        <v>0</v>
      </c>
      <c r="J1827" s="178"/>
      <c r="K1827" s="178"/>
      <c r="L1827" s="275" t="str">
        <f>IF(H:H=0,"",IF(ISERROR(VLOOKUP(H:H,produtos_escape2!$A$2:$B$2794,2,FALSE)),"Código não cadastrado",(VLOOKUP(H:H,produtos_escape2!$A$2:$B$2794,2,FALSE))))</f>
        <v/>
      </c>
      <c r="M1827" s="593" t="str">
        <f>IF(H:H=0,"",IF(ISERROR(VLOOKUP(H:H,produtos_escape2!$A$2:$D$2794,2,FALSE)),"Código não cadastrado",(VLOOKUP(H:H,produtos_escape2!$A$2:$D$2794,4,FALSE))))</f>
        <v/>
      </c>
      <c r="N1827" s="486"/>
      <c r="O1827" s="176"/>
      <c r="P1827" s="486"/>
      <c r="Q1827" s="247"/>
      <c r="R1827" s="246">
        <f t="shared" si="71"/>
        <v>0</v>
      </c>
      <c r="S1827" s="177"/>
      <c r="T1827" s="182"/>
      <c r="U1827" s="177"/>
      <c r="V1827" s="177"/>
      <c r="W1827" s="177"/>
      <c r="X1827" s="176"/>
      <c r="Y1827" s="177"/>
      <c r="Z1827" s="415"/>
      <c r="AA1827" s="488"/>
      <c r="AB1827" s="594"/>
      <c r="AC1827" s="595"/>
      <c r="AD1827" s="596" t="str">
        <f>IF(AND(AC1827&lt;&gt;"",S1827&lt;&gt;""),NETWORKDAYS(AC1827,S1827,#REF!),"")</f>
        <v/>
      </c>
      <c r="AE1827" s="596" t="str">
        <f ca="1">IF(AND(AD1827="",AC1827=""),"",IF(OR(AD1827&lt;&gt;"",O1827="*CANCELADO"),"",NETWORKDAYS(AC1827,TODAY(),#REF!)))</f>
        <v/>
      </c>
      <c r="AF1827" s="619"/>
    </row>
    <row r="1828" spans="1:32" ht="14.25" customHeight="1">
      <c r="A1828" s="176"/>
      <c r="B1828" s="176"/>
      <c r="C1828" s="177"/>
      <c r="D1828" s="176"/>
      <c r="E1828" s="176"/>
      <c r="F1828" s="259"/>
      <c r="G1828" s="176"/>
      <c r="H1828" s="178"/>
      <c r="I1828" s="592">
        <f t="shared" si="72"/>
        <v>0</v>
      </c>
      <c r="J1828" s="178"/>
      <c r="K1828" s="178"/>
      <c r="L1828" s="275" t="str">
        <f>IF(H:H=0,"",IF(ISERROR(VLOOKUP(H:H,produtos_escape2!$A$2:$B$2794,2,FALSE)),"Código não cadastrado",(VLOOKUP(H:H,produtos_escape2!$A$2:$B$2794,2,FALSE))))</f>
        <v/>
      </c>
      <c r="M1828" s="593" t="str">
        <f>IF(H:H=0,"",IF(ISERROR(VLOOKUP(H:H,produtos_escape2!$A$2:$D$2794,2,FALSE)),"Código não cadastrado",(VLOOKUP(H:H,produtos_escape2!$A$2:$D$2794,4,FALSE))))</f>
        <v/>
      </c>
      <c r="N1828" s="486"/>
      <c r="O1828" s="176"/>
      <c r="P1828" s="486"/>
      <c r="Q1828" s="247"/>
      <c r="R1828" s="246">
        <f t="shared" si="71"/>
        <v>0</v>
      </c>
      <c r="S1828" s="177"/>
      <c r="T1828" s="182"/>
      <c r="U1828" s="177"/>
      <c r="V1828" s="177"/>
      <c r="W1828" s="177"/>
      <c r="X1828" s="176"/>
      <c r="Y1828" s="177"/>
      <c r="Z1828" s="415"/>
      <c r="AA1828" s="488"/>
      <c r="AB1828" s="594"/>
      <c r="AC1828" s="595"/>
      <c r="AD1828" s="596" t="str">
        <f>IF(AND(AC1828&lt;&gt;"",S1828&lt;&gt;""),NETWORKDAYS(AC1828,S1828,#REF!),"")</f>
        <v/>
      </c>
      <c r="AE1828" s="596" t="str">
        <f ca="1">IF(AND(AD1828="",AC1828=""),"",IF(OR(AD1828&lt;&gt;"",O1828="*CANCELADO"),"",NETWORKDAYS(AC1828,TODAY(),#REF!)))</f>
        <v/>
      </c>
      <c r="AF1828" s="619"/>
    </row>
    <row r="1829" spans="1:32" ht="14.25" customHeight="1">
      <c r="A1829" s="176"/>
      <c r="B1829" s="176"/>
      <c r="C1829" s="177"/>
      <c r="D1829" s="176"/>
      <c r="E1829" s="176"/>
      <c r="F1829" s="259"/>
      <c r="G1829" s="176"/>
      <c r="H1829" s="178"/>
      <c r="I1829" s="592">
        <f t="shared" si="72"/>
        <v>0</v>
      </c>
      <c r="J1829" s="178"/>
      <c r="K1829" s="178"/>
      <c r="L1829" s="275" t="str">
        <f>IF(H:H=0,"",IF(ISERROR(VLOOKUP(H:H,produtos_escape2!$A$2:$B$2794,2,FALSE)),"Código não cadastrado",(VLOOKUP(H:H,produtos_escape2!$A$2:$B$2794,2,FALSE))))</f>
        <v/>
      </c>
      <c r="M1829" s="593" t="str">
        <f>IF(H:H=0,"",IF(ISERROR(VLOOKUP(H:H,produtos_escape2!$A$2:$D$2794,2,FALSE)),"Código não cadastrado",(VLOOKUP(H:H,produtos_escape2!$A$2:$D$2794,4,FALSE))))</f>
        <v/>
      </c>
      <c r="N1829" s="486"/>
      <c r="O1829" s="176"/>
      <c r="P1829" s="486"/>
      <c r="Q1829" s="247"/>
      <c r="R1829" s="246">
        <f t="shared" si="71"/>
        <v>0</v>
      </c>
      <c r="S1829" s="177"/>
      <c r="T1829" s="182"/>
      <c r="U1829" s="177"/>
      <c r="V1829" s="177"/>
      <c r="W1829" s="177"/>
      <c r="X1829" s="176"/>
      <c r="Y1829" s="177"/>
      <c r="Z1829" s="415"/>
      <c r="AA1829" s="488"/>
      <c r="AB1829" s="594"/>
      <c r="AC1829" s="595"/>
      <c r="AD1829" s="596" t="str">
        <f>IF(AND(AC1829&lt;&gt;"",S1829&lt;&gt;""),NETWORKDAYS(AC1829,S1829,#REF!),"")</f>
        <v/>
      </c>
      <c r="AE1829" s="596" t="str">
        <f ca="1">IF(AND(AD1829="",AC1829=""),"",IF(OR(AD1829&lt;&gt;"",O1829="*CANCELADO"),"",NETWORKDAYS(AC1829,TODAY(),#REF!)))</f>
        <v/>
      </c>
      <c r="AF1829" s="619"/>
    </row>
    <row r="1830" spans="1:32" ht="14.25" customHeight="1">
      <c r="A1830" s="176"/>
      <c r="B1830" s="176"/>
      <c r="C1830" s="177"/>
      <c r="D1830" s="176"/>
      <c r="E1830" s="176"/>
      <c r="F1830" s="259"/>
      <c r="G1830" s="176"/>
      <c r="H1830" s="178"/>
      <c r="I1830" s="592">
        <f t="shared" si="72"/>
        <v>0</v>
      </c>
      <c r="J1830" s="178"/>
      <c r="K1830" s="178"/>
      <c r="L1830" s="275" t="str">
        <f>IF(H:H=0,"",IF(ISERROR(VLOOKUP(H:H,produtos_escape2!$A$2:$B$2794,2,FALSE)),"Código não cadastrado",(VLOOKUP(H:H,produtos_escape2!$A$2:$B$2794,2,FALSE))))</f>
        <v/>
      </c>
      <c r="M1830" s="593" t="str">
        <f>IF(H:H=0,"",IF(ISERROR(VLOOKUP(H:H,produtos_escape2!$A$2:$D$2794,2,FALSE)),"Código não cadastrado",(VLOOKUP(H:H,produtos_escape2!$A$2:$D$2794,4,FALSE))))</f>
        <v/>
      </c>
      <c r="N1830" s="486"/>
      <c r="O1830" s="176"/>
      <c r="P1830" s="486"/>
      <c r="Q1830" s="247"/>
      <c r="R1830" s="246">
        <f t="shared" si="71"/>
        <v>0</v>
      </c>
      <c r="S1830" s="177"/>
      <c r="T1830" s="182"/>
      <c r="U1830" s="177"/>
      <c r="V1830" s="177"/>
      <c r="W1830" s="177"/>
      <c r="X1830" s="176"/>
      <c r="Y1830" s="177"/>
      <c r="Z1830" s="415"/>
      <c r="AA1830" s="488"/>
      <c r="AB1830" s="594"/>
      <c r="AC1830" s="595"/>
      <c r="AD1830" s="596" t="str">
        <f>IF(AND(AC1830&lt;&gt;"",S1830&lt;&gt;""),NETWORKDAYS(AC1830,S1830,#REF!),"")</f>
        <v/>
      </c>
      <c r="AE1830" s="596" t="str">
        <f ca="1">IF(AND(AD1830="",AC1830=""),"",IF(OR(AD1830&lt;&gt;"",O1830="*CANCELADO"),"",NETWORKDAYS(AC1830,TODAY(),#REF!)))</f>
        <v/>
      </c>
      <c r="AF1830" s="619"/>
    </row>
    <row r="1831" spans="1:32" ht="14.25" customHeight="1">
      <c r="A1831" s="176"/>
      <c r="B1831" s="176"/>
      <c r="C1831" s="177"/>
      <c r="D1831" s="176"/>
      <c r="E1831" s="176"/>
      <c r="F1831" s="259"/>
      <c r="G1831" s="176"/>
      <c r="H1831" s="178"/>
      <c r="I1831" s="592">
        <f t="shared" si="72"/>
        <v>0</v>
      </c>
      <c r="J1831" s="178"/>
      <c r="K1831" s="178"/>
      <c r="L1831" s="275" t="str">
        <f>IF(H:H=0,"",IF(ISERROR(VLOOKUP(H:H,produtos_escape2!$A$2:$B$2794,2,FALSE)),"Código não cadastrado",(VLOOKUP(H:H,produtos_escape2!$A$2:$B$2794,2,FALSE))))</f>
        <v/>
      </c>
      <c r="M1831" s="593" t="str">
        <f>IF(H:H=0,"",IF(ISERROR(VLOOKUP(H:H,produtos_escape2!$A$2:$D$2794,2,FALSE)),"Código não cadastrado",(VLOOKUP(H:H,produtos_escape2!$A$2:$D$2794,4,FALSE))))</f>
        <v/>
      </c>
      <c r="N1831" s="486"/>
      <c r="O1831" s="176"/>
      <c r="P1831" s="486"/>
      <c r="Q1831" s="247"/>
      <c r="R1831" s="246">
        <f t="shared" si="71"/>
        <v>0</v>
      </c>
      <c r="S1831" s="177"/>
      <c r="T1831" s="182"/>
      <c r="U1831" s="177"/>
      <c r="V1831" s="177"/>
      <c r="W1831" s="177"/>
      <c r="X1831" s="176"/>
      <c r="Y1831" s="177"/>
      <c r="Z1831" s="415"/>
      <c r="AA1831" s="488"/>
      <c r="AB1831" s="594"/>
      <c r="AC1831" s="595"/>
      <c r="AD1831" s="596" t="str">
        <f>IF(AND(AC1831&lt;&gt;"",S1831&lt;&gt;""),NETWORKDAYS(AC1831,S1831,#REF!),"")</f>
        <v/>
      </c>
      <c r="AE1831" s="596" t="str">
        <f ca="1">IF(AND(AD1831="",AC1831=""),"",IF(OR(AD1831&lt;&gt;"",O1831="*CANCELADO"),"",NETWORKDAYS(AC1831,TODAY(),#REF!)))</f>
        <v/>
      </c>
      <c r="AF1831" s="619"/>
    </row>
    <row r="1832" spans="1:32" ht="14.25" customHeight="1">
      <c r="A1832" s="176"/>
      <c r="B1832" s="176"/>
      <c r="C1832" s="177"/>
      <c r="D1832" s="176"/>
      <c r="E1832" s="176"/>
      <c r="F1832" s="259"/>
      <c r="G1832" s="176"/>
      <c r="H1832" s="178"/>
      <c r="I1832" s="592">
        <f t="shared" si="72"/>
        <v>0</v>
      </c>
      <c r="J1832" s="178"/>
      <c r="K1832" s="178"/>
      <c r="L1832" s="275" t="str">
        <f>IF(H:H=0,"",IF(ISERROR(VLOOKUP(H:H,produtos_escape2!$A$2:$B$2794,2,FALSE)),"Código não cadastrado",(VLOOKUP(H:H,produtos_escape2!$A$2:$B$2794,2,FALSE))))</f>
        <v/>
      </c>
      <c r="M1832" s="593" t="str">
        <f>IF(H:H=0,"",IF(ISERROR(VLOOKUP(H:H,produtos_escape2!$A$2:$D$2794,2,FALSE)),"Código não cadastrado",(VLOOKUP(H:H,produtos_escape2!$A$2:$D$2794,4,FALSE))))</f>
        <v/>
      </c>
      <c r="N1832" s="486"/>
      <c r="O1832" s="176"/>
      <c r="P1832" s="486"/>
      <c r="Q1832" s="247"/>
      <c r="R1832" s="246">
        <f t="shared" si="71"/>
        <v>0</v>
      </c>
      <c r="S1832" s="177"/>
      <c r="T1832" s="182"/>
      <c r="U1832" s="177"/>
      <c r="V1832" s="177"/>
      <c r="W1832" s="177"/>
      <c r="X1832" s="176"/>
      <c r="Y1832" s="177"/>
      <c r="Z1832" s="415"/>
      <c r="AA1832" s="488"/>
      <c r="AB1832" s="594"/>
      <c r="AC1832" s="595"/>
      <c r="AD1832" s="596" t="str">
        <f>IF(AND(AC1832&lt;&gt;"",S1832&lt;&gt;""),NETWORKDAYS(AC1832,S1832,#REF!),"")</f>
        <v/>
      </c>
      <c r="AE1832" s="596" t="str">
        <f ca="1">IF(AND(AD1832="",AC1832=""),"",IF(OR(AD1832&lt;&gt;"",O1832="*CANCELADO"),"",NETWORKDAYS(AC1832,TODAY(),#REF!)))</f>
        <v/>
      </c>
      <c r="AF1832" s="619"/>
    </row>
    <row r="1833" spans="1:32" ht="14.25" customHeight="1">
      <c r="A1833" s="176"/>
      <c r="B1833" s="176"/>
      <c r="C1833" s="177"/>
      <c r="D1833" s="176"/>
      <c r="E1833" s="176"/>
      <c r="F1833" s="259"/>
      <c r="G1833" s="176"/>
      <c r="H1833" s="178"/>
      <c r="I1833" s="592">
        <f t="shared" si="72"/>
        <v>0</v>
      </c>
      <c r="J1833" s="178"/>
      <c r="K1833" s="178"/>
      <c r="L1833" s="275" t="str">
        <f>IF(H:H=0,"",IF(ISERROR(VLOOKUP(H:H,produtos_escape2!$A$2:$B$2794,2,FALSE)),"Código não cadastrado",(VLOOKUP(H:H,produtos_escape2!$A$2:$B$2794,2,FALSE))))</f>
        <v/>
      </c>
      <c r="M1833" s="593" t="str">
        <f>IF(H:H=0,"",IF(ISERROR(VLOOKUP(H:H,produtos_escape2!$A$2:$D$2794,2,FALSE)),"Código não cadastrado",(VLOOKUP(H:H,produtos_escape2!$A$2:$D$2794,4,FALSE))))</f>
        <v/>
      </c>
      <c r="N1833" s="486"/>
      <c r="O1833" s="176"/>
      <c r="P1833" s="486"/>
      <c r="Q1833" s="247"/>
      <c r="R1833" s="246">
        <f t="shared" si="71"/>
        <v>0</v>
      </c>
      <c r="S1833" s="177"/>
      <c r="T1833" s="182"/>
      <c r="U1833" s="177"/>
      <c r="V1833" s="177"/>
      <c r="W1833" s="177"/>
      <c r="X1833" s="176"/>
      <c r="Y1833" s="177"/>
      <c r="Z1833" s="415"/>
      <c r="AA1833" s="488"/>
      <c r="AB1833" s="594"/>
      <c r="AC1833" s="595"/>
      <c r="AD1833" s="596" t="str">
        <f>IF(AND(AC1833&lt;&gt;"",S1833&lt;&gt;""),NETWORKDAYS(AC1833,S1833,#REF!),"")</f>
        <v/>
      </c>
      <c r="AE1833" s="596" t="str">
        <f ca="1">IF(AND(AD1833="",AC1833=""),"",IF(OR(AD1833&lt;&gt;"",O1833="*CANCELADO"),"",NETWORKDAYS(AC1833,TODAY(),#REF!)))</f>
        <v/>
      </c>
      <c r="AF1833" s="619"/>
    </row>
    <row r="1834" spans="1:32" ht="14.25" customHeight="1">
      <c r="A1834" s="176"/>
      <c r="B1834" s="176"/>
      <c r="C1834" s="177"/>
      <c r="D1834" s="176"/>
      <c r="E1834" s="176"/>
      <c r="F1834" s="259"/>
      <c r="G1834" s="176"/>
      <c r="H1834" s="178"/>
      <c r="I1834" s="592">
        <f t="shared" si="72"/>
        <v>0</v>
      </c>
      <c r="J1834" s="178"/>
      <c r="K1834" s="178"/>
      <c r="L1834" s="275" t="str">
        <f>IF(H:H=0,"",IF(ISERROR(VLOOKUP(H:H,produtos_escape2!$A$2:$B$2794,2,FALSE)),"Código não cadastrado",(VLOOKUP(H:H,produtos_escape2!$A$2:$B$2794,2,FALSE))))</f>
        <v/>
      </c>
      <c r="M1834" s="593" t="str">
        <f>IF(H:H=0,"",IF(ISERROR(VLOOKUP(H:H,produtos_escape2!$A$2:$D$2794,2,FALSE)),"Código não cadastrado",(VLOOKUP(H:H,produtos_escape2!$A$2:$D$2794,4,FALSE))))</f>
        <v/>
      </c>
      <c r="N1834" s="486"/>
      <c r="O1834" s="176"/>
      <c r="P1834" s="486"/>
      <c r="Q1834" s="247"/>
      <c r="R1834" s="246">
        <f t="shared" si="71"/>
        <v>0</v>
      </c>
      <c r="S1834" s="177"/>
      <c r="T1834" s="182"/>
      <c r="U1834" s="177"/>
      <c r="V1834" s="177"/>
      <c r="W1834" s="177"/>
      <c r="X1834" s="176"/>
      <c r="Y1834" s="177"/>
      <c r="Z1834" s="415"/>
      <c r="AA1834" s="488"/>
      <c r="AB1834" s="594"/>
      <c r="AC1834" s="595"/>
      <c r="AD1834" s="596" t="str">
        <f>IF(AND(AC1834&lt;&gt;"",S1834&lt;&gt;""),NETWORKDAYS(AC1834,S1834,#REF!),"")</f>
        <v/>
      </c>
      <c r="AE1834" s="596" t="str">
        <f ca="1">IF(AND(AD1834="",AC1834=""),"",IF(OR(AD1834&lt;&gt;"",O1834="*CANCELADO"),"",NETWORKDAYS(AC1834,TODAY(),#REF!)))</f>
        <v/>
      </c>
      <c r="AF1834" s="619"/>
    </row>
    <row r="1835" spans="1:32" ht="14.25" customHeight="1">
      <c r="A1835" s="176"/>
      <c r="B1835" s="176"/>
      <c r="C1835" s="177"/>
      <c r="D1835" s="176"/>
      <c r="E1835" s="176"/>
      <c r="F1835" s="259"/>
      <c r="G1835" s="176"/>
      <c r="H1835" s="178"/>
      <c r="I1835" s="592">
        <f t="shared" si="72"/>
        <v>0</v>
      </c>
      <c r="J1835" s="178"/>
      <c r="K1835" s="178"/>
      <c r="L1835" s="275" t="str">
        <f>IF(H:H=0,"",IF(ISERROR(VLOOKUP(H:H,produtos_escape2!$A$2:$B$2794,2,FALSE)),"Código não cadastrado",(VLOOKUP(H:H,produtos_escape2!$A$2:$B$2794,2,FALSE))))</f>
        <v/>
      </c>
      <c r="M1835" s="593" t="str">
        <f>IF(H:H=0,"",IF(ISERROR(VLOOKUP(H:H,produtos_escape2!$A$2:$D$2794,2,FALSE)),"Código não cadastrado",(VLOOKUP(H:H,produtos_escape2!$A$2:$D$2794,4,FALSE))))</f>
        <v/>
      </c>
      <c r="N1835" s="486"/>
      <c r="O1835" s="176"/>
      <c r="P1835" s="486"/>
      <c r="Q1835" s="247"/>
      <c r="R1835" s="246">
        <f t="shared" si="71"/>
        <v>0</v>
      </c>
      <c r="S1835" s="177"/>
      <c r="T1835" s="182"/>
      <c r="U1835" s="177"/>
      <c r="V1835" s="177"/>
      <c r="W1835" s="177"/>
      <c r="X1835" s="176"/>
      <c r="Y1835" s="177"/>
      <c r="Z1835" s="415"/>
      <c r="AA1835" s="488"/>
      <c r="AB1835" s="594"/>
      <c r="AC1835" s="595"/>
      <c r="AD1835" s="596" t="str">
        <f>IF(AND(AC1835&lt;&gt;"",S1835&lt;&gt;""),NETWORKDAYS(AC1835,S1835,#REF!),"")</f>
        <v/>
      </c>
      <c r="AE1835" s="596" t="str">
        <f ca="1">IF(AND(AD1835="",AC1835=""),"",IF(OR(AD1835&lt;&gt;"",O1835="*CANCELADO"),"",NETWORKDAYS(AC1835,TODAY(),#REF!)))</f>
        <v/>
      </c>
      <c r="AF1835" s="619"/>
    </row>
    <row r="1836" spans="1:32" ht="14.25" customHeight="1">
      <c r="A1836" s="176"/>
      <c r="B1836" s="176"/>
      <c r="C1836" s="177"/>
      <c r="D1836" s="176"/>
      <c r="E1836" s="176"/>
      <c r="F1836" s="259"/>
      <c r="G1836" s="176"/>
      <c r="H1836" s="178"/>
      <c r="I1836" s="592">
        <f t="shared" si="72"/>
        <v>0</v>
      </c>
      <c r="J1836" s="178"/>
      <c r="K1836" s="178"/>
      <c r="L1836" s="275" t="str">
        <f>IF(H:H=0,"",IF(ISERROR(VLOOKUP(H:H,produtos_escape2!$A$2:$B$2794,2,FALSE)),"Código não cadastrado",(VLOOKUP(H:H,produtos_escape2!$A$2:$B$2794,2,FALSE))))</f>
        <v/>
      </c>
      <c r="M1836" s="593" t="str">
        <f>IF(H:H=0,"",IF(ISERROR(VLOOKUP(H:H,produtos_escape2!$A$2:$D$2794,2,FALSE)),"Código não cadastrado",(VLOOKUP(H:H,produtos_escape2!$A$2:$D$2794,4,FALSE))))</f>
        <v/>
      </c>
      <c r="N1836" s="486"/>
      <c r="O1836" s="176"/>
      <c r="P1836" s="486"/>
      <c r="Q1836" s="247"/>
      <c r="R1836" s="246">
        <f t="shared" si="71"/>
        <v>0</v>
      </c>
      <c r="S1836" s="177"/>
      <c r="T1836" s="182"/>
      <c r="U1836" s="177"/>
      <c r="V1836" s="177"/>
      <c r="W1836" s="177"/>
      <c r="X1836" s="176"/>
      <c r="Y1836" s="177"/>
      <c r="Z1836" s="415"/>
      <c r="AA1836" s="488"/>
      <c r="AB1836" s="594"/>
      <c r="AC1836" s="595"/>
      <c r="AD1836" s="596" t="str">
        <f>IF(AND(AC1836&lt;&gt;"",S1836&lt;&gt;""),NETWORKDAYS(AC1836,S1836,#REF!),"")</f>
        <v/>
      </c>
      <c r="AE1836" s="596" t="str">
        <f ca="1">IF(AND(AD1836="",AC1836=""),"",IF(OR(AD1836&lt;&gt;"",O1836="*CANCELADO"),"",NETWORKDAYS(AC1836,TODAY(),#REF!)))</f>
        <v/>
      </c>
      <c r="AF1836" s="619"/>
    </row>
    <row r="1837" spans="1:32" ht="14.25" customHeight="1">
      <c r="A1837" s="176"/>
      <c r="B1837" s="176"/>
      <c r="C1837" s="177"/>
      <c r="D1837" s="176"/>
      <c r="E1837" s="176"/>
      <c r="F1837" s="259"/>
      <c r="G1837" s="176"/>
      <c r="H1837" s="178"/>
      <c r="I1837" s="592">
        <f t="shared" si="72"/>
        <v>0</v>
      </c>
      <c r="J1837" s="178"/>
      <c r="K1837" s="178"/>
      <c r="L1837" s="275" t="str">
        <f>IF(H:H=0,"",IF(ISERROR(VLOOKUP(H:H,produtos_escape2!$A$2:$B$2794,2,FALSE)),"Código não cadastrado",(VLOOKUP(H:H,produtos_escape2!$A$2:$B$2794,2,FALSE))))</f>
        <v/>
      </c>
      <c r="M1837" s="593" t="str">
        <f>IF(H:H=0,"",IF(ISERROR(VLOOKUP(H:H,produtos_escape2!$A$2:$D$2794,2,FALSE)),"Código não cadastrado",(VLOOKUP(H:H,produtos_escape2!$A$2:$D$2794,4,FALSE))))</f>
        <v/>
      </c>
      <c r="N1837" s="486"/>
      <c r="O1837" s="176"/>
      <c r="P1837" s="486"/>
      <c r="Q1837" s="247"/>
      <c r="R1837" s="246">
        <f t="shared" ref="R1837:R1900" si="73">P1837*Q1837</f>
        <v>0</v>
      </c>
      <c r="S1837" s="177"/>
      <c r="T1837" s="182"/>
      <c r="U1837" s="177"/>
      <c r="V1837" s="177"/>
      <c r="W1837" s="177"/>
      <c r="X1837" s="176"/>
      <c r="Y1837" s="177"/>
      <c r="Z1837" s="415"/>
      <c r="AA1837" s="488"/>
      <c r="AB1837" s="594"/>
      <c r="AC1837" s="595"/>
      <c r="AD1837" s="596" t="str">
        <f>IF(AND(AC1837&lt;&gt;"",S1837&lt;&gt;""),NETWORKDAYS(AC1837,S1837,#REF!),"")</f>
        <v/>
      </c>
      <c r="AE1837" s="596" t="str">
        <f ca="1">IF(AND(AD1837="",AC1837=""),"",IF(OR(AD1837&lt;&gt;"",O1837="*CANCELADO"),"",NETWORKDAYS(AC1837,TODAY(),#REF!)))</f>
        <v/>
      </c>
      <c r="AF1837" s="619"/>
    </row>
    <row r="1838" spans="1:32" ht="14.25" customHeight="1">
      <c r="A1838" s="176"/>
      <c r="B1838" s="176"/>
      <c r="C1838" s="177"/>
      <c r="D1838" s="176"/>
      <c r="E1838" s="176"/>
      <c r="F1838" s="259"/>
      <c r="G1838" s="176"/>
      <c r="H1838" s="178"/>
      <c r="I1838" s="592">
        <f t="shared" si="72"/>
        <v>0</v>
      </c>
      <c r="J1838" s="178"/>
      <c r="K1838" s="178"/>
      <c r="L1838" s="275" t="str">
        <f>IF(H:H=0,"",IF(ISERROR(VLOOKUP(H:H,produtos_escape2!$A$2:$B$2794,2,FALSE)),"Código não cadastrado",(VLOOKUP(H:H,produtos_escape2!$A$2:$B$2794,2,FALSE))))</f>
        <v/>
      </c>
      <c r="M1838" s="593" t="str">
        <f>IF(H:H=0,"",IF(ISERROR(VLOOKUP(H:H,produtos_escape2!$A$2:$D$2794,2,FALSE)),"Código não cadastrado",(VLOOKUP(H:H,produtos_escape2!$A$2:$D$2794,4,FALSE))))</f>
        <v/>
      </c>
      <c r="N1838" s="486"/>
      <c r="O1838" s="176"/>
      <c r="P1838" s="486"/>
      <c r="Q1838" s="247"/>
      <c r="R1838" s="246">
        <f t="shared" si="73"/>
        <v>0</v>
      </c>
      <c r="S1838" s="177"/>
      <c r="T1838" s="182"/>
      <c r="U1838" s="177"/>
      <c r="V1838" s="177"/>
      <c r="W1838" s="177"/>
      <c r="X1838" s="176"/>
      <c r="Y1838" s="177"/>
      <c r="Z1838" s="415"/>
      <c r="AA1838" s="488"/>
      <c r="AB1838" s="594"/>
      <c r="AC1838" s="595"/>
      <c r="AD1838" s="596" t="str">
        <f>IF(AND(AC1838&lt;&gt;"",S1838&lt;&gt;""),NETWORKDAYS(AC1838,S1838,#REF!),"")</f>
        <v/>
      </c>
      <c r="AE1838" s="596" t="str">
        <f ca="1">IF(AND(AD1838="",AC1838=""),"",IF(OR(AD1838&lt;&gt;"",O1838="*CANCELADO"),"",NETWORKDAYS(AC1838,TODAY(),#REF!)))</f>
        <v/>
      </c>
      <c r="AF1838" s="619"/>
    </row>
    <row r="1839" spans="1:32" ht="14.25" customHeight="1">
      <c r="A1839" s="176"/>
      <c r="B1839" s="176"/>
      <c r="C1839" s="177"/>
      <c r="D1839" s="176"/>
      <c r="E1839" s="176"/>
      <c r="F1839" s="259"/>
      <c r="G1839" s="176"/>
      <c r="H1839" s="178"/>
      <c r="I1839" s="592">
        <f t="shared" si="72"/>
        <v>0</v>
      </c>
      <c r="J1839" s="178"/>
      <c r="K1839" s="178"/>
      <c r="L1839" s="275" t="str">
        <f>IF(H:H=0,"",IF(ISERROR(VLOOKUP(H:H,produtos_escape2!$A$2:$B$2794,2,FALSE)),"Código não cadastrado",(VLOOKUP(H:H,produtos_escape2!$A$2:$B$2794,2,FALSE))))</f>
        <v/>
      </c>
      <c r="M1839" s="593" t="str">
        <f>IF(H:H=0,"",IF(ISERROR(VLOOKUP(H:H,produtos_escape2!$A$2:$D$2794,2,FALSE)),"Código não cadastrado",(VLOOKUP(H:H,produtos_escape2!$A$2:$D$2794,4,FALSE))))</f>
        <v/>
      </c>
      <c r="N1839" s="486"/>
      <c r="O1839" s="176"/>
      <c r="P1839" s="486"/>
      <c r="Q1839" s="247"/>
      <c r="R1839" s="246">
        <f t="shared" si="73"/>
        <v>0</v>
      </c>
      <c r="S1839" s="177"/>
      <c r="T1839" s="182"/>
      <c r="U1839" s="177"/>
      <c r="V1839" s="177"/>
      <c r="W1839" s="177"/>
      <c r="X1839" s="176"/>
      <c r="Y1839" s="177"/>
      <c r="Z1839" s="415"/>
      <c r="AA1839" s="488"/>
      <c r="AB1839" s="594"/>
      <c r="AC1839" s="595"/>
      <c r="AD1839" s="596" t="str">
        <f>IF(AND(AC1839&lt;&gt;"",S1839&lt;&gt;""),NETWORKDAYS(AC1839,S1839,#REF!),"")</f>
        <v/>
      </c>
      <c r="AE1839" s="596" t="str">
        <f ca="1">IF(AND(AD1839="",AC1839=""),"",IF(OR(AD1839&lt;&gt;"",O1839="*CANCELADO"),"",NETWORKDAYS(AC1839,TODAY(),#REF!)))</f>
        <v/>
      </c>
      <c r="AF1839" s="619"/>
    </row>
    <row r="1840" spans="1:32" ht="14.25" customHeight="1">
      <c r="A1840" s="176"/>
      <c r="B1840" s="176"/>
      <c r="C1840" s="177"/>
      <c r="D1840" s="176"/>
      <c r="E1840" s="176"/>
      <c r="F1840" s="259"/>
      <c r="G1840" s="176"/>
      <c r="H1840" s="178"/>
      <c r="I1840" s="592">
        <f t="shared" si="72"/>
        <v>0</v>
      </c>
      <c r="J1840" s="178"/>
      <c r="K1840" s="178"/>
      <c r="L1840" s="275" t="str">
        <f>IF(H:H=0,"",IF(ISERROR(VLOOKUP(H:H,produtos_escape2!$A$2:$B$2794,2,FALSE)),"Código não cadastrado",(VLOOKUP(H:H,produtos_escape2!$A$2:$B$2794,2,FALSE))))</f>
        <v/>
      </c>
      <c r="M1840" s="593" t="str">
        <f>IF(H:H=0,"",IF(ISERROR(VLOOKUP(H:H,produtos_escape2!$A$2:$D$2794,2,FALSE)),"Código não cadastrado",(VLOOKUP(H:H,produtos_escape2!$A$2:$D$2794,4,FALSE))))</f>
        <v/>
      </c>
      <c r="N1840" s="486"/>
      <c r="O1840" s="176"/>
      <c r="P1840" s="486"/>
      <c r="Q1840" s="247"/>
      <c r="R1840" s="246">
        <f t="shared" si="73"/>
        <v>0</v>
      </c>
      <c r="S1840" s="177"/>
      <c r="T1840" s="182"/>
      <c r="U1840" s="177"/>
      <c r="V1840" s="177"/>
      <c r="W1840" s="177"/>
      <c r="X1840" s="176"/>
      <c r="Y1840" s="177"/>
      <c r="Z1840" s="415"/>
      <c r="AA1840" s="488"/>
      <c r="AB1840" s="594"/>
      <c r="AC1840" s="595"/>
      <c r="AD1840" s="596" t="str">
        <f>IF(AND(AC1840&lt;&gt;"",S1840&lt;&gt;""),NETWORKDAYS(AC1840,S1840,#REF!),"")</f>
        <v/>
      </c>
      <c r="AE1840" s="596" t="str">
        <f ca="1">IF(AND(AD1840="",AC1840=""),"",IF(OR(AD1840&lt;&gt;"",O1840="*CANCELADO"),"",NETWORKDAYS(AC1840,TODAY(),#REF!)))</f>
        <v/>
      </c>
      <c r="AF1840" s="619"/>
    </row>
    <row r="1841" spans="1:32" ht="14.25" customHeight="1">
      <c r="A1841" s="176"/>
      <c r="B1841" s="176"/>
      <c r="C1841" s="177"/>
      <c r="D1841" s="176"/>
      <c r="E1841" s="176"/>
      <c r="F1841" s="259"/>
      <c r="G1841" s="176"/>
      <c r="H1841" s="178"/>
      <c r="I1841" s="592">
        <f t="shared" si="72"/>
        <v>0</v>
      </c>
      <c r="J1841" s="178"/>
      <c r="K1841" s="178"/>
      <c r="L1841" s="275" t="str">
        <f>IF(H:H=0,"",IF(ISERROR(VLOOKUP(H:H,produtos_escape2!$A$2:$B$2794,2,FALSE)),"Código não cadastrado",(VLOOKUP(H:H,produtos_escape2!$A$2:$B$2794,2,FALSE))))</f>
        <v/>
      </c>
      <c r="M1841" s="593" t="str">
        <f>IF(H:H=0,"",IF(ISERROR(VLOOKUP(H:H,produtos_escape2!$A$2:$D$2794,2,FALSE)),"Código não cadastrado",(VLOOKUP(H:H,produtos_escape2!$A$2:$D$2794,4,FALSE))))</f>
        <v/>
      </c>
      <c r="N1841" s="486"/>
      <c r="O1841" s="176"/>
      <c r="P1841" s="486"/>
      <c r="Q1841" s="247"/>
      <c r="R1841" s="246">
        <f t="shared" si="73"/>
        <v>0</v>
      </c>
      <c r="S1841" s="177"/>
      <c r="T1841" s="182"/>
      <c r="U1841" s="177"/>
      <c r="V1841" s="177"/>
      <c r="W1841" s="177"/>
      <c r="X1841" s="176"/>
      <c r="Y1841" s="177"/>
      <c r="Z1841" s="415"/>
      <c r="AA1841" s="488"/>
      <c r="AB1841" s="594"/>
      <c r="AC1841" s="595"/>
      <c r="AD1841" s="596" t="str">
        <f>IF(AND(AC1841&lt;&gt;"",S1841&lt;&gt;""),NETWORKDAYS(AC1841,S1841,#REF!),"")</f>
        <v/>
      </c>
      <c r="AE1841" s="596" t="str">
        <f ca="1">IF(AND(AD1841="",AC1841=""),"",IF(OR(AD1841&lt;&gt;"",O1841="*CANCELADO"),"",NETWORKDAYS(AC1841,TODAY(),#REF!)))</f>
        <v/>
      </c>
      <c r="AF1841" s="619"/>
    </row>
    <row r="1842" spans="1:32" ht="14.25" customHeight="1">
      <c r="A1842" s="176"/>
      <c r="B1842" s="176"/>
      <c r="C1842" s="177"/>
      <c r="D1842" s="176"/>
      <c r="E1842" s="176"/>
      <c r="F1842" s="259"/>
      <c r="G1842" s="176"/>
      <c r="H1842" s="178"/>
      <c r="I1842" s="592">
        <f t="shared" si="72"/>
        <v>0</v>
      </c>
      <c r="J1842" s="178"/>
      <c r="K1842" s="178"/>
      <c r="L1842" s="275" t="str">
        <f>IF(H:H=0,"",IF(ISERROR(VLOOKUP(H:H,produtos_escape2!$A$2:$B$2794,2,FALSE)),"Código não cadastrado",(VLOOKUP(H:H,produtos_escape2!$A$2:$B$2794,2,FALSE))))</f>
        <v/>
      </c>
      <c r="M1842" s="593" t="str">
        <f>IF(H:H=0,"",IF(ISERROR(VLOOKUP(H:H,produtos_escape2!$A$2:$D$2794,2,FALSE)),"Código não cadastrado",(VLOOKUP(H:H,produtos_escape2!$A$2:$D$2794,4,FALSE))))</f>
        <v/>
      </c>
      <c r="N1842" s="486"/>
      <c r="O1842" s="176"/>
      <c r="P1842" s="486"/>
      <c r="Q1842" s="247"/>
      <c r="R1842" s="246">
        <f t="shared" si="73"/>
        <v>0</v>
      </c>
      <c r="S1842" s="177"/>
      <c r="T1842" s="182"/>
      <c r="U1842" s="177"/>
      <c r="V1842" s="177"/>
      <c r="W1842" s="177"/>
      <c r="X1842" s="176"/>
      <c r="Y1842" s="177"/>
      <c r="Z1842" s="415"/>
      <c r="AA1842" s="488"/>
      <c r="AB1842" s="594"/>
      <c r="AC1842" s="595"/>
      <c r="AD1842" s="596" t="str">
        <f>IF(AND(AC1842&lt;&gt;"",S1842&lt;&gt;""),NETWORKDAYS(AC1842,S1842,#REF!),"")</f>
        <v/>
      </c>
      <c r="AE1842" s="596" t="str">
        <f ca="1">IF(AND(AD1842="",AC1842=""),"",IF(OR(AD1842&lt;&gt;"",O1842="*CANCELADO"),"",NETWORKDAYS(AC1842,TODAY(),#REF!)))</f>
        <v/>
      </c>
      <c r="AF1842" s="619"/>
    </row>
    <row r="1843" spans="1:32" ht="14.25" customHeight="1">
      <c r="A1843" s="176"/>
      <c r="B1843" s="176"/>
      <c r="C1843" s="177"/>
      <c r="D1843" s="176"/>
      <c r="E1843" s="176"/>
      <c r="F1843" s="259"/>
      <c r="G1843" s="176"/>
      <c r="H1843" s="178"/>
      <c r="I1843" s="592">
        <f t="shared" si="72"/>
        <v>0</v>
      </c>
      <c r="J1843" s="178"/>
      <c r="K1843" s="178"/>
      <c r="L1843" s="275" t="str">
        <f>IF(H:H=0,"",IF(ISERROR(VLOOKUP(H:H,produtos_escape2!$A$2:$B$2794,2,FALSE)),"Código não cadastrado",(VLOOKUP(H:H,produtos_escape2!$A$2:$B$2794,2,FALSE))))</f>
        <v/>
      </c>
      <c r="M1843" s="593" t="str">
        <f>IF(H:H=0,"",IF(ISERROR(VLOOKUP(H:H,produtos_escape2!$A$2:$D$2794,2,FALSE)),"Código não cadastrado",(VLOOKUP(H:H,produtos_escape2!$A$2:$D$2794,4,FALSE))))</f>
        <v/>
      </c>
      <c r="N1843" s="486"/>
      <c r="O1843" s="176"/>
      <c r="P1843" s="486"/>
      <c r="Q1843" s="247"/>
      <c r="R1843" s="246">
        <f t="shared" si="73"/>
        <v>0</v>
      </c>
      <c r="S1843" s="177"/>
      <c r="T1843" s="182"/>
      <c r="U1843" s="177"/>
      <c r="V1843" s="177"/>
      <c r="W1843" s="177"/>
      <c r="X1843" s="176"/>
      <c r="Y1843" s="177"/>
      <c r="Z1843" s="415"/>
      <c r="AA1843" s="488"/>
      <c r="AB1843" s="594"/>
      <c r="AC1843" s="595"/>
      <c r="AD1843" s="596" t="str">
        <f>IF(AND(AC1843&lt;&gt;"",S1843&lt;&gt;""),NETWORKDAYS(AC1843,S1843,#REF!),"")</f>
        <v/>
      </c>
      <c r="AE1843" s="596" t="str">
        <f ca="1">IF(AND(AD1843="",AC1843=""),"",IF(OR(AD1843&lt;&gt;"",O1843="*CANCELADO"),"",NETWORKDAYS(AC1843,TODAY(),#REF!)))</f>
        <v/>
      </c>
      <c r="AF1843" s="619"/>
    </row>
    <row r="1844" spans="1:32" ht="14.25" customHeight="1">
      <c r="A1844" s="176"/>
      <c r="B1844" s="176"/>
      <c r="C1844" s="177"/>
      <c r="D1844" s="176"/>
      <c r="E1844" s="176"/>
      <c r="F1844" s="259"/>
      <c r="G1844" s="176"/>
      <c r="H1844" s="178"/>
      <c r="I1844" s="592">
        <f t="shared" si="72"/>
        <v>0</v>
      </c>
      <c r="J1844" s="178"/>
      <c r="K1844" s="178"/>
      <c r="L1844" s="275" t="str">
        <f>IF(H:H=0,"",IF(ISERROR(VLOOKUP(H:H,produtos_escape2!$A$2:$B$2794,2,FALSE)),"Código não cadastrado",(VLOOKUP(H:H,produtos_escape2!$A$2:$B$2794,2,FALSE))))</f>
        <v/>
      </c>
      <c r="M1844" s="593" t="str">
        <f>IF(H:H=0,"",IF(ISERROR(VLOOKUP(H:H,produtos_escape2!$A$2:$D$2794,2,FALSE)),"Código não cadastrado",(VLOOKUP(H:H,produtos_escape2!$A$2:$D$2794,4,FALSE))))</f>
        <v/>
      </c>
      <c r="N1844" s="486"/>
      <c r="O1844" s="176"/>
      <c r="P1844" s="486"/>
      <c r="Q1844" s="247"/>
      <c r="R1844" s="246">
        <f t="shared" si="73"/>
        <v>0</v>
      </c>
      <c r="S1844" s="177"/>
      <c r="T1844" s="182"/>
      <c r="U1844" s="177"/>
      <c r="V1844" s="177"/>
      <c r="W1844" s="177"/>
      <c r="X1844" s="176"/>
      <c r="Y1844" s="177"/>
      <c r="Z1844" s="415"/>
      <c r="AA1844" s="488"/>
      <c r="AB1844" s="594"/>
      <c r="AC1844" s="595"/>
      <c r="AD1844" s="596" t="str">
        <f>IF(AND(AC1844&lt;&gt;"",S1844&lt;&gt;""),NETWORKDAYS(AC1844,S1844,#REF!),"")</f>
        <v/>
      </c>
      <c r="AE1844" s="596" t="str">
        <f ca="1">IF(AND(AD1844="",AC1844=""),"",IF(OR(AD1844&lt;&gt;"",O1844="*CANCELADO"),"",NETWORKDAYS(AC1844,TODAY(),#REF!)))</f>
        <v/>
      </c>
      <c r="AF1844" s="619"/>
    </row>
    <row r="1845" spans="1:32" ht="14.25" customHeight="1">
      <c r="A1845" s="176"/>
      <c r="B1845" s="176"/>
      <c r="C1845" s="177"/>
      <c r="D1845" s="176"/>
      <c r="E1845" s="176"/>
      <c r="F1845" s="259"/>
      <c r="G1845" s="176"/>
      <c r="H1845" s="178"/>
      <c r="I1845" s="592">
        <f t="shared" si="72"/>
        <v>0</v>
      </c>
      <c r="J1845" s="178"/>
      <c r="K1845" s="178"/>
      <c r="L1845" s="275" t="str">
        <f>IF(H:H=0,"",IF(ISERROR(VLOOKUP(H:H,produtos_escape2!$A$2:$B$2794,2,FALSE)),"Código não cadastrado",(VLOOKUP(H:H,produtos_escape2!$A$2:$B$2794,2,FALSE))))</f>
        <v/>
      </c>
      <c r="M1845" s="593" t="str">
        <f>IF(H:H=0,"",IF(ISERROR(VLOOKUP(H:H,produtos_escape2!$A$2:$D$2794,2,FALSE)),"Código não cadastrado",(VLOOKUP(H:H,produtos_escape2!$A$2:$D$2794,4,FALSE))))</f>
        <v/>
      </c>
      <c r="N1845" s="486"/>
      <c r="O1845" s="176"/>
      <c r="P1845" s="486"/>
      <c r="Q1845" s="247"/>
      <c r="R1845" s="246">
        <f t="shared" si="73"/>
        <v>0</v>
      </c>
      <c r="S1845" s="177"/>
      <c r="T1845" s="182"/>
      <c r="U1845" s="177"/>
      <c r="V1845" s="177"/>
      <c r="W1845" s="177"/>
      <c r="X1845" s="176"/>
      <c r="Y1845" s="177"/>
      <c r="Z1845" s="415"/>
      <c r="AA1845" s="488"/>
      <c r="AB1845" s="594"/>
      <c r="AC1845" s="595"/>
      <c r="AD1845" s="596" t="str">
        <f>IF(AND(AC1845&lt;&gt;"",S1845&lt;&gt;""),NETWORKDAYS(AC1845,S1845,#REF!),"")</f>
        <v/>
      </c>
      <c r="AE1845" s="596" t="str">
        <f ca="1">IF(AND(AD1845="",AC1845=""),"",IF(OR(AD1845&lt;&gt;"",O1845="*CANCELADO"),"",NETWORKDAYS(AC1845,TODAY(),#REF!)))</f>
        <v/>
      </c>
      <c r="AF1845" s="619"/>
    </row>
    <row r="1846" spans="1:32" ht="14.25" customHeight="1">
      <c r="A1846" s="176"/>
      <c r="B1846" s="176"/>
      <c r="C1846" s="177"/>
      <c r="D1846" s="176"/>
      <c r="E1846" s="176"/>
      <c r="F1846" s="259"/>
      <c r="G1846" s="176"/>
      <c r="H1846" s="178"/>
      <c r="I1846" s="592">
        <f t="shared" ref="I1846:I1909" si="74">COUNTIF($H$3:$H$3041,H1846)</f>
        <v>0</v>
      </c>
      <c r="J1846" s="178"/>
      <c r="K1846" s="178"/>
      <c r="L1846" s="275" t="str">
        <f>IF(H:H=0,"",IF(ISERROR(VLOOKUP(H:H,produtos_escape2!$A$2:$B$2794,2,FALSE)),"Código não cadastrado",(VLOOKUP(H:H,produtos_escape2!$A$2:$B$2794,2,FALSE))))</f>
        <v/>
      </c>
      <c r="M1846" s="593" t="str">
        <f>IF(H:H=0,"",IF(ISERROR(VLOOKUP(H:H,produtos_escape2!$A$2:$D$2794,2,FALSE)),"Código não cadastrado",(VLOOKUP(H:H,produtos_escape2!$A$2:$D$2794,4,FALSE))))</f>
        <v/>
      </c>
      <c r="N1846" s="486"/>
      <c r="O1846" s="176"/>
      <c r="P1846" s="486"/>
      <c r="Q1846" s="247"/>
      <c r="R1846" s="246">
        <f t="shared" si="73"/>
        <v>0</v>
      </c>
      <c r="S1846" s="177"/>
      <c r="T1846" s="182"/>
      <c r="U1846" s="177"/>
      <c r="V1846" s="177"/>
      <c r="W1846" s="177"/>
      <c r="X1846" s="176"/>
      <c r="Y1846" s="177"/>
      <c r="Z1846" s="415"/>
      <c r="AA1846" s="488"/>
      <c r="AB1846" s="594"/>
      <c r="AC1846" s="595"/>
      <c r="AD1846" s="596" t="str">
        <f>IF(AND(AC1846&lt;&gt;"",S1846&lt;&gt;""),NETWORKDAYS(AC1846,S1846,#REF!),"")</f>
        <v/>
      </c>
      <c r="AE1846" s="596" t="str">
        <f ca="1">IF(AND(AD1846="",AC1846=""),"",IF(OR(AD1846&lt;&gt;"",O1846="*CANCELADO"),"",NETWORKDAYS(AC1846,TODAY(),#REF!)))</f>
        <v/>
      </c>
      <c r="AF1846" s="619"/>
    </row>
    <row r="1847" spans="1:32" ht="14.25" customHeight="1">
      <c r="A1847" s="176"/>
      <c r="B1847" s="176"/>
      <c r="C1847" s="177"/>
      <c r="D1847" s="176"/>
      <c r="E1847" s="176"/>
      <c r="F1847" s="259"/>
      <c r="G1847" s="176"/>
      <c r="H1847" s="178"/>
      <c r="I1847" s="592">
        <f t="shared" si="74"/>
        <v>0</v>
      </c>
      <c r="J1847" s="178"/>
      <c r="K1847" s="178"/>
      <c r="L1847" s="275" t="str">
        <f>IF(H:H=0,"",IF(ISERROR(VLOOKUP(H:H,produtos_escape2!$A$2:$B$2794,2,FALSE)),"Código não cadastrado",(VLOOKUP(H:H,produtos_escape2!$A$2:$B$2794,2,FALSE))))</f>
        <v/>
      </c>
      <c r="M1847" s="593" t="str">
        <f>IF(H:H=0,"",IF(ISERROR(VLOOKUP(H:H,produtos_escape2!$A$2:$D$2794,2,FALSE)),"Código não cadastrado",(VLOOKUP(H:H,produtos_escape2!$A$2:$D$2794,4,FALSE))))</f>
        <v/>
      </c>
      <c r="N1847" s="486"/>
      <c r="O1847" s="176"/>
      <c r="P1847" s="486"/>
      <c r="Q1847" s="247"/>
      <c r="R1847" s="246">
        <f t="shared" si="73"/>
        <v>0</v>
      </c>
      <c r="S1847" s="177"/>
      <c r="T1847" s="182"/>
      <c r="U1847" s="177"/>
      <c r="V1847" s="177"/>
      <c r="W1847" s="177"/>
      <c r="X1847" s="176"/>
      <c r="Y1847" s="177"/>
      <c r="Z1847" s="415"/>
      <c r="AA1847" s="488"/>
      <c r="AB1847" s="594"/>
      <c r="AC1847" s="595"/>
      <c r="AD1847" s="596" t="str">
        <f>IF(AND(AC1847&lt;&gt;"",S1847&lt;&gt;""),NETWORKDAYS(AC1847,S1847,#REF!),"")</f>
        <v/>
      </c>
      <c r="AE1847" s="596" t="str">
        <f ca="1">IF(AND(AD1847="",AC1847=""),"",IF(OR(AD1847&lt;&gt;"",O1847="*CANCELADO"),"",NETWORKDAYS(AC1847,TODAY(),#REF!)))</f>
        <v/>
      </c>
      <c r="AF1847" s="619"/>
    </row>
    <row r="1848" spans="1:32" ht="14.25" customHeight="1">
      <c r="A1848" s="176"/>
      <c r="B1848" s="176"/>
      <c r="C1848" s="177"/>
      <c r="D1848" s="176"/>
      <c r="E1848" s="176"/>
      <c r="F1848" s="259"/>
      <c r="G1848" s="176"/>
      <c r="H1848" s="178"/>
      <c r="I1848" s="592">
        <f t="shared" si="74"/>
        <v>0</v>
      </c>
      <c r="J1848" s="178"/>
      <c r="K1848" s="178"/>
      <c r="L1848" s="275" t="str">
        <f>IF(H:H=0,"",IF(ISERROR(VLOOKUP(H:H,produtos_escape2!$A$2:$B$2794,2,FALSE)),"Código não cadastrado",(VLOOKUP(H:H,produtos_escape2!$A$2:$B$2794,2,FALSE))))</f>
        <v/>
      </c>
      <c r="M1848" s="593" t="str">
        <f>IF(H:H=0,"",IF(ISERROR(VLOOKUP(H:H,produtos_escape2!$A$2:$D$2794,2,FALSE)),"Código não cadastrado",(VLOOKUP(H:H,produtos_escape2!$A$2:$D$2794,4,FALSE))))</f>
        <v/>
      </c>
      <c r="N1848" s="486"/>
      <c r="O1848" s="176"/>
      <c r="P1848" s="486"/>
      <c r="Q1848" s="247"/>
      <c r="R1848" s="246">
        <f t="shared" si="73"/>
        <v>0</v>
      </c>
      <c r="S1848" s="177"/>
      <c r="T1848" s="182"/>
      <c r="U1848" s="177"/>
      <c r="V1848" s="177"/>
      <c r="W1848" s="177"/>
      <c r="X1848" s="176"/>
      <c r="Y1848" s="177"/>
      <c r="Z1848" s="415"/>
      <c r="AA1848" s="488"/>
      <c r="AB1848" s="594"/>
      <c r="AC1848" s="595"/>
      <c r="AD1848" s="596" t="str">
        <f>IF(AND(AC1848&lt;&gt;"",S1848&lt;&gt;""),NETWORKDAYS(AC1848,S1848,#REF!),"")</f>
        <v/>
      </c>
      <c r="AE1848" s="596" t="str">
        <f ca="1">IF(AND(AD1848="",AC1848=""),"",IF(OR(AD1848&lt;&gt;"",O1848="*CANCELADO"),"",NETWORKDAYS(AC1848,TODAY(),#REF!)))</f>
        <v/>
      </c>
      <c r="AF1848" s="619"/>
    </row>
    <row r="1849" spans="1:32" ht="14.25" customHeight="1">
      <c r="A1849" s="176"/>
      <c r="B1849" s="176"/>
      <c r="C1849" s="177"/>
      <c r="D1849" s="176"/>
      <c r="E1849" s="176"/>
      <c r="F1849" s="259"/>
      <c r="G1849" s="176"/>
      <c r="H1849" s="178"/>
      <c r="I1849" s="592">
        <f t="shared" si="74"/>
        <v>0</v>
      </c>
      <c r="J1849" s="178"/>
      <c r="K1849" s="178"/>
      <c r="L1849" s="275" t="str">
        <f>IF(H:H=0,"",IF(ISERROR(VLOOKUP(H:H,produtos_escape2!$A$2:$B$2794,2,FALSE)),"Código não cadastrado",(VLOOKUP(H:H,produtos_escape2!$A$2:$B$2794,2,FALSE))))</f>
        <v/>
      </c>
      <c r="M1849" s="593" t="str">
        <f>IF(H:H=0,"",IF(ISERROR(VLOOKUP(H:H,produtos_escape2!$A$2:$D$2794,2,FALSE)),"Código não cadastrado",(VLOOKUP(H:H,produtos_escape2!$A$2:$D$2794,4,FALSE))))</f>
        <v/>
      </c>
      <c r="N1849" s="486"/>
      <c r="O1849" s="176"/>
      <c r="P1849" s="486"/>
      <c r="Q1849" s="247"/>
      <c r="R1849" s="246">
        <f t="shared" si="73"/>
        <v>0</v>
      </c>
      <c r="S1849" s="177"/>
      <c r="T1849" s="182"/>
      <c r="U1849" s="177"/>
      <c r="V1849" s="177"/>
      <c r="W1849" s="177"/>
      <c r="X1849" s="176"/>
      <c r="Y1849" s="177"/>
      <c r="Z1849" s="415"/>
      <c r="AA1849" s="488"/>
      <c r="AB1849" s="594"/>
      <c r="AC1849" s="595"/>
      <c r="AD1849" s="596" t="str">
        <f>IF(AND(AC1849&lt;&gt;"",S1849&lt;&gt;""),NETWORKDAYS(AC1849,S1849,#REF!),"")</f>
        <v/>
      </c>
      <c r="AE1849" s="596" t="str">
        <f ca="1">IF(AND(AD1849="",AC1849=""),"",IF(OR(AD1849&lt;&gt;"",O1849="*CANCELADO"),"",NETWORKDAYS(AC1849,TODAY(),#REF!)))</f>
        <v/>
      </c>
      <c r="AF1849" s="619"/>
    </row>
    <row r="1850" spans="1:32" ht="14.25" customHeight="1">
      <c r="A1850" s="176"/>
      <c r="B1850" s="176"/>
      <c r="C1850" s="177"/>
      <c r="D1850" s="176"/>
      <c r="E1850" s="176"/>
      <c r="F1850" s="259"/>
      <c r="G1850" s="176"/>
      <c r="H1850" s="178"/>
      <c r="I1850" s="592">
        <f t="shared" si="74"/>
        <v>0</v>
      </c>
      <c r="J1850" s="178"/>
      <c r="K1850" s="178"/>
      <c r="L1850" s="275" t="str">
        <f>IF(H:H=0,"",IF(ISERROR(VLOOKUP(H:H,produtos_escape2!$A$2:$B$2794,2,FALSE)),"Código não cadastrado",(VLOOKUP(H:H,produtos_escape2!$A$2:$B$2794,2,FALSE))))</f>
        <v/>
      </c>
      <c r="M1850" s="593" t="str">
        <f>IF(H:H=0,"",IF(ISERROR(VLOOKUP(H:H,produtos_escape2!$A$2:$D$2794,2,FALSE)),"Código não cadastrado",(VLOOKUP(H:H,produtos_escape2!$A$2:$D$2794,4,FALSE))))</f>
        <v/>
      </c>
      <c r="N1850" s="486"/>
      <c r="O1850" s="176"/>
      <c r="P1850" s="486"/>
      <c r="Q1850" s="247"/>
      <c r="R1850" s="246">
        <f t="shared" si="73"/>
        <v>0</v>
      </c>
      <c r="S1850" s="177"/>
      <c r="T1850" s="182"/>
      <c r="U1850" s="177"/>
      <c r="V1850" s="177"/>
      <c r="W1850" s="177"/>
      <c r="X1850" s="176"/>
      <c r="Y1850" s="177"/>
      <c r="Z1850" s="415"/>
      <c r="AA1850" s="488"/>
      <c r="AB1850" s="594"/>
      <c r="AC1850" s="595"/>
      <c r="AD1850" s="596" t="str">
        <f>IF(AND(AC1850&lt;&gt;"",S1850&lt;&gt;""),NETWORKDAYS(AC1850,S1850,#REF!),"")</f>
        <v/>
      </c>
      <c r="AE1850" s="596" t="str">
        <f ca="1">IF(AND(AD1850="",AC1850=""),"",IF(OR(AD1850&lt;&gt;"",O1850="*CANCELADO"),"",NETWORKDAYS(AC1850,TODAY(),#REF!)))</f>
        <v/>
      </c>
      <c r="AF1850" s="619"/>
    </row>
    <row r="1851" spans="1:32" ht="14.25" customHeight="1">
      <c r="A1851" s="176"/>
      <c r="B1851" s="176"/>
      <c r="C1851" s="177"/>
      <c r="D1851" s="176"/>
      <c r="E1851" s="176"/>
      <c r="F1851" s="259"/>
      <c r="G1851" s="176"/>
      <c r="H1851" s="178"/>
      <c r="I1851" s="592">
        <f t="shared" si="74"/>
        <v>0</v>
      </c>
      <c r="J1851" s="178"/>
      <c r="K1851" s="178"/>
      <c r="L1851" s="275" t="str">
        <f>IF(H:H=0,"",IF(ISERROR(VLOOKUP(H:H,produtos_escape2!$A$2:$B$2794,2,FALSE)),"Código não cadastrado",(VLOOKUP(H:H,produtos_escape2!$A$2:$B$2794,2,FALSE))))</f>
        <v/>
      </c>
      <c r="M1851" s="593" t="str">
        <f>IF(H:H=0,"",IF(ISERROR(VLOOKUP(H:H,produtos_escape2!$A$2:$D$2794,2,FALSE)),"Código não cadastrado",(VLOOKUP(H:H,produtos_escape2!$A$2:$D$2794,4,FALSE))))</f>
        <v/>
      </c>
      <c r="N1851" s="486"/>
      <c r="O1851" s="176"/>
      <c r="P1851" s="486"/>
      <c r="Q1851" s="247"/>
      <c r="R1851" s="246">
        <f t="shared" si="73"/>
        <v>0</v>
      </c>
      <c r="S1851" s="177"/>
      <c r="T1851" s="182"/>
      <c r="U1851" s="177"/>
      <c r="V1851" s="177"/>
      <c r="W1851" s="177"/>
      <c r="X1851" s="176"/>
      <c r="Y1851" s="177"/>
      <c r="Z1851" s="415"/>
      <c r="AA1851" s="488"/>
      <c r="AB1851" s="594"/>
      <c r="AC1851" s="595"/>
      <c r="AD1851" s="596" t="str">
        <f>IF(AND(AC1851&lt;&gt;"",S1851&lt;&gt;""),NETWORKDAYS(AC1851,S1851,#REF!),"")</f>
        <v/>
      </c>
      <c r="AE1851" s="596" t="str">
        <f ca="1">IF(AND(AD1851="",AC1851=""),"",IF(OR(AD1851&lt;&gt;"",O1851="*CANCELADO"),"",NETWORKDAYS(AC1851,TODAY(),#REF!)))</f>
        <v/>
      </c>
      <c r="AF1851" s="619"/>
    </row>
    <row r="1852" spans="1:32" ht="14.25" customHeight="1">
      <c r="A1852" s="176"/>
      <c r="B1852" s="176"/>
      <c r="C1852" s="177"/>
      <c r="D1852" s="176"/>
      <c r="E1852" s="176"/>
      <c r="F1852" s="259"/>
      <c r="G1852" s="176"/>
      <c r="H1852" s="178"/>
      <c r="I1852" s="592">
        <f t="shared" si="74"/>
        <v>0</v>
      </c>
      <c r="J1852" s="178"/>
      <c r="K1852" s="178"/>
      <c r="L1852" s="275" t="str">
        <f>IF(H:H=0,"",IF(ISERROR(VLOOKUP(H:H,produtos_escape2!$A$2:$B$2794,2,FALSE)),"Código não cadastrado",(VLOOKUP(H:H,produtos_escape2!$A$2:$B$2794,2,FALSE))))</f>
        <v/>
      </c>
      <c r="M1852" s="593" t="str">
        <f>IF(H:H=0,"",IF(ISERROR(VLOOKUP(H:H,produtos_escape2!$A$2:$D$2794,2,FALSE)),"Código não cadastrado",(VLOOKUP(H:H,produtos_escape2!$A$2:$D$2794,4,FALSE))))</f>
        <v/>
      </c>
      <c r="N1852" s="486"/>
      <c r="O1852" s="176"/>
      <c r="P1852" s="486"/>
      <c r="Q1852" s="247"/>
      <c r="R1852" s="246">
        <f t="shared" si="73"/>
        <v>0</v>
      </c>
      <c r="S1852" s="177"/>
      <c r="T1852" s="182"/>
      <c r="U1852" s="177"/>
      <c r="V1852" s="177"/>
      <c r="W1852" s="177"/>
      <c r="X1852" s="176"/>
      <c r="Y1852" s="177"/>
      <c r="Z1852" s="415"/>
      <c r="AA1852" s="488"/>
      <c r="AB1852" s="594"/>
      <c r="AC1852" s="595"/>
      <c r="AD1852" s="596" t="str">
        <f>IF(AND(AC1852&lt;&gt;"",S1852&lt;&gt;""),NETWORKDAYS(AC1852,S1852,#REF!),"")</f>
        <v/>
      </c>
      <c r="AE1852" s="596" t="str">
        <f ca="1">IF(AND(AD1852="",AC1852=""),"",IF(OR(AD1852&lt;&gt;"",O1852="*CANCELADO"),"",NETWORKDAYS(AC1852,TODAY(),#REF!)))</f>
        <v/>
      </c>
      <c r="AF1852" s="619"/>
    </row>
    <row r="1853" spans="1:32" ht="14.25" customHeight="1">
      <c r="A1853" s="176"/>
      <c r="B1853" s="176"/>
      <c r="C1853" s="177"/>
      <c r="D1853" s="176"/>
      <c r="E1853" s="176"/>
      <c r="F1853" s="259"/>
      <c r="G1853" s="176"/>
      <c r="H1853" s="178"/>
      <c r="I1853" s="592">
        <f t="shared" si="74"/>
        <v>0</v>
      </c>
      <c r="J1853" s="178"/>
      <c r="K1853" s="178"/>
      <c r="L1853" s="275" t="str">
        <f>IF(H:H=0,"",IF(ISERROR(VLOOKUP(H:H,produtos_escape2!$A$2:$B$2794,2,FALSE)),"Código não cadastrado",(VLOOKUP(H:H,produtos_escape2!$A$2:$B$2794,2,FALSE))))</f>
        <v/>
      </c>
      <c r="M1853" s="593" t="str">
        <f>IF(H:H=0,"",IF(ISERROR(VLOOKUP(H:H,produtos_escape2!$A$2:$D$2794,2,FALSE)),"Código não cadastrado",(VLOOKUP(H:H,produtos_escape2!$A$2:$D$2794,4,FALSE))))</f>
        <v/>
      </c>
      <c r="N1853" s="486"/>
      <c r="O1853" s="176"/>
      <c r="P1853" s="486"/>
      <c r="Q1853" s="247"/>
      <c r="R1853" s="246">
        <f t="shared" si="73"/>
        <v>0</v>
      </c>
      <c r="S1853" s="177"/>
      <c r="T1853" s="182"/>
      <c r="U1853" s="177"/>
      <c r="V1853" s="177"/>
      <c r="W1853" s="177"/>
      <c r="X1853" s="176"/>
      <c r="Y1853" s="177"/>
      <c r="Z1853" s="415"/>
      <c r="AA1853" s="488"/>
      <c r="AB1853" s="594"/>
      <c r="AC1853" s="595"/>
      <c r="AD1853" s="596" t="str">
        <f>IF(AND(AC1853&lt;&gt;"",S1853&lt;&gt;""),NETWORKDAYS(AC1853,S1853,#REF!),"")</f>
        <v/>
      </c>
      <c r="AE1853" s="596" t="str">
        <f ca="1">IF(AND(AD1853="",AC1853=""),"",IF(OR(AD1853&lt;&gt;"",O1853="*CANCELADO"),"",NETWORKDAYS(AC1853,TODAY(),#REF!)))</f>
        <v/>
      </c>
      <c r="AF1853" s="619"/>
    </row>
    <row r="1854" spans="1:32" ht="14.25" customHeight="1">
      <c r="A1854" s="176"/>
      <c r="B1854" s="176"/>
      <c r="C1854" s="177"/>
      <c r="D1854" s="176"/>
      <c r="E1854" s="176"/>
      <c r="F1854" s="259"/>
      <c r="G1854" s="176"/>
      <c r="H1854" s="178"/>
      <c r="I1854" s="592">
        <f t="shared" si="74"/>
        <v>0</v>
      </c>
      <c r="J1854" s="178"/>
      <c r="K1854" s="178"/>
      <c r="L1854" s="275" t="str">
        <f>IF(H:H=0,"",IF(ISERROR(VLOOKUP(H:H,produtos_escape2!$A$2:$B$2794,2,FALSE)),"Código não cadastrado",(VLOOKUP(H:H,produtos_escape2!$A$2:$B$2794,2,FALSE))))</f>
        <v/>
      </c>
      <c r="M1854" s="593" t="str">
        <f>IF(H:H=0,"",IF(ISERROR(VLOOKUP(H:H,produtos_escape2!$A$2:$D$2794,2,FALSE)),"Código não cadastrado",(VLOOKUP(H:H,produtos_escape2!$A$2:$D$2794,4,FALSE))))</f>
        <v/>
      </c>
      <c r="N1854" s="486"/>
      <c r="O1854" s="176"/>
      <c r="P1854" s="486"/>
      <c r="Q1854" s="247"/>
      <c r="R1854" s="246">
        <f t="shared" si="73"/>
        <v>0</v>
      </c>
      <c r="S1854" s="177"/>
      <c r="T1854" s="182"/>
      <c r="U1854" s="177"/>
      <c r="V1854" s="177"/>
      <c r="W1854" s="177"/>
      <c r="X1854" s="176"/>
      <c r="Y1854" s="177"/>
      <c r="Z1854" s="415"/>
      <c r="AA1854" s="488"/>
      <c r="AB1854" s="594"/>
      <c r="AC1854" s="595"/>
      <c r="AD1854" s="596" t="str">
        <f>IF(AND(AC1854&lt;&gt;"",S1854&lt;&gt;""),NETWORKDAYS(AC1854,S1854,#REF!),"")</f>
        <v/>
      </c>
      <c r="AE1854" s="596" t="str">
        <f ca="1">IF(AND(AD1854="",AC1854=""),"",IF(OR(AD1854&lt;&gt;"",O1854="*CANCELADO"),"",NETWORKDAYS(AC1854,TODAY(),#REF!)))</f>
        <v/>
      </c>
      <c r="AF1854" s="619"/>
    </row>
    <row r="1855" spans="1:32" ht="14.25" customHeight="1">
      <c r="A1855" s="176"/>
      <c r="B1855" s="176"/>
      <c r="C1855" s="177"/>
      <c r="D1855" s="176"/>
      <c r="E1855" s="176"/>
      <c r="F1855" s="259"/>
      <c r="G1855" s="176"/>
      <c r="H1855" s="178"/>
      <c r="I1855" s="592">
        <f t="shared" si="74"/>
        <v>0</v>
      </c>
      <c r="J1855" s="178"/>
      <c r="K1855" s="178"/>
      <c r="L1855" s="275" t="str">
        <f>IF(H:H=0,"",IF(ISERROR(VLOOKUP(H:H,produtos_escape2!$A$2:$B$2794,2,FALSE)),"Código não cadastrado",(VLOOKUP(H:H,produtos_escape2!$A$2:$B$2794,2,FALSE))))</f>
        <v/>
      </c>
      <c r="M1855" s="593" t="str">
        <f>IF(H:H=0,"",IF(ISERROR(VLOOKUP(H:H,produtos_escape2!$A$2:$D$2794,2,FALSE)),"Código não cadastrado",(VLOOKUP(H:H,produtos_escape2!$A$2:$D$2794,4,FALSE))))</f>
        <v/>
      </c>
      <c r="N1855" s="486"/>
      <c r="O1855" s="176"/>
      <c r="P1855" s="486"/>
      <c r="Q1855" s="247"/>
      <c r="R1855" s="246">
        <f t="shared" si="73"/>
        <v>0</v>
      </c>
      <c r="S1855" s="177"/>
      <c r="T1855" s="182"/>
      <c r="U1855" s="177"/>
      <c r="V1855" s="177"/>
      <c r="W1855" s="177"/>
      <c r="X1855" s="176"/>
      <c r="Y1855" s="177"/>
      <c r="Z1855" s="415"/>
      <c r="AA1855" s="488"/>
      <c r="AB1855" s="594"/>
      <c r="AC1855" s="595"/>
      <c r="AD1855" s="596" t="str">
        <f>IF(AND(AC1855&lt;&gt;"",S1855&lt;&gt;""),NETWORKDAYS(AC1855,S1855,#REF!),"")</f>
        <v/>
      </c>
      <c r="AE1855" s="596" t="str">
        <f ca="1">IF(AND(AD1855="",AC1855=""),"",IF(OR(AD1855&lt;&gt;"",O1855="*CANCELADO"),"",NETWORKDAYS(AC1855,TODAY(),#REF!)))</f>
        <v/>
      </c>
      <c r="AF1855" s="619"/>
    </row>
    <row r="1856" spans="1:32" ht="14.25" customHeight="1">
      <c r="A1856" s="176"/>
      <c r="B1856" s="176"/>
      <c r="C1856" s="177"/>
      <c r="D1856" s="176"/>
      <c r="E1856" s="176"/>
      <c r="F1856" s="259"/>
      <c r="G1856" s="176"/>
      <c r="H1856" s="178"/>
      <c r="I1856" s="592">
        <f t="shared" si="74"/>
        <v>0</v>
      </c>
      <c r="J1856" s="178"/>
      <c r="K1856" s="178"/>
      <c r="L1856" s="275" t="str">
        <f>IF(H:H=0,"",IF(ISERROR(VLOOKUP(H:H,produtos_escape2!$A$2:$B$2794,2,FALSE)),"Código não cadastrado",(VLOOKUP(H:H,produtos_escape2!$A$2:$B$2794,2,FALSE))))</f>
        <v/>
      </c>
      <c r="M1856" s="593" t="str">
        <f>IF(H:H=0,"",IF(ISERROR(VLOOKUP(H:H,produtos_escape2!$A$2:$D$2794,2,FALSE)),"Código não cadastrado",(VLOOKUP(H:H,produtos_escape2!$A$2:$D$2794,4,FALSE))))</f>
        <v/>
      </c>
      <c r="N1856" s="486"/>
      <c r="O1856" s="176"/>
      <c r="P1856" s="486"/>
      <c r="Q1856" s="247"/>
      <c r="R1856" s="246">
        <f t="shared" si="73"/>
        <v>0</v>
      </c>
      <c r="S1856" s="177"/>
      <c r="T1856" s="182"/>
      <c r="U1856" s="177"/>
      <c r="V1856" s="177"/>
      <c r="W1856" s="177"/>
      <c r="X1856" s="176"/>
      <c r="Y1856" s="177"/>
      <c r="Z1856" s="415"/>
      <c r="AA1856" s="488"/>
      <c r="AB1856" s="594"/>
      <c r="AC1856" s="595"/>
      <c r="AD1856" s="596" t="str">
        <f>IF(AND(AC1856&lt;&gt;"",S1856&lt;&gt;""),NETWORKDAYS(AC1856,S1856,#REF!),"")</f>
        <v/>
      </c>
      <c r="AE1856" s="596" t="str">
        <f ca="1">IF(AND(AD1856="",AC1856=""),"",IF(OR(AD1856&lt;&gt;"",O1856="*CANCELADO"),"",NETWORKDAYS(AC1856,TODAY(),#REF!)))</f>
        <v/>
      </c>
      <c r="AF1856" s="619"/>
    </row>
    <row r="1857" spans="1:32" ht="14.25" customHeight="1">
      <c r="A1857" s="176"/>
      <c r="B1857" s="176"/>
      <c r="C1857" s="177"/>
      <c r="D1857" s="176"/>
      <c r="E1857" s="176"/>
      <c r="F1857" s="259"/>
      <c r="G1857" s="176"/>
      <c r="H1857" s="178"/>
      <c r="I1857" s="592">
        <f t="shared" si="74"/>
        <v>0</v>
      </c>
      <c r="J1857" s="178"/>
      <c r="K1857" s="178"/>
      <c r="L1857" s="275" t="str">
        <f>IF(H:H=0,"",IF(ISERROR(VLOOKUP(H:H,produtos_escape2!$A$2:$B$2794,2,FALSE)),"Código não cadastrado",(VLOOKUP(H:H,produtos_escape2!$A$2:$B$2794,2,FALSE))))</f>
        <v/>
      </c>
      <c r="M1857" s="593" t="str">
        <f>IF(H:H=0,"",IF(ISERROR(VLOOKUP(H:H,produtos_escape2!$A$2:$D$2794,2,FALSE)),"Código não cadastrado",(VLOOKUP(H:H,produtos_escape2!$A$2:$D$2794,4,FALSE))))</f>
        <v/>
      </c>
      <c r="N1857" s="486"/>
      <c r="O1857" s="176"/>
      <c r="P1857" s="486"/>
      <c r="Q1857" s="247"/>
      <c r="R1857" s="246">
        <f t="shared" si="73"/>
        <v>0</v>
      </c>
      <c r="S1857" s="177"/>
      <c r="T1857" s="182"/>
      <c r="U1857" s="177"/>
      <c r="V1857" s="177"/>
      <c r="W1857" s="177"/>
      <c r="X1857" s="176"/>
      <c r="Y1857" s="177"/>
      <c r="Z1857" s="415"/>
      <c r="AA1857" s="488"/>
      <c r="AB1857" s="594"/>
      <c r="AC1857" s="595"/>
      <c r="AD1857" s="596" t="str">
        <f>IF(AND(AC1857&lt;&gt;"",S1857&lt;&gt;""),NETWORKDAYS(AC1857,S1857,#REF!),"")</f>
        <v/>
      </c>
      <c r="AE1857" s="596" t="str">
        <f ca="1">IF(AND(AD1857="",AC1857=""),"",IF(OR(AD1857&lt;&gt;"",O1857="*CANCELADO"),"",NETWORKDAYS(AC1857,TODAY(),#REF!)))</f>
        <v/>
      </c>
      <c r="AF1857" s="619"/>
    </row>
    <row r="1858" spans="1:32" ht="14.25" customHeight="1">
      <c r="A1858" s="176"/>
      <c r="B1858" s="176"/>
      <c r="C1858" s="177"/>
      <c r="D1858" s="176"/>
      <c r="E1858" s="176"/>
      <c r="F1858" s="259"/>
      <c r="G1858" s="176"/>
      <c r="H1858" s="178"/>
      <c r="I1858" s="592">
        <f t="shared" si="74"/>
        <v>0</v>
      </c>
      <c r="J1858" s="178"/>
      <c r="K1858" s="178"/>
      <c r="L1858" s="275" t="str">
        <f>IF(H:H=0,"",IF(ISERROR(VLOOKUP(H:H,produtos_escape2!$A$2:$B$2794,2,FALSE)),"Código não cadastrado",(VLOOKUP(H:H,produtos_escape2!$A$2:$B$2794,2,FALSE))))</f>
        <v/>
      </c>
      <c r="M1858" s="593" t="str">
        <f>IF(H:H=0,"",IF(ISERROR(VLOOKUP(H:H,produtos_escape2!$A$2:$D$2794,2,FALSE)),"Código não cadastrado",(VLOOKUP(H:H,produtos_escape2!$A$2:$D$2794,4,FALSE))))</f>
        <v/>
      </c>
      <c r="N1858" s="486"/>
      <c r="O1858" s="176"/>
      <c r="P1858" s="486"/>
      <c r="Q1858" s="247"/>
      <c r="R1858" s="246">
        <f t="shared" si="73"/>
        <v>0</v>
      </c>
      <c r="S1858" s="177"/>
      <c r="T1858" s="182"/>
      <c r="U1858" s="177"/>
      <c r="V1858" s="177"/>
      <c r="W1858" s="177"/>
      <c r="X1858" s="176"/>
      <c r="Y1858" s="177"/>
      <c r="Z1858" s="415"/>
      <c r="AA1858" s="488"/>
      <c r="AB1858" s="594"/>
      <c r="AC1858" s="595"/>
      <c r="AD1858" s="596" t="str">
        <f>IF(AND(AC1858&lt;&gt;"",S1858&lt;&gt;""),NETWORKDAYS(AC1858,S1858,#REF!),"")</f>
        <v/>
      </c>
      <c r="AE1858" s="596" t="str">
        <f ca="1">IF(AND(AD1858="",AC1858=""),"",IF(OR(AD1858&lt;&gt;"",O1858="*CANCELADO"),"",NETWORKDAYS(AC1858,TODAY(),#REF!)))</f>
        <v/>
      </c>
      <c r="AF1858" s="619"/>
    </row>
    <row r="1859" spans="1:32" ht="14.25" customHeight="1">
      <c r="A1859" s="176"/>
      <c r="B1859" s="176"/>
      <c r="C1859" s="177"/>
      <c r="D1859" s="176"/>
      <c r="E1859" s="176"/>
      <c r="F1859" s="259"/>
      <c r="G1859" s="176"/>
      <c r="H1859" s="178"/>
      <c r="I1859" s="592">
        <f t="shared" si="74"/>
        <v>0</v>
      </c>
      <c r="J1859" s="178"/>
      <c r="K1859" s="178"/>
      <c r="L1859" s="275" t="str">
        <f>IF(H:H=0,"",IF(ISERROR(VLOOKUP(H:H,produtos_escape2!$A$2:$B$2794,2,FALSE)),"Código não cadastrado",(VLOOKUP(H:H,produtos_escape2!$A$2:$B$2794,2,FALSE))))</f>
        <v/>
      </c>
      <c r="M1859" s="593" t="str">
        <f>IF(H:H=0,"",IF(ISERROR(VLOOKUP(H:H,produtos_escape2!$A$2:$D$2794,2,FALSE)),"Código não cadastrado",(VLOOKUP(H:H,produtos_escape2!$A$2:$D$2794,4,FALSE))))</f>
        <v/>
      </c>
      <c r="N1859" s="486"/>
      <c r="O1859" s="176"/>
      <c r="P1859" s="486"/>
      <c r="Q1859" s="247"/>
      <c r="R1859" s="246">
        <f t="shared" si="73"/>
        <v>0</v>
      </c>
      <c r="S1859" s="177"/>
      <c r="T1859" s="182"/>
      <c r="U1859" s="177"/>
      <c r="V1859" s="177"/>
      <c r="W1859" s="177"/>
      <c r="X1859" s="176"/>
      <c r="Y1859" s="177"/>
      <c r="Z1859" s="415"/>
      <c r="AA1859" s="488"/>
      <c r="AB1859" s="594"/>
      <c r="AC1859" s="595"/>
      <c r="AD1859" s="596" t="str">
        <f>IF(AND(AC1859&lt;&gt;"",S1859&lt;&gt;""),NETWORKDAYS(AC1859,S1859,#REF!),"")</f>
        <v/>
      </c>
      <c r="AE1859" s="596" t="str">
        <f ca="1">IF(AND(AD1859="",AC1859=""),"",IF(OR(AD1859&lt;&gt;"",O1859="*CANCELADO"),"",NETWORKDAYS(AC1859,TODAY(),#REF!)))</f>
        <v/>
      </c>
      <c r="AF1859" s="619"/>
    </row>
    <row r="1860" spans="1:32" ht="14.25" customHeight="1">
      <c r="A1860" s="176"/>
      <c r="B1860" s="176"/>
      <c r="C1860" s="177"/>
      <c r="D1860" s="176"/>
      <c r="E1860" s="176"/>
      <c r="F1860" s="259"/>
      <c r="G1860" s="176"/>
      <c r="H1860" s="178"/>
      <c r="I1860" s="592">
        <f t="shared" si="74"/>
        <v>0</v>
      </c>
      <c r="J1860" s="178"/>
      <c r="K1860" s="178"/>
      <c r="L1860" s="275" t="str">
        <f>IF(H:H=0,"",IF(ISERROR(VLOOKUP(H:H,produtos_escape2!$A$2:$B$2794,2,FALSE)),"Código não cadastrado",(VLOOKUP(H:H,produtos_escape2!$A$2:$B$2794,2,FALSE))))</f>
        <v/>
      </c>
      <c r="M1860" s="593" t="str">
        <f>IF(H:H=0,"",IF(ISERROR(VLOOKUP(H:H,produtos_escape2!$A$2:$D$2794,2,FALSE)),"Código não cadastrado",(VLOOKUP(H:H,produtos_escape2!$A$2:$D$2794,4,FALSE))))</f>
        <v/>
      </c>
      <c r="N1860" s="486"/>
      <c r="O1860" s="176"/>
      <c r="P1860" s="486"/>
      <c r="Q1860" s="247"/>
      <c r="R1860" s="246">
        <f t="shared" si="73"/>
        <v>0</v>
      </c>
      <c r="S1860" s="177"/>
      <c r="T1860" s="182"/>
      <c r="U1860" s="177"/>
      <c r="V1860" s="177"/>
      <c r="W1860" s="177"/>
      <c r="X1860" s="176"/>
      <c r="Y1860" s="177"/>
      <c r="Z1860" s="415"/>
      <c r="AA1860" s="488"/>
      <c r="AB1860" s="594"/>
      <c r="AC1860" s="595"/>
      <c r="AD1860" s="596" t="str">
        <f>IF(AND(AC1860&lt;&gt;"",S1860&lt;&gt;""),NETWORKDAYS(AC1860,S1860,#REF!),"")</f>
        <v/>
      </c>
      <c r="AE1860" s="596" t="str">
        <f ca="1">IF(AND(AD1860="",AC1860=""),"",IF(OR(AD1860&lt;&gt;"",O1860="*CANCELADO"),"",NETWORKDAYS(AC1860,TODAY(),#REF!)))</f>
        <v/>
      </c>
      <c r="AF1860" s="619"/>
    </row>
    <row r="1861" spans="1:32" ht="14.25" customHeight="1">
      <c r="A1861" s="176"/>
      <c r="B1861" s="176"/>
      <c r="C1861" s="177"/>
      <c r="D1861" s="176"/>
      <c r="E1861" s="176"/>
      <c r="F1861" s="259"/>
      <c r="G1861" s="176"/>
      <c r="H1861" s="178"/>
      <c r="I1861" s="592">
        <f t="shared" si="74"/>
        <v>0</v>
      </c>
      <c r="J1861" s="178"/>
      <c r="K1861" s="178"/>
      <c r="L1861" s="275" t="str">
        <f>IF(H:H=0,"",IF(ISERROR(VLOOKUP(H:H,produtos_escape2!$A$2:$B$2794,2,FALSE)),"Código não cadastrado",(VLOOKUP(H:H,produtos_escape2!$A$2:$B$2794,2,FALSE))))</f>
        <v/>
      </c>
      <c r="M1861" s="593" t="str">
        <f>IF(H:H=0,"",IF(ISERROR(VLOOKUP(H:H,produtos_escape2!$A$2:$D$2794,2,FALSE)),"Código não cadastrado",(VLOOKUP(H:H,produtos_escape2!$A$2:$D$2794,4,FALSE))))</f>
        <v/>
      </c>
      <c r="N1861" s="486"/>
      <c r="O1861" s="176"/>
      <c r="P1861" s="486"/>
      <c r="Q1861" s="247"/>
      <c r="R1861" s="246">
        <f t="shared" si="73"/>
        <v>0</v>
      </c>
      <c r="S1861" s="177"/>
      <c r="T1861" s="182"/>
      <c r="U1861" s="177"/>
      <c r="V1861" s="177"/>
      <c r="W1861" s="177"/>
      <c r="X1861" s="176"/>
      <c r="Y1861" s="177"/>
      <c r="Z1861" s="415"/>
      <c r="AA1861" s="488"/>
      <c r="AB1861" s="594"/>
      <c r="AC1861" s="595"/>
      <c r="AD1861" s="596" t="str">
        <f>IF(AND(AC1861&lt;&gt;"",S1861&lt;&gt;""),NETWORKDAYS(AC1861,S1861,#REF!),"")</f>
        <v/>
      </c>
      <c r="AE1861" s="596" t="str">
        <f ca="1">IF(AND(AD1861="",AC1861=""),"",IF(OR(AD1861&lt;&gt;"",O1861="*CANCELADO"),"",NETWORKDAYS(AC1861,TODAY(),#REF!)))</f>
        <v/>
      </c>
      <c r="AF1861" s="619"/>
    </row>
    <row r="1862" spans="1:32" ht="14.25" customHeight="1">
      <c r="A1862" s="176"/>
      <c r="B1862" s="176"/>
      <c r="C1862" s="177"/>
      <c r="D1862" s="176"/>
      <c r="E1862" s="176"/>
      <c r="F1862" s="259"/>
      <c r="G1862" s="176"/>
      <c r="H1862" s="178"/>
      <c r="I1862" s="592">
        <f t="shared" si="74"/>
        <v>0</v>
      </c>
      <c r="J1862" s="178"/>
      <c r="K1862" s="178"/>
      <c r="L1862" s="275" t="str">
        <f>IF(H:H=0,"",IF(ISERROR(VLOOKUP(H:H,produtos_escape2!$A$2:$B$2794,2,FALSE)),"Código não cadastrado",(VLOOKUP(H:H,produtos_escape2!$A$2:$B$2794,2,FALSE))))</f>
        <v/>
      </c>
      <c r="M1862" s="593" t="str">
        <f>IF(H:H=0,"",IF(ISERROR(VLOOKUP(H:H,produtos_escape2!$A$2:$D$2794,2,FALSE)),"Código não cadastrado",(VLOOKUP(H:H,produtos_escape2!$A$2:$D$2794,4,FALSE))))</f>
        <v/>
      </c>
      <c r="N1862" s="486"/>
      <c r="O1862" s="176"/>
      <c r="P1862" s="486"/>
      <c r="Q1862" s="247"/>
      <c r="R1862" s="246">
        <f t="shared" si="73"/>
        <v>0</v>
      </c>
      <c r="S1862" s="177"/>
      <c r="T1862" s="182"/>
      <c r="U1862" s="177"/>
      <c r="V1862" s="177"/>
      <c r="W1862" s="177"/>
      <c r="X1862" s="176"/>
      <c r="Y1862" s="177"/>
      <c r="Z1862" s="415"/>
      <c r="AA1862" s="488"/>
      <c r="AB1862" s="594"/>
      <c r="AC1862" s="595"/>
      <c r="AD1862" s="596" t="str">
        <f>IF(AND(AC1862&lt;&gt;"",S1862&lt;&gt;""),NETWORKDAYS(AC1862,S1862,#REF!),"")</f>
        <v/>
      </c>
      <c r="AE1862" s="596" t="str">
        <f ca="1">IF(AND(AD1862="",AC1862=""),"",IF(OR(AD1862&lt;&gt;"",O1862="*CANCELADO"),"",NETWORKDAYS(AC1862,TODAY(),#REF!)))</f>
        <v/>
      </c>
      <c r="AF1862" s="619"/>
    </row>
    <row r="1863" spans="1:32" ht="14.25" customHeight="1">
      <c r="A1863" s="176"/>
      <c r="B1863" s="176"/>
      <c r="C1863" s="177"/>
      <c r="D1863" s="176"/>
      <c r="E1863" s="176"/>
      <c r="F1863" s="259"/>
      <c r="G1863" s="176"/>
      <c r="H1863" s="178"/>
      <c r="I1863" s="592">
        <f t="shared" si="74"/>
        <v>0</v>
      </c>
      <c r="J1863" s="178"/>
      <c r="K1863" s="178"/>
      <c r="L1863" s="275" t="str">
        <f>IF(H:H=0,"",IF(ISERROR(VLOOKUP(H:H,produtos_escape2!$A$2:$B$2794,2,FALSE)),"Código não cadastrado",(VLOOKUP(H:H,produtos_escape2!$A$2:$B$2794,2,FALSE))))</f>
        <v/>
      </c>
      <c r="M1863" s="593" t="str">
        <f>IF(H:H=0,"",IF(ISERROR(VLOOKUP(H:H,produtos_escape2!$A$2:$D$2794,2,FALSE)),"Código não cadastrado",(VLOOKUP(H:H,produtos_escape2!$A$2:$D$2794,4,FALSE))))</f>
        <v/>
      </c>
      <c r="N1863" s="486"/>
      <c r="O1863" s="176"/>
      <c r="P1863" s="486"/>
      <c r="Q1863" s="247"/>
      <c r="R1863" s="246">
        <f t="shared" si="73"/>
        <v>0</v>
      </c>
      <c r="S1863" s="177"/>
      <c r="T1863" s="182"/>
      <c r="U1863" s="177"/>
      <c r="V1863" s="177"/>
      <c r="W1863" s="177"/>
      <c r="X1863" s="176"/>
      <c r="Y1863" s="177"/>
      <c r="Z1863" s="415"/>
      <c r="AA1863" s="488"/>
      <c r="AB1863" s="594"/>
      <c r="AC1863" s="595"/>
      <c r="AD1863" s="596" t="str">
        <f>IF(AND(AC1863&lt;&gt;"",S1863&lt;&gt;""),NETWORKDAYS(AC1863,S1863,#REF!),"")</f>
        <v/>
      </c>
      <c r="AE1863" s="596" t="str">
        <f ca="1">IF(AND(AD1863="",AC1863=""),"",IF(OR(AD1863&lt;&gt;"",O1863="*CANCELADO"),"",NETWORKDAYS(AC1863,TODAY(),#REF!)))</f>
        <v/>
      </c>
      <c r="AF1863" s="619"/>
    </row>
    <row r="1864" spans="1:32" ht="14.25" customHeight="1">
      <c r="A1864" s="176"/>
      <c r="B1864" s="176"/>
      <c r="C1864" s="177"/>
      <c r="D1864" s="176"/>
      <c r="E1864" s="176"/>
      <c r="F1864" s="259"/>
      <c r="G1864" s="176"/>
      <c r="H1864" s="178"/>
      <c r="I1864" s="592">
        <f t="shared" si="74"/>
        <v>0</v>
      </c>
      <c r="J1864" s="178"/>
      <c r="K1864" s="178"/>
      <c r="L1864" s="275" t="str">
        <f>IF(H:H=0,"",IF(ISERROR(VLOOKUP(H:H,produtos_escape2!$A$2:$B$2794,2,FALSE)),"Código não cadastrado",(VLOOKUP(H:H,produtos_escape2!$A$2:$B$2794,2,FALSE))))</f>
        <v/>
      </c>
      <c r="M1864" s="593" t="str">
        <f>IF(H:H=0,"",IF(ISERROR(VLOOKUP(H:H,produtos_escape2!$A$2:$D$2794,2,FALSE)),"Código não cadastrado",(VLOOKUP(H:H,produtos_escape2!$A$2:$D$2794,4,FALSE))))</f>
        <v/>
      </c>
      <c r="N1864" s="486"/>
      <c r="O1864" s="176"/>
      <c r="P1864" s="486"/>
      <c r="Q1864" s="247"/>
      <c r="R1864" s="246">
        <f t="shared" si="73"/>
        <v>0</v>
      </c>
      <c r="S1864" s="177"/>
      <c r="T1864" s="182"/>
      <c r="U1864" s="177"/>
      <c r="V1864" s="177"/>
      <c r="W1864" s="177"/>
      <c r="X1864" s="176"/>
      <c r="Y1864" s="177"/>
      <c r="Z1864" s="415"/>
      <c r="AA1864" s="488"/>
      <c r="AB1864" s="594"/>
      <c r="AC1864" s="595"/>
      <c r="AD1864" s="596" t="str">
        <f>IF(AND(AC1864&lt;&gt;"",S1864&lt;&gt;""),NETWORKDAYS(AC1864,S1864,#REF!),"")</f>
        <v/>
      </c>
      <c r="AE1864" s="596" t="str">
        <f ca="1">IF(AND(AD1864="",AC1864=""),"",IF(OR(AD1864&lt;&gt;"",O1864="*CANCELADO"),"",NETWORKDAYS(AC1864,TODAY(),#REF!)))</f>
        <v/>
      </c>
      <c r="AF1864" s="619"/>
    </row>
    <row r="1865" spans="1:32" ht="14.25" customHeight="1">
      <c r="A1865" s="176"/>
      <c r="B1865" s="176"/>
      <c r="C1865" s="177"/>
      <c r="D1865" s="176"/>
      <c r="E1865" s="176"/>
      <c r="F1865" s="259"/>
      <c r="G1865" s="176"/>
      <c r="H1865" s="178"/>
      <c r="I1865" s="592">
        <f t="shared" si="74"/>
        <v>0</v>
      </c>
      <c r="J1865" s="178"/>
      <c r="K1865" s="178"/>
      <c r="L1865" s="275" t="str">
        <f>IF(H:H=0,"",IF(ISERROR(VLOOKUP(H:H,produtos_escape2!$A$2:$B$2794,2,FALSE)),"Código não cadastrado",(VLOOKUP(H:H,produtos_escape2!$A$2:$B$2794,2,FALSE))))</f>
        <v/>
      </c>
      <c r="M1865" s="593" t="str">
        <f>IF(H:H=0,"",IF(ISERROR(VLOOKUP(H:H,produtos_escape2!$A$2:$D$2794,2,FALSE)),"Código não cadastrado",(VLOOKUP(H:H,produtos_escape2!$A$2:$D$2794,4,FALSE))))</f>
        <v/>
      </c>
      <c r="N1865" s="486"/>
      <c r="O1865" s="176"/>
      <c r="P1865" s="486"/>
      <c r="Q1865" s="247"/>
      <c r="R1865" s="246">
        <f t="shared" si="73"/>
        <v>0</v>
      </c>
      <c r="S1865" s="177"/>
      <c r="T1865" s="182"/>
      <c r="U1865" s="177"/>
      <c r="V1865" s="177"/>
      <c r="W1865" s="177"/>
      <c r="X1865" s="176"/>
      <c r="Y1865" s="177"/>
      <c r="Z1865" s="415"/>
      <c r="AA1865" s="488"/>
      <c r="AB1865" s="594"/>
      <c r="AC1865" s="595"/>
      <c r="AD1865" s="596" t="str">
        <f>IF(AND(AC1865&lt;&gt;"",S1865&lt;&gt;""),NETWORKDAYS(AC1865,S1865,#REF!),"")</f>
        <v/>
      </c>
      <c r="AE1865" s="596" t="str">
        <f ca="1">IF(AND(AD1865="",AC1865=""),"",IF(OR(AD1865&lt;&gt;"",O1865="*CANCELADO"),"",NETWORKDAYS(AC1865,TODAY(),#REF!)))</f>
        <v/>
      </c>
      <c r="AF1865" s="619"/>
    </row>
    <row r="1866" spans="1:32" ht="14.25" customHeight="1">
      <c r="A1866" s="176"/>
      <c r="B1866" s="176"/>
      <c r="C1866" s="177"/>
      <c r="D1866" s="176"/>
      <c r="E1866" s="176"/>
      <c r="F1866" s="259"/>
      <c r="G1866" s="176"/>
      <c r="H1866" s="178"/>
      <c r="I1866" s="592">
        <f t="shared" si="74"/>
        <v>0</v>
      </c>
      <c r="J1866" s="178"/>
      <c r="K1866" s="178"/>
      <c r="L1866" s="275" t="str">
        <f>IF(H:H=0,"",IF(ISERROR(VLOOKUP(H:H,produtos_escape2!$A$2:$B$2794,2,FALSE)),"Código não cadastrado",(VLOOKUP(H:H,produtos_escape2!$A$2:$B$2794,2,FALSE))))</f>
        <v/>
      </c>
      <c r="M1866" s="593" t="str">
        <f>IF(H:H=0,"",IF(ISERROR(VLOOKUP(H:H,produtos_escape2!$A$2:$D$2794,2,FALSE)),"Código não cadastrado",(VLOOKUP(H:H,produtos_escape2!$A$2:$D$2794,4,FALSE))))</f>
        <v/>
      </c>
      <c r="N1866" s="486"/>
      <c r="O1866" s="176"/>
      <c r="P1866" s="486"/>
      <c r="Q1866" s="247"/>
      <c r="R1866" s="246">
        <f t="shared" si="73"/>
        <v>0</v>
      </c>
      <c r="S1866" s="177"/>
      <c r="T1866" s="182"/>
      <c r="U1866" s="177"/>
      <c r="V1866" s="177"/>
      <c r="W1866" s="177"/>
      <c r="X1866" s="176"/>
      <c r="Y1866" s="177"/>
      <c r="Z1866" s="415"/>
      <c r="AA1866" s="488"/>
      <c r="AB1866" s="594"/>
      <c r="AC1866" s="595"/>
      <c r="AD1866" s="596" t="str">
        <f>IF(AND(AC1866&lt;&gt;"",S1866&lt;&gt;""),NETWORKDAYS(AC1866,S1866,#REF!),"")</f>
        <v/>
      </c>
      <c r="AE1866" s="596" t="str">
        <f ca="1">IF(AND(AD1866="",AC1866=""),"",IF(OR(AD1866&lt;&gt;"",O1866="*CANCELADO"),"",NETWORKDAYS(AC1866,TODAY(),#REF!)))</f>
        <v/>
      </c>
      <c r="AF1866" s="619"/>
    </row>
    <row r="1867" spans="1:32" ht="14.25" customHeight="1">
      <c r="A1867" s="176"/>
      <c r="B1867" s="176"/>
      <c r="C1867" s="177"/>
      <c r="D1867" s="176"/>
      <c r="E1867" s="176"/>
      <c r="F1867" s="259"/>
      <c r="G1867" s="176"/>
      <c r="H1867" s="178"/>
      <c r="I1867" s="592">
        <f t="shared" si="74"/>
        <v>0</v>
      </c>
      <c r="J1867" s="178"/>
      <c r="K1867" s="178"/>
      <c r="L1867" s="275" t="str">
        <f>IF(H:H=0,"",IF(ISERROR(VLOOKUP(H:H,produtos_escape2!$A$2:$B$2794,2,FALSE)),"Código não cadastrado",(VLOOKUP(H:H,produtos_escape2!$A$2:$B$2794,2,FALSE))))</f>
        <v/>
      </c>
      <c r="M1867" s="593" t="str">
        <f>IF(H:H=0,"",IF(ISERROR(VLOOKUP(H:H,produtos_escape2!$A$2:$D$2794,2,FALSE)),"Código não cadastrado",(VLOOKUP(H:H,produtos_escape2!$A$2:$D$2794,4,FALSE))))</f>
        <v/>
      </c>
      <c r="N1867" s="486"/>
      <c r="O1867" s="176"/>
      <c r="P1867" s="486"/>
      <c r="Q1867" s="247"/>
      <c r="R1867" s="246">
        <f t="shared" si="73"/>
        <v>0</v>
      </c>
      <c r="S1867" s="177"/>
      <c r="T1867" s="182"/>
      <c r="U1867" s="177"/>
      <c r="V1867" s="177"/>
      <c r="W1867" s="177"/>
      <c r="X1867" s="176"/>
      <c r="Y1867" s="177"/>
      <c r="Z1867" s="415"/>
      <c r="AA1867" s="488"/>
      <c r="AB1867" s="594"/>
      <c r="AC1867" s="595"/>
      <c r="AD1867" s="596" t="str">
        <f>IF(AND(AC1867&lt;&gt;"",S1867&lt;&gt;""),NETWORKDAYS(AC1867,S1867,#REF!),"")</f>
        <v/>
      </c>
      <c r="AE1867" s="596" t="str">
        <f ca="1">IF(AND(AD1867="",AC1867=""),"",IF(OR(AD1867&lt;&gt;"",O1867="*CANCELADO"),"",NETWORKDAYS(AC1867,TODAY(),#REF!)))</f>
        <v/>
      </c>
      <c r="AF1867" s="619"/>
    </row>
    <row r="1868" spans="1:32" ht="14.25" customHeight="1">
      <c r="A1868" s="176"/>
      <c r="B1868" s="176"/>
      <c r="C1868" s="177"/>
      <c r="D1868" s="176"/>
      <c r="E1868" s="176"/>
      <c r="F1868" s="259"/>
      <c r="G1868" s="176"/>
      <c r="H1868" s="178"/>
      <c r="I1868" s="592">
        <f t="shared" si="74"/>
        <v>0</v>
      </c>
      <c r="J1868" s="178"/>
      <c r="K1868" s="178"/>
      <c r="L1868" s="275" t="str">
        <f>IF(H:H=0,"",IF(ISERROR(VLOOKUP(H:H,produtos_escape2!$A$2:$B$2794,2,FALSE)),"Código não cadastrado",(VLOOKUP(H:H,produtos_escape2!$A$2:$B$2794,2,FALSE))))</f>
        <v/>
      </c>
      <c r="M1868" s="593" t="str">
        <f>IF(H:H=0,"",IF(ISERROR(VLOOKUP(H:H,produtos_escape2!$A$2:$D$2794,2,FALSE)),"Código não cadastrado",(VLOOKUP(H:H,produtos_escape2!$A$2:$D$2794,4,FALSE))))</f>
        <v/>
      </c>
      <c r="N1868" s="486"/>
      <c r="O1868" s="176"/>
      <c r="P1868" s="486"/>
      <c r="Q1868" s="247"/>
      <c r="R1868" s="246">
        <f t="shared" si="73"/>
        <v>0</v>
      </c>
      <c r="S1868" s="177"/>
      <c r="T1868" s="182"/>
      <c r="U1868" s="177"/>
      <c r="V1868" s="177"/>
      <c r="W1868" s="177"/>
      <c r="X1868" s="176"/>
      <c r="Y1868" s="177"/>
      <c r="Z1868" s="415"/>
      <c r="AA1868" s="488"/>
      <c r="AB1868" s="594"/>
      <c r="AC1868" s="595"/>
      <c r="AD1868" s="596" t="str">
        <f>IF(AND(AC1868&lt;&gt;"",S1868&lt;&gt;""),NETWORKDAYS(AC1868,S1868,#REF!),"")</f>
        <v/>
      </c>
      <c r="AE1868" s="596" t="str">
        <f ca="1">IF(AND(AD1868="",AC1868=""),"",IF(OR(AD1868&lt;&gt;"",O1868="*CANCELADO"),"",NETWORKDAYS(AC1868,TODAY(),#REF!)))</f>
        <v/>
      </c>
      <c r="AF1868" s="619"/>
    </row>
    <row r="1869" spans="1:32" ht="14.25" customHeight="1">
      <c r="A1869" s="176"/>
      <c r="B1869" s="176"/>
      <c r="C1869" s="177"/>
      <c r="D1869" s="176"/>
      <c r="E1869" s="176"/>
      <c r="F1869" s="259"/>
      <c r="G1869" s="176"/>
      <c r="H1869" s="178"/>
      <c r="I1869" s="592">
        <f t="shared" si="74"/>
        <v>0</v>
      </c>
      <c r="J1869" s="178"/>
      <c r="K1869" s="178"/>
      <c r="L1869" s="275" t="str">
        <f>IF(H:H=0,"",IF(ISERROR(VLOOKUP(H:H,produtos_escape2!$A$2:$B$2794,2,FALSE)),"Código não cadastrado",(VLOOKUP(H:H,produtos_escape2!$A$2:$B$2794,2,FALSE))))</f>
        <v/>
      </c>
      <c r="M1869" s="593" t="str">
        <f>IF(H:H=0,"",IF(ISERROR(VLOOKUP(H:H,produtos_escape2!$A$2:$D$2794,2,FALSE)),"Código não cadastrado",(VLOOKUP(H:H,produtos_escape2!$A$2:$D$2794,4,FALSE))))</f>
        <v/>
      </c>
      <c r="N1869" s="486"/>
      <c r="O1869" s="176"/>
      <c r="P1869" s="486"/>
      <c r="Q1869" s="247"/>
      <c r="R1869" s="246">
        <f t="shared" si="73"/>
        <v>0</v>
      </c>
      <c r="S1869" s="177"/>
      <c r="T1869" s="182"/>
      <c r="U1869" s="177"/>
      <c r="V1869" s="177"/>
      <c r="W1869" s="177"/>
      <c r="X1869" s="176"/>
      <c r="Y1869" s="177"/>
      <c r="Z1869" s="415"/>
      <c r="AA1869" s="488"/>
      <c r="AB1869" s="594"/>
      <c r="AC1869" s="595"/>
      <c r="AD1869" s="596" t="str">
        <f>IF(AND(AC1869&lt;&gt;"",S1869&lt;&gt;""),NETWORKDAYS(AC1869,S1869,#REF!),"")</f>
        <v/>
      </c>
      <c r="AE1869" s="596" t="str">
        <f ca="1">IF(AND(AD1869="",AC1869=""),"",IF(OR(AD1869&lt;&gt;"",O1869="*CANCELADO"),"",NETWORKDAYS(AC1869,TODAY(),#REF!)))</f>
        <v/>
      </c>
      <c r="AF1869" s="619"/>
    </row>
    <row r="1870" spans="1:32" ht="14.25" customHeight="1">
      <c r="A1870" s="176"/>
      <c r="B1870" s="176"/>
      <c r="C1870" s="177"/>
      <c r="D1870" s="176"/>
      <c r="E1870" s="176"/>
      <c r="F1870" s="259"/>
      <c r="G1870" s="176"/>
      <c r="H1870" s="178"/>
      <c r="I1870" s="592">
        <f t="shared" si="74"/>
        <v>0</v>
      </c>
      <c r="J1870" s="178"/>
      <c r="K1870" s="178"/>
      <c r="L1870" s="275" t="str">
        <f>IF(H:H=0,"",IF(ISERROR(VLOOKUP(H:H,produtos_escape2!$A$2:$B$2794,2,FALSE)),"Código não cadastrado",(VLOOKUP(H:H,produtos_escape2!$A$2:$B$2794,2,FALSE))))</f>
        <v/>
      </c>
      <c r="M1870" s="593" t="str">
        <f>IF(H:H=0,"",IF(ISERROR(VLOOKUP(H:H,produtos_escape2!$A$2:$D$2794,2,FALSE)),"Código não cadastrado",(VLOOKUP(H:H,produtos_escape2!$A$2:$D$2794,4,FALSE))))</f>
        <v/>
      </c>
      <c r="N1870" s="486"/>
      <c r="O1870" s="176"/>
      <c r="P1870" s="486"/>
      <c r="Q1870" s="247"/>
      <c r="R1870" s="246">
        <f t="shared" si="73"/>
        <v>0</v>
      </c>
      <c r="S1870" s="177"/>
      <c r="T1870" s="182"/>
      <c r="U1870" s="177"/>
      <c r="V1870" s="177"/>
      <c r="W1870" s="177"/>
      <c r="X1870" s="176"/>
      <c r="Y1870" s="177"/>
      <c r="Z1870" s="415"/>
      <c r="AA1870" s="488"/>
      <c r="AB1870" s="594"/>
      <c r="AC1870" s="595"/>
      <c r="AD1870" s="596" t="str">
        <f>IF(AND(AC1870&lt;&gt;"",S1870&lt;&gt;""),NETWORKDAYS(AC1870,S1870,#REF!),"")</f>
        <v/>
      </c>
      <c r="AE1870" s="596" t="str">
        <f ca="1">IF(AND(AD1870="",AC1870=""),"",IF(OR(AD1870&lt;&gt;"",O1870="*CANCELADO"),"",NETWORKDAYS(AC1870,TODAY(),#REF!)))</f>
        <v/>
      </c>
      <c r="AF1870" s="619"/>
    </row>
    <row r="1871" spans="1:32" ht="14.25" customHeight="1">
      <c r="A1871" s="176"/>
      <c r="B1871" s="176"/>
      <c r="C1871" s="177"/>
      <c r="D1871" s="176"/>
      <c r="E1871" s="176"/>
      <c r="F1871" s="259"/>
      <c r="G1871" s="176"/>
      <c r="H1871" s="178"/>
      <c r="I1871" s="592">
        <f t="shared" si="74"/>
        <v>0</v>
      </c>
      <c r="J1871" s="178"/>
      <c r="K1871" s="178"/>
      <c r="L1871" s="275" t="str">
        <f>IF(H:H=0,"",IF(ISERROR(VLOOKUP(H:H,produtos_escape2!$A$2:$B$2794,2,FALSE)),"Código não cadastrado",(VLOOKUP(H:H,produtos_escape2!$A$2:$B$2794,2,FALSE))))</f>
        <v/>
      </c>
      <c r="M1871" s="593" t="str">
        <f>IF(H:H=0,"",IF(ISERROR(VLOOKUP(H:H,produtos_escape2!$A$2:$D$2794,2,FALSE)),"Código não cadastrado",(VLOOKUP(H:H,produtos_escape2!$A$2:$D$2794,4,FALSE))))</f>
        <v/>
      </c>
      <c r="N1871" s="486"/>
      <c r="O1871" s="176"/>
      <c r="P1871" s="486"/>
      <c r="Q1871" s="247"/>
      <c r="R1871" s="246">
        <f t="shared" si="73"/>
        <v>0</v>
      </c>
      <c r="S1871" s="177"/>
      <c r="T1871" s="182"/>
      <c r="U1871" s="177"/>
      <c r="V1871" s="177"/>
      <c r="W1871" s="177"/>
      <c r="X1871" s="176"/>
      <c r="Y1871" s="177"/>
      <c r="Z1871" s="415"/>
      <c r="AA1871" s="488"/>
      <c r="AB1871" s="594"/>
      <c r="AC1871" s="595"/>
      <c r="AD1871" s="596" t="str">
        <f>IF(AND(AC1871&lt;&gt;"",S1871&lt;&gt;""),NETWORKDAYS(AC1871,S1871,#REF!),"")</f>
        <v/>
      </c>
      <c r="AE1871" s="596" t="str">
        <f ca="1">IF(AND(AD1871="",AC1871=""),"",IF(OR(AD1871&lt;&gt;"",O1871="*CANCELADO"),"",NETWORKDAYS(AC1871,TODAY(),#REF!)))</f>
        <v/>
      </c>
      <c r="AF1871" s="619"/>
    </row>
    <row r="1872" spans="1:32" ht="14.25" customHeight="1">
      <c r="A1872" s="176"/>
      <c r="B1872" s="176"/>
      <c r="C1872" s="177"/>
      <c r="D1872" s="176"/>
      <c r="E1872" s="176"/>
      <c r="F1872" s="259"/>
      <c r="G1872" s="176"/>
      <c r="H1872" s="178"/>
      <c r="I1872" s="592">
        <f t="shared" si="74"/>
        <v>0</v>
      </c>
      <c r="J1872" s="178"/>
      <c r="K1872" s="178"/>
      <c r="L1872" s="275" t="str">
        <f>IF(H:H=0,"",IF(ISERROR(VLOOKUP(H:H,produtos_escape2!$A$2:$B$2794,2,FALSE)),"Código não cadastrado",(VLOOKUP(H:H,produtos_escape2!$A$2:$B$2794,2,FALSE))))</f>
        <v/>
      </c>
      <c r="M1872" s="593" t="str">
        <f>IF(H:H=0,"",IF(ISERROR(VLOOKUP(H:H,produtos_escape2!$A$2:$D$2794,2,FALSE)),"Código não cadastrado",(VLOOKUP(H:H,produtos_escape2!$A$2:$D$2794,4,FALSE))))</f>
        <v/>
      </c>
      <c r="N1872" s="486"/>
      <c r="O1872" s="176"/>
      <c r="P1872" s="486"/>
      <c r="Q1872" s="247"/>
      <c r="R1872" s="246">
        <f t="shared" si="73"/>
        <v>0</v>
      </c>
      <c r="S1872" s="177"/>
      <c r="T1872" s="182"/>
      <c r="U1872" s="177"/>
      <c r="V1872" s="177"/>
      <c r="W1872" s="177"/>
      <c r="X1872" s="176"/>
      <c r="Y1872" s="177"/>
      <c r="Z1872" s="415"/>
      <c r="AA1872" s="488"/>
      <c r="AB1872" s="594"/>
      <c r="AC1872" s="595"/>
      <c r="AD1872" s="596" t="str">
        <f>IF(AND(AC1872&lt;&gt;"",S1872&lt;&gt;""),NETWORKDAYS(AC1872,S1872,#REF!),"")</f>
        <v/>
      </c>
      <c r="AE1872" s="596" t="str">
        <f ca="1">IF(AND(AD1872="",AC1872=""),"",IF(OR(AD1872&lt;&gt;"",O1872="*CANCELADO"),"",NETWORKDAYS(AC1872,TODAY(),#REF!)))</f>
        <v/>
      </c>
      <c r="AF1872" s="619"/>
    </row>
    <row r="1873" spans="1:32" ht="14.25" customHeight="1">
      <c r="A1873" s="176"/>
      <c r="B1873" s="176"/>
      <c r="C1873" s="177"/>
      <c r="D1873" s="176"/>
      <c r="E1873" s="176"/>
      <c r="F1873" s="259"/>
      <c r="G1873" s="176"/>
      <c r="H1873" s="178"/>
      <c r="I1873" s="592">
        <f t="shared" si="74"/>
        <v>0</v>
      </c>
      <c r="J1873" s="178"/>
      <c r="K1873" s="178"/>
      <c r="L1873" s="275" t="str">
        <f>IF(H:H=0,"",IF(ISERROR(VLOOKUP(H:H,produtos_escape2!$A$2:$B$2794,2,FALSE)),"Código não cadastrado",(VLOOKUP(H:H,produtos_escape2!$A$2:$B$2794,2,FALSE))))</f>
        <v/>
      </c>
      <c r="M1873" s="593" t="str">
        <f>IF(H:H=0,"",IF(ISERROR(VLOOKUP(H:H,produtos_escape2!$A$2:$D$2794,2,FALSE)),"Código não cadastrado",(VLOOKUP(H:H,produtos_escape2!$A$2:$D$2794,4,FALSE))))</f>
        <v/>
      </c>
      <c r="N1873" s="486"/>
      <c r="O1873" s="176"/>
      <c r="P1873" s="486"/>
      <c r="Q1873" s="247"/>
      <c r="R1873" s="246">
        <f t="shared" si="73"/>
        <v>0</v>
      </c>
      <c r="S1873" s="177"/>
      <c r="T1873" s="182"/>
      <c r="U1873" s="177"/>
      <c r="V1873" s="177"/>
      <c r="W1873" s="177"/>
      <c r="X1873" s="176"/>
      <c r="Y1873" s="177"/>
      <c r="Z1873" s="415"/>
      <c r="AA1873" s="488"/>
      <c r="AB1873" s="594"/>
      <c r="AC1873" s="595"/>
      <c r="AD1873" s="596" t="str">
        <f>IF(AND(AC1873&lt;&gt;"",S1873&lt;&gt;""),NETWORKDAYS(AC1873,S1873,#REF!),"")</f>
        <v/>
      </c>
      <c r="AE1873" s="596" t="str">
        <f ca="1">IF(AND(AD1873="",AC1873=""),"",IF(OR(AD1873&lt;&gt;"",O1873="*CANCELADO"),"",NETWORKDAYS(AC1873,TODAY(),#REF!)))</f>
        <v/>
      </c>
      <c r="AF1873" s="619"/>
    </row>
    <row r="1874" spans="1:32" ht="14.25" customHeight="1">
      <c r="A1874" s="176"/>
      <c r="B1874" s="176"/>
      <c r="C1874" s="177"/>
      <c r="D1874" s="176"/>
      <c r="E1874" s="176"/>
      <c r="F1874" s="259"/>
      <c r="G1874" s="176"/>
      <c r="H1874" s="178"/>
      <c r="I1874" s="592">
        <f t="shared" si="74"/>
        <v>0</v>
      </c>
      <c r="J1874" s="178"/>
      <c r="K1874" s="178"/>
      <c r="L1874" s="275" t="str">
        <f>IF(H:H=0,"",IF(ISERROR(VLOOKUP(H:H,produtos_escape2!$A$2:$B$2794,2,FALSE)),"Código não cadastrado",(VLOOKUP(H:H,produtos_escape2!$A$2:$B$2794,2,FALSE))))</f>
        <v/>
      </c>
      <c r="M1874" s="593" t="str">
        <f>IF(H:H=0,"",IF(ISERROR(VLOOKUP(H:H,produtos_escape2!$A$2:$D$2794,2,FALSE)),"Código não cadastrado",(VLOOKUP(H:H,produtos_escape2!$A$2:$D$2794,4,FALSE))))</f>
        <v/>
      </c>
      <c r="N1874" s="486"/>
      <c r="O1874" s="176"/>
      <c r="P1874" s="486"/>
      <c r="Q1874" s="247"/>
      <c r="R1874" s="246">
        <f t="shared" si="73"/>
        <v>0</v>
      </c>
      <c r="S1874" s="177"/>
      <c r="T1874" s="182"/>
      <c r="U1874" s="177"/>
      <c r="V1874" s="177"/>
      <c r="W1874" s="177"/>
      <c r="X1874" s="176"/>
      <c r="Y1874" s="177"/>
      <c r="Z1874" s="415"/>
      <c r="AA1874" s="488"/>
      <c r="AB1874" s="594"/>
      <c r="AC1874" s="595"/>
      <c r="AD1874" s="596" t="str">
        <f>IF(AND(AC1874&lt;&gt;"",S1874&lt;&gt;""),NETWORKDAYS(AC1874,S1874,#REF!),"")</f>
        <v/>
      </c>
      <c r="AE1874" s="596" t="str">
        <f ca="1">IF(AND(AD1874="",AC1874=""),"",IF(OR(AD1874&lt;&gt;"",O1874="*CANCELADO"),"",NETWORKDAYS(AC1874,TODAY(),#REF!)))</f>
        <v/>
      </c>
      <c r="AF1874" s="619"/>
    </row>
    <row r="1875" spans="1:32" ht="14.25" customHeight="1">
      <c r="A1875" s="176"/>
      <c r="B1875" s="176"/>
      <c r="C1875" s="177"/>
      <c r="D1875" s="176"/>
      <c r="E1875" s="176"/>
      <c r="F1875" s="259"/>
      <c r="G1875" s="176"/>
      <c r="H1875" s="178"/>
      <c r="I1875" s="592">
        <f t="shared" si="74"/>
        <v>0</v>
      </c>
      <c r="J1875" s="178"/>
      <c r="K1875" s="178"/>
      <c r="L1875" s="275" t="str">
        <f>IF(H:H=0,"",IF(ISERROR(VLOOKUP(H:H,produtos_escape2!$A$2:$B$2794,2,FALSE)),"Código não cadastrado",(VLOOKUP(H:H,produtos_escape2!$A$2:$B$2794,2,FALSE))))</f>
        <v/>
      </c>
      <c r="M1875" s="593" t="str">
        <f>IF(H:H=0,"",IF(ISERROR(VLOOKUP(H:H,produtos_escape2!$A$2:$D$2794,2,FALSE)),"Código não cadastrado",(VLOOKUP(H:H,produtos_escape2!$A$2:$D$2794,4,FALSE))))</f>
        <v/>
      </c>
      <c r="N1875" s="486"/>
      <c r="O1875" s="176"/>
      <c r="P1875" s="486"/>
      <c r="Q1875" s="247"/>
      <c r="R1875" s="246">
        <f t="shared" si="73"/>
        <v>0</v>
      </c>
      <c r="S1875" s="177"/>
      <c r="T1875" s="182"/>
      <c r="U1875" s="177"/>
      <c r="V1875" s="177"/>
      <c r="W1875" s="177"/>
      <c r="X1875" s="176"/>
      <c r="Y1875" s="177"/>
      <c r="Z1875" s="415"/>
      <c r="AA1875" s="488"/>
      <c r="AB1875" s="594"/>
      <c r="AC1875" s="595"/>
      <c r="AD1875" s="596" t="str">
        <f>IF(AND(AC1875&lt;&gt;"",S1875&lt;&gt;""),NETWORKDAYS(AC1875,S1875,#REF!),"")</f>
        <v/>
      </c>
      <c r="AE1875" s="596" t="str">
        <f ca="1">IF(AND(AD1875="",AC1875=""),"",IF(OR(AD1875&lt;&gt;"",O1875="*CANCELADO"),"",NETWORKDAYS(AC1875,TODAY(),#REF!)))</f>
        <v/>
      </c>
      <c r="AF1875" s="619"/>
    </row>
    <row r="1876" spans="1:32" ht="14.25" customHeight="1">
      <c r="A1876" s="176"/>
      <c r="B1876" s="176"/>
      <c r="C1876" s="177"/>
      <c r="D1876" s="176"/>
      <c r="E1876" s="176"/>
      <c r="F1876" s="259"/>
      <c r="G1876" s="176"/>
      <c r="H1876" s="178"/>
      <c r="I1876" s="592">
        <f t="shared" si="74"/>
        <v>0</v>
      </c>
      <c r="J1876" s="178"/>
      <c r="K1876" s="178"/>
      <c r="L1876" s="275" t="str">
        <f>IF(H:H=0,"",IF(ISERROR(VLOOKUP(H:H,produtos_escape2!$A$2:$B$2794,2,FALSE)),"Código não cadastrado",(VLOOKUP(H:H,produtos_escape2!$A$2:$B$2794,2,FALSE))))</f>
        <v/>
      </c>
      <c r="M1876" s="593" t="str">
        <f>IF(H:H=0,"",IF(ISERROR(VLOOKUP(H:H,produtos_escape2!$A$2:$D$2794,2,FALSE)),"Código não cadastrado",(VLOOKUP(H:H,produtos_escape2!$A$2:$D$2794,4,FALSE))))</f>
        <v/>
      </c>
      <c r="N1876" s="486"/>
      <c r="O1876" s="176"/>
      <c r="P1876" s="486"/>
      <c r="Q1876" s="247"/>
      <c r="R1876" s="246">
        <f t="shared" si="73"/>
        <v>0</v>
      </c>
      <c r="S1876" s="177"/>
      <c r="T1876" s="182"/>
      <c r="U1876" s="177"/>
      <c r="V1876" s="177"/>
      <c r="W1876" s="177"/>
      <c r="X1876" s="176"/>
      <c r="Y1876" s="177"/>
      <c r="Z1876" s="415"/>
      <c r="AA1876" s="488"/>
      <c r="AB1876" s="594"/>
      <c r="AC1876" s="595"/>
      <c r="AD1876" s="596" t="str">
        <f>IF(AND(AC1876&lt;&gt;"",S1876&lt;&gt;""),NETWORKDAYS(AC1876,S1876,#REF!),"")</f>
        <v/>
      </c>
      <c r="AE1876" s="596" t="str">
        <f ca="1">IF(AND(AD1876="",AC1876=""),"",IF(OR(AD1876&lt;&gt;"",O1876="*CANCELADO"),"",NETWORKDAYS(AC1876,TODAY(),#REF!)))</f>
        <v/>
      </c>
      <c r="AF1876" s="619"/>
    </row>
    <row r="1877" spans="1:32" ht="14.25" customHeight="1">
      <c r="A1877" s="176"/>
      <c r="B1877" s="176"/>
      <c r="C1877" s="177"/>
      <c r="D1877" s="176"/>
      <c r="E1877" s="176"/>
      <c r="F1877" s="259"/>
      <c r="G1877" s="176"/>
      <c r="H1877" s="178"/>
      <c r="I1877" s="592">
        <f t="shared" si="74"/>
        <v>0</v>
      </c>
      <c r="J1877" s="178"/>
      <c r="K1877" s="178"/>
      <c r="L1877" s="275" t="str">
        <f>IF(H:H=0,"",IF(ISERROR(VLOOKUP(H:H,produtos_escape2!$A$2:$B$2794,2,FALSE)),"Código não cadastrado",(VLOOKUP(H:H,produtos_escape2!$A$2:$B$2794,2,FALSE))))</f>
        <v/>
      </c>
      <c r="M1877" s="593" t="str">
        <f>IF(H:H=0,"",IF(ISERROR(VLOOKUP(H:H,produtos_escape2!$A$2:$D$2794,2,FALSE)),"Código não cadastrado",(VLOOKUP(H:H,produtos_escape2!$A$2:$D$2794,4,FALSE))))</f>
        <v/>
      </c>
      <c r="N1877" s="486"/>
      <c r="O1877" s="176"/>
      <c r="P1877" s="486"/>
      <c r="Q1877" s="247"/>
      <c r="R1877" s="246">
        <f t="shared" si="73"/>
        <v>0</v>
      </c>
      <c r="S1877" s="177"/>
      <c r="T1877" s="182"/>
      <c r="U1877" s="177"/>
      <c r="V1877" s="177"/>
      <c r="W1877" s="177"/>
      <c r="X1877" s="176"/>
      <c r="Y1877" s="177"/>
      <c r="Z1877" s="415"/>
      <c r="AA1877" s="488"/>
      <c r="AB1877" s="594"/>
      <c r="AC1877" s="595"/>
      <c r="AD1877" s="596" t="str">
        <f>IF(AND(AC1877&lt;&gt;"",S1877&lt;&gt;""),NETWORKDAYS(AC1877,S1877,#REF!),"")</f>
        <v/>
      </c>
      <c r="AE1877" s="596" t="str">
        <f ca="1">IF(AND(AD1877="",AC1877=""),"",IF(OR(AD1877&lt;&gt;"",O1877="*CANCELADO"),"",NETWORKDAYS(AC1877,TODAY(),#REF!)))</f>
        <v/>
      </c>
      <c r="AF1877" s="619"/>
    </row>
    <row r="1878" spans="1:32" ht="14.25" customHeight="1">
      <c r="A1878" s="176"/>
      <c r="B1878" s="176"/>
      <c r="C1878" s="177"/>
      <c r="D1878" s="176"/>
      <c r="E1878" s="176"/>
      <c r="F1878" s="259"/>
      <c r="G1878" s="176"/>
      <c r="H1878" s="178"/>
      <c r="I1878" s="592">
        <f t="shared" si="74"/>
        <v>0</v>
      </c>
      <c r="J1878" s="178"/>
      <c r="K1878" s="178"/>
      <c r="L1878" s="275" t="str">
        <f>IF(H:H=0,"",IF(ISERROR(VLOOKUP(H:H,produtos_escape2!$A$2:$B$2794,2,FALSE)),"Código não cadastrado",(VLOOKUP(H:H,produtos_escape2!$A$2:$B$2794,2,FALSE))))</f>
        <v/>
      </c>
      <c r="M1878" s="593" t="str">
        <f>IF(H:H=0,"",IF(ISERROR(VLOOKUP(H:H,produtos_escape2!$A$2:$D$2794,2,FALSE)),"Código não cadastrado",(VLOOKUP(H:H,produtos_escape2!$A$2:$D$2794,4,FALSE))))</f>
        <v/>
      </c>
      <c r="N1878" s="486"/>
      <c r="O1878" s="176"/>
      <c r="P1878" s="486"/>
      <c r="Q1878" s="247"/>
      <c r="R1878" s="246">
        <f t="shared" si="73"/>
        <v>0</v>
      </c>
      <c r="S1878" s="177"/>
      <c r="T1878" s="182"/>
      <c r="U1878" s="177"/>
      <c r="V1878" s="177"/>
      <c r="W1878" s="177"/>
      <c r="X1878" s="176"/>
      <c r="Y1878" s="177"/>
      <c r="Z1878" s="415"/>
      <c r="AA1878" s="488"/>
      <c r="AB1878" s="594"/>
      <c r="AC1878" s="595"/>
      <c r="AD1878" s="596" t="str">
        <f>IF(AND(AC1878&lt;&gt;"",S1878&lt;&gt;""),NETWORKDAYS(AC1878,S1878,#REF!),"")</f>
        <v/>
      </c>
      <c r="AE1878" s="596" t="str">
        <f ca="1">IF(AND(AD1878="",AC1878=""),"",IF(OR(AD1878&lt;&gt;"",O1878="*CANCELADO"),"",NETWORKDAYS(AC1878,TODAY(),#REF!)))</f>
        <v/>
      </c>
      <c r="AF1878" s="619"/>
    </row>
    <row r="1879" spans="1:32" ht="14.25" customHeight="1">
      <c r="A1879" s="176"/>
      <c r="B1879" s="176"/>
      <c r="C1879" s="177"/>
      <c r="D1879" s="176"/>
      <c r="E1879" s="176"/>
      <c r="F1879" s="259"/>
      <c r="G1879" s="176"/>
      <c r="H1879" s="178"/>
      <c r="I1879" s="592">
        <f t="shared" si="74"/>
        <v>0</v>
      </c>
      <c r="J1879" s="178"/>
      <c r="K1879" s="178"/>
      <c r="L1879" s="275" t="str">
        <f>IF(H:H=0,"",IF(ISERROR(VLOOKUP(H:H,produtos_escape2!$A$2:$B$2794,2,FALSE)),"Código não cadastrado",(VLOOKUP(H:H,produtos_escape2!$A$2:$B$2794,2,FALSE))))</f>
        <v/>
      </c>
      <c r="M1879" s="593" t="str">
        <f>IF(H:H=0,"",IF(ISERROR(VLOOKUP(H:H,produtos_escape2!$A$2:$D$2794,2,FALSE)),"Código não cadastrado",(VLOOKUP(H:H,produtos_escape2!$A$2:$D$2794,4,FALSE))))</f>
        <v/>
      </c>
      <c r="N1879" s="486"/>
      <c r="O1879" s="176"/>
      <c r="P1879" s="486"/>
      <c r="Q1879" s="247"/>
      <c r="R1879" s="246">
        <f t="shared" si="73"/>
        <v>0</v>
      </c>
      <c r="S1879" s="177"/>
      <c r="T1879" s="182"/>
      <c r="U1879" s="177"/>
      <c r="V1879" s="177"/>
      <c r="W1879" s="177"/>
      <c r="X1879" s="176"/>
      <c r="Y1879" s="177"/>
      <c r="Z1879" s="415"/>
      <c r="AA1879" s="488"/>
      <c r="AB1879" s="594"/>
      <c r="AC1879" s="595"/>
      <c r="AD1879" s="596" t="str">
        <f>IF(AND(AC1879&lt;&gt;"",S1879&lt;&gt;""),NETWORKDAYS(AC1879,S1879,#REF!),"")</f>
        <v/>
      </c>
      <c r="AE1879" s="596" t="str">
        <f ca="1">IF(AND(AD1879="",AC1879=""),"",IF(OR(AD1879&lt;&gt;"",O1879="*CANCELADO"),"",NETWORKDAYS(AC1879,TODAY(),#REF!)))</f>
        <v/>
      </c>
      <c r="AF1879" s="619"/>
    </row>
    <row r="1880" spans="1:32" ht="14.25" customHeight="1">
      <c r="A1880" s="176"/>
      <c r="B1880" s="176"/>
      <c r="C1880" s="177"/>
      <c r="D1880" s="176"/>
      <c r="E1880" s="176"/>
      <c r="F1880" s="259"/>
      <c r="G1880" s="176"/>
      <c r="H1880" s="178"/>
      <c r="I1880" s="592">
        <f t="shared" si="74"/>
        <v>0</v>
      </c>
      <c r="J1880" s="178"/>
      <c r="K1880" s="178"/>
      <c r="L1880" s="275" t="str">
        <f>IF(H:H=0,"",IF(ISERROR(VLOOKUP(H:H,produtos_escape2!$A$2:$B$2794,2,FALSE)),"Código não cadastrado",(VLOOKUP(H:H,produtos_escape2!$A$2:$B$2794,2,FALSE))))</f>
        <v/>
      </c>
      <c r="M1880" s="593" t="str">
        <f>IF(H:H=0,"",IF(ISERROR(VLOOKUP(H:H,produtos_escape2!$A$2:$D$2794,2,FALSE)),"Código não cadastrado",(VLOOKUP(H:H,produtos_escape2!$A$2:$D$2794,4,FALSE))))</f>
        <v/>
      </c>
      <c r="N1880" s="486"/>
      <c r="O1880" s="176"/>
      <c r="P1880" s="486"/>
      <c r="Q1880" s="247"/>
      <c r="R1880" s="246">
        <f t="shared" si="73"/>
        <v>0</v>
      </c>
      <c r="S1880" s="177"/>
      <c r="T1880" s="182"/>
      <c r="U1880" s="177"/>
      <c r="V1880" s="177"/>
      <c r="W1880" s="177"/>
      <c r="X1880" s="176"/>
      <c r="Y1880" s="177"/>
      <c r="Z1880" s="415"/>
      <c r="AA1880" s="488"/>
      <c r="AB1880" s="594"/>
      <c r="AC1880" s="595"/>
      <c r="AD1880" s="596" t="str">
        <f>IF(AND(AC1880&lt;&gt;"",S1880&lt;&gt;""),NETWORKDAYS(AC1880,S1880,#REF!),"")</f>
        <v/>
      </c>
      <c r="AE1880" s="596" t="str">
        <f ca="1">IF(AND(AD1880="",AC1880=""),"",IF(OR(AD1880&lt;&gt;"",O1880="*CANCELADO"),"",NETWORKDAYS(AC1880,TODAY(),#REF!)))</f>
        <v/>
      </c>
      <c r="AF1880" s="619"/>
    </row>
    <row r="1881" spans="1:32" ht="14.25" customHeight="1">
      <c r="A1881" s="176"/>
      <c r="B1881" s="176"/>
      <c r="C1881" s="177"/>
      <c r="D1881" s="176"/>
      <c r="E1881" s="176"/>
      <c r="F1881" s="259"/>
      <c r="G1881" s="176"/>
      <c r="H1881" s="178"/>
      <c r="I1881" s="592">
        <f t="shared" si="74"/>
        <v>0</v>
      </c>
      <c r="J1881" s="178"/>
      <c r="K1881" s="178"/>
      <c r="L1881" s="275" t="str">
        <f>IF(H:H=0,"",IF(ISERROR(VLOOKUP(H:H,produtos_escape2!$A$2:$B$2794,2,FALSE)),"Código não cadastrado",(VLOOKUP(H:H,produtos_escape2!$A$2:$B$2794,2,FALSE))))</f>
        <v/>
      </c>
      <c r="M1881" s="593" t="str">
        <f>IF(H:H=0,"",IF(ISERROR(VLOOKUP(H:H,produtos_escape2!$A$2:$D$2794,2,FALSE)),"Código não cadastrado",(VLOOKUP(H:H,produtos_escape2!$A$2:$D$2794,4,FALSE))))</f>
        <v/>
      </c>
      <c r="N1881" s="486"/>
      <c r="O1881" s="176"/>
      <c r="P1881" s="486"/>
      <c r="Q1881" s="247"/>
      <c r="R1881" s="246">
        <f t="shared" si="73"/>
        <v>0</v>
      </c>
      <c r="S1881" s="177"/>
      <c r="T1881" s="182"/>
      <c r="U1881" s="177"/>
      <c r="V1881" s="177"/>
      <c r="W1881" s="177"/>
      <c r="X1881" s="176"/>
      <c r="Y1881" s="177"/>
      <c r="Z1881" s="415"/>
      <c r="AA1881" s="488"/>
      <c r="AB1881" s="594"/>
      <c r="AC1881" s="595"/>
      <c r="AD1881" s="596" t="str">
        <f>IF(AND(AC1881&lt;&gt;"",S1881&lt;&gt;""),NETWORKDAYS(AC1881,S1881,#REF!),"")</f>
        <v/>
      </c>
      <c r="AE1881" s="596" t="str">
        <f ca="1">IF(AND(AD1881="",AC1881=""),"",IF(OR(AD1881&lt;&gt;"",O1881="*CANCELADO"),"",NETWORKDAYS(AC1881,TODAY(),#REF!)))</f>
        <v/>
      </c>
      <c r="AF1881" s="619"/>
    </row>
    <row r="1882" spans="1:32" ht="14.25" customHeight="1">
      <c r="A1882" s="176"/>
      <c r="B1882" s="176"/>
      <c r="C1882" s="177"/>
      <c r="D1882" s="176"/>
      <c r="E1882" s="176"/>
      <c r="F1882" s="259"/>
      <c r="G1882" s="176"/>
      <c r="H1882" s="178"/>
      <c r="I1882" s="592">
        <f t="shared" si="74"/>
        <v>0</v>
      </c>
      <c r="J1882" s="178"/>
      <c r="K1882" s="178"/>
      <c r="L1882" s="275" t="str">
        <f>IF(H:H=0,"",IF(ISERROR(VLOOKUP(H:H,produtos_escape2!$A$2:$B$2794,2,FALSE)),"Código não cadastrado",(VLOOKUP(H:H,produtos_escape2!$A$2:$B$2794,2,FALSE))))</f>
        <v/>
      </c>
      <c r="M1882" s="593" t="str">
        <f>IF(H:H=0,"",IF(ISERROR(VLOOKUP(H:H,produtos_escape2!$A$2:$D$2794,2,FALSE)),"Código não cadastrado",(VLOOKUP(H:H,produtos_escape2!$A$2:$D$2794,4,FALSE))))</f>
        <v/>
      </c>
      <c r="N1882" s="486"/>
      <c r="O1882" s="176"/>
      <c r="P1882" s="486"/>
      <c r="Q1882" s="247"/>
      <c r="R1882" s="246">
        <f t="shared" si="73"/>
        <v>0</v>
      </c>
      <c r="S1882" s="177"/>
      <c r="T1882" s="182"/>
      <c r="U1882" s="177"/>
      <c r="V1882" s="177"/>
      <c r="W1882" s="177"/>
      <c r="X1882" s="176"/>
      <c r="Y1882" s="177"/>
      <c r="Z1882" s="415"/>
      <c r="AA1882" s="488"/>
      <c r="AB1882" s="594"/>
      <c r="AC1882" s="595"/>
      <c r="AD1882" s="596" t="str">
        <f>IF(AND(AC1882&lt;&gt;"",S1882&lt;&gt;""),NETWORKDAYS(AC1882,S1882,#REF!),"")</f>
        <v/>
      </c>
      <c r="AE1882" s="596" t="str">
        <f ca="1">IF(AND(AD1882="",AC1882=""),"",IF(OR(AD1882&lt;&gt;"",O1882="*CANCELADO"),"",NETWORKDAYS(AC1882,TODAY(),#REF!)))</f>
        <v/>
      </c>
      <c r="AF1882" s="619"/>
    </row>
    <row r="1883" spans="1:32" ht="14.25" customHeight="1">
      <c r="A1883" s="176"/>
      <c r="B1883" s="176"/>
      <c r="C1883" s="177"/>
      <c r="D1883" s="176"/>
      <c r="E1883" s="176"/>
      <c r="F1883" s="259"/>
      <c r="G1883" s="176"/>
      <c r="H1883" s="178"/>
      <c r="I1883" s="592">
        <f t="shared" si="74"/>
        <v>0</v>
      </c>
      <c r="J1883" s="178"/>
      <c r="K1883" s="178"/>
      <c r="L1883" s="275" t="str">
        <f>IF(H:H=0,"",IF(ISERROR(VLOOKUP(H:H,produtos_escape2!$A$2:$B$2794,2,FALSE)),"Código não cadastrado",(VLOOKUP(H:H,produtos_escape2!$A$2:$B$2794,2,FALSE))))</f>
        <v/>
      </c>
      <c r="M1883" s="593" t="str">
        <f>IF(H:H=0,"",IF(ISERROR(VLOOKUP(H:H,produtos_escape2!$A$2:$D$2794,2,FALSE)),"Código não cadastrado",(VLOOKUP(H:H,produtos_escape2!$A$2:$D$2794,4,FALSE))))</f>
        <v/>
      </c>
      <c r="N1883" s="486"/>
      <c r="O1883" s="176"/>
      <c r="P1883" s="486"/>
      <c r="Q1883" s="247"/>
      <c r="R1883" s="246">
        <f t="shared" si="73"/>
        <v>0</v>
      </c>
      <c r="S1883" s="177"/>
      <c r="T1883" s="182"/>
      <c r="U1883" s="177"/>
      <c r="V1883" s="177"/>
      <c r="W1883" s="177"/>
      <c r="X1883" s="176"/>
      <c r="Y1883" s="177"/>
      <c r="Z1883" s="415"/>
      <c r="AA1883" s="488"/>
      <c r="AB1883" s="594"/>
      <c r="AC1883" s="595"/>
      <c r="AD1883" s="596" t="str">
        <f>IF(AND(AC1883&lt;&gt;"",S1883&lt;&gt;""),NETWORKDAYS(AC1883,S1883,#REF!),"")</f>
        <v/>
      </c>
      <c r="AE1883" s="596" t="str">
        <f ca="1">IF(AND(AD1883="",AC1883=""),"",IF(OR(AD1883&lt;&gt;"",O1883="*CANCELADO"),"",NETWORKDAYS(AC1883,TODAY(),#REF!)))</f>
        <v/>
      </c>
      <c r="AF1883" s="619"/>
    </row>
    <row r="1884" spans="1:32" ht="14.25" customHeight="1">
      <c r="A1884" s="176"/>
      <c r="B1884" s="176"/>
      <c r="C1884" s="177"/>
      <c r="D1884" s="176"/>
      <c r="E1884" s="176"/>
      <c r="F1884" s="259"/>
      <c r="G1884" s="176"/>
      <c r="H1884" s="178"/>
      <c r="I1884" s="592">
        <f t="shared" si="74"/>
        <v>0</v>
      </c>
      <c r="J1884" s="178"/>
      <c r="K1884" s="178"/>
      <c r="L1884" s="275" t="str">
        <f>IF(H:H=0,"",IF(ISERROR(VLOOKUP(H:H,produtos_escape2!$A$2:$B$2794,2,FALSE)),"Código não cadastrado",(VLOOKUP(H:H,produtos_escape2!$A$2:$B$2794,2,FALSE))))</f>
        <v/>
      </c>
      <c r="M1884" s="593" t="str">
        <f>IF(H:H=0,"",IF(ISERROR(VLOOKUP(H:H,produtos_escape2!$A$2:$D$2794,2,FALSE)),"Código não cadastrado",(VLOOKUP(H:H,produtos_escape2!$A$2:$D$2794,4,FALSE))))</f>
        <v/>
      </c>
      <c r="N1884" s="486"/>
      <c r="O1884" s="176"/>
      <c r="P1884" s="486"/>
      <c r="Q1884" s="247"/>
      <c r="R1884" s="246">
        <f t="shared" si="73"/>
        <v>0</v>
      </c>
      <c r="S1884" s="177"/>
      <c r="T1884" s="182"/>
      <c r="U1884" s="177"/>
      <c r="V1884" s="177"/>
      <c r="W1884" s="177"/>
      <c r="X1884" s="176"/>
      <c r="Y1884" s="177"/>
      <c r="Z1884" s="415"/>
      <c r="AA1884" s="488"/>
      <c r="AB1884" s="594"/>
      <c r="AC1884" s="595"/>
      <c r="AD1884" s="596" t="str">
        <f>IF(AND(AC1884&lt;&gt;"",S1884&lt;&gt;""),NETWORKDAYS(AC1884,S1884,#REF!),"")</f>
        <v/>
      </c>
      <c r="AE1884" s="596" t="str">
        <f ca="1">IF(AND(AD1884="",AC1884=""),"",IF(OR(AD1884&lt;&gt;"",O1884="*CANCELADO"),"",NETWORKDAYS(AC1884,TODAY(),#REF!)))</f>
        <v/>
      </c>
      <c r="AF1884" s="619"/>
    </row>
    <row r="1885" spans="1:32" ht="14.25" customHeight="1">
      <c r="A1885" s="176"/>
      <c r="B1885" s="176"/>
      <c r="C1885" s="177"/>
      <c r="D1885" s="176"/>
      <c r="E1885" s="176"/>
      <c r="F1885" s="259"/>
      <c r="G1885" s="176"/>
      <c r="H1885" s="178"/>
      <c r="I1885" s="592">
        <f t="shared" si="74"/>
        <v>0</v>
      </c>
      <c r="J1885" s="178"/>
      <c r="K1885" s="178"/>
      <c r="L1885" s="275" t="str">
        <f>IF(H:H=0,"",IF(ISERROR(VLOOKUP(H:H,produtos_escape2!$A$2:$B$2794,2,FALSE)),"Código não cadastrado",(VLOOKUP(H:H,produtos_escape2!$A$2:$B$2794,2,FALSE))))</f>
        <v/>
      </c>
      <c r="M1885" s="593" t="str">
        <f>IF(H:H=0,"",IF(ISERROR(VLOOKUP(H:H,produtos_escape2!$A$2:$D$2794,2,FALSE)),"Código não cadastrado",(VLOOKUP(H:H,produtos_escape2!$A$2:$D$2794,4,FALSE))))</f>
        <v/>
      </c>
      <c r="N1885" s="486"/>
      <c r="O1885" s="176"/>
      <c r="P1885" s="486"/>
      <c r="Q1885" s="247"/>
      <c r="R1885" s="246">
        <f t="shared" si="73"/>
        <v>0</v>
      </c>
      <c r="S1885" s="177"/>
      <c r="T1885" s="182"/>
      <c r="U1885" s="177"/>
      <c r="V1885" s="177"/>
      <c r="W1885" s="177"/>
      <c r="X1885" s="176"/>
      <c r="Y1885" s="177"/>
      <c r="Z1885" s="415"/>
      <c r="AA1885" s="488"/>
      <c r="AB1885" s="594"/>
      <c r="AC1885" s="595"/>
      <c r="AD1885" s="596" t="str">
        <f>IF(AND(AC1885&lt;&gt;"",S1885&lt;&gt;""),NETWORKDAYS(AC1885,S1885,#REF!),"")</f>
        <v/>
      </c>
      <c r="AE1885" s="596" t="str">
        <f ca="1">IF(AND(AD1885="",AC1885=""),"",IF(OR(AD1885&lt;&gt;"",O1885="*CANCELADO"),"",NETWORKDAYS(AC1885,TODAY(),#REF!)))</f>
        <v/>
      </c>
      <c r="AF1885" s="619"/>
    </row>
    <row r="1886" spans="1:32" ht="14.25" customHeight="1">
      <c r="A1886" s="176"/>
      <c r="B1886" s="176"/>
      <c r="C1886" s="177"/>
      <c r="D1886" s="176"/>
      <c r="E1886" s="176"/>
      <c r="F1886" s="259"/>
      <c r="G1886" s="176"/>
      <c r="H1886" s="178"/>
      <c r="I1886" s="592">
        <f t="shared" si="74"/>
        <v>0</v>
      </c>
      <c r="J1886" s="178"/>
      <c r="K1886" s="178"/>
      <c r="L1886" s="275" t="str">
        <f>IF(H:H=0,"",IF(ISERROR(VLOOKUP(H:H,produtos_escape2!$A$2:$B$2794,2,FALSE)),"Código não cadastrado",(VLOOKUP(H:H,produtos_escape2!$A$2:$B$2794,2,FALSE))))</f>
        <v/>
      </c>
      <c r="M1886" s="593" t="str">
        <f>IF(H:H=0,"",IF(ISERROR(VLOOKUP(H:H,produtos_escape2!$A$2:$D$2794,2,FALSE)),"Código não cadastrado",(VLOOKUP(H:H,produtos_escape2!$A$2:$D$2794,4,FALSE))))</f>
        <v/>
      </c>
      <c r="N1886" s="486"/>
      <c r="O1886" s="176"/>
      <c r="P1886" s="486"/>
      <c r="Q1886" s="247"/>
      <c r="R1886" s="246">
        <f t="shared" si="73"/>
        <v>0</v>
      </c>
      <c r="S1886" s="177"/>
      <c r="T1886" s="182"/>
      <c r="U1886" s="177"/>
      <c r="V1886" s="177"/>
      <c r="W1886" s="177"/>
      <c r="X1886" s="176"/>
      <c r="Y1886" s="177"/>
      <c r="Z1886" s="415"/>
      <c r="AA1886" s="488"/>
      <c r="AB1886" s="594"/>
      <c r="AC1886" s="595"/>
      <c r="AD1886" s="596" t="str">
        <f>IF(AND(AC1886&lt;&gt;"",S1886&lt;&gt;""),NETWORKDAYS(AC1886,S1886,#REF!),"")</f>
        <v/>
      </c>
      <c r="AE1886" s="596" t="str">
        <f ca="1">IF(AND(AD1886="",AC1886=""),"",IF(OR(AD1886&lt;&gt;"",O1886="*CANCELADO"),"",NETWORKDAYS(AC1886,TODAY(),#REF!)))</f>
        <v/>
      </c>
      <c r="AF1886" s="619"/>
    </row>
    <row r="1887" spans="1:32" ht="14.25" customHeight="1">
      <c r="A1887" s="176"/>
      <c r="B1887" s="176"/>
      <c r="C1887" s="177"/>
      <c r="D1887" s="176"/>
      <c r="E1887" s="176"/>
      <c r="F1887" s="259"/>
      <c r="G1887" s="176"/>
      <c r="H1887" s="178"/>
      <c r="I1887" s="592">
        <f t="shared" si="74"/>
        <v>0</v>
      </c>
      <c r="J1887" s="178"/>
      <c r="K1887" s="178"/>
      <c r="L1887" s="275" t="str">
        <f>IF(H:H=0,"",IF(ISERROR(VLOOKUP(H:H,produtos_escape2!$A$2:$B$2794,2,FALSE)),"Código não cadastrado",(VLOOKUP(H:H,produtos_escape2!$A$2:$B$2794,2,FALSE))))</f>
        <v/>
      </c>
      <c r="M1887" s="593" t="str">
        <f>IF(H:H=0,"",IF(ISERROR(VLOOKUP(H:H,produtos_escape2!$A$2:$D$2794,2,FALSE)),"Código não cadastrado",(VLOOKUP(H:H,produtos_escape2!$A$2:$D$2794,4,FALSE))))</f>
        <v/>
      </c>
      <c r="N1887" s="486"/>
      <c r="O1887" s="176"/>
      <c r="P1887" s="486"/>
      <c r="Q1887" s="247"/>
      <c r="R1887" s="246">
        <f t="shared" si="73"/>
        <v>0</v>
      </c>
      <c r="S1887" s="177"/>
      <c r="T1887" s="182"/>
      <c r="U1887" s="177"/>
      <c r="V1887" s="177"/>
      <c r="W1887" s="177"/>
      <c r="X1887" s="176"/>
      <c r="Y1887" s="177"/>
      <c r="Z1887" s="415"/>
      <c r="AA1887" s="488"/>
      <c r="AB1887" s="594"/>
      <c r="AC1887" s="595"/>
      <c r="AD1887" s="596" t="str">
        <f>IF(AND(AC1887&lt;&gt;"",S1887&lt;&gt;""),NETWORKDAYS(AC1887,S1887,#REF!),"")</f>
        <v/>
      </c>
      <c r="AE1887" s="596" t="str">
        <f ca="1">IF(AND(AD1887="",AC1887=""),"",IF(OR(AD1887&lt;&gt;"",O1887="*CANCELADO"),"",NETWORKDAYS(AC1887,TODAY(),#REF!)))</f>
        <v/>
      </c>
      <c r="AF1887" s="619"/>
    </row>
    <row r="1888" spans="1:32" ht="14.25" customHeight="1">
      <c r="A1888" s="176"/>
      <c r="B1888" s="176"/>
      <c r="C1888" s="177"/>
      <c r="D1888" s="176"/>
      <c r="E1888" s="176"/>
      <c r="F1888" s="259"/>
      <c r="G1888" s="176"/>
      <c r="H1888" s="178"/>
      <c r="I1888" s="592">
        <f t="shared" si="74"/>
        <v>0</v>
      </c>
      <c r="J1888" s="178"/>
      <c r="K1888" s="178"/>
      <c r="L1888" s="275" t="str">
        <f>IF(H:H=0,"",IF(ISERROR(VLOOKUP(H:H,produtos_escape2!$A$2:$B$2794,2,FALSE)),"Código não cadastrado",(VLOOKUP(H:H,produtos_escape2!$A$2:$B$2794,2,FALSE))))</f>
        <v/>
      </c>
      <c r="M1888" s="593" t="str">
        <f>IF(H:H=0,"",IF(ISERROR(VLOOKUP(H:H,produtos_escape2!$A$2:$D$2794,2,FALSE)),"Código não cadastrado",(VLOOKUP(H:H,produtos_escape2!$A$2:$D$2794,4,FALSE))))</f>
        <v/>
      </c>
      <c r="N1888" s="486"/>
      <c r="O1888" s="176"/>
      <c r="P1888" s="486"/>
      <c r="Q1888" s="247"/>
      <c r="R1888" s="246">
        <f t="shared" si="73"/>
        <v>0</v>
      </c>
      <c r="S1888" s="177"/>
      <c r="T1888" s="182"/>
      <c r="U1888" s="177"/>
      <c r="V1888" s="177"/>
      <c r="W1888" s="177"/>
      <c r="X1888" s="176"/>
      <c r="Y1888" s="177"/>
      <c r="Z1888" s="415"/>
      <c r="AA1888" s="488"/>
      <c r="AB1888" s="594"/>
      <c r="AC1888" s="595"/>
      <c r="AD1888" s="596" t="str">
        <f>IF(AND(AC1888&lt;&gt;"",S1888&lt;&gt;""),NETWORKDAYS(AC1888,S1888,#REF!),"")</f>
        <v/>
      </c>
      <c r="AE1888" s="596" t="str">
        <f ca="1">IF(AND(AD1888="",AC1888=""),"",IF(OR(AD1888&lt;&gt;"",O1888="*CANCELADO"),"",NETWORKDAYS(AC1888,TODAY(),#REF!)))</f>
        <v/>
      </c>
      <c r="AF1888" s="619"/>
    </row>
    <row r="1889" spans="1:32" ht="14.25" customHeight="1">
      <c r="A1889" s="176"/>
      <c r="B1889" s="176"/>
      <c r="C1889" s="177"/>
      <c r="D1889" s="176"/>
      <c r="E1889" s="176"/>
      <c r="F1889" s="259"/>
      <c r="G1889" s="176"/>
      <c r="H1889" s="178"/>
      <c r="I1889" s="592">
        <f t="shared" si="74"/>
        <v>0</v>
      </c>
      <c r="J1889" s="178"/>
      <c r="K1889" s="178"/>
      <c r="L1889" s="275" t="str">
        <f>IF(H:H=0,"",IF(ISERROR(VLOOKUP(H:H,produtos_escape2!$A$2:$B$2794,2,FALSE)),"Código não cadastrado",(VLOOKUP(H:H,produtos_escape2!$A$2:$B$2794,2,FALSE))))</f>
        <v/>
      </c>
      <c r="M1889" s="593" t="str">
        <f>IF(H:H=0,"",IF(ISERROR(VLOOKUP(H:H,produtos_escape2!$A$2:$D$2794,2,FALSE)),"Código não cadastrado",(VLOOKUP(H:H,produtos_escape2!$A$2:$D$2794,4,FALSE))))</f>
        <v/>
      </c>
      <c r="N1889" s="486"/>
      <c r="O1889" s="176"/>
      <c r="P1889" s="486"/>
      <c r="Q1889" s="247"/>
      <c r="R1889" s="246">
        <f t="shared" si="73"/>
        <v>0</v>
      </c>
      <c r="S1889" s="177"/>
      <c r="T1889" s="182"/>
      <c r="U1889" s="177"/>
      <c r="V1889" s="177"/>
      <c r="W1889" s="177"/>
      <c r="X1889" s="176"/>
      <c r="Y1889" s="177"/>
      <c r="Z1889" s="415"/>
      <c r="AA1889" s="488"/>
      <c r="AB1889" s="594"/>
      <c r="AC1889" s="595"/>
      <c r="AD1889" s="596" t="str">
        <f>IF(AND(AC1889&lt;&gt;"",S1889&lt;&gt;""),NETWORKDAYS(AC1889,S1889,#REF!),"")</f>
        <v/>
      </c>
      <c r="AE1889" s="596" t="str">
        <f ca="1">IF(AND(AD1889="",AC1889=""),"",IF(OR(AD1889&lt;&gt;"",O1889="*CANCELADO"),"",NETWORKDAYS(AC1889,TODAY(),#REF!)))</f>
        <v/>
      </c>
      <c r="AF1889" s="619"/>
    </row>
    <row r="1890" spans="1:32" ht="14.25" customHeight="1">
      <c r="A1890" s="176"/>
      <c r="B1890" s="176"/>
      <c r="C1890" s="177"/>
      <c r="D1890" s="176"/>
      <c r="E1890" s="176"/>
      <c r="F1890" s="259"/>
      <c r="G1890" s="176"/>
      <c r="H1890" s="178"/>
      <c r="I1890" s="592">
        <f t="shared" si="74"/>
        <v>0</v>
      </c>
      <c r="J1890" s="178"/>
      <c r="K1890" s="178"/>
      <c r="L1890" s="275" t="str">
        <f>IF(H:H=0,"",IF(ISERROR(VLOOKUP(H:H,produtos_escape2!$A$2:$B$2794,2,FALSE)),"Código não cadastrado",(VLOOKUP(H:H,produtos_escape2!$A$2:$B$2794,2,FALSE))))</f>
        <v/>
      </c>
      <c r="M1890" s="593" t="str">
        <f>IF(H:H=0,"",IF(ISERROR(VLOOKUP(H:H,produtos_escape2!$A$2:$D$2794,2,FALSE)),"Código não cadastrado",(VLOOKUP(H:H,produtos_escape2!$A$2:$D$2794,4,FALSE))))</f>
        <v/>
      </c>
      <c r="N1890" s="486"/>
      <c r="O1890" s="176"/>
      <c r="P1890" s="486"/>
      <c r="Q1890" s="247"/>
      <c r="R1890" s="246">
        <f t="shared" si="73"/>
        <v>0</v>
      </c>
      <c r="S1890" s="177"/>
      <c r="T1890" s="182"/>
      <c r="U1890" s="177"/>
      <c r="V1890" s="177"/>
      <c r="W1890" s="177"/>
      <c r="X1890" s="176"/>
      <c r="Y1890" s="177"/>
      <c r="Z1890" s="415"/>
      <c r="AA1890" s="488"/>
      <c r="AB1890" s="594"/>
      <c r="AC1890" s="595"/>
      <c r="AD1890" s="596" t="str">
        <f>IF(AND(AC1890&lt;&gt;"",S1890&lt;&gt;""),NETWORKDAYS(AC1890,S1890,#REF!),"")</f>
        <v/>
      </c>
      <c r="AE1890" s="596" t="str">
        <f ca="1">IF(AND(AD1890="",AC1890=""),"",IF(OR(AD1890&lt;&gt;"",O1890="*CANCELADO"),"",NETWORKDAYS(AC1890,TODAY(),#REF!)))</f>
        <v/>
      </c>
      <c r="AF1890" s="619"/>
    </row>
    <row r="1891" spans="1:32" ht="14.25" customHeight="1">
      <c r="A1891" s="176"/>
      <c r="B1891" s="176"/>
      <c r="C1891" s="177"/>
      <c r="D1891" s="176"/>
      <c r="E1891" s="176"/>
      <c r="F1891" s="259"/>
      <c r="G1891" s="176"/>
      <c r="H1891" s="178"/>
      <c r="I1891" s="592">
        <f t="shared" si="74"/>
        <v>0</v>
      </c>
      <c r="J1891" s="178"/>
      <c r="K1891" s="178"/>
      <c r="L1891" s="275" t="str">
        <f>IF(H:H=0,"",IF(ISERROR(VLOOKUP(H:H,produtos_escape2!$A$2:$B$2794,2,FALSE)),"Código não cadastrado",(VLOOKUP(H:H,produtos_escape2!$A$2:$B$2794,2,FALSE))))</f>
        <v/>
      </c>
      <c r="M1891" s="593" t="str">
        <f>IF(H:H=0,"",IF(ISERROR(VLOOKUP(H:H,produtos_escape2!$A$2:$D$2794,2,FALSE)),"Código não cadastrado",(VLOOKUP(H:H,produtos_escape2!$A$2:$D$2794,4,FALSE))))</f>
        <v/>
      </c>
      <c r="N1891" s="486"/>
      <c r="O1891" s="176"/>
      <c r="P1891" s="486"/>
      <c r="Q1891" s="247"/>
      <c r="R1891" s="246">
        <f t="shared" si="73"/>
        <v>0</v>
      </c>
      <c r="S1891" s="177"/>
      <c r="T1891" s="182"/>
      <c r="U1891" s="177"/>
      <c r="V1891" s="177"/>
      <c r="W1891" s="177"/>
      <c r="X1891" s="176"/>
      <c r="Y1891" s="177"/>
      <c r="Z1891" s="415"/>
      <c r="AA1891" s="488"/>
      <c r="AB1891" s="594"/>
      <c r="AC1891" s="595"/>
      <c r="AD1891" s="596" t="str">
        <f>IF(AND(AC1891&lt;&gt;"",S1891&lt;&gt;""),NETWORKDAYS(AC1891,S1891,#REF!),"")</f>
        <v/>
      </c>
      <c r="AE1891" s="596" t="str">
        <f ca="1">IF(AND(AD1891="",AC1891=""),"",IF(OR(AD1891&lt;&gt;"",O1891="*CANCELADO"),"",NETWORKDAYS(AC1891,TODAY(),#REF!)))</f>
        <v/>
      </c>
      <c r="AF1891" s="619"/>
    </row>
    <row r="1892" spans="1:32" ht="14.25" customHeight="1">
      <c r="A1892" s="176"/>
      <c r="B1892" s="176"/>
      <c r="C1892" s="177"/>
      <c r="D1892" s="176"/>
      <c r="E1892" s="176"/>
      <c r="F1892" s="259"/>
      <c r="G1892" s="176"/>
      <c r="H1892" s="178"/>
      <c r="I1892" s="592">
        <f t="shared" si="74"/>
        <v>0</v>
      </c>
      <c r="J1892" s="178"/>
      <c r="K1892" s="178"/>
      <c r="L1892" s="275" t="str">
        <f>IF(H:H=0,"",IF(ISERROR(VLOOKUP(H:H,produtos_escape2!$A$2:$B$2794,2,FALSE)),"Código não cadastrado",(VLOOKUP(H:H,produtos_escape2!$A$2:$B$2794,2,FALSE))))</f>
        <v/>
      </c>
      <c r="M1892" s="593" t="str">
        <f>IF(H:H=0,"",IF(ISERROR(VLOOKUP(H:H,produtos_escape2!$A$2:$D$2794,2,FALSE)),"Código não cadastrado",(VLOOKUP(H:H,produtos_escape2!$A$2:$D$2794,4,FALSE))))</f>
        <v/>
      </c>
      <c r="N1892" s="486"/>
      <c r="O1892" s="176"/>
      <c r="P1892" s="486"/>
      <c r="Q1892" s="247"/>
      <c r="R1892" s="246">
        <f t="shared" si="73"/>
        <v>0</v>
      </c>
      <c r="S1892" s="177"/>
      <c r="T1892" s="182"/>
      <c r="U1892" s="177"/>
      <c r="V1892" s="177"/>
      <c r="W1892" s="177"/>
      <c r="X1892" s="176"/>
      <c r="Y1892" s="177"/>
      <c r="Z1892" s="415"/>
      <c r="AA1892" s="488"/>
      <c r="AB1892" s="594"/>
      <c r="AC1892" s="595"/>
      <c r="AD1892" s="596" t="str">
        <f>IF(AND(AC1892&lt;&gt;"",S1892&lt;&gt;""),NETWORKDAYS(AC1892,S1892,#REF!),"")</f>
        <v/>
      </c>
      <c r="AE1892" s="596" t="str">
        <f ca="1">IF(AND(AD1892="",AC1892=""),"",IF(OR(AD1892&lt;&gt;"",O1892="*CANCELADO"),"",NETWORKDAYS(AC1892,TODAY(),#REF!)))</f>
        <v/>
      </c>
      <c r="AF1892" s="619"/>
    </row>
    <row r="1893" spans="1:32" ht="14.25" customHeight="1">
      <c r="A1893" s="176"/>
      <c r="B1893" s="176"/>
      <c r="C1893" s="177"/>
      <c r="D1893" s="176"/>
      <c r="E1893" s="176"/>
      <c r="F1893" s="259"/>
      <c r="G1893" s="176"/>
      <c r="H1893" s="178"/>
      <c r="I1893" s="592">
        <f t="shared" si="74"/>
        <v>0</v>
      </c>
      <c r="J1893" s="178"/>
      <c r="K1893" s="178"/>
      <c r="L1893" s="275" t="str">
        <f>IF(H:H=0,"",IF(ISERROR(VLOOKUP(H:H,produtos_escape2!$A$2:$B$2794,2,FALSE)),"Código não cadastrado",(VLOOKUP(H:H,produtos_escape2!$A$2:$B$2794,2,FALSE))))</f>
        <v/>
      </c>
      <c r="M1893" s="593" t="str">
        <f>IF(H:H=0,"",IF(ISERROR(VLOOKUP(H:H,produtos_escape2!$A$2:$D$2794,2,FALSE)),"Código não cadastrado",(VLOOKUP(H:H,produtos_escape2!$A$2:$D$2794,4,FALSE))))</f>
        <v/>
      </c>
      <c r="N1893" s="486"/>
      <c r="O1893" s="176"/>
      <c r="P1893" s="486"/>
      <c r="Q1893" s="247"/>
      <c r="R1893" s="246">
        <f t="shared" si="73"/>
        <v>0</v>
      </c>
      <c r="S1893" s="177"/>
      <c r="T1893" s="182"/>
      <c r="U1893" s="177"/>
      <c r="V1893" s="177"/>
      <c r="W1893" s="177"/>
      <c r="X1893" s="176"/>
      <c r="Y1893" s="177"/>
      <c r="Z1893" s="415"/>
      <c r="AA1893" s="488"/>
      <c r="AB1893" s="594"/>
      <c r="AC1893" s="595"/>
      <c r="AD1893" s="596" t="str">
        <f>IF(AND(AC1893&lt;&gt;"",S1893&lt;&gt;""),NETWORKDAYS(AC1893,S1893,#REF!),"")</f>
        <v/>
      </c>
      <c r="AE1893" s="596" t="str">
        <f ca="1">IF(AND(AD1893="",AC1893=""),"",IF(OR(AD1893&lt;&gt;"",O1893="*CANCELADO"),"",NETWORKDAYS(AC1893,TODAY(),#REF!)))</f>
        <v/>
      </c>
      <c r="AF1893" s="619"/>
    </row>
    <row r="1894" spans="1:32" ht="14.25" customHeight="1">
      <c r="A1894" s="176"/>
      <c r="B1894" s="176"/>
      <c r="C1894" s="177"/>
      <c r="D1894" s="176"/>
      <c r="E1894" s="176"/>
      <c r="F1894" s="259"/>
      <c r="G1894" s="176"/>
      <c r="H1894" s="178"/>
      <c r="I1894" s="592">
        <f t="shared" si="74"/>
        <v>0</v>
      </c>
      <c r="J1894" s="178"/>
      <c r="K1894" s="178"/>
      <c r="L1894" s="275" t="str">
        <f>IF(H:H=0,"",IF(ISERROR(VLOOKUP(H:H,produtos_escape2!$A$2:$B$2794,2,FALSE)),"Código não cadastrado",(VLOOKUP(H:H,produtos_escape2!$A$2:$B$2794,2,FALSE))))</f>
        <v/>
      </c>
      <c r="M1894" s="593" t="str">
        <f>IF(H:H=0,"",IF(ISERROR(VLOOKUP(H:H,produtos_escape2!$A$2:$D$2794,2,FALSE)),"Código não cadastrado",(VLOOKUP(H:H,produtos_escape2!$A$2:$D$2794,4,FALSE))))</f>
        <v/>
      </c>
      <c r="N1894" s="486"/>
      <c r="O1894" s="176"/>
      <c r="P1894" s="486"/>
      <c r="Q1894" s="247"/>
      <c r="R1894" s="246">
        <f t="shared" si="73"/>
        <v>0</v>
      </c>
      <c r="S1894" s="177"/>
      <c r="T1894" s="182"/>
      <c r="U1894" s="177"/>
      <c r="V1894" s="177"/>
      <c r="W1894" s="177"/>
      <c r="X1894" s="176"/>
      <c r="Y1894" s="177"/>
      <c r="Z1894" s="415"/>
      <c r="AA1894" s="488"/>
      <c r="AB1894" s="594"/>
      <c r="AC1894" s="595"/>
      <c r="AD1894" s="596" t="str">
        <f>IF(AND(AC1894&lt;&gt;"",S1894&lt;&gt;""),NETWORKDAYS(AC1894,S1894,#REF!),"")</f>
        <v/>
      </c>
      <c r="AE1894" s="596" t="str">
        <f ca="1">IF(AND(AD1894="",AC1894=""),"",IF(OR(AD1894&lt;&gt;"",O1894="*CANCELADO"),"",NETWORKDAYS(AC1894,TODAY(),#REF!)))</f>
        <v/>
      </c>
      <c r="AF1894" s="619"/>
    </row>
    <row r="1895" spans="1:32" ht="14.25" customHeight="1">
      <c r="A1895" s="176"/>
      <c r="B1895" s="176"/>
      <c r="C1895" s="177"/>
      <c r="D1895" s="176"/>
      <c r="E1895" s="176"/>
      <c r="F1895" s="259"/>
      <c r="G1895" s="176"/>
      <c r="H1895" s="178"/>
      <c r="I1895" s="592">
        <f t="shared" si="74"/>
        <v>0</v>
      </c>
      <c r="J1895" s="178"/>
      <c r="K1895" s="178"/>
      <c r="L1895" s="275" t="str">
        <f>IF(H:H=0,"",IF(ISERROR(VLOOKUP(H:H,produtos_escape2!$A$2:$B$2794,2,FALSE)),"Código não cadastrado",(VLOOKUP(H:H,produtos_escape2!$A$2:$B$2794,2,FALSE))))</f>
        <v/>
      </c>
      <c r="M1895" s="593" t="str">
        <f>IF(H:H=0,"",IF(ISERROR(VLOOKUP(H:H,produtos_escape2!$A$2:$D$2794,2,FALSE)),"Código não cadastrado",(VLOOKUP(H:H,produtos_escape2!$A$2:$D$2794,4,FALSE))))</f>
        <v/>
      </c>
      <c r="N1895" s="486"/>
      <c r="O1895" s="176"/>
      <c r="P1895" s="486"/>
      <c r="Q1895" s="247"/>
      <c r="R1895" s="246">
        <f t="shared" si="73"/>
        <v>0</v>
      </c>
      <c r="S1895" s="177"/>
      <c r="T1895" s="182"/>
      <c r="U1895" s="177"/>
      <c r="V1895" s="177"/>
      <c r="W1895" s="177"/>
      <c r="X1895" s="176"/>
      <c r="Y1895" s="177"/>
      <c r="Z1895" s="415"/>
      <c r="AA1895" s="488"/>
      <c r="AB1895" s="594"/>
      <c r="AC1895" s="595"/>
      <c r="AD1895" s="596" t="str">
        <f>IF(AND(AC1895&lt;&gt;"",S1895&lt;&gt;""),NETWORKDAYS(AC1895,S1895,#REF!),"")</f>
        <v/>
      </c>
      <c r="AE1895" s="596" t="str">
        <f ca="1">IF(AND(AD1895="",AC1895=""),"",IF(OR(AD1895&lt;&gt;"",O1895="*CANCELADO"),"",NETWORKDAYS(AC1895,TODAY(),#REF!)))</f>
        <v/>
      </c>
      <c r="AF1895" s="619"/>
    </row>
    <row r="1896" spans="1:32" ht="14.25" customHeight="1">
      <c r="A1896" s="176"/>
      <c r="B1896" s="176"/>
      <c r="C1896" s="177"/>
      <c r="D1896" s="176"/>
      <c r="E1896" s="176"/>
      <c r="F1896" s="259"/>
      <c r="G1896" s="176"/>
      <c r="H1896" s="178"/>
      <c r="I1896" s="592">
        <f t="shared" si="74"/>
        <v>0</v>
      </c>
      <c r="J1896" s="178"/>
      <c r="K1896" s="178"/>
      <c r="L1896" s="275" t="str">
        <f>IF(H:H=0,"",IF(ISERROR(VLOOKUP(H:H,produtos_escape2!$A$2:$B$2794,2,FALSE)),"Código não cadastrado",(VLOOKUP(H:H,produtos_escape2!$A$2:$B$2794,2,FALSE))))</f>
        <v/>
      </c>
      <c r="M1896" s="593" t="str">
        <f>IF(H:H=0,"",IF(ISERROR(VLOOKUP(H:H,produtos_escape2!$A$2:$D$2794,2,FALSE)),"Código não cadastrado",(VLOOKUP(H:H,produtos_escape2!$A$2:$D$2794,4,FALSE))))</f>
        <v/>
      </c>
      <c r="N1896" s="486"/>
      <c r="O1896" s="176"/>
      <c r="P1896" s="486"/>
      <c r="Q1896" s="247"/>
      <c r="R1896" s="246">
        <f t="shared" si="73"/>
        <v>0</v>
      </c>
      <c r="S1896" s="177"/>
      <c r="T1896" s="182"/>
      <c r="U1896" s="177"/>
      <c r="V1896" s="177"/>
      <c r="W1896" s="177"/>
      <c r="X1896" s="176"/>
      <c r="Y1896" s="177"/>
      <c r="Z1896" s="415"/>
      <c r="AA1896" s="488"/>
      <c r="AB1896" s="594"/>
      <c r="AC1896" s="595"/>
      <c r="AD1896" s="596" t="str">
        <f>IF(AND(AC1896&lt;&gt;"",S1896&lt;&gt;""),NETWORKDAYS(AC1896,S1896,#REF!),"")</f>
        <v/>
      </c>
      <c r="AE1896" s="596" t="str">
        <f ca="1">IF(AND(AD1896="",AC1896=""),"",IF(OR(AD1896&lt;&gt;"",O1896="*CANCELADO"),"",NETWORKDAYS(AC1896,TODAY(),#REF!)))</f>
        <v/>
      </c>
      <c r="AF1896" s="619"/>
    </row>
    <row r="1897" spans="1:32" ht="14.25" customHeight="1">
      <c r="A1897" s="176"/>
      <c r="B1897" s="176"/>
      <c r="C1897" s="177"/>
      <c r="D1897" s="176"/>
      <c r="E1897" s="176"/>
      <c r="F1897" s="259"/>
      <c r="G1897" s="176"/>
      <c r="H1897" s="178"/>
      <c r="I1897" s="592">
        <f t="shared" si="74"/>
        <v>0</v>
      </c>
      <c r="J1897" s="178"/>
      <c r="K1897" s="178"/>
      <c r="L1897" s="275" t="str">
        <f>IF(H:H=0,"",IF(ISERROR(VLOOKUP(H:H,produtos_escape2!$A$2:$B$2794,2,FALSE)),"Código não cadastrado",(VLOOKUP(H:H,produtos_escape2!$A$2:$B$2794,2,FALSE))))</f>
        <v/>
      </c>
      <c r="M1897" s="593" t="str">
        <f>IF(H:H=0,"",IF(ISERROR(VLOOKUP(H:H,produtos_escape2!$A$2:$D$2794,2,FALSE)),"Código não cadastrado",(VLOOKUP(H:H,produtos_escape2!$A$2:$D$2794,4,FALSE))))</f>
        <v/>
      </c>
      <c r="N1897" s="486"/>
      <c r="O1897" s="176"/>
      <c r="P1897" s="486"/>
      <c r="Q1897" s="247"/>
      <c r="R1897" s="246">
        <f t="shared" si="73"/>
        <v>0</v>
      </c>
      <c r="S1897" s="177"/>
      <c r="T1897" s="182"/>
      <c r="U1897" s="177"/>
      <c r="V1897" s="177"/>
      <c r="W1897" s="177"/>
      <c r="X1897" s="176"/>
      <c r="Y1897" s="177"/>
      <c r="Z1897" s="415"/>
      <c r="AA1897" s="488"/>
      <c r="AB1897" s="594"/>
      <c r="AC1897" s="595"/>
      <c r="AD1897" s="596" t="str">
        <f>IF(AND(AC1897&lt;&gt;"",S1897&lt;&gt;""),NETWORKDAYS(AC1897,S1897,#REF!),"")</f>
        <v/>
      </c>
      <c r="AE1897" s="596" t="str">
        <f ca="1">IF(AND(AD1897="",AC1897=""),"",IF(OR(AD1897&lt;&gt;"",O1897="*CANCELADO"),"",NETWORKDAYS(AC1897,TODAY(),#REF!)))</f>
        <v/>
      </c>
      <c r="AF1897" s="619"/>
    </row>
    <row r="1898" spans="1:32" ht="14.25" customHeight="1">
      <c r="A1898" s="176"/>
      <c r="B1898" s="176"/>
      <c r="C1898" s="177"/>
      <c r="D1898" s="176"/>
      <c r="E1898" s="176"/>
      <c r="F1898" s="259"/>
      <c r="G1898" s="176"/>
      <c r="H1898" s="178"/>
      <c r="I1898" s="592">
        <f t="shared" si="74"/>
        <v>0</v>
      </c>
      <c r="J1898" s="178"/>
      <c r="K1898" s="178"/>
      <c r="L1898" s="275" t="str">
        <f>IF(H:H=0,"",IF(ISERROR(VLOOKUP(H:H,produtos_escape2!$A$2:$B$2794,2,FALSE)),"Código não cadastrado",(VLOOKUP(H:H,produtos_escape2!$A$2:$B$2794,2,FALSE))))</f>
        <v/>
      </c>
      <c r="M1898" s="593" t="str">
        <f>IF(H:H=0,"",IF(ISERROR(VLOOKUP(H:H,produtos_escape2!$A$2:$D$2794,2,FALSE)),"Código não cadastrado",(VLOOKUP(H:H,produtos_escape2!$A$2:$D$2794,4,FALSE))))</f>
        <v/>
      </c>
      <c r="N1898" s="486"/>
      <c r="O1898" s="176"/>
      <c r="P1898" s="486"/>
      <c r="Q1898" s="247"/>
      <c r="R1898" s="246">
        <f t="shared" si="73"/>
        <v>0</v>
      </c>
      <c r="S1898" s="177"/>
      <c r="T1898" s="182"/>
      <c r="U1898" s="177"/>
      <c r="V1898" s="177"/>
      <c r="W1898" s="177"/>
      <c r="X1898" s="176"/>
      <c r="Y1898" s="177"/>
      <c r="Z1898" s="415"/>
      <c r="AA1898" s="488"/>
      <c r="AB1898" s="594"/>
      <c r="AC1898" s="595"/>
      <c r="AD1898" s="596" t="str">
        <f>IF(AND(AC1898&lt;&gt;"",S1898&lt;&gt;""),NETWORKDAYS(AC1898,S1898,#REF!),"")</f>
        <v/>
      </c>
      <c r="AE1898" s="596" t="str">
        <f ca="1">IF(AND(AD1898="",AC1898=""),"",IF(OR(AD1898&lt;&gt;"",O1898="*CANCELADO"),"",NETWORKDAYS(AC1898,TODAY(),#REF!)))</f>
        <v/>
      </c>
      <c r="AF1898" s="619"/>
    </row>
    <row r="1899" spans="1:32" ht="14.25" customHeight="1">
      <c r="A1899" s="176"/>
      <c r="B1899" s="176"/>
      <c r="C1899" s="177"/>
      <c r="D1899" s="176"/>
      <c r="E1899" s="176"/>
      <c r="F1899" s="259"/>
      <c r="G1899" s="176"/>
      <c r="H1899" s="178"/>
      <c r="I1899" s="592">
        <f t="shared" si="74"/>
        <v>0</v>
      </c>
      <c r="J1899" s="178"/>
      <c r="K1899" s="178"/>
      <c r="L1899" s="275" t="str">
        <f>IF(H:H=0,"",IF(ISERROR(VLOOKUP(H:H,produtos_escape2!$A$2:$B$2794,2,FALSE)),"Código não cadastrado",(VLOOKUP(H:H,produtos_escape2!$A$2:$B$2794,2,FALSE))))</f>
        <v/>
      </c>
      <c r="M1899" s="593" t="str">
        <f>IF(H:H=0,"",IF(ISERROR(VLOOKUP(H:H,produtos_escape2!$A$2:$D$2794,2,FALSE)),"Código não cadastrado",(VLOOKUP(H:H,produtos_escape2!$A$2:$D$2794,4,FALSE))))</f>
        <v/>
      </c>
      <c r="N1899" s="486"/>
      <c r="O1899" s="176"/>
      <c r="P1899" s="486"/>
      <c r="Q1899" s="247"/>
      <c r="R1899" s="246">
        <f t="shared" si="73"/>
        <v>0</v>
      </c>
      <c r="S1899" s="177"/>
      <c r="T1899" s="182"/>
      <c r="U1899" s="177"/>
      <c r="V1899" s="177"/>
      <c r="W1899" s="177"/>
      <c r="X1899" s="176"/>
      <c r="Y1899" s="177"/>
      <c r="Z1899" s="415"/>
      <c r="AA1899" s="488"/>
      <c r="AB1899" s="594"/>
      <c r="AC1899" s="595"/>
      <c r="AD1899" s="596" t="str">
        <f>IF(AND(AC1899&lt;&gt;"",S1899&lt;&gt;""),NETWORKDAYS(AC1899,S1899,#REF!),"")</f>
        <v/>
      </c>
      <c r="AE1899" s="596" t="str">
        <f ca="1">IF(AND(AD1899="",AC1899=""),"",IF(OR(AD1899&lt;&gt;"",O1899="*CANCELADO"),"",NETWORKDAYS(AC1899,TODAY(),#REF!)))</f>
        <v/>
      </c>
      <c r="AF1899" s="619"/>
    </row>
    <row r="1900" spans="1:32" ht="14.25" customHeight="1">
      <c r="A1900" s="176"/>
      <c r="B1900" s="176"/>
      <c r="C1900" s="177"/>
      <c r="D1900" s="176"/>
      <c r="E1900" s="176"/>
      <c r="F1900" s="259"/>
      <c r="G1900" s="176"/>
      <c r="H1900" s="178"/>
      <c r="I1900" s="592">
        <f t="shared" si="74"/>
        <v>0</v>
      </c>
      <c r="J1900" s="178"/>
      <c r="K1900" s="178"/>
      <c r="L1900" s="275" t="str">
        <f>IF(H:H=0,"",IF(ISERROR(VLOOKUP(H:H,produtos_escape2!$A$2:$B$2794,2,FALSE)),"Código não cadastrado",(VLOOKUP(H:H,produtos_escape2!$A$2:$B$2794,2,FALSE))))</f>
        <v/>
      </c>
      <c r="M1900" s="593" t="str">
        <f>IF(H:H=0,"",IF(ISERROR(VLOOKUP(H:H,produtos_escape2!$A$2:$D$2794,2,FALSE)),"Código não cadastrado",(VLOOKUP(H:H,produtos_escape2!$A$2:$D$2794,4,FALSE))))</f>
        <v/>
      </c>
      <c r="N1900" s="486"/>
      <c r="O1900" s="176"/>
      <c r="P1900" s="486"/>
      <c r="Q1900" s="247"/>
      <c r="R1900" s="246">
        <f t="shared" si="73"/>
        <v>0</v>
      </c>
      <c r="S1900" s="177"/>
      <c r="T1900" s="182"/>
      <c r="U1900" s="177"/>
      <c r="V1900" s="177"/>
      <c r="W1900" s="177"/>
      <c r="X1900" s="176"/>
      <c r="Y1900" s="177"/>
      <c r="Z1900" s="415"/>
      <c r="AA1900" s="488"/>
      <c r="AB1900" s="594"/>
      <c r="AC1900" s="595"/>
      <c r="AD1900" s="596" t="str">
        <f>IF(AND(AC1900&lt;&gt;"",S1900&lt;&gt;""),NETWORKDAYS(AC1900,S1900,#REF!),"")</f>
        <v/>
      </c>
      <c r="AE1900" s="596" t="str">
        <f ca="1">IF(AND(AD1900="",AC1900=""),"",IF(OR(AD1900&lt;&gt;"",O1900="*CANCELADO"),"",NETWORKDAYS(AC1900,TODAY(),#REF!)))</f>
        <v/>
      </c>
      <c r="AF1900" s="619"/>
    </row>
    <row r="1901" spans="1:32" ht="14.25" customHeight="1">
      <c r="A1901" s="176"/>
      <c r="B1901" s="176"/>
      <c r="C1901" s="177"/>
      <c r="D1901" s="176"/>
      <c r="E1901" s="176"/>
      <c r="F1901" s="259"/>
      <c r="G1901" s="176"/>
      <c r="H1901" s="178"/>
      <c r="I1901" s="592">
        <f t="shared" si="74"/>
        <v>0</v>
      </c>
      <c r="J1901" s="178"/>
      <c r="K1901" s="178"/>
      <c r="L1901" s="275" t="str">
        <f>IF(H:H=0,"",IF(ISERROR(VLOOKUP(H:H,produtos_escape2!$A$2:$B$2794,2,FALSE)),"Código não cadastrado",(VLOOKUP(H:H,produtos_escape2!$A$2:$B$2794,2,FALSE))))</f>
        <v/>
      </c>
      <c r="M1901" s="593" t="str">
        <f>IF(H:H=0,"",IF(ISERROR(VLOOKUP(H:H,produtos_escape2!$A$2:$D$2794,2,FALSE)),"Código não cadastrado",(VLOOKUP(H:H,produtos_escape2!$A$2:$D$2794,4,FALSE))))</f>
        <v/>
      </c>
      <c r="N1901" s="486"/>
      <c r="O1901" s="176"/>
      <c r="P1901" s="486"/>
      <c r="Q1901" s="247"/>
      <c r="R1901" s="246">
        <f t="shared" ref="R1901:R1964" si="75">P1901*Q1901</f>
        <v>0</v>
      </c>
      <c r="S1901" s="177"/>
      <c r="T1901" s="182"/>
      <c r="U1901" s="177"/>
      <c r="V1901" s="177"/>
      <c r="W1901" s="177"/>
      <c r="X1901" s="176"/>
      <c r="Y1901" s="177"/>
      <c r="Z1901" s="415"/>
      <c r="AA1901" s="488"/>
      <c r="AB1901" s="594"/>
      <c r="AC1901" s="595"/>
      <c r="AD1901" s="596" t="str">
        <f>IF(AND(AC1901&lt;&gt;"",S1901&lt;&gt;""),NETWORKDAYS(AC1901,S1901,#REF!),"")</f>
        <v/>
      </c>
      <c r="AE1901" s="596" t="str">
        <f ca="1">IF(AND(AD1901="",AC1901=""),"",IF(OR(AD1901&lt;&gt;"",O1901="*CANCELADO"),"",NETWORKDAYS(AC1901,TODAY(),#REF!)))</f>
        <v/>
      </c>
      <c r="AF1901" s="619"/>
    </row>
    <row r="1902" spans="1:32" ht="14.25" customHeight="1">
      <c r="A1902" s="176"/>
      <c r="B1902" s="176"/>
      <c r="C1902" s="177"/>
      <c r="D1902" s="176"/>
      <c r="E1902" s="176"/>
      <c r="F1902" s="259"/>
      <c r="G1902" s="176"/>
      <c r="H1902" s="178"/>
      <c r="I1902" s="592">
        <f t="shared" si="74"/>
        <v>0</v>
      </c>
      <c r="J1902" s="178"/>
      <c r="K1902" s="178"/>
      <c r="L1902" s="275" t="str">
        <f>IF(H:H=0,"",IF(ISERROR(VLOOKUP(H:H,produtos_escape2!$A$2:$B$2794,2,FALSE)),"Código não cadastrado",(VLOOKUP(H:H,produtos_escape2!$A$2:$B$2794,2,FALSE))))</f>
        <v/>
      </c>
      <c r="M1902" s="593" t="str">
        <f>IF(H:H=0,"",IF(ISERROR(VLOOKUP(H:H,produtos_escape2!$A$2:$D$2794,2,FALSE)),"Código não cadastrado",(VLOOKUP(H:H,produtos_escape2!$A$2:$D$2794,4,FALSE))))</f>
        <v/>
      </c>
      <c r="N1902" s="486"/>
      <c r="O1902" s="176"/>
      <c r="P1902" s="486"/>
      <c r="Q1902" s="247"/>
      <c r="R1902" s="246">
        <f t="shared" si="75"/>
        <v>0</v>
      </c>
      <c r="S1902" s="177"/>
      <c r="T1902" s="182"/>
      <c r="U1902" s="177"/>
      <c r="V1902" s="177"/>
      <c r="W1902" s="177"/>
      <c r="X1902" s="176"/>
      <c r="Y1902" s="177"/>
      <c r="Z1902" s="415"/>
      <c r="AA1902" s="488"/>
      <c r="AB1902" s="594"/>
      <c r="AC1902" s="595"/>
      <c r="AD1902" s="596" t="str">
        <f>IF(AND(AC1902&lt;&gt;"",S1902&lt;&gt;""),NETWORKDAYS(AC1902,S1902,#REF!),"")</f>
        <v/>
      </c>
      <c r="AE1902" s="596" t="str">
        <f ca="1">IF(AND(AD1902="",AC1902=""),"",IF(OR(AD1902&lt;&gt;"",O1902="*CANCELADO"),"",NETWORKDAYS(AC1902,TODAY(),#REF!)))</f>
        <v/>
      </c>
      <c r="AF1902" s="619"/>
    </row>
    <row r="1903" spans="1:32" ht="14.25" customHeight="1">
      <c r="A1903" s="176"/>
      <c r="B1903" s="176"/>
      <c r="C1903" s="177"/>
      <c r="D1903" s="176"/>
      <c r="E1903" s="176"/>
      <c r="F1903" s="259"/>
      <c r="G1903" s="176"/>
      <c r="H1903" s="178"/>
      <c r="I1903" s="592">
        <f t="shared" si="74"/>
        <v>0</v>
      </c>
      <c r="J1903" s="178"/>
      <c r="K1903" s="178"/>
      <c r="L1903" s="275" t="str">
        <f>IF(H:H=0,"",IF(ISERROR(VLOOKUP(H:H,produtos_escape2!$A$2:$B$2794,2,FALSE)),"Código não cadastrado",(VLOOKUP(H:H,produtos_escape2!$A$2:$B$2794,2,FALSE))))</f>
        <v/>
      </c>
      <c r="M1903" s="593" t="str">
        <f>IF(H:H=0,"",IF(ISERROR(VLOOKUP(H:H,produtos_escape2!$A$2:$D$2794,2,FALSE)),"Código não cadastrado",(VLOOKUP(H:H,produtos_escape2!$A$2:$D$2794,4,FALSE))))</f>
        <v/>
      </c>
      <c r="N1903" s="486"/>
      <c r="O1903" s="176"/>
      <c r="P1903" s="486"/>
      <c r="Q1903" s="247"/>
      <c r="R1903" s="246">
        <f t="shared" si="75"/>
        <v>0</v>
      </c>
      <c r="S1903" s="177"/>
      <c r="T1903" s="182"/>
      <c r="U1903" s="177"/>
      <c r="V1903" s="177"/>
      <c r="W1903" s="177"/>
      <c r="X1903" s="176"/>
      <c r="Y1903" s="177"/>
      <c r="Z1903" s="415"/>
      <c r="AA1903" s="488"/>
      <c r="AB1903" s="594"/>
      <c r="AC1903" s="595"/>
      <c r="AD1903" s="596" t="str">
        <f>IF(AND(AC1903&lt;&gt;"",S1903&lt;&gt;""),NETWORKDAYS(AC1903,S1903,#REF!),"")</f>
        <v/>
      </c>
      <c r="AE1903" s="596" t="str">
        <f ca="1">IF(AND(AD1903="",AC1903=""),"",IF(OR(AD1903&lt;&gt;"",O1903="*CANCELADO"),"",NETWORKDAYS(AC1903,TODAY(),#REF!)))</f>
        <v/>
      </c>
      <c r="AF1903" s="619"/>
    </row>
    <row r="1904" spans="1:32" ht="14.25" customHeight="1">
      <c r="A1904" s="176"/>
      <c r="B1904" s="176"/>
      <c r="C1904" s="177"/>
      <c r="D1904" s="176"/>
      <c r="E1904" s="176"/>
      <c r="F1904" s="259"/>
      <c r="G1904" s="176"/>
      <c r="H1904" s="178"/>
      <c r="I1904" s="592">
        <f t="shared" si="74"/>
        <v>0</v>
      </c>
      <c r="J1904" s="178"/>
      <c r="K1904" s="178"/>
      <c r="L1904" s="275" t="str">
        <f>IF(H:H=0,"",IF(ISERROR(VLOOKUP(H:H,produtos_escape2!$A$2:$B$2794,2,FALSE)),"Código não cadastrado",(VLOOKUP(H:H,produtos_escape2!$A$2:$B$2794,2,FALSE))))</f>
        <v/>
      </c>
      <c r="M1904" s="593" t="str">
        <f>IF(H:H=0,"",IF(ISERROR(VLOOKUP(H:H,produtos_escape2!$A$2:$D$2794,2,FALSE)),"Código não cadastrado",(VLOOKUP(H:H,produtos_escape2!$A$2:$D$2794,4,FALSE))))</f>
        <v/>
      </c>
      <c r="N1904" s="486"/>
      <c r="O1904" s="176"/>
      <c r="P1904" s="486"/>
      <c r="Q1904" s="247"/>
      <c r="R1904" s="246">
        <f t="shared" si="75"/>
        <v>0</v>
      </c>
      <c r="S1904" s="177"/>
      <c r="T1904" s="182"/>
      <c r="U1904" s="177"/>
      <c r="V1904" s="177"/>
      <c r="W1904" s="177"/>
      <c r="X1904" s="176"/>
      <c r="Y1904" s="177"/>
      <c r="Z1904" s="415"/>
      <c r="AA1904" s="488"/>
      <c r="AB1904" s="594"/>
      <c r="AC1904" s="595"/>
      <c r="AD1904" s="596" t="str">
        <f>IF(AND(AC1904&lt;&gt;"",S1904&lt;&gt;""),NETWORKDAYS(AC1904,S1904,#REF!),"")</f>
        <v/>
      </c>
      <c r="AE1904" s="596" t="str">
        <f ca="1">IF(AND(AD1904="",AC1904=""),"",IF(OR(AD1904&lt;&gt;"",O1904="*CANCELADO"),"",NETWORKDAYS(AC1904,TODAY(),#REF!)))</f>
        <v/>
      </c>
      <c r="AF1904" s="619"/>
    </row>
    <row r="1905" spans="1:32" ht="14.25" customHeight="1">
      <c r="A1905" s="176"/>
      <c r="B1905" s="176"/>
      <c r="C1905" s="177"/>
      <c r="D1905" s="176"/>
      <c r="E1905" s="176"/>
      <c r="F1905" s="259"/>
      <c r="G1905" s="176"/>
      <c r="H1905" s="178"/>
      <c r="I1905" s="592">
        <f t="shared" si="74"/>
        <v>0</v>
      </c>
      <c r="J1905" s="178"/>
      <c r="K1905" s="178"/>
      <c r="L1905" s="275" t="str">
        <f>IF(H:H=0,"",IF(ISERROR(VLOOKUP(H:H,produtos_escape2!$A$2:$B$2794,2,FALSE)),"Código não cadastrado",(VLOOKUP(H:H,produtos_escape2!$A$2:$B$2794,2,FALSE))))</f>
        <v/>
      </c>
      <c r="M1905" s="593" t="str">
        <f>IF(H:H=0,"",IF(ISERROR(VLOOKUP(H:H,produtos_escape2!$A$2:$D$2794,2,FALSE)),"Código não cadastrado",(VLOOKUP(H:H,produtos_escape2!$A$2:$D$2794,4,FALSE))))</f>
        <v/>
      </c>
      <c r="N1905" s="486"/>
      <c r="O1905" s="176"/>
      <c r="P1905" s="486"/>
      <c r="Q1905" s="247"/>
      <c r="R1905" s="246">
        <f t="shared" si="75"/>
        <v>0</v>
      </c>
      <c r="S1905" s="177"/>
      <c r="T1905" s="182"/>
      <c r="U1905" s="177"/>
      <c r="V1905" s="177"/>
      <c r="W1905" s="177"/>
      <c r="X1905" s="176"/>
      <c r="Y1905" s="177"/>
      <c r="Z1905" s="415"/>
      <c r="AA1905" s="488"/>
      <c r="AB1905" s="594"/>
      <c r="AC1905" s="595"/>
      <c r="AD1905" s="596" t="str">
        <f>IF(AND(AC1905&lt;&gt;"",S1905&lt;&gt;""),NETWORKDAYS(AC1905,S1905,#REF!),"")</f>
        <v/>
      </c>
      <c r="AE1905" s="596" t="str">
        <f ca="1">IF(AND(AD1905="",AC1905=""),"",IF(OR(AD1905&lt;&gt;"",O1905="*CANCELADO"),"",NETWORKDAYS(AC1905,TODAY(),#REF!)))</f>
        <v/>
      </c>
      <c r="AF1905" s="619"/>
    </row>
    <row r="1906" spans="1:32" ht="14.25" customHeight="1">
      <c r="A1906" s="176"/>
      <c r="B1906" s="176"/>
      <c r="C1906" s="177"/>
      <c r="D1906" s="176"/>
      <c r="E1906" s="176"/>
      <c r="F1906" s="259"/>
      <c r="G1906" s="176"/>
      <c r="H1906" s="178"/>
      <c r="I1906" s="592">
        <f t="shared" si="74"/>
        <v>0</v>
      </c>
      <c r="J1906" s="178"/>
      <c r="K1906" s="178"/>
      <c r="L1906" s="275" t="str">
        <f>IF(H:H=0,"",IF(ISERROR(VLOOKUP(H:H,produtos_escape2!$A$2:$B$2794,2,FALSE)),"Código não cadastrado",(VLOOKUP(H:H,produtos_escape2!$A$2:$B$2794,2,FALSE))))</f>
        <v/>
      </c>
      <c r="M1906" s="593" t="str">
        <f>IF(H:H=0,"",IF(ISERROR(VLOOKUP(H:H,produtos_escape2!$A$2:$D$2794,2,FALSE)),"Código não cadastrado",(VLOOKUP(H:H,produtos_escape2!$A$2:$D$2794,4,FALSE))))</f>
        <v/>
      </c>
      <c r="N1906" s="486"/>
      <c r="O1906" s="176"/>
      <c r="P1906" s="486"/>
      <c r="Q1906" s="247"/>
      <c r="R1906" s="246">
        <f t="shared" si="75"/>
        <v>0</v>
      </c>
      <c r="S1906" s="177"/>
      <c r="T1906" s="182"/>
      <c r="U1906" s="177"/>
      <c r="V1906" s="177"/>
      <c r="W1906" s="177"/>
      <c r="X1906" s="176"/>
      <c r="Y1906" s="177"/>
      <c r="Z1906" s="415"/>
      <c r="AA1906" s="488"/>
      <c r="AB1906" s="594"/>
      <c r="AC1906" s="595"/>
      <c r="AD1906" s="596" t="str">
        <f>IF(AND(AC1906&lt;&gt;"",S1906&lt;&gt;""),NETWORKDAYS(AC1906,S1906,#REF!),"")</f>
        <v/>
      </c>
      <c r="AE1906" s="596" t="str">
        <f ca="1">IF(AND(AD1906="",AC1906=""),"",IF(OR(AD1906&lt;&gt;"",O1906="*CANCELADO"),"",NETWORKDAYS(AC1906,TODAY(),#REF!)))</f>
        <v/>
      </c>
      <c r="AF1906" s="619"/>
    </row>
    <row r="1907" spans="1:32" ht="14.25" customHeight="1">
      <c r="A1907" s="176"/>
      <c r="B1907" s="176"/>
      <c r="C1907" s="177"/>
      <c r="D1907" s="176"/>
      <c r="E1907" s="176"/>
      <c r="F1907" s="259"/>
      <c r="G1907" s="176"/>
      <c r="H1907" s="178"/>
      <c r="I1907" s="592">
        <f t="shared" si="74"/>
        <v>0</v>
      </c>
      <c r="J1907" s="178"/>
      <c r="K1907" s="178"/>
      <c r="L1907" s="275" t="str">
        <f>IF(H:H=0,"",IF(ISERROR(VLOOKUP(H:H,produtos_escape2!$A$2:$B$2794,2,FALSE)),"Código não cadastrado",(VLOOKUP(H:H,produtos_escape2!$A$2:$B$2794,2,FALSE))))</f>
        <v/>
      </c>
      <c r="M1907" s="593" t="str">
        <f>IF(H:H=0,"",IF(ISERROR(VLOOKUP(H:H,produtos_escape2!$A$2:$D$2794,2,FALSE)),"Código não cadastrado",(VLOOKUP(H:H,produtos_escape2!$A$2:$D$2794,4,FALSE))))</f>
        <v/>
      </c>
      <c r="N1907" s="486"/>
      <c r="O1907" s="176"/>
      <c r="P1907" s="486"/>
      <c r="Q1907" s="247"/>
      <c r="R1907" s="246">
        <f t="shared" si="75"/>
        <v>0</v>
      </c>
      <c r="S1907" s="177"/>
      <c r="T1907" s="182"/>
      <c r="U1907" s="177"/>
      <c r="V1907" s="177"/>
      <c r="W1907" s="177"/>
      <c r="X1907" s="176"/>
      <c r="Y1907" s="177"/>
      <c r="Z1907" s="415"/>
      <c r="AA1907" s="488"/>
      <c r="AB1907" s="594"/>
      <c r="AC1907" s="595"/>
      <c r="AD1907" s="596" t="str">
        <f>IF(AND(AC1907&lt;&gt;"",S1907&lt;&gt;""),NETWORKDAYS(AC1907,S1907,#REF!),"")</f>
        <v/>
      </c>
      <c r="AE1907" s="596" t="str">
        <f ca="1">IF(AND(AD1907="",AC1907=""),"",IF(OR(AD1907&lt;&gt;"",O1907="*CANCELADO"),"",NETWORKDAYS(AC1907,TODAY(),#REF!)))</f>
        <v/>
      </c>
      <c r="AF1907" s="619"/>
    </row>
    <row r="1908" spans="1:32" ht="14.25" customHeight="1">
      <c r="A1908" s="176"/>
      <c r="B1908" s="176"/>
      <c r="C1908" s="177"/>
      <c r="D1908" s="176"/>
      <c r="E1908" s="176"/>
      <c r="F1908" s="259"/>
      <c r="G1908" s="176"/>
      <c r="H1908" s="178"/>
      <c r="I1908" s="592">
        <f t="shared" si="74"/>
        <v>0</v>
      </c>
      <c r="J1908" s="178"/>
      <c r="K1908" s="178"/>
      <c r="L1908" s="275" t="str">
        <f>IF(H:H=0,"",IF(ISERROR(VLOOKUP(H:H,produtos_escape2!$A$2:$B$2794,2,FALSE)),"Código não cadastrado",(VLOOKUP(H:H,produtos_escape2!$A$2:$B$2794,2,FALSE))))</f>
        <v/>
      </c>
      <c r="M1908" s="593" t="str">
        <f>IF(H:H=0,"",IF(ISERROR(VLOOKUP(H:H,produtos_escape2!$A$2:$D$2794,2,FALSE)),"Código não cadastrado",(VLOOKUP(H:H,produtos_escape2!$A$2:$D$2794,4,FALSE))))</f>
        <v/>
      </c>
      <c r="N1908" s="486"/>
      <c r="O1908" s="176"/>
      <c r="P1908" s="486"/>
      <c r="Q1908" s="247"/>
      <c r="R1908" s="246">
        <f t="shared" si="75"/>
        <v>0</v>
      </c>
      <c r="S1908" s="177"/>
      <c r="T1908" s="182"/>
      <c r="U1908" s="177"/>
      <c r="V1908" s="177"/>
      <c r="W1908" s="177"/>
      <c r="X1908" s="176"/>
      <c r="Y1908" s="177"/>
      <c r="Z1908" s="415"/>
      <c r="AA1908" s="488"/>
      <c r="AB1908" s="594"/>
      <c r="AC1908" s="595"/>
      <c r="AD1908" s="596" t="str">
        <f>IF(AND(AC1908&lt;&gt;"",S1908&lt;&gt;""),NETWORKDAYS(AC1908,S1908,#REF!),"")</f>
        <v/>
      </c>
      <c r="AE1908" s="596" t="str">
        <f ca="1">IF(AND(AD1908="",AC1908=""),"",IF(OR(AD1908&lt;&gt;"",O1908="*CANCELADO"),"",NETWORKDAYS(AC1908,TODAY(),#REF!)))</f>
        <v/>
      </c>
      <c r="AF1908" s="619"/>
    </row>
    <row r="1909" spans="1:32" ht="14.25" customHeight="1">
      <c r="A1909" s="176"/>
      <c r="B1909" s="176"/>
      <c r="C1909" s="177"/>
      <c r="D1909" s="176"/>
      <c r="E1909" s="176"/>
      <c r="F1909" s="259"/>
      <c r="G1909" s="176"/>
      <c r="H1909" s="178"/>
      <c r="I1909" s="592">
        <f t="shared" si="74"/>
        <v>0</v>
      </c>
      <c r="J1909" s="178"/>
      <c r="K1909" s="178"/>
      <c r="L1909" s="275" t="str">
        <f>IF(H:H=0,"",IF(ISERROR(VLOOKUP(H:H,produtos_escape2!$A$2:$B$2794,2,FALSE)),"Código não cadastrado",(VLOOKUP(H:H,produtos_escape2!$A$2:$B$2794,2,FALSE))))</f>
        <v/>
      </c>
      <c r="M1909" s="593" t="str">
        <f>IF(H:H=0,"",IF(ISERROR(VLOOKUP(H:H,produtos_escape2!$A$2:$D$2794,2,FALSE)),"Código não cadastrado",(VLOOKUP(H:H,produtos_escape2!$A$2:$D$2794,4,FALSE))))</f>
        <v/>
      </c>
      <c r="N1909" s="486"/>
      <c r="O1909" s="176"/>
      <c r="P1909" s="486"/>
      <c r="Q1909" s="247"/>
      <c r="R1909" s="246">
        <f t="shared" si="75"/>
        <v>0</v>
      </c>
      <c r="S1909" s="177"/>
      <c r="T1909" s="182"/>
      <c r="U1909" s="177"/>
      <c r="V1909" s="177"/>
      <c r="W1909" s="177"/>
      <c r="X1909" s="176"/>
      <c r="Y1909" s="177"/>
      <c r="Z1909" s="415"/>
      <c r="AA1909" s="488"/>
      <c r="AB1909" s="594"/>
      <c r="AC1909" s="595"/>
      <c r="AD1909" s="596" t="str">
        <f>IF(AND(AC1909&lt;&gt;"",S1909&lt;&gt;""),NETWORKDAYS(AC1909,S1909,#REF!),"")</f>
        <v/>
      </c>
      <c r="AE1909" s="596" t="str">
        <f ca="1">IF(AND(AD1909="",AC1909=""),"",IF(OR(AD1909&lt;&gt;"",O1909="*CANCELADO"),"",NETWORKDAYS(AC1909,TODAY(),#REF!)))</f>
        <v/>
      </c>
      <c r="AF1909" s="619"/>
    </row>
    <row r="1910" spans="1:32" ht="14.25" customHeight="1">
      <c r="A1910" s="176"/>
      <c r="B1910" s="176"/>
      <c r="C1910" s="177"/>
      <c r="D1910" s="176"/>
      <c r="E1910" s="176"/>
      <c r="F1910" s="259"/>
      <c r="G1910" s="176"/>
      <c r="H1910" s="178"/>
      <c r="I1910" s="592">
        <f t="shared" ref="I1910:I1973" si="76">COUNTIF($H$3:$H$3041,H1910)</f>
        <v>0</v>
      </c>
      <c r="J1910" s="178"/>
      <c r="K1910" s="178"/>
      <c r="L1910" s="275" t="str">
        <f>IF(H:H=0,"",IF(ISERROR(VLOOKUP(H:H,produtos_escape2!$A$2:$B$2794,2,FALSE)),"Código não cadastrado",(VLOOKUP(H:H,produtos_escape2!$A$2:$B$2794,2,FALSE))))</f>
        <v/>
      </c>
      <c r="M1910" s="593" t="str">
        <f>IF(H:H=0,"",IF(ISERROR(VLOOKUP(H:H,produtos_escape2!$A$2:$D$2794,2,FALSE)),"Código não cadastrado",(VLOOKUP(H:H,produtos_escape2!$A$2:$D$2794,4,FALSE))))</f>
        <v/>
      </c>
      <c r="N1910" s="486"/>
      <c r="O1910" s="176"/>
      <c r="P1910" s="486"/>
      <c r="Q1910" s="247"/>
      <c r="R1910" s="246">
        <f t="shared" si="75"/>
        <v>0</v>
      </c>
      <c r="S1910" s="177"/>
      <c r="T1910" s="182"/>
      <c r="U1910" s="177"/>
      <c r="V1910" s="177"/>
      <c r="W1910" s="177"/>
      <c r="X1910" s="176"/>
      <c r="Y1910" s="177"/>
      <c r="Z1910" s="415"/>
      <c r="AA1910" s="488"/>
      <c r="AB1910" s="594"/>
      <c r="AC1910" s="595"/>
      <c r="AD1910" s="596" t="str">
        <f>IF(AND(AC1910&lt;&gt;"",S1910&lt;&gt;""),NETWORKDAYS(AC1910,S1910,#REF!),"")</f>
        <v/>
      </c>
      <c r="AE1910" s="596" t="str">
        <f ca="1">IF(AND(AD1910="",AC1910=""),"",IF(OR(AD1910&lt;&gt;"",O1910="*CANCELADO"),"",NETWORKDAYS(AC1910,TODAY(),#REF!)))</f>
        <v/>
      </c>
      <c r="AF1910" s="619"/>
    </row>
    <row r="1911" spans="1:32" ht="14.25" customHeight="1">
      <c r="A1911" s="176"/>
      <c r="B1911" s="176"/>
      <c r="C1911" s="177"/>
      <c r="D1911" s="176"/>
      <c r="E1911" s="176"/>
      <c r="F1911" s="259"/>
      <c r="G1911" s="176"/>
      <c r="H1911" s="178"/>
      <c r="I1911" s="592">
        <f t="shared" si="76"/>
        <v>0</v>
      </c>
      <c r="J1911" s="178"/>
      <c r="K1911" s="178"/>
      <c r="L1911" s="275" t="str">
        <f>IF(H:H=0,"",IF(ISERROR(VLOOKUP(H:H,produtos_escape2!$A$2:$B$2794,2,FALSE)),"Código não cadastrado",(VLOOKUP(H:H,produtos_escape2!$A$2:$B$2794,2,FALSE))))</f>
        <v/>
      </c>
      <c r="M1911" s="593" t="str">
        <f>IF(H:H=0,"",IF(ISERROR(VLOOKUP(H:H,produtos_escape2!$A$2:$D$2794,2,FALSE)),"Código não cadastrado",(VLOOKUP(H:H,produtos_escape2!$A$2:$D$2794,4,FALSE))))</f>
        <v/>
      </c>
      <c r="N1911" s="486"/>
      <c r="O1911" s="176"/>
      <c r="P1911" s="486"/>
      <c r="Q1911" s="247"/>
      <c r="R1911" s="246">
        <f t="shared" si="75"/>
        <v>0</v>
      </c>
      <c r="S1911" s="177"/>
      <c r="T1911" s="182"/>
      <c r="U1911" s="177"/>
      <c r="V1911" s="177"/>
      <c r="W1911" s="177"/>
      <c r="X1911" s="176"/>
      <c r="Y1911" s="177"/>
      <c r="Z1911" s="415"/>
      <c r="AA1911" s="488"/>
      <c r="AB1911" s="594"/>
      <c r="AC1911" s="595"/>
      <c r="AD1911" s="596" t="str">
        <f>IF(AND(AC1911&lt;&gt;"",S1911&lt;&gt;""),NETWORKDAYS(AC1911,S1911,#REF!),"")</f>
        <v/>
      </c>
      <c r="AE1911" s="596" t="str">
        <f ca="1">IF(AND(AD1911="",AC1911=""),"",IF(OR(AD1911&lt;&gt;"",O1911="*CANCELADO"),"",NETWORKDAYS(AC1911,TODAY(),#REF!)))</f>
        <v/>
      </c>
      <c r="AF1911" s="619"/>
    </row>
    <row r="1912" spans="1:32" ht="14.25" customHeight="1">
      <c r="A1912" s="176"/>
      <c r="B1912" s="176"/>
      <c r="C1912" s="177"/>
      <c r="D1912" s="176"/>
      <c r="E1912" s="176"/>
      <c r="F1912" s="259"/>
      <c r="G1912" s="176"/>
      <c r="H1912" s="178"/>
      <c r="I1912" s="592">
        <f t="shared" si="76"/>
        <v>0</v>
      </c>
      <c r="J1912" s="178"/>
      <c r="K1912" s="178"/>
      <c r="L1912" s="275" t="str">
        <f>IF(H:H=0,"",IF(ISERROR(VLOOKUP(H:H,produtos_escape2!$A$2:$B$2794,2,FALSE)),"Código não cadastrado",(VLOOKUP(H:H,produtos_escape2!$A$2:$B$2794,2,FALSE))))</f>
        <v/>
      </c>
      <c r="M1912" s="593" t="str">
        <f>IF(H:H=0,"",IF(ISERROR(VLOOKUP(H:H,produtos_escape2!$A$2:$D$2794,2,FALSE)),"Código não cadastrado",(VLOOKUP(H:H,produtos_escape2!$A$2:$D$2794,4,FALSE))))</f>
        <v/>
      </c>
      <c r="N1912" s="486"/>
      <c r="O1912" s="176"/>
      <c r="P1912" s="486"/>
      <c r="Q1912" s="247"/>
      <c r="R1912" s="246">
        <f t="shared" si="75"/>
        <v>0</v>
      </c>
      <c r="S1912" s="177"/>
      <c r="T1912" s="182"/>
      <c r="U1912" s="177"/>
      <c r="V1912" s="177"/>
      <c r="W1912" s="177"/>
      <c r="X1912" s="176"/>
      <c r="Y1912" s="177"/>
      <c r="Z1912" s="415"/>
      <c r="AA1912" s="488"/>
      <c r="AB1912" s="594"/>
      <c r="AC1912" s="595"/>
      <c r="AD1912" s="596" t="str">
        <f>IF(AND(AC1912&lt;&gt;"",S1912&lt;&gt;""),NETWORKDAYS(AC1912,S1912,#REF!),"")</f>
        <v/>
      </c>
      <c r="AE1912" s="596" t="str">
        <f ca="1">IF(AND(AD1912="",AC1912=""),"",IF(OR(AD1912&lt;&gt;"",O1912="*CANCELADO"),"",NETWORKDAYS(AC1912,TODAY(),#REF!)))</f>
        <v/>
      </c>
      <c r="AF1912" s="619"/>
    </row>
    <row r="1913" spans="1:32" ht="14.25" customHeight="1">
      <c r="A1913" s="176"/>
      <c r="B1913" s="176"/>
      <c r="C1913" s="177"/>
      <c r="D1913" s="176"/>
      <c r="E1913" s="176"/>
      <c r="F1913" s="259"/>
      <c r="G1913" s="176"/>
      <c r="H1913" s="178"/>
      <c r="I1913" s="592">
        <f t="shared" si="76"/>
        <v>0</v>
      </c>
      <c r="J1913" s="178"/>
      <c r="K1913" s="178"/>
      <c r="L1913" s="275" t="str">
        <f>IF(H:H=0,"",IF(ISERROR(VLOOKUP(H:H,produtos_escape2!$A$2:$B$2794,2,FALSE)),"Código não cadastrado",(VLOOKUP(H:H,produtos_escape2!$A$2:$B$2794,2,FALSE))))</f>
        <v/>
      </c>
      <c r="M1913" s="593" t="str">
        <f>IF(H:H=0,"",IF(ISERROR(VLOOKUP(H:H,produtos_escape2!$A$2:$D$2794,2,FALSE)),"Código não cadastrado",(VLOOKUP(H:H,produtos_escape2!$A$2:$D$2794,4,FALSE))))</f>
        <v/>
      </c>
      <c r="N1913" s="486"/>
      <c r="O1913" s="176"/>
      <c r="P1913" s="486"/>
      <c r="Q1913" s="247"/>
      <c r="R1913" s="246">
        <f t="shared" si="75"/>
        <v>0</v>
      </c>
      <c r="S1913" s="177"/>
      <c r="T1913" s="182"/>
      <c r="U1913" s="177"/>
      <c r="V1913" s="177"/>
      <c r="W1913" s="177"/>
      <c r="X1913" s="176"/>
      <c r="Y1913" s="177"/>
      <c r="Z1913" s="415"/>
      <c r="AA1913" s="488"/>
      <c r="AB1913" s="594"/>
      <c r="AC1913" s="595"/>
      <c r="AD1913" s="596" t="str">
        <f>IF(AND(AC1913&lt;&gt;"",S1913&lt;&gt;""),NETWORKDAYS(AC1913,S1913,#REF!),"")</f>
        <v/>
      </c>
      <c r="AE1913" s="596" t="str">
        <f ca="1">IF(AND(AD1913="",AC1913=""),"",IF(OR(AD1913&lt;&gt;"",O1913="*CANCELADO"),"",NETWORKDAYS(AC1913,TODAY(),#REF!)))</f>
        <v/>
      </c>
      <c r="AF1913" s="619"/>
    </row>
    <row r="1914" spans="1:32" ht="14.25" customHeight="1">
      <c r="A1914" s="176"/>
      <c r="B1914" s="176"/>
      <c r="C1914" s="177"/>
      <c r="D1914" s="176"/>
      <c r="E1914" s="176"/>
      <c r="F1914" s="259"/>
      <c r="G1914" s="176"/>
      <c r="H1914" s="178"/>
      <c r="I1914" s="592">
        <f t="shared" si="76"/>
        <v>0</v>
      </c>
      <c r="J1914" s="178"/>
      <c r="K1914" s="178"/>
      <c r="L1914" s="275" t="str">
        <f>IF(H:H=0,"",IF(ISERROR(VLOOKUP(H:H,produtos_escape2!$A$2:$B$2794,2,FALSE)),"Código não cadastrado",(VLOOKUP(H:H,produtos_escape2!$A$2:$B$2794,2,FALSE))))</f>
        <v/>
      </c>
      <c r="M1914" s="593" t="str">
        <f>IF(H:H=0,"",IF(ISERROR(VLOOKUP(H:H,produtos_escape2!$A$2:$D$2794,2,FALSE)),"Código não cadastrado",(VLOOKUP(H:H,produtos_escape2!$A$2:$D$2794,4,FALSE))))</f>
        <v/>
      </c>
      <c r="N1914" s="486"/>
      <c r="O1914" s="176"/>
      <c r="P1914" s="486"/>
      <c r="Q1914" s="247"/>
      <c r="R1914" s="246">
        <f t="shared" si="75"/>
        <v>0</v>
      </c>
      <c r="S1914" s="177"/>
      <c r="T1914" s="182"/>
      <c r="U1914" s="177"/>
      <c r="V1914" s="177"/>
      <c r="W1914" s="177"/>
      <c r="X1914" s="176"/>
      <c r="Y1914" s="177"/>
      <c r="Z1914" s="415"/>
      <c r="AA1914" s="488"/>
      <c r="AB1914" s="594"/>
      <c r="AC1914" s="595"/>
      <c r="AD1914" s="596" t="str">
        <f>IF(AND(AC1914&lt;&gt;"",S1914&lt;&gt;""),NETWORKDAYS(AC1914,S1914,#REF!),"")</f>
        <v/>
      </c>
      <c r="AE1914" s="596" t="str">
        <f ca="1">IF(AND(AD1914="",AC1914=""),"",IF(OR(AD1914&lt;&gt;"",O1914="*CANCELADO"),"",NETWORKDAYS(AC1914,TODAY(),#REF!)))</f>
        <v/>
      </c>
      <c r="AF1914" s="619"/>
    </row>
    <row r="1915" spans="1:32" ht="14.25" customHeight="1">
      <c r="A1915" s="176"/>
      <c r="B1915" s="176"/>
      <c r="C1915" s="177"/>
      <c r="D1915" s="176"/>
      <c r="E1915" s="176"/>
      <c r="F1915" s="259"/>
      <c r="G1915" s="176"/>
      <c r="H1915" s="178"/>
      <c r="I1915" s="592">
        <f t="shared" si="76"/>
        <v>0</v>
      </c>
      <c r="J1915" s="178"/>
      <c r="K1915" s="178"/>
      <c r="L1915" s="275" t="str">
        <f>IF(H:H=0,"",IF(ISERROR(VLOOKUP(H:H,produtos_escape2!$A$2:$B$2794,2,FALSE)),"Código não cadastrado",(VLOOKUP(H:H,produtos_escape2!$A$2:$B$2794,2,FALSE))))</f>
        <v/>
      </c>
      <c r="M1915" s="593" t="str">
        <f>IF(H:H=0,"",IF(ISERROR(VLOOKUP(H:H,produtos_escape2!$A$2:$D$2794,2,FALSE)),"Código não cadastrado",(VLOOKUP(H:H,produtos_escape2!$A$2:$D$2794,4,FALSE))))</f>
        <v/>
      </c>
      <c r="N1915" s="486"/>
      <c r="O1915" s="176"/>
      <c r="P1915" s="486"/>
      <c r="Q1915" s="247"/>
      <c r="R1915" s="246">
        <f t="shared" si="75"/>
        <v>0</v>
      </c>
      <c r="S1915" s="177"/>
      <c r="T1915" s="182"/>
      <c r="U1915" s="177"/>
      <c r="V1915" s="177"/>
      <c r="W1915" s="177"/>
      <c r="X1915" s="176"/>
      <c r="Y1915" s="177"/>
      <c r="Z1915" s="415"/>
      <c r="AA1915" s="488"/>
      <c r="AB1915" s="594"/>
      <c r="AC1915" s="595"/>
      <c r="AD1915" s="596" t="str">
        <f>IF(AND(AC1915&lt;&gt;"",S1915&lt;&gt;""),NETWORKDAYS(AC1915,S1915,#REF!),"")</f>
        <v/>
      </c>
      <c r="AE1915" s="596" t="str">
        <f ca="1">IF(AND(AD1915="",AC1915=""),"",IF(OR(AD1915&lt;&gt;"",O1915="*CANCELADO"),"",NETWORKDAYS(AC1915,TODAY(),#REF!)))</f>
        <v/>
      </c>
      <c r="AF1915" s="619"/>
    </row>
    <row r="1916" spans="1:32" ht="14.25" customHeight="1">
      <c r="A1916" s="176"/>
      <c r="B1916" s="176"/>
      <c r="C1916" s="177"/>
      <c r="D1916" s="176"/>
      <c r="E1916" s="176"/>
      <c r="F1916" s="259"/>
      <c r="G1916" s="176"/>
      <c r="H1916" s="178"/>
      <c r="I1916" s="592">
        <f t="shared" si="76"/>
        <v>0</v>
      </c>
      <c r="J1916" s="178"/>
      <c r="K1916" s="178"/>
      <c r="L1916" s="275" t="str">
        <f>IF(H:H=0,"",IF(ISERROR(VLOOKUP(H:H,produtos_escape2!$A$2:$B$2794,2,FALSE)),"Código não cadastrado",(VLOOKUP(H:H,produtos_escape2!$A$2:$B$2794,2,FALSE))))</f>
        <v/>
      </c>
      <c r="M1916" s="593" t="str">
        <f>IF(H:H=0,"",IF(ISERROR(VLOOKUP(H:H,produtos_escape2!$A$2:$D$2794,2,FALSE)),"Código não cadastrado",(VLOOKUP(H:H,produtos_escape2!$A$2:$D$2794,4,FALSE))))</f>
        <v/>
      </c>
      <c r="N1916" s="486"/>
      <c r="O1916" s="176"/>
      <c r="P1916" s="486"/>
      <c r="Q1916" s="247"/>
      <c r="R1916" s="246">
        <f t="shared" si="75"/>
        <v>0</v>
      </c>
      <c r="S1916" s="177"/>
      <c r="T1916" s="182"/>
      <c r="U1916" s="177"/>
      <c r="V1916" s="177"/>
      <c r="W1916" s="177"/>
      <c r="X1916" s="176"/>
      <c r="Y1916" s="177"/>
      <c r="Z1916" s="415"/>
      <c r="AA1916" s="488"/>
      <c r="AB1916" s="594"/>
      <c r="AC1916" s="595"/>
      <c r="AD1916" s="596" t="str">
        <f>IF(AND(AC1916&lt;&gt;"",S1916&lt;&gt;""),NETWORKDAYS(AC1916,S1916,#REF!),"")</f>
        <v/>
      </c>
      <c r="AE1916" s="596" t="str">
        <f ca="1">IF(AND(AD1916="",AC1916=""),"",IF(OR(AD1916&lt;&gt;"",O1916="*CANCELADO"),"",NETWORKDAYS(AC1916,TODAY(),#REF!)))</f>
        <v/>
      </c>
      <c r="AF1916" s="619"/>
    </row>
    <row r="1917" spans="1:32" ht="14.25" customHeight="1">
      <c r="A1917" s="176"/>
      <c r="B1917" s="176"/>
      <c r="C1917" s="177"/>
      <c r="D1917" s="176"/>
      <c r="E1917" s="176"/>
      <c r="F1917" s="259"/>
      <c r="G1917" s="176"/>
      <c r="H1917" s="178"/>
      <c r="I1917" s="592">
        <f t="shared" si="76"/>
        <v>0</v>
      </c>
      <c r="J1917" s="178"/>
      <c r="K1917" s="178"/>
      <c r="L1917" s="275" t="str">
        <f>IF(H:H=0,"",IF(ISERROR(VLOOKUP(H:H,produtos_escape2!$A$2:$B$2794,2,FALSE)),"Código não cadastrado",(VLOOKUP(H:H,produtos_escape2!$A$2:$B$2794,2,FALSE))))</f>
        <v/>
      </c>
      <c r="M1917" s="593" t="str">
        <f>IF(H:H=0,"",IF(ISERROR(VLOOKUP(H:H,produtos_escape2!$A$2:$D$2794,2,FALSE)),"Código não cadastrado",(VLOOKUP(H:H,produtos_escape2!$A$2:$D$2794,4,FALSE))))</f>
        <v/>
      </c>
      <c r="N1917" s="486"/>
      <c r="O1917" s="176"/>
      <c r="P1917" s="486"/>
      <c r="Q1917" s="247"/>
      <c r="R1917" s="246">
        <f t="shared" si="75"/>
        <v>0</v>
      </c>
      <c r="S1917" s="177"/>
      <c r="T1917" s="182"/>
      <c r="U1917" s="177"/>
      <c r="V1917" s="177"/>
      <c r="W1917" s="177"/>
      <c r="X1917" s="176"/>
      <c r="Y1917" s="177"/>
      <c r="Z1917" s="415"/>
      <c r="AA1917" s="488"/>
      <c r="AB1917" s="594"/>
      <c r="AC1917" s="595"/>
      <c r="AD1917" s="596" t="str">
        <f>IF(AND(AC1917&lt;&gt;"",S1917&lt;&gt;""),NETWORKDAYS(AC1917,S1917,#REF!),"")</f>
        <v/>
      </c>
      <c r="AE1917" s="596" t="str">
        <f ca="1">IF(AND(AD1917="",AC1917=""),"",IF(OR(AD1917&lt;&gt;"",O1917="*CANCELADO"),"",NETWORKDAYS(AC1917,TODAY(),#REF!)))</f>
        <v/>
      </c>
      <c r="AF1917" s="619"/>
    </row>
    <row r="1918" spans="1:32" ht="14.25" customHeight="1">
      <c r="A1918" s="176"/>
      <c r="B1918" s="176"/>
      <c r="C1918" s="177"/>
      <c r="D1918" s="176"/>
      <c r="E1918" s="176"/>
      <c r="F1918" s="259"/>
      <c r="G1918" s="176"/>
      <c r="H1918" s="178"/>
      <c r="I1918" s="592">
        <f t="shared" si="76"/>
        <v>0</v>
      </c>
      <c r="J1918" s="178"/>
      <c r="K1918" s="178"/>
      <c r="L1918" s="275" t="str">
        <f>IF(H:H=0,"",IF(ISERROR(VLOOKUP(H:H,produtos_escape2!$A$2:$B$2794,2,FALSE)),"Código não cadastrado",(VLOOKUP(H:H,produtos_escape2!$A$2:$B$2794,2,FALSE))))</f>
        <v/>
      </c>
      <c r="M1918" s="593" t="str">
        <f>IF(H:H=0,"",IF(ISERROR(VLOOKUP(H:H,produtos_escape2!$A$2:$D$2794,2,FALSE)),"Código não cadastrado",(VLOOKUP(H:H,produtos_escape2!$A$2:$D$2794,4,FALSE))))</f>
        <v/>
      </c>
      <c r="N1918" s="486"/>
      <c r="O1918" s="176"/>
      <c r="P1918" s="486"/>
      <c r="Q1918" s="247"/>
      <c r="R1918" s="246">
        <f t="shared" si="75"/>
        <v>0</v>
      </c>
      <c r="S1918" s="177"/>
      <c r="T1918" s="182"/>
      <c r="U1918" s="177"/>
      <c r="V1918" s="177"/>
      <c r="W1918" s="177"/>
      <c r="X1918" s="176"/>
      <c r="Y1918" s="177"/>
      <c r="Z1918" s="415"/>
      <c r="AA1918" s="488"/>
      <c r="AB1918" s="594"/>
      <c r="AC1918" s="595"/>
      <c r="AD1918" s="596" t="str">
        <f>IF(AND(AC1918&lt;&gt;"",S1918&lt;&gt;""),NETWORKDAYS(AC1918,S1918,#REF!),"")</f>
        <v/>
      </c>
      <c r="AE1918" s="596" t="str">
        <f ca="1">IF(AND(AD1918="",AC1918=""),"",IF(OR(AD1918&lt;&gt;"",O1918="*CANCELADO"),"",NETWORKDAYS(AC1918,TODAY(),#REF!)))</f>
        <v/>
      </c>
      <c r="AF1918" s="619"/>
    </row>
    <row r="1919" spans="1:32" ht="14.25" customHeight="1">
      <c r="A1919" s="176"/>
      <c r="B1919" s="176"/>
      <c r="C1919" s="177"/>
      <c r="D1919" s="176"/>
      <c r="E1919" s="176"/>
      <c r="F1919" s="259"/>
      <c r="G1919" s="176"/>
      <c r="H1919" s="178"/>
      <c r="I1919" s="592">
        <f t="shared" si="76"/>
        <v>0</v>
      </c>
      <c r="J1919" s="178"/>
      <c r="K1919" s="178"/>
      <c r="L1919" s="275" t="str">
        <f>IF(H:H=0,"",IF(ISERROR(VLOOKUP(H:H,produtos_escape2!$A$2:$B$2794,2,FALSE)),"Código não cadastrado",(VLOOKUP(H:H,produtos_escape2!$A$2:$B$2794,2,FALSE))))</f>
        <v/>
      </c>
      <c r="M1919" s="593" t="str">
        <f>IF(H:H=0,"",IF(ISERROR(VLOOKUP(H:H,produtos_escape2!$A$2:$D$2794,2,FALSE)),"Código não cadastrado",(VLOOKUP(H:H,produtos_escape2!$A$2:$D$2794,4,FALSE))))</f>
        <v/>
      </c>
      <c r="N1919" s="486"/>
      <c r="O1919" s="176"/>
      <c r="P1919" s="486"/>
      <c r="Q1919" s="247"/>
      <c r="R1919" s="246">
        <f t="shared" si="75"/>
        <v>0</v>
      </c>
      <c r="S1919" s="177"/>
      <c r="T1919" s="182"/>
      <c r="U1919" s="177"/>
      <c r="V1919" s="177"/>
      <c r="W1919" s="177"/>
      <c r="X1919" s="176"/>
      <c r="Y1919" s="177"/>
      <c r="Z1919" s="415"/>
      <c r="AA1919" s="488"/>
      <c r="AB1919" s="594"/>
      <c r="AC1919" s="595"/>
      <c r="AD1919" s="596" t="str">
        <f>IF(AND(AC1919&lt;&gt;"",S1919&lt;&gt;""),NETWORKDAYS(AC1919,S1919,#REF!),"")</f>
        <v/>
      </c>
      <c r="AE1919" s="596" t="str">
        <f ca="1">IF(AND(AD1919="",AC1919=""),"",IF(OR(AD1919&lt;&gt;"",O1919="*CANCELADO"),"",NETWORKDAYS(AC1919,TODAY(),#REF!)))</f>
        <v/>
      </c>
      <c r="AF1919" s="619"/>
    </row>
    <row r="1920" spans="1:32" ht="14.25" customHeight="1">
      <c r="A1920" s="176"/>
      <c r="B1920" s="176"/>
      <c r="C1920" s="177"/>
      <c r="D1920" s="176"/>
      <c r="E1920" s="176"/>
      <c r="F1920" s="259"/>
      <c r="G1920" s="176"/>
      <c r="H1920" s="178"/>
      <c r="I1920" s="592">
        <f t="shared" si="76"/>
        <v>0</v>
      </c>
      <c r="J1920" s="178"/>
      <c r="K1920" s="178"/>
      <c r="L1920" s="275" t="str">
        <f>IF(H:H=0,"",IF(ISERROR(VLOOKUP(H:H,produtos_escape2!$A$2:$B$2794,2,FALSE)),"Código não cadastrado",(VLOOKUP(H:H,produtos_escape2!$A$2:$B$2794,2,FALSE))))</f>
        <v/>
      </c>
      <c r="M1920" s="593" t="str">
        <f>IF(H:H=0,"",IF(ISERROR(VLOOKUP(H:H,produtos_escape2!$A$2:$D$2794,2,FALSE)),"Código não cadastrado",(VLOOKUP(H:H,produtos_escape2!$A$2:$D$2794,4,FALSE))))</f>
        <v/>
      </c>
      <c r="N1920" s="486"/>
      <c r="O1920" s="176"/>
      <c r="P1920" s="486"/>
      <c r="Q1920" s="247"/>
      <c r="R1920" s="246">
        <f t="shared" si="75"/>
        <v>0</v>
      </c>
      <c r="S1920" s="177"/>
      <c r="T1920" s="182"/>
      <c r="U1920" s="177"/>
      <c r="V1920" s="177"/>
      <c r="W1920" s="177"/>
      <c r="X1920" s="176"/>
      <c r="Y1920" s="177"/>
      <c r="Z1920" s="415"/>
      <c r="AA1920" s="488"/>
      <c r="AB1920" s="594"/>
      <c r="AC1920" s="595"/>
      <c r="AD1920" s="596" t="str">
        <f>IF(AND(AC1920&lt;&gt;"",S1920&lt;&gt;""),NETWORKDAYS(AC1920,S1920,#REF!),"")</f>
        <v/>
      </c>
      <c r="AE1920" s="596" t="str">
        <f ca="1">IF(AND(AD1920="",AC1920=""),"",IF(OR(AD1920&lt;&gt;"",O1920="*CANCELADO"),"",NETWORKDAYS(AC1920,TODAY(),#REF!)))</f>
        <v/>
      </c>
      <c r="AF1920" s="619"/>
    </row>
    <row r="1921" spans="1:32" ht="14.25" customHeight="1">
      <c r="A1921" s="176"/>
      <c r="B1921" s="176"/>
      <c r="C1921" s="177"/>
      <c r="D1921" s="176"/>
      <c r="E1921" s="176"/>
      <c r="F1921" s="259"/>
      <c r="G1921" s="176"/>
      <c r="H1921" s="178"/>
      <c r="I1921" s="592">
        <f t="shared" si="76"/>
        <v>0</v>
      </c>
      <c r="J1921" s="178"/>
      <c r="K1921" s="178"/>
      <c r="L1921" s="275" t="str">
        <f>IF(H:H=0,"",IF(ISERROR(VLOOKUP(H:H,produtos_escape2!$A$2:$B$2794,2,FALSE)),"Código não cadastrado",(VLOOKUP(H:H,produtos_escape2!$A$2:$B$2794,2,FALSE))))</f>
        <v/>
      </c>
      <c r="M1921" s="593" t="str">
        <f>IF(H:H=0,"",IF(ISERROR(VLOOKUP(H:H,produtos_escape2!$A$2:$D$2794,2,FALSE)),"Código não cadastrado",(VLOOKUP(H:H,produtos_escape2!$A$2:$D$2794,4,FALSE))))</f>
        <v/>
      </c>
      <c r="N1921" s="486"/>
      <c r="O1921" s="176"/>
      <c r="P1921" s="486"/>
      <c r="Q1921" s="247"/>
      <c r="R1921" s="246">
        <f t="shared" si="75"/>
        <v>0</v>
      </c>
      <c r="S1921" s="177"/>
      <c r="T1921" s="182"/>
      <c r="U1921" s="177"/>
      <c r="V1921" s="177"/>
      <c r="W1921" s="177"/>
      <c r="X1921" s="176"/>
      <c r="Y1921" s="177"/>
      <c r="Z1921" s="415"/>
      <c r="AA1921" s="488"/>
      <c r="AB1921" s="594"/>
      <c r="AC1921" s="595"/>
      <c r="AD1921" s="596" t="str">
        <f>IF(AND(AC1921&lt;&gt;"",S1921&lt;&gt;""),NETWORKDAYS(AC1921,S1921,#REF!),"")</f>
        <v/>
      </c>
      <c r="AE1921" s="596" t="str">
        <f ca="1">IF(AND(AD1921="",AC1921=""),"",IF(OR(AD1921&lt;&gt;"",O1921="*CANCELADO"),"",NETWORKDAYS(AC1921,TODAY(),#REF!)))</f>
        <v/>
      </c>
      <c r="AF1921" s="619"/>
    </row>
    <row r="1922" spans="1:32" ht="14.25" customHeight="1">
      <c r="A1922" s="176"/>
      <c r="B1922" s="176"/>
      <c r="C1922" s="177"/>
      <c r="D1922" s="176"/>
      <c r="E1922" s="176"/>
      <c r="F1922" s="259"/>
      <c r="G1922" s="176"/>
      <c r="H1922" s="178"/>
      <c r="I1922" s="592">
        <f t="shared" si="76"/>
        <v>0</v>
      </c>
      <c r="J1922" s="178"/>
      <c r="K1922" s="178"/>
      <c r="L1922" s="275" t="str">
        <f>IF(H:H=0,"",IF(ISERROR(VLOOKUP(H:H,produtos_escape2!$A$2:$B$2794,2,FALSE)),"Código não cadastrado",(VLOOKUP(H:H,produtos_escape2!$A$2:$B$2794,2,FALSE))))</f>
        <v/>
      </c>
      <c r="M1922" s="593" t="str">
        <f>IF(H:H=0,"",IF(ISERROR(VLOOKUP(H:H,produtos_escape2!$A$2:$D$2794,2,FALSE)),"Código não cadastrado",(VLOOKUP(H:H,produtos_escape2!$A$2:$D$2794,4,FALSE))))</f>
        <v/>
      </c>
      <c r="N1922" s="486"/>
      <c r="O1922" s="176"/>
      <c r="P1922" s="486"/>
      <c r="Q1922" s="247"/>
      <c r="R1922" s="246">
        <f t="shared" si="75"/>
        <v>0</v>
      </c>
      <c r="S1922" s="177"/>
      <c r="T1922" s="182"/>
      <c r="U1922" s="177"/>
      <c r="V1922" s="177"/>
      <c r="W1922" s="177"/>
      <c r="X1922" s="176"/>
      <c r="Y1922" s="177"/>
      <c r="Z1922" s="415"/>
      <c r="AA1922" s="488"/>
      <c r="AB1922" s="594"/>
      <c r="AC1922" s="595"/>
      <c r="AD1922" s="596" t="str">
        <f>IF(AND(AC1922&lt;&gt;"",S1922&lt;&gt;""),NETWORKDAYS(AC1922,S1922,#REF!),"")</f>
        <v/>
      </c>
      <c r="AE1922" s="596" t="str">
        <f ca="1">IF(AND(AD1922="",AC1922=""),"",IF(OR(AD1922&lt;&gt;"",O1922="*CANCELADO"),"",NETWORKDAYS(AC1922,TODAY(),#REF!)))</f>
        <v/>
      </c>
      <c r="AF1922" s="619"/>
    </row>
    <row r="1923" spans="1:32" ht="14.25" customHeight="1">
      <c r="A1923" s="176"/>
      <c r="B1923" s="176"/>
      <c r="C1923" s="177"/>
      <c r="D1923" s="176"/>
      <c r="E1923" s="176"/>
      <c r="F1923" s="259"/>
      <c r="G1923" s="176"/>
      <c r="H1923" s="178"/>
      <c r="I1923" s="592">
        <f t="shared" si="76"/>
        <v>0</v>
      </c>
      <c r="J1923" s="178"/>
      <c r="K1923" s="178"/>
      <c r="L1923" s="275" t="str">
        <f>IF(H:H=0,"",IF(ISERROR(VLOOKUP(H:H,produtos_escape2!$A$2:$B$2794,2,FALSE)),"Código não cadastrado",(VLOOKUP(H:H,produtos_escape2!$A$2:$B$2794,2,FALSE))))</f>
        <v/>
      </c>
      <c r="M1923" s="593" t="str">
        <f>IF(H:H=0,"",IF(ISERROR(VLOOKUP(H:H,produtos_escape2!$A$2:$D$2794,2,FALSE)),"Código não cadastrado",(VLOOKUP(H:H,produtos_escape2!$A$2:$D$2794,4,FALSE))))</f>
        <v/>
      </c>
      <c r="N1923" s="486"/>
      <c r="O1923" s="176"/>
      <c r="P1923" s="486"/>
      <c r="Q1923" s="247"/>
      <c r="R1923" s="246">
        <f t="shared" si="75"/>
        <v>0</v>
      </c>
      <c r="S1923" s="177"/>
      <c r="T1923" s="182"/>
      <c r="U1923" s="177"/>
      <c r="V1923" s="177"/>
      <c r="W1923" s="177"/>
      <c r="X1923" s="176"/>
      <c r="Y1923" s="177"/>
      <c r="Z1923" s="415"/>
      <c r="AA1923" s="488"/>
      <c r="AB1923" s="594"/>
      <c r="AC1923" s="595"/>
      <c r="AD1923" s="596" t="str">
        <f>IF(AND(AC1923&lt;&gt;"",S1923&lt;&gt;""),NETWORKDAYS(AC1923,S1923,#REF!),"")</f>
        <v/>
      </c>
      <c r="AE1923" s="596" t="str">
        <f ca="1">IF(AND(AD1923="",AC1923=""),"",IF(OR(AD1923&lt;&gt;"",O1923="*CANCELADO"),"",NETWORKDAYS(AC1923,TODAY(),#REF!)))</f>
        <v/>
      </c>
      <c r="AF1923" s="619"/>
    </row>
    <row r="1924" spans="1:32" ht="14.25" customHeight="1">
      <c r="A1924" s="176"/>
      <c r="B1924" s="176"/>
      <c r="C1924" s="177"/>
      <c r="D1924" s="176"/>
      <c r="E1924" s="176"/>
      <c r="F1924" s="259"/>
      <c r="G1924" s="176"/>
      <c r="H1924" s="178"/>
      <c r="I1924" s="592">
        <f t="shared" si="76"/>
        <v>0</v>
      </c>
      <c r="J1924" s="178"/>
      <c r="K1924" s="178"/>
      <c r="L1924" s="275" t="str">
        <f>IF(H:H=0,"",IF(ISERROR(VLOOKUP(H:H,produtos_escape2!$A$2:$B$2794,2,FALSE)),"Código não cadastrado",(VLOOKUP(H:H,produtos_escape2!$A$2:$B$2794,2,FALSE))))</f>
        <v/>
      </c>
      <c r="M1924" s="593" t="str">
        <f>IF(H:H=0,"",IF(ISERROR(VLOOKUP(H:H,produtos_escape2!$A$2:$D$2794,2,FALSE)),"Código não cadastrado",(VLOOKUP(H:H,produtos_escape2!$A$2:$D$2794,4,FALSE))))</f>
        <v/>
      </c>
      <c r="N1924" s="486"/>
      <c r="O1924" s="176"/>
      <c r="P1924" s="486"/>
      <c r="Q1924" s="247"/>
      <c r="R1924" s="246">
        <f t="shared" si="75"/>
        <v>0</v>
      </c>
      <c r="S1924" s="177"/>
      <c r="T1924" s="182"/>
      <c r="U1924" s="177"/>
      <c r="V1924" s="177"/>
      <c r="W1924" s="177"/>
      <c r="X1924" s="176"/>
      <c r="Y1924" s="177"/>
      <c r="Z1924" s="415"/>
      <c r="AA1924" s="488"/>
      <c r="AB1924" s="594"/>
      <c r="AC1924" s="595"/>
      <c r="AD1924" s="596" t="str">
        <f>IF(AND(AC1924&lt;&gt;"",S1924&lt;&gt;""),NETWORKDAYS(AC1924,S1924,#REF!),"")</f>
        <v/>
      </c>
      <c r="AE1924" s="596" t="str">
        <f ca="1">IF(AND(AD1924="",AC1924=""),"",IF(OR(AD1924&lt;&gt;"",O1924="*CANCELADO"),"",NETWORKDAYS(AC1924,TODAY(),#REF!)))</f>
        <v/>
      </c>
      <c r="AF1924" s="619"/>
    </row>
    <row r="1925" spans="1:32" ht="14.25" customHeight="1">
      <c r="A1925" s="176"/>
      <c r="B1925" s="176"/>
      <c r="C1925" s="177"/>
      <c r="D1925" s="176"/>
      <c r="E1925" s="176"/>
      <c r="F1925" s="259"/>
      <c r="G1925" s="176"/>
      <c r="H1925" s="178"/>
      <c r="I1925" s="592">
        <f t="shared" si="76"/>
        <v>0</v>
      </c>
      <c r="J1925" s="178"/>
      <c r="K1925" s="178"/>
      <c r="L1925" s="275" t="str">
        <f>IF(H:H=0,"",IF(ISERROR(VLOOKUP(H:H,produtos_escape2!$A$2:$B$2794,2,FALSE)),"Código não cadastrado",(VLOOKUP(H:H,produtos_escape2!$A$2:$B$2794,2,FALSE))))</f>
        <v/>
      </c>
      <c r="M1925" s="593" t="str">
        <f>IF(H:H=0,"",IF(ISERROR(VLOOKUP(H:H,produtos_escape2!$A$2:$D$2794,2,FALSE)),"Código não cadastrado",(VLOOKUP(H:H,produtos_escape2!$A$2:$D$2794,4,FALSE))))</f>
        <v/>
      </c>
      <c r="N1925" s="486"/>
      <c r="O1925" s="176"/>
      <c r="P1925" s="486"/>
      <c r="Q1925" s="247"/>
      <c r="R1925" s="246">
        <f t="shared" si="75"/>
        <v>0</v>
      </c>
      <c r="S1925" s="177"/>
      <c r="T1925" s="182"/>
      <c r="U1925" s="177"/>
      <c r="V1925" s="177"/>
      <c r="W1925" s="177"/>
      <c r="X1925" s="176"/>
      <c r="Y1925" s="177"/>
      <c r="Z1925" s="415"/>
      <c r="AA1925" s="488"/>
      <c r="AB1925" s="594"/>
      <c r="AC1925" s="595"/>
      <c r="AD1925" s="596" t="str">
        <f>IF(AND(AC1925&lt;&gt;"",S1925&lt;&gt;""),NETWORKDAYS(AC1925,S1925,#REF!),"")</f>
        <v/>
      </c>
      <c r="AE1925" s="596" t="str">
        <f ca="1">IF(AND(AD1925="",AC1925=""),"",IF(OR(AD1925&lt;&gt;"",O1925="*CANCELADO"),"",NETWORKDAYS(AC1925,TODAY(),#REF!)))</f>
        <v/>
      </c>
      <c r="AF1925" s="619"/>
    </row>
    <row r="1926" spans="1:32" ht="14.25" customHeight="1">
      <c r="A1926" s="176"/>
      <c r="B1926" s="176"/>
      <c r="C1926" s="177"/>
      <c r="D1926" s="176"/>
      <c r="E1926" s="176"/>
      <c r="F1926" s="259"/>
      <c r="G1926" s="176"/>
      <c r="H1926" s="178"/>
      <c r="I1926" s="592">
        <f t="shared" si="76"/>
        <v>0</v>
      </c>
      <c r="J1926" s="178"/>
      <c r="K1926" s="178"/>
      <c r="L1926" s="275" t="str">
        <f>IF(H:H=0,"",IF(ISERROR(VLOOKUP(H:H,produtos_escape2!$A$2:$B$2794,2,FALSE)),"Código não cadastrado",(VLOOKUP(H:H,produtos_escape2!$A$2:$B$2794,2,FALSE))))</f>
        <v/>
      </c>
      <c r="M1926" s="593" t="str">
        <f>IF(H:H=0,"",IF(ISERROR(VLOOKUP(H:H,produtos_escape2!$A$2:$D$2794,2,FALSE)),"Código não cadastrado",(VLOOKUP(H:H,produtos_escape2!$A$2:$D$2794,4,FALSE))))</f>
        <v/>
      </c>
      <c r="N1926" s="486"/>
      <c r="O1926" s="176"/>
      <c r="P1926" s="486"/>
      <c r="Q1926" s="247"/>
      <c r="R1926" s="246">
        <f t="shared" si="75"/>
        <v>0</v>
      </c>
      <c r="S1926" s="177"/>
      <c r="T1926" s="182"/>
      <c r="U1926" s="177"/>
      <c r="V1926" s="177"/>
      <c r="W1926" s="177"/>
      <c r="X1926" s="176"/>
      <c r="Y1926" s="177"/>
      <c r="Z1926" s="415"/>
      <c r="AA1926" s="488"/>
      <c r="AB1926" s="594"/>
      <c r="AC1926" s="595"/>
      <c r="AD1926" s="596" t="str">
        <f>IF(AND(AC1926&lt;&gt;"",S1926&lt;&gt;""),NETWORKDAYS(AC1926,S1926,#REF!),"")</f>
        <v/>
      </c>
      <c r="AE1926" s="596" t="str">
        <f ca="1">IF(AND(AD1926="",AC1926=""),"",IF(OR(AD1926&lt;&gt;"",O1926="*CANCELADO"),"",NETWORKDAYS(AC1926,TODAY(),#REF!)))</f>
        <v/>
      </c>
      <c r="AF1926" s="619"/>
    </row>
    <row r="1927" spans="1:32" ht="14.25" customHeight="1">
      <c r="A1927" s="176"/>
      <c r="B1927" s="176"/>
      <c r="C1927" s="177"/>
      <c r="D1927" s="176"/>
      <c r="E1927" s="176"/>
      <c r="F1927" s="259"/>
      <c r="G1927" s="176"/>
      <c r="H1927" s="178"/>
      <c r="I1927" s="592">
        <f t="shared" si="76"/>
        <v>0</v>
      </c>
      <c r="J1927" s="178"/>
      <c r="K1927" s="178"/>
      <c r="L1927" s="275" t="str">
        <f>IF(H:H=0,"",IF(ISERROR(VLOOKUP(H:H,produtos_escape2!$A$2:$B$2794,2,FALSE)),"Código não cadastrado",(VLOOKUP(H:H,produtos_escape2!$A$2:$B$2794,2,FALSE))))</f>
        <v/>
      </c>
      <c r="M1927" s="593" t="str">
        <f>IF(H:H=0,"",IF(ISERROR(VLOOKUP(H:H,produtos_escape2!$A$2:$D$2794,2,FALSE)),"Código não cadastrado",(VLOOKUP(H:H,produtos_escape2!$A$2:$D$2794,4,FALSE))))</f>
        <v/>
      </c>
      <c r="N1927" s="486"/>
      <c r="O1927" s="176"/>
      <c r="P1927" s="486"/>
      <c r="Q1927" s="247"/>
      <c r="R1927" s="246">
        <f t="shared" si="75"/>
        <v>0</v>
      </c>
      <c r="S1927" s="177"/>
      <c r="T1927" s="182"/>
      <c r="U1927" s="177"/>
      <c r="V1927" s="177"/>
      <c r="W1927" s="177"/>
      <c r="X1927" s="176"/>
      <c r="Y1927" s="177"/>
      <c r="Z1927" s="415"/>
      <c r="AA1927" s="488"/>
      <c r="AB1927" s="594"/>
      <c r="AC1927" s="595"/>
      <c r="AD1927" s="596" t="str">
        <f>IF(AND(AC1927&lt;&gt;"",S1927&lt;&gt;""),NETWORKDAYS(AC1927,S1927,#REF!),"")</f>
        <v/>
      </c>
      <c r="AE1927" s="596" t="str">
        <f ca="1">IF(AND(AD1927="",AC1927=""),"",IF(OR(AD1927&lt;&gt;"",O1927="*CANCELADO"),"",NETWORKDAYS(AC1927,TODAY(),#REF!)))</f>
        <v/>
      </c>
      <c r="AF1927" s="619"/>
    </row>
    <row r="1928" spans="1:32" ht="14.25" customHeight="1">
      <c r="A1928" s="176"/>
      <c r="B1928" s="176"/>
      <c r="C1928" s="177"/>
      <c r="D1928" s="176"/>
      <c r="E1928" s="176"/>
      <c r="F1928" s="259"/>
      <c r="G1928" s="176"/>
      <c r="H1928" s="178"/>
      <c r="I1928" s="592">
        <f t="shared" si="76"/>
        <v>0</v>
      </c>
      <c r="J1928" s="178"/>
      <c r="K1928" s="178"/>
      <c r="L1928" s="275" t="str">
        <f>IF(H:H=0,"",IF(ISERROR(VLOOKUP(H:H,produtos_escape2!$A$2:$B$2794,2,FALSE)),"Código não cadastrado",(VLOOKUP(H:H,produtos_escape2!$A$2:$B$2794,2,FALSE))))</f>
        <v/>
      </c>
      <c r="M1928" s="593" t="str">
        <f>IF(H:H=0,"",IF(ISERROR(VLOOKUP(H:H,produtos_escape2!$A$2:$D$2794,2,FALSE)),"Código não cadastrado",(VLOOKUP(H:H,produtos_escape2!$A$2:$D$2794,4,FALSE))))</f>
        <v/>
      </c>
      <c r="N1928" s="486"/>
      <c r="O1928" s="176"/>
      <c r="P1928" s="486"/>
      <c r="Q1928" s="247"/>
      <c r="R1928" s="246">
        <f t="shared" si="75"/>
        <v>0</v>
      </c>
      <c r="S1928" s="177"/>
      <c r="T1928" s="182"/>
      <c r="U1928" s="177"/>
      <c r="V1928" s="177"/>
      <c r="W1928" s="177"/>
      <c r="X1928" s="176"/>
      <c r="Y1928" s="177"/>
      <c r="Z1928" s="415"/>
      <c r="AA1928" s="488"/>
      <c r="AB1928" s="594"/>
      <c r="AC1928" s="595"/>
      <c r="AD1928" s="596" t="str">
        <f>IF(AND(AC1928&lt;&gt;"",S1928&lt;&gt;""),NETWORKDAYS(AC1928,S1928,#REF!),"")</f>
        <v/>
      </c>
      <c r="AE1928" s="596" t="str">
        <f ca="1">IF(AND(AD1928="",AC1928=""),"",IF(OR(AD1928&lt;&gt;"",O1928="*CANCELADO"),"",NETWORKDAYS(AC1928,TODAY(),#REF!)))</f>
        <v/>
      </c>
      <c r="AF1928" s="619"/>
    </row>
    <row r="1929" spans="1:32" ht="14.25" customHeight="1">
      <c r="A1929" s="176"/>
      <c r="B1929" s="176"/>
      <c r="C1929" s="177"/>
      <c r="D1929" s="176"/>
      <c r="E1929" s="176"/>
      <c r="F1929" s="259"/>
      <c r="G1929" s="176"/>
      <c r="H1929" s="178"/>
      <c r="I1929" s="592">
        <f t="shared" si="76"/>
        <v>0</v>
      </c>
      <c r="J1929" s="178"/>
      <c r="K1929" s="178"/>
      <c r="L1929" s="275" t="str">
        <f>IF(H:H=0,"",IF(ISERROR(VLOOKUP(H:H,produtos_escape2!$A$2:$B$2794,2,FALSE)),"Código não cadastrado",(VLOOKUP(H:H,produtos_escape2!$A$2:$B$2794,2,FALSE))))</f>
        <v/>
      </c>
      <c r="M1929" s="593" t="str">
        <f>IF(H:H=0,"",IF(ISERROR(VLOOKUP(H:H,produtos_escape2!$A$2:$D$2794,2,FALSE)),"Código não cadastrado",(VLOOKUP(H:H,produtos_escape2!$A$2:$D$2794,4,FALSE))))</f>
        <v/>
      </c>
      <c r="N1929" s="486"/>
      <c r="O1929" s="176"/>
      <c r="P1929" s="486"/>
      <c r="Q1929" s="247"/>
      <c r="R1929" s="246">
        <f t="shared" si="75"/>
        <v>0</v>
      </c>
      <c r="S1929" s="177"/>
      <c r="T1929" s="182"/>
      <c r="U1929" s="177"/>
      <c r="V1929" s="177"/>
      <c r="W1929" s="177"/>
      <c r="X1929" s="176"/>
      <c r="Y1929" s="177"/>
      <c r="Z1929" s="415"/>
      <c r="AA1929" s="488"/>
      <c r="AB1929" s="594"/>
      <c r="AC1929" s="595"/>
      <c r="AD1929" s="596" t="str">
        <f>IF(AND(AC1929&lt;&gt;"",S1929&lt;&gt;""),NETWORKDAYS(AC1929,S1929,#REF!),"")</f>
        <v/>
      </c>
      <c r="AE1929" s="596" t="str">
        <f ca="1">IF(AND(AD1929="",AC1929=""),"",IF(OR(AD1929&lt;&gt;"",O1929="*CANCELADO"),"",NETWORKDAYS(AC1929,TODAY(),#REF!)))</f>
        <v/>
      </c>
      <c r="AF1929" s="619"/>
    </row>
    <row r="1930" spans="1:32" ht="14.25" customHeight="1">
      <c r="A1930" s="176"/>
      <c r="B1930" s="176"/>
      <c r="C1930" s="177"/>
      <c r="D1930" s="176"/>
      <c r="E1930" s="176"/>
      <c r="F1930" s="259"/>
      <c r="G1930" s="176"/>
      <c r="H1930" s="178"/>
      <c r="I1930" s="592">
        <f t="shared" si="76"/>
        <v>0</v>
      </c>
      <c r="J1930" s="178"/>
      <c r="K1930" s="178"/>
      <c r="L1930" s="275" t="str">
        <f>IF(H:H=0,"",IF(ISERROR(VLOOKUP(H:H,produtos_escape2!$A$2:$B$2794,2,FALSE)),"Código não cadastrado",(VLOOKUP(H:H,produtos_escape2!$A$2:$B$2794,2,FALSE))))</f>
        <v/>
      </c>
      <c r="M1930" s="593" t="str">
        <f>IF(H:H=0,"",IF(ISERROR(VLOOKUP(H:H,produtos_escape2!$A$2:$D$2794,2,FALSE)),"Código não cadastrado",(VLOOKUP(H:H,produtos_escape2!$A$2:$D$2794,4,FALSE))))</f>
        <v/>
      </c>
      <c r="N1930" s="486"/>
      <c r="O1930" s="176"/>
      <c r="P1930" s="486"/>
      <c r="Q1930" s="247"/>
      <c r="R1930" s="246">
        <f t="shared" si="75"/>
        <v>0</v>
      </c>
      <c r="S1930" s="177"/>
      <c r="T1930" s="182"/>
      <c r="U1930" s="177"/>
      <c r="V1930" s="177"/>
      <c r="W1930" s="177"/>
      <c r="X1930" s="176"/>
      <c r="Y1930" s="177"/>
      <c r="Z1930" s="415"/>
      <c r="AA1930" s="488"/>
      <c r="AB1930" s="594"/>
      <c r="AC1930" s="595"/>
      <c r="AD1930" s="596" t="str">
        <f>IF(AND(AC1930&lt;&gt;"",S1930&lt;&gt;""),NETWORKDAYS(AC1930,S1930,#REF!),"")</f>
        <v/>
      </c>
      <c r="AE1930" s="596" t="str">
        <f ca="1">IF(AND(AD1930="",AC1930=""),"",IF(OR(AD1930&lt;&gt;"",O1930="*CANCELADO"),"",NETWORKDAYS(AC1930,TODAY(),#REF!)))</f>
        <v/>
      </c>
      <c r="AF1930" s="619"/>
    </row>
    <row r="1931" spans="1:32" ht="14.25" customHeight="1">
      <c r="A1931" s="176"/>
      <c r="B1931" s="176"/>
      <c r="C1931" s="177"/>
      <c r="D1931" s="176"/>
      <c r="E1931" s="176"/>
      <c r="F1931" s="259"/>
      <c r="G1931" s="176"/>
      <c r="H1931" s="178"/>
      <c r="I1931" s="592">
        <f t="shared" si="76"/>
        <v>0</v>
      </c>
      <c r="J1931" s="178"/>
      <c r="K1931" s="178"/>
      <c r="L1931" s="275" t="str">
        <f>IF(H:H=0,"",IF(ISERROR(VLOOKUP(H:H,produtos_escape2!$A$2:$B$2794,2,FALSE)),"Código não cadastrado",(VLOOKUP(H:H,produtos_escape2!$A$2:$B$2794,2,FALSE))))</f>
        <v/>
      </c>
      <c r="M1931" s="593" t="str">
        <f>IF(H:H=0,"",IF(ISERROR(VLOOKUP(H:H,produtos_escape2!$A$2:$D$2794,2,FALSE)),"Código não cadastrado",(VLOOKUP(H:H,produtos_escape2!$A$2:$D$2794,4,FALSE))))</f>
        <v/>
      </c>
      <c r="N1931" s="486"/>
      <c r="O1931" s="176"/>
      <c r="P1931" s="486"/>
      <c r="Q1931" s="247"/>
      <c r="R1931" s="246">
        <f t="shared" si="75"/>
        <v>0</v>
      </c>
      <c r="S1931" s="177"/>
      <c r="T1931" s="182"/>
      <c r="U1931" s="177"/>
      <c r="V1931" s="177"/>
      <c r="W1931" s="177"/>
      <c r="X1931" s="176"/>
      <c r="Y1931" s="177"/>
      <c r="Z1931" s="415"/>
      <c r="AA1931" s="488"/>
      <c r="AB1931" s="594"/>
      <c r="AC1931" s="595"/>
      <c r="AD1931" s="596" t="str">
        <f>IF(AND(AC1931&lt;&gt;"",S1931&lt;&gt;""),NETWORKDAYS(AC1931,S1931,#REF!),"")</f>
        <v/>
      </c>
      <c r="AE1931" s="596" t="str">
        <f ca="1">IF(AND(AD1931="",AC1931=""),"",IF(OR(AD1931&lt;&gt;"",O1931="*CANCELADO"),"",NETWORKDAYS(AC1931,TODAY(),#REF!)))</f>
        <v/>
      </c>
      <c r="AF1931" s="619"/>
    </row>
    <row r="1932" spans="1:32" ht="14.25" customHeight="1">
      <c r="A1932" s="176"/>
      <c r="B1932" s="176"/>
      <c r="C1932" s="177"/>
      <c r="D1932" s="176"/>
      <c r="E1932" s="176"/>
      <c r="F1932" s="259"/>
      <c r="G1932" s="176"/>
      <c r="H1932" s="178"/>
      <c r="I1932" s="592">
        <f t="shared" si="76"/>
        <v>0</v>
      </c>
      <c r="J1932" s="178"/>
      <c r="K1932" s="178"/>
      <c r="L1932" s="275" t="str">
        <f>IF(H:H=0,"",IF(ISERROR(VLOOKUP(H:H,produtos_escape2!$A$2:$B$2794,2,FALSE)),"Código não cadastrado",(VLOOKUP(H:H,produtos_escape2!$A$2:$B$2794,2,FALSE))))</f>
        <v/>
      </c>
      <c r="M1932" s="593" t="str">
        <f>IF(H:H=0,"",IF(ISERROR(VLOOKUP(H:H,produtos_escape2!$A$2:$D$2794,2,FALSE)),"Código não cadastrado",(VLOOKUP(H:H,produtos_escape2!$A$2:$D$2794,4,FALSE))))</f>
        <v/>
      </c>
      <c r="N1932" s="486"/>
      <c r="O1932" s="176"/>
      <c r="P1932" s="486"/>
      <c r="Q1932" s="247"/>
      <c r="R1932" s="246">
        <f t="shared" si="75"/>
        <v>0</v>
      </c>
      <c r="S1932" s="177"/>
      <c r="T1932" s="182"/>
      <c r="U1932" s="177"/>
      <c r="V1932" s="177"/>
      <c r="W1932" s="177"/>
      <c r="X1932" s="176"/>
      <c r="Y1932" s="177"/>
      <c r="Z1932" s="415"/>
      <c r="AA1932" s="488"/>
      <c r="AB1932" s="594"/>
      <c r="AC1932" s="595"/>
      <c r="AD1932" s="596" t="str">
        <f>IF(AND(AC1932&lt;&gt;"",S1932&lt;&gt;""),NETWORKDAYS(AC1932,S1932,#REF!),"")</f>
        <v/>
      </c>
      <c r="AE1932" s="596" t="str">
        <f ca="1">IF(AND(AD1932="",AC1932=""),"",IF(OR(AD1932&lt;&gt;"",O1932="*CANCELADO"),"",NETWORKDAYS(AC1932,TODAY(),#REF!)))</f>
        <v/>
      </c>
      <c r="AF1932" s="619"/>
    </row>
    <row r="1933" spans="1:32" ht="14.25" customHeight="1">
      <c r="A1933" s="176"/>
      <c r="B1933" s="176"/>
      <c r="C1933" s="177"/>
      <c r="D1933" s="176"/>
      <c r="E1933" s="176"/>
      <c r="F1933" s="259"/>
      <c r="G1933" s="176"/>
      <c r="H1933" s="178"/>
      <c r="I1933" s="592">
        <f t="shared" si="76"/>
        <v>0</v>
      </c>
      <c r="J1933" s="178"/>
      <c r="K1933" s="178"/>
      <c r="L1933" s="275" t="str">
        <f>IF(H:H=0,"",IF(ISERROR(VLOOKUP(H:H,produtos_escape2!$A$2:$B$2794,2,FALSE)),"Código não cadastrado",(VLOOKUP(H:H,produtos_escape2!$A$2:$B$2794,2,FALSE))))</f>
        <v/>
      </c>
      <c r="M1933" s="593" t="str">
        <f>IF(H:H=0,"",IF(ISERROR(VLOOKUP(H:H,produtos_escape2!$A$2:$D$2794,2,FALSE)),"Código não cadastrado",(VLOOKUP(H:H,produtos_escape2!$A$2:$D$2794,4,FALSE))))</f>
        <v/>
      </c>
      <c r="N1933" s="486"/>
      <c r="O1933" s="176"/>
      <c r="P1933" s="486"/>
      <c r="Q1933" s="247"/>
      <c r="R1933" s="246">
        <f t="shared" si="75"/>
        <v>0</v>
      </c>
      <c r="S1933" s="177"/>
      <c r="T1933" s="182"/>
      <c r="U1933" s="177"/>
      <c r="V1933" s="177"/>
      <c r="W1933" s="177"/>
      <c r="X1933" s="176"/>
      <c r="Y1933" s="177"/>
      <c r="Z1933" s="415"/>
      <c r="AA1933" s="488"/>
      <c r="AB1933" s="594"/>
      <c r="AC1933" s="595"/>
      <c r="AD1933" s="596" t="str">
        <f>IF(AND(AC1933&lt;&gt;"",S1933&lt;&gt;""),NETWORKDAYS(AC1933,S1933,#REF!),"")</f>
        <v/>
      </c>
      <c r="AE1933" s="596" t="str">
        <f ca="1">IF(AND(AD1933="",AC1933=""),"",IF(OR(AD1933&lt;&gt;"",O1933="*CANCELADO"),"",NETWORKDAYS(AC1933,TODAY(),#REF!)))</f>
        <v/>
      </c>
      <c r="AF1933" s="619"/>
    </row>
    <row r="1934" spans="1:32" ht="14.25" customHeight="1">
      <c r="A1934" s="176"/>
      <c r="B1934" s="176"/>
      <c r="C1934" s="177"/>
      <c r="D1934" s="176"/>
      <c r="E1934" s="176"/>
      <c r="F1934" s="259"/>
      <c r="G1934" s="176"/>
      <c r="H1934" s="178"/>
      <c r="I1934" s="592">
        <f t="shared" si="76"/>
        <v>0</v>
      </c>
      <c r="J1934" s="178"/>
      <c r="K1934" s="178"/>
      <c r="L1934" s="275" t="str">
        <f>IF(H:H=0,"",IF(ISERROR(VLOOKUP(H:H,produtos_escape2!$A$2:$B$2794,2,FALSE)),"Código não cadastrado",(VLOOKUP(H:H,produtos_escape2!$A$2:$B$2794,2,FALSE))))</f>
        <v/>
      </c>
      <c r="M1934" s="593" t="str">
        <f>IF(H:H=0,"",IF(ISERROR(VLOOKUP(H:H,produtos_escape2!$A$2:$D$2794,2,FALSE)),"Código não cadastrado",(VLOOKUP(H:H,produtos_escape2!$A$2:$D$2794,4,FALSE))))</f>
        <v/>
      </c>
      <c r="N1934" s="486"/>
      <c r="O1934" s="176"/>
      <c r="P1934" s="486"/>
      <c r="Q1934" s="247"/>
      <c r="R1934" s="246">
        <f t="shared" si="75"/>
        <v>0</v>
      </c>
      <c r="S1934" s="177"/>
      <c r="T1934" s="182"/>
      <c r="U1934" s="177"/>
      <c r="V1934" s="177"/>
      <c r="W1934" s="177"/>
      <c r="X1934" s="176"/>
      <c r="Y1934" s="177"/>
      <c r="Z1934" s="415"/>
      <c r="AA1934" s="488"/>
      <c r="AB1934" s="594"/>
      <c r="AC1934" s="595"/>
      <c r="AD1934" s="596" t="str">
        <f>IF(AND(AC1934&lt;&gt;"",S1934&lt;&gt;""),NETWORKDAYS(AC1934,S1934,#REF!),"")</f>
        <v/>
      </c>
      <c r="AE1934" s="596" t="str">
        <f ca="1">IF(AND(AD1934="",AC1934=""),"",IF(OR(AD1934&lt;&gt;"",O1934="*CANCELADO"),"",NETWORKDAYS(AC1934,TODAY(),#REF!)))</f>
        <v/>
      </c>
      <c r="AF1934" s="619"/>
    </row>
    <row r="1935" spans="1:32" ht="14.25" customHeight="1">
      <c r="A1935" s="176"/>
      <c r="B1935" s="176"/>
      <c r="C1935" s="177"/>
      <c r="D1935" s="176"/>
      <c r="E1935" s="176"/>
      <c r="F1935" s="259"/>
      <c r="G1935" s="176"/>
      <c r="H1935" s="178"/>
      <c r="I1935" s="592">
        <f t="shared" si="76"/>
        <v>0</v>
      </c>
      <c r="J1935" s="178"/>
      <c r="K1935" s="178"/>
      <c r="L1935" s="275" t="str">
        <f>IF(H:H=0,"",IF(ISERROR(VLOOKUP(H:H,produtos_escape2!$A$2:$B$2794,2,FALSE)),"Código não cadastrado",(VLOOKUP(H:H,produtos_escape2!$A$2:$B$2794,2,FALSE))))</f>
        <v/>
      </c>
      <c r="M1935" s="593" t="str">
        <f>IF(H:H=0,"",IF(ISERROR(VLOOKUP(H:H,produtos_escape2!$A$2:$D$2794,2,FALSE)),"Código não cadastrado",(VLOOKUP(H:H,produtos_escape2!$A$2:$D$2794,4,FALSE))))</f>
        <v/>
      </c>
      <c r="N1935" s="486"/>
      <c r="O1935" s="176"/>
      <c r="P1935" s="486"/>
      <c r="Q1935" s="247"/>
      <c r="R1935" s="246">
        <f t="shared" si="75"/>
        <v>0</v>
      </c>
      <c r="S1935" s="177"/>
      <c r="T1935" s="182"/>
      <c r="U1935" s="177"/>
      <c r="V1935" s="177"/>
      <c r="W1935" s="177"/>
      <c r="X1935" s="176"/>
      <c r="Y1935" s="177"/>
      <c r="Z1935" s="415"/>
      <c r="AA1935" s="488"/>
      <c r="AB1935" s="594"/>
      <c r="AC1935" s="595"/>
      <c r="AD1935" s="596" t="str">
        <f>IF(AND(AC1935&lt;&gt;"",S1935&lt;&gt;""),NETWORKDAYS(AC1935,S1935,#REF!),"")</f>
        <v/>
      </c>
      <c r="AE1935" s="596" t="str">
        <f ca="1">IF(AND(AD1935="",AC1935=""),"",IF(OR(AD1935&lt;&gt;"",O1935="*CANCELADO"),"",NETWORKDAYS(AC1935,TODAY(),#REF!)))</f>
        <v/>
      </c>
      <c r="AF1935" s="619"/>
    </row>
    <row r="1936" spans="1:32" ht="14.25" customHeight="1">
      <c r="A1936" s="176"/>
      <c r="B1936" s="176"/>
      <c r="C1936" s="177"/>
      <c r="D1936" s="176"/>
      <c r="E1936" s="176"/>
      <c r="F1936" s="259"/>
      <c r="G1936" s="176"/>
      <c r="H1936" s="178"/>
      <c r="I1936" s="592">
        <f t="shared" si="76"/>
        <v>0</v>
      </c>
      <c r="J1936" s="178"/>
      <c r="K1936" s="178"/>
      <c r="L1936" s="275" t="str">
        <f>IF(H:H=0,"",IF(ISERROR(VLOOKUP(H:H,produtos_escape2!$A$2:$B$2794,2,FALSE)),"Código não cadastrado",(VLOOKUP(H:H,produtos_escape2!$A$2:$B$2794,2,FALSE))))</f>
        <v/>
      </c>
      <c r="M1936" s="593" t="str">
        <f>IF(H:H=0,"",IF(ISERROR(VLOOKUP(H:H,produtos_escape2!$A$2:$D$2794,2,FALSE)),"Código não cadastrado",(VLOOKUP(H:H,produtos_escape2!$A$2:$D$2794,4,FALSE))))</f>
        <v/>
      </c>
      <c r="N1936" s="486"/>
      <c r="O1936" s="176"/>
      <c r="P1936" s="486"/>
      <c r="Q1936" s="247"/>
      <c r="R1936" s="246">
        <f t="shared" si="75"/>
        <v>0</v>
      </c>
      <c r="S1936" s="177"/>
      <c r="T1936" s="182"/>
      <c r="U1936" s="177"/>
      <c r="V1936" s="177"/>
      <c r="W1936" s="177"/>
      <c r="X1936" s="176"/>
      <c r="Y1936" s="177"/>
      <c r="Z1936" s="415"/>
      <c r="AA1936" s="488"/>
      <c r="AB1936" s="594"/>
      <c r="AC1936" s="595"/>
      <c r="AD1936" s="596" t="str">
        <f>IF(AND(AC1936&lt;&gt;"",S1936&lt;&gt;""),NETWORKDAYS(AC1936,S1936,#REF!),"")</f>
        <v/>
      </c>
      <c r="AE1936" s="596" t="str">
        <f ca="1">IF(AND(AD1936="",AC1936=""),"",IF(OR(AD1936&lt;&gt;"",O1936="*CANCELADO"),"",NETWORKDAYS(AC1936,TODAY(),#REF!)))</f>
        <v/>
      </c>
      <c r="AF1936" s="619"/>
    </row>
    <row r="1937" spans="1:32" ht="14.25" customHeight="1">
      <c r="A1937" s="176"/>
      <c r="B1937" s="176"/>
      <c r="C1937" s="177"/>
      <c r="D1937" s="176"/>
      <c r="E1937" s="176"/>
      <c r="F1937" s="259"/>
      <c r="G1937" s="176"/>
      <c r="H1937" s="178"/>
      <c r="I1937" s="592">
        <f t="shared" si="76"/>
        <v>0</v>
      </c>
      <c r="J1937" s="178"/>
      <c r="K1937" s="178"/>
      <c r="L1937" s="275" t="str">
        <f>IF(H:H=0,"",IF(ISERROR(VLOOKUP(H:H,produtos_escape2!$A$2:$B$2794,2,FALSE)),"Código não cadastrado",(VLOOKUP(H:H,produtos_escape2!$A$2:$B$2794,2,FALSE))))</f>
        <v/>
      </c>
      <c r="M1937" s="593" t="str">
        <f>IF(H:H=0,"",IF(ISERROR(VLOOKUP(H:H,produtos_escape2!$A$2:$D$2794,2,FALSE)),"Código não cadastrado",(VLOOKUP(H:H,produtos_escape2!$A$2:$D$2794,4,FALSE))))</f>
        <v/>
      </c>
      <c r="N1937" s="486"/>
      <c r="O1937" s="176"/>
      <c r="P1937" s="486"/>
      <c r="Q1937" s="247"/>
      <c r="R1937" s="246">
        <f t="shared" si="75"/>
        <v>0</v>
      </c>
      <c r="S1937" s="177"/>
      <c r="T1937" s="182"/>
      <c r="U1937" s="177"/>
      <c r="V1937" s="177"/>
      <c r="W1937" s="177"/>
      <c r="X1937" s="176"/>
      <c r="Y1937" s="177"/>
      <c r="Z1937" s="415"/>
      <c r="AA1937" s="488"/>
      <c r="AB1937" s="594"/>
      <c r="AC1937" s="595"/>
      <c r="AD1937" s="596" t="str">
        <f>IF(AND(AC1937&lt;&gt;"",S1937&lt;&gt;""),NETWORKDAYS(AC1937,S1937,#REF!),"")</f>
        <v/>
      </c>
      <c r="AE1937" s="596" t="str">
        <f ca="1">IF(AND(AD1937="",AC1937=""),"",IF(OR(AD1937&lt;&gt;"",O1937="*CANCELADO"),"",NETWORKDAYS(AC1937,TODAY(),#REF!)))</f>
        <v/>
      </c>
      <c r="AF1937" s="619"/>
    </row>
    <row r="1938" spans="1:32" ht="14.25" customHeight="1">
      <c r="A1938" s="176"/>
      <c r="B1938" s="176"/>
      <c r="C1938" s="177"/>
      <c r="D1938" s="176"/>
      <c r="E1938" s="176"/>
      <c r="F1938" s="259"/>
      <c r="G1938" s="176"/>
      <c r="H1938" s="178"/>
      <c r="I1938" s="592">
        <f t="shared" si="76"/>
        <v>0</v>
      </c>
      <c r="J1938" s="178"/>
      <c r="K1938" s="178"/>
      <c r="L1938" s="275" t="str">
        <f>IF(H:H=0,"",IF(ISERROR(VLOOKUP(H:H,produtos_escape2!$A$2:$B$2794,2,FALSE)),"Código não cadastrado",(VLOOKUP(H:H,produtos_escape2!$A$2:$B$2794,2,FALSE))))</f>
        <v/>
      </c>
      <c r="M1938" s="593" t="str">
        <f>IF(H:H=0,"",IF(ISERROR(VLOOKUP(H:H,produtos_escape2!$A$2:$D$2794,2,FALSE)),"Código não cadastrado",(VLOOKUP(H:H,produtos_escape2!$A$2:$D$2794,4,FALSE))))</f>
        <v/>
      </c>
      <c r="N1938" s="486"/>
      <c r="O1938" s="176"/>
      <c r="P1938" s="486"/>
      <c r="Q1938" s="247"/>
      <c r="R1938" s="246">
        <f t="shared" si="75"/>
        <v>0</v>
      </c>
      <c r="S1938" s="177"/>
      <c r="T1938" s="182"/>
      <c r="U1938" s="177"/>
      <c r="V1938" s="177"/>
      <c r="W1938" s="177"/>
      <c r="X1938" s="176"/>
      <c r="Y1938" s="177"/>
      <c r="Z1938" s="415"/>
      <c r="AA1938" s="488"/>
      <c r="AB1938" s="594"/>
      <c r="AC1938" s="595"/>
      <c r="AD1938" s="596" t="str">
        <f>IF(AND(AC1938&lt;&gt;"",S1938&lt;&gt;""),NETWORKDAYS(AC1938,S1938,#REF!),"")</f>
        <v/>
      </c>
      <c r="AE1938" s="596" t="str">
        <f ca="1">IF(AND(AD1938="",AC1938=""),"",IF(OR(AD1938&lt;&gt;"",O1938="*CANCELADO"),"",NETWORKDAYS(AC1938,TODAY(),#REF!)))</f>
        <v/>
      </c>
      <c r="AF1938" s="619"/>
    </row>
    <row r="1939" spans="1:32" ht="14.25" customHeight="1">
      <c r="A1939" s="176"/>
      <c r="B1939" s="176"/>
      <c r="C1939" s="177"/>
      <c r="D1939" s="176"/>
      <c r="E1939" s="176"/>
      <c r="F1939" s="259"/>
      <c r="G1939" s="176"/>
      <c r="H1939" s="178"/>
      <c r="I1939" s="592">
        <f t="shared" si="76"/>
        <v>0</v>
      </c>
      <c r="J1939" s="178"/>
      <c r="K1939" s="178"/>
      <c r="L1939" s="275" t="str">
        <f>IF(H:H=0,"",IF(ISERROR(VLOOKUP(H:H,produtos_escape2!$A$2:$B$2794,2,FALSE)),"Código não cadastrado",(VLOOKUP(H:H,produtos_escape2!$A$2:$B$2794,2,FALSE))))</f>
        <v/>
      </c>
      <c r="M1939" s="593" t="str">
        <f>IF(H:H=0,"",IF(ISERROR(VLOOKUP(H:H,produtos_escape2!$A$2:$D$2794,2,FALSE)),"Código não cadastrado",(VLOOKUP(H:H,produtos_escape2!$A$2:$D$2794,4,FALSE))))</f>
        <v/>
      </c>
      <c r="N1939" s="486"/>
      <c r="O1939" s="176"/>
      <c r="P1939" s="486"/>
      <c r="Q1939" s="247"/>
      <c r="R1939" s="246">
        <f t="shared" si="75"/>
        <v>0</v>
      </c>
      <c r="S1939" s="177"/>
      <c r="T1939" s="182"/>
      <c r="U1939" s="177"/>
      <c r="V1939" s="177"/>
      <c r="W1939" s="177"/>
      <c r="X1939" s="176"/>
      <c r="Y1939" s="177"/>
      <c r="Z1939" s="415"/>
      <c r="AA1939" s="488"/>
      <c r="AB1939" s="594"/>
      <c r="AC1939" s="595"/>
      <c r="AD1939" s="596" t="str">
        <f>IF(AND(AC1939&lt;&gt;"",S1939&lt;&gt;""),NETWORKDAYS(AC1939,S1939,#REF!),"")</f>
        <v/>
      </c>
      <c r="AE1939" s="596" t="str">
        <f ca="1">IF(AND(AD1939="",AC1939=""),"",IF(OR(AD1939&lt;&gt;"",O1939="*CANCELADO"),"",NETWORKDAYS(AC1939,TODAY(),#REF!)))</f>
        <v/>
      </c>
      <c r="AF1939" s="619"/>
    </row>
    <row r="1940" spans="1:32" ht="14.25" customHeight="1">
      <c r="A1940" s="176"/>
      <c r="B1940" s="176"/>
      <c r="C1940" s="177"/>
      <c r="D1940" s="176"/>
      <c r="E1940" s="176"/>
      <c r="F1940" s="259"/>
      <c r="G1940" s="176"/>
      <c r="H1940" s="178"/>
      <c r="I1940" s="592">
        <f t="shared" si="76"/>
        <v>0</v>
      </c>
      <c r="J1940" s="178"/>
      <c r="K1940" s="178"/>
      <c r="L1940" s="275" t="str">
        <f>IF(H:H=0,"",IF(ISERROR(VLOOKUP(H:H,produtos_escape2!$A$2:$B$2794,2,FALSE)),"Código não cadastrado",(VLOOKUP(H:H,produtos_escape2!$A$2:$B$2794,2,FALSE))))</f>
        <v/>
      </c>
      <c r="M1940" s="593" t="str">
        <f>IF(H:H=0,"",IF(ISERROR(VLOOKUP(H:H,produtos_escape2!$A$2:$D$2794,2,FALSE)),"Código não cadastrado",(VLOOKUP(H:H,produtos_escape2!$A$2:$D$2794,4,FALSE))))</f>
        <v/>
      </c>
      <c r="N1940" s="486"/>
      <c r="O1940" s="176"/>
      <c r="P1940" s="486"/>
      <c r="Q1940" s="247"/>
      <c r="R1940" s="246">
        <f t="shared" si="75"/>
        <v>0</v>
      </c>
      <c r="S1940" s="177"/>
      <c r="T1940" s="182"/>
      <c r="U1940" s="177"/>
      <c r="V1940" s="177"/>
      <c r="W1940" s="177"/>
      <c r="X1940" s="176"/>
      <c r="Y1940" s="177"/>
      <c r="Z1940" s="415"/>
      <c r="AA1940" s="488"/>
      <c r="AB1940" s="594"/>
      <c r="AC1940" s="595"/>
      <c r="AD1940" s="596" t="str">
        <f>IF(AND(AC1940&lt;&gt;"",S1940&lt;&gt;""),NETWORKDAYS(AC1940,S1940,#REF!),"")</f>
        <v/>
      </c>
      <c r="AE1940" s="596" t="str">
        <f ca="1">IF(AND(AD1940="",AC1940=""),"",IF(OR(AD1940&lt;&gt;"",O1940="*CANCELADO"),"",NETWORKDAYS(AC1940,TODAY(),#REF!)))</f>
        <v/>
      </c>
      <c r="AF1940" s="619"/>
    </row>
    <row r="1941" spans="1:32" ht="14.25" customHeight="1">
      <c r="A1941" s="176"/>
      <c r="B1941" s="176"/>
      <c r="C1941" s="177"/>
      <c r="D1941" s="176"/>
      <c r="E1941" s="176"/>
      <c r="F1941" s="259"/>
      <c r="G1941" s="176"/>
      <c r="H1941" s="178"/>
      <c r="I1941" s="592">
        <f t="shared" si="76"/>
        <v>0</v>
      </c>
      <c r="J1941" s="178"/>
      <c r="K1941" s="178"/>
      <c r="L1941" s="275" t="str">
        <f>IF(H:H=0,"",IF(ISERROR(VLOOKUP(H:H,produtos_escape2!$A$2:$B$2794,2,FALSE)),"Código não cadastrado",(VLOOKUP(H:H,produtos_escape2!$A$2:$B$2794,2,FALSE))))</f>
        <v/>
      </c>
      <c r="M1941" s="593" t="str">
        <f>IF(H:H=0,"",IF(ISERROR(VLOOKUP(H:H,produtos_escape2!$A$2:$D$2794,2,FALSE)),"Código não cadastrado",(VLOOKUP(H:H,produtos_escape2!$A$2:$D$2794,4,FALSE))))</f>
        <v/>
      </c>
      <c r="N1941" s="486"/>
      <c r="O1941" s="176"/>
      <c r="P1941" s="486"/>
      <c r="Q1941" s="247"/>
      <c r="R1941" s="246">
        <f t="shared" si="75"/>
        <v>0</v>
      </c>
      <c r="S1941" s="177"/>
      <c r="T1941" s="182"/>
      <c r="U1941" s="177"/>
      <c r="V1941" s="177"/>
      <c r="W1941" s="177"/>
      <c r="X1941" s="176"/>
      <c r="Y1941" s="177"/>
      <c r="Z1941" s="415"/>
      <c r="AA1941" s="488"/>
      <c r="AB1941" s="594"/>
      <c r="AC1941" s="595"/>
      <c r="AD1941" s="596" t="str">
        <f>IF(AND(AC1941&lt;&gt;"",S1941&lt;&gt;""),NETWORKDAYS(AC1941,S1941,#REF!),"")</f>
        <v/>
      </c>
      <c r="AE1941" s="596" t="str">
        <f ca="1">IF(AND(AD1941="",AC1941=""),"",IF(OR(AD1941&lt;&gt;"",O1941="*CANCELADO"),"",NETWORKDAYS(AC1941,TODAY(),#REF!)))</f>
        <v/>
      </c>
      <c r="AF1941" s="619"/>
    </row>
    <row r="1942" spans="1:32" ht="14.25" customHeight="1">
      <c r="A1942" s="176"/>
      <c r="B1942" s="176"/>
      <c r="C1942" s="177"/>
      <c r="D1942" s="176"/>
      <c r="E1942" s="176"/>
      <c r="F1942" s="259"/>
      <c r="G1942" s="176"/>
      <c r="H1942" s="178"/>
      <c r="I1942" s="592">
        <f t="shared" si="76"/>
        <v>0</v>
      </c>
      <c r="J1942" s="178"/>
      <c r="K1942" s="178"/>
      <c r="L1942" s="275" t="str">
        <f>IF(H:H=0,"",IF(ISERROR(VLOOKUP(H:H,produtos_escape2!$A$2:$B$2794,2,FALSE)),"Código não cadastrado",(VLOOKUP(H:H,produtos_escape2!$A$2:$B$2794,2,FALSE))))</f>
        <v/>
      </c>
      <c r="M1942" s="593" t="str">
        <f>IF(H:H=0,"",IF(ISERROR(VLOOKUP(H:H,produtos_escape2!$A$2:$D$2794,2,FALSE)),"Código não cadastrado",(VLOOKUP(H:H,produtos_escape2!$A$2:$D$2794,4,FALSE))))</f>
        <v/>
      </c>
      <c r="N1942" s="486"/>
      <c r="O1942" s="176"/>
      <c r="P1942" s="486"/>
      <c r="Q1942" s="247"/>
      <c r="R1942" s="246">
        <f t="shared" si="75"/>
        <v>0</v>
      </c>
      <c r="S1942" s="177"/>
      <c r="T1942" s="182"/>
      <c r="U1942" s="177"/>
      <c r="V1942" s="177"/>
      <c r="W1942" s="177"/>
      <c r="X1942" s="176"/>
      <c r="Y1942" s="177"/>
      <c r="Z1942" s="415"/>
      <c r="AA1942" s="488"/>
      <c r="AB1942" s="594"/>
      <c r="AC1942" s="595"/>
      <c r="AD1942" s="596" t="str">
        <f>IF(AND(AC1942&lt;&gt;"",S1942&lt;&gt;""),NETWORKDAYS(AC1942,S1942,#REF!),"")</f>
        <v/>
      </c>
      <c r="AE1942" s="596" t="str">
        <f ca="1">IF(AND(AD1942="",AC1942=""),"",IF(OR(AD1942&lt;&gt;"",O1942="*CANCELADO"),"",NETWORKDAYS(AC1942,TODAY(),#REF!)))</f>
        <v/>
      </c>
      <c r="AF1942" s="619"/>
    </row>
    <row r="1943" spans="1:32" ht="14.25" customHeight="1">
      <c r="A1943" s="176"/>
      <c r="B1943" s="176"/>
      <c r="C1943" s="177"/>
      <c r="D1943" s="176"/>
      <c r="E1943" s="176"/>
      <c r="F1943" s="259"/>
      <c r="G1943" s="176"/>
      <c r="H1943" s="178"/>
      <c r="I1943" s="592">
        <f t="shared" si="76"/>
        <v>0</v>
      </c>
      <c r="J1943" s="178"/>
      <c r="K1943" s="178"/>
      <c r="L1943" s="275" t="str">
        <f>IF(H:H=0,"",IF(ISERROR(VLOOKUP(H:H,produtos_escape2!$A$2:$B$2794,2,FALSE)),"Código não cadastrado",(VLOOKUP(H:H,produtos_escape2!$A$2:$B$2794,2,FALSE))))</f>
        <v/>
      </c>
      <c r="M1943" s="593" t="str">
        <f>IF(H:H=0,"",IF(ISERROR(VLOOKUP(H:H,produtos_escape2!$A$2:$D$2794,2,FALSE)),"Código não cadastrado",(VLOOKUP(H:H,produtos_escape2!$A$2:$D$2794,4,FALSE))))</f>
        <v/>
      </c>
      <c r="N1943" s="486"/>
      <c r="O1943" s="176"/>
      <c r="P1943" s="486"/>
      <c r="Q1943" s="247"/>
      <c r="R1943" s="246">
        <f t="shared" si="75"/>
        <v>0</v>
      </c>
      <c r="S1943" s="177"/>
      <c r="T1943" s="182"/>
      <c r="U1943" s="177"/>
      <c r="V1943" s="177"/>
      <c r="W1943" s="177"/>
      <c r="X1943" s="176"/>
      <c r="Y1943" s="177"/>
      <c r="Z1943" s="415"/>
      <c r="AA1943" s="488"/>
      <c r="AB1943" s="594"/>
      <c r="AC1943" s="595"/>
      <c r="AD1943" s="596" t="str">
        <f>IF(AND(AC1943&lt;&gt;"",S1943&lt;&gt;""),NETWORKDAYS(AC1943,S1943,#REF!),"")</f>
        <v/>
      </c>
      <c r="AE1943" s="596" t="str">
        <f ca="1">IF(AND(AD1943="",AC1943=""),"",IF(OR(AD1943&lt;&gt;"",O1943="*CANCELADO"),"",NETWORKDAYS(AC1943,TODAY(),#REF!)))</f>
        <v/>
      </c>
      <c r="AF1943" s="619"/>
    </row>
    <row r="1944" spans="1:32" ht="14.25" customHeight="1">
      <c r="A1944" s="176"/>
      <c r="B1944" s="176"/>
      <c r="C1944" s="177"/>
      <c r="D1944" s="176"/>
      <c r="E1944" s="176"/>
      <c r="F1944" s="259"/>
      <c r="G1944" s="176"/>
      <c r="H1944" s="178"/>
      <c r="I1944" s="592">
        <f t="shared" si="76"/>
        <v>0</v>
      </c>
      <c r="J1944" s="178"/>
      <c r="K1944" s="178"/>
      <c r="L1944" s="275" t="str">
        <f>IF(H:H=0,"",IF(ISERROR(VLOOKUP(H:H,produtos_escape2!$A$2:$B$2794,2,FALSE)),"Código não cadastrado",(VLOOKUP(H:H,produtos_escape2!$A$2:$B$2794,2,FALSE))))</f>
        <v/>
      </c>
      <c r="M1944" s="593" t="str">
        <f>IF(H:H=0,"",IF(ISERROR(VLOOKUP(H:H,produtos_escape2!$A$2:$D$2794,2,FALSE)),"Código não cadastrado",(VLOOKUP(H:H,produtos_escape2!$A$2:$D$2794,4,FALSE))))</f>
        <v/>
      </c>
      <c r="N1944" s="486"/>
      <c r="O1944" s="176"/>
      <c r="P1944" s="486"/>
      <c r="Q1944" s="247"/>
      <c r="R1944" s="246">
        <f t="shared" si="75"/>
        <v>0</v>
      </c>
      <c r="S1944" s="177"/>
      <c r="T1944" s="182"/>
      <c r="U1944" s="177"/>
      <c r="V1944" s="177"/>
      <c r="W1944" s="177"/>
      <c r="X1944" s="176"/>
      <c r="Y1944" s="177"/>
      <c r="Z1944" s="415"/>
      <c r="AA1944" s="488"/>
      <c r="AB1944" s="594"/>
      <c r="AC1944" s="595"/>
      <c r="AD1944" s="596" t="str">
        <f>IF(AND(AC1944&lt;&gt;"",S1944&lt;&gt;""),NETWORKDAYS(AC1944,S1944,#REF!),"")</f>
        <v/>
      </c>
      <c r="AE1944" s="596" t="str">
        <f ca="1">IF(AND(AD1944="",AC1944=""),"",IF(OR(AD1944&lt;&gt;"",O1944="*CANCELADO"),"",NETWORKDAYS(AC1944,TODAY(),#REF!)))</f>
        <v/>
      </c>
      <c r="AF1944" s="619"/>
    </row>
    <row r="1945" spans="1:32" ht="14.25" customHeight="1">
      <c r="A1945" s="176"/>
      <c r="B1945" s="176"/>
      <c r="C1945" s="177"/>
      <c r="D1945" s="176"/>
      <c r="E1945" s="176"/>
      <c r="F1945" s="259"/>
      <c r="G1945" s="176"/>
      <c r="H1945" s="178"/>
      <c r="I1945" s="592">
        <f t="shared" si="76"/>
        <v>0</v>
      </c>
      <c r="J1945" s="178"/>
      <c r="K1945" s="178"/>
      <c r="L1945" s="275" t="str">
        <f>IF(H:H=0,"",IF(ISERROR(VLOOKUP(H:H,produtos_escape2!$A$2:$B$2794,2,FALSE)),"Código não cadastrado",(VLOOKUP(H:H,produtos_escape2!$A$2:$B$2794,2,FALSE))))</f>
        <v/>
      </c>
      <c r="M1945" s="593" t="str">
        <f>IF(H:H=0,"",IF(ISERROR(VLOOKUP(H:H,produtos_escape2!$A$2:$D$2794,2,FALSE)),"Código não cadastrado",(VLOOKUP(H:H,produtos_escape2!$A$2:$D$2794,4,FALSE))))</f>
        <v/>
      </c>
      <c r="N1945" s="486"/>
      <c r="O1945" s="176"/>
      <c r="P1945" s="486"/>
      <c r="Q1945" s="247"/>
      <c r="R1945" s="246">
        <f t="shared" si="75"/>
        <v>0</v>
      </c>
      <c r="S1945" s="177"/>
      <c r="T1945" s="182"/>
      <c r="U1945" s="177"/>
      <c r="V1945" s="177"/>
      <c r="W1945" s="177"/>
      <c r="X1945" s="176"/>
      <c r="Y1945" s="177"/>
      <c r="Z1945" s="415"/>
      <c r="AA1945" s="488"/>
      <c r="AB1945" s="594"/>
      <c r="AC1945" s="595"/>
      <c r="AD1945" s="596" t="str">
        <f>IF(AND(AC1945&lt;&gt;"",S1945&lt;&gt;""),NETWORKDAYS(AC1945,S1945,#REF!),"")</f>
        <v/>
      </c>
      <c r="AE1945" s="596" t="str">
        <f ca="1">IF(AND(AD1945="",AC1945=""),"",IF(OR(AD1945&lt;&gt;"",O1945="*CANCELADO"),"",NETWORKDAYS(AC1945,TODAY(),#REF!)))</f>
        <v/>
      </c>
      <c r="AF1945" s="619"/>
    </row>
    <row r="1946" spans="1:32" ht="14.25" customHeight="1">
      <c r="A1946" s="176"/>
      <c r="B1946" s="176"/>
      <c r="C1946" s="177"/>
      <c r="D1946" s="176"/>
      <c r="E1946" s="176"/>
      <c r="F1946" s="259"/>
      <c r="G1946" s="176"/>
      <c r="H1946" s="178"/>
      <c r="I1946" s="592">
        <f t="shared" si="76"/>
        <v>0</v>
      </c>
      <c r="J1946" s="178"/>
      <c r="K1946" s="178"/>
      <c r="L1946" s="275" t="str">
        <f>IF(H:H=0,"",IF(ISERROR(VLOOKUP(H:H,produtos_escape2!$A$2:$B$2794,2,FALSE)),"Código não cadastrado",(VLOOKUP(H:H,produtos_escape2!$A$2:$B$2794,2,FALSE))))</f>
        <v/>
      </c>
      <c r="M1946" s="593" t="str">
        <f>IF(H:H=0,"",IF(ISERROR(VLOOKUP(H:H,produtos_escape2!$A$2:$D$2794,2,FALSE)),"Código não cadastrado",(VLOOKUP(H:H,produtos_escape2!$A$2:$D$2794,4,FALSE))))</f>
        <v/>
      </c>
      <c r="N1946" s="486"/>
      <c r="O1946" s="176"/>
      <c r="P1946" s="486"/>
      <c r="Q1946" s="247"/>
      <c r="R1946" s="246">
        <f t="shared" si="75"/>
        <v>0</v>
      </c>
      <c r="S1946" s="177"/>
      <c r="T1946" s="182"/>
      <c r="U1946" s="177"/>
      <c r="V1946" s="177"/>
      <c r="W1946" s="177"/>
      <c r="X1946" s="176"/>
      <c r="Y1946" s="177"/>
      <c r="Z1946" s="415"/>
      <c r="AA1946" s="488"/>
      <c r="AB1946" s="594"/>
      <c r="AC1946" s="595"/>
      <c r="AD1946" s="596" t="str">
        <f>IF(AND(AC1946&lt;&gt;"",S1946&lt;&gt;""),NETWORKDAYS(AC1946,S1946,#REF!),"")</f>
        <v/>
      </c>
      <c r="AE1946" s="596" t="str">
        <f ca="1">IF(AND(AD1946="",AC1946=""),"",IF(OR(AD1946&lt;&gt;"",O1946="*CANCELADO"),"",NETWORKDAYS(AC1946,TODAY(),#REF!)))</f>
        <v/>
      </c>
      <c r="AF1946" s="619"/>
    </row>
    <row r="1947" spans="1:32" ht="14.25" customHeight="1">
      <c r="A1947" s="176"/>
      <c r="B1947" s="176"/>
      <c r="C1947" s="177"/>
      <c r="D1947" s="176"/>
      <c r="E1947" s="176"/>
      <c r="F1947" s="259"/>
      <c r="G1947" s="176"/>
      <c r="H1947" s="178"/>
      <c r="I1947" s="592">
        <f t="shared" si="76"/>
        <v>0</v>
      </c>
      <c r="J1947" s="178"/>
      <c r="K1947" s="178"/>
      <c r="L1947" s="275" t="str">
        <f>IF(H:H=0,"",IF(ISERROR(VLOOKUP(H:H,produtos_escape2!$A$2:$B$2794,2,FALSE)),"Código não cadastrado",(VLOOKUP(H:H,produtos_escape2!$A$2:$B$2794,2,FALSE))))</f>
        <v/>
      </c>
      <c r="M1947" s="593" t="str">
        <f>IF(H:H=0,"",IF(ISERROR(VLOOKUP(H:H,produtos_escape2!$A$2:$D$2794,2,FALSE)),"Código não cadastrado",(VLOOKUP(H:H,produtos_escape2!$A$2:$D$2794,4,FALSE))))</f>
        <v/>
      </c>
      <c r="N1947" s="486"/>
      <c r="O1947" s="176"/>
      <c r="P1947" s="486"/>
      <c r="Q1947" s="247"/>
      <c r="R1947" s="246">
        <f t="shared" si="75"/>
        <v>0</v>
      </c>
      <c r="S1947" s="177"/>
      <c r="T1947" s="182"/>
      <c r="U1947" s="177"/>
      <c r="V1947" s="177"/>
      <c r="W1947" s="177"/>
      <c r="X1947" s="176"/>
      <c r="Y1947" s="177"/>
      <c r="Z1947" s="415"/>
      <c r="AA1947" s="488"/>
      <c r="AB1947" s="594"/>
      <c r="AC1947" s="595"/>
      <c r="AD1947" s="596" t="str">
        <f>IF(AND(AC1947&lt;&gt;"",S1947&lt;&gt;""),NETWORKDAYS(AC1947,S1947,#REF!),"")</f>
        <v/>
      </c>
      <c r="AE1947" s="596" t="str">
        <f ca="1">IF(AND(AD1947="",AC1947=""),"",IF(OR(AD1947&lt;&gt;"",O1947="*CANCELADO"),"",NETWORKDAYS(AC1947,TODAY(),#REF!)))</f>
        <v/>
      </c>
      <c r="AF1947" s="619"/>
    </row>
    <row r="1948" spans="1:32" ht="14.25" customHeight="1">
      <c r="A1948" s="176"/>
      <c r="B1948" s="176"/>
      <c r="C1948" s="177"/>
      <c r="D1948" s="176"/>
      <c r="E1948" s="176"/>
      <c r="F1948" s="259"/>
      <c r="G1948" s="176"/>
      <c r="H1948" s="178"/>
      <c r="I1948" s="592">
        <f t="shared" si="76"/>
        <v>0</v>
      </c>
      <c r="J1948" s="178"/>
      <c r="K1948" s="178"/>
      <c r="L1948" s="275" t="str">
        <f>IF(H:H=0,"",IF(ISERROR(VLOOKUP(H:H,produtos_escape2!$A$2:$B$2794,2,FALSE)),"Código não cadastrado",(VLOOKUP(H:H,produtos_escape2!$A$2:$B$2794,2,FALSE))))</f>
        <v/>
      </c>
      <c r="M1948" s="593" t="str">
        <f>IF(H:H=0,"",IF(ISERROR(VLOOKUP(H:H,produtos_escape2!$A$2:$D$2794,2,FALSE)),"Código não cadastrado",(VLOOKUP(H:H,produtos_escape2!$A$2:$D$2794,4,FALSE))))</f>
        <v/>
      </c>
      <c r="N1948" s="486"/>
      <c r="O1948" s="176"/>
      <c r="P1948" s="486"/>
      <c r="Q1948" s="247"/>
      <c r="R1948" s="246">
        <f t="shared" si="75"/>
        <v>0</v>
      </c>
      <c r="S1948" s="177"/>
      <c r="T1948" s="182"/>
      <c r="U1948" s="177"/>
      <c r="V1948" s="177"/>
      <c r="W1948" s="177"/>
      <c r="X1948" s="176"/>
      <c r="Y1948" s="177"/>
      <c r="Z1948" s="415"/>
      <c r="AA1948" s="488"/>
      <c r="AB1948" s="594"/>
      <c r="AC1948" s="595"/>
      <c r="AD1948" s="596" t="str">
        <f>IF(AND(AC1948&lt;&gt;"",S1948&lt;&gt;""),NETWORKDAYS(AC1948,S1948,#REF!),"")</f>
        <v/>
      </c>
      <c r="AE1948" s="596" t="str">
        <f ca="1">IF(AND(AD1948="",AC1948=""),"",IF(OR(AD1948&lt;&gt;"",O1948="*CANCELADO"),"",NETWORKDAYS(AC1948,TODAY(),#REF!)))</f>
        <v/>
      </c>
      <c r="AF1948" s="619"/>
    </row>
    <row r="1949" spans="1:32" ht="14.25" customHeight="1">
      <c r="A1949" s="176"/>
      <c r="B1949" s="176"/>
      <c r="C1949" s="177"/>
      <c r="D1949" s="176"/>
      <c r="E1949" s="176"/>
      <c r="F1949" s="259"/>
      <c r="G1949" s="176"/>
      <c r="H1949" s="178"/>
      <c r="I1949" s="592">
        <f t="shared" si="76"/>
        <v>0</v>
      </c>
      <c r="J1949" s="178"/>
      <c r="K1949" s="178"/>
      <c r="L1949" s="275" t="str">
        <f>IF(H:H=0,"",IF(ISERROR(VLOOKUP(H:H,produtos_escape2!$A$2:$B$2794,2,FALSE)),"Código não cadastrado",(VLOOKUP(H:H,produtos_escape2!$A$2:$B$2794,2,FALSE))))</f>
        <v/>
      </c>
      <c r="M1949" s="593" t="str">
        <f>IF(H:H=0,"",IF(ISERROR(VLOOKUP(H:H,produtos_escape2!$A$2:$D$2794,2,FALSE)),"Código não cadastrado",(VLOOKUP(H:H,produtos_escape2!$A$2:$D$2794,4,FALSE))))</f>
        <v/>
      </c>
      <c r="N1949" s="486"/>
      <c r="O1949" s="176"/>
      <c r="P1949" s="486"/>
      <c r="Q1949" s="247"/>
      <c r="R1949" s="246">
        <f t="shared" si="75"/>
        <v>0</v>
      </c>
      <c r="S1949" s="177"/>
      <c r="T1949" s="182"/>
      <c r="U1949" s="177"/>
      <c r="V1949" s="177"/>
      <c r="W1949" s="177"/>
      <c r="X1949" s="176"/>
      <c r="Y1949" s="177"/>
      <c r="Z1949" s="415"/>
      <c r="AA1949" s="488"/>
      <c r="AB1949" s="594"/>
      <c r="AC1949" s="595"/>
      <c r="AD1949" s="596" t="str">
        <f>IF(AND(AC1949&lt;&gt;"",S1949&lt;&gt;""),NETWORKDAYS(AC1949,S1949,#REF!),"")</f>
        <v/>
      </c>
      <c r="AE1949" s="596" t="str">
        <f ca="1">IF(AND(AD1949="",AC1949=""),"",IF(OR(AD1949&lt;&gt;"",O1949="*CANCELADO"),"",NETWORKDAYS(AC1949,TODAY(),#REF!)))</f>
        <v/>
      </c>
      <c r="AF1949" s="619"/>
    </row>
    <row r="1950" spans="1:32" ht="14.25" customHeight="1">
      <c r="A1950" s="176"/>
      <c r="B1950" s="176"/>
      <c r="C1950" s="177"/>
      <c r="D1950" s="176"/>
      <c r="E1950" s="176"/>
      <c r="F1950" s="259"/>
      <c r="G1950" s="176"/>
      <c r="H1950" s="178"/>
      <c r="I1950" s="592">
        <f t="shared" si="76"/>
        <v>0</v>
      </c>
      <c r="J1950" s="178"/>
      <c r="K1950" s="178"/>
      <c r="L1950" s="275" t="str">
        <f>IF(H:H=0,"",IF(ISERROR(VLOOKUP(H:H,produtos_escape2!$A$2:$B$2794,2,FALSE)),"Código não cadastrado",(VLOOKUP(H:H,produtos_escape2!$A$2:$B$2794,2,FALSE))))</f>
        <v/>
      </c>
      <c r="M1950" s="593" t="str">
        <f>IF(H:H=0,"",IF(ISERROR(VLOOKUP(H:H,produtos_escape2!$A$2:$D$2794,2,FALSE)),"Código não cadastrado",(VLOOKUP(H:H,produtos_escape2!$A$2:$D$2794,4,FALSE))))</f>
        <v/>
      </c>
      <c r="N1950" s="486"/>
      <c r="O1950" s="176"/>
      <c r="P1950" s="486"/>
      <c r="Q1950" s="247"/>
      <c r="R1950" s="246">
        <f t="shared" si="75"/>
        <v>0</v>
      </c>
      <c r="S1950" s="177"/>
      <c r="T1950" s="182"/>
      <c r="U1950" s="177"/>
      <c r="V1950" s="177"/>
      <c r="W1950" s="177"/>
      <c r="X1950" s="176"/>
      <c r="Y1950" s="177"/>
      <c r="Z1950" s="415"/>
      <c r="AA1950" s="488"/>
      <c r="AB1950" s="594"/>
      <c r="AC1950" s="595"/>
      <c r="AD1950" s="596" t="str">
        <f>IF(AND(AC1950&lt;&gt;"",S1950&lt;&gt;""),NETWORKDAYS(AC1950,S1950,#REF!),"")</f>
        <v/>
      </c>
      <c r="AE1950" s="596" t="str">
        <f ca="1">IF(AND(AD1950="",AC1950=""),"",IF(OR(AD1950&lt;&gt;"",O1950="*CANCELADO"),"",NETWORKDAYS(AC1950,TODAY(),#REF!)))</f>
        <v/>
      </c>
      <c r="AF1950" s="619"/>
    </row>
    <row r="1951" spans="1:32" ht="14.25" customHeight="1">
      <c r="A1951" s="176"/>
      <c r="B1951" s="176"/>
      <c r="C1951" s="177"/>
      <c r="D1951" s="176"/>
      <c r="E1951" s="176"/>
      <c r="F1951" s="259"/>
      <c r="G1951" s="176"/>
      <c r="H1951" s="178"/>
      <c r="I1951" s="592">
        <f t="shared" si="76"/>
        <v>0</v>
      </c>
      <c r="J1951" s="178"/>
      <c r="K1951" s="178"/>
      <c r="L1951" s="275" t="str">
        <f>IF(H:H=0,"",IF(ISERROR(VLOOKUP(H:H,produtos_escape2!$A$2:$B$2794,2,FALSE)),"Código não cadastrado",(VLOOKUP(H:H,produtos_escape2!$A$2:$B$2794,2,FALSE))))</f>
        <v/>
      </c>
      <c r="M1951" s="593" t="str">
        <f>IF(H:H=0,"",IF(ISERROR(VLOOKUP(H:H,produtos_escape2!$A$2:$D$2794,2,FALSE)),"Código não cadastrado",(VLOOKUP(H:H,produtos_escape2!$A$2:$D$2794,4,FALSE))))</f>
        <v/>
      </c>
      <c r="N1951" s="486"/>
      <c r="O1951" s="176"/>
      <c r="P1951" s="486"/>
      <c r="Q1951" s="247"/>
      <c r="R1951" s="246">
        <f t="shared" si="75"/>
        <v>0</v>
      </c>
      <c r="S1951" s="177"/>
      <c r="T1951" s="182"/>
      <c r="U1951" s="177"/>
      <c r="V1951" s="177"/>
      <c r="W1951" s="177"/>
      <c r="X1951" s="176"/>
      <c r="Y1951" s="177"/>
      <c r="Z1951" s="415"/>
      <c r="AA1951" s="488"/>
      <c r="AB1951" s="594"/>
      <c r="AC1951" s="595"/>
      <c r="AD1951" s="596" t="str">
        <f>IF(AND(AC1951&lt;&gt;"",S1951&lt;&gt;""),NETWORKDAYS(AC1951,S1951,#REF!),"")</f>
        <v/>
      </c>
      <c r="AE1951" s="596" t="str">
        <f ca="1">IF(AND(AD1951="",AC1951=""),"",IF(OR(AD1951&lt;&gt;"",O1951="*CANCELADO"),"",NETWORKDAYS(AC1951,TODAY(),#REF!)))</f>
        <v/>
      </c>
      <c r="AF1951" s="619"/>
    </row>
    <row r="1952" spans="1:32" ht="14.25" customHeight="1">
      <c r="A1952" s="176"/>
      <c r="B1952" s="176"/>
      <c r="C1952" s="177"/>
      <c r="D1952" s="176"/>
      <c r="E1952" s="176"/>
      <c r="F1952" s="259"/>
      <c r="G1952" s="176"/>
      <c r="H1952" s="178"/>
      <c r="I1952" s="592">
        <f t="shared" si="76"/>
        <v>0</v>
      </c>
      <c r="J1952" s="178"/>
      <c r="K1952" s="178"/>
      <c r="L1952" s="275" t="str">
        <f>IF(H:H=0,"",IF(ISERROR(VLOOKUP(H:H,produtos_escape2!$A$2:$B$2794,2,FALSE)),"Código não cadastrado",(VLOOKUP(H:H,produtos_escape2!$A$2:$B$2794,2,FALSE))))</f>
        <v/>
      </c>
      <c r="M1952" s="593" t="str">
        <f>IF(H:H=0,"",IF(ISERROR(VLOOKUP(H:H,produtos_escape2!$A$2:$D$2794,2,FALSE)),"Código não cadastrado",(VLOOKUP(H:H,produtos_escape2!$A$2:$D$2794,4,FALSE))))</f>
        <v/>
      </c>
      <c r="N1952" s="486"/>
      <c r="O1952" s="176"/>
      <c r="P1952" s="486"/>
      <c r="Q1952" s="247"/>
      <c r="R1952" s="246">
        <f t="shared" si="75"/>
        <v>0</v>
      </c>
      <c r="S1952" s="177"/>
      <c r="T1952" s="182"/>
      <c r="U1952" s="177"/>
      <c r="V1952" s="177"/>
      <c r="W1952" s="177"/>
      <c r="X1952" s="176"/>
      <c r="Y1952" s="177"/>
      <c r="Z1952" s="415"/>
      <c r="AA1952" s="488"/>
      <c r="AB1952" s="594"/>
      <c r="AC1952" s="595"/>
      <c r="AD1952" s="596" t="str">
        <f>IF(AND(AC1952&lt;&gt;"",S1952&lt;&gt;""),NETWORKDAYS(AC1952,S1952,#REF!),"")</f>
        <v/>
      </c>
      <c r="AE1952" s="596" t="str">
        <f ca="1">IF(AND(AD1952="",AC1952=""),"",IF(OR(AD1952&lt;&gt;"",O1952="*CANCELADO"),"",NETWORKDAYS(AC1952,TODAY(),#REF!)))</f>
        <v/>
      </c>
      <c r="AF1952" s="619"/>
    </row>
    <row r="1953" spans="1:32" ht="14.25" customHeight="1">
      <c r="A1953" s="176"/>
      <c r="B1953" s="176"/>
      <c r="C1953" s="177"/>
      <c r="D1953" s="176"/>
      <c r="E1953" s="176"/>
      <c r="F1953" s="259"/>
      <c r="G1953" s="176"/>
      <c r="H1953" s="178"/>
      <c r="I1953" s="592">
        <f t="shared" si="76"/>
        <v>0</v>
      </c>
      <c r="J1953" s="178"/>
      <c r="K1953" s="178"/>
      <c r="L1953" s="275" t="str">
        <f>IF(H:H=0,"",IF(ISERROR(VLOOKUP(H:H,produtos_escape2!$A$2:$B$2794,2,FALSE)),"Código não cadastrado",(VLOOKUP(H:H,produtos_escape2!$A$2:$B$2794,2,FALSE))))</f>
        <v/>
      </c>
      <c r="M1953" s="593" t="str">
        <f>IF(H:H=0,"",IF(ISERROR(VLOOKUP(H:H,produtos_escape2!$A$2:$D$2794,2,FALSE)),"Código não cadastrado",(VLOOKUP(H:H,produtos_escape2!$A$2:$D$2794,4,FALSE))))</f>
        <v/>
      </c>
      <c r="N1953" s="486"/>
      <c r="O1953" s="176"/>
      <c r="P1953" s="486"/>
      <c r="Q1953" s="247"/>
      <c r="R1953" s="246">
        <f t="shared" si="75"/>
        <v>0</v>
      </c>
      <c r="S1953" s="177"/>
      <c r="T1953" s="182"/>
      <c r="U1953" s="177"/>
      <c r="V1953" s="177"/>
      <c r="W1953" s="177"/>
      <c r="X1953" s="176"/>
      <c r="Y1953" s="177"/>
      <c r="Z1953" s="415"/>
      <c r="AA1953" s="488"/>
      <c r="AB1953" s="594"/>
      <c r="AC1953" s="595"/>
      <c r="AD1953" s="596" t="str">
        <f>IF(AND(AC1953&lt;&gt;"",S1953&lt;&gt;""),NETWORKDAYS(AC1953,S1953,#REF!),"")</f>
        <v/>
      </c>
      <c r="AE1953" s="596" t="str">
        <f ca="1">IF(AND(AD1953="",AC1953=""),"",IF(OR(AD1953&lt;&gt;"",O1953="*CANCELADO"),"",NETWORKDAYS(AC1953,TODAY(),#REF!)))</f>
        <v/>
      </c>
      <c r="AF1953" s="619"/>
    </row>
    <row r="1954" spans="1:32" ht="14.25" customHeight="1">
      <c r="A1954" s="176"/>
      <c r="B1954" s="176"/>
      <c r="C1954" s="177"/>
      <c r="D1954" s="176"/>
      <c r="E1954" s="176"/>
      <c r="F1954" s="259"/>
      <c r="G1954" s="176"/>
      <c r="H1954" s="178"/>
      <c r="I1954" s="592">
        <f t="shared" si="76"/>
        <v>0</v>
      </c>
      <c r="J1954" s="178"/>
      <c r="K1954" s="178"/>
      <c r="L1954" s="275" t="str">
        <f>IF(H:H=0,"",IF(ISERROR(VLOOKUP(H:H,produtos_escape2!$A$2:$B$2794,2,FALSE)),"Código não cadastrado",(VLOOKUP(H:H,produtos_escape2!$A$2:$B$2794,2,FALSE))))</f>
        <v/>
      </c>
      <c r="M1954" s="593" t="str">
        <f>IF(H:H=0,"",IF(ISERROR(VLOOKUP(H:H,produtos_escape2!$A$2:$D$2794,2,FALSE)),"Código não cadastrado",(VLOOKUP(H:H,produtos_escape2!$A$2:$D$2794,4,FALSE))))</f>
        <v/>
      </c>
      <c r="N1954" s="486"/>
      <c r="O1954" s="176"/>
      <c r="P1954" s="486"/>
      <c r="Q1954" s="247"/>
      <c r="R1954" s="246">
        <f t="shared" si="75"/>
        <v>0</v>
      </c>
      <c r="S1954" s="177"/>
      <c r="T1954" s="182"/>
      <c r="U1954" s="177"/>
      <c r="V1954" s="177"/>
      <c r="W1954" s="177"/>
      <c r="X1954" s="176"/>
      <c r="Y1954" s="177"/>
      <c r="Z1954" s="415"/>
      <c r="AA1954" s="488"/>
      <c r="AB1954" s="594"/>
      <c r="AC1954" s="595"/>
      <c r="AD1954" s="596" t="str">
        <f>IF(AND(AC1954&lt;&gt;"",S1954&lt;&gt;""),NETWORKDAYS(AC1954,S1954,#REF!),"")</f>
        <v/>
      </c>
      <c r="AE1954" s="596" t="str">
        <f ca="1">IF(AND(AD1954="",AC1954=""),"",IF(OR(AD1954&lt;&gt;"",O1954="*CANCELADO"),"",NETWORKDAYS(AC1954,TODAY(),#REF!)))</f>
        <v/>
      </c>
      <c r="AF1954" s="619"/>
    </row>
    <row r="1955" spans="1:32" ht="14.25" customHeight="1">
      <c r="A1955" s="176"/>
      <c r="B1955" s="176"/>
      <c r="C1955" s="177"/>
      <c r="D1955" s="176"/>
      <c r="E1955" s="176"/>
      <c r="F1955" s="259"/>
      <c r="G1955" s="176"/>
      <c r="H1955" s="178"/>
      <c r="I1955" s="592">
        <f t="shared" si="76"/>
        <v>0</v>
      </c>
      <c r="J1955" s="178"/>
      <c r="K1955" s="178"/>
      <c r="L1955" s="275" t="str">
        <f>IF(H:H=0,"",IF(ISERROR(VLOOKUP(H:H,produtos_escape2!$A$2:$B$2794,2,FALSE)),"Código não cadastrado",(VLOOKUP(H:H,produtos_escape2!$A$2:$B$2794,2,FALSE))))</f>
        <v/>
      </c>
      <c r="M1955" s="593" t="str">
        <f>IF(H:H=0,"",IF(ISERROR(VLOOKUP(H:H,produtos_escape2!$A$2:$D$2794,2,FALSE)),"Código não cadastrado",(VLOOKUP(H:H,produtos_escape2!$A$2:$D$2794,4,FALSE))))</f>
        <v/>
      </c>
      <c r="N1955" s="486"/>
      <c r="O1955" s="176"/>
      <c r="P1955" s="486"/>
      <c r="Q1955" s="247"/>
      <c r="R1955" s="246">
        <f t="shared" si="75"/>
        <v>0</v>
      </c>
      <c r="S1955" s="177"/>
      <c r="T1955" s="182"/>
      <c r="U1955" s="177"/>
      <c r="V1955" s="177"/>
      <c r="W1955" s="177"/>
      <c r="X1955" s="176"/>
      <c r="Y1955" s="177"/>
      <c r="Z1955" s="415"/>
      <c r="AA1955" s="488"/>
      <c r="AB1955" s="594"/>
      <c r="AC1955" s="595"/>
      <c r="AD1955" s="596" t="str">
        <f>IF(AND(AC1955&lt;&gt;"",S1955&lt;&gt;""),NETWORKDAYS(AC1955,S1955,#REF!),"")</f>
        <v/>
      </c>
      <c r="AE1955" s="596" t="str">
        <f ca="1">IF(AND(AD1955="",AC1955=""),"",IF(OR(AD1955&lt;&gt;"",O1955="*CANCELADO"),"",NETWORKDAYS(AC1955,TODAY(),#REF!)))</f>
        <v/>
      </c>
      <c r="AF1955" s="619"/>
    </row>
    <row r="1956" spans="1:32" ht="14.25" customHeight="1">
      <c r="A1956" s="176"/>
      <c r="B1956" s="176"/>
      <c r="C1956" s="177"/>
      <c r="D1956" s="176"/>
      <c r="E1956" s="176"/>
      <c r="F1956" s="259"/>
      <c r="G1956" s="176"/>
      <c r="H1956" s="178"/>
      <c r="I1956" s="592">
        <f t="shared" si="76"/>
        <v>0</v>
      </c>
      <c r="J1956" s="178"/>
      <c r="K1956" s="178"/>
      <c r="L1956" s="275" t="str">
        <f>IF(H:H=0,"",IF(ISERROR(VLOOKUP(H:H,produtos_escape2!$A$2:$B$2794,2,FALSE)),"Código não cadastrado",(VLOOKUP(H:H,produtos_escape2!$A$2:$B$2794,2,FALSE))))</f>
        <v/>
      </c>
      <c r="M1956" s="593" t="str">
        <f>IF(H:H=0,"",IF(ISERROR(VLOOKUP(H:H,produtos_escape2!$A$2:$D$2794,2,FALSE)),"Código não cadastrado",(VLOOKUP(H:H,produtos_escape2!$A$2:$D$2794,4,FALSE))))</f>
        <v/>
      </c>
      <c r="N1956" s="486"/>
      <c r="O1956" s="176"/>
      <c r="P1956" s="486"/>
      <c r="Q1956" s="247"/>
      <c r="R1956" s="246">
        <f t="shared" si="75"/>
        <v>0</v>
      </c>
      <c r="S1956" s="177"/>
      <c r="T1956" s="182"/>
      <c r="U1956" s="177"/>
      <c r="V1956" s="177"/>
      <c r="W1956" s="177"/>
      <c r="X1956" s="176"/>
      <c r="Y1956" s="177"/>
      <c r="Z1956" s="415"/>
      <c r="AA1956" s="488"/>
      <c r="AB1956" s="594"/>
      <c r="AC1956" s="595"/>
      <c r="AD1956" s="596" t="str">
        <f>IF(AND(AC1956&lt;&gt;"",S1956&lt;&gt;""),NETWORKDAYS(AC1956,S1956,#REF!),"")</f>
        <v/>
      </c>
      <c r="AE1956" s="596" t="str">
        <f ca="1">IF(AND(AD1956="",AC1956=""),"",IF(OR(AD1956&lt;&gt;"",O1956="*CANCELADO"),"",NETWORKDAYS(AC1956,TODAY(),#REF!)))</f>
        <v/>
      </c>
      <c r="AF1956" s="619"/>
    </row>
    <row r="1957" spans="1:32" ht="14.25" customHeight="1">
      <c r="A1957" s="176"/>
      <c r="B1957" s="176"/>
      <c r="C1957" s="177"/>
      <c r="D1957" s="176"/>
      <c r="E1957" s="176"/>
      <c r="F1957" s="259"/>
      <c r="G1957" s="176"/>
      <c r="H1957" s="178"/>
      <c r="I1957" s="592">
        <f t="shared" si="76"/>
        <v>0</v>
      </c>
      <c r="J1957" s="178"/>
      <c r="K1957" s="178"/>
      <c r="L1957" s="275" t="str">
        <f>IF(H:H=0,"",IF(ISERROR(VLOOKUP(H:H,produtos_escape2!$A$2:$B$2794,2,FALSE)),"Código não cadastrado",(VLOOKUP(H:H,produtos_escape2!$A$2:$B$2794,2,FALSE))))</f>
        <v/>
      </c>
      <c r="M1957" s="593" t="str">
        <f>IF(H:H=0,"",IF(ISERROR(VLOOKUP(H:H,produtos_escape2!$A$2:$D$2794,2,FALSE)),"Código não cadastrado",(VLOOKUP(H:H,produtos_escape2!$A$2:$D$2794,4,FALSE))))</f>
        <v/>
      </c>
      <c r="N1957" s="486"/>
      <c r="O1957" s="176"/>
      <c r="P1957" s="486"/>
      <c r="Q1957" s="247"/>
      <c r="R1957" s="246">
        <f t="shared" si="75"/>
        <v>0</v>
      </c>
      <c r="S1957" s="177"/>
      <c r="T1957" s="182"/>
      <c r="U1957" s="177"/>
      <c r="V1957" s="177"/>
      <c r="W1957" s="177"/>
      <c r="X1957" s="176"/>
      <c r="Y1957" s="177"/>
      <c r="Z1957" s="415"/>
      <c r="AA1957" s="488"/>
      <c r="AB1957" s="594"/>
      <c r="AC1957" s="595"/>
      <c r="AD1957" s="596" t="str">
        <f>IF(AND(AC1957&lt;&gt;"",S1957&lt;&gt;""),NETWORKDAYS(AC1957,S1957,#REF!),"")</f>
        <v/>
      </c>
      <c r="AE1957" s="596" t="str">
        <f ca="1">IF(AND(AD1957="",AC1957=""),"",IF(OR(AD1957&lt;&gt;"",O1957="*CANCELADO"),"",NETWORKDAYS(AC1957,TODAY(),#REF!)))</f>
        <v/>
      </c>
      <c r="AF1957" s="619"/>
    </row>
    <row r="1958" spans="1:32" ht="14.25" customHeight="1">
      <c r="A1958" s="176"/>
      <c r="B1958" s="176"/>
      <c r="C1958" s="177"/>
      <c r="D1958" s="176"/>
      <c r="E1958" s="176"/>
      <c r="F1958" s="259"/>
      <c r="G1958" s="176"/>
      <c r="H1958" s="178"/>
      <c r="I1958" s="592">
        <f t="shared" si="76"/>
        <v>0</v>
      </c>
      <c r="J1958" s="178"/>
      <c r="K1958" s="178"/>
      <c r="L1958" s="275" t="str">
        <f>IF(H:H=0,"",IF(ISERROR(VLOOKUP(H:H,produtos_escape2!$A$2:$B$2794,2,FALSE)),"Código não cadastrado",(VLOOKUP(H:H,produtos_escape2!$A$2:$B$2794,2,FALSE))))</f>
        <v/>
      </c>
      <c r="M1958" s="593" t="str">
        <f>IF(H:H=0,"",IF(ISERROR(VLOOKUP(H:H,produtos_escape2!$A$2:$D$2794,2,FALSE)),"Código não cadastrado",(VLOOKUP(H:H,produtos_escape2!$A$2:$D$2794,4,FALSE))))</f>
        <v/>
      </c>
      <c r="N1958" s="486"/>
      <c r="O1958" s="176"/>
      <c r="P1958" s="486"/>
      <c r="Q1958" s="247"/>
      <c r="R1958" s="246">
        <f t="shared" si="75"/>
        <v>0</v>
      </c>
      <c r="S1958" s="177"/>
      <c r="T1958" s="182"/>
      <c r="U1958" s="177"/>
      <c r="V1958" s="177"/>
      <c r="W1958" s="177"/>
      <c r="X1958" s="176"/>
      <c r="Y1958" s="177"/>
      <c r="Z1958" s="415"/>
      <c r="AA1958" s="488"/>
      <c r="AB1958" s="594"/>
      <c r="AC1958" s="595"/>
      <c r="AD1958" s="596" t="str">
        <f>IF(AND(AC1958&lt;&gt;"",S1958&lt;&gt;""),NETWORKDAYS(AC1958,S1958,#REF!),"")</f>
        <v/>
      </c>
      <c r="AE1958" s="596" t="str">
        <f ca="1">IF(AND(AD1958="",AC1958=""),"",IF(OR(AD1958&lt;&gt;"",O1958="*CANCELADO"),"",NETWORKDAYS(AC1958,TODAY(),#REF!)))</f>
        <v/>
      </c>
      <c r="AF1958" s="619"/>
    </row>
    <row r="1959" spans="1:32" ht="14.25" customHeight="1">
      <c r="A1959" s="176"/>
      <c r="B1959" s="176"/>
      <c r="C1959" s="177"/>
      <c r="D1959" s="176"/>
      <c r="E1959" s="176"/>
      <c r="F1959" s="259"/>
      <c r="G1959" s="176"/>
      <c r="H1959" s="178"/>
      <c r="I1959" s="592">
        <f t="shared" si="76"/>
        <v>0</v>
      </c>
      <c r="J1959" s="178"/>
      <c r="K1959" s="178"/>
      <c r="L1959" s="275" t="str">
        <f>IF(H:H=0,"",IF(ISERROR(VLOOKUP(H:H,produtos_escape2!$A$2:$B$2794,2,FALSE)),"Código não cadastrado",(VLOOKUP(H:H,produtos_escape2!$A$2:$B$2794,2,FALSE))))</f>
        <v/>
      </c>
      <c r="M1959" s="593" t="str">
        <f>IF(H:H=0,"",IF(ISERROR(VLOOKUP(H:H,produtos_escape2!$A$2:$D$2794,2,FALSE)),"Código não cadastrado",(VLOOKUP(H:H,produtos_escape2!$A$2:$D$2794,4,FALSE))))</f>
        <v/>
      </c>
      <c r="N1959" s="486"/>
      <c r="O1959" s="176"/>
      <c r="P1959" s="486"/>
      <c r="Q1959" s="247"/>
      <c r="R1959" s="246">
        <f t="shared" si="75"/>
        <v>0</v>
      </c>
      <c r="S1959" s="177"/>
      <c r="T1959" s="182"/>
      <c r="U1959" s="177"/>
      <c r="V1959" s="177"/>
      <c r="W1959" s="177"/>
      <c r="X1959" s="176"/>
      <c r="Y1959" s="177"/>
      <c r="Z1959" s="415"/>
      <c r="AA1959" s="488"/>
      <c r="AB1959" s="594"/>
      <c r="AC1959" s="595"/>
      <c r="AD1959" s="596" t="str">
        <f>IF(AND(AC1959&lt;&gt;"",S1959&lt;&gt;""),NETWORKDAYS(AC1959,S1959,#REF!),"")</f>
        <v/>
      </c>
      <c r="AE1959" s="596" t="str">
        <f ca="1">IF(AND(AD1959="",AC1959=""),"",IF(OR(AD1959&lt;&gt;"",O1959="*CANCELADO"),"",NETWORKDAYS(AC1959,TODAY(),#REF!)))</f>
        <v/>
      </c>
      <c r="AF1959" s="619"/>
    </row>
    <row r="1960" spans="1:32" ht="14.25" customHeight="1">
      <c r="A1960" s="176"/>
      <c r="B1960" s="176"/>
      <c r="C1960" s="177"/>
      <c r="D1960" s="176"/>
      <c r="E1960" s="176"/>
      <c r="F1960" s="259"/>
      <c r="G1960" s="176"/>
      <c r="H1960" s="178"/>
      <c r="I1960" s="592">
        <f t="shared" si="76"/>
        <v>0</v>
      </c>
      <c r="J1960" s="178"/>
      <c r="K1960" s="178"/>
      <c r="L1960" s="275" t="str">
        <f>IF(H:H=0,"",IF(ISERROR(VLOOKUP(H:H,produtos_escape2!$A$2:$B$2794,2,FALSE)),"Código não cadastrado",(VLOOKUP(H:H,produtos_escape2!$A$2:$B$2794,2,FALSE))))</f>
        <v/>
      </c>
      <c r="M1960" s="593" t="str">
        <f>IF(H:H=0,"",IF(ISERROR(VLOOKUP(H:H,produtos_escape2!$A$2:$D$2794,2,FALSE)),"Código não cadastrado",(VLOOKUP(H:H,produtos_escape2!$A$2:$D$2794,4,FALSE))))</f>
        <v/>
      </c>
      <c r="N1960" s="486"/>
      <c r="O1960" s="176"/>
      <c r="P1960" s="486"/>
      <c r="Q1960" s="247"/>
      <c r="R1960" s="246">
        <f t="shared" si="75"/>
        <v>0</v>
      </c>
      <c r="S1960" s="177"/>
      <c r="T1960" s="182"/>
      <c r="U1960" s="177"/>
      <c r="V1960" s="177"/>
      <c r="W1960" s="177"/>
      <c r="X1960" s="176"/>
      <c r="Y1960" s="177"/>
      <c r="Z1960" s="415"/>
      <c r="AA1960" s="488"/>
      <c r="AB1960" s="594"/>
      <c r="AC1960" s="595"/>
      <c r="AD1960" s="596" t="str">
        <f>IF(AND(AC1960&lt;&gt;"",S1960&lt;&gt;""),NETWORKDAYS(AC1960,S1960,#REF!),"")</f>
        <v/>
      </c>
      <c r="AE1960" s="596" t="str">
        <f ca="1">IF(AND(AD1960="",AC1960=""),"",IF(OR(AD1960&lt;&gt;"",O1960="*CANCELADO"),"",NETWORKDAYS(AC1960,TODAY(),#REF!)))</f>
        <v/>
      </c>
      <c r="AF1960" s="619"/>
    </row>
    <row r="1961" spans="1:32" ht="14.25" customHeight="1">
      <c r="A1961" s="176"/>
      <c r="B1961" s="176"/>
      <c r="C1961" s="177"/>
      <c r="D1961" s="176"/>
      <c r="E1961" s="176"/>
      <c r="F1961" s="259"/>
      <c r="G1961" s="176"/>
      <c r="H1961" s="178"/>
      <c r="I1961" s="592">
        <f t="shared" si="76"/>
        <v>0</v>
      </c>
      <c r="J1961" s="178"/>
      <c r="K1961" s="178"/>
      <c r="L1961" s="275" t="str">
        <f>IF(H:H=0,"",IF(ISERROR(VLOOKUP(H:H,produtos_escape2!$A$2:$B$2794,2,FALSE)),"Código não cadastrado",(VLOOKUP(H:H,produtos_escape2!$A$2:$B$2794,2,FALSE))))</f>
        <v/>
      </c>
      <c r="M1961" s="593" t="str">
        <f>IF(H:H=0,"",IF(ISERROR(VLOOKUP(H:H,produtos_escape2!$A$2:$D$2794,2,FALSE)),"Código não cadastrado",(VLOOKUP(H:H,produtos_escape2!$A$2:$D$2794,4,FALSE))))</f>
        <v/>
      </c>
      <c r="N1961" s="486"/>
      <c r="O1961" s="176"/>
      <c r="P1961" s="486"/>
      <c r="Q1961" s="247"/>
      <c r="R1961" s="246">
        <f t="shared" si="75"/>
        <v>0</v>
      </c>
      <c r="S1961" s="177"/>
      <c r="T1961" s="182"/>
      <c r="U1961" s="177"/>
      <c r="V1961" s="177"/>
      <c r="W1961" s="177"/>
      <c r="X1961" s="176"/>
      <c r="Y1961" s="177"/>
      <c r="Z1961" s="415"/>
      <c r="AA1961" s="488"/>
      <c r="AB1961" s="594"/>
      <c r="AC1961" s="595"/>
      <c r="AD1961" s="596" t="str">
        <f>IF(AND(AC1961&lt;&gt;"",S1961&lt;&gt;""),NETWORKDAYS(AC1961,S1961,#REF!),"")</f>
        <v/>
      </c>
      <c r="AE1961" s="596" t="str">
        <f ca="1">IF(AND(AD1961="",AC1961=""),"",IF(OR(AD1961&lt;&gt;"",O1961="*CANCELADO"),"",NETWORKDAYS(AC1961,TODAY(),#REF!)))</f>
        <v/>
      </c>
      <c r="AF1961" s="619"/>
    </row>
    <row r="1962" spans="1:32" ht="14.25" customHeight="1">
      <c r="A1962" s="176"/>
      <c r="B1962" s="176"/>
      <c r="C1962" s="177"/>
      <c r="D1962" s="176"/>
      <c r="E1962" s="176"/>
      <c r="F1962" s="259"/>
      <c r="G1962" s="176"/>
      <c r="H1962" s="178"/>
      <c r="I1962" s="592">
        <f t="shared" si="76"/>
        <v>0</v>
      </c>
      <c r="J1962" s="178"/>
      <c r="K1962" s="178"/>
      <c r="L1962" s="275" t="str">
        <f>IF(H:H=0,"",IF(ISERROR(VLOOKUP(H:H,produtos_escape2!$A$2:$B$2794,2,FALSE)),"Código não cadastrado",(VLOOKUP(H:H,produtos_escape2!$A$2:$B$2794,2,FALSE))))</f>
        <v/>
      </c>
      <c r="M1962" s="593" t="str">
        <f>IF(H:H=0,"",IF(ISERROR(VLOOKUP(H:H,produtos_escape2!$A$2:$D$2794,2,FALSE)),"Código não cadastrado",(VLOOKUP(H:H,produtos_escape2!$A$2:$D$2794,4,FALSE))))</f>
        <v/>
      </c>
      <c r="N1962" s="486"/>
      <c r="O1962" s="176"/>
      <c r="P1962" s="486"/>
      <c r="Q1962" s="247"/>
      <c r="R1962" s="246">
        <f t="shared" si="75"/>
        <v>0</v>
      </c>
      <c r="S1962" s="177"/>
      <c r="T1962" s="182"/>
      <c r="U1962" s="177"/>
      <c r="V1962" s="177"/>
      <c r="W1962" s="177"/>
      <c r="X1962" s="176"/>
      <c r="Y1962" s="177"/>
      <c r="Z1962" s="415"/>
      <c r="AA1962" s="488"/>
      <c r="AB1962" s="594"/>
      <c r="AC1962" s="595"/>
      <c r="AD1962" s="596" t="str">
        <f>IF(AND(AC1962&lt;&gt;"",S1962&lt;&gt;""),NETWORKDAYS(AC1962,S1962,#REF!),"")</f>
        <v/>
      </c>
      <c r="AE1962" s="596" t="str">
        <f ca="1">IF(AND(AD1962="",AC1962=""),"",IF(OR(AD1962&lt;&gt;"",O1962="*CANCELADO"),"",NETWORKDAYS(AC1962,TODAY(),#REF!)))</f>
        <v/>
      </c>
      <c r="AF1962" s="619"/>
    </row>
    <row r="1963" spans="1:32" ht="14.25" customHeight="1">
      <c r="A1963" s="176"/>
      <c r="B1963" s="176"/>
      <c r="C1963" s="177"/>
      <c r="D1963" s="176"/>
      <c r="E1963" s="176"/>
      <c r="F1963" s="259"/>
      <c r="G1963" s="176"/>
      <c r="H1963" s="178"/>
      <c r="I1963" s="592">
        <f t="shared" si="76"/>
        <v>0</v>
      </c>
      <c r="J1963" s="178"/>
      <c r="K1963" s="178"/>
      <c r="L1963" s="275" t="str">
        <f>IF(H:H=0,"",IF(ISERROR(VLOOKUP(H:H,produtos_escape2!$A$2:$B$2794,2,FALSE)),"Código não cadastrado",(VLOOKUP(H:H,produtos_escape2!$A$2:$B$2794,2,FALSE))))</f>
        <v/>
      </c>
      <c r="M1963" s="593" t="str">
        <f>IF(H:H=0,"",IF(ISERROR(VLOOKUP(H:H,produtos_escape2!$A$2:$D$2794,2,FALSE)),"Código não cadastrado",(VLOOKUP(H:H,produtos_escape2!$A$2:$D$2794,4,FALSE))))</f>
        <v/>
      </c>
      <c r="N1963" s="486"/>
      <c r="O1963" s="176"/>
      <c r="P1963" s="486"/>
      <c r="Q1963" s="247"/>
      <c r="R1963" s="246">
        <f t="shared" si="75"/>
        <v>0</v>
      </c>
      <c r="S1963" s="177"/>
      <c r="T1963" s="182"/>
      <c r="U1963" s="177"/>
      <c r="V1963" s="177"/>
      <c r="W1963" s="177"/>
      <c r="X1963" s="176"/>
      <c r="Y1963" s="177"/>
      <c r="Z1963" s="415"/>
      <c r="AA1963" s="488"/>
      <c r="AB1963" s="594"/>
      <c r="AC1963" s="595"/>
      <c r="AD1963" s="596" t="str">
        <f>IF(AND(AC1963&lt;&gt;"",S1963&lt;&gt;""),NETWORKDAYS(AC1963,S1963,#REF!),"")</f>
        <v/>
      </c>
      <c r="AE1963" s="596" t="str">
        <f ca="1">IF(AND(AD1963="",AC1963=""),"",IF(OR(AD1963&lt;&gt;"",O1963="*CANCELADO"),"",NETWORKDAYS(AC1963,TODAY(),#REF!)))</f>
        <v/>
      </c>
      <c r="AF1963" s="619"/>
    </row>
    <row r="1964" spans="1:32" ht="14.25" customHeight="1">
      <c r="A1964" s="176"/>
      <c r="B1964" s="176"/>
      <c r="C1964" s="177"/>
      <c r="D1964" s="176"/>
      <c r="E1964" s="176"/>
      <c r="F1964" s="259"/>
      <c r="G1964" s="176"/>
      <c r="H1964" s="178"/>
      <c r="I1964" s="592">
        <f t="shared" si="76"/>
        <v>0</v>
      </c>
      <c r="J1964" s="178"/>
      <c r="K1964" s="178"/>
      <c r="L1964" s="275" t="str">
        <f>IF(H:H=0,"",IF(ISERROR(VLOOKUP(H:H,produtos_escape2!$A$2:$B$2794,2,FALSE)),"Código não cadastrado",(VLOOKUP(H:H,produtos_escape2!$A$2:$B$2794,2,FALSE))))</f>
        <v/>
      </c>
      <c r="M1964" s="593" t="str">
        <f>IF(H:H=0,"",IF(ISERROR(VLOOKUP(H:H,produtos_escape2!$A$2:$D$2794,2,FALSE)),"Código não cadastrado",(VLOOKUP(H:H,produtos_escape2!$A$2:$D$2794,4,FALSE))))</f>
        <v/>
      </c>
      <c r="N1964" s="486"/>
      <c r="O1964" s="176"/>
      <c r="P1964" s="486"/>
      <c r="Q1964" s="247"/>
      <c r="R1964" s="246">
        <f t="shared" si="75"/>
        <v>0</v>
      </c>
      <c r="S1964" s="177"/>
      <c r="T1964" s="182"/>
      <c r="U1964" s="177"/>
      <c r="V1964" s="177"/>
      <c r="W1964" s="177"/>
      <c r="X1964" s="176"/>
      <c r="Y1964" s="177"/>
      <c r="Z1964" s="415"/>
      <c r="AA1964" s="488"/>
      <c r="AB1964" s="594"/>
      <c r="AC1964" s="595"/>
      <c r="AD1964" s="596" t="str">
        <f>IF(AND(AC1964&lt;&gt;"",S1964&lt;&gt;""),NETWORKDAYS(AC1964,S1964,#REF!),"")</f>
        <v/>
      </c>
      <c r="AE1964" s="596" t="str">
        <f ca="1">IF(AND(AD1964="",AC1964=""),"",IF(OR(AD1964&lt;&gt;"",O1964="*CANCELADO"),"",NETWORKDAYS(AC1964,TODAY(),#REF!)))</f>
        <v/>
      </c>
      <c r="AF1964" s="619"/>
    </row>
    <row r="1965" spans="1:32" ht="14.25" customHeight="1">
      <c r="A1965" s="176"/>
      <c r="B1965" s="176"/>
      <c r="C1965" s="177"/>
      <c r="D1965" s="176"/>
      <c r="E1965" s="176"/>
      <c r="F1965" s="259"/>
      <c r="G1965" s="176"/>
      <c r="H1965" s="178"/>
      <c r="I1965" s="592">
        <f t="shared" si="76"/>
        <v>0</v>
      </c>
      <c r="J1965" s="178"/>
      <c r="K1965" s="178"/>
      <c r="L1965" s="275" t="str">
        <f>IF(H:H=0,"",IF(ISERROR(VLOOKUP(H:H,produtos_escape2!$A$2:$B$2794,2,FALSE)),"Código não cadastrado",(VLOOKUP(H:H,produtos_escape2!$A$2:$B$2794,2,FALSE))))</f>
        <v/>
      </c>
      <c r="M1965" s="593" t="str">
        <f>IF(H:H=0,"",IF(ISERROR(VLOOKUP(H:H,produtos_escape2!$A$2:$D$2794,2,FALSE)),"Código não cadastrado",(VLOOKUP(H:H,produtos_escape2!$A$2:$D$2794,4,FALSE))))</f>
        <v/>
      </c>
      <c r="N1965" s="486"/>
      <c r="O1965" s="176"/>
      <c r="P1965" s="486"/>
      <c r="Q1965" s="247"/>
      <c r="R1965" s="246">
        <f t="shared" ref="R1965:R2028" si="77">P1965*Q1965</f>
        <v>0</v>
      </c>
      <c r="S1965" s="177"/>
      <c r="T1965" s="182"/>
      <c r="U1965" s="177"/>
      <c r="V1965" s="177"/>
      <c r="W1965" s="177"/>
      <c r="X1965" s="176"/>
      <c r="Y1965" s="177"/>
      <c r="Z1965" s="415"/>
      <c r="AA1965" s="488"/>
      <c r="AB1965" s="594"/>
      <c r="AC1965" s="595"/>
      <c r="AD1965" s="596" t="str">
        <f>IF(AND(AC1965&lt;&gt;"",S1965&lt;&gt;""),NETWORKDAYS(AC1965,S1965,#REF!),"")</f>
        <v/>
      </c>
      <c r="AE1965" s="596" t="str">
        <f ca="1">IF(AND(AD1965="",AC1965=""),"",IF(OR(AD1965&lt;&gt;"",O1965="*CANCELADO"),"",NETWORKDAYS(AC1965,TODAY(),#REF!)))</f>
        <v/>
      </c>
      <c r="AF1965" s="619"/>
    </row>
    <row r="1966" spans="1:32" ht="14.25" customHeight="1">
      <c r="A1966" s="176"/>
      <c r="B1966" s="176"/>
      <c r="C1966" s="177"/>
      <c r="D1966" s="176"/>
      <c r="E1966" s="176"/>
      <c r="F1966" s="259"/>
      <c r="G1966" s="176"/>
      <c r="H1966" s="178"/>
      <c r="I1966" s="592">
        <f t="shared" si="76"/>
        <v>0</v>
      </c>
      <c r="J1966" s="178"/>
      <c r="K1966" s="178"/>
      <c r="L1966" s="275" t="str">
        <f>IF(H:H=0,"",IF(ISERROR(VLOOKUP(H:H,produtos_escape2!$A$2:$B$2794,2,FALSE)),"Código não cadastrado",(VLOOKUP(H:H,produtos_escape2!$A$2:$B$2794,2,FALSE))))</f>
        <v/>
      </c>
      <c r="M1966" s="593" t="str">
        <f>IF(H:H=0,"",IF(ISERROR(VLOOKUP(H:H,produtos_escape2!$A$2:$D$2794,2,FALSE)),"Código não cadastrado",(VLOOKUP(H:H,produtos_escape2!$A$2:$D$2794,4,FALSE))))</f>
        <v/>
      </c>
      <c r="N1966" s="486"/>
      <c r="O1966" s="176"/>
      <c r="P1966" s="486"/>
      <c r="Q1966" s="247"/>
      <c r="R1966" s="246">
        <f t="shared" si="77"/>
        <v>0</v>
      </c>
      <c r="S1966" s="177"/>
      <c r="T1966" s="182"/>
      <c r="U1966" s="177"/>
      <c r="V1966" s="177"/>
      <c r="W1966" s="177"/>
      <c r="X1966" s="176"/>
      <c r="Y1966" s="177"/>
      <c r="Z1966" s="415"/>
      <c r="AA1966" s="488"/>
      <c r="AB1966" s="594"/>
      <c r="AC1966" s="595"/>
      <c r="AD1966" s="596" t="str">
        <f>IF(AND(AC1966&lt;&gt;"",S1966&lt;&gt;""),NETWORKDAYS(AC1966,S1966,#REF!),"")</f>
        <v/>
      </c>
      <c r="AE1966" s="596" t="str">
        <f ca="1">IF(AND(AD1966="",AC1966=""),"",IF(OR(AD1966&lt;&gt;"",O1966="*CANCELADO"),"",NETWORKDAYS(AC1966,TODAY(),#REF!)))</f>
        <v/>
      </c>
      <c r="AF1966" s="619"/>
    </row>
    <row r="1967" spans="1:32" ht="14.25" customHeight="1">
      <c r="A1967" s="176"/>
      <c r="B1967" s="176"/>
      <c r="C1967" s="177"/>
      <c r="D1967" s="176"/>
      <c r="E1967" s="176"/>
      <c r="F1967" s="259"/>
      <c r="G1967" s="176"/>
      <c r="H1967" s="178"/>
      <c r="I1967" s="592">
        <f t="shared" si="76"/>
        <v>0</v>
      </c>
      <c r="J1967" s="178"/>
      <c r="K1967" s="178"/>
      <c r="L1967" s="275" t="str">
        <f>IF(H:H=0,"",IF(ISERROR(VLOOKUP(H:H,produtos_escape2!$A$2:$B$2794,2,FALSE)),"Código não cadastrado",(VLOOKUP(H:H,produtos_escape2!$A$2:$B$2794,2,FALSE))))</f>
        <v/>
      </c>
      <c r="M1967" s="593" t="str">
        <f>IF(H:H=0,"",IF(ISERROR(VLOOKUP(H:H,produtos_escape2!$A$2:$D$2794,2,FALSE)),"Código não cadastrado",(VLOOKUP(H:H,produtos_escape2!$A$2:$D$2794,4,FALSE))))</f>
        <v/>
      </c>
      <c r="N1967" s="486"/>
      <c r="O1967" s="176"/>
      <c r="P1967" s="486"/>
      <c r="Q1967" s="247"/>
      <c r="R1967" s="246">
        <f t="shared" si="77"/>
        <v>0</v>
      </c>
      <c r="S1967" s="177"/>
      <c r="T1967" s="182"/>
      <c r="U1967" s="177"/>
      <c r="V1967" s="177"/>
      <c r="W1967" s="177"/>
      <c r="X1967" s="176"/>
      <c r="Y1967" s="177"/>
      <c r="Z1967" s="415"/>
      <c r="AA1967" s="488"/>
      <c r="AB1967" s="594"/>
      <c r="AC1967" s="595"/>
      <c r="AD1967" s="596" t="str">
        <f>IF(AND(AC1967&lt;&gt;"",S1967&lt;&gt;""),NETWORKDAYS(AC1967,S1967,#REF!),"")</f>
        <v/>
      </c>
      <c r="AE1967" s="596" t="str">
        <f ca="1">IF(AND(AD1967="",AC1967=""),"",IF(OR(AD1967&lt;&gt;"",O1967="*CANCELADO"),"",NETWORKDAYS(AC1967,TODAY(),#REF!)))</f>
        <v/>
      </c>
      <c r="AF1967" s="619"/>
    </row>
    <row r="1968" spans="1:32" ht="14.25" customHeight="1">
      <c r="A1968" s="176"/>
      <c r="B1968" s="176"/>
      <c r="C1968" s="177"/>
      <c r="D1968" s="176"/>
      <c r="E1968" s="176"/>
      <c r="F1968" s="259"/>
      <c r="G1968" s="176"/>
      <c r="H1968" s="178"/>
      <c r="I1968" s="592">
        <f t="shared" si="76"/>
        <v>0</v>
      </c>
      <c r="J1968" s="178"/>
      <c r="K1968" s="178"/>
      <c r="L1968" s="275" t="str">
        <f>IF(H:H=0,"",IF(ISERROR(VLOOKUP(H:H,produtos_escape2!$A$2:$B$2794,2,FALSE)),"Código não cadastrado",(VLOOKUP(H:H,produtos_escape2!$A$2:$B$2794,2,FALSE))))</f>
        <v/>
      </c>
      <c r="M1968" s="593" t="str">
        <f>IF(H:H=0,"",IF(ISERROR(VLOOKUP(H:H,produtos_escape2!$A$2:$D$2794,2,FALSE)),"Código não cadastrado",(VLOOKUP(H:H,produtos_escape2!$A$2:$D$2794,4,FALSE))))</f>
        <v/>
      </c>
      <c r="N1968" s="486"/>
      <c r="O1968" s="176"/>
      <c r="P1968" s="486"/>
      <c r="Q1968" s="247"/>
      <c r="R1968" s="246">
        <f t="shared" si="77"/>
        <v>0</v>
      </c>
      <c r="S1968" s="177"/>
      <c r="T1968" s="182"/>
      <c r="U1968" s="177"/>
      <c r="V1968" s="177"/>
      <c r="W1968" s="177"/>
      <c r="X1968" s="176"/>
      <c r="Y1968" s="177"/>
      <c r="Z1968" s="415"/>
      <c r="AA1968" s="488"/>
      <c r="AB1968" s="594"/>
      <c r="AC1968" s="595"/>
      <c r="AD1968" s="596" t="str">
        <f>IF(AND(AC1968&lt;&gt;"",S1968&lt;&gt;""),NETWORKDAYS(AC1968,S1968,#REF!),"")</f>
        <v/>
      </c>
      <c r="AE1968" s="596" t="str">
        <f ca="1">IF(AND(AD1968="",AC1968=""),"",IF(OR(AD1968&lt;&gt;"",O1968="*CANCELADO"),"",NETWORKDAYS(AC1968,TODAY(),#REF!)))</f>
        <v/>
      </c>
      <c r="AF1968" s="619"/>
    </row>
    <row r="1969" spans="1:32" ht="14.25" customHeight="1">
      <c r="A1969" s="176"/>
      <c r="B1969" s="176"/>
      <c r="C1969" s="177"/>
      <c r="D1969" s="176"/>
      <c r="E1969" s="176"/>
      <c r="F1969" s="259"/>
      <c r="G1969" s="176"/>
      <c r="H1969" s="178"/>
      <c r="I1969" s="592">
        <f t="shared" si="76"/>
        <v>0</v>
      </c>
      <c r="J1969" s="178"/>
      <c r="K1969" s="178"/>
      <c r="L1969" s="275" t="str">
        <f>IF(H:H=0,"",IF(ISERROR(VLOOKUP(H:H,produtos_escape2!$A$2:$B$2794,2,FALSE)),"Código não cadastrado",(VLOOKUP(H:H,produtos_escape2!$A$2:$B$2794,2,FALSE))))</f>
        <v/>
      </c>
      <c r="M1969" s="593" t="str">
        <f>IF(H:H=0,"",IF(ISERROR(VLOOKUP(H:H,produtos_escape2!$A$2:$D$2794,2,FALSE)),"Código não cadastrado",(VLOOKUP(H:H,produtos_escape2!$A$2:$D$2794,4,FALSE))))</f>
        <v/>
      </c>
      <c r="N1969" s="486"/>
      <c r="O1969" s="176"/>
      <c r="P1969" s="486"/>
      <c r="Q1969" s="247"/>
      <c r="R1969" s="246">
        <f t="shared" si="77"/>
        <v>0</v>
      </c>
      <c r="S1969" s="177"/>
      <c r="T1969" s="182"/>
      <c r="U1969" s="177"/>
      <c r="V1969" s="177"/>
      <c r="W1969" s="177"/>
      <c r="X1969" s="176"/>
      <c r="Y1969" s="177"/>
      <c r="Z1969" s="415"/>
      <c r="AA1969" s="488"/>
      <c r="AB1969" s="594"/>
      <c r="AC1969" s="595"/>
      <c r="AD1969" s="596" t="str">
        <f>IF(AND(AC1969&lt;&gt;"",S1969&lt;&gt;""),NETWORKDAYS(AC1969,S1969,#REF!),"")</f>
        <v/>
      </c>
      <c r="AE1969" s="596" t="str">
        <f ca="1">IF(AND(AD1969="",AC1969=""),"",IF(OR(AD1969&lt;&gt;"",O1969="*CANCELADO"),"",NETWORKDAYS(AC1969,TODAY(),#REF!)))</f>
        <v/>
      </c>
      <c r="AF1969" s="619"/>
    </row>
    <row r="1970" spans="1:32" ht="14.25" customHeight="1">
      <c r="A1970" s="176"/>
      <c r="B1970" s="176"/>
      <c r="C1970" s="177"/>
      <c r="D1970" s="176"/>
      <c r="E1970" s="176"/>
      <c r="F1970" s="259"/>
      <c r="G1970" s="176"/>
      <c r="H1970" s="178"/>
      <c r="I1970" s="592">
        <f t="shared" si="76"/>
        <v>0</v>
      </c>
      <c r="J1970" s="178"/>
      <c r="K1970" s="178"/>
      <c r="L1970" s="275" t="str">
        <f>IF(H:H=0,"",IF(ISERROR(VLOOKUP(H:H,produtos_escape2!$A$2:$B$2794,2,FALSE)),"Código não cadastrado",(VLOOKUP(H:H,produtos_escape2!$A$2:$B$2794,2,FALSE))))</f>
        <v/>
      </c>
      <c r="M1970" s="593" t="str">
        <f>IF(H:H=0,"",IF(ISERROR(VLOOKUP(H:H,produtos_escape2!$A$2:$D$2794,2,FALSE)),"Código não cadastrado",(VLOOKUP(H:H,produtos_escape2!$A$2:$D$2794,4,FALSE))))</f>
        <v/>
      </c>
      <c r="N1970" s="486"/>
      <c r="O1970" s="176"/>
      <c r="P1970" s="486"/>
      <c r="Q1970" s="247"/>
      <c r="R1970" s="246">
        <f t="shared" si="77"/>
        <v>0</v>
      </c>
      <c r="S1970" s="177"/>
      <c r="T1970" s="182"/>
      <c r="U1970" s="177"/>
      <c r="V1970" s="177"/>
      <c r="W1970" s="177"/>
      <c r="X1970" s="176"/>
      <c r="Y1970" s="177"/>
      <c r="Z1970" s="415"/>
      <c r="AA1970" s="488"/>
      <c r="AB1970" s="594"/>
      <c r="AC1970" s="595"/>
      <c r="AD1970" s="596" t="str">
        <f>IF(AND(AC1970&lt;&gt;"",S1970&lt;&gt;""),NETWORKDAYS(AC1970,S1970,#REF!),"")</f>
        <v/>
      </c>
      <c r="AE1970" s="596" t="str">
        <f ca="1">IF(AND(AD1970="",AC1970=""),"",IF(OR(AD1970&lt;&gt;"",O1970="*CANCELADO"),"",NETWORKDAYS(AC1970,TODAY(),#REF!)))</f>
        <v/>
      </c>
      <c r="AF1970" s="619"/>
    </row>
    <row r="1971" spans="1:32" ht="14.25" customHeight="1">
      <c r="A1971" s="176"/>
      <c r="B1971" s="176"/>
      <c r="C1971" s="177"/>
      <c r="D1971" s="176"/>
      <c r="E1971" s="176"/>
      <c r="F1971" s="259"/>
      <c r="G1971" s="176"/>
      <c r="H1971" s="178"/>
      <c r="I1971" s="592">
        <f t="shared" si="76"/>
        <v>0</v>
      </c>
      <c r="J1971" s="178"/>
      <c r="K1971" s="178"/>
      <c r="L1971" s="275" t="str">
        <f>IF(H:H=0,"",IF(ISERROR(VLOOKUP(H:H,produtos_escape2!$A$2:$B$2794,2,FALSE)),"Código não cadastrado",(VLOOKUP(H:H,produtos_escape2!$A$2:$B$2794,2,FALSE))))</f>
        <v/>
      </c>
      <c r="M1971" s="593" t="str">
        <f>IF(H:H=0,"",IF(ISERROR(VLOOKUP(H:H,produtos_escape2!$A$2:$D$2794,2,FALSE)),"Código não cadastrado",(VLOOKUP(H:H,produtos_escape2!$A$2:$D$2794,4,FALSE))))</f>
        <v/>
      </c>
      <c r="N1971" s="486"/>
      <c r="O1971" s="176"/>
      <c r="P1971" s="486"/>
      <c r="Q1971" s="247"/>
      <c r="R1971" s="246">
        <f t="shared" si="77"/>
        <v>0</v>
      </c>
      <c r="S1971" s="177"/>
      <c r="T1971" s="182"/>
      <c r="U1971" s="177"/>
      <c r="V1971" s="177"/>
      <c r="W1971" s="177"/>
      <c r="X1971" s="176"/>
      <c r="Y1971" s="177"/>
      <c r="Z1971" s="415"/>
      <c r="AA1971" s="488"/>
      <c r="AB1971" s="594"/>
      <c r="AC1971" s="595"/>
      <c r="AD1971" s="596" t="str">
        <f>IF(AND(AC1971&lt;&gt;"",S1971&lt;&gt;""),NETWORKDAYS(AC1971,S1971,#REF!),"")</f>
        <v/>
      </c>
      <c r="AE1971" s="596" t="str">
        <f ca="1">IF(AND(AD1971="",AC1971=""),"",IF(OR(AD1971&lt;&gt;"",O1971="*CANCELADO"),"",NETWORKDAYS(AC1971,TODAY(),#REF!)))</f>
        <v/>
      </c>
      <c r="AF1971" s="619"/>
    </row>
    <row r="1972" spans="1:32" ht="14.25" customHeight="1">
      <c r="A1972" s="176"/>
      <c r="B1972" s="176"/>
      <c r="C1972" s="177"/>
      <c r="D1972" s="176"/>
      <c r="E1972" s="176"/>
      <c r="F1972" s="259"/>
      <c r="G1972" s="176"/>
      <c r="H1972" s="178"/>
      <c r="I1972" s="592">
        <f t="shared" si="76"/>
        <v>0</v>
      </c>
      <c r="J1972" s="178"/>
      <c r="K1972" s="178"/>
      <c r="L1972" s="275" t="str">
        <f>IF(H:H=0,"",IF(ISERROR(VLOOKUP(H:H,produtos_escape2!$A$2:$B$2794,2,FALSE)),"Código não cadastrado",(VLOOKUP(H:H,produtos_escape2!$A$2:$B$2794,2,FALSE))))</f>
        <v/>
      </c>
      <c r="M1972" s="593" t="str">
        <f>IF(H:H=0,"",IF(ISERROR(VLOOKUP(H:H,produtos_escape2!$A$2:$D$2794,2,FALSE)),"Código não cadastrado",(VLOOKUP(H:H,produtos_escape2!$A$2:$D$2794,4,FALSE))))</f>
        <v/>
      </c>
      <c r="N1972" s="486"/>
      <c r="O1972" s="176"/>
      <c r="P1972" s="486"/>
      <c r="Q1972" s="247"/>
      <c r="R1972" s="246">
        <f t="shared" si="77"/>
        <v>0</v>
      </c>
      <c r="S1972" s="177"/>
      <c r="T1972" s="182"/>
      <c r="U1972" s="177"/>
      <c r="V1972" s="177"/>
      <c r="W1972" s="177"/>
      <c r="X1972" s="176"/>
      <c r="Y1972" s="177"/>
      <c r="Z1972" s="415"/>
      <c r="AA1972" s="488"/>
      <c r="AB1972" s="594"/>
      <c r="AC1972" s="595"/>
      <c r="AD1972" s="596" t="str">
        <f>IF(AND(AC1972&lt;&gt;"",S1972&lt;&gt;""),NETWORKDAYS(AC1972,S1972,#REF!),"")</f>
        <v/>
      </c>
      <c r="AE1972" s="596" t="str">
        <f ca="1">IF(AND(AD1972="",AC1972=""),"",IF(OR(AD1972&lt;&gt;"",O1972="*CANCELADO"),"",NETWORKDAYS(AC1972,TODAY(),#REF!)))</f>
        <v/>
      </c>
      <c r="AF1972" s="619"/>
    </row>
    <row r="1973" spans="1:32" ht="14.25" customHeight="1">
      <c r="A1973" s="176"/>
      <c r="B1973" s="176"/>
      <c r="C1973" s="177"/>
      <c r="D1973" s="176"/>
      <c r="E1973" s="176"/>
      <c r="F1973" s="259"/>
      <c r="G1973" s="176"/>
      <c r="H1973" s="178"/>
      <c r="I1973" s="592">
        <f t="shared" si="76"/>
        <v>0</v>
      </c>
      <c r="J1973" s="178"/>
      <c r="K1973" s="178"/>
      <c r="L1973" s="275" t="str">
        <f>IF(H:H=0,"",IF(ISERROR(VLOOKUP(H:H,produtos_escape2!$A$2:$B$2794,2,FALSE)),"Código não cadastrado",(VLOOKUP(H:H,produtos_escape2!$A$2:$B$2794,2,FALSE))))</f>
        <v/>
      </c>
      <c r="M1973" s="593" t="str">
        <f>IF(H:H=0,"",IF(ISERROR(VLOOKUP(H:H,produtos_escape2!$A$2:$D$2794,2,FALSE)),"Código não cadastrado",(VLOOKUP(H:H,produtos_escape2!$A$2:$D$2794,4,FALSE))))</f>
        <v/>
      </c>
      <c r="N1973" s="486"/>
      <c r="O1973" s="176"/>
      <c r="P1973" s="486"/>
      <c r="Q1973" s="247"/>
      <c r="R1973" s="246">
        <f t="shared" si="77"/>
        <v>0</v>
      </c>
      <c r="S1973" s="177"/>
      <c r="T1973" s="182"/>
      <c r="U1973" s="177"/>
      <c r="V1973" s="177"/>
      <c r="W1973" s="177"/>
      <c r="X1973" s="176"/>
      <c r="Y1973" s="177"/>
      <c r="Z1973" s="415"/>
      <c r="AA1973" s="488"/>
      <c r="AB1973" s="594"/>
      <c r="AC1973" s="595"/>
      <c r="AD1973" s="596" t="str">
        <f>IF(AND(AC1973&lt;&gt;"",S1973&lt;&gt;""),NETWORKDAYS(AC1973,S1973,#REF!),"")</f>
        <v/>
      </c>
      <c r="AE1973" s="596" t="str">
        <f ca="1">IF(AND(AD1973="",AC1973=""),"",IF(OR(AD1973&lt;&gt;"",O1973="*CANCELADO"),"",NETWORKDAYS(AC1973,TODAY(),#REF!)))</f>
        <v/>
      </c>
      <c r="AF1973" s="619"/>
    </row>
    <row r="1974" spans="1:32" ht="14.25" customHeight="1">
      <c r="A1974" s="176"/>
      <c r="B1974" s="176"/>
      <c r="C1974" s="177"/>
      <c r="D1974" s="176"/>
      <c r="E1974" s="176"/>
      <c r="F1974" s="259"/>
      <c r="G1974" s="176"/>
      <c r="H1974" s="178"/>
      <c r="I1974" s="592">
        <f t="shared" ref="I1974:I2037" si="78">COUNTIF($H$3:$H$3041,H1974)</f>
        <v>0</v>
      </c>
      <c r="J1974" s="178"/>
      <c r="K1974" s="178"/>
      <c r="L1974" s="275" t="str">
        <f>IF(H:H=0,"",IF(ISERROR(VLOOKUP(H:H,produtos_escape2!$A$2:$B$2794,2,FALSE)),"Código não cadastrado",(VLOOKUP(H:H,produtos_escape2!$A$2:$B$2794,2,FALSE))))</f>
        <v/>
      </c>
      <c r="M1974" s="593" t="str">
        <f>IF(H:H=0,"",IF(ISERROR(VLOOKUP(H:H,produtos_escape2!$A$2:$D$2794,2,FALSE)),"Código não cadastrado",(VLOOKUP(H:H,produtos_escape2!$A$2:$D$2794,4,FALSE))))</f>
        <v/>
      </c>
      <c r="N1974" s="486"/>
      <c r="O1974" s="176"/>
      <c r="P1974" s="486"/>
      <c r="Q1974" s="247"/>
      <c r="R1974" s="246">
        <f t="shared" si="77"/>
        <v>0</v>
      </c>
      <c r="S1974" s="177"/>
      <c r="T1974" s="182"/>
      <c r="U1974" s="177"/>
      <c r="V1974" s="177"/>
      <c r="W1974" s="177"/>
      <c r="X1974" s="176"/>
      <c r="Y1974" s="177"/>
      <c r="Z1974" s="415"/>
      <c r="AA1974" s="488"/>
      <c r="AB1974" s="594"/>
      <c r="AC1974" s="595"/>
      <c r="AD1974" s="596" t="str">
        <f>IF(AND(AC1974&lt;&gt;"",S1974&lt;&gt;""),NETWORKDAYS(AC1974,S1974,#REF!),"")</f>
        <v/>
      </c>
      <c r="AE1974" s="596" t="str">
        <f ca="1">IF(AND(AD1974="",AC1974=""),"",IF(OR(AD1974&lt;&gt;"",O1974="*CANCELADO"),"",NETWORKDAYS(AC1974,TODAY(),#REF!)))</f>
        <v/>
      </c>
      <c r="AF1974" s="619"/>
    </row>
    <row r="1975" spans="1:32" ht="14.25" customHeight="1">
      <c r="A1975" s="176"/>
      <c r="B1975" s="176"/>
      <c r="C1975" s="177"/>
      <c r="D1975" s="176"/>
      <c r="E1975" s="176"/>
      <c r="F1975" s="259"/>
      <c r="G1975" s="176"/>
      <c r="H1975" s="178"/>
      <c r="I1975" s="592">
        <f t="shared" si="78"/>
        <v>0</v>
      </c>
      <c r="J1975" s="178"/>
      <c r="K1975" s="178"/>
      <c r="L1975" s="275" t="str">
        <f>IF(H:H=0,"",IF(ISERROR(VLOOKUP(H:H,produtos_escape2!$A$2:$B$2794,2,FALSE)),"Código não cadastrado",(VLOOKUP(H:H,produtos_escape2!$A$2:$B$2794,2,FALSE))))</f>
        <v/>
      </c>
      <c r="M1975" s="593" t="str">
        <f>IF(H:H=0,"",IF(ISERROR(VLOOKUP(H:H,produtos_escape2!$A$2:$D$2794,2,FALSE)),"Código não cadastrado",(VLOOKUP(H:H,produtos_escape2!$A$2:$D$2794,4,FALSE))))</f>
        <v/>
      </c>
      <c r="N1975" s="486"/>
      <c r="O1975" s="176"/>
      <c r="P1975" s="486"/>
      <c r="Q1975" s="247"/>
      <c r="R1975" s="246">
        <f t="shared" si="77"/>
        <v>0</v>
      </c>
      <c r="S1975" s="177"/>
      <c r="T1975" s="182"/>
      <c r="U1975" s="177"/>
      <c r="V1975" s="177"/>
      <c r="W1975" s="177"/>
      <c r="X1975" s="176"/>
      <c r="Y1975" s="177"/>
      <c r="Z1975" s="415"/>
      <c r="AA1975" s="488"/>
      <c r="AB1975" s="594"/>
      <c r="AC1975" s="595"/>
      <c r="AD1975" s="596" t="str">
        <f>IF(AND(AC1975&lt;&gt;"",S1975&lt;&gt;""),NETWORKDAYS(AC1975,S1975,#REF!),"")</f>
        <v/>
      </c>
      <c r="AE1975" s="596" t="str">
        <f ca="1">IF(AND(AD1975="",AC1975=""),"",IF(OR(AD1975&lt;&gt;"",O1975="*CANCELADO"),"",NETWORKDAYS(AC1975,TODAY(),#REF!)))</f>
        <v/>
      </c>
      <c r="AF1975" s="619"/>
    </row>
    <row r="1976" spans="1:32" ht="14.25" customHeight="1">
      <c r="A1976" s="176"/>
      <c r="B1976" s="176"/>
      <c r="C1976" s="177"/>
      <c r="D1976" s="176"/>
      <c r="E1976" s="176"/>
      <c r="F1976" s="259"/>
      <c r="G1976" s="176"/>
      <c r="H1976" s="178"/>
      <c r="I1976" s="592">
        <f t="shared" si="78"/>
        <v>0</v>
      </c>
      <c r="J1976" s="178"/>
      <c r="K1976" s="178"/>
      <c r="L1976" s="275" t="str">
        <f>IF(H:H=0,"",IF(ISERROR(VLOOKUP(H:H,produtos_escape2!$A$2:$B$2794,2,FALSE)),"Código não cadastrado",(VLOOKUP(H:H,produtos_escape2!$A$2:$B$2794,2,FALSE))))</f>
        <v/>
      </c>
      <c r="M1976" s="593" t="str">
        <f>IF(H:H=0,"",IF(ISERROR(VLOOKUP(H:H,produtos_escape2!$A$2:$D$2794,2,FALSE)),"Código não cadastrado",(VLOOKUP(H:H,produtos_escape2!$A$2:$D$2794,4,FALSE))))</f>
        <v/>
      </c>
      <c r="N1976" s="486"/>
      <c r="O1976" s="176"/>
      <c r="P1976" s="486"/>
      <c r="Q1976" s="247"/>
      <c r="R1976" s="246">
        <f t="shared" si="77"/>
        <v>0</v>
      </c>
      <c r="S1976" s="177"/>
      <c r="T1976" s="182"/>
      <c r="U1976" s="177"/>
      <c r="V1976" s="177"/>
      <c r="W1976" s="177"/>
      <c r="X1976" s="176"/>
      <c r="Y1976" s="177"/>
      <c r="Z1976" s="415"/>
      <c r="AA1976" s="488"/>
      <c r="AB1976" s="594"/>
      <c r="AC1976" s="595"/>
      <c r="AD1976" s="596" t="str">
        <f>IF(AND(AC1976&lt;&gt;"",S1976&lt;&gt;""),NETWORKDAYS(AC1976,S1976,#REF!),"")</f>
        <v/>
      </c>
      <c r="AE1976" s="596" t="str">
        <f ca="1">IF(AND(AD1976="",AC1976=""),"",IF(OR(AD1976&lt;&gt;"",O1976="*CANCELADO"),"",NETWORKDAYS(AC1976,TODAY(),#REF!)))</f>
        <v/>
      </c>
      <c r="AF1976" s="619"/>
    </row>
    <row r="1977" spans="1:32" ht="14.25" customHeight="1">
      <c r="A1977" s="176"/>
      <c r="B1977" s="176"/>
      <c r="C1977" s="177"/>
      <c r="D1977" s="176"/>
      <c r="E1977" s="176"/>
      <c r="F1977" s="259"/>
      <c r="G1977" s="176"/>
      <c r="H1977" s="178"/>
      <c r="I1977" s="592">
        <f t="shared" si="78"/>
        <v>0</v>
      </c>
      <c r="J1977" s="178"/>
      <c r="K1977" s="178"/>
      <c r="L1977" s="275" t="str">
        <f>IF(H:H=0,"",IF(ISERROR(VLOOKUP(H:H,produtos_escape2!$A$2:$B$2794,2,FALSE)),"Código não cadastrado",(VLOOKUP(H:H,produtos_escape2!$A$2:$B$2794,2,FALSE))))</f>
        <v/>
      </c>
      <c r="M1977" s="593" t="str">
        <f>IF(H:H=0,"",IF(ISERROR(VLOOKUP(H:H,produtos_escape2!$A$2:$D$2794,2,FALSE)),"Código não cadastrado",(VLOOKUP(H:H,produtos_escape2!$A$2:$D$2794,4,FALSE))))</f>
        <v/>
      </c>
      <c r="N1977" s="486"/>
      <c r="O1977" s="176"/>
      <c r="P1977" s="486"/>
      <c r="Q1977" s="247"/>
      <c r="R1977" s="246">
        <f t="shared" si="77"/>
        <v>0</v>
      </c>
      <c r="S1977" s="177"/>
      <c r="T1977" s="182"/>
      <c r="U1977" s="177"/>
      <c r="V1977" s="177"/>
      <c r="W1977" s="177"/>
      <c r="X1977" s="176"/>
      <c r="Y1977" s="177"/>
      <c r="Z1977" s="415"/>
      <c r="AA1977" s="488"/>
      <c r="AB1977" s="594"/>
      <c r="AC1977" s="595"/>
      <c r="AD1977" s="596" t="str">
        <f>IF(AND(AC1977&lt;&gt;"",S1977&lt;&gt;""),NETWORKDAYS(AC1977,S1977,#REF!),"")</f>
        <v/>
      </c>
      <c r="AE1977" s="596" t="str">
        <f ca="1">IF(AND(AD1977="",AC1977=""),"",IF(OR(AD1977&lt;&gt;"",O1977="*CANCELADO"),"",NETWORKDAYS(AC1977,TODAY(),#REF!)))</f>
        <v/>
      </c>
      <c r="AF1977" s="619"/>
    </row>
    <row r="1978" spans="1:32" ht="14.25" customHeight="1">
      <c r="A1978" s="176"/>
      <c r="B1978" s="176"/>
      <c r="C1978" s="177"/>
      <c r="D1978" s="176"/>
      <c r="E1978" s="176"/>
      <c r="F1978" s="259"/>
      <c r="G1978" s="176"/>
      <c r="H1978" s="178"/>
      <c r="I1978" s="592">
        <f t="shared" si="78"/>
        <v>0</v>
      </c>
      <c r="J1978" s="178"/>
      <c r="K1978" s="178"/>
      <c r="L1978" s="275" t="str">
        <f>IF(H:H=0,"",IF(ISERROR(VLOOKUP(H:H,produtos_escape2!$A$2:$B$2794,2,FALSE)),"Código não cadastrado",(VLOOKUP(H:H,produtos_escape2!$A$2:$B$2794,2,FALSE))))</f>
        <v/>
      </c>
      <c r="M1978" s="593" t="str">
        <f>IF(H:H=0,"",IF(ISERROR(VLOOKUP(H:H,produtos_escape2!$A$2:$D$2794,2,FALSE)),"Código não cadastrado",(VLOOKUP(H:H,produtos_escape2!$A$2:$D$2794,4,FALSE))))</f>
        <v/>
      </c>
      <c r="N1978" s="486"/>
      <c r="O1978" s="176"/>
      <c r="P1978" s="486"/>
      <c r="Q1978" s="247"/>
      <c r="R1978" s="246">
        <f t="shared" si="77"/>
        <v>0</v>
      </c>
      <c r="S1978" s="177"/>
      <c r="T1978" s="182"/>
      <c r="U1978" s="177"/>
      <c r="V1978" s="177"/>
      <c r="W1978" s="177"/>
      <c r="X1978" s="176"/>
      <c r="Y1978" s="177"/>
      <c r="Z1978" s="415"/>
      <c r="AA1978" s="488"/>
      <c r="AB1978" s="594"/>
      <c r="AC1978" s="595"/>
      <c r="AD1978" s="596" t="str">
        <f>IF(AND(AC1978&lt;&gt;"",S1978&lt;&gt;""),NETWORKDAYS(AC1978,S1978,#REF!),"")</f>
        <v/>
      </c>
      <c r="AE1978" s="596" t="str">
        <f ca="1">IF(AND(AD1978="",AC1978=""),"",IF(OR(AD1978&lt;&gt;"",O1978="*CANCELADO"),"",NETWORKDAYS(AC1978,TODAY(),#REF!)))</f>
        <v/>
      </c>
      <c r="AF1978" s="619"/>
    </row>
    <row r="1979" spans="1:32" ht="14.25" customHeight="1">
      <c r="A1979" s="176"/>
      <c r="B1979" s="176"/>
      <c r="C1979" s="177"/>
      <c r="D1979" s="176"/>
      <c r="E1979" s="176"/>
      <c r="F1979" s="259"/>
      <c r="G1979" s="176"/>
      <c r="H1979" s="178"/>
      <c r="I1979" s="592">
        <f t="shared" si="78"/>
        <v>0</v>
      </c>
      <c r="J1979" s="178"/>
      <c r="K1979" s="178"/>
      <c r="L1979" s="275" t="str">
        <f>IF(H:H=0,"",IF(ISERROR(VLOOKUP(H:H,produtos_escape2!$A$2:$B$2794,2,FALSE)),"Código não cadastrado",(VLOOKUP(H:H,produtos_escape2!$A$2:$B$2794,2,FALSE))))</f>
        <v/>
      </c>
      <c r="M1979" s="593" t="str">
        <f>IF(H:H=0,"",IF(ISERROR(VLOOKUP(H:H,produtos_escape2!$A$2:$D$2794,2,FALSE)),"Código não cadastrado",(VLOOKUP(H:H,produtos_escape2!$A$2:$D$2794,4,FALSE))))</f>
        <v/>
      </c>
      <c r="N1979" s="486"/>
      <c r="O1979" s="176"/>
      <c r="P1979" s="486"/>
      <c r="Q1979" s="247"/>
      <c r="R1979" s="246">
        <f t="shared" si="77"/>
        <v>0</v>
      </c>
      <c r="S1979" s="177"/>
      <c r="T1979" s="182"/>
      <c r="U1979" s="177"/>
      <c r="V1979" s="177"/>
      <c r="W1979" s="177"/>
      <c r="X1979" s="176"/>
      <c r="Y1979" s="177"/>
      <c r="Z1979" s="415"/>
      <c r="AA1979" s="488"/>
      <c r="AB1979" s="594"/>
      <c r="AC1979" s="595"/>
      <c r="AD1979" s="596" t="str">
        <f>IF(AND(AC1979&lt;&gt;"",S1979&lt;&gt;""),NETWORKDAYS(AC1979,S1979,#REF!),"")</f>
        <v/>
      </c>
      <c r="AE1979" s="596" t="str">
        <f ca="1">IF(AND(AD1979="",AC1979=""),"",IF(OR(AD1979&lt;&gt;"",O1979="*CANCELADO"),"",NETWORKDAYS(AC1979,TODAY(),#REF!)))</f>
        <v/>
      </c>
      <c r="AF1979" s="619"/>
    </row>
    <row r="1980" spans="1:32" ht="14.25" customHeight="1">
      <c r="A1980" s="176"/>
      <c r="B1980" s="176"/>
      <c r="C1980" s="177"/>
      <c r="D1980" s="176"/>
      <c r="E1980" s="176"/>
      <c r="F1980" s="259"/>
      <c r="G1980" s="176"/>
      <c r="H1980" s="178"/>
      <c r="I1980" s="592">
        <f t="shared" si="78"/>
        <v>0</v>
      </c>
      <c r="J1980" s="178"/>
      <c r="K1980" s="178"/>
      <c r="L1980" s="275" t="str">
        <f>IF(H:H=0,"",IF(ISERROR(VLOOKUP(H:H,produtos_escape2!$A$2:$B$2794,2,FALSE)),"Código não cadastrado",(VLOOKUP(H:H,produtos_escape2!$A$2:$B$2794,2,FALSE))))</f>
        <v/>
      </c>
      <c r="M1980" s="593" t="str">
        <f>IF(H:H=0,"",IF(ISERROR(VLOOKUP(H:H,produtos_escape2!$A$2:$D$2794,2,FALSE)),"Código não cadastrado",(VLOOKUP(H:H,produtos_escape2!$A$2:$D$2794,4,FALSE))))</f>
        <v/>
      </c>
      <c r="N1980" s="486"/>
      <c r="O1980" s="176"/>
      <c r="P1980" s="486"/>
      <c r="Q1980" s="247"/>
      <c r="R1980" s="246">
        <f t="shared" si="77"/>
        <v>0</v>
      </c>
      <c r="S1980" s="177"/>
      <c r="T1980" s="182"/>
      <c r="U1980" s="177"/>
      <c r="V1980" s="177"/>
      <c r="W1980" s="177"/>
      <c r="X1980" s="176"/>
      <c r="Y1980" s="177"/>
      <c r="Z1980" s="415"/>
      <c r="AA1980" s="488"/>
      <c r="AB1980" s="594"/>
      <c r="AC1980" s="595"/>
      <c r="AD1980" s="596" t="str">
        <f>IF(AND(AC1980&lt;&gt;"",S1980&lt;&gt;""),NETWORKDAYS(AC1980,S1980,#REF!),"")</f>
        <v/>
      </c>
      <c r="AE1980" s="596" t="str">
        <f ca="1">IF(AND(AD1980="",AC1980=""),"",IF(OR(AD1980&lt;&gt;"",O1980="*CANCELADO"),"",NETWORKDAYS(AC1980,TODAY(),#REF!)))</f>
        <v/>
      </c>
      <c r="AF1980" s="619"/>
    </row>
    <row r="1981" spans="1:32" ht="14.25" customHeight="1">
      <c r="A1981" s="176"/>
      <c r="B1981" s="176"/>
      <c r="C1981" s="177"/>
      <c r="D1981" s="176"/>
      <c r="E1981" s="176"/>
      <c r="F1981" s="259"/>
      <c r="G1981" s="176"/>
      <c r="H1981" s="178"/>
      <c r="I1981" s="592">
        <f t="shared" si="78"/>
        <v>0</v>
      </c>
      <c r="J1981" s="178"/>
      <c r="K1981" s="178"/>
      <c r="L1981" s="275" t="str">
        <f>IF(H:H=0,"",IF(ISERROR(VLOOKUP(H:H,produtos_escape2!$A$2:$B$2794,2,FALSE)),"Código não cadastrado",(VLOOKUP(H:H,produtos_escape2!$A$2:$B$2794,2,FALSE))))</f>
        <v/>
      </c>
      <c r="M1981" s="593" t="str">
        <f>IF(H:H=0,"",IF(ISERROR(VLOOKUP(H:H,produtos_escape2!$A$2:$D$2794,2,FALSE)),"Código não cadastrado",(VLOOKUP(H:H,produtos_escape2!$A$2:$D$2794,4,FALSE))))</f>
        <v/>
      </c>
      <c r="N1981" s="486"/>
      <c r="O1981" s="176"/>
      <c r="P1981" s="486"/>
      <c r="Q1981" s="247"/>
      <c r="R1981" s="246">
        <f t="shared" si="77"/>
        <v>0</v>
      </c>
      <c r="S1981" s="177"/>
      <c r="T1981" s="182"/>
      <c r="U1981" s="177"/>
      <c r="V1981" s="177"/>
      <c r="W1981" s="177"/>
      <c r="X1981" s="176"/>
      <c r="Y1981" s="177"/>
      <c r="Z1981" s="415"/>
      <c r="AA1981" s="488"/>
      <c r="AB1981" s="594"/>
      <c r="AC1981" s="595"/>
      <c r="AD1981" s="596" t="str">
        <f>IF(AND(AC1981&lt;&gt;"",S1981&lt;&gt;""),NETWORKDAYS(AC1981,S1981,#REF!),"")</f>
        <v/>
      </c>
      <c r="AE1981" s="596" t="str">
        <f ca="1">IF(AND(AD1981="",AC1981=""),"",IF(OR(AD1981&lt;&gt;"",O1981="*CANCELADO"),"",NETWORKDAYS(AC1981,TODAY(),#REF!)))</f>
        <v/>
      </c>
      <c r="AF1981" s="619"/>
    </row>
    <row r="1982" spans="1:32" ht="14.25" customHeight="1">
      <c r="A1982" s="176"/>
      <c r="B1982" s="176"/>
      <c r="C1982" s="177"/>
      <c r="D1982" s="176"/>
      <c r="E1982" s="176"/>
      <c r="F1982" s="259"/>
      <c r="G1982" s="176"/>
      <c r="H1982" s="178"/>
      <c r="I1982" s="592">
        <f t="shared" si="78"/>
        <v>0</v>
      </c>
      <c r="J1982" s="178"/>
      <c r="K1982" s="178"/>
      <c r="L1982" s="275" t="str">
        <f>IF(H:H=0,"",IF(ISERROR(VLOOKUP(H:H,produtos_escape2!$A$2:$B$2794,2,FALSE)),"Código não cadastrado",(VLOOKUP(H:H,produtos_escape2!$A$2:$B$2794,2,FALSE))))</f>
        <v/>
      </c>
      <c r="M1982" s="593" t="str">
        <f>IF(H:H=0,"",IF(ISERROR(VLOOKUP(H:H,produtos_escape2!$A$2:$D$2794,2,FALSE)),"Código não cadastrado",(VLOOKUP(H:H,produtos_escape2!$A$2:$D$2794,4,FALSE))))</f>
        <v/>
      </c>
      <c r="N1982" s="486"/>
      <c r="O1982" s="176"/>
      <c r="P1982" s="486"/>
      <c r="Q1982" s="247"/>
      <c r="R1982" s="246">
        <f t="shared" si="77"/>
        <v>0</v>
      </c>
      <c r="S1982" s="177"/>
      <c r="T1982" s="182"/>
      <c r="U1982" s="177"/>
      <c r="V1982" s="177"/>
      <c r="W1982" s="177"/>
      <c r="X1982" s="176"/>
      <c r="Y1982" s="177"/>
      <c r="Z1982" s="415"/>
      <c r="AA1982" s="488"/>
      <c r="AB1982" s="594"/>
      <c r="AC1982" s="595"/>
      <c r="AD1982" s="596" t="str">
        <f>IF(AND(AC1982&lt;&gt;"",S1982&lt;&gt;""),NETWORKDAYS(AC1982,S1982,#REF!),"")</f>
        <v/>
      </c>
      <c r="AE1982" s="596" t="str">
        <f ca="1">IF(AND(AD1982="",AC1982=""),"",IF(OR(AD1982&lt;&gt;"",O1982="*CANCELADO"),"",NETWORKDAYS(AC1982,TODAY(),#REF!)))</f>
        <v/>
      </c>
      <c r="AF1982" s="619"/>
    </row>
    <row r="1983" spans="1:32" ht="14.25" customHeight="1">
      <c r="A1983" s="176"/>
      <c r="B1983" s="176"/>
      <c r="C1983" s="177"/>
      <c r="D1983" s="176"/>
      <c r="E1983" s="176"/>
      <c r="F1983" s="259"/>
      <c r="G1983" s="176"/>
      <c r="H1983" s="178"/>
      <c r="I1983" s="592">
        <f t="shared" si="78"/>
        <v>0</v>
      </c>
      <c r="J1983" s="178"/>
      <c r="K1983" s="178"/>
      <c r="L1983" s="275" t="str">
        <f>IF(H:H=0,"",IF(ISERROR(VLOOKUP(H:H,produtos_escape2!$A$2:$B$2794,2,FALSE)),"Código não cadastrado",(VLOOKUP(H:H,produtos_escape2!$A$2:$B$2794,2,FALSE))))</f>
        <v/>
      </c>
      <c r="M1983" s="593" t="str">
        <f>IF(H:H=0,"",IF(ISERROR(VLOOKUP(H:H,produtos_escape2!$A$2:$D$2794,2,FALSE)),"Código não cadastrado",(VLOOKUP(H:H,produtos_escape2!$A$2:$D$2794,4,FALSE))))</f>
        <v/>
      </c>
      <c r="N1983" s="486"/>
      <c r="O1983" s="176"/>
      <c r="P1983" s="486"/>
      <c r="Q1983" s="247"/>
      <c r="R1983" s="246">
        <f t="shared" si="77"/>
        <v>0</v>
      </c>
      <c r="S1983" s="177"/>
      <c r="T1983" s="182"/>
      <c r="U1983" s="177"/>
      <c r="V1983" s="177"/>
      <c r="W1983" s="177"/>
      <c r="X1983" s="176"/>
      <c r="Y1983" s="177"/>
      <c r="Z1983" s="415"/>
      <c r="AA1983" s="488"/>
      <c r="AB1983" s="594"/>
      <c r="AC1983" s="595"/>
      <c r="AD1983" s="596" t="str">
        <f>IF(AND(AC1983&lt;&gt;"",S1983&lt;&gt;""),NETWORKDAYS(AC1983,S1983,#REF!),"")</f>
        <v/>
      </c>
      <c r="AE1983" s="596" t="str">
        <f ca="1">IF(AND(AD1983="",AC1983=""),"",IF(OR(AD1983&lt;&gt;"",O1983="*CANCELADO"),"",NETWORKDAYS(AC1983,TODAY(),#REF!)))</f>
        <v/>
      </c>
      <c r="AF1983" s="619"/>
    </row>
    <row r="1984" spans="1:32" ht="14.25" customHeight="1">
      <c r="A1984" s="176"/>
      <c r="B1984" s="176"/>
      <c r="C1984" s="177"/>
      <c r="D1984" s="176"/>
      <c r="E1984" s="176"/>
      <c r="F1984" s="259"/>
      <c r="G1984" s="176"/>
      <c r="H1984" s="178"/>
      <c r="I1984" s="592">
        <f t="shared" si="78"/>
        <v>0</v>
      </c>
      <c r="J1984" s="178"/>
      <c r="K1984" s="178"/>
      <c r="L1984" s="275" t="str">
        <f>IF(H:H=0,"",IF(ISERROR(VLOOKUP(H:H,produtos_escape2!$A$2:$B$2794,2,FALSE)),"Código não cadastrado",(VLOOKUP(H:H,produtos_escape2!$A$2:$B$2794,2,FALSE))))</f>
        <v/>
      </c>
      <c r="M1984" s="593" t="str">
        <f>IF(H:H=0,"",IF(ISERROR(VLOOKUP(H:H,produtos_escape2!$A$2:$D$2794,2,FALSE)),"Código não cadastrado",(VLOOKUP(H:H,produtos_escape2!$A$2:$D$2794,4,FALSE))))</f>
        <v/>
      </c>
      <c r="N1984" s="486"/>
      <c r="O1984" s="176"/>
      <c r="P1984" s="486"/>
      <c r="Q1984" s="247"/>
      <c r="R1984" s="246">
        <f t="shared" si="77"/>
        <v>0</v>
      </c>
      <c r="S1984" s="177"/>
      <c r="T1984" s="182"/>
      <c r="U1984" s="177"/>
      <c r="V1984" s="177"/>
      <c r="W1984" s="177"/>
      <c r="X1984" s="176"/>
      <c r="Y1984" s="177"/>
      <c r="Z1984" s="415"/>
      <c r="AA1984" s="488"/>
      <c r="AB1984" s="594"/>
      <c r="AC1984" s="595"/>
      <c r="AD1984" s="596" t="str">
        <f>IF(AND(AC1984&lt;&gt;"",S1984&lt;&gt;""),NETWORKDAYS(AC1984,S1984,#REF!),"")</f>
        <v/>
      </c>
      <c r="AE1984" s="596" t="str">
        <f ca="1">IF(AND(AD1984="",AC1984=""),"",IF(OR(AD1984&lt;&gt;"",O1984="*CANCELADO"),"",NETWORKDAYS(AC1984,TODAY(),#REF!)))</f>
        <v/>
      </c>
      <c r="AF1984" s="619"/>
    </row>
    <row r="1985" spans="1:32" ht="14.25" customHeight="1">
      <c r="A1985" s="176"/>
      <c r="B1985" s="176"/>
      <c r="C1985" s="177"/>
      <c r="D1985" s="176"/>
      <c r="E1985" s="176"/>
      <c r="F1985" s="259"/>
      <c r="G1985" s="176"/>
      <c r="H1985" s="178"/>
      <c r="I1985" s="592">
        <f t="shared" si="78"/>
        <v>0</v>
      </c>
      <c r="J1985" s="178"/>
      <c r="K1985" s="178"/>
      <c r="L1985" s="275" t="str">
        <f>IF(H:H=0,"",IF(ISERROR(VLOOKUP(H:H,produtos_escape2!$A$2:$B$2794,2,FALSE)),"Código não cadastrado",(VLOOKUP(H:H,produtos_escape2!$A$2:$B$2794,2,FALSE))))</f>
        <v/>
      </c>
      <c r="M1985" s="593" t="str">
        <f>IF(H:H=0,"",IF(ISERROR(VLOOKUP(H:H,produtos_escape2!$A$2:$D$2794,2,FALSE)),"Código não cadastrado",(VLOOKUP(H:H,produtos_escape2!$A$2:$D$2794,4,FALSE))))</f>
        <v/>
      </c>
      <c r="N1985" s="486"/>
      <c r="O1985" s="176"/>
      <c r="P1985" s="486"/>
      <c r="Q1985" s="247"/>
      <c r="R1985" s="246">
        <f t="shared" si="77"/>
        <v>0</v>
      </c>
      <c r="S1985" s="177"/>
      <c r="T1985" s="182"/>
      <c r="U1985" s="177"/>
      <c r="V1985" s="177"/>
      <c r="W1985" s="177"/>
      <c r="X1985" s="176"/>
      <c r="Y1985" s="177"/>
      <c r="Z1985" s="415"/>
      <c r="AA1985" s="488"/>
      <c r="AB1985" s="594"/>
      <c r="AC1985" s="595"/>
      <c r="AD1985" s="596" t="str">
        <f>IF(AND(AC1985&lt;&gt;"",S1985&lt;&gt;""),NETWORKDAYS(AC1985,S1985,#REF!),"")</f>
        <v/>
      </c>
      <c r="AE1985" s="596" t="str">
        <f ca="1">IF(AND(AD1985="",AC1985=""),"",IF(OR(AD1985&lt;&gt;"",O1985="*CANCELADO"),"",NETWORKDAYS(AC1985,TODAY(),#REF!)))</f>
        <v/>
      </c>
      <c r="AF1985" s="619"/>
    </row>
    <row r="1986" spans="1:32" ht="14.25" customHeight="1">
      <c r="A1986" s="176"/>
      <c r="B1986" s="176"/>
      <c r="C1986" s="177"/>
      <c r="D1986" s="176"/>
      <c r="E1986" s="176"/>
      <c r="F1986" s="259"/>
      <c r="G1986" s="176"/>
      <c r="H1986" s="178"/>
      <c r="I1986" s="592">
        <f t="shared" si="78"/>
        <v>0</v>
      </c>
      <c r="J1986" s="178"/>
      <c r="K1986" s="178"/>
      <c r="L1986" s="275" t="str">
        <f>IF(H:H=0,"",IF(ISERROR(VLOOKUP(H:H,produtos_escape2!$A$2:$B$2794,2,FALSE)),"Código não cadastrado",(VLOOKUP(H:H,produtos_escape2!$A$2:$B$2794,2,FALSE))))</f>
        <v/>
      </c>
      <c r="M1986" s="593" t="str">
        <f>IF(H:H=0,"",IF(ISERROR(VLOOKUP(H:H,produtos_escape2!$A$2:$D$2794,2,FALSE)),"Código não cadastrado",(VLOOKUP(H:H,produtos_escape2!$A$2:$D$2794,4,FALSE))))</f>
        <v/>
      </c>
      <c r="N1986" s="486"/>
      <c r="O1986" s="176"/>
      <c r="P1986" s="486"/>
      <c r="Q1986" s="247"/>
      <c r="R1986" s="246">
        <f t="shared" si="77"/>
        <v>0</v>
      </c>
      <c r="S1986" s="177"/>
      <c r="T1986" s="182"/>
      <c r="U1986" s="177"/>
      <c r="V1986" s="177"/>
      <c r="W1986" s="177"/>
      <c r="X1986" s="176"/>
      <c r="Y1986" s="177"/>
      <c r="Z1986" s="415"/>
      <c r="AA1986" s="488"/>
      <c r="AB1986" s="594"/>
      <c r="AC1986" s="595"/>
      <c r="AD1986" s="596" t="str">
        <f>IF(AND(AC1986&lt;&gt;"",S1986&lt;&gt;""),NETWORKDAYS(AC1986,S1986,#REF!),"")</f>
        <v/>
      </c>
      <c r="AE1986" s="596" t="str">
        <f ca="1">IF(AND(AD1986="",AC1986=""),"",IF(OR(AD1986&lt;&gt;"",O1986="*CANCELADO"),"",NETWORKDAYS(AC1986,TODAY(),#REF!)))</f>
        <v/>
      </c>
      <c r="AF1986" s="619"/>
    </row>
    <row r="1987" spans="1:32" ht="14.25" customHeight="1">
      <c r="A1987" s="176"/>
      <c r="B1987" s="176"/>
      <c r="C1987" s="177"/>
      <c r="D1987" s="176"/>
      <c r="E1987" s="176"/>
      <c r="F1987" s="259"/>
      <c r="G1987" s="176"/>
      <c r="H1987" s="178"/>
      <c r="I1987" s="592">
        <f t="shared" si="78"/>
        <v>0</v>
      </c>
      <c r="J1987" s="178"/>
      <c r="K1987" s="178"/>
      <c r="L1987" s="275" t="str">
        <f>IF(H:H=0,"",IF(ISERROR(VLOOKUP(H:H,produtos_escape2!$A$2:$B$2794,2,FALSE)),"Código não cadastrado",(VLOOKUP(H:H,produtos_escape2!$A$2:$B$2794,2,FALSE))))</f>
        <v/>
      </c>
      <c r="M1987" s="593" t="str">
        <f>IF(H:H=0,"",IF(ISERROR(VLOOKUP(H:H,produtos_escape2!$A$2:$D$2794,2,FALSE)),"Código não cadastrado",(VLOOKUP(H:H,produtos_escape2!$A$2:$D$2794,4,FALSE))))</f>
        <v/>
      </c>
      <c r="N1987" s="486"/>
      <c r="O1987" s="176"/>
      <c r="P1987" s="486"/>
      <c r="Q1987" s="247"/>
      <c r="R1987" s="246">
        <f t="shared" si="77"/>
        <v>0</v>
      </c>
      <c r="S1987" s="177"/>
      <c r="T1987" s="182"/>
      <c r="U1987" s="177"/>
      <c r="V1987" s="177"/>
      <c r="W1987" s="177"/>
      <c r="X1987" s="176"/>
      <c r="Y1987" s="177"/>
      <c r="Z1987" s="415"/>
      <c r="AA1987" s="488"/>
      <c r="AB1987" s="594"/>
      <c r="AC1987" s="595"/>
      <c r="AD1987" s="596" t="str">
        <f>IF(AND(AC1987&lt;&gt;"",S1987&lt;&gt;""),NETWORKDAYS(AC1987,S1987,#REF!),"")</f>
        <v/>
      </c>
      <c r="AE1987" s="596" t="str">
        <f ca="1">IF(AND(AD1987="",AC1987=""),"",IF(OR(AD1987&lt;&gt;"",O1987="*CANCELADO"),"",NETWORKDAYS(AC1987,TODAY(),#REF!)))</f>
        <v/>
      </c>
      <c r="AF1987" s="619"/>
    </row>
    <row r="1988" spans="1:32" ht="14.25" customHeight="1">
      <c r="A1988" s="176"/>
      <c r="B1988" s="176"/>
      <c r="C1988" s="177"/>
      <c r="D1988" s="176"/>
      <c r="E1988" s="176"/>
      <c r="F1988" s="259"/>
      <c r="G1988" s="176"/>
      <c r="H1988" s="178"/>
      <c r="I1988" s="592">
        <f t="shared" si="78"/>
        <v>0</v>
      </c>
      <c r="J1988" s="178"/>
      <c r="K1988" s="178"/>
      <c r="L1988" s="275" t="str">
        <f>IF(H:H=0,"",IF(ISERROR(VLOOKUP(H:H,produtos_escape2!$A$2:$B$2794,2,FALSE)),"Código não cadastrado",(VLOOKUP(H:H,produtos_escape2!$A$2:$B$2794,2,FALSE))))</f>
        <v/>
      </c>
      <c r="M1988" s="593" t="str">
        <f>IF(H:H=0,"",IF(ISERROR(VLOOKUP(H:H,produtos_escape2!$A$2:$D$2794,2,FALSE)),"Código não cadastrado",(VLOOKUP(H:H,produtos_escape2!$A$2:$D$2794,4,FALSE))))</f>
        <v/>
      </c>
      <c r="N1988" s="486"/>
      <c r="O1988" s="176"/>
      <c r="P1988" s="486"/>
      <c r="Q1988" s="247"/>
      <c r="R1988" s="246">
        <f t="shared" si="77"/>
        <v>0</v>
      </c>
      <c r="S1988" s="177"/>
      <c r="T1988" s="182"/>
      <c r="U1988" s="177"/>
      <c r="V1988" s="177"/>
      <c r="W1988" s="177"/>
      <c r="X1988" s="176"/>
      <c r="Y1988" s="177"/>
      <c r="Z1988" s="415"/>
      <c r="AA1988" s="488"/>
      <c r="AB1988" s="594"/>
      <c r="AC1988" s="595"/>
      <c r="AD1988" s="596" t="str">
        <f>IF(AND(AC1988&lt;&gt;"",S1988&lt;&gt;""),NETWORKDAYS(AC1988,S1988,#REF!),"")</f>
        <v/>
      </c>
      <c r="AE1988" s="596" t="str">
        <f ca="1">IF(AND(AD1988="",AC1988=""),"",IF(OR(AD1988&lt;&gt;"",O1988="*CANCELADO"),"",NETWORKDAYS(AC1988,TODAY(),#REF!)))</f>
        <v/>
      </c>
      <c r="AF1988" s="619"/>
    </row>
    <row r="1989" spans="1:32" ht="14.25" customHeight="1">
      <c r="A1989" s="176"/>
      <c r="B1989" s="176"/>
      <c r="C1989" s="177"/>
      <c r="D1989" s="176"/>
      <c r="E1989" s="176"/>
      <c r="F1989" s="259"/>
      <c r="G1989" s="176"/>
      <c r="H1989" s="178"/>
      <c r="I1989" s="592">
        <f t="shared" si="78"/>
        <v>0</v>
      </c>
      <c r="J1989" s="178"/>
      <c r="K1989" s="178"/>
      <c r="L1989" s="275" t="str">
        <f>IF(H:H=0,"",IF(ISERROR(VLOOKUP(H:H,produtos_escape2!$A$2:$B$2794,2,FALSE)),"Código não cadastrado",(VLOOKUP(H:H,produtos_escape2!$A$2:$B$2794,2,FALSE))))</f>
        <v/>
      </c>
      <c r="M1989" s="593" t="str">
        <f>IF(H:H=0,"",IF(ISERROR(VLOOKUP(H:H,produtos_escape2!$A$2:$D$2794,2,FALSE)),"Código não cadastrado",(VLOOKUP(H:H,produtos_escape2!$A$2:$D$2794,4,FALSE))))</f>
        <v/>
      </c>
      <c r="N1989" s="486"/>
      <c r="O1989" s="176"/>
      <c r="P1989" s="486"/>
      <c r="Q1989" s="247"/>
      <c r="R1989" s="246">
        <f t="shared" si="77"/>
        <v>0</v>
      </c>
      <c r="S1989" s="177"/>
      <c r="T1989" s="182"/>
      <c r="U1989" s="177"/>
      <c r="V1989" s="177"/>
      <c r="W1989" s="177"/>
      <c r="X1989" s="176"/>
      <c r="Y1989" s="177"/>
      <c r="Z1989" s="415"/>
      <c r="AA1989" s="488"/>
      <c r="AB1989" s="594"/>
      <c r="AC1989" s="595"/>
      <c r="AD1989" s="596" t="str">
        <f>IF(AND(AC1989&lt;&gt;"",S1989&lt;&gt;""),NETWORKDAYS(AC1989,S1989,#REF!),"")</f>
        <v/>
      </c>
      <c r="AE1989" s="596" t="str">
        <f ca="1">IF(AND(AD1989="",AC1989=""),"",IF(OR(AD1989&lt;&gt;"",O1989="*CANCELADO"),"",NETWORKDAYS(AC1989,TODAY(),#REF!)))</f>
        <v/>
      </c>
      <c r="AF1989" s="619"/>
    </row>
    <row r="1990" spans="1:32" ht="14.25" customHeight="1">
      <c r="A1990" s="176"/>
      <c r="B1990" s="176"/>
      <c r="C1990" s="177"/>
      <c r="D1990" s="176"/>
      <c r="E1990" s="176"/>
      <c r="F1990" s="259"/>
      <c r="G1990" s="176"/>
      <c r="H1990" s="178"/>
      <c r="I1990" s="592">
        <f t="shared" si="78"/>
        <v>0</v>
      </c>
      <c r="J1990" s="178"/>
      <c r="K1990" s="178"/>
      <c r="L1990" s="275" t="str">
        <f>IF(H:H=0,"",IF(ISERROR(VLOOKUP(H:H,produtos_escape2!$A$2:$B$2794,2,FALSE)),"Código não cadastrado",(VLOOKUP(H:H,produtos_escape2!$A$2:$B$2794,2,FALSE))))</f>
        <v/>
      </c>
      <c r="M1990" s="593" t="str">
        <f>IF(H:H=0,"",IF(ISERROR(VLOOKUP(H:H,produtos_escape2!$A$2:$D$2794,2,FALSE)),"Código não cadastrado",(VLOOKUP(H:H,produtos_escape2!$A$2:$D$2794,4,FALSE))))</f>
        <v/>
      </c>
      <c r="N1990" s="486"/>
      <c r="O1990" s="176"/>
      <c r="P1990" s="486"/>
      <c r="Q1990" s="247"/>
      <c r="R1990" s="246">
        <f t="shared" si="77"/>
        <v>0</v>
      </c>
      <c r="S1990" s="177"/>
      <c r="T1990" s="182"/>
      <c r="U1990" s="177"/>
      <c r="V1990" s="177"/>
      <c r="W1990" s="177"/>
      <c r="X1990" s="176"/>
      <c r="Y1990" s="177"/>
      <c r="Z1990" s="415"/>
      <c r="AA1990" s="488"/>
      <c r="AB1990" s="594"/>
      <c r="AC1990" s="595"/>
      <c r="AD1990" s="596" t="str">
        <f>IF(AND(AC1990&lt;&gt;"",S1990&lt;&gt;""),NETWORKDAYS(AC1990,S1990,#REF!),"")</f>
        <v/>
      </c>
      <c r="AE1990" s="596" t="str">
        <f ca="1">IF(AND(AD1990="",AC1990=""),"",IF(OR(AD1990&lt;&gt;"",O1990="*CANCELADO"),"",NETWORKDAYS(AC1990,TODAY(),#REF!)))</f>
        <v/>
      </c>
      <c r="AF1990" s="619"/>
    </row>
    <row r="1991" spans="1:32" ht="14.25" customHeight="1">
      <c r="A1991" s="176"/>
      <c r="B1991" s="176"/>
      <c r="C1991" s="177"/>
      <c r="D1991" s="176"/>
      <c r="E1991" s="176"/>
      <c r="F1991" s="259"/>
      <c r="G1991" s="176"/>
      <c r="H1991" s="178"/>
      <c r="I1991" s="592">
        <f t="shared" si="78"/>
        <v>0</v>
      </c>
      <c r="J1991" s="178"/>
      <c r="K1991" s="178"/>
      <c r="L1991" s="275" t="str">
        <f>IF(H:H=0,"",IF(ISERROR(VLOOKUP(H:H,produtos_escape2!$A$2:$B$2794,2,FALSE)),"Código não cadastrado",(VLOOKUP(H:H,produtos_escape2!$A$2:$B$2794,2,FALSE))))</f>
        <v/>
      </c>
      <c r="M1991" s="593" t="str">
        <f>IF(H:H=0,"",IF(ISERROR(VLOOKUP(H:H,produtos_escape2!$A$2:$D$2794,2,FALSE)),"Código não cadastrado",(VLOOKUP(H:H,produtos_escape2!$A$2:$D$2794,4,FALSE))))</f>
        <v/>
      </c>
      <c r="N1991" s="486"/>
      <c r="O1991" s="176"/>
      <c r="P1991" s="486"/>
      <c r="Q1991" s="247"/>
      <c r="R1991" s="246">
        <f t="shared" si="77"/>
        <v>0</v>
      </c>
      <c r="S1991" s="177"/>
      <c r="T1991" s="182"/>
      <c r="U1991" s="177"/>
      <c r="V1991" s="177"/>
      <c r="W1991" s="177"/>
      <c r="X1991" s="176"/>
      <c r="Y1991" s="177"/>
      <c r="Z1991" s="415"/>
      <c r="AA1991" s="488"/>
      <c r="AB1991" s="594"/>
      <c r="AC1991" s="595"/>
      <c r="AD1991" s="596" t="str">
        <f>IF(AND(AC1991&lt;&gt;"",S1991&lt;&gt;""),NETWORKDAYS(AC1991,S1991,#REF!),"")</f>
        <v/>
      </c>
      <c r="AE1991" s="596" t="str">
        <f ca="1">IF(AND(AD1991="",AC1991=""),"",IF(OR(AD1991&lt;&gt;"",O1991="*CANCELADO"),"",NETWORKDAYS(AC1991,TODAY(),#REF!)))</f>
        <v/>
      </c>
      <c r="AF1991" s="619"/>
    </row>
    <row r="1992" spans="1:32" ht="14.25" customHeight="1">
      <c r="A1992" s="176"/>
      <c r="B1992" s="176"/>
      <c r="C1992" s="177"/>
      <c r="D1992" s="176"/>
      <c r="E1992" s="176"/>
      <c r="F1992" s="259"/>
      <c r="G1992" s="176"/>
      <c r="H1992" s="178"/>
      <c r="I1992" s="592">
        <f t="shared" si="78"/>
        <v>0</v>
      </c>
      <c r="J1992" s="178"/>
      <c r="K1992" s="178"/>
      <c r="L1992" s="275" t="str">
        <f>IF(H:H=0,"",IF(ISERROR(VLOOKUP(H:H,produtos_escape2!$A$2:$B$2794,2,FALSE)),"Código não cadastrado",(VLOOKUP(H:H,produtos_escape2!$A$2:$B$2794,2,FALSE))))</f>
        <v/>
      </c>
      <c r="M1992" s="593" t="str">
        <f>IF(H:H=0,"",IF(ISERROR(VLOOKUP(H:H,produtos_escape2!$A$2:$D$2794,2,FALSE)),"Código não cadastrado",(VLOOKUP(H:H,produtos_escape2!$A$2:$D$2794,4,FALSE))))</f>
        <v/>
      </c>
      <c r="N1992" s="486"/>
      <c r="O1992" s="176"/>
      <c r="P1992" s="486"/>
      <c r="Q1992" s="247"/>
      <c r="R1992" s="246">
        <f t="shared" si="77"/>
        <v>0</v>
      </c>
      <c r="S1992" s="177"/>
      <c r="T1992" s="182"/>
      <c r="U1992" s="177"/>
      <c r="V1992" s="177"/>
      <c r="W1992" s="177"/>
      <c r="X1992" s="176"/>
      <c r="Y1992" s="177"/>
      <c r="Z1992" s="415"/>
      <c r="AA1992" s="488"/>
      <c r="AB1992" s="594"/>
      <c r="AC1992" s="595"/>
      <c r="AD1992" s="596" t="str">
        <f>IF(AND(AC1992&lt;&gt;"",S1992&lt;&gt;""),NETWORKDAYS(AC1992,S1992,#REF!),"")</f>
        <v/>
      </c>
      <c r="AE1992" s="596" t="str">
        <f ca="1">IF(AND(AD1992="",AC1992=""),"",IF(OR(AD1992&lt;&gt;"",O1992="*CANCELADO"),"",NETWORKDAYS(AC1992,TODAY(),#REF!)))</f>
        <v/>
      </c>
      <c r="AF1992" s="619"/>
    </row>
    <row r="1993" spans="1:32" ht="14.25" customHeight="1">
      <c r="A1993" s="176"/>
      <c r="B1993" s="176"/>
      <c r="C1993" s="177"/>
      <c r="D1993" s="176"/>
      <c r="E1993" s="176"/>
      <c r="F1993" s="259"/>
      <c r="G1993" s="176"/>
      <c r="H1993" s="178"/>
      <c r="I1993" s="592">
        <f t="shared" si="78"/>
        <v>0</v>
      </c>
      <c r="J1993" s="178"/>
      <c r="K1993" s="178"/>
      <c r="L1993" s="275" t="str">
        <f>IF(H:H=0,"",IF(ISERROR(VLOOKUP(H:H,produtos_escape2!$A$2:$B$2794,2,FALSE)),"Código não cadastrado",(VLOOKUP(H:H,produtos_escape2!$A$2:$B$2794,2,FALSE))))</f>
        <v/>
      </c>
      <c r="M1993" s="593" t="str">
        <f>IF(H:H=0,"",IF(ISERROR(VLOOKUP(H:H,produtos_escape2!$A$2:$D$2794,2,FALSE)),"Código não cadastrado",(VLOOKUP(H:H,produtos_escape2!$A$2:$D$2794,4,FALSE))))</f>
        <v/>
      </c>
      <c r="N1993" s="486"/>
      <c r="O1993" s="176"/>
      <c r="P1993" s="486"/>
      <c r="Q1993" s="247"/>
      <c r="R1993" s="246">
        <f t="shared" si="77"/>
        <v>0</v>
      </c>
      <c r="S1993" s="177"/>
      <c r="T1993" s="182"/>
      <c r="U1993" s="177"/>
      <c r="V1993" s="177"/>
      <c r="W1993" s="177"/>
      <c r="X1993" s="176"/>
      <c r="Y1993" s="177"/>
      <c r="Z1993" s="415"/>
      <c r="AA1993" s="488"/>
      <c r="AB1993" s="594"/>
      <c r="AC1993" s="595"/>
      <c r="AD1993" s="596" t="str">
        <f>IF(AND(AC1993&lt;&gt;"",S1993&lt;&gt;""),NETWORKDAYS(AC1993,S1993,#REF!),"")</f>
        <v/>
      </c>
      <c r="AE1993" s="596" t="str">
        <f ca="1">IF(AND(AD1993="",AC1993=""),"",IF(OR(AD1993&lt;&gt;"",O1993="*CANCELADO"),"",NETWORKDAYS(AC1993,TODAY(),#REF!)))</f>
        <v/>
      </c>
      <c r="AF1993" s="619"/>
    </row>
    <row r="1994" spans="1:32" ht="14.25" customHeight="1">
      <c r="A1994" s="176"/>
      <c r="B1994" s="176"/>
      <c r="C1994" s="177"/>
      <c r="D1994" s="176"/>
      <c r="E1994" s="176"/>
      <c r="F1994" s="259"/>
      <c r="G1994" s="176"/>
      <c r="H1994" s="178"/>
      <c r="I1994" s="592">
        <f t="shared" si="78"/>
        <v>0</v>
      </c>
      <c r="J1994" s="178"/>
      <c r="K1994" s="178"/>
      <c r="L1994" s="275" t="str">
        <f>IF(H:H=0,"",IF(ISERROR(VLOOKUP(H:H,produtos_escape2!$A$2:$B$2794,2,FALSE)),"Código não cadastrado",(VLOOKUP(H:H,produtos_escape2!$A$2:$B$2794,2,FALSE))))</f>
        <v/>
      </c>
      <c r="M1994" s="593" t="str">
        <f>IF(H:H=0,"",IF(ISERROR(VLOOKUP(H:H,produtos_escape2!$A$2:$D$2794,2,FALSE)),"Código não cadastrado",(VLOOKUP(H:H,produtos_escape2!$A$2:$D$2794,4,FALSE))))</f>
        <v/>
      </c>
      <c r="N1994" s="486"/>
      <c r="O1994" s="176"/>
      <c r="P1994" s="486"/>
      <c r="Q1994" s="247"/>
      <c r="R1994" s="246">
        <f t="shared" si="77"/>
        <v>0</v>
      </c>
      <c r="S1994" s="177"/>
      <c r="T1994" s="182"/>
      <c r="U1994" s="177"/>
      <c r="V1994" s="177"/>
      <c r="W1994" s="177"/>
      <c r="X1994" s="176"/>
      <c r="Y1994" s="177"/>
      <c r="Z1994" s="415"/>
      <c r="AA1994" s="488"/>
      <c r="AB1994" s="594"/>
      <c r="AC1994" s="595"/>
      <c r="AD1994" s="596" t="str">
        <f>IF(AND(AC1994&lt;&gt;"",S1994&lt;&gt;""),NETWORKDAYS(AC1994,S1994,#REF!),"")</f>
        <v/>
      </c>
      <c r="AE1994" s="596" t="str">
        <f ca="1">IF(AND(AD1994="",AC1994=""),"",IF(OR(AD1994&lt;&gt;"",O1994="*CANCELADO"),"",NETWORKDAYS(AC1994,TODAY(),#REF!)))</f>
        <v/>
      </c>
      <c r="AF1994" s="619"/>
    </row>
    <row r="1995" spans="1:32" ht="14.25" customHeight="1">
      <c r="A1995" s="176"/>
      <c r="B1995" s="176"/>
      <c r="C1995" s="177"/>
      <c r="D1995" s="176"/>
      <c r="E1995" s="176"/>
      <c r="F1995" s="259"/>
      <c r="G1995" s="176"/>
      <c r="H1995" s="178"/>
      <c r="I1995" s="592">
        <f t="shared" si="78"/>
        <v>0</v>
      </c>
      <c r="J1995" s="178"/>
      <c r="K1995" s="178"/>
      <c r="L1995" s="275" t="str">
        <f>IF(H:H=0,"",IF(ISERROR(VLOOKUP(H:H,produtos_escape2!$A$2:$B$2794,2,FALSE)),"Código não cadastrado",(VLOOKUP(H:H,produtos_escape2!$A$2:$B$2794,2,FALSE))))</f>
        <v/>
      </c>
      <c r="M1995" s="593" t="str">
        <f>IF(H:H=0,"",IF(ISERROR(VLOOKUP(H:H,produtos_escape2!$A$2:$D$2794,2,FALSE)),"Código não cadastrado",(VLOOKUP(H:H,produtos_escape2!$A$2:$D$2794,4,FALSE))))</f>
        <v/>
      </c>
      <c r="N1995" s="486"/>
      <c r="O1995" s="176"/>
      <c r="P1995" s="486"/>
      <c r="Q1995" s="247"/>
      <c r="R1995" s="246">
        <f t="shared" si="77"/>
        <v>0</v>
      </c>
      <c r="S1995" s="177"/>
      <c r="T1995" s="182"/>
      <c r="U1995" s="177"/>
      <c r="V1995" s="177"/>
      <c r="W1995" s="177"/>
      <c r="X1995" s="176"/>
      <c r="Y1995" s="177"/>
      <c r="Z1995" s="415"/>
      <c r="AA1995" s="488"/>
      <c r="AB1995" s="594"/>
      <c r="AC1995" s="595"/>
      <c r="AD1995" s="596" t="str">
        <f>IF(AND(AC1995&lt;&gt;"",S1995&lt;&gt;""),NETWORKDAYS(AC1995,S1995,#REF!),"")</f>
        <v/>
      </c>
      <c r="AE1995" s="596" t="str">
        <f ca="1">IF(AND(AD1995="",AC1995=""),"",IF(OR(AD1995&lt;&gt;"",O1995="*CANCELADO"),"",NETWORKDAYS(AC1995,TODAY(),#REF!)))</f>
        <v/>
      </c>
      <c r="AF1995" s="619"/>
    </row>
    <row r="1996" spans="1:32" ht="14.25" customHeight="1">
      <c r="A1996" s="176"/>
      <c r="B1996" s="176"/>
      <c r="C1996" s="177"/>
      <c r="D1996" s="176"/>
      <c r="E1996" s="176"/>
      <c r="F1996" s="259"/>
      <c r="G1996" s="176"/>
      <c r="H1996" s="178"/>
      <c r="I1996" s="592">
        <f t="shared" si="78"/>
        <v>0</v>
      </c>
      <c r="J1996" s="178"/>
      <c r="K1996" s="178"/>
      <c r="L1996" s="275" t="str">
        <f>IF(H:H=0,"",IF(ISERROR(VLOOKUP(H:H,produtos_escape2!$A$2:$B$2794,2,FALSE)),"Código não cadastrado",(VLOOKUP(H:H,produtos_escape2!$A$2:$B$2794,2,FALSE))))</f>
        <v/>
      </c>
      <c r="M1996" s="593" t="str">
        <f>IF(H:H=0,"",IF(ISERROR(VLOOKUP(H:H,produtos_escape2!$A$2:$D$2794,2,FALSE)),"Código não cadastrado",(VLOOKUP(H:H,produtos_escape2!$A$2:$D$2794,4,FALSE))))</f>
        <v/>
      </c>
      <c r="N1996" s="486"/>
      <c r="O1996" s="176"/>
      <c r="P1996" s="486"/>
      <c r="Q1996" s="247"/>
      <c r="R1996" s="246">
        <f t="shared" si="77"/>
        <v>0</v>
      </c>
      <c r="S1996" s="177"/>
      <c r="T1996" s="182"/>
      <c r="U1996" s="177"/>
      <c r="V1996" s="177"/>
      <c r="W1996" s="177"/>
      <c r="X1996" s="176"/>
      <c r="Y1996" s="177"/>
      <c r="Z1996" s="415"/>
      <c r="AA1996" s="488"/>
      <c r="AB1996" s="594"/>
      <c r="AC1996" s="595"/>
      <c r="AD1996" s="596" t="str">
        <f>IF(AND(AC1996&lt;&gt;"",S1996&lt;&gt;""),NETWORKDAYS(AC1996,S1996,#REF!),"")</f>
        <v/>
      </c>
      <c r="AE1996" s="596" t="str">
        <f ca="1">IF(AND(AD1996="",AC1996=""),"",IF(OR(AD1996&lt;&gt;"",O1996="*CANCELADO"),"",NETWORKDAYS(AC1996,TODAY(),#REF!)))</f>
        <v/>
      </c>
      <c r="AF1996" s="619"/>
    </row>
    <row r="1997" spans="1:32" ht="14.25" customHeight="1">
      <c r="A1997" s="176"/>
      <c r="B1997" s="176"/>
      <c r="C1997" s="177"/>
      <c r="D1997" s="176"/>
      <c r="E1997" s="176"/>
      <c r="F1997" s="259"/>
      <c r="G1997" s="176"/>
      <c r="H1997" s="178"/>
      <c r="I1997" s="592">
        <f t="shared" si="78"/>
        <v>0</v>
      </c>
      <c r="J1997" s="178"/>
      <c r="K1997" s="178"/>
      <c r="L1997" s="275" t="str">
        <f>IF(H:H=0,"",IF(ISERROR(VLOOKUP(H:H,produtos_escape2!$A$2:$B$2794,2,FALSE)),"Código não cadastrado",(VLOOKUP(H:H,produtos_escape2!$A$2:$B$2794,2,FALSE))))</f>
        <v/>
      </c>
      <c r="M1997" s="593" t="str">
        <f>IF(H:H=0,"",IF(ISERROR(VLOOKUP(H:H,produtos_escape2!$A$2:$D$2794,2,FALSE)),"Código não cadastrado",(VLOOKUP(H:H,produtos_escape2!$A$2:$D$2794,4,FALSE))))</f>
        <v/>
      </c>
      <c r="N1997" s="486"/>
      <c r="O1997" s="176"/>
      <c r="P1997" s="486"/>
      <c r="Q1997" s="247"/>
      <c r="R1997" s="246">
        <f t="shared" si="77"/>
        <v>0</v>
      </c>
      <c r="S1997" s="177"/>
      <c r="T1997" s="182"/>
      <c r="U1997" s="177"/>
      <c r="V1997" s="177"/>
      <c r="W1997" s="177"/>
      <c r="X1997" s="176"/>
      <c r="Y1997" s="177"/>
      <c r="Z1997" s="415"/>
      <c r="AA1997" s="488"/>
      <c r="AB1997" s="594"/>
      <c r="AC1997" s="595"/>
      <c r="AD1997" s="596" t="str">
        <f>IF(AND(AC1997&lt;&gt;"",S1997&lt;&gt;""),NETWORKDAYS(AC1997,S1997,#REF!),"")</f>
        <v/>
      </c>
      <c r="AE1997" s="596" t="str">
        <f ca="1">IF(AND(AD1997="",AC1997=""),"",IF(OR(AD1997&lt;&gt;"",O1997="*CANCELADO"),"",NETWORKDAYS(AC1997,TODAY(),#REF!)))</f>
        <v/>
      </c>
      <c r="AF1997" s="619"/>
    </row>
    <row r="1998" spans="1:32" ht="14.25" customHeight="1">
      <c r="A1998" s="176"/>
      <c r="B1998" s="176"/>
      <c r="C1998" s="177"/>
      <c r="D1998" s="176"/>
      <c r="E1998" s="176"/>
      <c r="F1998" s="259"/>
      <c r="G1998" s="176"/>
      <c r="H1998" s="178"/>
      <c r="I1998" s="592">
        <f t="shared" si="78"/>
        <v>0</v>
      </c>
      <c r="J1998" s="178"/>
      <c r="K1998" s="178"/>
      <c r="L1998" s="275" t="str">
        <f>IF(H:H=0,"",IF(ISERROR(VLOOKUP(H:H,produtos_escape2!$A$2:$B$2794,2,FALSE)),"Código não cadastrado",(VLOOKUP(H:H,produtos_escape2!$A$2:$B$2794,2,FALSE))))</f>
        <v/>
      </c>
      <c r="M1998" s="593" t="str">
        <f>IF(H:H=0,"",IF(ISERROR(VLOOKUP(H:H,produtos_escape2!$A$2:$D$2794,2,FALSE)),"Código não cadastrado",(VLOOKUP(H:H,produtos_escape2!$A$2:$D$2794,4,FALSE))))</f>
        <v/>
      </c>
      <c r="N1998" s="486"/>
      <c r="O1998" s="176"/>
      <c r="P1998" s="486"/>
      <c r="Q1998" s="247"/>
      <c r="R1998" s="246">
        <f t="shared" si="77"/>
        <v>0</v>
      </c>
      <c r="S1998" s="177"/>
      <c r="T1998" s="182"/>
      <c r="U1998" s="177"/>
      <c r="V1998" s="177"/>
      <c r="W1998" s="177"/>
      <c r="X1998" s="176"/>
      <c r="Y1998" s="177"/>
      <c r="Z1998" s="415"/>
      <c r="AA1998" s="488"/>
      <c r="AB1998" s="594"/>
      <c r="AC1998" s="595"/>
      <c r="AD1998" s="596" t="str">
        <f>IF(AND(AC1998&lt;&gt;"",S1998&lt;&gt;""),NETWORKDAYS(AC1998,S1998,#REF!),"")</f>
        <v/>
      </c>
      <c r="AE1998" s="596" t="str">
        <f ca="1">IF(AND(AD1998="",AC1998=""),"",IF(OR(AD1998&lt;&gt;"",O1998="*CANCELADO"),"",NETWORKDAYS(AC1998,TODAY(),#REF!)))</f>
        <v/>
      </c>
      <c r="AF1998" s="619"/>
    </row>
    <row r="1999" spans="1:32" ht="14.25" customHeight="1">
      <c r="A1999" s="176"/>
      <c r="B1999" s="176"/>
      <c r="C1999" s="177"/>
      <c r="D1999" s="176"/>
      <c r="E1999" s="176"/>
      <c r="F1999" s="259"/>
      <c r="G1999" s="176"/>
      <c r="H1999" s="178"/>
      <c r="I1999" s="592">
        <f t="shared" si="78"/>
        <v>0</v>
      </c>
      <c r="J1999" s="178"/>
      <c r="K1999" s="178"/>
      <c r="L1999" s="275" t="str">
        <f>IF(H:H=0,"",IF(ISERROR(VLOOKUP(H:H,produtos_escape2!$A$2:$B$2794,2,FALSE)),"Código não cadastrado",(VLOOKUP(H:H,produtos_escape2!$A$2:$B$2794,2,FALSE))))</f>
        <v/>
      </c>
      <c r="M1999" s="593" t="str">
        <f>IF(H:H=0,"",IF(ISERROR(VLOOKUP(H:H,produtos_escape2!$A$2:$D$2794,2,FALSE)),"Código não cadastrado",(VLOOKUP(H:H,produtos_escape2!$A$2:$D$2794,4,FALSE))))</f>
        <v/>
      </c>
      <c r="N1999" s="486"/>
      <c r="O1999" s="176"/>
      <c r="P1999" s="486"/>
      <c r="Q1999" s="247"/>
      <c r="R1999" s="246">
        <f t="shared" si="77"/>
        <v>0</v>
      </c>
      <c r="S1999" s="177"/>
      <c r="T1999" s="182"/>
      <c r="U1999" s="177"/>
      <c r="V1999" s="177"/>
      <c r="W1999" s="177"/>
      <c r="X1999" s="176"/>
      <c r="Y1999" s="177"/>
      <c r="Z1999" s="415"/>
      <c r="AA1999" s="488"/>
      <c r="AB1999" s="594"/>
      <c r="AC1999" s="595"/>
      <c r="AD1999" s="596" t="str">
        <f>IF(AND(AC1999&lt;&gt;"",S1999&lt;&gt;""),NETWORKDAYS(AC1999,S1999,#REF!),"")</f>
        <v/>
      </c>
      <c r="AE1999" s="596" t="str">
        <f ca="1">IF(AND(AD1999="",AC1999=""),"",IF(OR(AD1999&lt;&gt;"",O1999="*CANCELADO"),"",NETWORKDAYS(AC1999,TODAY(),#REF!)))</f>
        <v/>
      </c>
      <c r="AF1999" s="619"/>
    </row>
    <row r="2000" spans="1:32" ht="14.25" customHeight="1">
      <c r="A2000" s="176"/>
      <c r="B2000" s="176"/>
      <c r="C2000" s="177"/>
      <c r="D2000" s="176"/>
      <c r="E2000" s="176"/>
      <c r="F2000" s="259"/>
      <c r="G2000" s="176"/>
      <c r="H2000" s="178"/>
      <c r="I2000" s="592">
        <f t="shared" si="78"/>
        <v>0</v>
      </c>
      <c r="J2000" s="178"/>
      <c r="K2000" s="178"/>
      <c r="L2000" s="275" t="str">
        <f>IF(H:H=0,"",IF(ISERROR(VLOOKUP(H:H,produtos_escape2!$A$2:$B$2794,2,FALSE)),"Código não cadastrado",(VLOOKUP(H:H,produtos_escape2!$A$2:$B$2794,2,FALSE))))</f>
        <v/>
      </c>
      <c r="M2000" s="593" t="str">
        <f>IF(H:H=0,"",IF(ISERROR(VLOOKUP(H:H,produtos_escape2!$A$2:$D$2794,2,FALSE)),"Código não cadastrado",(VLOOKUP(H:H,produtos_escape2!$A$2:$D$2794,4,FALSE))))</f>
        <v/>
      </c>
      <c r="N2000" s="486"/>
      <c r="O2000" s="176"/>
      <c r="P2000" s="486"/>
      <c r="Q2000" s="247"/>
      <c r="R2000" s="246">
        <f t="shared" si="77"/>
        <v>0</v>
      </c>
      <c r="S2000" s="177"/>
      <c r="T2000" s="182"/>
      <c r="U2000" s="177"/>
      <c r="V2000" s="177"/>
      <c r="W2000" s="177"/>
      <c r="X2000" s="176"/>
      <c r="Y2000" s="177"/>
      <c r="Z2000" s="415"/>
      <c r="AA2000" s="488"/>
      <c r="AB2000" s="594"/>
      <c r="AC2000" s="595"/>
      <c r="AD2000" s="596" t="str">
        <f>IF(AND(AC2000&lt;&gt;"",S2000&lt;&gt;""),NETWORKDAYS(AC2000,S2000,#REF!),"")</f>
        <v/>
      </c>
      <c r="AE2000" s="596" t="str">
        <f ca="1">IF(AND(AD2000="",AC2000=""),"",IF(OR(AD2000&lt;&gt;"",O2000="*CANCELADO"),"",NETWORKDAYS(AC2000,TODAY(),#REF!)))</f>
        <v/>
      </c>
      <c r="AF2000" s="619"/>
    </row>
    <row r="2001" spans="1:32" ht="14.25" customHeight="1">
      <c r="A2001" s="176"/>
      <c r="B2001" s="176"/>
      <c r="C2001" s="177"/>
      <c r="D2001" s="176"/>
      <c r="E2001" s="176"/>
      <c r="F2001" s="259"/>
      <c r="G2001" s="176"/>
      <c r="H2001" s="178"/>
      <c r="I2001" s="592">
        <f t="shared" si="78"/>
        <v>0</v>
      </c>
      <c r="J2001" s="178"/>
      <c r="K2001" s="178"/>
      <c r="L2001" s="275" t="str">
        <f>IF(H:H=0,"",IF(ISERROR(VLOOKUP(H:H,produtos_escape2!$A$2:$B$2794,2,FALSE)),"Código não cadastrado",(VLOOKUP(H:H,produtos_escape2!$A$2:$B$2794,2,FALSE))))</f>
        <v/>
      </c>
      <c r="M2001" s="593" t="str">
        <f>IF(H:H=0,"",IF(ISERROR(VLOOKUP(H:H,produtos_escape2!$A$2:$D$2794,2,FALSE)),"Código não cadastrado",(VLOOKUP(H:H,produtos_escape2!$A$2:$D$2794,4,FALSE))))</f>
        <v/>
      </c>
      <c r="N2001" s="486"/>
      <c r="O2001" s="176"/>
      <c r="P2001" s="486"/>
      <c r="Q2001" s="247"/>
      <c r="R2001" s="246">
        <f t="shared" si="77"/>
        <v>0</v>
      </c>
      <c r="S2001" s="177"/>
      <c r="T2001" s="182"/>
      <c r="U2001" s="177"/>
      <c r="V2001" s="177"/>
      <c r="W2001" s="177"/>
      <c r="X2001" s="176"/>
      <c r="Y2001" s="177"/>
      <c r="Z2001" s="415"/>
      <c r="AA2001" s="488"/>
      <c r="AB2001" s="594"/>
      <c r="AC2001" s="595"/>
      <c r="AD2001" s="596" t="str">
        <f>IF(AND(AC2001&lt;&gt;"",S2001&lt;&gt;""),NETWORKDAYS(AC2001,S2001,#REF!),"")</f>
        <v/>
      </c>
      <c r="AE2001" s="596" t="str">
        <f ca="1">IF(AND(AD2001="",AC2001=""),"",IF(OR(AD2001&lt;&gt;"",O2001="*CANCELADO"),"",NETWORKDAYS(AC2001,TODAY(),#REF!)))</f>
        <v/>
      </c>
      <c r="AF2001" s="619"/>
    </row>
    <row r="2002" spans="1:32" ht="14.25" customHeight="1">
      <c r="A2002" s="176"/>
      <c r="B2002" s="176"/>
      <c r="C2002" s="177"/>
      <c r="D2002" s="176"/>
      <c r="E2002" s="176"/>
      <c r="F2002" s="259"/>
      <c r="G2002" s="176"/>
      <c r="H2002" s="178"/>
      <c r="I2002" s="592">
        <f t="shared" si="78"/>
        <v>0</v>
      </c>
      <c r="J2002" s="178"/>
      <c r="K2002" s="178"/>
      <c r="L2002" s="275" t="str">
        <f>IF(H:H=0,"",IF(ISERROR(VLOOKUP(H:H,produtos_escape2!$A$2:$B$2794,2,FALSE)),"Código não cadastrado",(VLOOKUP(H:H,produtos_escape2!$A$2:$B$2794,2,FALSE))))</f>
        <v/>
      </c>
      <c r="M2002" s="593" t="str">
        <f>IF(H:H=0,"",IF(ISERROR(VLOOKUP(H:H,produtos_escape2!$A$2:$D$2794,2,FALSE)),"Código não cadastrado",(VLOOKUP(H:H,produtos_escape2!$A$2:$D$2794,4,FALSE))))</f>
        <v/>
      </c>
      <c r="N2002" s="486"/>
      <c r="O2002" s="176"/>
      <c r="P2002" s="486"/>
      <c r="Q2002" s="247"/>
      <c r="R2002" s="246">
        <f t="shared" si="77"/>
        <v>0</v>
      </c>
      <c r="S2002" s="177"/>
      <c r="T2002" s="182"/>
      <c r="U2002" s="177"/>
      <c r="V2002" s="177"/>
      <c r="W2002" s="177"/>
      <c r="X2002" s="176"/>
      <c r="Y2002" s="177"/>
      <c r="Z2002" s="415"/>
      <c r="AA2002" s="488"/>
      <c r="AB2002" s="594"/>
      <c r="AC2002" s="595"/>
      <c r="AD2002" s="596" t="str">
        <f>IF(AND(AC2002&lt;&gt;"",S2002&lt;&gt;""),NETWORKDAYS(AC2002,S2002,#REF!),"")</f>
        <v/>
      </c>
      <c r="AE2002" s="596" t="str">
        <f ca="1">IF(AND(AD2002="",AC2002=""),"",IF(OR(AD2002&lt;&gt;"",O2002="*CANCELADO"),"",NETWORKDAYS(AC2002,TODAY(),#REF!)))</f>
        <v/>
      </c>
      <c r="AF2002" s="619"/>
    </row>
    <row r="2003" spans="1:32" ht="14.25" customHeight="1">
      <c r="A2003" s="176"/>
      <c r="B2003" s="176"/>
      <c r="C2003" s="177"/>
      <c r="D2003" s="176"/>
      <c r="E2003" s="176"/>
      <c r="F2003" s="259"/>
      <c r="G2003" s="176"/>
      <c r="H2003" s="178"/>
      <c r="I2003" s="592">
        <f t="shared" si="78"/>
        <v>0</v>
      </c>
      <c r="J2003" s="178"/>
      <c r="K2003" s="178"/>
      <c r="L2003" s="275" t="str">
        <f>IF(H:H=0,"",IF(ISERROR(VLOOKUP(H:H,produtos_escape2!$A$2:$B$2794,2,FALSE)),"Código não cadastrado",(VLOOKUP(H:H,produtos_escape2!$A$2:$B$2794,2,FALSE))))</f>
        <v/>
      </c>
      <c r="M2003" s="593" t="str">
        <f>IF(H:H=0,"",IF(ISERROR(VLOOKUP(H:H,produtos_escape2!$A$2:$D$2794,2,FALSE)),"Código não cadastrado",(VLOOKUP(H:H,produtos_escape2!$A$2:$D$2794,4,FALSE))))</f>
        <v/>
      </c>
      <c r="N2003" s="486"/>
      <c r="O2003" s="176"/>
      <c r="P2003" s="486"/>
      <c r="Q2003" s="247"/>
      <c r="R2003" s="246">
        <f t="shared" si="77"/>
        <v>0</v>
      </c>
      <c r="S2003" s="177"/>
      <c r="T2003" s="182"/>
      <c r="U2003" s="177"/>
      <c r="V2003" s="177"/>
      <c r="W2003" s="177"/>
      <c r="X2003" s="176"/>
      <c r="Y2003" s="177"/>
      <c r="Z2003" s="415"/>
      <c r="AA2003" s="488"/>
      <c r="AB2003" s="594"/>
      <c r="AC2003" s="595"/>
      <c r="AD2003" s="596" t="str">
        <f>IF(AND(AC2003&lt;&gt;"",S2003&lt;&gt;""),NETWORKDAYS(AC2003,S2003,#REF!),"")</f>
        <v/>
      </c>
      <c r="AE2003" s="596" t="str">
        <f ca="1">IF(AND(AD2003="",AC2003=""),"",IF(OR(AD2003&lt;&gt;"",O2003="*CANCELADO"),"",NETWORKDAYS(AC2003,TODAY(),#REF!)))</f>
        <v/>
      </c>
      <c r="AF2003" s="619"/>
    </row>
    <row r="2004" spans="1:32" ht="14.25" customHeight="1">
      <c r="A2004" s="176"/>
      <c r="B2004" s="176"/>
      <c r="C2004" s="177"/>
      <c r="D2004" s="176"/>
      <c r="E2004" s="176"/>
      <c r="F2004" s="259"/>
      <c r="G2004" s="176"/>
      <c r="H2004" s="178"/>
      <c r="I2004" s="592">
        <f t="shared" si="78"/>
        <v>0</v>
      </c>
      <c r="J2004" s="178"/>
      <c r="K2004" s="178"/>
      <c r="L2004" s="275" t="str">
        <f>IF(H:H=0,"",IF(ISERROR(VLOOKUP(H:H,produtos_escape2!$A$2:$B$2794,2,FALSE)),"Código não cadastrado",(VLOOKUP(H:H,produtos_escape2!$A$2:$B$2794,2,FALSE))))</f>
        <v/>
      </c>
      <c r="M2004" s="593" t="str">
        <f>IF(H:H=0,"",IF(ISERROR(VLOOKUP(H:H,produtos_escape2!$A$2:$D$2794,2,FALSE)),"Código não cadastrado",(VLOOKUP(H:H,produtos_escape2!$A$2:$D$2794,4,FALSE))))</f>
        <v/>
      </c>
      <c r="N2004" s="486"/>
      <c r="O2004" s="176"/>
      <c r="P2004" s="486"/>
      <c r="Q2004" s="247"/>
      <c r="R2004" s="246">
        <f t="shared" si="77"/>
        <v>0</v>
      </c>
      <c r="S2004" s="177"/>
      <c r="T2004" s="182"/>
      <c r="U2004" s="177"/>
      <c r="V2004" s="177"/>
      <c r="W2004" s="177"/>
      <c r="X2004" s="176"/>
      <c r="Y2004" s="177"/>
      <c r="Z2004" s="415"/>
      <c r="AA2004" s="488"/>
      <c r="AB2004" s="594"/>
      <c r="AC2004" s="595"/>
      <c r="AD2004" s="596" t="str">
        <f>IF(AND(AC2004&lt;&gt;"",S2004&lt;&gt;""),NETWORKDAYS(AC2004,S2004,#REF!),"")</f>
        <v/>
      </c>
      <c r="AE2004" s="596" t="str">
        <f ca="1">IF(AND(AD2004="",AC2004=""),"",IF(OR(AD2004&lt;&gt;"",O2004="*CANCELADO"),"",NETWORKDAYS(AC2004,TODAY(),#REF!)))</f>
        <v/>
      </c>
      <c r="AF2004" s="619"/>
    </row>
    <row r="2005" spans="1:32" ht="14.25" customHeight="1">
      <c r="A2005" s="176"/>
      <c r="B2005" s="176"/>
      <c r="C2005" s="177"/>
      <c r="D2005" s="176"/>
      <c r="E2005" s="176"/>
      <c r="F2005" s="259"/>
      <c r="G2005" s="176"/>
      <c r="H2005" s="178"/>
      <c r="I2005" s="592">
        <f t="shared" si="78"/>
        <v>0</v>
      </c>
      <c r="J2005" s="178"/>
      <c r="K2005" s="178"/>
      <c r="L2005" s="275" t="str">
        <f>IF(H:H=0,"",IF(ISERROR(VLOOKUP(H:H,produtos_escape2!$A$2:$B$2794,2,FALSE)),"Código não cadastrado",(VLOOKUP(H:H,produtos_escape2!$A$2:$B$2794,2,FALSE))))</f>
        <v/>
      </c>
      <c r="M2005" s="593" t="str">
        <f>IF(H:H=0,"",IF(ISERROR(VLOOKUP(H:H,produtos_escape2!$A$2:$D$2794,2,FALSE)),"Código não cadastrado",(VLOOKUP(H:H,produtos_escape2!$A$2:$D$2794,4,FALSE))))</f>
        <v/>
      </c>
      <c r="N2005" s="486"/>
      <c r="O2005" s="176"/>
      <c r="P2005" s="486"/>
      <c r="Q2005" s="247"/>
      <c r="R2005" s="246">
        <f t="shared" si="77"/>
        <v>0</v>
      </c>
      <c r="S2005" s="177"/>
      <c r="T2005" s="182"/>
      <c r="U2005" s="177"/>
      <c r="V2005" s="177"/>
      <c r="W2005" s="177"/>
      <c r="X2005" s="176"/>
      <c r="Y2005" s="177"/>
      <c r="Z2005" s="415"/>
      <c r="AA2005" s="488"/>
      <c r="AB2005" s="594"/>
      <c r="AC2005" s="595"/>
      <c r="AD2005" s="596" t="str">
        <f>IF(AND(AC2005&lt;&gt;"",S2005&lt;&gt;""),NETWORKDAYS(AC2005,S2005,#REF!),"")</f>
        <v/>
      </c>
      <c r="AE2005" s="596" t="str">
        <f ca="1">IF(AND(AD2005="",AC2005=""),"",IF(OR(AD2005&lt;&gt;"",O2005="*CANCELADO"),"",NETWORKDAYS(AC2005,TODAY(),#REF!)))</f>
        <v/>
      </c>
      <c r="AF2005" s="619"/>
    </row>
    <row r="2006" spans="1:32" ht="14.25" customHeight="1">
      <c r="A2006" s="176"/>
      <c r="B2006" s="176"/>
      <c r="C2006" s="177"/>
      <c r="D2006" s="176"/>
      <c r="E2006" s="176"/>
      <c r="F2006" s="259"/>
      <c r="G2006" s="176"/>
      <c r="H2006" s="178"/>
      <c r="I2006" s="592">
        <f t="shared" si="78"/>
        <v>0</v>
      </c>
      <c r="J2006" s="178"/>
      <c r="K2006" s="178"/>
      <c r="L2006" s="275" t="str">
        <f>IF(H:H=0,"",IF(ISERROR(VLOOKUP(H:H,produtos_escape2!$A$2:$B$2794,2,FALSE)),"Código não cadastrado",(VLOOKUP(H:H,produtos_escape2!$A$2:$B$2794,2,FALSE))))</f>
        <v/>
      </c>
      <c r="M2006" s="593" t="str">
        <f>IF(H:H=0,"",IF(ISERROR(VLOOKUP(H:H,produtos_escape2!$A$2:$D$2794,2,FALSE)),"Código não cadastrado",(VLOOKUP(H:H,produtos_escape2!$A$2:$D$2794,4,FALSE))))</f>
        <v/>
      </c>
      <c r="N2006" s="486"/>
      <c r="O2006" s="176"/>
      <c r="P2006" s="486"/>
      <c r="Q2006" s="247"/>
      <c r="R2006" s="246">
        <f t="shared" si="77"/>
        <v>0</v>
      </c>
      <c r="S2006" s="177"/>
      <c r="T2006" s="182"/>
      <c r="U2006" s="177"/>
      <c r="V2006" s="177"/>
      <c r="W2006" s="177"/>
      <c r="X2006" s="176"/>
      <c r="Y2006" s="177"/>
      <c r="Z2006" s="415"/>
      <c r="AA2006" s="488"/>
      <c r="AB2006" s="594"/>
      <c r="AC2006" s="595"/>
      <c r="AD2006" s="596" t="str">
        <f>IF(AND(AC2006&lt;&gt;"",S2006&lt;&gt;""),NETWORKDAYS(AC2006,S2006,#REF!),"")</f>
        <v/>
      </c>
      <c r="AE2006" s="596" t="str">
        <f ca="1">IF(AND(AD2006="",AC2006=""),"",IF(OR(AD2006&lt;&gt;"",O2006="*CANCELADO"),"",NETWORKDAYS(AC2006,TODAY(),#REF!)))</f>
        <v/>
      </c>
      <c r="AF2006" s="619"/>
    </row>
    <row r="2007" spans="1:32" ht="14.25" customHeight="1">
      <c r="A2007" s="176"/>
      <c r="B2007" s="176"/>
      <c r="C2007" s="177"/>
      <c r="D2007" s="176"/>
      <c r="E2007" s="176"/>
      <c r="F2007" s="259"/>
      <c r="G2007" s="176"/>
      <c r="H2007" s="178"/>
      <c r="I2007" s="592">
        <f t="shared" si="78"/>
        <v>0</v>
      </c>
      <c r="J2007" s="178"/>
      <c r="K2007" s="178"/>
      <c r="L2007" s="275" t="str">
        <f>IF(H:H=0,"",IF(ISERROR(VLOOKUP(H:H,produtos_escape2!$A$2:$B$2794,2,FALSE)),"Código não cadastrado",(VLOOKUP(H:H,produtos_escape2!$A$2:$B$2794,2,FALSE))))</f>
        <v/>
      </c>
      <c r="M2007" s="593" t="str">
        <f>IF(H:H=0,"",IF(ISERROR(VLOOKUP(H:H,produtos_escape2!$A$2:$D$2794,2,FALSE)),"Código não cadastrado",(VLOOKUP(H:H,produtos_escape2!$A$2:$D$2794,4,FALSE))))</f>
        <v/>
      </c>
      <c r="N2007" s="486"/>
      <c r="O2007" s="176"/>
      <c r="P2007" s="486"/>
      <c r="Q2007" s="247"/>
      <c r="R2007" s="246">
        <f t="shared" si="77"/>
        <v>0</v>
      </c>
      <c r="S2007" s="177"/>
      <c r="T2007" s="182"/>
      <c r="U2007" s="177"/>
      <c r="V2007" s="177"/>
      <c r="W2007" s="177"/>
      <c r="X2007" s="176"/>
      <c r="Y2007" s="177"/>
      <c r="Z2007" s="415"/>
      <c r="AA2007" s="488"/>
      <c r="AB2007" s="594"/>
      <c r="AC2007" s="595"/>
      <c r="AD2007" s="596" t="str">
        <f>IF(AND(AC2007&lt;&gt;"",S2007&lt;&gt;""),NETWORKDAYS(AC2007,S2007,#REF!),"")</f>
        <v/>
      </c>
      <c r="AE2007" s="596" t="str">
        <f ca="1">IF(AND(AD2007="",AC2007=""),"",IF(OR(AD2007&lt;&gt;"",O2007="*CANCELADO"),"",NETWORKDAYS(AC2007,TODAY(),#REF!)))</f>
        <v/>
      </c>
      <c r="AF2007" s="619"/>
    </row>
    <row r="2008" spans="1:32" ht="14.25" customHeight="1">
      <c r="A2008" s="176"/>
      <c r="B2008" s="176"/>
      <c r="C2008" s="177"/>
      <c r="D2008" s="176"/>
      <c r="E2008" s="176"/>
      <c r="F2008" s="259"/>
      <c r="G2008" s="176"/>
      <c r="H2008" s="178"/>
      <c r="I2008" s="592">
        <f t="shared" si="78"/>
        <v>0</v>
      </c>
      <c r="J2008" s="178"/>
      <c r="K2008" s="178"/>
      <c r="L2008" s="275" t="str">
        <f>IF(H:H=0,"",IF(ISERROR(VLOOKUP(H:H,produtos_escape2!$A$2:$B$2794,2,FALSE)),"Código não cadastrado",(VLOOKUP(H:H,produtos_escape2!$A$2:$B$2794,2,FALSE))))</f>
        <v/>
      </c>
      <c r="M2008" s="593" t="str">
        <f>IF(H:H=0,"",IF(ISERROR(VLOOKUP(H:H,produtos_escape2!$A$2:$D$2794,2,FALSE)),"Código não cadastrado",(VLOOKUP(H:H,produtos_escape2!$A$2:$D$2794,4,FALSE))))</f>
        <v/>
      </c>
      <c r="N2008" s="486"/>
      <c r="O2008" s="176"/>
      <c r="P2008" s="486"/>
      <c r="Q2008" s="247"/>
      <c r="R2008" s="246">
        <f t="shared" si="77"/>
        <v>0</v>
      </c>
      <c r="S2008" s="177"/>
      <c r="T2008" s="182"/>
      <c r="U2008" s="177"/>
      <c r="V2008" s="177"/>
      <c r="W2008" s="177"/>
      <c r="X2008" s="176"/>
      <c r="Y2008" s="177"/>
      <c r="Z2008" s="415"/>
      <c r="AA2008" s="488"/>
      <c r="AB2008" s="594"/>
      <c r="AC2008" s="595"/>
      <c r="AD2008" s="596" t="str">
        <f>IF(AND(AC2008&lt;&gt;"",S2008&lt;&gt;""),NETWORKDAYS(AC2008,S2008,#REF!),"")</f>
        <v/>
      </c>
      <c r="AE2008" s="596" t="str">
        <f ca="1">IF(AND(AD2008="",AC2008=""),"",IF(OR(AD2008&lt;&gt;"",O2008="*CANCELADO"),"",NETWORKDAYS(AC2008,TODAY(),#REF!)))</f>
        <v/>
      </c>
      <c r="AF2008" s="619"/>
    </row>
    <row r="2009" spans="1:32" ht="14.25" customHeight="1">
      <c r="A2009" s="176"/>
      <c r="B2009" s="176"/>
      <c r="C2009" s="177"/>
      <c r="D2009" s="176"/>
      <c r="E2009" s="176"/>
      <c r="F2009" s="259"/>
      <c r="G2009" s="176"/>
      <c r="H2009" s="178"/>
      <c r="I2009" s="592">
        <f t="shared" si="78"/>
        <v>0</v>
      </c>
      <c r="J2009" s="178"/>
      <c r="K2009" s="178"/>
      <c r="L2009" s="275" t="str">
        <f>IF(H:H=0,"",IF(ISERROR(VLOOKUP(H:H,produtos_escape2!$A$2:$B$2794,2,FALSE)),"Código não cadastrado",(VLOOKUP(H:H,produtos_escape2!$A$2:$B$2794,2,FALSE))))</f>
        <v/>
      </c>
      <c r="M2009" s="593" t="str">
        <f>IF(H:H=0,"",IF(ISERROR(VLOOKUP(H:H,produtos_escape2!$A$2:$D$2794,2,FALSE)),"Código não cadastrado",(VLOOKUP(H:H,produtos_escape2!$A$2:$D$2794,4,FALSE))))</f>
        <v/>
      </c>
      <c r="N2009" s="486"/>
      <c r="O2009" s="176"/>
      <c r="P2009" s="486"/>
      <c r="Q2009" s="247"/>
      <c r="R2009" s="246">
        <f t="shared" si="77"/>
        <v>0</v>
      </c>
      <c r="S2009" s="177"/>
      <c r="T2009" s="182"/>
      <c r="U2009" s="177"/>
      <c r="V2009" s="177"/>
      <c r="W2009" s="177"/>
      <c r="X2009" s="176"/>
      <c r="Y2009" s="177"/>
      <c r="Z2009" s="415"/>
      <c r="AA2009" s="488"/>
      <c r="AB2009" s="594"/>
      <c r="AC2009" s="595"/>
      <c r="AD2009" s="596" t="str">
        <f>IF(AND(AC2009&lt;&gt;"",S2009&lt;&gt;""),NETWORKDAYS(AC2009,S2009,#REF!),"")</f>
        <v/>
      </c>
      <c r="AE2009" s="596" t="str">
        <f ca="1">IF(AND(AD2009="",AC2009=""),"",IF(OR(AD2009&lt;&gt;"",O2009="*CANCELADO"),"",NETWORKDAYS(AC2009,TODAY(),#REF!)))</f>
        <v/>
      </c>
      <c r="AF2009" s="619"/>
    </row>
    <row r="2010" spans="1:32" ht="14.25" customHeight="1">
      <c r="A2010" s="176"/>
      <c r="B2010" s="176"/>
      <c r="C2010" s="177"/>
      <c r="D2010" s="176"/>
      <c r="E2010" s="176"/>
      <c r="F2010" s="259"/>
      <c r="G2010" s="176"/>
      <c r="H2010" s="178"/>
      <c r="I2010" s="592">
        <f t="shared" si="78"/>
        <v>0</v>
      </c>
      <c r="J2010" s="178"/>
      <c r="K2010" s="178"/>
      <c r="L2010" s="275" t="str">
        <f>IF(H:H=0,"",IF(ISERROR(VLOOKUP(H:H,produtos_escape2!$A$2:$B$2794,2,FALSE)),"Código não cadastrado",(VLOOKUP(H:H,produtos_escape2!$A$2:$B$2794,2,FALSE))))</f>
        <v/>
      </c>
      <c r="M2010" s="593" t="str">
        <f>IF(H:H=0,"",IF(ISERROR(VLOOKUP(H:H,produtos_escape2!$A$2:$D$2794,2,FALSE)),"Código não cadastrado",(VLOOKUP(H:H,produtos_escape2!$A$2:$D$2794,4,FALSE))))</f>
        <v/>
      </c>
      <c r="N2010" s="486"/>
      <c r="O2010" s="176"/>
      <c r="P2010" s="486"/>
      <c r="Q2010" s="247"/>
      <c r="R2010" s="246">
        <f t="shared" si="77"/>
        <v>0</v>
      </c>
      <c r="S2010" s="177"/>
      <c r="T2010" s="182"/>
      <c r="U2010" s="177"/>
      <c r="V2010" s="177"/>
      <c r="W2010" s="177"/>
      <c r="X2010" s="176"/>
      <c r="Y2010" s="177"/>
      <c r="Z2010" s="415"/>
      <c r="AA2010" s="488"/>
      <c r="AB2010" s="594"/>
      <c r="AC2010" s="595"/>
      <c r="AD2010" s="596" t="str">
        <f>IF(AND(AC2010&lt;&gt;"",S2010&lt;&gt;""),NETWORKDAYS(AC2010,S2010,#REF!),"")</f>
        <v/>
      </c>
      <c r="AE2010" s="596" t="str">
        <f ca="1">IF(AND(AD2010="",AC2010=""),"",IF(OR(AD2010&lt;&gt;"",O2010="*CANCELADO"),"",NETWORKDAYS(AC2010,TODAY(),#REF!)))</f>
        <v/>
      </c>
      <c r="AF2010" s="619"/>
    </row>
    <row r="2011" spans="1:32" ht="14.25" customHeight="1">
      <c r="A2011" s="176"/>
      <c r="B2011" s="176"/>
      <c r="C2011" s="177"/>
      <c r="D2011" s="176"/>
      <c r="E2011" s="176"/>
      <c r="F2011" s="259"/>
      <c r="G2011" s="176"/>
      <c r="H2011" s="178"/>
      <c r="I2011" s="592">
        <f t="shared" si="78"/>
        <v>0</v>
      </c>
      <c r="J2011" s="178"/>
      <c r="K2011" s="178"/>
      <c r="L2011" s="275" t="str">
        <f>IF(H:H=0,"",IF(ISERROR(VLOOKUP(H:H,produtos_escape2!$A$2:$B$2794,2,FALSE)),"Código não cadastrado",(VLOOKUP(H:H,produtos_escape2!$A$2:$B$2794,2,FALSE))))</f>
        <v/>
      </c>
      <c r="M2011" s="593" t="str">
        <f>IF(H:H=0,"",IF(ISERROR(VLOOKUP(H:H,produtos_escape2!$A$2:$D$2794,2,FALSE)),"Código não cadastrado",(VLOOKUP(H:H,produtos_escape2!$A$2:$D$2794,4,FALSE))))</f>
        <v/>
      </c>
      <c r="N2011" s="486"/>
      <c r="O2011" s="176"/>
      <c r="P2011" s="486"/>
      <c r="Q2011" s="247"/>
      <c r="R2011" s="246">
        <f t="shared" si="77"/>
        <v>0</v>
      </c>
      <c r="S2011" s="177"/>
      <c r="T2011" s="182"/>
      <c r="U2011" s="177"/>
      <c r="V2011" s="177"/>
      <c r="W2011" s="177"/>
      <c r="X2011" s="176"/>
      <c r="Y2011" s="177"/>
      <c r="Z2011" s="415"/>
      <c r="AA2011" s="488"/>
      <c r="AB2011" s="594"/>
      <c r="AC2011" s="595"/>
      <c r="AD2011" s="596" t="str">
        <f>IF(AND(AC2011&lt;&gt;"",S2011&lt;&gt;""),NETWORKDAYS(AC2011,S2011,#REF!),"")</f>
        <v/>
      </c>
      <c r="AE2011" s="596" t="str">
        <f ca="1">IF(AND(AD2011="",AC2011=""),"",IF(OR(AD2011&lt;&gt;"",O2011="*CANCELADO"),"",NETWORKDAYS(AC2011,TODAY(),#REF!)))</f>
        <v/>
      </c>
      <c r="AF2011" s="619"/>
    </row>
    <row r="2012" spans="1:32" ht="14.25" customHeight="1">
      <c r="A2012" s="176"/>
      <c r="B2012" s="176"/>
      <c r="C2012" s="177"/>
      <c r="D2012" s="176"/>
      <c r="E2012" s="176"/>
      <c r="F2012" s="259"/>
      <c r="G2012" s="176"/>
      <c r="H2012" s="178"/>
      <c r="I2012" s="592">
        <f t="shared" si="78"/>
        <v>0</v>
      </c>
      <c r="J2012" s="178"/>
      <c r="K2012" s="178"/>
      <c r="L2012" s="275" t="str">
        <f>IF(H:H=0,"",IF(ISERROR(VLOOKUP(H:H,produtos_escape2!$A$2:$B$2794,2,FALSE)),"Código não cadastrado",(VLOOKUP(H:H,produtos_escape2!$A$2:$B$2794,2,FALSE))))</f>
        <v/>
      </c>
      <c r="M2012" s="593" t="str">
        <f>IF(H:H=0,"",IF(ISERROR(VLOOKUP(H:H,produtos_escape2!$A$2:$D$2794,2,FALSE)),"Código não cadastrado",(VLOOKUP(H:H,produtos_escape2!$A$2:$D$2794,4,FALSE))))</f>
        <v/>
      </c>
      <c r="N2012" s="486"/>
      <c r="O2012" s="176"/>
      <c r="P2012" s="486"/>
      <c r="Q2012" s="247"/>
      <c r="R2012" s="246">
        <f t="shared" si="77"/>
        <v>0</v>
      </c>
      <c r="S2012" s="177"/>
      <c r="T2012" s="182"/>
      <c r="U2012" s="177"/>
      <c r="V2012" s="177"/>
      <c r="W2012" s="177"/>
      <c r="X2012" s="176"/>
      <c r="Y2012" s="177"/>
      <c r="Z2012" s="415"/>
      <c r="AA2012" s="488"/>
      <c r="AB2012" s="594"/>
      <c r="AC2012" s="595"/>
      <c r="AD2012" s="596" t="str">
        <f>IF(AND(AC2012&lt;&gt;"",S2012&lt;&gt;""),NETWORKDAYS(AC2012,S2012,#REF!),"")</f>
        <v/>
      </c>
      <c r="AE2012" s="596" t="str">
        <f ca="1">IF(AND(AD2012="",AC2012=""),"",IF(OR(AD2012&lt;&gt;"",O2012="*CANCELADO"),"",NETWORKDAYS(AC2012,TODAY(),#REF!)))</f>
        <v/>
      </c>
      <c r="AF2012" s="619"/>
    </row>
    <row r="2013" spans="1:32" ht="14.25" customHeight="1">
      <c r="A2013" s="176"/>
      <c r="B2013" s="176"/>
      <c r="C2013" s="177"/>
      <c r="D2013" s="176"/>
      <c r="E2013" s="176"/>
      <c r="F2013" s="259"/>
      <c r="G2013" s="176"/>
      <c r="H2013" s="178"/>
      <c r="I2013" s="592">
        <f t="shared" si="78"/>
        <v>0</v>
      </c>
      <c r="J2013" s="178"/>
      <c r="K2013" s="178"/>
      <c r="L2013" s="275" t="str">
        <f>IF(H:H=0,"",IF(ISERROR(VLOOKUP(H:H,produtos_escape2!$A$2:$B$2794,2,FALSE)),"Código não cadastrado",(VLOOKUP(H:H,produtos_escape2!$A$2:$B$2794,2,FALSE))))</f>
        <v/>
      </c>
      <c r="M2013" s="593" t="str">
        <f>IF(H:H=0,"",IF(ISERROR(VLOOKUP(H:H,produtos_escape2!$A$2:$D$2794,2,FALSE)),"Código não cadastrado",(VLOOKUP(H:H,produtos_escape2!$A$2:$D$2794,4,FALSE))))</f>
        <v/>
      </c>
      <c r="N2013" s="486"/>
      <c r="O2013" s="176"/>
      <c r="P2013" s="486"/>
      <c r="Q2013" s="247"/>
      <c r="R2013" s="246">
        <f t="shared" si="77"/>
        <v>0</v>
      </c>
      <c r="S2013" s="177"/>
      <c r="T2013" s="182"/>
      <c r="U2013" s="177"/>
      <c r="V2013" s="177"/>
      <c r="W2013" s="177"/>
      <c r="X2013" s="176"/>
      <c r="Y2013" s="177"/>
      <c r="Z2013" s="415"/>
      <c r="AA2013" s="488"/>
      <c r="AB2013" s="594"/>
      <c r="AC2013" s="595"/>
      <c r="AD2013" s="596" t="str">
        <f>IF(AND(AC2013&lt;&gt;"",S2013&lt;&gt;""),NETWORKDAYS(AC2013,S2013,#REF!),"")</f>
        <v/>
      </c>
      <c r="AE2013" s="596" t="str">
        <f ca="1">IF(AND(AD2013="",AC2013=""),"",IF(OR(AD2013&lt;&gt;"",O2013="*CANCELADO"),"",NETWORKDAYS(AC2013,TODAY(),#REF!)))</f>
        <v/>
      </c>
      <c r="AF2013" s="619"/>
    </row>
    <row r="2014" spans="1:32" ht="14.25" customHeight="1">
      <c r="A2014" s="176"/>
      <c r="B2014" s="176"/>
      <c r="C2014" s="177"/>
      <c r="D2014" s="176"/>
      <c r="E2014" s="176"/>
      <c r="F2014" s="259"/>
      <c r="G2014" s="176"/>
      <c r="H2014" s="178"/>
      <c r="I2014" s="592">
        <f t="shared" si="78"/>
        <v>0</v>
      </c>
      <c r="J2014" s="178"/>
      <c r="K2014" s="178"/>
      <c r="L2014" s="275" t="str">
        <f>IF(H:H=0,"",IF(ISERROR(VLOOKUP(H:H,produtos_escape2!$A$2:$B$2794,2,FALSE)),"Código não cadastrado",(VLOOKUP(H:H,produtos_escape2!$A$2:$B$2794,2,FALSE))))</f>
        <v/>
      </c>
      <c r="M2014" s="593" t="str">
        <f>IF(H:H=0,"",IF(ISERROR(VLOOKUP(H:H,produtos_escape2!$A$2:$D$2794,2,FALSE)),"Código não cadastrado",(VLOOKUP(H:H,produtos_escape2!$A$2:$D$2794,4,FALSE))))</f>
        <v/>
      </c>
      <c r="N2014" s="486"/>
      <c r="O2014" s="176"/>
      <c r="P2014" s="486"/>
      <c r="Q2014" s="247"/>
      <c r="R2014" s="246">
        <f t="shared" si="77"/>
        <v>0</v>
      </c>
      <c r="S2014" s="177"/>
      <c r="T2014" s="182"/>
      <c r="U2014" s="177"/>
      <c r="V2014" s="177"/>
      <c r="W2014" s="177"/>
      <c r="X2014" s="176"/>
      <c r="Y2014" s="177"/>
      <c r="Z2014" s="415"/>
      <c r="AA2014" s="488"/>
      <c r="AB2014" s="594"/>
      <c r="AC2014" s="595"/>
      <c r="AD2014" s="596" t="str">
        <f>IF(AND(AC2014&lt;&gt;"",S2014&lt;&gt;""),NETWORKDAYS(AC2014,S2014,#REF!),"")</f>
        <v/>
      </c>
      <c r="AE2014" s="596" t="str">
        <f ca="1">IF(AND(AD2014="",AC2014=""),"",IF(OR(AD2014&lt;&gt;"",O2014="*CANCELADO"),"",NETWORKDAYS(AC2014,TODAY(),#REF!)))</f>
        <v/>
      </c>
      <c r="AF2014" s="619"/>
    </row>
    <row r="2015" spans="1:32" ht="14.25" customHeight="1">
      <c r="A2015" s="176"/>
      <c r="B2015" s="176"/>
      <c r="C2015" s="177"/>
      <c r="D2015" s="176"/>
      <c r="E2015" s="176"/>
      <c r="F2015" s="259"/>
      <c r="G2015" s="176"/>
      <c r="H2015" s="178"/>
      <c r="I2015" s="592">
        <f t="shared" si="78"/>
        <v>0</v>
      </c>
      <c r="J2015" s="178"/>
      <c r="K2015" s="178"/>
      <c r="L2015" s="275" t="str">
        <f>IF(H:H=0,"",IF(ISERROR(VLOOKUP(H:H,produtos_escape2!$A$2:$B$2794,2,FALSE)),"Código não cadastrado",(VLOOKUP(H:H,produtos_escape2!$A$2:$B$2794,2,FALSE))))</f>
        <v/>
      </c>
      <c r="M2015" s="593" t="str">
        <f>IF(H:H=0,"",IF(ISERROR(VLOOKUP(H:H,produtos_escape2!$A$2:$D$2794,2,FALSE)),"Código não cadastrado",(VLOOKUP(H:H,produtos_escape2!$A$2:$D$2794,4,FALSE))))</f>
        <v/>
      </c>
      <c r="N2015" s="486"/>
      <c r="O2015" s="176"/>
      <c r="P2015" s="486"/>
      <c r="Q2015" s="247"/>
      <c r="R2015" s="246">
        <f t="shared" si="77"/>
        <v>0</v>
      </c>
      <c r="S2015" s="177"/>
      <c r="T2015" s="182"/>
      <c r="U2015" s="177"/>
      <c r="V2015" s="177"/>
      <c r="W2015" s="177"/>
      <c r="X2015" s="176"/>
      <c r="Y2015" s="177"/>
      <c r="Z2015" s="415"/>
      <c r="AA2015" s="488"/>
      <c r="AB2015" s="594"/>
      <c r="AC2015" s="595"/>
      <c r="AD2015" s="596" t="str">
        <f>IF(AND(AC2015&lt;&gt;"",S2015&lt;&gt;""),NETWORKDAYS(AC2015,S2015,#REF!),"")</f>
        <v/>
      </c>
      <c r="AE2015" s="596" t="str">
        <f ca="1">IF(AND(AD2015="",AC2015=""),"",IF(OR(AD2015&lt;&gt;"",O2015="*CANCELADO"),"",NETWORKDAYS(AC2015,TODAY(),#REF!)))</f>
        <v/>
      </c>
      <c r="AF2015" s="619"/>
    </row>
    <row r="2016" spans="1:32" ht="14.25" customHeight="1">
      <c r="A2016" s="176"/>
      <c r="B2016" s="176"/>
      <c r="C2016" s="177"/>
      <c r="D2016" s="176"/>
      <c r="E2016" s="176"/>
      <c r="F2016" s="259"/>
      <c r="G2016" s="176"/>
      <c r="H2016" s="178"/>
      <c r="I2016" s="592">
        <f t="shared" si="78"/>
        <v>0</v>
      </c>
      <c r="J2016" s="178"/>
      <c r="K2016" s="178"/>
      <c r="L2016" s="275" t="str">
        <f>IF(H:H=0,"",IF(ISERROR(VLOOKUP(H:H,produtos_escape2!$A$2:$B$2794,2,FALSE)),"Código não cadastrado",(VLOOKUP(H:H,produtos_escape2!$A$2:$B$2794,2,FALSE))))</f>
        <v/>
      </c>
      <c r="M2016" s="593" t="str">
        <f>IF(H:H=0,"",IF(ISERROR(VLOOKUP(H:H,produtos_escape2!$A$2:$D$2794,2,FALSE)),"Código não cadastrado",(VLOOKUP(H:H,produtos_escape2!$A$2:$D$2794,4,FALSE))))</f>
        <v/>
      </c>
      <c r="N2016" s="486"/>
      <c r="O2016" s="176"/>
      <c r="P2016" s="486"/>
      <c r="Q2016" s="247"/>
      <c r="R2016" s="246">
        <f t="shared" si="77"/>
        <v>0</v>
      </c>
      <c r="S2016" s="177"/>
      <c r="T2016" s="182"/>
      <c r="U2016" s="177"/>
      <c r="V2016" s="177"/>
      <c r="W2016" s="177"/>
      <c r="X2016" s="176"/>
      <c r="Y2016" s="177"/>
      <c r="Z2016" s="415"/>
      <c r="AA2016" s="488"/>
      <c r="AB2016" s="594"/>
      <c r="AC2016" s="595"/>
      <c r="AD2016" s="596" t="str">
        <f>IF(AND(AC2016&lt;&gt;"",S2016&lt;&gt;""),NETWORKDAYS(AC2016,S2016,#REF!),"")</f>
        <v/>
      </c>
      <c r="AE2016" s="596" t="str">
        <f ca="1">IF(AND(AD2016="",AC2016=""),"",IF(OR(AD2016&lt;&gt;"",O2016="*CANCELADO"),"",NETWORKDAYS(AC2016,TODAY(),#REF!)))</f>
        <v/>
      </c>
      <c r="AF2016" s="619"/>
    </row>
    <row r="2017" spans="1:32" ht="14.25" customHeight="1">
      <c r="A2017" s="176"/>
      <c r="B2017" s="176"/>
      <c r="C2017" s="177"/>
      <c r="D2017" s="176"/>
      <c r="E2017" s="176"/>
      <c r="F2017" s="259"/>
      <c r="G2017" s="176"/>
      <c r="H2017" s="178"/>
      <c r="I2017" s="592">
        <f t="shared" si="78"/>
        <v>0</v>
      </c>
      <c r="J2017" s="178"/>
      <c r="K2017" s="178"/>
      <c r="L2017" s="275" t="str">
        <f>IF(H:H=0,"",IF(ISERROR(VLOOKUP(H:H,produtos_escape2!$A$2:$B$2794,2,FALSE)),"Código não cadastrado",(VLOOKUP(H:H,produtos_escape2!$A$2:$B$2794,2,FALSE))))</f>
        <v/>
      </c>
      <c r="M2017" s="593" t="str">
        <f>IF(H:H=0,"",IF(ISERROR(VLOOKUP(H:H,produtos_escape2!$A$2:$D$2794,2,FALSE)),"Código não cadastrado",(VLOOKUP(H:H,produtos_escape2!$A$2:$D$2794,4,FALSE))))</f>
        <v/>
      </c>
      <c r="N2017" s="486"/>
      <c r="O2017" s="176"/>
      <c r="P2017" s="486"/>
      <c r="Q2017" s="247"/>
      <c r="R2017" s="246">
        <f t="shared" si="77"/>
        <v>0</v>
      </c>
      <c r="S2017" s="177"/>
      <c r="T2017" s="182"/>
      <c r="U2017" s="177"/>
      <c r="V2017" s="177"/>
      <c r="W2017" s="177"/>
      <c r="X2017" s="176"/>
      <c r="Y2017" s="177"/>
      <c r="Z2017" s="415"/>
      <c r="AA2017" s="488"/>
      <c r="AB2017" s="594"/>
      <c r="AC2017" s="595"/>
      <c r="AD2017" s="596" t="str">
        <f>IF(AND(AC2017&lt;&gt;"",S2017&lt;&gt;""),NETWORKDAYS(AC2017,S2017,#REF!),"")</f>
        <v/>
      </c>
      <c r="AE2017" s="596" t="str">
        <f ca="1">IF(AND(AD2017="",AC2017=""),"",IF(OR(AD2017&lt;&gt;"",O2017="*CANCELADO"),"",NETWORKDAYS(AC2017,TODAY(),#REF!)))</f>
        <v/>
      </c>
      <c r="AF2017" s="619"/>
    </row>
    <row r="2018" spans="1:32" ht="14.25" customHeight="1">
      <c r="A2018" s="176"/>
      <c r="B2018" s="176"/>
      <c r="C2018" s="177"/>
      <c r="D2018" s="176"/>
      <c r="E2018" s="176"/>
      <c r="F2018" s="259"/>
      <c r="G2018" s="176"/>
      <c r="H2018" s="178"/>
      <c r="I2018" s="592">
        <f t="shared" si="78"/>
        <v>0</v>
      </c>
      <c r="J2018" s="178"/>
      <c r="K2018" s="178"/>
      <c r="L2018" s="275" t="str">
        <f>IF(H:H=0,"",IF(ISERROR(VLOOKUP(H:H,produtos_escape2!$A$2:$B$2794,2,FALSE)),"Código não cadastrado",(VLOOKUP(H:H,produtos_escape2!$A$2:$B$2794,2,FALSE))))</f>
        <v/>
      </c>
      <c r="M2018" s="593" t="str">
        <f>IF(H:H=0,"",IF(ISERROR(VLOOKUP(H:H,produtos_escape2!$A$2:$D$2794,2,FALSE)),"Código não cadastrado",(VLOOKUP(H:H,produtos_escape2!$A$2:$D$2794,4,FALSE))))</f>
        <v/>
      </c>
      <c r="N2018" s="486"/>
      <c r="O2018" s="176"/>
      <c r="P2018" s="486"/>
      <c r="Q2018" s="247"/>
      <c r="R2018" s="246">
        <f t="shared" si="77"/>
        <v>0</v>
      </c>
      <c r="S2018" s="177"/>
      <c r="T2018" s="182"/>
      <c r="U2018" s="177"/>
      <c r="V2018" s="177"/>
      <c r="W2018" s="177"/>
      <c r="X2018" s="176"/>
      <c r="Y2018" s="177"/>
      <c r="Z2018" s="415"/>
      <c r="AA2018" s="488"/>
      <c r="AB2018" s="594"/>
      <c r="AC2018" s="595"/>
      <c r="AD2018" s="596" t="str">
        <f>IF(AND(AC2018&lt;&gt;"",S2018&lt;&gt;""),NETWORKDAYS(AC2018,S2018,#REF!),"")</f>
        <v/>
      </c>
      <c r="AE2018" s="596" t="str">
        <f ca="1">IF(AND(AD2018="",AC2018=""),"",IF(OR(AD2018&lt;&gt;"",O2018="*CANCELADO"),"",NETWORKDAYS(AC2018,TODAY(),#REF!)))</f>
        <v/>
      </c>
      <c r="AF2018" s="619"/>
    </row>
    <row r="2019" spans="1:32" ht="14.25" customHeight="1">
      <c r="A2019" s="176"/>
      <c r="B2019" s="176"/>
      <c r="C2019" s="177"/>
      <c r="D2019" s="176"/>
      <c r="E2019" s="176"/>
      <c r="F2019" s="259"/>
      <c r="G2019" s="176"/>
      <c r="H2019" s="178"/>
      <c r="I2019" s="592">
        <f t="shared" si="78"/>
        <v>0</v>
      </c>
      <c r="J2019" s="178"/>
      <c r="K2019" s="178"/>
      <c r="L2019" s="275" t="str">
        <f>IF(H:H=0,"",IF(ISERROR(VLOOKUP(H:H,produtos_escape2!$A$2:$B$2794,2,FALSE)),"Código não cadastrado",(VLOOKUP(H:H,produtos_escape2!$A$2:$B$2794,2,FALSE))))</f>
        <v/>
      </c>
      <c r="M2019" s="593" t="str">
        <f>IF(H:H=0,"",IF(ISERROR(VLOOKUP(H:H,produtos_escape2!$A$2:$D$2794,2,FALSE)),"Código não cadastrado",(VLOOKUP(H:H,produtos_escape2!$A$2:$D$2794,4,FALSE))))</f>
        <v/>
      </c>
      <c r="N2019" s="486"/>
      <c r="O2019" s="176"/>
      <c r="P2019" s="486"/>
      <c r="Q2019" s="247"/>
      <c r="R2019" s="246">
        <f t="shared" si="77"/>
        <v>0</v>
      </c>
      <c r="S2019" s="177"/>
      <c r="T2019" s="182"/>
      <c r="U2019" s="177"/>
      <c r="V2019" s="177"/>
      <c r="W2019" s="177"/>
      <c r="X2019" s="176"/>
      <c r="Y2019" s="177"/>
      <c r="Z2019" s="415"/>
      <c r="AA2019" s="488"/>
      <c r="AB2019" s="594"/>
      <c r="AC2019" s="595"/>
      <c r="AD2019" s="596" t="str">
        <f>IF(AND(AC2019&lt;&gt;"",S2019&lt;&gt;""),NETWORKDAYS(AC2019,S2019,#REF!),"")</f>
        <v/>
      </c>
      <c r="AE2019" s="596" t="str">
        <f ca="1">IF(AND(AD2019="",AC2019=""),"",IF(OR(AD2019&lt;&gt;"",O2019="*CANCELADO"),"",NETWORKDAYS(AC2019,TODAY(),#REF!)))</f>
        <v/>
      </c>
      <c r="AF2019" s="619"/>
    </row>
    <row r="2020" spans="1:32" ht="14.25" customHeight="1">
      <c r="A2020" s="176"/>
      <c r="B2020" s="176"/>
      <c r="C2020" s="177"/>
      <c r="D2020" s="176"/>
      <c r="E2020" s="176"/>
      <c r="F2020" s="259"/>
      <c r="G2020" s="176"/>
      <c r="H2020" s="178"/>
      <c r="I2020" s="592">
        <f t="shared" si="78"/>
        <v>0</v>
      </c>
      <c r="J2020" s="178"/>
      <c r="K2020" s="178"/>
      <c r="L2020" s="275" t="str">
        <f>IF(H:H=0,"",IF(ISERROR(VLOOKUP(H:H,produtos_escape2!$A$2:$B$2794,2,FALSE)),"Código não cadastrado",(VLOOKUP(H:H,produtos_escape2!$A$2:$B$2794,2,FALSE))))</f>
        <v/>
      </c>
      <c r="M2020" s="593" t="str">
        <f>IF(H:H=0,"",IF(ISERROR(VLOOKUP(H:H,produtos_escape2!$A$2:$D$2794,2,FALSE)),"Código não cadastrado",(VLOOKUP(H:H,produtos_escape2!$A$2:$D$2794,4,FALSE))))</f>
        <v/>
      </c>
      <c r="N2020" s="486"/>
      <c r="O2020" s="176"/>
      <c r="P2020" s="486"/>
      <c r="Q2020" s="247"/>
      <c r="R2020" s="246">
        <f t="shared" si="77"/>
        <v>0</v>
      </c>
      <c r="S2020" s="177"/>
      <c r="T2020" s="182"/>
      <c r="U2020" s="177"/>
      <c r="V2020" s="177"/>
      <c r="W2020" s="177"/>
      <c r="X2020" s="176"/>
      <c r="Y2020" s="177"/>
      <c r="Z2020" s="415"/>
      <c r="AA2020" s="488"/>
      <c r="AB2020" s="594"/>
      <c r="AC2020" s="595"/>
      <c r="AD2020" s="596" t="str">
        <f>IF(AND(AC2020&lt;&gt;"",S2020&lt;&gt;""),NETWORKDAYS(AC2020,S2020,#REF!),"")</f>
        <v/>
      </c>
      <c r="AE2020" s="596" t="str">
        <f ca="1">IF(AND(AD2020="",AC2020=""),"",IF(OR(AD2020&lt;&gt;"",O2020="*CANCELADO"),"",NETWORKDAYS(AC2020,TODAY(),#REF!)))</f>
        <v/>
      </c>
      <c r="AF2020" s="619"/>
    </row>
    <row r="2021" spans="1:32" ht="14.25" customHeight="1">
      <c r="A2021" s="176"/>
      <c r="B2021" s="176"/>
      <c r="C2021" s="177"/>
      <c r="D2021" s="176"/>
      <c r="E2021" s="176"/>
      <c r="F2021" s="259"/>
      <c r="G2021" s="176"/>
      <c r="H2021" s="178"/>
      <c r="I2021" s="592">
        <f t="shared" si="78"/>
        <v>0</v>
      </c>
      <c r="J2021" s="178"/>
      <c r="K2021" s="178"/>
      <c r="L2021" s="275" t="str">
        <f>IF(H:H=0,"",IF(ISERROR(VLOOKUP(H:H,produtos_escape2!$A$2:$B$2794,2,FALSE)),"Código não cadastrado",(VLOOKUP(H:H,produtos_escape2!$A$2:$B$2794,2,FALSE))))</f>
        <v/>
      </c>
      <c r="M2021" s="593" t="str">
        <f>IF(H:H=0,"",IF(ISERROR(VLOOKUP(H:H,produtos_escape2!$A$2:$D$2794,2,FALSE)),"Código não cadastrado",(VLOOKUP(H:H,produtos_escape2!$A$2:$D$2794,4,FALSE))))</f>
        <v/>
      </c>
      <c r="N2021" s="486"/>
      <c r="O2021" s="176"/>
      <c r="P2021" s="486"/>
      <c r="Q2021" s="247"/>
      <c r="R2021" s="246">
        <f t="shared" si="77"/>
        <v>0</v>
      </c>
      <c r="S2021" s="177"/>
      <c r="T2021" s="182"/>
      <c r="U2021" s="177"/>
      <c r="V2021" s="177"/>
      <c r="W2021" s="177"/>
      <c r="X2021" s="176"/>
      <c r="Y2021" s="177"/>
      <c r="Z2021" s="415"/>
      <c r="AA2021" s="488"/>
      <c r="AB2021" s="594"/>
      <c r="AC2021" s="595"/>
      <c r="AD2021" s="596" t="str">
        <f>IF(AND(AC2021&lt;&gt;"",S2021&lt;&gt;""),NETWORKDAYS(AC2021,S2021,#REF!),"")</f>
        <v/>
      </c>
      <c r="AE2021" s="596" t="str">
        <f ca="1">IF(AND(AD2021="",AC2021=""),"",IF(OR(AD2021&lt;&gt;"",O2021="*CANCELADO"),"",NETWORKDAYS(AC2021,TODAY(),#REF!)))</f>
        <v/>
      </c>
      <c r="AF2021" s="619"/>
    </row>
    <row r="2022" spans="1:32" ht="14.25" customHeight="1">
      <c r="A2022" s="176"/>
      <c r="B2022" s="176"/>
      <c r="C2022" s="177"/>
      <c r="D2022" s="176"/>
      <c r="E2022" s="176"/>
      <c r="F2022" s="259"/>
      <c r="G2022" s="176"/>
      <c r="H2022" s="178"/>
      <c r="I2022" s="592">
        <f t="shared" si="78"/>
        <v>0</v>
      </c>
      <c r="J2022" s="178"/>
      <c r="K2022" s="178"/>
      <c r="L2022" s="275" t="str">
        <f>IF(H:H=0,"",IF(ISERROR(VLOOKUP(H:H,produtos_escape2!$A$2:$B$2794,2,FALSE)),"Código não cadastrado",(VLOOKUP(H:H,produtos_escape2!$A$2:$B$2794,2,FALSE))))</f>
        <v/>
      </c>
      <c r="M2022" s="593" t="str">
        <f>IF(H:H=0,"",IF(ISERROR(VLOOKUP(H:H,produtos_escape2!$A$2:$D$2794,2,FALSE)),"Código não cadastrado",(VLOOKUP(H:H,produtos_escape2!$A$2:$D$2794,4,FALSE))))</f>
        <v/>
      </c>
      <c r="N2022" s="486"/>
      <c r="O2022" s="176"/>
      <c r="P2022" s="486"/>
      <c r="Q2022" s="247"/>
      <c r="R2022" s="246">
        <f t="shared" si="77"/>
        <v>0</v>
      </c>
      <c r="S2022" s="177"/>
      <c r="T2022" s="182"/>
      <c r="U2022" s="177"/>
      <c r="V2022" s="177"/>
      <c r="W2022" s="177"/>
      <c r="X2022" s="176"/>
      <c r="Y2022" s="177"/>
      <c r="Z2022" s="415"/>
      <c r="AA2022" s="488"/>
      <c r="AB2022" s="594"/>
      <c r="AC2022" s="595"/>
      <c r="AD2022" s="596" t="str">
        <f>IF(AND(AC2022&lt;&gt;"",S2022&lt;&gt;""),NETWORKDAYS(AC2022,S2022,#REF!),"")</f>
        <v/>
      </c>
      <c r="AE2022" s="596" t="str">
        <f ca="1">IF(AND(AD2022="",AC2022=""),"",IF(OR(AD2022&lt;&gt;"",O2022="*CANCELADO"),"",NETWORKDAYS(AC2022,TODAY(),#REF!)))</f>
        <v/>
      </c>
      <c r="AF2022" s="619"/>
    </row>
    <row r="2023" spans="1:32" ht="14.25" customHeight="1">
      <c r="A2023" s="176"/>
      <c r="B2023" s="176"/>
      <c r="C2023" s="177"/>
      <c r="D2023" s="176"/>
      <c r="E2023" s="176"/>
      <c r="F2023" s="259"/>
      <c r="G2023" s="176"/>
      <c r="H2023" s="178"/>
      <c r="I2023" s="592">
        <f t="shared" si="78"/>
        <v>0</v>
      </c>
      <c r="J2023" s="178"/>
      <c r="K2023" s="178"/>
      <c r="L2023" s="275" t="str">
        <f>IF(H:H=0,"",IF(ISERROR(VLOOKUP(H:H,produtos_escape2!$A$2:$B$2794,2,FALSE)),"Código não cadastrado",(VLOOKUP(H:H,produtos_escape2!$A$2:$B$2794,2,FALSE))))</f>
        <v/>
      </c>
      <c r="M2023" s="593" t="str">
        <f>IF(H:H=0,"",IF(ISERROR(VLOOKUP(H:H,produtos_escape2!$A$2:$D$2794,2,FALSE)),"Código não cadastrado",(VLOOKUP(H:H,produtos_escape2!$A$2:$D$2794,4,FALSE))))</f>
        <v/>
      </c>
      <c r="N2023" s="486"/>
      <c r="O2023" s="176"/>
      <c r="P2023" s="486"/>
      <c r="Q2023" s="247"/>
      <c r="R2023" s="246">
        <f t="shared" si="77"/>
        <v>0</v>
      </c>
      <c r="S2023" s="177"/>
      <c r="T2023" s="182"/>
      <c r="U2023" s="177"/>
      <c r="V2023" s="177"/>
      <c r="W2023" s="177"/>
      <c r="X2023" s="176"/>
      <c r="Y2023" s="177"/>
      <c r="Z2023" s="415"/>
      <c r="AA2023" s="488"/>
      <c r="AB2023" s="594"/>
      <c r="AC2023" s="595"/>
      <c r="AD2023" s="596" t="str">
        <f>IF(AND(AC2023&lt;&gt;"",S2023&lt;&gt;""),NETWORKDAYS(AC2023,S2023,#REF!),"")</f>
        <v/>
      </c>
      <c r="AE2023" s="596" t="str">
        <f ca="1">IF(AND(AD2023="",AC2023=""),"",IF(OR(AD2023&lt;&gt;"",O2023="*CANCELADO"),"",NETWORKDAYS(AC2023,TODAY(),#REF!)))</f>
        <v/>
      </c>
      <c r="AF2023" s="619"/>
    </row>
    <row r="2024" spans="1:32" ht="14.25" customHeight="1">
      <c r="A2024" s="176"/>
      <c r="B2024" s="176"/>
      <c r="C2024" s="177"/>
      <c r="D2024" s="176"/>
      <c r="E2024" s="176"/>
      <c r="F2024" s="259"/>
      <c r="G2024" s="176"/>
      <c r="H2024" s="178"/>
      <c r="I2024" s="592">
        <f t="shared" si="78"/>
        <v>0</v>
      </c>
      <c r="J2024" s="178"/>
      <c r="K2024" s="178"/>
      <c r="L2024" s="275" t="str">
        <f>IF(H:H=0,"",IF(ISERROR(VLOOKUP(H:H,produtos_escape2!$A$2:$B$2794,2,FALSE)),"Código não cadastrado",(VLOOKUP(H:H,produtos_escape2!$A$2:$B$2794,2,FALSE))))</f>
        <v/>
      </c>
      <c r="M2024" s="593" t="str">
        <f>IF(H:H=0,"",IF(ISERROR(VLOOKUP(H:H,produtos_escape2!$A$2:$D$2794,2,FALSE)),"Código não cadastrado",(VLOOKUP(H:H,produtos_escape2!$A$2:$D$2794,4,FALSE))))</f>
        <v/>
      </c>
      <c r="N2024" s="486"/>
      <c r="O2024" s="176"/>
      <c r="P2024" s="486"/>
      <c r="Q2024" s="247"/>
      <c r="R2024" s="246">
        <f t="shared" si="77"/>
        <v>0</v>
      </c>
      <c r="S2024" s="177"/>
      <c r="T2024" s="182"/>
      <c r="U2024" s="177"/>
      <c r="V2024" s="177"/>
      <c r="W2024" s="177"/>
      <c r="X2024" s="176"/>
      <c r="Y2024" s="177"/>
      <c r="Z2024" s="415"/>
      <c r="AA2024" s="488"/>
      <c r="AB2024" s="594"/>
      <c r="AC2024" s="595"/>
      <c r="AD2024" s="596" t="str">
        <f>IF(AND(AC2024&lt;&gt;"",S2024&lt;&gt;""),NETWORKDAYS(AC2024,S2024,#REF!),"")</f>
        <v/>
      </c>
      <c r="AE2024" s="596" t="str">
        <f ca="1">IF(AND(AD2024="",AC2024=""),"",IF(OR(AD2024&lt;&gt;"",O2024="*CANCELADO"),"",NETWORKDAYS(AC2024,TODAY(),#REF!)))</f>
        <v/>
      </c>
      <c r="AF2024" s="619"/>
    </row>
    <row r="2025" spans="1:32" ht="14.25" customHeight="1">
      <c r="A2025" s="176"/>
      <c r="B2025" s="176"/>
      <c r="C2025" s="177"/>
      <c r="D2025" s="176"/>
      <c r="E2025" s="176"/>
      <c r="F2025" s="259"/>
      <c r="G2025" s="176"/>
      <c r="H2025" s="178"/>
      <c r="I2025" s="592">
        <f t="shared" si="78"/>
        <v>0</v>
      </c>
      <c r="J2025" s="178"/>
      <c r="K2025" s="178"/>
      <c r="L2025" s="275" t="str">
        <f>IF(H:H=0,"",IF(ISERROR(VLOOKUP(H:H,produtos_escape2!$A$2:$B$2794,2,FALSE)),"Código não cadastrado",(VLOOKUP(H:H,produtos_escape2!$A$2:$B$2794,2,FALSE))))</f>
        <v/>
      </c>
      <c r="M2025" s="593" t="str">
        <f>IF(H:H=0,"",IF(ISERROR(VLOOKUP(H:H,produtos_escape2!$A$2:$D$2794,2,FALSE)),"Código não cadastrado",(VLOOKUP(H:H,produtos_escape2!$A$2:$D$2794,4,FALSE))))</f>
        <v/>
      </c>
      <c r="N2025" s="486"/>
      <c r="O2025" s="176"/>
      <c r="P2025" s="486"/>
      <c r="Q2025" s="247"/>
      <c r="R2025" s="246">
        <f t="shared" si="77"/>
        <v>0</v>
      </c>
      <c r="S2025" s="177"/>
      <c r="T2025" s="182"/>
      <c r="U2025" s="177"/>
      <c r="V2025" s="177"/>
      <c r="W2025" s="177"/>
      <c r="X2025" s="176"/>
      <c r="Y2025" s="177"/>
      <c r="Z2025" s="415"/>
      <c r="AA2025" s="488"/>
      <c r="AB2025" s="594"/>
      <c r="AC2025" s="595"/>
      <c r="AD2025" s="596" t="str">
        <f>IF(AND(AC2025&lt;&gt;"",S2025&lt;&gt;""),NETWORKDAYS(AC2025,S2025,#REF!),"")</f>
        <v/>
      </c>
      <c r="AE2025" s="596" t="str">
        <f ca="1">IF(AND(AD2025="",AC2025=""),"",IF(OR(AD2025&lt;&gt;"",O2025="*CANCELADO"),"",NETWORKDAYS(AC2025,TODAY(),#REF!)))</f>
        <v/>
      </c>
      <c r="AF2025" s="619"/>
    </row>
    <row r="2026" spans="1:32" ht="14.25" customHeight="1">
      <c r="A2026" s="176"/>
      <c r="B2026" s="176"/>
      <c r="C2026" s="177"/>
      <c r="D2026" s="176"/>
      <c r="E2026" s="176"/>
      <c r="F2026" s="259"/>
      <c r="G2026" s="176"/>
      <c r="H2026" s="178"/>
      <c r="I2026" s="592">
        <f t="shared" si="78"/>
        <v>0</v>
      </c>
      <c r="J2026" s="178"/>
      <c r="K2026" s="178"/>
      <c r="L2026" s="275" t="str">
        <f>IF(H:H=0,"",IF(ISERROR(VLOOKUP(H:H,produtos_escape2!$A$2:$B$2794,2,FALSE)),"Código não cadastrado",(VLOOKUP(H:H,produtos_escape2!$A$2:$B$2794,2,FALSE))))</f>
        <v/>
      </c>
      <c r="M2026" s="593" t="str">
        <f>IF(H:H=0,"",IF(ISERROR(VLOOKUP(H:H,produtos_escape2!$A$2:$D$2794,2,FALSE)),"Código não cadastrado",(VLOOKUP(H:H,produtos_escape2!$A$2:$D$2794,4,FALSE))))</f>
        <v/>
      </c>
      <c r="N2026" s="486"/>
      <c r="O2026" s="176"/>
      <c r="P2026" s="486"/>
      <c r="Q2026" s="247"/>
      <c r="R2026" s="246">
        <f t="shared" si="77"/>
        <v>0</v>
      </c>
      <c r="S2026" s="177"/>
      <c r="T2026" s="182"/>
      <c r="U2026" s="177"/>
      <c r="V2026" s="177"/>
      <c r="W2026" s="177"/>
      <c r="X2026" s="176"/>
      <c r="Y2026" s="177"/>
      <c r="Z2026" s="415"/>
      <c r="AA2026" s="488"/>
      <c r="AB2026" s="594"/>
      <c r="AC2026" s="595"/>
      <c r="AD2026" s="596" t="str">
        <f>IF(AND(AC2026&lt;&gt;"",S2026&lt;&gt;""),NETWORKDAYS(AC2026,S2026,#REF!),"")</f>
        <v/>
      </c>
      <c r="AE2026" s="596" t="str">
        <f ca="1">IF(AND(AD2026="",AC2026=""),"",IF(OR(AD2026&lt;&gt;"",O2026="*CANCELADO"),"",NETWORKDAYS(AC2026,TODAY(),#REF!)))</f>
        <v/>
      </c>
      <c r="AF2026" s="619"/>
    </row>
    <row r="2027" spans="1:32" ht="14.25" customHeight="1">
      <c r="A2027" s="176"/>
      <c r="B2027" s="176"/>
      <c r="C2027" s="177"/>
      <c r="D2027" s="176"/>
      <c r="E2027" s="176"/>
      <c r="F2027" s="259"/>
      <c r="G2027" s="176"/>
      <c r="H2027" s="178"/>
      <c r="I2027" s="592">
        <f t="shared" si="78"/>
        <v>0</v>
      </c>
      <c r="J2027" s="178"/>
      <c r="K2027" s="178"/>
      <c r="L2027" s="275" t="str">
        <f>IF(H:H=0,"",IF(ISERROR(VLOOKUP(H:H,produtos_escape2!$A$2:$B$2794,2,FALSE)),"Código não cadastrado",(VLOOKUP(H:H,produtos_escape2!$A$2:$B$2794,2,FALSE))))</f>
        <v/>
      </c>
      <c r="M2027" s="593" t="str">
        <f>IF(H:H=0,"",IF(ISERROR(VLOOKUP(H:H,produtos_escape2!$A$2:$D$2794,2,FALSE)),"Código não cadastrado",(VLOOKUP(H:H,produtos_escape2!$A$2:$D$2794,4,FALSE))))</f>
        <v/>
      </c>
      <c r="N2027" s="486"/>
      <c r="O2027" s="176"/>
      <c r="P2027" s="486"/>
      <c r="Q2027" s="247"/>
      <c r="R2027" s="246">
        <f t="shared" si="77"/>
        <v>0</v>
      </c>
      <c r="S2027" s="177"/>
      <c r="T2027" s="182"/>
      <c r="U2027" s="177"/>
      <c r="V2027" s="177"/>
      <c r="W2027" s="177"/>
      <c r="X2027" s="176"/>
      <c r="Y2027" s="177"/>
      <c r="Z2027" s="415"/>
      <c r="AA2027" s="488"/>
      <c r="AB2027" s="594"/>
      <c r="AC2027" s="595"/>
      <c r="AD2027" s="596" t="str">
        <f>IF(AND(AC2027&lt;&gt;"",S2027&lt;&gt;""),NETWORKDAYS(AC2027,S2027,#REF!),"")</f>
        <v/>
      </c>
      <c r="AE2027" s="596" t="str">
        <f ca="1">IF(AND(AD2027="",AC2027=""),"",IF(OR(AD2027&lt;&gt;"",O2027="*CANCELADO"),"",NETWORKDAYS(AC2027,TODAY(),#REF!)))</f>
        <v/>
      </c>
      <c r="AF2027" s="619"/>
    </row>
    <row r="2028" spans="1:32" ht="14.25" customHeight="1">
      <c r="A2028" s="176"/>
      <c r="B2028" s="176"/>
      <c r="C2028" s="177"/>
      <c r="D2028" s="176"/>
      <c r="E2028" s="176"/>
      <c r="F2028" s="259"/>
      <c r="G2028" s="176"/>
      <c r="H2028" s="178"/>
      <c r="I2028" s="592">
        <f t="shared" si="78"/>
        <v>0</v>
      </c>
      <c r="J2028" s="178"/>
      <c r="K2028" s="178"/>
      <c r="L2028" s="275" t="str">
        <f>IF(H:H=0,"",IF(ISERROR(VLOOKUP(H:H,produtos_escape2!$A$2:$B$2794,2,FALSE)),"Código não cadastrado",(VLOOKUP(H:H,produtos_escape2!$A$2:$B$2794,2,FALSE))))</f>
        <v/>
      </c>
      <c r="M2028" s="593" t="str">
        <f>IF(H:H=0,"",IF(ISERROR(VLOOKUP(H:H,produtos_escape2!$A$2:$D$2794,2,FALSE)),"Código não cadastrado",(VLOOKUP(H:H,produtos_escape2!$A$2:$D$2794,4,FALSE))))</f>
        <v/>
      </c>
      <c r="N2028" s="486"/>
      <c r="O2028" s="176"/>
      <c r="P2028" s="486"/>
      <c r="Q2028" s="247"/>
      <c r="R2028" s="246">
        <f t="shared" si="77"/>
        <v>0</v>
      </c>
      <c r="S2028" s="177"/>
      <c r="T2028" s="182"/>
      <c r="U2028" s="177"/>
      <c r="V2028" s="177"/>
      <c r="W2028" s="177"/>
      <c r="X2028" s="176"/>
      <c r="Y2028" s="177"/>
      <c r="Z2028" s="415"/>
      <c r="AA2028" s="488"/>
      <c r="AB2028" s="594"/>
      <c r="AC2028" s="595"/>
      <c r="AD2028" s="596" t="str">
        <f>IF(AND(AC2028&lt;&gt;"",S2028&lt;&gt;""),NETWORKDAYS(AC2028,S2028,#REF!),"")</f>
        <v/>
      </c>
      <c r="AE2028" s="596" t="str">
        <f ca="1">IF(AND(AD2028="",AC2028=""),"",IF(OR(AD2028&lt;&gt;"",O2028="*CANCELADO"),"",NETWORKDAYS(AC2028,TODAY(),#REF!)))</f>
        <v/>
      </c>
      <c r="AF2028" s="619"/>
    </row>
    <row r="2029" spans="1:32" ht="14.25" customHeight="1">
      <c r="A2029" s="176"/>
      <c r="B2029" s="176"/>
      <c r="C2029" s="177"/>
      <c r="D2029" s="176"/>
      <c r="E2029" s="176"/>
      <c r="F2029" s="259"/>
      <c r="G2029" s="176"/>
      <c r="H2029" s="178"/>
      <c r="I2029" s="592">
        <f t="shared" si="78"/>
        <v>0</v>
      </c>
      <c r="J2029" s="178"/>
      <c r="K2029" s="178"/>
      <c r="L2029" s="275" t="str">
        <f>IF(H:H=0,"",IF(ISERROR(VLOOKUP(H:H,produtos_escape2!$A$2:$B$2794,2,FALSE)),"Código não cadastrado",(VLOOKUP(H:H,produtos_escape2!$A$2:$B$2794,2,FALSE))))</f>
        <v/>
      </c>
      <c r="M2029" s="593" t="str">
        <f>IF(H:H=0,"",IF(ISERROR(VLOOKUP(H:H,produtos_escape2!$A$2:$D$2794,2,FALSE)),"Código não cadastrado",(VLOOKUP(H:H,produtos_escape2!$A$2:$D$2794,4,FALSE))))</f>
        <v/>
      </c>
      <c r="N2029" s="486"/>
      <c r="O2029" s="176"/>
      <c r="P2029" s="486"/>
      <c r="Q2029" s="247"/>
      <c r="R2029" s="246">
        <f t="shared" ref="R2029:R2092" si="79">P2029*Q2029</f>
        <v>0</v>
      </c>
      <c r="S2029" s="177"/>
      <c r="T2029" s="182"/>
      <c r="U2029" s="177"/>
      <c r="V2029" s="177"/>
      <c r="W2029" s="177"/>
      <c r="X2029" s="176"/>
      <c r="Y2029" s="177"/>
      <c r="Z2029" s="415"/>
      <c r="AA2029" s="488"/>
      <c r="AB2029" s="594"/>
      <c r="AC2029" s="595"/>
      <c r="AD2029" s="596" t="str">
        <f>IF(AND(AC2029&lt;&gt;"",S2029&lt;&gt;""),NETWORKDAYS(AC2029,S2029,#REF!),"")</f>
        <v/>
      </c>
      <c r="AE2029" s="596" t="str">
        <f ca="1">IF(AND(AD2029="",AC2029=""),"",IF(OR(AD2029&lt;&gt;"",O2029="*CANCELADO"),"",NETWORKDAYS(AC2029,TODAY(),#REF!)))</f>
        <v/>
      </c>
      <c r="AF2029" s="619"/>
    </row>
    <row r="2030" spans="1:32" ht="14.25" customHeight="1">
      <c r="A2030" s="176"/>
      <c r="B2030" s="176"/>
      <c r="C2030" s="177"/>
      <c r="D2030" s="176"/>
      <c r="E2030" s="176"/>
      <c r="F2030" s="259"/>
      <c r="G2030" s="176"/>
      <c r="H2030" s="178"/>
      <c r="I2030" s="592">
        <f t="shared" si="78"/>
        <v>0</v>
      </c>
      <c r="J2030" s="178"/>
      <c r="K2030" s="178"/>
      <c r="L2030" s="275" t="str">
        <f>IF(H:H=0,"",IF(ISERROR(VLOOKUP(H:H,produtos_escape2!$A$2:$B$2794,2,FALSE)),"Código não cadastrado",(VLOOKUP(H:H,produtos_escape2!$A$2:$B$2794,2,FALSE))))</f>
        <v/>
      </c>
      <c r="M2030" s="593" t="str">
        <f>IF(H:H=0,"",IF(ISERROR(VLOOKUP(H:H,produtos_escape2!$A$2:$D$2794,2,FALSE)),"Código não cadastrado",(VLOOKUP(H:H,produtos_escape2!$A$2:$D$2794,4,FALSE))))</f>
        <v/>
      </c>
      <c r="N2030" s="486"/>
      <c r="O2030" s="176"/>
      <c r="P2030" s="486"/>
      <c r="Q2030" s="247"/>
      <c r="R2030" s="246">
        <f t="shared" si="79"/>
        <v>0</v>
      </c>
      <c r="S2030" s="177"/>
      <c r="T2030" s="182"/>
      <c r="U2030" s="177"/>
      <c r="V2030" s="177"/>
      <c r="W2030" s="177"/>
      <c r="X2030" s="176"/>
      <c r="Y2030" s="177"/>
      <c r="Z2030" s="415"/>
      <c r="AA2030" s="488"/>
      <c r="AB2030" s="594"/>
      <c r="AC2030" s="595"/>
      <c r="AD2030" s="596" t="str">
        <f>IF(AND(AC2030&lt;&gt;"",S2030&lt;&gt;""),NETWORKDAYS(AC2030,S2030,#REF!),"")</f>
        <v/>
      </c>
      <c r="AE2030" s="596" t="str">
        <f ca="1">IF(AND(AD2030="",AC2030=""),"",IF(OR(AD2030&lt;&gt;"",O2030="*CANCELADO"),"",NETWORKDAYS(AC2030,TODAY(),#REF!)))</f>
        <v/>
      </c>
      <c r="AF2030" s="619"/>
    </row>
    <row r="2031" spans="1:32" ht="14.25" customHeight="1">
      <c r="A2031" s="176"/>
      <c r="B2031" s="176"/>
      <c r="C2031" s="177"/>
      <c r="D2031" s="176"/>
      <c r="E2031" s="176"/>
      <c r="F2031" s="259"/>
      <c r="G2031" s="176"/>
      <c r="H2031" s="178"/>
      <c r="I2031" s="592">
        <f t="shared" si="78"/>
        <v>0</v>
      </c>
      <c r="J2031" s="178"/>
      <c r="K2031" s="178"/>
      <c r="L2031" s="275" t="str">
        <f>IF(H:H=0,"",IF(ISERROR(VLOOKUP(H:H,produtos_escape2!$A$2:$B$2794,2,FALSE)),"Código não cadastrado",(VLOOKUP(H:H,produtos_escape2!$A$2:$B$2794,2,FALSE))))</f>
        <v/>
      </c>
      <c r="M2031" s="593" t="str">
        <f>IF(H:H=0,"",IF(ISERROR(VLOOKUP(H:H,produtos_escape2!$A$2:$D$2794,2,FALSE)),"Código não cadastrado",(VLOOKUP(H:H,produtos_escape2!$A$2:$D$2794,4,FALSE))))</f>
        <v/>
      </c>
      <c r="N2031" s="486"/>
      <c r="O2031" s="176"/>
      <c r="P2031" s="486"/>
      <c r="Q2031" s="247"/>
      <c r="R2031" s="246">
        <f t="shared" si="79"/>
        <v>0</v>
      </c>
      <c r="S2031" s="177"/>
      <c r="T2031" s="182"/>
      <c r="U2031" s="177"/>
      <c r="V2031" s="177"/>
      <c r="W2031" s="177"/>
      <c r="X2031" s="176"/>
      <c r="Y2031" s="177"/>
      <c r="Z2031" s="415"/>
      <c r="AA2031" s="488"/>
      <c r="AB2031" s="594"/>
      <c r="AC2031" s="595"/>
      <c r="AD2031" s="596" t="str">
        <f>IF(AND(AC2031&lt;&gt;"",S2031&lt;&gt;""),NETWORKDAYS(AC2031,S2031,#REF!),"")</f>
        <v/>
      </c>
      <c r="AE2031" s="596" t="str">
        <f ca="1">IF(AND(AD2031="",AC2031=""),"",IF(OR(AD2031&lt;&gt;"",O2031="*CANCELADO"),"",NETWORKDAYS(AC2031,TODAY(),#REF!)))</f>
        <v/>
      </c>
      <c r="AF2031" s="619"/>
    </row>
    <row r="2032" spans="1:32" ht="14.25" customHeight="1">
      <c r="A2032" s="176"/>
      <c r="B2032" s="176"/>
      <c r="C2032" s="177"/>
      <c r="D2032" s="176"/>
      <c r="E2032" s="176"/>
      <c r="F2032" s="259"/>
      <c r="G2032" s="176"/>
      <c r="H2032" s="178"/>
      <c r="I2032" s="592">
        <f t="shared" si="78"/>
        <v>0</v>
      </c>
      <c r="J2032" s="178"/>
      <c r="K2032" s="178"/>
      <c r="L2032" s="275" t="str">
        <f>IF(H:H=0,"",IF(ISERROR(VLOOKUP(H:H,produtos_escape2!$A$2:$B$2794,2,FALSE)),"Código não cadastrado",(VLOOKUP(H:H,produtos_escape2!$A$2:$B$2794,2,FALSE))))</f>
        <v/>
      </c>
      <c r="M2032" s="593" t="str">
        <f>IF(H:H=0,"",IF(ISERROR(VLOOKUP(H:H,produtos_escape2!$A$2:$D$2794,2,FALSE)),"Código não cadastrado",(VLOOKUP(H:H,produtos_escape2!$A$2:$D$2794,4,FALSE))))</f>
        <v/>
      </c>
      <c r="N2032" s="486"/>
      <c r="O2032" s="176"/>
      <c r="P2032" s="486"/>
      <c r="Q2032" s="247"/>
      <c r="R2032" s="246">
        <f t="shared" si="79"/>
        <v>0</v>
      </c>
      <c r="S2032" s="177"/>
      <c r="T2032" s="182"/>
      <c r="U2032" s="177"/>
      <c r="V2032" s="177"/>
      <c r="W2032" s="177"/>
      <c r="X2032" s="176"/>
      <c r="Y2032" s="177"/>
      <c r="Z2032" s="415"/>
      <c r="AA2032" s="488"/>
      <c r="AB2032" s="594"/>
      <c r="AC2032" s="595"/>
      <c r="AD2032" s="596" t="str">
        <f>IF(AND(AC2032&lt;&gt;"",S2032&lt;&gt;""),NETWORKDAYS(AC2032,S2032,#REF!),"")</f>
        <v/>
      </c>
      <c r="AE2032" s="596" t="str">
        <f ca="1">IF(AND(AD2032="",AC2032=""),"",IF(OR(AD2032&lt;&gt;"",O2032="*CANCELADO"),"",NETWORKDAYS(AC2032,TODAY(),#REF!)))</f>
        <v/>
      </c>
      <c r="AF2032" s="619"/>
    </row>
    <row r="2033" spans="1:32" ht="14.25" customHeight="1">
      <c r="A2033" s="176"/>
      <c r="B2033" s="176"/>
      <c r="C2033" s="177"/>
      <c r="D2033" s="176"/>
      <c r="E2033" s="176"/>
      <c r="F2033" s="259"/>
      <c r="G2033" s="176"/>
      <c r="H2033" s="178"/>
      <c r="I2033" s="592">
        <f t="shared" si="78"/>
        <v>0</v>
      </c>
      <c r="J2033" s="178"/>
      <c r="K2033" s="178"/>
      <c r="L2033" s="275" t="str">
        <f>IF(H:H=0,"",IF(ISERROR(VLOOKUP(H:H,produtos_escape2!$A$2:$B$2794,2,FALSE)),"Código não cadastrado",(VLOOKUP(H:H,produtos_escape2!$A$2:$B$2794,2,FALSE))))</f>
        <v/>
      </c>
      <c r="M2033" s="593" t="str">
        <f>IF(H:H=0,"",IF(ISERROR(VLOOKUP(H:H,produtos_escape2!$A$2:$D$2794,2,FALSE)),"Código não cadastrado",(VLOOKUP(H:H,produtos_escape2!$A$2:$D$2794,4,FALSE))))</f>
        <v/>
      </c>
      <c r="N2033" s="486"/>
      <c r="O2033" s="176"/>
      <c r="P2033" s="486"/>
      <c r="Q2033" s="247"/>
      <c r="R2033" s="246">
        <f t="shared" si="79"/>
        <v>0</v>
      </c>
      <c r="S2033" s="177"/>
      <c r="T2033" s="182"/>
      <c r="U2033" s="177"/>
      <c r="V2033" s="177"/>
      <c r="W2033" s="177"/>
      <c r="X2033" s="176"/>
      <c r="Y2033" s="177"/>
      <c r="Z2033" s="415"/>
      <c r="AA2033" s="488"/>
      <c r="AB2033" s="594"/>
      <c r="AC2033" s="595"/>
      <c r="AD2033" s="596" t="str">
        <f>IF(AND(AC2033&lt;&gt;"",S2033&lt;&gt;""),NETWORKDAYS(AC2033,S2033,#REF!),"")</f>
        <v/>
      </c>
      <c r="AE2033" s="596" t="str">
        <f ca="1">IF(AND(AD2033="",AC2033=""),"",IF(OR(AD2033&lt;&gt;"",O2033="*CANCELADO"),"",NETWORKDAYS(AC2033,TODAY(),#REF!)))</f>
        <v/>
      </c>
      <c r="AF2033" s="619"/>
    </row>
    <row r="2034" spans="1:32" ht="14.25" customHeight="1">
      <c r="A2034" s="176"/>
      <c r="B2034" s="176"/>
      <c r="C2034" s="177"/>
      <c r="D2034" s="176"/>
      <c r="E2034" s="176"/>
      <c r="F2034" s="259"/>
      <c r="G2034" s="176"/>
      <c r="H2034" s="178"/>
      <c r="I2034" s="592">
        <f t="shared" si="78"/>
        <v>0</v>
      </c>
      <c r="J2034" s="178"/>
      <c r="K2034" s="178"/>
      <c r="L2034" s="275" t="str">
        <f>IF(H:H=0,"",IF(ISERROR(VLOOKUP(H:H,produtos_escape2!$A$2:$B$2794,2,FALSE)),"Código não cadastrado",(VLOOKUP(H:H,produtos_escape2!$A$2:$B$2794,2,FALSE))))</f>
        <v/>
      </c>
      <c r="M2034" s="593" t="str">
        <f>IF(H:H=0,"",IF(ISERROR(VLOOKUP(H:H,produtos_escape2!$A$2:$D$2794,2,FALSE)),"Código não cadastrado",(VLOOKUP(H:H,produtos_escape2!$A$2:$D$2794,4,FALSE))))</f>
        <v/>
      </c>
      <c r="N2034" s="486"/>
      <c r="O2034" s="176"/>
      <c r="P2034" s="486"/>
      <c r="Q2034" s="247"/>
      <c r="R2034" s="246">
        <f t="shared" si="79"/>
        <v>0</v>
      </c>
      <c r="S2034" s="177"/>
      <c r="T2034" s="182"/>
      <c r="U2034" s="177"/>
      <c r="V2034" s="177"/>
      <c r="W2034" s="177"/>
      <c r="X2034" s="176"/>
      <c r="Y2034" s="177"/>
      <c r="Z2034" s="415"/>
      <c r="AA2034" s="488"/>
      <c r="AB2034" s="594"/>
      <c r="AC2034" s="595"/>
      <c r="AD2034" s="596" t="str">
        <f>IF(AND(AC2034&lt;&gt;"",S2034&lt;&gt;""),NETWORKDAYS(AC2034,S2034,#REF!),"")</f>
        <v/>
      </c>
      <c r="AE2034" s="596" t="str">
        <f ca="1">IF(AND(AD2034="",AC2034=""),"",IF(OR(AD2034&lt;&gt;"",O2034="*CANCELADO"),"",NETWORKDAYS(AC2034,TODAY(),#REF!)))</f>
        <v/>
      </c>
      <c r="AF2034" s="619"/>
    </row>
    <row r="2035" spans="1:32" ht="14.25" customHeight="1">
      <c r="A2035" s="176"/>
      <c r="B2035" s="176"/>
      <c r="C2035" s="177"/>
      <c r="D2035" s="176"/>
      <c r="E2035" s="176"/>
      <c r="F2035" s="259"/>
      <c r="G2035" s="176"/>
      <c r="H2035" s="178"/>
      <c r="I2035" s="592">
        <f t="shared" si="78"/>
        <v>0</v>
      </c>
      <c r="J2035" s="178"/>
      <c r="K2035" s="178"/>
      <c r="L2035" s="275" t="str">
        <f>IF(H:H=0,"",IF(ISERROR(VLOOKUP(H:H,produtos_escape2!$A$2:$B$2794,2,FALSE)),"Código não cadastrado",(VLOOKUP(H:H,produtos_escape2!$A$2:$B$2794,2,FALSE))))</f>
        <v/>
      </c>
      <c r="M2035" s="593" t="str">
        <f>IF(H:H=0,"",IF(ISERROR(VLOOKUP(H:H,produtos_escape2!$A$2:$D$2794,2,FALSE)),"Código não cadastrado",(VLOOKUP(H:H,produtos_escape2!$A$2:$D$2794,4,FALSE))))</f>
        <v/>
      </c>
      <c r="N2035" s="486"/>
      <c r="O2035" s="176"/>
      <c r="P2035" s="486"/>
      <c r="Q2035" s="247"/>
      <c r="R2035" s="246">
        <f t="shared" si="79"/>
        <v>0</v>
      </c>
      <c r="S2035" s="177"/>
      <c r="T2035" s="182"/>
      <c r="U2035" s="177"/>
      <c r="V2035" s="177"/>
      <c r="W2035" s="177"/>
      <c r="X2035" s="176"/>
      <c r="Y2035" s="177"/>
      <c r="Z2035" s="415"/>
      <c r="AA2035" s="488"/>
      <c r="AB2035" s="594"/>
      <c r="AC2035" s="595"/>
      <c r="AD2035" s="596" t="str">
        <f>IF(AND(AC2035&lt;&gt;"",S2035&lt;&gt;""),NETWORKDAYS(AC2035,S2035,#REF!),"")</f>
        <v/>
      </c>
      <c r="AE2035" s="596" t="str">
        <f ca="1">IF(AND(AD2035="",AC2035=""),"",IF(OR(AD2035&lt;&gt;"",O2035="*CANCELADO"),"",NETWORKDAYS(AC2035,TODAY(),#REF!)))</f>
        <v/>
      </c>
      <c r="AF2035" s="619"/>
    </row>
    <row r="2036" spans="1:32" ht="14.25" customHeight="1">
      <c r="A2036" s="176"/>
      <c r="B2036" s="176"/>
      <c r="C2036" s="177"/>
      <c r="D2036" s="176"/>
      <c r="E2036" s="176"/>
      <c r="F2036" s="259"/>
      <c r="G2036" s="176"/>
      <c r="H2036" s="178"/>
      <c r="I2036" s="592">
        <f t="shared" si="78"/>
        <v>0</v>
      </c>
      <c r="J2036" s="178"/>
      <c r="K2036" s="178"/>
      <c r="L2036" s="275" t="str">
        <f>IF(H:H=0,"",IF(ISERROR(VLOOKUP(H:H,produtos_escape2!$A$2:$B$2794,2,FALSE)),"Código não cadastrado",(VLOOKUP(H:H,produtos_escape2!$A$2:$B$2794,2,FALSE))))</f>
        <v/>
      </c>
      <c r="M2036" s="593" t="str">
        <f>IF(H:H=0,"",IF(ISERROR(VLOOKUP(H:H,produtos_escape2!$A$2:$D$2794,2,FALSE)),"Código não cadastrado",(VLOOKUP(H:H,produtos_escape2!$A$2:$D$2794,4,FALSE))))</f>
        <v/>
      </c>
      <c r="N2036" s="486"/>
      <c r="O2036" s="176"/>
      <c r="P2036" s="486"/>
      <c r="Q2036" s="247"/>
      <c r="R2036" s="246">
        <f t="shared" si="79"/>
        <v>0</v>
      </c>
      <c r="S2036" s="177"/>
      <c r="T2036" s="182"/>
      <c r="U2036" s="177"/>
      <c r="V2036" s="177"/>
      <c r="W2036" s="177"/>
      <c r="X2036" s="176"/>
      <c r="Y2036" s="177"/>
      <c r="Z2036" s="415"/>
      <c r="AA2036" s="488"/>
      <c r="AB2036" s="594"/>
      <c r="AC2036" s="595"/>
      <c r="AD2036" s="596" t="str">
        <f>IF(AND(AC2036&lt;&gt;"",S2036&lt;&gt;""),NETWORKDAYS(AC2036,S2036,#REF!),"")</f>
        <v/>
      </c>
      <c r="AE2036" s="596" t="str">
        <f ca="1">IF(AND(AD2036="",AC2036=""),"",IF(OR(AD2036&lt;&gt;"",O2036="*CANCELADO"),"",NETWORKDAYS(AC2036,TODAY(),#REF!)))</f>
        <v/>
      </c>
      <c r="AF2036" s="619"/>
    </row>
    <row r="2037" spans="1:32" ht="14.25" customHeight="1">
      <c r="A2037" s="176"/>
      <c r="B2037" s="176"/>
      <c r="C2037" s="177"/>
      <c r="D2037" s="176"/>
      <c r="E2037" s="176"/>
      <c r="F2037" s="259"/>
      <c r="G2037" s="176"/>
      <c r="H2037" s="178"/>
      <c r="I2037" s="592">
        <f t="shared" si="78"/>
        <v>0</v>
      </c>
      <c r="J2037" s="178"/>
      <c r="K2037" s="178"/>
      <c r="L2037" s="275" t="str">
        <f>IF(H:H=0,"",IF(ISERROR(VLOOKUP(H:H,produtos_escape2!$A$2:$B$2794,2,FALSE)),"Código não cadastrado",(VLOOKUP(H:H,produtos_escape2!$A$2:$B$2794,2,FALSE))))</f>
        <v/>
      </c>
      <c r="M2037" s="593" t="str">
        <f>IF(H:H=0,"",IF(ISERROR(VLOOKUP(H:H,produtos_escape2!$A$2:$D$2794,2,FALSE)),"Código não cadastrado",(VLOOKUP(H:H,produtos_escape2!$A$2:$D$2794,4,FALSE))))</f>
        <v/>
      </c>
      <c r="N2037" s="486"/>
      <c r="O2037" s="176"/>
      <c r="P2037" s="486"/>
      <c r="Q2037" s="247"/>
      <c r="R2037" s="246">
        <f t="shared" si="79"/>
        <v>0</v>
      </c>
      <c r="S2037" s="177"/>
      <c r="T2037" s="182"/>
      <c r="U2037" s="177"/>
      <c r="V2037" s="177"/>
      <c r="W2037" s="177"/>
      <c r="X2037" s="176"/>
      <c r="Y2037" s="177"/>
      <c r="Z2037" s="415"/>
      <c r="AA2037" s="488"/>
      <c r="AB2037" s="594"/>
      <c r="AC2037" s="595"/>
      <c r="AD2037" s="596" t="str">
        <f>IF(AND(AC2037&lt;&gt;"",S2037&lt;&gt;""),NETWORKDAYS(AC2037,S2037,#REF!),"")</f>
        <v/>
      </c>
      <c r="AE2037" s="596" t="str">
        <f ca="1">IF(AND(AD2037="",AC2037=""),"",IF(OR(AD2037&lt;&gt;"",O2037="*CANCELADO"),"",NETWORKDAYS(AC2037,TODAY(),#REF!)))</f>
        <v/>
      </c>
      <c r="AF2037" s="619"/>
    </row>
    <row r="2038" spans="1:32" ht="14.25" customHeight="1">
      <c r="A2038" s="176"/>
      <c r="B2038" s="176"/>
      <c r="C2038" s="177"/>
      <c r="D2038" s="176"/>
      <c r="E2038" s="176"/>
      <c r="F2038" s="259"/>
      <c r="G2038" s="176"/>
      <c r="H2038" s="178"/>
      <c r="I2038" s="592">
        <f t="shared" ref="I2038:I2101" si="80">COUNTIF($H$3:$H$3041,H2038)</f>
        <v>0</v>
      </c>
      <c r="J2038" s="178"/>
      <c r="K2038" s="178"/>
      <c r="L2038" s="275" t="str">
        <f>IF(H:H=0,"",IF(ISERROR(VLOOKUP(H:H,produtos_escape2!$A$2:$B$2794,2,FALSE)),"Código não cadastrado",(VLOOKUP(H:H,produtos_escape2!$A$2:$B$2794,2,FALSE))))</f>
        <v/>
      </c>
      <c r="M2038" s="593" t="str">
        <f>IF(H:H=0,"",IF(ISERROR(VLOOKUP(H:H,produtos_escape2!$A$2:$D$2794,2,FALSE)),"Código não cadastrado",(VLOOKUP(H:H,produtos_escape2!$A$2:$D$2794,4,FALSE))))</f>
        <v/>
      </c>
      <c r="N2038" s="486"/>
      <c r="O2038" s="176"/>
      <c r="P2038" s="486"/>
      <c r="Q2038" s="247"/>
      <c r="R2038" s="246">
        <f t="shared" si="79"/>
        <v>0</v>
      </c>
      <c r="S2038" s="177"/>
      <c r="T2038" s="182"/>
      <c r="U2038" s="177"/>
      <c r="V2038" s="177"/>
      <c r="W2038" s="177"/>
      <c r="X2038" s="176"/>
      <c r="Y2038" s="177"/>
      <c r="Z2038" s="415"/>
      <c r="AA2038" s="488"/>
      <c r="AB2038" s="594"/>
      <c r="AC2038" s="595"/>
      <c r="AD2038" s="596" t="str">
        <f>IF(AND(AC2038&lt;&gt;"",S2038&lt;&gt;""),NETWORKDAYS(AC2038,S2038,#REF!),"")</f>
        <v/>
      </c>
      <c r="AE2038" s="596" t="str">
        <f ca="1">IF(AND(AD2038="",AC2038=""),"",IF(OR(AD2038&lt;&gt;"",O2038="*CANCELADO"),"",NETWORKDAYS(AC2038,TODAY(),#REF!)))</f>
        <v/>
      </c>
      <c r="AF2038" s="619"/>
    </row>
    <row r="2039" spans="1:32" ht="14.25" customHeight="1">
      <c r="A2039" s="176"/>
      <c r="B2039" s="176"/>
      <c r="C2039" s="177"/>
      <c r="D2039" s="176"/>
      <c r="E2039" s="176"/>
      <c r="F2039" s="259"/>
      <c r="G2039" s="176"/>
      <c r="H2039" s="178"/>
      <c r="I2039" s="592">
        <f t="shared" si="80"/>
        <v>0</v>
      </c>
      <c r="J2039" s="178"/>
      <c r="K2039" s="178"/>
      <c r="L2039" s="275" t="str">
        <f>IF(H:H=0,"",IF(ISERROR(VLOOKUP(H:H,produtos_escape2!$A$2:$B$2794,2,FALSE)),"Código não cadastrado",(VLOOKUP(H:H,produtos_escape2!$A$2:$B$2794,2,FALSE))))</f>
        <v/>
      </c>
      <c r="M2039" s="593" t="str">
        <f>IF(H:H=0,"",IF(ISERROR(VLOOKUP(H:H,produtos_escape2!$A$2:$D$2794,2,FALSE)),"Código não cadastrado",(VLOOKUP(H:H,produtos_escape2!$A$2:$D$2794,4,FALSE))))</f>
        <v/>
      </c>
      <c r="N2039" s="486"/>
      <c r="O2039" s="176"/>
      <c r="P2039" s="486"/>
      <c r="Q2039" s="247"/>
      <c r="R2039" s="246">
        <f t="shared" si="79"/>
        <v>0</v>
      </c>
      <c r="S2039" s="177"/>
      <c r="T2039" s="182"/>
      <c r="U2039" s="177"/>
      <c r="V2039" s="177"/>
      <c r="W2039" s="177"/>
      <c r="X2039" s="176"/>
      <c r="Y2039" s="177"/>
      <c r="Z2039" s="415"/>
      <c r="AA2039" s="488"/>
      <c r="AB2039" s="594"/>
      <c r="AC2039" s="595"/>
      <c r="AD2039" s="596" t="str">
        <f>IF(AND(AC2039&lt;&gt;"",S2039&lt;&gt;""),NETWORKDAYS(AC2039,S2039,#REF!),"")</f>
        <v/>
      </c>
      <c r="AE2039" s="596" t="str">
        <f ca="1">IF(AND(AD2039="",AC2039=""),"",IF(OR(AD2039&lt;&gt;"",O2039="*CANCELADO"),"",NETWORKDAYS(AC2039,TODAY(),#REF!)))</f>
        <v/>
      </c>
      <c r="AF2039" s="619"/>
    </row>
    <row r="2040" spans="1:32" ht="14.25" customHeight="1">
      <c r="A2040" s="176"/>
      <c r="B2040" s="176"/>
      <c r="C2040" s="177"/>
      <c r="D2040" s="176"/>
      <c r="E2040" s="176"/>
      <c r="F2040" s="259"/>
      <c r="G2040" s="176"/>
      <c r="H2040" s="178"/>
      <c r="I2040" s="592">
        <f t="shared" si="80"/>
        <v>0</v>
      </c>
      <c r="J2040" s="178"/>
      <c r="K2040" s="178"/>
      <c r="L2040" s="275" t="str">
        <f>IF(H:H=0,"",IF(ISERROR(VLOOKUP(H:H,produtos_escape2!$A$2:$B$2794,2,FALSE)),"Código não cadastrado",(VLOOKUP(H:H,produtos_escape2!$A$2:$B$2794,2,FALSE))))</f>
        <v/>
      </c>
      <c r="M2040" s="593" t="str">
        <f>IF(H:H=0,"",IF(ISERROR(VLOOKUP(H:H,produtos_escape2!$A$2:$D$2794,2,FALSE)),"Código não cadastrado",(VLOOKUP(H:H,produtos_escape2!$A$2:$D$2794,4,FALSE))))</f>
        <v/>
      </c>
      <c r="N2040" s="486"/>
      <c r="O2040" s="176"/>
      <c r="P2040" s="486"/>
      <c r="Q2040" s="247"/>
      <c r="R2040" s="246">
        <f t="shared" si="79"/>
        <v>0</v>
      </c>
      <c r="S2040" s="177"/>
      <c r="T2040" s="182"/>
      <c r="U2040" s="177"/>
      <c r="V2040" s="177"/>
      <c r="W2040" s="177"/>
      <c r="X2040" s="176"/>
      <c r="Y2040" s="177"/>
      <c r="Z2040" s="415"/>
      <c r="AA2040" s="488"/>
      <c r="AB2040" s="594"/>
      <c r="AC2040" s="595"/>
      <c r="AD2040" s="596" t="str">
        <f>IF(AND(AC2040&lt;&gt;"",S2040&lt;&gt;""),NETWORKDAYS(AC2040,S2040,#REF!),"")</f>
        <v/>
      </c>
      <c r="AE2040" s="596" t="str">
        <f ca="1">IF(AND(AD2040="",AC2040=""),"",IF(OR(AD2040&lt;&gt;"",O2040="*CANCELADO"),"",NETWORKDAYS(AC2040,TODAY(),#REF!)))</f>
        <v/>
      </c>
      <c r="AF2040" s="619"/>
    </row>
    <row r="2041" spans="1:32" ht="14.25" customHeight="1">
      <c r="A2041" s="176"/>
      <c r="B2041" s="176"/>
      <c r="C2041" s="177"/>
      <c r="D2041" s="176"/>
      <c r="E2041" s="176"/>
      <c r="F2041" s="259"/>
      <c r="G2041" s="176"/>
      <c r="H2041" s="178"/>
      <c r="I2041" s="592">
        <f t="shared" si="80"/>
        <v>0</v>
      </c>
      <c r="J2041" s="178"/>
      <c r="K2041" s="178"/>
      <c r="L2041" s="275" t="str">
        <f>IF(H:H=0,"",IF(ISERROR(VLOOKUP(H:H,produtos_escape2!$A$2:$B$2794,2,FALSE)),"Código não cadastrado",(VLOOKUP(H:H,produtos_escape2!$A$2:$B$2794,2,FALSE))))</f>
        <v/>
      </c>
      <c r="M2041" s="593" t="str">
        <f>IF(H:H=0,"",IF(ISERROR(VLOOKUP(H:H,produtos_escape2!$A$2:$D$2794,2,FALSE)),"Código não cadastrado",(VLOOKUP(H:H,produtos_escape2!$A$2:$D$2794,4,FALSE))))</f>
        <v/>
      </c>
      <c r="N2041" s="486"/>
      <c r="O2041" s="176"/>
      <c r="P2041" s="486"/>
      <c r="Q2041" s="247"/>
      <c r="R2041" s="246">
        <f t="shared" si="79"/>
        <v>0</v>
      </c>
      <c r="S2041" s="177"/>
      <c r="T2041" s="182"/>
      <c r="U2041" s="177"/>
      <c r="V2041" s="177"/>
      <c r="W2041" s="177"/>
      <c r="X2041" s="176"/>
      <c r="Y2041" s="177"/>
      <c r="Z2041" s="415"/>
      <c r="AA2041" s="488"/>
      <c r="AB2041" s="594"/>
      <c r="AC2041" s="595"/>
      <c r="AD2041" s="596" t="str">
        <f>IF(AND(AC2041&lt;&gt;"",S2041&lt;&gt;""),NETWORKDAYS(AC2041,S2041,#REF!),"")</f>
        <v/>
      </c>
      <c r="AE2041" s="596" t="str">
        <f ca="1">IF(AND(AD2041="",AC2041=""),"",IF(OR(AD2041&lt;&gt;"",O2041="*CANCELADO"),"",NETWORKDAYS(AC2041,TODAY(),#REF!)))</f>
        <v/>
      </c>
      <c r="AF2041" s="619"/>
    </row>
    <row r="2042" spans="1:32" ht="14.25" customHeight="1">
      <c r="A2042" s="176"/>
      <c r="B2042" s="176"/>
      <c r="C2042" s="177"/>
      <c r="D2042" s="176"/>
      <c r="E2042" s="176"/>
      <c r="F2042" s="259"/>
      <c r="G2042" s="176"/>
      <c r="H2042" s="178"/>
      <c r="I2042" s="592">
        <f t="shared" si="80"/>
        <v>0</v>
      </c>
      <c r="J2042" s="178"/>
      <c r="K2042" s="178"/>
      <c r="L2042" s="275" t="str">
        <f>IF(H:H=0,"",IF(ISERROR(VLOOKUP(H:H,produtos_escape2!$A$2:$B$2794,2,FALSE)),"Código não cadastrado",(VLOOKUP(H:H,produtos_escape2!$A$2:$B$2794,2,FALSE))))</f>
        <v/>
      </c>
      <c r="M2042" s="593" t="str">
        <f>IF(H:H=0,"",IF(ISERROR(VLOOKUP(H:H,produtos_escape2!$A$2:$D$2794,2,FALSE)),"Código não cadastrado",(VLOOKUP(H:H,produtos_escape2!$A$2:$D$2794,4,FALSE))))</f>
        <v/>
      </c>
      <c r="N2042" s="486"/>
      <c r="O2042" s="176"/>
      <c r="P2042" s="486"/>
      <c r="Q2042" s="247"/>
      <c r="R2042" s="246">
        <f t="shared" si="79"/>
        <v>0</v>
      </c>
      <c r="S2042" s="177"/>
      <c r="T2042" s="182"/>
      <c r="U2042" s="177"/>
      <c r="V2042" s="177"/>
      <c r="W2042" s="177"/>
      <c r="X2042" s="176"/>
      <c r="Y2042" s="177"/>
      <c r="Z2042" s="415"/>
      <c r="AA2042" s="488"/>
      <c r="AB2042" s="594"/>
      <c r="AC2042" s="595"/>
      <c r="AD2042" s="596" t="str">
        <f>IF(AND(AC2042&lt;&gt;"",S2042&lt;&gt;""),NETWORKDAYS(AC2042,S2042,#REF!),"")</f>
        <v/>
      </c>
      <c r="AE2042" s="596" t="str">
        <f ca="1">IF(AND(AD2042="",AC2042=""),"",IF(OR(AD2042&lt;&gt;"",O2042="*CANCELADO"),"",NETWORKDAYS(AC2042,TODAY(),#REF!)))</f>
        <v/>
      </c>
      <c r="AF2042" s="619"/>
    </row>
    <row r="2043" spans="1:32" ht="14.25" customHeight="1">
      <c r="A2043" s="176"/>
      <c r="B2043" s="176"/>
      <c r="C2043" s="177"/>
      <c r="D2043" s="176"/>
      <c r="E2043" s="176"/>
      <c r="F2043" s="259"/>
      <c r="G2043" s="176"/>
      <c r="H2043" s="178"/>
      <c r="I2043" s="592">
        <f t="shared" si="80"/>
        <v>0</v>
      </c>
      <c r="J2043" s="178"/>
      <c r="K2043" s="178"/>
      <c r="L2043" s="275" t="str">
        <f>IF(H:H=0,"",IF(ISERROR(VLOOKUP(H:H,produtos_escape2!$A$2:$B$2794,2,FALSE)),"Código não cadastrado",(VLOOKUP(H:H,produtos_escape2!$A$2:$B$2794,2,FALSE))))</f>
        <v/>
      </c>
      <c r="M2043" s="593" t="str">
        <f>IF(H:H=0,"",IF(ISERROR(VLOOKUP(H:H,produtos_escape2!$A$2:$D$2794,2,FALSE)),"Código não cadastrado",(VLOOKUP(H:H,produtos_escape2!$A$2:$D$2794,4,FALSE))))</f>
        <v/>
      </c>
      <c r="N2043" s="486"/>
      <c r="O2043" s="176"/>
      <c r="P2043" s="486"/>
      <c r="Q2043" s="247"/>
      <c r="R2043" s="246">
        <f t="shared" si="79"/>
        <v>0</v>
      </c>
      <c r="S2043" s="177"/>
      <c r="T2043" s="182"/>
      <c r="U2043" s="177"/>
      <c r="V2043" s="177"/>
      <c r="W2043" s="177"/>
      <c r="X2043" s="176"/>
      <c r="Y2043" s="177"/>
      <c r="Z2043" s="415"/>
      <c r="AA2043" s="488"/>
      <c r="AB2043" s="594"/>
      <c r="AC2043" s="595"/>
      <c r="AD2043" s="596" t="str">
        <f>IF(AND(AC2043&lt;&gt;"",S2043&lt;&gt;""),NETWORKDAYS(AC2043,S2043,#REF!),"")</f>
        <v/>
      </c>
      <c r="AE2043" s="596" t="str">
        <f ca="1">IF(AND(AD2043="",AC2043=""),"",IF(OR(AD2043&lt;&gt;"",O2043="*CANCELADO"),"",NETWORKDAYS(AC2043,TODAY(),#REF!)))</f>
        <v/>
      </c>
      <c r="AF2043" s="619"/>
    </row>
    <row r="2044" spans="1:32" ht="14.25" customHeight="1">
      <c r="A2044" s="176"/>
      <c r="B2044" s="176"/>
      <c r="C2044" s="177"/>
      <c r="D2044" s="176"/>
      <c r="E2044" s="176"/>
      <c r="F2044" s="259"/>
      <c r="G2044" s="176"/>
      <c r="H2044" s="178"/>
      <c r="I2044" s="592">
        <f t="shared" si="80"/>
        <v>0</v>
      </c>
      <c r="J2044" s="178"/>
      <c r="K2044" s="178"/>
      <c r="L2044" s="275" t="str">
        <f>IF(H:H=0,"",IF(ISERROR(VLOOKUP(H:H,produtos_escape2!$A$2:$B$2794,2,FALSE)),"Código não cadastrado",(VLOOKUP(H:H,produtos_escape2!$A$2:$B$2794,2,FALSE))))</f>
        <v/>
      </c>
      <c r="M2044" s="593" t="str">
        <f>IF(H:H=0,"",IF(ISERROR(VLOOKUP(H:H,produtos_escape2!$A$2:$D$2794,2,FALSE)),"Código não cadastrado",(VLOOKUP(H:H,produtos_escape2!$A$2:$D$2794,4,FALSE))))</f>
        <v/>
      </c>
      <c r="N2044" s="486"/>
      <c r="O2044" s="176"/>
      <c r="P2044" s="486"/>
      <c r="Q2044" s="247"/>
      <c r="R2044" s="246">
        <f t="shared" si="79"/>
        <v>0</v>
      </c>
      <c r="S2044" s="177"/>
      <c r="T2044" s="182"/>
      <c r="U2044" s="177"/>
      <c r="V2044" s="177"/>
      <c r="W2044" s="177"/>
      <c r="X2044" s="176"/>
      <c r="Y2044" s="177"/>
      <c r="Z2044" s="415"/>
      <c r="AA2044" s="488"/>
      <c r="AB2044" s="594"/>
      <c r="AC2044" s="595"/>
      <c r="AD2044" s="596" t="str">
        <f>IF(AND(AC2044&lt;&gt;"",S2044&lt;&gt;""),NETWORKDAYS(AC2044,S2044,#REF!),"")</f>
        <v/>
      </c>
      <c r="AE2044" s="596" t="str">
        <f ca="1">IF(AND(AD2044="",AC2044=""),"",IF(OR(AD2044&lt;&gt;"",O2044="*CANCELADO"),"",NETWORKDAYS(AC2044,TODAY(),#REF!)))</f>
        <v/>
      </c>
      <c r="AF2044" s="619"/>
    </row>
    <row r="2045" spans="1:32" ht="14.25" customHeight="1">
      <c r="A2045" s="176"/>
      <c r="B2045" s="176"/>
      <c r="C2045" s="177"/>
      <c r="D2045" s="176"/>
      <c r="E2045" s="176"/>
      <c r="F2045" s="259"/>
      <c r="G2045" s="176"/>
      <c r="H2045" s="178"/>
      <c r="I2045" s="592">
        <f t="shared" si="80"/>
        <v>0</v>
      </c>
      <c r="J2045" s="178"/>
      <c r="K2045" s="178"/>
      <c r="L2045" s="275" t="str">
        <f>IF(H:H=0,"",IF(ISERROR(VLOOKUP(H:H,produtos_escape2!$A$2:$B$2794,2,FALSE)),"Código não cadastrado",(VLOOKUP(H:H,produtos_escape2!$A$2:$B$2794,2,FALSE))))</f>
        <v/>
      </c>
      <c r="M2045" s="593" t="str">
        <f>IF(H:H=0,"",IF(ISERROR(VLOOKUP(H:H,produtos_escape2!$A$2:$D$2794,2,FALSE)),"Código não cadastrado",(VLOOKUP(H:H,produtos_escape2!$A$2:$D$2794,4,FALSE))))</f>
        <v/>
      </c>
      <c r="N2045" s="486"/>
      <c r="O2045" s="176"/>
      <c r="P2045" s="486"/>
      <c r="Q2045" s="247"/>
      <c r="R2045" s="246">
        <f t="shared" si="79"/>
        <v>0</v>
      </c>
      <c r="S2045" s="177"/>
      <c r="T2045" s="182"/>
      <c r="U2045" s="177"/>
      <c r="V2045" s="177"/>
      <c r="W2045" s="177"/>
      <c r="X2045" s="176"/>
      <c r="Y2045" s="177"/>
      <c r="Z2045" s="415"/>
      <c r="AA2045" s="488"/>
      <c r="AB2045" s="594"/>
      <c r="AC2045" s="595"/>
      <c r="AD2045" s="596" t="str">
        <f>IF(AND(AC2045&lt;&gt;"",S2045&lt;&gt;""),NETWORKDAYS(AC2045,S2045,#REF!),"")</f>
        <v/>
      </c>
      <c r="AE2045" s="596" t="str">
        <f ca="1">IF(AND(AD2045="",AC2045=""),"",IF(OR(AD2045&lt;&gt;"",O2045="*CANCELADO"),"",NETWORKDAYS(AC2045,TODAY(),#REF!)))</f>
        <v/>
      </c>
      <c r="AF2045" s="619"/>
    </row>
    <row r="2046" spans="1:32" ht="14.25" customHeight="1">
      <c r="A2046" s="176"/>
      <c r="B2046" s="176"/>
      <c r="C2046" s="177"/>
      <c r="D2046" s="176"/>
      <c r="E2046" s="176"/>
      <c r="F2046" s="259"/>
      <c r="G2046" s="176"/>
      <c r="H2046" s="178"/>
      <c r="I2046" s="592">
        <f t="shared" si="80"/>
        <v>0</v>
      </c>
      <c r="J2046" s="178"/>
      <c r="K2046" s="178"/>
      <c r="L2046" s="275" t="str">
        <f>IF(H:H=0,"",IF(ISERROR(VLOOKUP(H:H,produtos_escape2!$A$2:$B$2794,2,FALSE)),"Código não cadastrado",(VLOOKUP(H:H,produtos_escape2!$A$2:$B$2794,2,FALSE))))</f>
        <v/>
      </c>
      <c r="M2046" s="593" t="str">
        <f>IF(H:H=0,"",IF(ISERROR(VLOOKUP(H:H,produtos_escape2!$A$2:$D$2794,2,FALSE)),"Código não cadastrado",(VLOOKUP(H:H,produtos_escape2!$A$2:$D$2794,4,FALSE))))</f>
        <v/>
      </c>
      <c r="N2046" s="486"/>
      <c r="O2046" s="176"/>
      <c r="P2046" s="486"/>
      <c r="Q2046" s="247"/>
      <c r="R2046" s="246">
        <f t="shared" si="79"/>
        <v>0</v>
      </c>
      <c r="S2046" s="177"/>
      <c r="T2046" s="182"/>
      <c r="U2046" s="177"/>
      <c r="V2046" s="177"/>
      <c r="W2046" s="177"/>
      <c r="X2046" s="176"/>
      <c r="Y2046" s="177"/>
      <c r="Z2046" s="415"/>
      <c r="AA2046" s="488"/>
      <c r="AB2046" s="594"/>
      <c r="AC2046" s="595"/>
      <c r="AD2046" s="596" t="str">
        <f>IF(AND(AC2046&lt;&gt;"",S2046&lt;&gt;""),NETWORKDAYS(AC2046,S2046,#REF!),"")</f>
        <v/>
      </c>
      <c r="AE2046" s="596" t="str">
        <f ca="1">IF(AND(AD2046="",AC2046=""),"",IF(OR(AD2046&lt;&gt;"",O2046="*CANCELADO"),"",NETWORKDAYS(AC2046,TODAY(),#REF!)))</f>
        <v/>
      </c>
      <c r="AF2046" s="619"/>
    </row>
    <row r="2047" spans="1:32" ht="14.25" customHeight="1">
      <c r="A2047" s="176"/>
      <c r="B2047" s="176"/>
      <c r="C2047" s="177"/>
      <c r="D2047" s="176"/>
      <c r="E2047" s="176"/>
      <c r="F2047" s="259"/>
      <c r="G2047" s="176"/>
      <c r="H2047" s="178"/>
      <c r="I2047" s="592">
        <f t="shared" si="80"/>
        <v>0</v>
      </c>
      <c r="J2047" s="178"/>
      <c r="K2047" s="178"/>
      <c r="L2047" s="275" t="str">
        <f>IF(H:H=0,"",IF(ISERROR(VLOOKUP(H:H,produtos_escape2!$A$2:$B$2794,2,FALSE)),"Código não cadastrado",(VLOOKUP(H:H,produtos_escape2!$A$2:$B$2794,2,FALSE))))</f>
        <v/>
      </c>
      <c r="M2047" s="593" t="str">
        <f>IF(H:H=0,"",IF(ISERROR(VLOOKUP(H:H,produtos_escape2!$A$2:$D$2794,2,FALSE)),"Código não cadastrado",(VLOOKUP(H:H,produtos_escape2!$A$2:$D$2794,4,FALSE))))</f>
        <v/>
      </c>
      <c r="N2047" s="486"/>
      <c r="O2047" s="176"/>
      <c r="P2047" s="486"/>
      <c r="Q2047" s="247"/>
      <c r="R2047" s="246">
        <f t="shared" si="79"/>
        <v>0</v>
      </c>
      <c r="S2047" s="177"/>
      <c r="T2047" s="182"/>
      <c r="U2047" s="177"/>
      <c r="V2047" s="177"/>
      <c r="W2047" s="177"/>
      <c r="X2047" s="176"/>
      <c r="Y2047" s="177"/>
      <c r="Z2047" s="415"/>
      <c r="AA2047" s="488"/>
      <c r="AB2047" s="594"/>
      <c r="AC2047" s="595"/>
      <c r="AD2047" s="596" t="str">
        <f>IF(AND(AC2047&lt;&gt;"",S2047&lt;&gt;""),NETWORKDAYS(AC2047,S2047,#REF!),"")</f>
        <v/>
      </c>
      <c r="AE2047" s="596" t="str">
        <f ca="1">IF(AND(AD2047="",AC2047=""),"",IF(OR(AD2047&lt;&gt;"",O2047="*CANCELADO"),"",NETWORKDAYS(AC2047,TODAY(),#REF!)))</f>
        <v/>
      </c>
      <c r="AF2047" s="619"/>
    </row>
    <row r="2048" spans="1:32" ht="14.25" customHeight="1">
      <c r="A2048" s="176"/>
      <c r="B2048" s="176"/>
      <c r="C2048" s="177"/>
      <c r="D2048" s="176"/>
      <c r="E2048" s="176"/>
      <c r="F2048" s="259"/>
      <c r="G2048" s="176"/>
      <c r="H2048" s="178"/>
      <c r="I2048" s="592">
        <f t="shared" si="80"/>
        <v>0</v>
      </c>
      <c r="J2048" s="178"/>
      <c r="K2048" s="178"/>
      <c r="L2048" s="275" t="str">
        <f>IF(H:H=0,"",IF(ISERROR(VLOOKUP(H:H,produtos_escape2!$A$2:$B$2794,2,FALSE)),"Código não cadastrado",(VLOOKUP(H:H,produtos_escape2!$A$2:$B$2794,2,FALSE))))</f>
        <v/>
      </c>
      <c r="M2048" s="593" t="str">
        <f>IF(H:H=0,"",IF(ISERROR(VLOOKUP(H:H,produtos_escape2!$A$2:$D$2794,2,FALSE)),"Código não cadastrado",(VLOOKUP(H:H,produtos_escape2!$A$2:$D$2794,4,FALSE))))</f>
        <v/>
      </c>
      <c r="N2048" s="486"/>
      <c r="O2048" s="176"/>
      <c r="P2048" s="486"/>
      <c r="Q2048" s="247"/>
      <c r="R2048" s="246">
        <f t="shared" si="79"/>
        <v>0</v>
      </c>
      <c r="S2048" s="177"/>
      <c r="T2048" s="182"/>
      <c r="U2048" s="177"/>
      <c r="V2048" s="177"/>
      <c r="W2048" s="177"/>
      <c r="X2048" s="176"/>
      <c r="Y2048" s="177"/>
      <c r="Z2048" s="415"/>
      <c r="AA2048" s="488"/>
      <c r="AB2048" s="594"/>
      <c r="AC2048" s="595"/>
      <c r="AD2048" s="596" t="str">
        <f>IF(AND(AC2048&lt;&gt;"",S2048&lt;&gt;""),NETWORKDAYS(AC2048,S2048,#REF!),"")</f>
        <v/>
      </c>
      <c r="AE2048" s="596" t="str">
        <f ca="1">IF(AND(AD2048="",AC2048=""),"",IF(OR(AD2048&lt;&gt;"",O2048="*CANCELADO"),"",NETWORKDAYS(AC2048,TODAY(),#REF!)))</f>
        <v/>
      </c>
      <c r="AF2048" s="619"/>
    </row>
    <row r="2049" spans="1:32" ht="14.25" customHeight="1">
      <c r="A2049" s="176"/>
      <c r="B2049" s="176"/>
      <c r="C2049" s="177"/>
      <c r="D2049" s="176"/>
      <c r="E2049" s="176"/>
      <c r="F2049" s="259"/>
      <c r="G2049" s="176"/>
      <c r="H2049" s="178"/>
      <c r="I2049" s="592">
        <f t="shared" si="80"/>
        <v>0</v>
      </c>
      <c r="J2049" s="178"/>
      <c r="K2049" s="178"/>
      <c r="L2049" s="275" t="str">
        <f>IF(H:H=0,"",IF(ISERROR(VLOOKUP(H:H,produtos_escape2!$A$2:$B$2794,2,FALSE)),"Código não cadastrado",(VLOOKUP(H:H,produtos_escape2!$A$2:$B$2794,2,FALSE))))</f>
        <v/>
      </c>
      <c r="M2049" s="593" t="str">
        <f>IF(H:H=0,"",IF(ISERROR(VLOOKUP(H:H,produtos_escape2!$A$2:$D$2794,2,FALSE)),"Código não cadastrado",(VLOOKUP(H:H,produtos_escape2!$A$2:$D$2794,4,FALSE))))</f>
        <v/>
      </c>
      <c r="N2049" s="486"/>
      <c r="O2049" s="176"/>
      <c r="P2049" s="486"/>
      <c r="Q2049" s="247"/>
      <c r="R2049" s="246">
        <f t="shared" si="79"/>
        <v>0</v>
      </c>
      <c r="S2049" s="177"/>
      <c r="T2049" s="182"/>
      <c r="U2049" s="177"/>
      <c r="V2049" s="177"/>
      <c r="W2049" s="177"/>
      <c r="X2049" s="176"/>
      <c r="Y2049" s="177"/>
      <c r="Z2049" s="415"/>
      <c r="AA2049" s="488"/>
      <c r="AB2049" s="594"/>
      <c r="AC2049" s="595"/>
      <c r="AD2049" s="596" t="str">
        <f>IF(AND(AC2049&lt;&gt;"",S2049&lt;&gt;""),NETWORKDAYS(AC2049,S2049,#REF!),"")</f>
        <v/>
      </c>
      <c r="AE2049" s="596" t="str">
        <f ca="1">IF(AND(AD2049="",AC2049=""),"",IF(OR(AD2049&lt;&gt;"",O2049="*CANCELADO"),"",NETWORKDAYS(AC2049,TODAY(),#REF!)))</f>
        <v/>
      </c>
      <c r="AF2049" s="619"/>
    </row>
    <row r="2050" spans="1:32" ht="14.25" customHeight="1">
      <c r="A2050" s="176"/>
      <c r="B2050" s="176"/>
      <c r="C2050" s="177"/>
      <c r="D2050" s="176"/>
      <c r="E2050" s="176"/>
      <c r="F2050" s="259"/>
      <c r="G2050" s="176"/>
      <c r="H2050" s="178"/>
      <c r="I2050" s="592">
        <f t="shared" si="80"/>
        <v>0</v>
      </c>
      <c r="J2050" s="178"/>
      <c r="K2050" s="178"/>
      <c r="L2050" s="275" t="str">
        <f>IF(H:H=0,"",IF(ISERROR(VLOOKUP(H:H,produtos_escape2!$A$2:$B$2794,2,FALSE)),"Código não cadastrado",(VLOOKUP(H:H,produtos_escape2!$A$2:$B$2794,2,FALSE))))</f>
        <v/>
      </c>
      <c r="M2050" s="593" t="str">
        <f>IF(H:H=0,"",IF(ISERROR(VLOOKUP(H:H,produtos_escape2!$A$2:$D$2794,2,FALSE)),"Código não cadastrado",(VLOOKUP(H:H,produtos_escape2!$A$2:$D$2794,4,FALSE))))</f>
        <v/>
      </c>
      <c r="N2050" s="486"/>
      <c r="O2050" s="176"/>
      <c r="P2050" s="486"/>
      <c r="Q2050" s="247"/>
      <c r="R2050" s="246">
        <f t="shared" si="79"/>
        <v>0</v>
      </c>
      <c r="S2050" s="177"/>
      <c r="T2050" s="182"/>
      <c r="U2050" s="177"/>
      <c r="V2050" s="177"/>
      <c r="W2050" s="177"/>
      <c r="X2050" s="176"/>
      <c r="Y2050" s="177"/>
      <c r="Z2050" s="415"/>
      <c r="AA2050" s="488"/>
      <c r="AB2050" s="594"/>
      <c r="AC2050" s="595"/>
      <c r="AD2050" s="596" t="str">
        <f>IF(AND(AC2050&lt;&gt;"",S2050&lt;&gt;""),NETWORKDAYS(AC2050,S2050,#REF!),"")</f>
        <v/>
      </c>
      <c r="AE2050" s="596" t="str">
        <f ca="1">IF(AND(AD2050="",AC2050=""),"",IF(OR(AD2050&lt;&gt;"",O2050="*CANCELADO"),"",NETWORKDAYS(AC2050,TODAY(),#REF!)))</f>
        <v/>
      </c>
      <c r="AF2050" s="619"/>
    </row>
    <row r="2051" spans="1:32" ht="14.25" customHeight="1">
      <c r="A2051" s="176"/>
      <c r="B2051" s="176"/>
      <c r="C2051" s="177"/>
      <c r="D2051" s="176"/>
      <c r="E2051" s="176"/>
      <c r="F2051" s="259"/>
      <c r="G2051" s="176"/>
      <c r="H2051" s="178"/>
      <c r="I2051" s="592">
        <f t="shared" si="80"/>
        <v>0</v>
      </c>
      <c r="J2051" s="178"/>
      <c r="K2051" s="178"/>
      <c r="L2051" s="275" t="str">
        <f>IF(H:H=0,"",IF(ISERROR(VLOOKUP(H:H,produtos_escape2!$A$2:$B$2794,2,FALSE)),"Código não cadastrado",(VLOOKUP(H:H,produtos_escape2!$A$2:$B$2794,2,FALSE))))</f>
        <v/>
      </c>
      <c r="M2051" s="593" t="str">
        <f>IF(H:H=0,"",IF(ISERROR(VLOOKUP(H:H,produtos_escape2!$A$2:$D$2794,2,FALSE)),"Código não cadastrado",(VLOOKUP(H:H,produtos_escape2!$A$2:$D$2794,4,FALSE))))</f>
        <v/>
      </c>
      <c r="N2051" s="486"/>
      <c r="O2051" s="176"/>
      <c r="P2051" s="486"/>
      <c r="Q2051" s="247"/>
      <c r="R2051" s="246">
        <f t="shared" si="79"/>
        <v>0</v>
      </c>
      <c r="S2051" s="177"/>
      <c r="T2051" s="182"/>
      <c r="U2051" s="177"/>
      <c r="V2051" s="177"/>
      <c r="W2051" s="177"/>
      <c r="X2051" s="176"/>
      <c r="Y2051" s="177"/>
      <c r="Z2051" s="415"/>
      <c r="AA2051" s="488"/>
      <c r="AB2051" s="594"/>
      <c r="AC2051" s="595"/>
      <c r="AD2051" s="596" t="str">
        <f>IF(AND(AC2051&lt;&gt;"",S2051&lt;&gt;""),NETWORKDAYS(AC2051,S2051,#REF!),"")</f>
        <v/>
      </c>
      <c r="AE2051" s="596" t="str">
        <f ca="1">IF(AND(AD2051="",AC2051=""),"",IF(OR(AD2051&lt;&gt;"",O2051="*CANCELADO"),"",NETWORKDAYS(AC2051,TODAY(),#REF!)))</f>
        <v/>
      </c>
      <c r="AF2051" s="619"/>
    </row>
    <row r="2052" spans="1:32" ht="14.25" customHeight="1">
      <c r="A2052" s="176"/>
      <c r="B2052" s="176"/>
      <c r="C2052" s="177"/>
      <c r="D2052" s="176"/>
      <c r="E2052" s="176"/>
      <c r="F2052" s="259"/>
      <c r="G2052" s="176"/>
      <c r="H2052" s="178"/>
      <c r="I2052" s="592">
        <f t="shared" si="80"/>
        <v>0</v>
      </c>
      <c r="J2052" s="178"/>
      <c r="K2052" s="178"/>
      <c r="L2052" s="275" t="str">
        <f>IF(H:H=0,"",IF(ISERROR(VLOOKUP(H:H,produtos_escape2!$A$2:$B$2794,2,FALSE)),"Código não cadastrado",(VLOOKUP(H:H,produtos_escape2!$A$2:$B$2794,2,FALSE))))</f>
        <v/>
      </c>
      <c r="M2052" s="593" t="str">
        <f>IF(H:H=0,"",IF(ISERROR(VLOOKUP(H:H,produtos_escape2!$A$2:$D$2794,2,FALSE)),"Código não cadastrado",(VLOOKUP(H:H,produtos_escape2!$A$2:$D$2794,4,FALSE))))</f>
        <v/>
      </c>
      <c r="N2052" s="486"/>
      <c r="O2052" s="176"/>
      <c r="P2052" s="486"/>
      <c r="Q2052" s="247"/>
      <c r="R2052" s="246">
        <f t="shared" si="79"/>
        <v>0</v>
      </c>
      <c r="S2052" s="177"/>
      <c r="T2052" s="182"/>
      <c r="U2052" s="177"/>
      <c r="V2052" s="177"/>
      <c r="W2052" s="177"/>
      <c r="X2052" s="176"/>
      <c r="Y2052" s="177"/>
      <c r="Z2052" s="415"/>
      <c r="AA2052" s="488"/>
      <c r="AB2052" s="594"/>
      <c r="AC2052" s="595"/>
      <c r="AD2052" s="596" t="str">
        <f>IF(AND(AC2052&lt;&gt;"",S2052&lt;&gt;""),NETWORKDAYS(AC2052,S2052,#REF!),"")</f>
        <v/>
      </c>
      <c r="AE2052" s="596" t="str">
        <f ca="1">IF(AND(AD2052="",AC2052=""),"",IF(OR(AD2052&lt;&gt;"",O2052="*CANCELADO"),"",NETWORKDAYS(AC2052,TODAY(),#REF!)))</f>
        <v/>
      </c>
      <c r="AF2052" s="619"/>
    </row>
    <row r="2053" spans="1:32" ht="14.25" customHeight="1">
      <c r="A2053" s="176"/>
      <c r="B2053" s="176"/>
      <c r="C2053" s="177"/>
      <c r="D2053" s="176"/>
      <c r="E2053" s="176"/>
      <c r="F2053" s="259"/>
      <c r="G2053" s="176"/>
      <c r="H2053" s="178"/>
      <c r="I2053" s="592">
        <f t="shared" si="80"/>
        <v>0</v>
      </c>
      <c r="J2053" s="178"/>
      <c r="K2053" s="178"/>
      <c r="L2053" s="275" t="str">
        <f>IF(H:H=0,"",IF(ISERROR(VLOOKUP(H:H,produtos_escape2!$A$2:$B$2794,2,FALSE)),"Código não cadastrado",(VLOOKUP(H:H,produtos_escape2!$A$2:$B$2794,2,FALSE))))</f>
        <v/>
      </c>
      <c r="M2053" s="593" t="str">
        <f>IF(H:H=0,"",IF(ISERROR(VLOOKUP(H:H,produtos_escape2!$A$2:$D$2794,2,FALSE)),"Código não cadastrado",(VLOOKUP(H:H,produtos_escape2!$A$2:$D$2794,4,FALSE))))</f>
        <v/>
      </c>
      <c r="N2053" s="486"/>
      <c r="O2053" s="176"/>
      <c r="P2053" s="486"/>
      <c r="Q2053" s="247"/>
      <c r="R2053" s="246">
        <f t="shared" si="79"/>
        <v>0</v>
      </c>
      <c r="S2053" s="177"/>
      <c r="T2053" s="182"/>
      <c r="U2053" s="177"/>
      <c r="V2053" s="177"/>
      <c r="W2053" s="177"/>
      <c r="X2053" s="176"/>
      <c r="Y2053" s="177"/>
      <c r="Z2053" s="415"/>
      <c r="AA2053" s="488"/>
      <c r="AB2053" s="594"/>
      <c r="AC2053" s="595"/>
      <c r="AD2053" s="596" t="str">
        <f>IF(AND(AC2053&lt;&gt;"",S2053&lt;&gt;""),NETWORKDAYS(AC2053,S2053,#REF!),"")</f>
        <v/>
      </c>
      <c r="AE2053" s="596" t="str">
        <f ca="1">IF(AND(AD2053="",AC2053=""),"",IF(OR(AD2053&lt;&gt;"",O2053="*CANCELADO"),"",NETWORKDAYS(AC2053,TODAY(),#REF!)))</f>
        <v/>
      </c>
      <c r="AF2053" s="619"/>
    </row>
    <row r="2054" spans="1:32" ht="14.25" customHeight="1">
      <c r="A2054" s="176"/>
      <c r="B2054" s="176"/>
      <c r="C2054" s="177"/>
      <c r="D2054" s="176"/>
      <c r="E2054" s="176"/>
      <c r="F2054" s="259"/>
      <c r="G2054" s="176"/>
      <c r="H2054" s="178"/>
      <c r="I2054" s="592">
        <f t="shared" si="80"/>
        <v>0</v>
      </c>
      <c r="J2054" s="178"/>
      <c r="K2054" s="178"/>
      <c r="L2054" s="275" t="str">
        <f>IF(H:H=0,"",IF(ISERROR(VLOOKUP(H:H,produtos_escape2!$A$2:$B$2794,2,FALSE)),"Código não cadastrado",(VLOOKUP(H:H,produtos_escape2!$A$2:$B$2794,2,FALSE))))</f>
        <v/>
      </c>
      <c r="M2054" s="593" t="str">
        <f>IF(H:H=0,"",IF(ISERROR(VLOOKUP(H:H,produtos_escape2!$A$2:$D$2794,2,FALSE)),"Código não cadastrado",(VLOOKUP(H:H,produtos_escape2!$A$2:$D$2794,4,FALSE))))</f>
        <v/>
      </c>
      <c r="N2054" s="486"/>
      <c r="O2054" s="176"/>
      <c r="P2054" s="486"/>
      <c r="Q2054" s="247"/>
      <c r="R2054" s="246">
        <f t="shared" si="79"/>
        <v>0</v>
      </c>
      <c r="S2054" s="177"/>
      <c r="T2054" s="182"/>
      <c r="U2054" s="177"/>
      <c r="V2054" s="177"/>
      <c r="W2054" s="177"/>
      <c r="X2054" s="176"/>
      <c r="Y2054" s="177"/>
      <c r="Z2054" s="415"/>
      <c r="AA2054" s="488"/>
      <c r="AB2054" s="594"/>
      <c r="AC2054" s="595"/>
      <c r="AD2054" s="596" t="str">
        <f>IF(AND(AC2054&lt;&gt;"",S2054&lt;&gt;""),NETWORKDAYS(AC2054,S2054,#REF!),"")</f>
        <v/>
      </c>
      <c r="AE2054" s="596" t="str">
        <f ca="1">IF(AND(AD2054="",AC2054=""),"",IF(OR(AD2054&lt;&gt;"",O2054="*CANCELADO"),"",NETWORKDAYS(AC2054,TODAY(),#REF!)))</f>
        <v/>
      </c>
      <c r="AF2054" s="619"/>
    </row>
    <row r="2055" spans="1:32" ht="14.25" customHeight="1">
      <c r="A2055" s="176"/>
      <c r="B2055" s="176"/>
      <c r="C2055" s="177"/>
      <c r="D2055" s="176"/>
      <c r="E2055" s="176"/>
      <c r="F2055" s="259"/>
      <c r="G2055" s="176"/>
      <c r="H2055" s="178"/>
      <c r="I2055" s="592">
        <f t="shared" si="80"/>
        <v>0</v>
      </c>
      <c r="J2055" s="178"/>
      <c r="K2055" s="178"/>
      <c r="L2055" s="275" t="str">
        <f>IF(H:H=0,"",IF(ISERROR(VLOOKUP(H:H,produtos_escape2!$A$2:$B$2794,2,FALSE)),"Código não cadastrado",(VLOOKUP(H:H,produtos_escape2!$A$2:$B$2794,2,FALSE))))</f>
        <v/>
      </c>
      <c r="M2055" s="593" t="str">
        <f>IF(H:H=0,"",IF(ISERROR(VLOOKUP(H:H,produtos_escape2!$A$2:$D$2794,2,FALSE)),"Código não cadastrado",(VLOOKUP(H:H,produtos_escape2!$A$2:$D$2794,4,FALSE))))</f>
        <v/>
      </c>
      <c r="N2055" s="486"/>
      <c r="O2055" s="176"/>
      <c r="P2055" s="486"/>
      <c r="Q2055" s="247"/>
      <c r="R2055" s="246">
        <f t="shared" si="79"/>
        <v>0</v>
      </c>
      <c r="S2055" s="177"/>
      <c r="T2055" s="182"/>
      <c r="U2055" s="177"/>
      <c r="V2055" s="177"/>
      <c r="W2055" s="177"/>
      <c r="X2055" s="176"/>
      <c r="Y2055" s="177"/>
      <c r="Z2055" s="415"/>
      <c r="AA2055" s="488"/>
      <c r="AB2055" s="594"/>
      <c r="AC2055" s="595"/>
      <c r="AD2055" s="596" t="str">
        <f>IF(AND(AC2055&lt;&gt;"",S2055&lt;&gt;""),NETWORKDAYS(AC2055,S2055,#REF!),"")</f>
        <v/>
      </c>
      <c r="AE2055" s="596" t="str">
        <f ca="1">IF(AND(AD2055="",AC2055=""),"",IF(OR(AD2055&lt;&gt;"",O2055="*CANCELADO"),"",NETWORKDAYS(AC2055,TODAY(),#REF!)))</f>
        <v/>
      </c>
      <c r="AF2055" s="619"/>
    </row>
    <row r="2056" spans="1:32" ht="14.25" customHeight="1">
      <c r="A2056" s="176"/>
      <c r="B2056" s="176"/>
      <c r="C2056" s="177"/>
      <c r="D2056" s="176"/>
      <c r="E2056" s="176"/>
      <c r="F2056" s="259"/>
      <c r="G2056" s="176"/>
      <c r="H2056" s="178"/>
      <c r="I2056" s="592">
        <f t="shared" si="80"/>
        <v>0</v>
      </c>
      <c r="J2056" s="178"/>
      <c r="K2056" s="178"/>
      <c r="L2056" s="275" t="str">
        <f>IF(H:H=0,"",IF(ISERROR(VLOOKUP(H:H,produtos_escape2!$A$2:$B$2794,2,FALSE)),"Código não cadastrado",(VLOOKUP(H:H,produtos_escape2!$A$2:$B$2794,2,FALSE))))</f>
        <v/>
      </c>
      <c r="M2056" s="593" t="str">
        <f>IF(H:H=0,"",IF(ISERROR(VLOOKUP(H:H,produtos_escape2!$A$2:$D$2794,2,FALSE)),"Código não cadastrado",(VLOOKUP(H:H,produtos_escape2!$A$2:$D$2794,4,FALSE))))</f>
        <v/>
      </c>
      <c r="N2056" s="486"/>
      <c r="O2056" s="176"/>
      <c r="P2056" s="486"/>
      <c r="Q2056" s="247"/>
      <c r="R2056" s="246">
        <f t="shared" si="79"/>
        <v>0</v>
      </c>
      <c r="S2056" s="177"/>
      <c r="T2056" s="182"/>
      <c r="U2056" s="177"/>
      <c r="V2056" s="177"/>
      <c r="W2056" s="177"/>
      <c r="X2056" s="176"/>
      <c r="Y2056" s="177"/>
      <c r="Z2056" s="415"/>
      <c r="AA2056" s="488"/>
      <c r="AB2056" s="594"/>
      <c r="AC2056" s="595"/>
      <c r="AD2056" s="596" t="str">
        <f>IF(AND(AC2056&lt;&gt;"",S2056&lt;&gt;""),NETWORKDAYS(AC2056,S2056,#REF!),"")</f>
        <v/>
      </c>
      <c r="AE2056" s="596" t="str">
        <f ca="1">IF(AND(AD2056="",AC2056=""),"",IF(OR(AD2056&lt;&gt;"",O2056="*CANCELADO"),"",NETWORKDAYS(AC2056,TODAY(),#REF!)))</f>
        <v/>
      </c>
      <c r="AF2056" s="619"/>
    </row>
    <row r="2057" spans="1:32" ht="14.25" customHeight="1">
      <c r="A2057" s="176"/>
      <c r="B2057" s="176"/>
      <c r="C2057" s="177"/>
      <c r="D2057" s="176"/>
      <c r="E2057" s="176"/>
      <c r="F2057" s="259"/>
      <c r="G2057" s="176"/>
      <c r="H2057" s="178"/>
      <c r="I2057" s="592">
        <f t="shared" si="80"/>
        <v>0</v>
      </c>
      <c r="J2057" s="178"/>
      <c r="K2057" s="178"/>
      <c r="L2057" s="275" t="str">
        <f>IF(H:H=0,"",IF(ISERROR(VLOOKUP(H:H,produtos_escape2!$A$2:$B$2794,2,FALSE)),"Código não cadastrado",(VLOOKUP(H:H,produtos_escape2!$A$2:$B$2794,2,FALSE))))</f>
        <v/>
      </c>
      <c r="M2057" s="593" t="str">
        <f>IF(H:H=0,"",IF(ISERROR(VLOOKUP(H:H,produtos_escape2!$A$2:$D$2794,2,FALSE)),"Código não cadastrado",(VLOOKUP(H:H,produtos_escape2!$A$2:$D$2794,4,FALSE))))</f>
        <v/>
      </c>
      <c r="N2057" s="486"/>
      <c r="O2057" s="176"/>
      <c r="P2057" s="486"/>
      <c r="Q2057" s="247"/>
      <c r="R2057" s="246">
        <f t="shared" si="79"/>
        <v>0</v>
      </c>
      <c r="S2057" s="177"/>
      <c r="T2057" s="182"/>
      <c r="U2057" s="177"/>
      <c r="V2057" s="177"/>
      <c r="W2057" s="177"/>
      <c r="X2057" s="176"/>
      <c r="Y2057" s="177"/>
      <c r="Z2057" s="415"/>
      <c r="AA2057" s="488"/>
      <c r="AB2057" s="594"/>
      <c r="AC2057" s="595"/>
      <c r="AD2057" s="596" t="str">
        <f>IF(AND(AC2057&lt;&gt;"",S2057&lt;&gt;""),NETWORKDAYS(AC2057,S2057,#REF!),"")</f>
        <v/>
      </c>
      <c r="AE2057" s="596" t="str">
        <f ca="1">IF(AND(AD2057="",AC2057=""),"",IF(OR(AD2057&lt;&gt;"",O2057="*CANCELADO"),"",NETWORKDAYS(AC2057,TODAY(),#REF!)))</f>
        <v/>
      </c>
      <c r="AF2057" s="619"/>
    </row>
    <row r="2058" spans="1:32" ht="14.25" customHeight="1">
      <c r="A2058" s="176"/>
      <c r="B2058" s="176"/>
      <c r="C2058" s="177"/>
      <c r="D2058" s="176"/>
      <c r="E2058" s="176"/>
      <c r="F2058" s="259"/>
      <c r="G2058" s="176"/>
      <c r="H2058" s="178"/>
      <c r="I2058" s="592">
        <f t="shared" si="80"/>
        <v>0</v>
      </c>
      <c r="J2058" s="178"/>
      <c r="K2058" s="178"/>
      <c r="L2058" s="275" t="str">
        <f>IF(H:H=0,"",IF(ISERROR(VLOOKUP(H:H,produtos_escape2!$A$2:$B$2794,2,FALSE)),"Código não cadastrado",(VLOOKUP(H:H,produtos_escape2!$A$2:$B$2794,2,FALSE))))</f>
        <v/>
      </c>
      <c r="M2058" s="593" t="str">
        <f>IF(H:H=0,"",IF(ISERROR(VLOOKUP(H:H,produtos_escape2!$A$2:$D$2794,2,FALSE)),"Código não cadastrado",(VLOOKUP(H:H,produtos_escape2!$A$2:$D$2794,4,FALSE))))</f>
        <v/>
      </c>
      <c r="N2058" s="486"/>
      <c r="O2058" s="176"/>
      <c r="P2058" s="486"/>
      <c r="Q2058" s="247"/>
      <c r="R2058" s="246">
        <f t="shared" si="79"/>
        <v>0</v>
      </c>
      <c r="S2058" s="177"/>
      <c r="T2058" s="182"/>
      <c r="U2058" s="177"/>
      <c r="V2058" s="177"/>
      <c r="W2058" s="177"/>
      <c r="X2058" s="176"/>
      <c r="Y2058" s="177"/>
      <c r="Z2058" s="415"/>
      <c r="AA2058" s="488"/>
      <c r="AB2058" s="594"/>
      <c r="AC2058" s="595"/>
      <c r="AD2058" s="596" t="str">
        <f>IF(AND(AC2058&lt;&gt;"",S2058&lt;&gt;""),NETWORKDAYS(AC2058,S2058,#REF!),"")</f>
        <v/>
      </c>
      <c r="AE2058" s="596" t="str">
        <f ca="1">IF(AND(AD2058="",AC2058=""),"",IF(OR(AD2058&lt;&gt;"",O2058="*CANCELADO"),"",NETWORKDAYS(AC2058,TODAY(),#REF!)))</f>
        <v/>
      </c>
      <c r="AF2058" s="619"/>
    </row>
    <row r="2059" spans="1:32" ht="14.25" customHeight="1">
      <c r="A2059" s="176"/>
      <c r="B2059" s="176"/>
      <c r="C2059" s="177"/>
      <c r="D2059" s="176"/>
      <c r="E2059" s="176"/>
      <c r="F2059" s="259"/>
      <c r="G2059" s="176"/>
      <c r="H2059" s="178"/>
      <c r="I2059" s="592">
        <f t="shared" si="80"/>
        <v>0</v>
      </c>
      <c r="J2059" s="178"/>
      <c r="K2059" s="178"/>
      <c r="L2059" s="275" t="str">
        <f>IF(H:H=0,"",IF(ISERROR(VLOOKUP(H:H,produtos_escape2!$A$2:$B$2794,2,FALSE)),"Código não cadastrado",(VLOOKUP(H:H,produtos_escape2!$A$2:$B$2794,2,FALSE))))</f>
        <v/>
      </c>
      <c r="M2059" s="593" t="str">
        <f>IF(H:H=0,"",IF(ISERROR(VLOOKUP(H:H,produtos_escape2!$A$2:$D$2794,2,FALSE)),"Código não cadastrado",(VLOOKUP(H:H,produtos_escape2!$A$2:$D$2794,4,FALSE))))</f>
        <v/>
      </c>
      <c r="N2059" s="486"/>
      <c r="O2059" s="176"/>
      <c r="P2059" s="486"/>
      <c r="Q2059" s="247"/>
      <c r="R2059" s="246">
        <f t="shared" si="79"/>
        <v>0</v>
      </c>
      <c r="S2059" s="177"/>
      <c r="T2059" s="182"/>
      <c r="U2059" s="177"/>
      <c r="V2059" s="177"/>
      <c r="W2059" s="177"/>
      <c r="X2059" s="176"/>
      <c r="Y2059" s="177"/>
      <c r="Z2059" s="415"/>
      <c r="AA2059" s="488"/>
      <c r="AB2059" s="594"/>
      <c r="AC2059" s="595"/>
      <c r="AD2059" s="596" t="str">
        <f>IF(AND(AC2059&lt;&gt;"",S2059&lt;&gt;""),NETWORKDAYS(AC2059,S2059,#REF!),"")</f>
        <v/>
      </c>
      <c r="AE2059" s="596" t="str">
        <f ca="1">IF(AND(AD2059="",AC2059=""),"",IF(OR(AD2059&lt;&gt;"",O2059="*CANCELADO"),"",NETWORKDAYS(AC2059,TODAY(),#REF!)))</f>
        <v/>
      </c>
      <c r="AF2059" s="619"/>
    </row>
    <row r="2060" spans="1:32" ht="14.25" customHeight="1">
      <c r="A2060" s="176"/>
      <c r="B2060" s="176"/>
      <c r="C2060" s="177"/>
      <c r="D2060" s="176"/>
      <c r="E2060" s="176"/>
      <c r="F2060" s="259"/>
      <c r="G2060" s="176"/>
      <c r="H2060" s="178"/>
      <c r="I2060" s="592">
        <f t="shared" si="80"/>
        <v>0</v>
      </c>
      <c r="J2060" s="178"/>
      <c r="K2060" s="178"/>
      <c r="L2060" s="275" t="str">
        <f>IF(H:H=0,"",IF(ISERROR(VLOOKUP(H:H,produtos_escape2!$A$2:$B$2794,2,FALSE)),"Código não cadastrado",(VLOOKUP(H:H,produtos_escape2!$A$2:$B$2794,2,FALSE))))</f>
        <v/>
      </c>
      <c r="M2060" s="593" t="str">
        <f>IF(H:H=0,"",IF(ISERROR(VLOOKUP(H:H,produtos_escape2!$A$2:$D$2794,2,FALSE)),"Código não cadastrado",(VLOOKUP(H:H,produtos_escape2!$A$2:$D$2794,4,FALSE))))</f>
        <v/>
      </c>
      <c r="N2060" s="486"/>
      <c r="O2060" s="176"/>
      <c r="P2060" s="486"/>
      <c r="Q2060" s="247"/>
      <c r="R2060" s="246">
        <f t="shared" si="79"/>
        <v>0</v>
      </c>
      <c r="S2060" s="177"/>
      <c r="T2060" s="182"/>
      <c r="U2060" s="177"/>
      <c r="V2060" s="177"/>
      <c r="W2060" s="177"/>
      <c r="X2060" s="176"/>
      <c r="Y2060" s="177"/>
      <c r="Z2060" s="415"/>
      <c r="AA2060" s="488"/>
      <c r="AB2060" s="594"/>
      <c r="AC2060" s="595"/>
      <c r="AD2060" s="596" t="str">
        <f>IF(AND(AC2060&lt;&gt;"",S2060&lt;&gt;""),NETWORKDAYS(AC2060,S2060,#REF!),"")</f>
        <v/>
      </c>
      <c r="AE2060" s="596" t="str">
        <f ca="1">IF(AND(AD2060="",AC2060=""),"",IF(OR(AD2060&lt;&gt;"",O2060="*CANCELADO"),"",NETWORKDAYS(AC2060,TODAY(),#REF!)))</f>
        <v/>
      </c>
      <c r="AF2060" s="619"/>
    </row>
    <row r="2061" spans="1:32" ht="14.25" customHeight="1">
      <c r="A2061" s="176"/>
      <c r="B2061" s="176"/>
      <c r="C2061" s="177"/>
      <c r="D2061" s="176"/>
      <c r="E2061" s="176"/>
      <c r="F2061" s="259"/>
      <c r="G2061" s="176"/>
      <c r="H2061" s="178"/>
      <c r="I2061" s="592">
        <f t="shared" si="80"/>
        <v>0</v>
      </c>
      <c r="J2061" s="178"/>
      <c r="K2061" s="178"/>
      <c r="L2061" s="275" t="str">
        <f>IF(H:H=0,"",IF(ISERROR(VLOOKUP(H:H,produtos_escape2!$A$2:$B$2794,2,FALSE)),"Código não cadastrado",(VLOOKUP(H:H,produtos_escape2!$A$2:$B$2794,2,FALSE))))</f>
        <v/>
      </c>
      <c r="M2061" s="593" t="str">
        <f>IF(H:H=0,"",IF(ISERROR(VLOOKUP(H:H,produtos_escape2!$A$2:$D$2794,2,FALSE)),"Código não cadastrado",(VLOOKUP(H:H,produtos_escape2!$A$2:$D$2794,4,FALSE))))</f>
        <v/>
      </c>
      <c r="N2061" s="486"/>
      <c r="O2061" s="176"/>
      <c r="P2061" s="486"/>
      <c r="Q2061" s="247"/>
      <c r="R2061" s="246">
        <f t="shared" si="79"/>
        <v>0</v>
      </c>
      <c r="S2061" s="177"/>
      <c r="T2061" s="182"/>
      <c r="U2061" s="177"/>
      <c r="V2061" s="177"/>
      <c r="W2061" s="177"/>
      <c r="X2061" s="176"/>
      <c r="Y2061" s="177"/>
      <c r="Z2061" s="415"/>
      <c r="AA2061" s="488"/>
      <c r="AB2061" s="594"/>
      <c r="AC2061" s="595"/>
      <c r="AD2061" s="596" t="str">
        <f>IF(AND(AC2061&lt;&gt;"",S2061&lt;&gt;""),NETWORKDAYS(AC2061,S2061,#REF!),"")</f>
        <v/>
      </c>
      <c r="AE2061" s="596" t="str">
        <f ca="1">IF(AND(AD2061="",AC2061=""),"",IF(OR(AD2061&lt;&gt;"",O2061="*CANCELADO"),"",NETWORKDAYS(AC2061,TODAY(),#REF!)))</f>
        <v/>
      </c>
      <c r="AF2061" s="619"/>
    </row>
    <row r="2062" spans="1:32" ht="14.25" customHeight="1">
      <c r="A2062" s="176"/>
      <c r="B2062" s="176"/>
      <c r="C2062" s="177"/>
      <c r="D2062" s="176"/>
      <c r="E2062" s="176"/>
      <c r="F2062" s="259"/>
      <c r="G2062" s="176"/>
      <c r="H2062" s="178"/>
      <c r="I2062" s="592">
        <f t="shared" si="80"/>
        <v>0</v>
      </c>
      <c r="J2062" s="178"/>
      <c r="K2062" s="178"/>
      <c r="L2062" s="275" t="str">
        <f>IF(H:H=0,"",IF(ISERROR(VLOOKUP(H:H,produtos_escape2!$A$2:$B$2794,2,FALSE)),"Código não cadastrado",(VLOOKUP(H:H,produtos_escape2!$A$2:$B$2794,2,FALSE))))</f>
        <v/>
      </c>
      <c r="M2062" s="593" t="str">
        <f>IF(H:H=0,"",IF(ISERROR(VLOOKUP(H:H,produtos_escape2!$A$2:$D$2794,2,FALSE)),"Código não cadastrado",(VLOOKUP(H:H,produtos_escape2!$A$2:$D$2794,4,FALSE))))</f>
        <v/>
      </c>
      <c r="N2062" s="486"/>
      <c r="O2062" s="176"/>
      <c r="P2062" s="486"/>
      <c r="Q2062" s="247"/>
      <c r="R2062" s="246">
        <f t="shared" si="79"/>
        <v>0</v>
      </c>
      <c r="S2062" s="177"/>
      <c r="T2062" s="182"/>
      <c r="U2062" s="177"/>
      <c r="V2062" s="177"/>
      <c r="W2062" s="177"/>
      <c r="X2062" s="176"/>
      <c r="Y2062" s="177"/>
      <c r="Z2062" s="415"/>
      <c r="AA2062" s="488"/>
      <c r="AB2062" s="594"/>
      <c r="AC2062" s="595"/>
      <c r="AD2062" s="596" t="str">
        <f>IF(AND(AC2062&lt;&gt;"",S2062&lt;&gt;""),NETWORKDAYS(AC2062,S2062,#REF!),"")</f>
        <v/>
      </c>
      <c r="AE2062" s="596" t="str">
        <f ca="1">IF(AND(AD2062="",AC2062=""),"",IF(OR(AD2062&lt;&gt;"",O2062="*CANCELADO"),"",NETWORKDAYS(AC2062,TODAY(),#REF!)))</f>
        <v/>
      </c>
      <c r="AF2062" s="619"/>
    </row>
    <row r="2063" spans="1:32" ht="14.25" customHeight="1">
      <c r="A2063" s="176"/>
      <c r="B2063" s="176"/>
      <c r="C2063" s="177"/>
      <c r="D2063" s="176"/>
      <c r="E2063" s="176"/>
      <c r="F2063" s="259"/>
      <c r="G2063" s="176"/>
      <c r="H2063" s="178"/>
      <c r="I2063" s="592">
        <f t="shared" si="80"/>
        <v>0</v>
      </c>
      <c r="J2063" s="178"/>
      <c r="K2063" s="178"/>
      <c r="L2063" s="275" t="str">
        <f>IF(H:H=0,"",IF(ISERROR(VLOOKUP(H:H,produtos_escape2!$A$2:$B$2794,2,FALSE)),"Código não cadastrado",(VLOOKUP(H:H,produtos_escape2!$A$2:$B$2794,2,FALSE))))</f>
        <v/>
      </c>
      <c r="M2063" s="593" t="str">
        <f>IF(H:H=0,"",IF(ISERROR(VLOOKUP(H:H,produtos_escape2!$A$2:$D$2794,2,FALSE)),"Código não cadastrado",(VLOOKUP(H:H,produtos_escape2!$A$2:$D$2794,4,FALSE))))</f>
        <v/>
      </c>
      <c r="N2063" s="486"/>
      <c r="O2063" s="176"/>
      <c r="P2063" s="486"/>
      <c r="Q2063" s="247"/>
      <c r="R2063" s="246">
        <f t="shared" si="79"/>
        <v>0</v>
      </c>
      <c r="S2063" s="177"/>
      <c r="T2063" s="182"/>
      <c r="U2063" s="177"/>
      <c r="V2063" s="177"/>
      <c r="W2063" s="177"/>
      <c r="X2063" s="176"/>
      <c r="Y2063" s="177"/>
      <c r="Z2063" s="415"/>
      <c r="AA2063" s="488"/>
      <c r="AB2063" s="594"/>
      <c r="AC2063" s="595"/>
      <c r="AD2063" s="596" t="str">
        <f>IF(AND(AC2063&lt;&gt;"",S2063&lt;&gt;""),NETWORKDAYS(AC2063,S2063,#REF!),"")</f>
        <v/>
      </c>
      <c r="AE2063" s="596" t="str">
        <f ca="1">IF(AND(AD2063="",AC2063=""),"",IF(OR(AD2063&lt;&gt;"",O2063="*CANCELADO"),"",NETWORKDAYS(AC2063,TODAY(),#REF!)))</f>
        <v/>
      </c>
      <c r="AF2063" s="619"/>
    </row>
    <row r="2064" spans="1:32" ht="14.25" customHeight="1">
      <c r="A2064" s="176"/>
      <c r="B2064" s="176"/>
      <c r="C2064" s="177"/>
      <c r="D2064" s="176"/>
      <c r="E2064" s="176"/>
      <c r="F2064" s="259"/>
      <c r="G2064" s="176"/>
      <c r="H2064" s="178"/>
      <c r="I2064" s="592">
        <f t="shared" si="80"/>
        <v>0</v>
      </c>
      <c r="J2064" s="178"/>
      <c r="K2064" s="178"/>
      <c r="L2064" s="275" t="str">
        <f>IF(H:H=0,"",IF(ISERROR(VLOOKUP(H:H,produtos_escape2!$A$2:$B$2794,2,FALSE)),"Código não cadastrado",(VLOOKUP(H:H,produtos_escape2!$A$2:$B$2794,2,FALSE))))</f>
        <v/>
      </c>
      <c r="M2064" s="593" t="str">
        <f>IF(H:H=0,"",IF(ISERROR(VLOOKUP(H:H,produtos_escape2!$A$2:$D$2794,2,FALSE)),"Código não cadastrado",(VLOOKUP(H:H,produtos_escape2!$A$2:$D$2794,4,FALSE))))</f>
        <v/>
      </c>
      <c r="N2064" s="486"/>
      <c r="O2064" s="176"/>
      <c r="P2064" s="486"/>
      <c r="Q2064" s="247"/>
      <c r="R2064" s="246">
        <f t="shared" si="79"/>
        <v>0</v>
      </c>
      <c r="S2064" s="177"/>
      <c r="T2064" s="182"/>
      <c r="U2064" s="177"/>
      <c r="V2064" s="177"/>
      <c r="W2064" s="177"/>
      <c r="X2064" s="176"/>
      <c r="Y2064" s="177"/>
      <c r="Z2064" s="415"/>
      <c r="AA2064" s="488"/>
      <c r="AB2064" s="594"/>
      <c r="AC2064" s="595"/>
      <c r="AD2064" s="596" t="str">
        <f>IF(AND(AC2064&lt;&gt;"",S2064&lt;&gt;""),NETWORKDAYS(AC2064,S2064,#REF!),"")</f>
        <v/>
      </c>
      <c r="AE2064" s="596" t="str">
        <f ca="1">IF(AND(AD2064="",AC2064=""),"",IF(OR(AD2064&lt;&gt;"",O2064="*CANCELADO"),"",NETWORKDAYS(AC2064,TODAY(),#REF!)))</f>
        <v/>
      </c>
      <c r="AF2064" s="619"/>
    </row>
    <row r="2065" spans="1:32" ht="14.25" customHeight="1">
      <c r="A2065" s="176"/>
      <c r="B2065" s="176"/>
      <c r="C2065" s="177"/>
      <c r="D2065" s="176"/>
      <c r="E2065" s="176"/>
      <c r="F2065" s="259"/>
      <c r="G2065" s="176"/>
      <c r="H2065" s="178"/>
      <c r="I2065" s="592">
        <f t="shared" si="80"/>
        <v>0</v>
      </c>
      <c r="J2065" s="178"/>
      <c r="K2065" s="178"/>
      <c r="L2065" s="275" t="str">
        <f>IF(H:H=0,"",IF(ISERROR(VLOOKUP(H:H,produtos_escape2!$A$2:$B$2794,2,FALSE)),"Código não cadastrado",(VLOOKUP(H:H,produtos_escape2!$A$2:$B$2794,2,FALSE))))</f>
        <v/>
      </c>
      <c r="M2065" s="593" t="str">
        <f>IF(H:H=0,"",IF(ISERROR(VLOOKUP(H:H,produtos_escape2!$A$2:$D$2794,2,FALSE)),"Código não cadastrado",(VLOOKUP(H:H,produtos_escape2!$A$2:$D$2794,4,FALSE))))</f>
        <v/>
      </c>
      <c r="N2065" s="486"/>
      <c r="O2065" s="176"/>
      <c r="P2065" s="486"/>
      <c r="Q2065" s="247"/>
      <c r="R2065" s="246">
        <f t="shared" si="79"/>
        <v>0</v>
      </c>
      <c r="S2065" s="177"/>
      <c r="T2065" s="182"/>
      <c r="U2065" s="177"/>
      <c r="V2065" s="177"/>
      <c r="W2065" s="177"/>
      <c r="X2065" s="176"/>
      <c r="Y2065" s="177"/>
      <c r="Z2065" s="415"/>
      <c r="AA2065" s="488"/>
      <c r="AB2065" s="594"/>
      <c r="AC2065" s="595"/>
      <c r="AD2065" s="596" t="str">
        <f>IF(AND(AC2065&lt;&gt;"",S2065&lt;&gt;""),NETWORKDAYS(AC2065,S2065,#REF!),"")</f>
        <v/>
      </c>
      <c r="AE2065" s="596" t="str">
        <f ca="1">IF(AND(AD2065="",AC2065=""),"",IF(OR(AD2065&lt;&gt;"",O2065="*CANCELADO"),"",NETWORKDAYS(AC2065,TODAY(),#REF!)))</f>
        <v/>
      </c>
      <c r="AF2065" s="619"/>
    </row>
    <row r="2066" spans="1:32" ht="14.25" customHeight="1">
      <c r="A2066" s="176"/>
      <c r="B2066" s="176"/>
      <c r="C2066" s="177"/>
      <c r="D2066" s="176"/>
      <c r="E2066" s="176"/>
      <c r="F2066" s="259"/>
      <c r="G2066" s="176"/>
      <c r="H2066" s="178"/>
      <c r="I2066" s="592">
        <f t="shared" si="80"/>
        <v>0</v>
      </c>
      <c r="J2066" s="178"/>
      <c r="K2066" s="178"/>
      <c r="L2066" s="275" t="str">
        <f>IF(H:H=0,"",IF(ISERROR(VLOOKUP(H:H,produtos_escape2!$A$2:$B$2794,2,FALSE)),"Código não cadastrado",(VLOOKUP(H:H,produtos_escape2!$A$2:$B$2794,2,FALSE))))</f>
        <v/>
      </c>
      <c r="M2066" s="593" t="str">
        <f>IF(H:H=0,"",IF(ISERROR(VLOOKUP(H:H,produtos_escape2!$A$2:$D$2794,2,FALSE)),"Código não cadastrado",(VLOOKUP(H:H,produtos_escape2!$A$2:$D$2794,4,FALSE))))</f>
        <v/>
      </c>
      <c r="N2066" s="486"/>
      <c r="O2066" s="176"/>
      <c r="P2066" s="486"/>
      <c r="Q2066" s="247"/>
      <c r="R2066" s="246">
        <f t="shared" si="79"/>
        <v>0</v>
      </c>
      <c r="S2066" s="177"/>
      <c r="T2066" s="182"/>
      <c r="U2066" s="177"/>
      <c r="V2066" s="177"/>
      <c r="W2066" s="177"/>
      <c r="X2066" s="176"/>
      <c r="Y2066" s="177"/>
      <c r="Z2066" s="415"/>
      <c r="AA2066" s="488"/>
      <c r="AB2066" s="594"/>
      <c r="AC2066" s="595"/>
      <c r="AD2066" s="596" t="str">
        <f>IF(AND(AC2066&lt;&gt;"",S2066&lt;&gt;""),NETWORKDAYS(AC2066,S2066,#REF!),"")</f>
        <v/>
      </c>
      <c r="AE2066" s="596" t="str">
        <f ca="1">IF(AND(AD2066="",AC2066=""),"",IF(OR(AD2066&lt;&gt;"",O2066="*CANCELADO"),"",NETWORKDAYS(AC2066,TODAY(),#REF!)))</f>
        <v/>
      </c>
      <c r="AF2066" s="619"/>
    </row>
    <row r="2067" spans="1:32" ht="14.25" customHeight="1">
      <c r="A2067" s="176"/>
      <c r="B2067" s="176"/>
      <c r="C2067" s="177"/>
      <c r="D2067" s="176"/>
      <c r="E2067" s="176"/>
      <c r="F2067" s="259"/>
      <c r="G2067" s="176"/>
      <c r="H2067" s="178"/>
      <c r="I2067" s="592">
        <f t="shared" si="80"/>
        <v>0</v>
      </c>
      <c r="J2067" s="178"/>
      <c r="K2067" s="178"/>
      <c r="L2067" s="275" t="str">
        <f>IF(H:H=0,"",IF(ISERROR(VLOOKUP(H:H,produtos_escape2!$A$2:$B$2794,2,FALSE)),"Código não cadastrado",(VLOOKUP(H:H,produtos_escape2!$A$2:$B$2794,2,FALSE))))</f>
        <v/>
      </c>
      <c r="M2067" s="593" t="str">
        <f>IF(H:H=0,"",IF(ISERROR(VLOOKUP(H:H,produtos_escape2!$A$2:$D$2794,2,FALSE)),"Código não cadastrado",(VLOOKUP(H:H,produtos_escape2!$A$2:$D$2794,4,FALSE))))</f>
        <v/>
      </c>
      <c r="N2067" s="486"/>
      <c r="O2067" s="176"/>
      <c r="P2067" s="486"/>
      <c r="Q2067" s="247"/>
      <c r="R2067" s="246">
        <f t="shared" si="79"/>
        <v>0</v>
      </c>
      <c r="S2067" s="177"/>
      <c r="T2067" s="182"/>
      <c r="U2067" s="177"/>
      <c r="V2067" s="177"/>
      <c r="W2067" s="177"/>
      <c r="X2067" s="176"/>
      <c r="Y2067" s="177"/>
      <c r="Z2067" s="415"/>
      <c r="AA2067" s="488"/>
      <c r="AB2067" s="594"/>
      <c r="AC2067" s="595"/>
      <c r="AD2067" s="596" t="str">
        <f>IF(AND(AC2067&lt;&gt;"",S2067&lt;&gt;""),NETWORKDAYS(AC2067,S2067,#REF!),"")</f>
        <v/>
      </c>
      <c r="AE2067" s="596" t="str">
        <f ca="1">IF(AND(AD2067="",AC2067=""),"",IF(OR(AD2067&lt;&gt;"",O2067="*CANCELADO"),"",NETWORKDAYS(AC2067,TODAY(),#REF!)))</f>
        <v/>
      </c>
      <c r="AF2067" s="619"/>
    </row>
    <row r="2068" spans="1:32" ht="14.25" customHeight="1">
      <c r="A2068" s="176"/>
      <c r="B2068" s="176"/>
      <c r="C2068" s="177"/>
      <c r="D2068" s="176"/>
      <c r="E2068" s="176"/>
      <c r="F2068" s="259"/>
      <c r="G2068" s="176"/>
      <c r="H2068" s="178"/>
      <c r="I2068" s="592">
        <f t="shared" si="80"/>
        <v>0</v>
      </c>
      <c r="J2068" s="178"/>
      <c r="K2068" s="178"/>
      <c r="L2068" s="275" t="str">
        <f>IF(H:H=0,"",IF(ISERROR(VLOOKUP(H:H,produtos_escape2!$A$2:$B$2794,2,FALSE)),"Código não cadastrado",(VLOOKUP(H:H,produtos_escape2!$A$2:$B$2794,2,FALSE))))</f>
        <v/>
      </c>
      <c r="M2068" s="593" t="str">
        <f>IF(H:H=0,"",IF(ISERROR(VLOOKUP(H:H,produtos_escape2!$A$2:$D$2794,2,FALSE)),"Código não cadastrado",(VLOOKUP(H:H,produtos_escape2!$A$2:$D$2794,4,FALSE))))</f>
        <v/>
      </c>
      <c r="N2068" s="486"/>
      <c r="O2068" s="176"/>
      <c r="P2068" s="486"/>
      <c r="Q2068" s="247"/>
      <c r="R2068" s="246">
        <f t="shared" si="79"/>
        <v>0</v>
      </c>
      <c r="S2068" s="177"/>
      <c r="T2068" s="182"/>
      <c r="U2068" s="177"/>
      <c r="V2068" s="177"/>
      <c r="W2068" s="177"/>
      <c r="X2068" s="176"/>
      <c r="Y2068" s="177"/>
      <c r="Z2068" s="415"/>
      <c r="AA2068" s="488"/>
      <c r="AB2068" s="594"/>
      <c r="AC2068" s="595"/>
      <c r="AD2068" s="596" t="str">
        <f>IF(AND(AC2068&lt;&gt;"",S2068&lt;&gt;""),NETWORKDAYS(AC2068,S2068,#REF!),"")</f>
        <v/>
      </c>
      <c r="AE2068" s="596" t="str">
        <f ca="1">IF(AND(AD2068="",AC2068=""),"",IF(OR(AD2068&lt;&gt;"",O2068="*CANCELADO"),"",NETWORKDAYS(AC2068,TODAY(),#REF!)))</f>
        <v/>
      </c>
      <c r="AF2068" s="619"/>
    </row>
    <row r="2069" spans="1:32" ht="14.25" customHeight="1">
      <c r="A2069" s="176"/>
      <c r="B2069" s="176"/>
      <c r="C2069" s="177"/>
      <c r="D2069" s="176"/>
      <c r="E2069" s="176"/>
      <c r="F2069" s="259"/>
      <c r="G2069" s="176"/>
      <c r="H2069" s="178"/>
      <c r="I2069" s="592">
        <f t="shared" si="80"/>
        <v>0</v>
      </c>
      <c r="J2069" s="178"/>
      <c r="K2069" s="178"/>
      <c r="L2069" s="275" t="str">
        <f>IF(H:H=0,"",IF(ISERROR(VLOOKUP(H:H,produtos_escape2!$A$2:$B$2794,2,FALSE)),"Código não cadastrado",(VLOOKUP(H:H,produtos_escape2!$A$2:$B$2794,2,FALSE))))</f>
        <v/>
      </c>
      <c r="M2069" s="593" t="str">
        <f>IF(H:H=0,"",IF(ISERROR(VLOOKUP(H:H,produtos_escape2!$A$2:$D$2794,2,FALSE)),"Código não cadastrado",(VLOOKUP(H:H,produtos_escape2!$A$2:$D$2794,4,FALSE))))</f>
        <v/>
      </c>
      <c r="N2069" s="486"/>
      <c r="O2069" s="176"/>
      <c r="P2069" s="486"/>
      <c r="Q2069" s="247"/>
      <c r="R2069" s="246">
        <f t="shared" si="79"/>
        <v>0</v>
      </c>
      <c r="S2069" s="177"/>
      <c r="T2069" s="182"/>
      <c r="U2069" s="177"/>
      <c r="V2069" s="177"/>
      <c r="W2069" s="177"/>
      <c r="X2069" s="176"/>
      <c r="Y2069" s="177"/>
      <c r="Z2069" s="415"/>
      <c r="AA2069" s="488"/>
      <c r="AB2069" s="594"/>
      <c r="AC2069" s="595"/>
      <c r="AD2069" s="596" t="str">
        <f>IF(AND(AC2069&lt;&gt;"",S2069&lt;&gt;""),NETWORKDAYS(AC2069,S2069,#REF!),"")</f>
        <v/>
      </c>
      <c r="AE2069" s="596" t="str">
        <f ca="1">IF(AND(AD2069="",AC2069=""),"",IF(OR(AD2069&lt;&gt;"",O2069="*CANCELADO"),"",NETWORKDAYS(AC2069,TODAY(),#REF!)))</f>
        <v/>
      </c>
      <c r="AF2069" s="619"/>
    </row>
    <row r="2070" spans="1:32" ht="14.25" customHeight="1">
      <c r="A2070" s="176"/>
      <c r="B2070" s="176"/>
      <c r="C2070" s="177"/>
      <c r="D2070" s="176"/>
      <c r="E2070" s="176"/>
      <c r="F2070" s="259"/>
      <c r="G2070" s="176"/>
      <c r="H2070" s="178"/>
      <c r="I2070" s="592">
        <f t="shared" si="80"/>
        <v>0</v>
      </c>
      <c r="J2070" s="178"/>
      <c r="K2070" s="178"/>
      <c r="L2070" s="275" t="str">
        <f>IF(H:H=0,"",IF(ISERROR(VLOOKUP(H:H,produtos_escape2!$A$2:$B$2794,2,FALSE)),"Código não cadastrado",(VLOOKUP(H:H,produtos_escape2!$A$2:$B$2794,2,FALSE))))</f>
        <v/>
      </c>
      <c r="M2070" s="593" t="str">
        <f>IF(H:H=0,"",IF(ISERROR(VLOOKUP(H:H,produtos_escape2!$A$2:$D$2794,2,FALSE)),"Código não cadastrado",(VLOOKUP(H:H,produtos_escape2!$A$2:$D$2794,4,FALSE))))</f>
        <v/>
      </c>
      <c r="N2070" s="486"/>
      <c r="O2070" s="176"/>
      <c r="P2070" s="486"/>
      <c r="Q2070" s="247"/>
      <c r="R2070" s="246">
        <f t="shared" si="79"/>
        <v>0</v>
      </c>
      <c r="S2070" s="177"/>
      <c r="T2070" s="182"/>
      <c r="U2070" s="177"/>
      <c r="V2070" s="177"/>
      <c r="W2070" s="177"/>
      <c r="X2070" s="176"/>
      <c r="Y2070" s="177"/>
      <c r="Z2070" s="415"/>
      <c r="AA2070" s="488"/>
      <c r="AB2070" s="594"/>
      <c r="AC2070" s="595"/>
      <c r="AD2070" s="596" t="str">
        <f>IF(AND(AC2070&lt;&gt;"",S2070&lt;&gt;""),NETWORKDAYS(AC2070,S2070,#REF!),"")</f>
        <v/>
      </c>
      <c r="AE2070" s="596" t="str">
        <f ca="1">IF(AND(AD2070="",AC2070=""),"",IF(OR(AD2070&lt;&gt;"",O2070="*CANCELADO"),"",NETWORKDAYS(AC2070,TODAY(),#REF!)))</f>
        <v/>
      </c>
      <c r="AF2070" s="619"/>
    </row>
    <row r="2071" spans="1:32" ht="14.25" customHeight="1">
      <c r="A2071" s="176"/>
      <c r="B2071" s="176"/>
      <c r="C2071" s="177"/>
      <c r="D2071" s="176"/>
      <c r="E2071" s="176"/>
      <c r="F2071" s="259"/>
      <c r="G2071" s="176"/>
      <c r="H2071" s="178"/>
      <c r="I2071" s="592">
        <f t="shared" si="80"/>
        <v>0</v>
      </c>
      <c r="J2071" s="178"/>
      <c r="K2071" s="178"/>
      <c r="L2071" s="275" t="str">
        <f>IF(H:H=0,"",IF(ISERROR(VLOOKUP(H:H,produtos_escape2!$A$2:$B$2794,2,FALSE)),"Código não cadastrado",(VLOOKUP(H:H,produtos_escape2!$A$2:$B$2794,2,FALSE))))</f>
        <v/>
      </c>
      <c r="M2071" s="593" t="str">
        <f>IF(H:H=0,"",IF(ISERROR(VLOOKUP(H:H,produtos_escape2!$A$2:$D$2794,2,FALSE)),"Código não cadastrado",(VLOOKUP(H:H,produtos_escape2!$A$2:$D$2794,4,FALSE))))</f>
        <v/>
      </c>
      <c r="N2071" s="486"/>
      <c r="O2071" s="176"/>
      <c r="P2071" s="486"/>
      <c r="Q2071" s="247"/>
      <c r="R2071" s="246">
        <f t="shared" si="79"/>
        <v>0</v>
      </c>
      <c r="S2071" s="177"/>
      <c r="T2071" s="182"/>
      <c r="U2071" s="177"/>
      <c r="V2071" s="177"/>
      <c r="W2071" s="177"/>
      <c r="X2071" s="176"/>
      <c r="Y2071" s="177"/>
      <c r="Z2071" s="415"/>
      <c r="AA2071" s="488"/>
      <c r="AB2071" s="594"/>
      <c r="AC2071" s="595"/>
      <c r="AD2071" s="596" t="str">
        <f>IF(AND(AC2071&lt;&gt;"",S2071&lt;&gt;""),NETWORKDAYS(AC2071,S2071,#REF!),"")</f>
        <v/>
      </c>
      <c r="AE2071" s="596" t="str">
        <f ca="1">IF(AND(AD2071="",AC2071=""),"",IF(OR(AD2071&lt;&gt;"",O2071="*CANCELADO"),"",NETWORKDAYS(AC2071,TODAY(),#REF!)))</f>
        <v/>
      </c>
      <c r="AF2071" s="619"/>
    </row>
    <row r="2072" spans="1:32" ht="14.25" customHeight="1">
      <c r="A2072" s="176"/>
      <c r="B2072" s="176"/>
      <c r="C2072" s="177"/>
      <c r="D2072" s="176"/>
      <c r="E2072" s="176"/>
      <c r="F2072" s="259"/>
      <c r="G2072" s="176"/>
      <c r="H2072" s="178"/>
      <c r="I2072" s="592">
        <f t="shared" si="80"/>
        <v>0</v>
      </c>
      <c r="J2072" s="178"/>
      <c r="K2072" s="178"/>
      <c r="L2072" s="275" t="str">
        <f>IF(H:H=0,"",IF(ISERROR(VLOOKUP(H:H,produtos_escape2!$A$2:$B$2794,2,FALSE)),"Código não cadastrado",(VLOOKUP(H:H,produtos_escape2!$A$2:$B$2794,2,FALSE))))</f>
        <v/>
      </c>
      <c r="M2072" s="593" t="str">
        <f>IF(H:H=0,"",IF(ISERROR(VLOOKUP(H:H,produtos_escape2!$A$2:$D$2794,2,FALSE)),"Código não cadastrado",(VLOOKUP(H:H,produtos_escape2!$A$2:$D$2794,4,FALSE))))</f>
        <v/>
      </c>
      <c r="N2072" s="486"/>
      <c r="O2072" s="176"/>
      <c r="P2072" s="486"/>
      <c r="Q2072" s="247"/>
      <c r="R2072" s="246">
        <f t="shared" si="79"/>
        <v>0</v>
      </c>
      <c r="S2072" s="177"/>
      <c r="T2072" s="182"/>
      <c r="U2072" s="177"/>
      <c r="V2072" s="177"/>
      <c r="W2072" s="177"/>
      <c r="X2072" s="176"/>
      <c r="Y2072" s="177"/>
      <c r="Z2072" s="415"/>
      <c r="AA2072" s="488"/>
      <c r="AB2072" s="594"/>
      <c r="AC2072" s="595"/>
      <c r="AD2072" s="596" t="str">
        <f>IF(AND(AC2072&lt;&gt;"",S2072&lt;&gt;""),NETWORKDAYS(AC2072,S2072,#REF!),"")</f>
        <v/>
      </c>
      <c r="AE2072" s="596" t="str">
        <f ca="1">IF(AND(AD2072="",AC2072=""),"",IF(OR(AD2072&lt;&gt;"",O2072="*CANCELADO"),"",NETWORKDAYS(AC2072,TODAY(),#REF!)))</f>
        <v/>
      </c>
      <c r="AF2072" s="619"/>
    </row>
    <row r="2073" spans="1:32" ht="14.25" customHeight="1">
      <c r="A2073" s="176"/>
      <c r="B2073" s="176"/>
      <c r="C2073" s="177"/>
      <c r="D2073" s="176"/>
      <c r="E2073" s="176"/>
      <c r="F2073" s="259"/>
      <c r="G2073" s="176"/>
      <c r="H2073" s="178"/>
      <c r="I2073" s="592">
        <f t="shared" si="80"/>
        <v>0</v>
      </c>
      <c r="J2073" s="178"/>
      <c r="K2073" s="178"/>
      <c r="L2073" s="275" t="str">
        <f>IF(H:H=0,"",IF(ISERROR(VLOOKUP(H:H,produtos_escape2!$A$2:$B$2794,2,FALSE)),"Código não cadastrado",(VLOOKUP(H:H,produtos_escape2!$A$2:$B$2794,2,FALSE))))</f>
        <v/>
      </c>
      <c r="M2073" s="593" t="str">
        <f>IF(H:H=0,"",IF(ISERROR(VLOOKUP(H:H,produtos_escape2!$A$2:$D$2794,2,FALSE)),"Código não cadastrado",(VLOOKUP(H:H,produtos_escape2!$A$2:$D$2794,4,FALSE))))</f>
        <v/>
      </c>
      <c r="N2073" s="486"/>
      <c r="O2073" s="176"/>
      <c r="P2073" s="486"/>
      <c r="Q2073" s="247"/>
      <c r="R2073" s="246">
        <f t="shared" si="79"/>
        <v>0</v>
      </c>
      <c r="S2073" s="177"/>
      <c r="T2073" s="182"/>
      <c r="U2073" s="177"/>
      <c r="V2073" s="177"/>
      <c r="W2073" s="177"/>
      <c r="X2073" s="176"/>
      <c r="Y2073" s="177"/>
      <c r="Z2073" s="415"/>
      <c r="AA2073" s="488"/>
      <c r="AB2073" s="594"/>
      <c r="AC2073" s="595"/>
      <c r="AD2073" s="596" t="str">
        <f>IF(AND(AC2073&lt;&gt;"",S2073&lt;&gt;""),NETWORKDAYS(AC2073,S2073,#REF!),"")</f>
        <v/>
      </c>
      <c r="AE2073" s="596" t="str">
        <f ca="1">IF(AND(AD2073="",AC2073=""),"",IF(OR(AD2073&lt;&gt;"",O2073="*CANCELADO"),"",NETWORKDAYS(AC2073,TODAY(),#REF!)))</f>
        <v/>
      </c>
      <c r="AF2073" s="619"/>
    </row>
    <row r="2074" spans="1:32" ht="14.25" customHeight="1">
      <c r="A2074" s="176"/>
      <c r="B2074" s="176"/>
      <c r="C2074" s="177"/>
      <c r="D2074" s="176"/>
      <c r="E2074" s="176"/>
      <c r="F2074" s="259"/>
      <c r="G2074" s="176"/>
      <c r="H2074" s="178"/>
      <c r="I2074" s="592">
        <f t="shared" si="80"/>
        <v>0</v>
      </c>
      <c r="J2074" s="178"/>
      <c r="K2074" s="178"/>
      <c r="L2074" s="275" t="str">
        <f>IF(H:H=0,"",IF(ISERROR(VLOOKUP(H:H,produtos_escape2!$A$2:$B$2794,2,FALSE)),"Código não cadastrado",(VLOOKUP(H:H,produtos_escape2!$A$2:$B$2794,2,FALSE))))</f>
        <v/>
      </c>
      <c r="M2074" s="593" t="str">
        <f>IF(H:H=0,"",IF(ISERROR(VLOOKUP(H:H,produtos_escape2!$A$2:$D$2794,2,FALSE)),"Código não cadastrado",(VLOOKUP(H:H,produtos_escape2!$A$2:$D$2794,4,FALSE))))</f>
        <v/>
      </c>
      <c r="N2074" s="486"/>
      <c r="O2074" s="176"/>
      <c r="P2074" s="486"/>
      <c r="Q2074" s="247"/>
      <c r="R2074" s="246">
        <f t="shared" si="79"/>
        <v>0</v>
      </c>
      <c r="S2074" s="177"/>
      <c r="T2074" s="182"/>
      <c r="U2074" s="177"/>
      <c r="V2074" s="177"/>
      <c r="W2074" s="177"/>
      <c r="X2074" s="176"/>
      <c r="Y2074" s="177"/>
      <c r="Z2074" s="415"/>
      <c r="AA2074" s="488"/>
      <c r="AB2074" s="594"/>
      <c r="AC2074" s="595"/>
      <c r="AD2074" s="596" t="str">
        <f>IF(AND(AC2074&lt;&gt;"",S2074&lt;&gt;""),NETWORKDAYS(AC2074,S2074,#REF!),"")</f>
        <v/>
      </c>
      <c r="AE2074" s="596" t="str">
        <f ca="1">IF(AND(AD2074="",AC2074=""),"",IF(OR(AD2074&lt;&gt;"",O2074="*CANCELADO"),"",NETWORKDAYS(AC2074,TODAY(),#REF!)))</f>
        <v/>
      </c>
      <c r="AF2074" s="619"/>
    </row>
    <row r="2075" spans="1:32" ht="14.25" customHeight="1">
      <c r="A2075" s="176"/>
      <c r="B2075" s="176"/>
      <c r="C2075" s="177"/>
      <c r="D2075" s="176"/>
      <c r="E2075" s="176"/>
      <c r="F2075" s="259"/>
      <c r="G2075" s="176"/>
      <c r="H2075" s="178"/>
      <c r="I2075" s="592">
        <f t="shared" si="80"/>
        <v>0</v>
      </c>
      <c r="J2075" s="178"/>
      <c r="K2075" s="178"/>
      <c r="L2075" s="275" t="str">
        <f>IF(H:H=0,"",IF(ISERROR(VLOOKUP(H:H,produtos_escape2!$A$2:$B$2794,2,FALSE)),"Código não cadastrado",(VLOOKUP(H:H,produtos_escape2!$A$2:$B$2794,2,FALSE))))</f>
        <v/>
      </c>
      <c r="M2075" s="593" t="str">
        <f>IF(H:H=0,"",IF(ISERROR(VLOOKUP(H:H,produtos_escape2!$A$2:$D$2794,2,FALSE)),"Código não cadastrado",(VLOOKUP(H:H,produtos_escape2!$A$2:$D$2794,4,FALSE))))</f>
        <v/>
      </c>
      <c r="N2075" s="486"/>
      <c r="O2075" s="176"/>
      <c r="P2075" s="486"/>
      <c r="Q2075" s="247"/>
      <c r="R2075" s="246">
        <f t="shared" si="79"/>
        <v>0</v>
      </c>
      <c r="S2075" s="177"/>
      <c r="T2075" s="182"/>
      <c r="U2075" s="177"/>
      <c r="V2075" s="177"/>
      <c r="W2075" s="177"/>
      <c r="X2075" s="176"/>
      <c r="Y2075" s="177"/>
      <c r="Z2075" s="415"/>
      <c r="AA2075" s="488"/>
      <c r="AB2075" s="594"/>
      <c r="AC2075" s="595"/>
      <c r="AD2075" s="596" t="str">
        <f>IF(AND(AC2075&lt;&gt;"",S2075&lt;&gt;""),NETWORKDAYS(AC2075,S2075,#REF!),"")</f>
        <v/>
      </c>
      <c r="AE2075" s="596" t="str">
        <f ca="1">IF(AND(AD2075="",AC2075=""),"",IF(OR(AD2075&lt;&gt;"",O2075="*CANCELADO"),"",NETWORKDAYS(AC2075,TODAY(),#REF!)))</f>
        <v/>
      </c>
      <c r="AF2075" s="619"/>
    </row>
    <row r="2076" spans="1:32" ht="14.25" customHeight="1">
      <c r="A2076" s="176"/>
      <c r="B2076" s="176"/>
      <c r="C2076" s="177"/>
      <c r="D2076" s="176"/>
      <c r="E2076" s="176"/>
      <c r="F2076" s="259"/>
      <c r="G2076" s="176"/>
      <c r="H2076" s="178"/>
      <c r="I2076" s="592">
        <f t="shared" si="80"/>
        <v>0</v>
      </c>
      <c r="J2076" s="178"/>
      <c r="K2076" s="178"/>
      <c r="L2076" s="275" t="str">
        <f>IF(H:H=0,"",IF(ISERROR(VLOOKUP(H:H,produtos_escape2!$A$2:$B$2794,2,FALSE)),"Código não cadastrado",(VLOOKUP(H:H,produtos_escape2!$A$2:$B$2794,2,FALSE))))</f>
        <v/>
      </c>
      <c r="M2076" s="593" t="str">
        <f>IF(H:H=0,"",IF(ISERROR(VLOOKUP(H:H,produtos_escape2!$A$2:$D$2794,2,FALSE)),"Código não cadastrado",(VLOOKUP(H:H,produtos_escape2!$A$2:$D$2794,4,FALSE))))</f>
        <v/>
      </c>
      <c r="N2076" s="486"/>
      <c r="O2076" s="176"/>
      <c r="P2076" s="486"/>
      <c r="Q2076" s="247"/>
      <c r="R2076" s="246">
        <f t="shared" si="79"/>
        <v>0</v>
      </c>
      <c r="S2076" s="177"/>
      <c r="T2076" s="182"/>
      <c r="U2076" s="177"/>
      <c r="V2076" s="177"/>
      <c r="W2076" s="177"/>
      <c r="X2076" s="176"/>
      <c r="Y2076" s="177"/>
      <c r="Z2076" s="415"/>
      <c r="AA2076" s="488"/>
      <c r="AB2076" s="594"/>
      <c r="AC2076" s="595"/>
      <c r="AD2076" s="596" t="str">
        <f>IF(AND(AC2076&lt;&gt;"",S2076&lt;&gt;""),NETWORKDAYS(AC2076,S2076,#REF!),"")</f>
        <v/>
      </c>
      <c r="AE2076" s="596" t="str">
        <f ca="1">IF(AND(AD2076="",AC2076=""),"",IF(OR(AD2076&lt;&gt;"",O2076="*CANCELADO"),"",NETWORKDAYS(AC2076,TODAY(),#REF!)))</f>
        <v/>
      </c>
      <c r="AF2076" s="619"/>
    </row>
    <row r="2077" spans="1:32" ht="14.25" customHeight="1">
      <c r="A2077" s="176"/>
      <c r="B2077" s="176"/>
      <c r="C2077" s="177"/>
      <c r="D2077" s="176"/>
      <c r="E2077" s="176"/>
      <c r="F2077" s="259"/>
      <c r="G2077" s="176"/>
      <c r="H2077" s="178"/>
      <c r="I2077" s="592">
        <f t="shared" si="80"/>
        <v>0</v>
      </c>
      <c r="J2077" s="178"/>
      <c r="K2077" s="178"/>
      <c r="L2077" s="275" t="str">
        <f>IF(H:H=0,"",IF(ISERROR(VLOOKUP(H:H,produtos_escape2!$A$2:$B$2794,2,FALSE)),"Código não cadastrado",(VLOOKUP(H:H,produtos_escape2!$A$2:$B$2794,2,FALSE))))</f>
        <v/>
      </c>
      <c r="M2077" s="593" t="str">
        <f>IF(H:H=0,"",IF(ISERROR(VLOOKUP(H:H,produtos_escape2!$A$2:$D$2794,2,FALSE)),"Código não cadastrado",(VLOOKUP(H:H,produtos_escape2!$A$2:$D$2794,4,FALSE))))</f>
        <v/>
      </c>
      <c r="N2077" s="486"/>
      <c r="O2077" s="176"/>
      <c r="P2077" s="486"/>
      <c r="Q2077" s="247"/>
      <c r="R2077" s="246">
        <f t="shared" si="79"/>
        <v>0</v>
      </c>
      <c r="S2077" s="177"/>
      <c r="T2077" s="182"/>
      <c r="U2077" s="177"/>
      <c r="V2077" s="177"/>
      <c r="W2077" s="177"/>
      <c r="X2077" s="176"/>
      <c r="Y2077" s="177"/>
      <c r="Z2077" s="415"/>
      <c r="AA2077" s="488"/>
      <c r="AB2077" s="594"/>
      <c r="AC2077" s="595"/>
      <c r="AD2077" s="596" t="str">
        <f>IF(AND(AC2077&lt;&gt;"",S2077&lt;&gt;""),NETWORKDAYS(AC2077,S2077,#REF!),"")</f>
        <v/>
      </c>
      <c r="AE2077" s="596" t="str">
        <f ca="1">IF(AND(AD2077="",AC2077=""),"",IF(OR(AD2077&lt;&gt;"",O2077="*CANCELADO"),"",NETWORKDAYS(AC2077,TODAY(),#REF!)))</f>
        <v/>
      </c>
      <c r="AF2077" s="619"/>
    </row>
    <row r="2078" spans="1:32" ht="14.25" customHeight="1">
      <c r="A2078" s="176"/>
      <c r="B2078" s="176"/>
      <c r="C2078" s="177"/>
      <c r="D2078" s="176"/>
      <c r="E2078" s="176"/>
      <c r="F2078" s="259"/>
      <c r="G2078" s="176"/>
      <c r="H2078" s="178"/>
      <c r="I2078" s="592">
        <f t="shared" si="80"/>
        <v>0</v>
      </c>
      <c r="J2078" s="178"/>
      <c r="K2078" s="178"/>
      <c r="L2078" s="275" t="str">
        <f>IF(H:H=0,"",IF(ISERROR(VLOOKUP(H:H,produtos_escape2!$A$2:$B$2794,2,FALSE)),"Código não cadastrado",(VLOOKUP(H:H,produtos_escape2!$A$2:$B$2794,2,FALSE))))</f>
        <v/>
      </c>
      <c r="M2078" s="593" t="str">
        <f>IF(H:H=0,"",IF(ISERROR(VLOOKUP(H:H,produtos_escape2!$A$2:$D$2794,2,FALSE)),"Código não cadastrado",(VLOOKUP(H:H,produtos_escape2!$A$2:$D$2794,4,FALSE))))</f>
        <v/>
      </c>
      <c r="N2078" s="486"/>
      <c r="O2078" s="176"/>
      <c r="P2078" s="486"/>
      <c r="Q2078" s="247"/>
      <c r="R2078" s="246">
        <f t="shared" si="79"/>
        <v>0</v>
      </c>
      <c r="S2078" s="177"/>
      <c r="T2078" s="182"/>
      <c r="U2078" s="177"/>
      <c r="V2078" s="177"/>
      <c r="W2078" s="177"/>
      <c r="X2078" s="176"/>
      <c r="Y2078" s="177"/>
      <c r="Z2078" s="415"/>
      <c r="AA2078" s="488"/>
      <c r="AB2078" s="594"/>
      <c r="AC2078" s="595"/>
      <c r="AD2078" s="596" t="str">
        <f>IF(AND(AC2078&lt;&gt;"",S2078&lt;&gt;""),NETWORKDAYS(AC2078,S2078,#REF!),"")</f>
        <v/>
      </c>
      <c r="AE2078" s="596" t="str">
        <f ca="1">IF(AND(AD2078="",AC2078=""),"",IF(OR(AD2078&lt;&gt;"",O2078="*CANCELADO"),"",NETWORKDAYS(AC2078,TODAY(),#REF!)))</f>
        <v/>
      </c>
      <c r="AF2078" s="619"/>
    </row>
    <row r="2079" spans="1:32" ht="14.25" customHeight="1">
      <c r="A2079" s="176"/>
      <c r="B2079" s="176"/>
      <c r="C2079" s="177"/>
      <c r="D2079" s="176"/>
      <c r="E2079" s="176"/>
      <c r="F2079" s="259"/>
      <c r="G2079" s="176"/>
      <c r="H2079" s="178"/>
      <c r="I2079" s="592">
        <f t="shared" si="80"/>
        <v>0</v>
      </c>
      <c r="J2079" s="178"/>
      <c r="K2079" s="178"/>
      <c r="L2079" s="275" t="str">
        <f>IF(H:H=0,"",IF(ISERROR(VLOOKUP(H:H,produtos_escape2!$A$2:$B$2794,2,FALSE)),"Código não cadastrado",(VLOOKUP(H:H,produtos_escape2!$A$2:$B$2794,2,FALSE))))</f>
        <v/>
      </c>
      <c r="M2079" s="593" t="str">
        <f>IF(H:H=0,"",IF(ISERROR(VLOOKUP(H:H,produtos_escape2!$A$2:$D$2794,2,FALSE)),"Código não cadastrado",(VLOOKUP(H:H,produtos_escape2!$A$2:$D$2794,4,FALSE))))</f>
        <v/>
      </c>
      <c r="N2079" s="486"/>
      <c r="O2079" s="176"/>
      <c r="P2079" s="486"/>
      <c r="Q2079" s="247"/>
      <c r="R2079" s="246">
        <f t="shared" si="79"/>
        <v>0</v>
      </c>
      <c r="S2079" s="177"/>
      <c r="T2079" s="182"/>
      <c r="U2079" s="177"/>
      <c r="V2079" s="177"/>
      <c r="W2079" s="177"/>
      <c r="X2079" s="176"/>
      <c r="Y2079" s="177"/>
      <c r="Z2079" s="415"/>
      <c r="AA2079" s="488"/>
      <c r="AB2079" s="594"/>
      <c r="AC2079" s="595"/>
      <c r="AD2079" s="596" t="str">
        <f>IF(AND(AC2079&lt;&gt;"",S2079&lt;&gt;""),NETWORKDAYS(AC2079,S2079,#REF!),"")</f>
        <v/>
      </c>
      <c r="AE2079" s="596" t="str">
        <f ca="1">IF(AND(AD2079="",AC2079=""),"",IF(OR(AD2079&lt;&gt;"",O2079="*CANCELADO"),"",NETWORKDAYS(AC2079,TODAY(),#REF!)))</f>
        <v/>
      </c>
      <c r="AF2079" s="619"/>
    </row>
    <row r="2080" spans="1:32" ht="14.25" customHeight="1">
      <c r="A2080" s="176"/>
      <c r="B2080" s="176"/>
      <c r="C2080" s="177"/>
      <c r="D2080" s="176"/>
      <c r="E2080" s="176"/>
      <c r="F2080" s="259"/>
      <c r="G2080" s="176"/>
      <c r="H2080" s="178"/>
      <c r="I2080" s="592">
        <f t="shared" si="80"/>
        <v>0</v>
      </c>
      <c r="J2080" s="178"/>
      <c r="K2080" s="178"/>
      <c r="L2080" s="275" t="str">
        <f>IF(H:H=0,"",IF(ISERROR(VLOOKUP(H:H,produtos_escape2!$A$2:$B$2794,2,FALSE)),"Código não cadastrado",(VLOOKUP(H:H,produtos_escape2!$A$2:$B$2794,2,FALSE))))</f>
        <v/>
      </c>
      <c r="M2080" s="593" t="str">
        <f>IF(H:H=0,"",IF(ISERROR(VLOOKUP(H:H,produtos_escape2!$A$2:$D$2794,2,FALSE)),"Código não cadastrado",(VLOOKUP(H:H,produtos_escape2!$A$2:$D$2794,4,FALSE))))</f>
        <v/>
      </c>
      <c r="N2080" s="486"/>
      <c r="O2080" s="176"/>
      <c r="P2080" s="486"/>
      <c r="Q2080" s="247"/>
      <c r="R2080" s="246">
        <f t="shared" si="79"/>
        <v>0</v>
      </c>
      <c r="S2080" s="177"/>
      <c r="T2080" s="182"/>
      <c r="U2080" s="177"/>
      <c r="V2080" s="177"/>
      <c r="W2080" s="177"/>
      <c r="X2080" s="176"/>
      <c r="Y2080" s="177"/>
      <c r="Z2080" s="415"/>
      <c r="AA2080" s="488"/>
      <c r="AB2080" s="594"/>
      <c r="AC2080" s="595"/>
      <c r="AD2080" s="596" t="str">
        <f>IF(AND(AC2080&lt;&gt;"",S2080&lt;&gt;""),NETWORKDAYS(AC2080,S2080,#REF!),"")</f>
        <v/>
      </c>
      <c r="AE2080" s="596" t="str">
        <f ca="1">IF(AND(AD2080="",AC2080=""),"",IF(OR(AD2080&lt;&gt;"",O2080="*CANCELADO"),"",NETWORKDAYS(AC2080,TODAY(),#REF!)))</f>
        <v/>
      </c>
      <c r="AF2080" s="619"/>
    </row>
    <row r="2081" spans="1:32" ht="14.25" customHeight="1">
      <c r="A2081" s="176"/>
      <c r="B2081" s="176"/>
      <c r="C2081" s="177"/>
      <c r="D2081" s="176"/>
      <c r="E2081" s="176"/>
      <c r="F2081" s="259"/>
      <c r="G2081" s="176"/>
      <c r="H2081" s="178"/>
      <c r="I2081" s="592">
        <f t="shared" si="80"/>
        <v>0</v>
      </c>
      <c r="J2081" s="178"/>
      <c r="K2081" s="178"/>
      <c r="L2081" s="275" t="str">
        <f>IF(H:H=0,"",IF(ISERROR(VLOOKUP(H:H,produtos_escape2!$A$2:$B$2794,2,FALSE)),"Código não cadastrado",(VLOOKUP(H:H,produtos_escape2!$A$2:$B$2794,2,FALSE))))</f>
        <v/>
      </c>
      <c r="M2081" s="593" t="str">
        <f>IF(H:H=0,"",IF(ISERROR(VLOOKUP(H:H,produtos_escape2!$A$2:$D$2794,2,FALSE)),"Código não cadastrado",(VLOOKUP(H:H,produtos_escape2!$A$2:$D$2794,4,FALSE))))</f>
        <v/>
      </c>
      <c r="N2081" s="486"/>
      <c r="O2081" s="176"/>
      <c r="P2081" s="486"/>
      <c r="Q2081" s="247"/>
      <c r="R2081" s="246">
        <f t="shared" si="79"/>
        <v>0</v>
      </c>
      <c r="S2081" s="177"/>
      <c r="T2081" s="182"/>
      <c r="U2081" s="177"/>
      <c r="V2081" s="177"/>
      <c r="W2081" s="177"/>
      <c r="X2081" s="176"/>
      <c r="Y2081" s="177"/>
      <c r="Z2081" s="415"/>
      <c r="AA2081" s="488"/>
      <c r="AB2081" s="594"/>
      <c r="AC2081" s="595"/>
      <c r="AD2081" s="596" t="str">
        <f>IF(AND(AC2081&lt;&gt;"",S2081&lt;&gt;""),NETWORKDAYS(AC2081,S2081,#REF!),"")</f>
        <v/>
      </c>
      <c r="AE2081" s="596" t="str">
        <f ca="1">IF(AND(AD2081="",AC2081=""),"",IF(OR(AD2081&lt;&gt;"",O2081="*CANCELADO"),"",NETWORKDAYS(AC2081,TODAY(),#REF!)))</f>
        <v/>
      </c>
      <c r="AF2081" s="619"/>
    </row>
    <row r="2082" spans="1:32" ht="14.25" customHeight="1">
      <c r="A2082" s="176"/>
      <c r="B2082" s="176"/>
      <c r="C2082" s="177"/>
      <c r="D2082" s="176"/>
      <c r="E2082" s="176"/>
      <c r="F2082" s="259"/>
      <c r="G2082" s="176"/>
      <c r="H2082" s="178"/>
      <c r="I2082" s="592">
        <f t="shared" si="80"/>
        <v>0</v>
      </c>
      <c r="J2082" s="178"/>
      <c r="K2082" s="178"/>
      <c r="L2082" s="275" t="str">
        <f>IF(H:H=0,"",IF(ISERROR(VLOOKUP(H:H,produtos_escape2!$A$2:$B$2794,2,FALSE)),"Código não cadastrado",(VLOOKUP(H:H,produtos_escape2!$A$2:$B$2794,2,FALSE))))</f>
        <v/>
      </c>
      <c r="M2082" s="593" t="str">
        <f>IF(H:H=0,"",IF(ISERROR(VLOOKUP(H:H,produtos_escape2!$A$2:$D$2794,2,FALSE)),"Código não cadastrado",(VLOOKUP(H:H,produtos_escape2!$A$2:$D$2794,4,FALSE))))</f>
        <v/>
      </c>
      <c r="N2082" s="486"/>
      <c r="O2082" s="176"/>
      <c r="P2082" s="486"/>
      <c r="Q2082" s="247"/>
      <c r="R2082" s="246">
        <f t="shared" si="79"/>
        <v>0</v>
      </c>
      <c r="S2082" s="177"/>
      <c r="T2082" s="182"/>
      <c r="U2082" s="177"/>
      <c r="V2082" s="177"/>
      <c r="W2082" s="177"/>
      <c r="X2082" s="176"/>
      <c r="Y2082" s="177"/>
      <c r="Z2082" s="415"/>
      <c r="AA2082" s="488"/>
      <c r="AB2082" s="594"/>
      <c r="AC2082" s="595"/>
      <c r="AD2082" s="596" t="str">
        <f>IF(AND(AC2082&lt;&gt;"",S2082&lt;&gt;""),NETWORKDAYS(AC2082,S2082,#REF!),"")</f>
        <v/>
      </c>
      <c r="AE2082" s="596" t="str">
        <f ca="1">IF(AND(AD2082="",AC2082=""),"",IF(OR(AD2082&lt;&gt;"",O2082="*CANCELADO"),"",NETWORKDAYS(AC2082,TODAY(),#REF!)))</f>
        <v/>
      </c>
      <c r="AF2082" s="619"/>
    </row>
    <row r="2083" spans="1:32" ht="14.25" customHeight="1">
      <c r="A2083" s="176"/>
      <c r="B2083" s="176"/>
      <c r="C2083" s="177"/>
      <c r="D2083" s="176"/>
      <c r="E2083" s="176"/>
      <c r="F2083" s="259"/>
      <c r="G2083" s="176"/>
      <c r="H2083" s="178"/>
      <c r="I2083" s="592">
        <f t="shared" si="80"/>
        <v>0</v>
      </c>
      <c r="J2083" s="178"/>
      <c r="K2083" s="178"/>
      <c r="L2083" s="275" t="str">
        <f>IF(H:H=0,"",IF(ISERROR(VLOOKUP(H:H,produtos_escape2!$A$2:$B$2794,2,FALSE)),"Código não cadastrado",(VLOOKUP(H:H,produtos_escape2!$A$2:$B$2794,2,FALSE))))</f>
        <v/>
      </c>
      <c r="M2083" s="593" t="str">
        <f>IF(H:H=0,"",IF(ISERROR(VLOOKUP(H:H,produtos_escape2!$A$2:$D$2794,2,FALSE)),"Código não cadastrado",(VLOOKUP(H:H,produtos_escape2!$A$2:$D$2794,4,FALSE))))</f>
        <v/>
      </c>
      <c r="N2083" s="486"/>
      <c r="O2083" s="176"/>
      <c r="P2083" s="486"/>
      <c r="Q2083" s="247"/>
      <c r="R2083" s="246">
        <f t="shared" si="79"/>
        <v>0</v>
      </c>
      <c r="S2083" s="177"/>
      <c r="T2083" s="182"/>
      <c r="U2083" s="177"/>
      <c r="V2083" s="177"/>
      <c r="W2083" s="177"/>
      <c r="X2083" s="176"/>
      <c r="Y2083" s="177"/>
      <c r="Z2083" s="415"/>
      <c r="AA2083" s="488"/>
      <c r="AB2083" s="594"/>
      <c r="AC2083" s="595"/>
      <c r="AD2083" s="596" t="str">
        <f>IF(AND(AC2083&lt;&gt;"",S2083&lt;&gt;""),NETWORKDAYS(AC2083,S2083,#REF!),"")</f>
        <v/>
      </c>
      <c r="AE2083" s="596" t="str">
        <f ca="1">IF(AND(AD2083="",AC2083=""),"",IF(OR(AD2083&lt;&gt;"",O2083="*CANCELADO"),"",NETWORKDAYS(AC2083,TODAY(),#REF!)))</f>
        <v/>
      </c>
      <c r="AF2083" s="619"/>
    </row>
    <row r="2084" spans="1:32" ht="14.25" customHeight="1">
      <c r="A2084" s="176"/>
      <c r="B2084" s="176"/>
      <c r="C2084" s="177"/>
      <c r="D2084" s="176"/>
      <c r="E2084" s="176"/>
      <c r="F2084" s="259"/>
      <c r="G2084" s="176"/>
      <c r="H2084" s="178"/>
      <c r="I2084" s="592">
        <f t="shared" si="80"/>
        <v>0</v>
      </c>
      <c r="J2084" s="178"/>
      <c r="K2084" s="178"/>
      <c r="L2084" s="275" t="str">
        <f>IF(H:H=0,"",IF(ISERROR(VLOOKUP(H:H,produtos_escape2!$A$2:$B$2794,2,FALSE)),"Código não cadastrado",(VLOOKUP(H:H,produtos_escape2!$A$2:$B$2794,2,FALSE))))</f>
        <v/>
      </c>
      <c r="M2084" s="593" t="str">
        <f>IF(H:H=0,"",IF(ISERROR(VLOOKUP(H:H,produtos_escape2!$A$2:$D$2794,2,FALSE)),"Código não cadastrado",(VLOOKUP(H:H,produtos_escape2!$A$2:$D$2794,4,FALSE))))</f>
        <v/>
      </c>
      <c r="N2084" s="486"/>
      <c r="O2084" s="176"/>
      <c r="P2084" s="486"/>
      <c r="Q2084" s="247"/>
      <c r="R2084" s="246">
        <f t="shared" si="79"/>
        <v>0</v>
      </c>
      <c r="S2084" s="177"/>
      <c r="T2084" s="182"/>
      <c r="U2084" s="177"/>
      <c r="V2084" s="177"/>
      <c r="W2084" s="177"/>
      <c r="X2084" s="176"/>
      <c r="Y2084" s="177"/>
      <c r="Z2084" s="415"/>
      <c r="AA2084" s="488"/>
      <c r="AB2084" s="594"/>
      <c r="AC2084" s="595"/>
      <c r="AD2084" s="596" t="str">
        <f>IF(AND(AC2084&lt;&gt;"",S2084&lt;&gt;""),NETWORKDAYS(AC2084,S2084,#REF!),"")</f>
        <v/>
      </c>
      <c r="AE2084" s="596" t="str">
        <f ca="1">IF(AND(AD2084="",AC2084=""),"",IF(OR(AD2084&lt;&gt;"",O2084="*CANCELADO"),"",NETWORKDAYS(AC2084,TODAY(),#REF!)))</f>
        <v/>
      </c>
      <c r="AF2084" s="619"/>
    </row>
    <row r="2085" spans="1:32" ht="14.25" customHeight="1">
      <c r="A2085" s="176"/>
      <c r="B2085" s="176"/>
      <c r="C2085" s="177"/>
      <c r="D2085" s="176"/>
      <c r="E2085" s="176"/>
      <c r="F2085" s="259"/>
      <c r="G2085" s="176"/>
      <c r="H2085" s="178"/>
      <c r="I2085" s="592">
        <f t="shared" si="80"/>
        <v>0</v>
      </c>
      <c r="J2085" s="178"/>
      <c r="K2085" s="178"/>
      <c r="L2085" s="275" t="str">
        <f>IF(H:H=0,"",IF(ISERROR(VLOOKUP(H:H,produtos_escape2!$A$2:$B$2794,2,FALSE)),"Código não cadastrado",(VLOOKUP(H:H,produtos_escape2!$A$2:$B$2794,2,FALSE))))</f>
        <v/>
      </c>
      <c r="M2085" s="593" t="str">
        <f>IF(H:H=0,"",IF(ISERROR(VLOOKUP(H:H,produtos_escape2!$A$2:$D$2794,2,FALSE)),"Código não cadastrado",(VLOOKUP(H:H,produtos_escape2!$A$2:$D$2794,4,FALSE))))</f>
        <v/>
      </c>
      <c r="N2085" s="486"/>
      <c r="O2085" s="176"/>
      <c r="P2085" s="486"/>
      <c r="Q2085" s="247"/>
      <c r="R2085" s="246">
        <f t="shared" si="79"/>
        <v>0</v>
      </c>
      <c r="S2085" s="177"/>
      <c r="T2085" s="182"/>
      <c r="U2085" s="177"/>
      <c r="V2085" s="177"/>
      <c r="W2085" s="177"/>
      <c r="X2085" s="176"/>
      <c r="Y2085" s="177"/>
      <c r="Z2085" s="415"/>
      <c r="AA2085" s="488"/>
      <c r="AB2085" s="594"/>
      <c r="AC2085" s="595"/>
      <c r="AD2085" s="596" t="str">
        <f>IF(AND(AC2085&lt;&gt;"",S2085&lt;&gt;""),NETWORKDAYS(AC2085,S2085,#REF!),"")</f>
        <v/>
      </c>
      <c r="AE2085" s="596" t="str">
        <f ca="1">IF(AND(AD2085="",AC2085=""),"",IF(OR(AD2085&lt;&gt;"",O2085="*CANCELADO"),"",NETWORKDAYS(AC2085,TODAY(),#REF!)))</f>
        <v/>
      </c>
      <c r="AF2085" s="619"/>
    </row>
    <row r="2086" spans="1:32" ht="14.25" customHeight="1">
      <c r="A2086" s="176"/>
      <c r="B2086" s="176"/>
      <c r="C2086" s="177"/>
      <c r="D2086" s="176"/>
      <c r="E2086" s="176"/>
      <c r="F2086" s="259"/>
      <c r="G2086" s="176"/>
      <c r="H2086" s="178"/>
      <c r="I2086" s="592">
        <f t="shared" si="80"/>
        <v>0</v>
      </c>
      <c r="J2086" s="178"/>
      <c r="K2086" s="178"/>
      <c r="L2086" s="275" t="str">
        <f>IF(H:H=0,"",IF(ISERROR(VLOOKUP(H:H,produtos_escape2!$A$2:$B$2794,2,FALSE)),"Código não cadastrado",(VLOOKUP(H:H,produtos_escape2!$A$2:$B$2794,2,FALSE))))</f>
        <v/>
      </c>
      <c r="M2086" s="593" t="str">
        <f>IF(H:H=0,"",IF(ISERROR(VLOOKUP(H:H,produtos_escape2!$A$2:$D$2794,2,FALSE)),"Código não cadastrado",(VLOOKUP(H:H,produtos_escape2!$A$2:$D$2794,4,FALSE))))</f>
        <v/>
      </c>
      <c r="N2086" s="486"/>
      <c r="O2086" s="176"/>
      <c r="P2086" s="486"/>
      <c r="Q2086" s="247"/>
      <c r="R2086" s="246">
        <f t="shared" si="79"/>
        <v>0</v>
      </c>
      <c r="S2086" s="177"/>
      <c r="T2086" s="182"/>
      <c r="U2086" s="177"/>
      <c r="V2086" s="177"/>
      <c r="W2086" s="177"/>
      <c r="X2086" s="176"/>
      <c r="Y2086" s="177"/>
      <c r="Z2086" s="415"/>
      <c r="AA2086" s="488"/>
      <c r="AB2086" s="594"/>
      <c r="AC2086" s="595"/>
      <c r="AD2086" s="596" t="str">
        <f>IF(AND(AC2086&lt;&gt;"",S2086&lt;&gt;""),NETWORKDAYS(AC2086,S2086,#REF!),"")</f>
        <v/>
      </c>
      <c r="AE2086" s="596" t="str">
        <f ca="1">IF(AND(AD2086="",AC2086=""),"",IF(OR(AD2086&lt;&gt;"",O2086="*CANCELADO"),"",NETWORKDAYS(AC2086,TODAY(),#REF!)))</f>
        <v/>
      </c>
      <c r="AF2086" s="619"/>
    </row>
    <row r="2087" spans="1:32" ht="14.25" customHeight="1">
      <c r="A2087" s="176"/>
      <c r="B2087" s="176"/>
      <c r="C2087" s="177"/>
      <c r="D2087" s="176"/>
      <c r="E2087" s="176"/>
      <c r="F2087" s="259"/>
      <c r="G2087" s="176"/>
      <c r="H2087" s="178"/>
      <c r="I2087" s="592">
        <f t="shared" si="80"/>
        <v>0</v>
      </c>
      <c r="J2087" s="178"/>
      <c r="K2087" s="178"/>
      <c r="L2087" s="275" t="str">
        <f>IF(H:H=0,"",IF(ISERROR(VLOOKUP(H:H,produtos_escape2!$A$2:$B$2794,2,FALSE)),"Código não cadastrado",(VLOOKUP(H:H,produtos_escape2!$A$2:$B$2794,2,FALSE))))</f>
        <v/>
      </c>
      <c r="M2087" s="593" t="str">
        <f>IF(H:H=0,"",IF(ISERROR(VLOOKUP(H:H,produtos_escape2!$A$2:$D$2794,2,FALSE)),"Código não cadastrado",(VLOOKUP(H:H,produtos_escape2!$A$2:$D$2794,4,FALSE))))</f>
        <v/>
      </c>
      <c r="N2087" s="486"/>
      <c r="O2087" s="176"/>
      <c r="P2087" s="486"/>
      <c r="Q2087" s="247"/>
      <c r="R2087" s="246">
        <f t="shared" si="79"/>
        <v>0</v>
      </c>
      <c r="S2087" s="177"/>
      <c r="T2087" s="182"/>
      <c r="U2087" s="177"/>
      <c r="V2087" s="177"/>
      <c r="W2087" s="177"/>
      <c r="X2087" s="176"/>
      <c r="Y2087" s="177"/>
      <c r="Z2087" s="415"/>
      <c r="AA2087" s="488"/>
      <c r="AB2087" s="594"/>
      <c r="AC2087" s="595"/>
      <c r="AD2087" s="596" t="str">
        <f>IF(AND(AC2087&lt;&gt;"",S2087&lt;&gt;""),NETWORKDAYS(AC2087,S2087,#REF!),"")</f>
        <v/>
      </c>
      <c r="AE2087" s="596" t="str">
        <f ca="1">IF(AND(AD2087="",AC2087=""),"",IF(OR(AD2087&lt;&gt;"",O2087="*CANCELADO"),"",NETWORKDAYS(AC2087,TODAY(),#REF!)))</f>
        <v/>
      </c>
      <c r="AF2087" s="619"/>
    </row>
    <row r="2088" spans="1:32" ht="14.25" customHeight="1">
      <c r="A2088" s="176"/>
      <c r="B2088" s="176"/>
      <c r="C2088" s="177"/>
      <c r="D2088" s="176"/>
      <c r="E2088" s="176"/>
      <c r="F2088" s="259"/>
      <c r="G2088" s="176"/>
      <c r="H2088" s="178"/>
      <c r="I2088" s="592">
        <f t="shared" si="80"/>
        <v>0</v>
      </c>
      <c r="J2088" s="178"/>
      <c r="K2088" s="178"/>
      <c r="L2088" s="275" t="str">
        <f>IF(H:H=0,"",IF(ISERROR(VLOOKUP(H:H,produtos_escape2!$A$2:$B$2794,2,FALSE)),"Código não cadastrado",(VLOOKUP(H:H,produtos_escape2!$A$2:$B$2794,2,FALSE))))</f>
        <v/>
      </c>
      <c r="M2088" s="593" t="str">
        <f>IF(H:H=0,"",IF(ISERROR(VLOOKUP(H:H,produtos_escape2!$A$2:$D$2794,2,FALSE)),"Código não cadastrado",(VLOOKUP(H:H,produtos_escape2!$A$2:$D$2794,4,FALSE))))</f>
        <v/>
      </c>
      <c r="N2088" s="486"/>
      <c r="O2088" s="176"/>
      <c r="P2088" s="486"/>
      <c r="Q2088" s="247"/>
      <c r="R2088" s="246">
        <f t="shared" si="79"/>
        <v>0</v>
      </c>
      <c r="S2088" s="177"/>
      <c r="T2088" s="182"/>
      <c r="U2088" s="177"/>
      <c r="V2088" s="177"/>
      <c r="W2088" s="177"/>
      <c r="X2088" s="176"/>
      <c r="Y2088" s="177"/>
      <c r="Z2088" s="415"/>
      <c r="AA2088" s="488"/>
      <c r="AB2088" s="594"/>
      <c r="AC2088" s="595"/>
      <c r="AD2088" s="596" t="str">
        <f>IF(AND(AC2088&lt;&gt;"",S2088&lt;&gt;""),NETWORKDAYS(AC2088,S2088,#REF!),"")</f>
        <v/>
      </c>
      <c r="AE2088" s="596" t="str">
        <f ca="1">IF(AND(AD2088="",AC2088=""),"",IF(OR(AD2088&lt;&gt;"",O2088="*CANCELADO"),"",NETWORKDAYS(AC2088,TODAY(),#REF!)))</f>
        <v/>
      </c>
      <c r="AF2088" s="619"/>
    </row>
    <row r="2089" spans="1:32" ht="14.25" customHeight="1">
      <c r="A2089" s="176"/>
      <c r="B2089" s="176"/>
      <c r="C2089" s="177"/>
      <c r="D2089" s="176"/>
      <c r="E2089" s="176"/>
      <c r="F2089" s="259"/>
      <c r="G2089" s="176"/>
      <c r="H2089" s="178"/>
      <c r="I2089" s="592">
        <f t="shared" si="80"/>
        <v>0</v>
      </c>
      <c r="J2089" s="178"/>
      <c r="K2089" s="178"/>
      <c r="L2089" s="275" t="str">
        <f>IF(H:H=0,"",IF(ISERROR(VLOOKUP(H:H,produtos_escape2!$A$2:$B$2794,2,FALSE)),"Código não cadastrado",(VLOOKUP(H:H,produtos_escape2!$A$2:$B$2794,2,FALSE))))</f>
        <v/>
      </c>
      <c r="M2089" s="593" t="str">
        <f>IF(H:H=0,"",IF(ISERROR(VLOOKUP(H:H,produtos_escape2!$A$2:$D$2794,2,FALSE)),"Código não cadastrado",(VLOOKUP(H:H,produtos_escape2!$A$2:$D$2794,4,FALSE))))</f>
        <v/>
      </c>
      <c r="N2089" s="486"/>
      <c r="O2089" s="176"/>
      <c r="P2089" s="486"/>
      <c r="Q2089" s="247"/>
      <c r="R2089" s="246">
        <f t="shared" si="79"/>
        <v>0</v>
      </c>
      <c r="S2089" s="177"/>
      <c r="T2089" s="182"/>
      <c r="U2089" s="177"/>
      <c r="V2089" s="177"/>
      <c r="W2089" s="177"/>
      <c r="X2089" s="176"/>
      <c r="Y2089" s="177"/>
      <c r="Z2089" s="415"/>
      <c r="AA2089" s="488"/>
      <c r="AB2089" s="594"/>
      <c r="AC2089" s="595"/>
      <c r="AD2089" s="596" t="str">
        <f>IF(AND(AC2089&lt;&gt;"",S2089&lt;&gt;""),NETWORKDAYS(AC2089,S2089,#REF!),"")</f>
        <v/>
      </c>
      <c r="AE2089" s="596" t="str">
        <f ca="1">IF(AND(AD2089="",AC2089=""),"",IF(OR(AD2089&lt;&gt;"",O2089="*CANCELADO"),"",NETWORKDAYS(AC2089,TODAY(),#REF!)))</f>
        <v/>
      </c>
      <c r="AF2089" s="619"/>
    </row>
    <row r="2090" spans="1:32" ht="14.25" customHeight="1">
      <c r="A2090" s="176"/>
      <c r="B2090" s="176"/>
      <c r="C2090" s="177"/>
      <c r="D2090" s="176"/>
      <c r="E2090" s="176"/>
      <c r="F2090" s="259"/>
      <c r="G2090" s="176"/>
      <c r="H2090" s="178"/>
      <c r="I2090" s="592">
        <f t="shared" si="80"/>
        <v>0</v>
      </c>
      <c r="J2090" s="178"/>
      <c r="K2090" s="178"/>
      <c r="L2090" s="275" t="str">
        <f>IF(H:H=0,"",IF(ISERROR(VLOOKUP(H:H,produtos_escape2!$A$2:$B$2794,2,FALSE)),"Código não cadastrado",(VLOOKUP(H:H,produtos_escape2!$A$2:$B$2794,2,FALSE))))</f>
        <v/>
      </c>
      <c r="M2090" s="593" t="str">
        <f>IF(H:H=0,"",IF(ISERROR(VLOOKUP(H:H,produtos_escape2!$A$2:$D$2794,2,FALSE)),"Código não cadastrado",(VLOOKUP(H:H,produtos_escape2!$A$2:$D$2794,4,FALSE))))</f>
        <v/>
      </c>
      <c r="N2090" s="486"/>
      <c r="O2090" s="176"/>
      <c r="P2090" s="486"/>
      <c r="Q2090" s="247"/>
      <c r="R2090" s="246">
        <f t="shared" si="79"/>
        <v>0</v>
      </c>
      <c r="S2090" s="177"/>
      <c r="T2090" s="182"/>
      <c r="U2090" s="177"/>
      <c r="V2090" s="177"/>
      <c r="W2090" s="177"/>
      <c r="X2090" s="176"/>
      <c r="Y2090" s="177"/>
      <c r="Z2090" s="415"/>
      <c r="AA2090" s="488"/>
      <c r="AB2090" s="594"/>
      <c r="AC2090" s="595"/>
      <c r="AD2090" s="596" t="str">
        <f>IF(AND(AC2090&lt;&gt;"",S2090&lt;&gt;""),NETWORKDAYS(AC2090,S2090,#REF!),"")</f>
        <v/>
      </c>
      <c r="AE2090" s="596" t="str">
        <f ca="1">IF(AND(AD2090="",AC2090=""),"",IF(OR(AD2090&lt;&gt;"",O2090="*CANCELADO"),"",NETWORKDAYS(AC2090,TODAY(),#REF!)))</f>
        <v/>
      </c>
      <c r="AF2090" s="619"/>
    </row>
    <row r="2091" spans="1:32" ht="14.25" customHeight="1">
      <c r="A2091" s="176"/>
      <c r="B2091" s="176"/>
      <c r="C2091" s="177"/>
      <c r="D2091" s="176"/>
      <c r="E2091" s="176"/>
      <c r="F2091" s="259"/>
      <c r="G2091" s="176"/>
      <c r="H2091" s="178"/>
      <c r="I2091" s="592">
        <f t="shared" si="80"/>
        <v>0</v>
      </c>
      <c r="J2091" s="178"/>
      <c r="K2091" s="178"/>
      <c r="L2091" s="275" t="str">
        <f>IF(H:H=0,"",IF(ISERROR(VLOOKUP(H:H,produtos_escape2!$A$2:$B$2794,2,FALSE)),"Código não cadastrado",(VLOOKUP(H:H,produtos_escape2!$A$2:$B$2794,2,FALSE))))</f>
        <v/>
      </c>
      <c r="M2091" s="593" t="str">
        <f>IF(H:H=0,"",IF(ISERROR(VLOOKUP(H:H,produtos_escape2!$A$2:$D$2794,2,FALSE)),"Código não cadastrado",(VLOOKUP(H:H,produtos_escape2!$A$2:$D$2794,4,FALSE))))</f>
        <v/>
      </c>
      <c r="N2091" s="486"/>
      <c r="O2091" s="176"/>
      <c r="P2091" s="486"/>
      <c r="Q2091" s="247"/>
      <c r="R2091" s="246">
        <f t="shared" si="79"/>
        <v>0</v>
      </c>
      <c r="S2091" s="177"/>
      <c r="T2091" s="182"/>
      <c r="U2091" s="177"/>
      <c r="V2091" s="177"/>
      <c r="W2091" s="177"/>
      <c r="X2091" s="176"/>
      <c r="Y2091" s="177"/>
      <c r="Z2091" s="415"/>
      <c r="AA2091" s="488"/>
      <c r="AB2091" s="594"/>
      <c r="AC2091" s="595"/>
      <c r="AD2091" s="596" t="str">
        <f>IF(AND(AC2091&lt;&gt;"",S2091&lt;&gt;""),NETWORKDAYS(AC2091,S2091,#REF!),"")</f>
        <v/>
      </c>
      <c r="AE2091" s="596" t="str">
        <f ca="1">IF(AND(AD2091="",AC2091=""),"",IF(OR(AD2091&lt;&gt;"",O2091="*CANCELADO"),"",NETWORKDAYS(AC2091,TODAY(),#REF!)))</f>
        <v/>
      </c>
      <c r="AF2091" s="619"/>
    </row>
    <row r="2092" spans="1:32" ht="14.25" customHeight="1">
      <c r="A2092" s="176"/>
      <c r="B2092" s="176"/>
      <c r="C2092" s="177"/>
      <c r="D2092" s="176"/>
      <c r="E2092" s="176"/>
      <c r="F2092" s="259"/>
      <c r="G2092" s="176"/>
      <c r="H2092" s="178"/>
      <c r="I2092" s="592">
        <f t="shared" si="80"/>
        <v>0</v>
      </c>
      <c r="J2092" s="178"/>
      <c r="K2092" s="178"/>
      <c r="L2092" s="275" t="str">
        <f>IF(H:H=0,"",IF(ISERROR(VLOOKUP(H:H,produtos_escape2!$A$2:$B$2794,2,FALSE)),"Código não cadastrado",(VLOOKUP(H:H,produtos_escape2!$A$2:$B$2794,2,FALSE))))</f>
        <v/>
      </c>
      <c r="M2092" s="593" t="str">
        <f>IF(H:H=0,"",IF(ISERROR(VLOOKUP(H:H,produtos_escape2!$A$2:$D$2794,2,FALSE)),"Código não cadastrado",(VLOOKUP(H:H,produtos_escape2!$A$2:$D$2794,4,FALSE))))</f>
        <v/>
      </c>
      <c r="N2092" s="486"/>
      <c r="O2092" s="176"/>
      <c r="P2092" s="486"/>
      <c r="Q2092" s="247"/>
      <c r="R2092" s="246">
        <f t="shared" si="79"/>
        <v>0</v>
      </c>
      <c r="S2092" s="177"/>
      <c r="T2092" s="182"/>
      <c r="U2092" s="177"/>
      <c r="V2092" s="177"/>
      <c r="W2092" s="177"/>
      <c r="X2092" s="176"/>
      <c r="Y2092" s="177"/>
      <c r="Z2092" s="415"/>
      <c r="AA2092" s="488"/>
      <c r="AB2092" s="594"/>
      <c r="AC2092" s="595"/>
      <c r="AD2092" s="596" t="str">
        <f>IF(AND(AC2092&lt;&gt;"",S2092&lt;&gt;""),NETWORKDAYS(AC2092,S2092,#REF!),"")</f>
        <v/>
      </c>
      <c r="AE2092" s="596" t="str">
        <f ca="1">IF(AND(AD2092="",AC2092=""),"",IF(OR(AD2092&lt;&gt;"",O2092="*CANCELADO"),"",NETWORKDAYS(AC2092,TODAY(),#REF!)))</f>
        <v/>
      </c>
      <c r="AF2092" s="619"/>
    </row>
    <row r="2093" spans="1:32" ht="14.25" customHeight="1">
      <c r="A2093" s="176"/>
      <c r="B2093" s="176"/>
      <c r="C2093" s="177"/>
      <c r="D2093" s="176"/>
      <c r="E2093" s="176"/>
      <c r="F2093" s="259"/>
      <c r="G2093" s="176"/>
      <c r="H2093" s="178"/>
      <c r="I2093" s="592">
        <f t="shared" si="80"/>
        <v>0</v>
      </c>
      <c r="J2093" s="178"/>
      <c r="K2093" s="178"/>
      <c r="L2093" s="275" t="str">
        <f>IF(H:H=0,"",IF(ISERROR(VLOOKUP(H:H,produtos_escape2!$A$2:$B$2794,2,FALSE)),"Código não cadastrado",(VLOOKUP(H:H,produtos_escape2!$A$2:$B$2794,2,FALSE))))</f>
        <v/>
      </c>
      <c r="M2093" s="593" t="str">
        <f>IF(H:H=0,"",IF(ISERROR(VLOOKUP(H:H,produtos_escape2!$A$2:$D$2794,2,FALSE)),"Código não cadastrado",(VLOOKUP(H:H,produtos_escape2!$A$2:$D$2794,4,FALSE))))</f>
        <v/>
      </c>
      <c r="N2093" s="486"/>
      <c r="O2093" s="176"/>
      <c r="P2093" s="486"/>
      <c r="Q2093" s="247"/>
      <c r="R2093" s="246">
        <f t="shared" ref="R2093:R2156" si="81">P2093*Q2093</f>
        <v>0</v>
      </c>
      <c r="S2093" s="177"/>
      <c r="T2093" s="182"/>
      <c r="U2093" s="177"/>
      <c r="V2093" s="177"/>
      <c r="W2093" s="177"/>
      <c r="X2093" s="176"/>
      <c r="Y2093" s="177"/>
      <c r="Z2093" s="415"/>
      <c r="AA2093" s="488"/>
      <c r="AB2093" s="594"/>
      <c r="AC2093" s="595"/>
      <c r="AD2093" s="596" t="str">
        <f>IF(AND(AC2093&lt;&gt;"",S2093&lt;&gt;""),NETWORKDAYS(AC2093,S2093,#REF!),"")</f>
        <v/>
      </c>
      <c r="AE2093" s="596" t="str">
        <f ca="1">IF(AND(AD2093="",AC2093=""),"",IF(OR(AD2093&lt;&gt;"",O2093="*CANCELADO"),"",NETWORKDAYS(AC2093,TODAY(),#REF!)))</f>
        <v/>
      </c>
      <c r="AF2093" s="619"/>
    </row>
    <row r="2094" spans="1:32" ht="14.25" customHeight="1">
      <c r="A2094" s="176"/>
      <c r="B2094" s="176"/>
      <c r="C2094" s="177"/>
      <c r="D2094" s="176"/>
      <c r="E2094" s="176"/>
      <c r="F2094" s="259"/>
      <c r="G2094" s="176"/>
      <c r="H2094" s="178"/>
      <c r="I2094" s="592">
        <f t="shared" si="80"/>
        <v>0</v>
      </c>
      <c r="J2094" s="178"/>
      <c r="K2094" s="178"/>
      <c r="L2094" s="275" t="str">
        <f>IF(H:H=0,"",IF(ISERROR(VLOOKUP(H:H,produtos_escape2!$A$2:$B$2794,2,FALSE)),"Código não cadastrado",(VLOOKUP(H:H,produtos_escape2!$A$2:$B$2794,2,FALSE))))</f>
        <v/>
      </c>
      <c r="M2094" s="593" t="str">
        <f>IF(H:H=0,"",IF(ISERROR(VLOOKUP(H:H,produtos_escape2!$A$2:$D$2794,2,FALSE)),"Código não cadastrado",(VLOOKUP(H:H,produtos_escape2!$A$2:$D$2794,4,FALSE))))</f>
        <v/>
      </c>
      <c r="N2094" s="486"/>
      <c r="O2094" s="176"/>
      <c r="P2094" s="486"/>
      <c r="Q2094" s="247"/>
      <c r="R2094" s="246">
        <f t="shared" si="81"/>
        <v>0</v>
      </c>
      <c r="S2094" s="177"/>
      <c r="T2094" s="182"/>
      <c r="U2094" s="177"/>
      <c r="V2094" s="177"/>
      <c r="W2094" s="177"/>
      <c r="X2094" s="176"/>
      <c r="Y2094" s="177"/>
      <c r="Z2094" s="415"/>
      <c r="AA2094" s="488"/>
      <c r="AB2094" s="594"/>
      <c r="AC2094" s="595"/>
      <c r="AD2094" s="596" t="str">
        <f>IF(AND(AC2094&lt;&gt;"",S2094&lt;&gt;""),NETWORKDAYS(AC2094,S2094,#REF!),"")</f>
        <v/>
      </c>
      <c r="AE2094" s="596" t="str">
        <f ca="1">IF(AND(AD2094="",AC2094=""),"",IF(OR(AD2094&lt;&gt;"",O2094="*CANCELADO"),"",NETWORKDAYS(AC2094,TODAY(),#REF!)))</f>
        <v/>
      </c>
      <c r="AF2094" s="619"/>
    </row>
    <row r="2095" spans="1:32" ht="14.25" customHeight="1">
      <c r="A2095" s="176"/>
      <c r="B2095" s="176"/>
      <c r="C2095" s="177"/>
      <c r="D2095" s="176"/>
      <c r="E2095" s="176"/>
      <c r="F2095" s="259"/>
      <c r="G2095" s="176"/>
      <c r="H2095" s="178"/>
      <c r="I2095" s="592">
        <f t="shared" si="80"/>
        <v>0</v>
      </c>
      <c r="J2095" s="178"/>
      <c r="K2095" s="178"/>
      <c r="L2095" s="275" t="str">
        <f>IF(H:H=0,"",IF(ISERROR(VLOOKUP(H:H,produtos_escape2!$A$2:$B$2794,2,FALSE)),"Código não cadastrado",(VLOOKUP(H:H,produtos_escape2!$A$2:$B$2794,2,FALSE))))</f>
        <v/>
      </c>
      <c r="M2095" s="593" t="str">
        <f>IF(H:H=0,"",IF(ISERROR(VLOOKUP(H:H,produtos_escape2!$A$2:$D$2794,2,FALSE)),"Código não cadastrado",(VLOOKUP(H:H,produtos_escape2!$A$2:$D$2794,4,FALSE))))</f>
        <v/>
      </c>
      <c r="N2095" s="486"/>
      <c r="O2095" s="176"/>
      <c r="P2095" s="486"/>
      <c r="Q2095" s="247"/>
      <c r="R2095" s="246">
        <f t="shared" si="81"/>
        <v>0</v>
      </c>
      <c r="S2095" s="177"/>
      <c r="T2095" s="182"/>
      <c r="U2095" s="177"/>
      <c r="V2095" s="177"/>
      <c r="W2095" s="177"/>
      <c r="X2095" s="176"/>
      <c r="Y2095" s="177"/>
      <c r="Z2095" s="415"/>
      <c r="AA2095" s="488"/>
      <c r="AB2095" s="594"/>
      <c r="AC2095" s="595"/>
      <c r="AD2095" s="596" t="str">
        <f>IF(AND(AC2095&lt;&gt;"",S2095&lt;&gt;""),NETWORKDAYS(AC2095,S2095,#REF!),"")</f>
        <v/>
      </c>
      <c r="AE2095" s="596" t="str">
        <f ca="1">IF(AND(AD2095="",AC2095=""),"",IF(OR(AD2095&lt;&gt;"",O2095="*CANCELADO"),"",NETWORKDAYS(AC2095,TODAY(),#REF!)))</f>
        <v/>
      </c>
      <c r="AF2095" s="619"/>
    </row>
    <row r="2096" spans="1:32" ht="14.25" customHeight="1">
      <c r="A2096" s="176"/>
      <c r="B2096" s="176"/>
      <c r="C2096" s="177"/>
      <c r="D2096" s="176"/>
      <c r="E2096" s="176"/>
      <c r="F2096" s="259"/>
      <c r="G2096" s="176"/>
      <c r="H2096" s="178"/>
      <c r="I2096" s="592">
        <f t="shared" si="80"/>
        <v>0</v>
      </c>
      <c r="J2096" s="178"/>
      <c r="K2096" s="178"/>
      <c r="L2096" s="275" t="str">
        <f>IF(H:H=0,"",IF(ISERROR(VLOOKUP(H:H,produtos_escape2!$A$2:$B$2794,2,FALSE)),"Código não cadastrado",(VLOOKUP(H:H,produtos_escape2!$A$2:$B$2794,2,FALSE))))</f>
        <v/>
      </c>
      <c r="M2096" s="593" t="str">
        <f>IF(H:H=0,"",IF(ISERROR(VLOOKUP(H:H,produtos_escape2!$A$2:$D$2794,2,FALSE)),"Código não cadastrado",(VLOOKUP(H:H,produtos_escape2!$A$2:$D$2794,4,FALSE))))</f>
        <v/>
      </c>
      <c r="N2096" s="486"/>
      <c r="O2096" s="176"/>
      <c r="P2096" s="486"/>
      <c r="Q2096" s="247"/>
      <c r="R2096" s="246">
        <f t="shared" si="81"/>
        <v>0</v>
      </c>
      <c r="S2096" s="177"/>
      <c r="T2096" s="182"/>
      <c r="U2096" s="177"/>
      <c r="V2096" s="177"/>
      <c r="W2096" s="177"/>
      <c r="X2096" s="176"/>
      <c r="Y2096" s="177"/>
      <c r="Z2096" s="415"/>
      <c r="AA2096" s="488"/>
      <c r="AB2096" s="594"/>
      <c r="AC2096" s="595"/>
      <c r="AD2096" s="596" t="str">
        <f>IF(AND(AC2096&lt;&gt;"",S2096&lt;&gt;""),NETWORKDAYS(AC2096,S2096,#REF!),"")</f>
        <v/>
      </c>
      <c r="AE2096" s="596" t="str">
        <f ca="1">IF(AND(AD2096="",AC2096=""),"",IF(OR(AD2096&lt;&gt;"",O2096="*CANCELADO"),"",NETWORKDAYS(AC2096,TODAY(),#REF!)))</f>
        <v/>
      </c>
      <c r="AF2096" s="619"/>
    </row>
    <row r="2097" spans="1:32" ht="14.25" customHeight="1">
      <c r="A2097" s="176"/>
      <c r="B2097" s="176"/>
      <c r="C2097" s="177"/>
      <c r="D2097" s="176"/>
      <c r="E2097" s="176"/>
      <c r="F2097" s="259"/>
      <c r="G2097" s="176"/>
      <c r="H2097" s="178"/>
      <c r="I2097" s="592">
        <f t="shared" si="80"/>
        <v>0</v>
      </c>
      <c r="J2097" s="178"/>
      <c r="K2097" s="178"/>
      <c r="L2097" s="275" t="str">
        <f>IF(H:H=0,"",IF(ISERROR(VLOOKUP(H:H,produtos_escape2!$A$2:$B$2794,2,FALSE)),"Código não cadastrado",(VLOOKUP(H:H,produtos_escape2!$A$2:$B$2794,2,FALSE))))</f>
        <v/>
      </c>
      <c r="M2097" s="593" t="str">
        <f>IF(H:H=0,"",IF(ISERROR(VLOOKUP(H:H,produtos_escape2!$A$2:$D$2794,2,FALSE)),"Código não cadastrado",(VLOOKUP(H:H,produtos_escape2!$A$2:$D$2794,4,FALSE))))</f>
        <v/>
      </c>
      <c r="N2097" s="486"/>
      <c r="O2097" s="176"/>
      <c r="P2097" s="486"/>
      <c r="Q2097" s="247"/>
      <c r="R2097" s="246">
        <f t="shared" si="81"/>
        <v>0</v>
      </c>
      <c r="S2097" s="177"/>
      <c r="T2097" s="182"/>
      <c r="U2097" s="177"/>
      <c r="V2097" s="177"/>
      <c r="W2097" s="177"/>
      <c r="X2097" s="176"/>
      <c r="Y2097" s="177"/>
      <c r="Z2097" s="415"/>
      <c r="AA2097" s="488"/>
      <c r="AB2097" s="594"/>
      <c r="AC2097" s="595"/>
      <c r="AD2097" s="596" t="str">
        <f>IF(AND(AC2097&lt;&gt;"",S2097&lt;&gt;""),NETWORKDAYS(AC2097,S2097,#REF!),"")</f>
        <v/>
      </c>
      <c r="AE2097" s="596" t="str">
        <f ca="1">IF(AND(AD2097="",AC2097=""),"",IF(OR(AD2097&lt;&gt;"",O2097="*CANCELADO"),"",NETWORKDAYS(AC2097,TODAY(),#REF!)))</f>
        <v/>
      </c>
      <c r="AF2097" s="619"/>
    </row>
    <row r="2098" spans="1:32" ht="14.25" customHeight="1">
      <c r="A2098" s="176"/>
      <c r="B2098" s="176"/>
      <c r="C2098" s="177"/>
      <c r="D2098" s="176"/>
      <c r="E2098" s="176"/>
      <c r="F2098" s="259"/>
      <c r="G2098" s="176"/>
      <c r="H2098" s="178"/>
      <c r="I2098" s="592">
        <f t="shared" si="80"/>
        <v>0</v>
      </c>
      <c r="J2098" s="178"/>
      <c r="K2098" s="178"/>
      <c r="L2098" s="275" t="str">
        <f>IF(H:H=0,"",IF(ISERROR(VLOOKUP(H:H,produtos_escape2!$A$2:$B$2794,2,FALSE)),"Código não cadastrado",(VLOOKUP(H:H,produtos_escape2!$A$2:$B$2794,2,FALSE))))</f>
        <v/>
      </c>
      <c r="M2098" s="593" t="str">
        <f>IF(H:H=0,"",IF(ISERROR(VLOOKUP(H:H,produtos_escape2!$A$2:$D$2794,2,FALSE)),"Código não cadastrado",(VLOOKUP(H:H,produtos_escape2!$A$2:$D$2794,4,FALSE))))</f>
        <v/>
      </c>
      <c r="N2098" s="486"/>
      <c r="O2098" s="176"/>
      <c r="P2098" s="486"/>
      <c r="Q2098" s="247"/>
      <c r="R2098" s="246">
        <f t="shared" si="81"/>
        <v>0</v>
      </c>
      <c r="S2098" s="177"/>
      <c r="T2098" s="182"/>
      <c r="U2098" s="177"/>
      <c r="V2098" s="177"/>
      <c r="W2098" s="177"/>
      <c r="X2098" s="176"/>
      <c r="Y2098" s="177"/>
      <c r="Z2098" s="415"/>
      <c r="AA2098" s="488"/>
      <c r="AB2098" s="594"/>
      <c r="AC2098" s="595"/>
      <c r="AD2098" s="596" t="str">
        <f>IF(AND(AC2098&lt;&gt;"",S2098&lt;&gt;""),NETWORKDAYS(AC2098,S2098,#REF!),"")</f>
        <v/>
      </c>
      <c r="AE2098" s="596" t="str">
        <f ca="1">IF(AND(AD2098="",AC2098=""),"",IF(OR(AD2098&lt;&gt;"",O2098="*CANCELADO"),"",NETWORKDAYS(AC2098,TODAY(),#REF!)))</f>
        <v/>
      </c>
      <c r="AF2098" s="619"/>
    </row>
    <row r="2099" spans="1:32" ht="14.25" customHeight="1">
      <c r="A2099" s="176"/>
      <c r="B2099" s="176"/>
      <c r="C2099" s="177"/>
      <c r="D2099" s="176"/>
      <c r="E2099" s="176"/>
      <c r="F2099" s="259"/>
      <c r="G2099" s="176"/>
      <c r="H2099" s="178"/>
      <c r="I2099" s="592">
        <f t="shared" si="80"/>
        <v>0</v>
      </c>
      <c r="J2099" s="178"/>
      <c r="K2099" s="178"/>
      <c r="L2099" s="275" t="str">
        <f>IF(H:H=0,"",IF(ISERROR(VLOOKUP(H:H,produtos_escape2!$A$2:$B$2794,2,FALSE)),"Código não cadastrado",(VLOOKUP(H:H,produtos_escape2!$A$2:$B$2794,2,FALSE))))</f>
        <v/>
      </c>
      <c r="M2099" s="593" t="str">
        <f>IF(H:H=0,"",IF(ISERROR(VLOOKUP(H:H,produtos_escape2!$A$2:$D$2794,2,FALSE)),"Código não cadastrado",(VLOOKUP(H:H,produtos_escape2!$A$2:$D$2794,4,FALSE))))</f>
        <v/>
      </c>
      <c r="N2099" s="486"/>
      <c r="O2099" s="176"/>
      <c r="P2099" s="486"/>
      <c r="Q2099" s="247"/>
      <c r="R2099" s="246">
        <f t="shared" si="81"/>
        <v>0</v>
      </c>
      <c r="S2099" s="177"/>
      <c r="T2099" s="182"/>
      <c r="U2099" s="177"/>
      <c r="V2099" s="177"/>
      <c r="W2099" s="177"/>
      <c r="X2099" s="176"/>
      <c r="Y2099" s="177"/>
      <c r="Z2099" s="415"/>
      <c r="AA2099" s="488"/>
      <c r="AB2099" s="594"/>
      <c r="AC2099" s="595"/>
      <c r="AD2099" s="596" t="str">
        <f>IF(AND(AC2099&lt;&gt;"",S2099&lt;&gt;""),NETWORKDAYS(AC2099,S2099,#REF!),"")</f>
        <v/>
      </c>
      <c r="AE2099" s="596" t="str">
        <f ca="1">IF(AND(AD2099="",AC2099=""),"",IF(OR(AD2099&lt;&gt;"",O2099="*CANCELADO"),"",NETWORKDAYS(AC2099,TODAY(),#REF!)))</f>
        <v/>
      </c>
      <c r="AF2099" s="619"/>
    </row>
    <row r="2100" spans="1:32" ht="14.25" customHeight="1">
      <c r="A2100" s="176"/>
      <c r="B2100" s="176"/>
      <c r="C2100" s="177"/>
      <c r="D2100" s="176"/>
      <c r="E2100" s="176"/>
      <c r="F2100" s="259"/>
      <c r="G2100" s="176"/>
      <c r="H2100" s="178"/>
      <c r="I2100" s="592">
        <f t="shared" si="80"/>
        <v>0</v>
      </c>
      <c r="J2100" s="178"/>
      <c r="K2100" s="178"/>
      <c r="L2100" s="275" t="str">
        <f>IF(H:H=0,"",IF(ISERROR(VLOOKUP(H:H,produtos_escape2!$A$2:$B$2794,2,FALSE)),"Código não cadastrado",(VLOOKUP(H:H,produtos_escape2!$A$2:$B$2794,2,FALSE))))</f>
        <v/>
      </c>
      <c r="M2100" s="593" t="str">
        <f>IF(H:H=0,"",IF(ISERROR(VLOOKUP(H:H,produtos_escape2!$A$2:$D$2794,2,FALSE)),"Código não cadastrado",(VLOOKUP(H:H,produtos_escape2!$A$2:$D$2794,4,FALSE))))</f>
        <v/>
      </c>
      <c r="N2100" s="486"/>
      <c r="O2100" s="176"/>
      <c r="P2100" s="486"/>
      <c r="Q2100" s="247"/>
      <c r="R2100" s="246">
        <f t="shared" si="81"/>
        <v>0</v>
      </c>
      <c r="S2100" s="177"/>
      <c r="T2100" s="182"/>
      <c r="U2100" s="177"/>
      <c r="V2100" s="177"/>
      <c r="W2100" s="177"/>
      <c r="X2100" s="176"/>
      <c r="Y2100" s="177"/>
      <c r="Z2100" s="415"/>
      <c r="AA2100" s="488"/>
      <c r="AB2100" s="594"/>
      <c r="AC2100" s="595"/>
      <c r="AD2100" s="596" t="str">
        <f>IF(AND(AC2100&lt;&gt;"",S2100&lt;&gt;""),NETWORKDAYS(AC2100,S2100,#REF!),"")</f>
        <v/>
      </c>
      <c r="AE2100" s="596" t="str">
        <f ca="1">IF(AND(AD2100="",AC2100=""),"",IF(OR(AD2100&lt;&gt;"",O2100="*CANCELADO"),"",NETWORKDAYS(AC2100,TODAY(),#REF!)))</f>
        <v/>
      </c>
      <c r="AF2100" s="619"/>
    </row>
    <row r="2101" spans="1:32" ht="14.25" customHeight="1">
      <c r="A2101" s="176"/>
      <c r="B2101" s="176"/>
      <c r="C2101" s="177"/>
      <c r="D2101" s="176"/>
      <c r="E2101" s="176"/>
      <c r="F2101" s="259"/>
      <c r="G2101" s="176"/>
      <c r="H2101" s="178"/>
      <c r="I2101" s="592">
        <f t="shared" si="80"/>
        <v>0</v>
      </c>
      <c r="J2101" s="178"/>
      <c r="K2101" s="178"/>
      <c r="L2101" s="275" t="str">
        <f>IF(H:H=0,"",IF(ISERROR(VLOOKUP(H:H,produtos_escape2!$A$2:$B$2794,2,FALSE)),"Código não cadastrado",(VLOOKUP(H:H,produtos_escape2!$A$2:$B$2794,2,FALSE))))</f>
        <v/>
      </c>
      <c r="M2101" s="593" t="str">
        <f>IF(H:H=0,"",IF(ISERROR(VLOOKUP(H:H,produtos_escape2!$A$2:$D$2794,2,FALSE)),"Código não cadastrado",(VLOOKUP(H:H,produtos_escape2!$A$2:$D$2794,4,FALSE))))</f>
        <v/>
      </c>
      <c r="N2101" s="486"/>
      <c r="O2101" s="176"/>
      <c r="P2101" s="486"/>
      <c r="Q2101" s="247"/>
      <c r="R2101" s="246">
        <f t="shared" si="81"/>
        <v>0</v>
      </c>
      <c r="S2101" s="177"/>
      <c r="T2101" s="182"/>
      <c r="U2101" s="177"/>
      <c r="V2101" s="177"/>
      <c r="W2101" s="177"/>
      <c r="X2101" s="176"/>
      <c r="Y2101" s="177"/>
      <c r="Z2101" s="415"/>
      <c r="AA2101" s="488"/>
      <c r="AB2101" s="594"/>
      <c r="AC2101" s="595"/>
      <c r="AD2101" s="596" t="str">
        <f>IF(AND(AC2101&lt;&gt;"",S2101&lt;&gt;""),NETWORKDAYS(AC2101,S2101,#REF!),"")</f>
        <v/>
      </c>
      <c r="AE2101" s="596" t="str">
        <f ca="1">IF(AND(AD2101="",AC2101=""),"",IF(OR(AD2101&lt;&gt;"",O2101="*CANCELADO"),"",NETWORKDAYS(AC2101,TODAY(),#REF!)))</f>
        <v/>
      </c>
      <c r="AF2101" s="619"/>
    </row>
    <row r="2102" spans="1:32" ht="14.25" customHeight="1">
      <c r="A2102" s="176"/>
      <c r="B2102" s="176"/>
      <c r="C2102" s="177"/>
      <c r="D2102" s="176"/>
      <c r="E2102" s="176"/>
      <c r="F2102" s="259"/>
      <c r="G2102" s="176"/>
      <c r="H2102" s="178"/>
      <c r="I2102" s="592">
        <f t="shared" ref="I2102:I2165" si="82">COUNTIF($H$3:$H$3041,H2102)</f>
        <v>0</v>
      </c>
      <c r="J2102" s="178"/>
      <c r="K2102" s="178"/>
      <c r="L2102" s="275" t="str">
        <f>IF(H:H=0,"",IF(ISERROR(VLOOKUP(H:H,produtos_escape2!$A$2:$B$2794,2,FALSE)),"Código não cadastrado",(VLOOKUP(H:H,produtos_escape2!$A$2:$B$2794,2,FALSE))))</f>
        <v/>
      </c>
      <c r="M2102" s="593" t="str">
        <f>IF(H:H=0,"",IF(ISERROR(VLOOKUP(H:H,produtos_escape2!$A$2:$D$2794,2,FALSE)),"Código não cadastrado",(VLOOKUP(H:H,produtos_escape2!$A$2:$D$2794,4,FALSE))))</f>
        <v/>
      </c>
      <c r="N2102" s="486"/>
      <c r="O2102" s="176"/>
      <c r="P2102" s="486"/>
      <c r="Q2102" s="247"/>
      <c r="R2102" s="246">
        <f t="shared" si="81"/>
        <v>0</v>
      </c>
      <c r="S2102" s="177"/>
      <c r="T2102" s="182"/>
      <c r="U2102" s="177"/>
      <c r="V2102" s="177"/>
      <c r="W2102" s="177"/>
      <c r="X2102" s="176"/>
      <c r="Y2102" s="177"/>
      <c r="Z2102" s="415"/>
      <c r="AA2102" s="488"/>
      <c r="AB2102" s="594"/>
      <c r="AC2102" s="595"/>
      <c r="AD2102" s="596" t="str">
        <f>IF(AND(AC2102&lt;&gt;"",S2102&lt;&gt;""),NETWORKDAYS(AC2102,S2102,#REF!),"")</f>
        <v/>
      </c>
      <c r="AE2102" s="596" t="str">
        <f ca="1">IF(AND(AD2102="",AC2102=""),"",IF(OR(AD2102&lt;&gt;"",O2102="*CANCELADO"),"",NETWORKDAYS(AC2102,TODAY(),#REF!)))</f>
        <v/>
      </c>
      <c r="AF2102" s="619"/>
    </row>
    <row r="2103" spans="1:32" ht="14.25" customHeight="1">
      <c r="A2103" s="176"/>
      <c r="B2103" s="176"/>
      <c r="C2103" s="177"/>
      <c r="D2103" s="176"/>
      <c r="E2103" s="176"/>
      <c r="F2103" s="259"/>
      <c r="G2103" s="176"/>
      <c r="H2103" s="178"/>
      <c r="I2103" s="592">
        <f t="shared" si="82"/>
        <v>0</v>
      </c>
      <c r="J2103" s="178"/>
      <c r="K2103" s="178"/>
      <c r="L2103" s="275" t="str">
        <f>IF(H:H=0,"",IF(ISERROR(VLOOKUP(H:H,produtos_escape2!$A$2:$B$2794,2,FALSE)),"Código não cadastrado",(VLOOKUP(H:H,produtos_escape2!$A$2:$B$2794,2,FALSE))))</f>
        <v/>
      </c>
      <c r="M2103" s="593" t="str">
        <f>IF(H:H=0,"",IF(ISERROR(VLOOKUP(H:H,produtos_escape2!$A$2:$D$2794,2,FALSE)),"Código não cadastrado",(VLOOKUP(H:H,produtos_escape2!$A$2:$D$2794,4,FALSE))))</f>
        <v/>
      </c>
      <c r="N2103" s="486"/>
      <c r="O2103" s="176"/>
      <c r="P2103" s="486"/>
      <c r="Q2103" s="247"/>
      <c r="R2103" s="246">
        <f t="shared" si="81"/>
        <v>0</v>
      </c>
      <c r="S2103" s="177"/>
      <c r="T2103" s="182"/>
      <c r="U2103" s="177"/>
      <c r="V2103" s="177"/>
      <c r="W2103" s="177"/>
      <c r="X2103" s="176"/>
      <c r="Y2103" s="177"/>
      <c r="Z2103" s="415"/>
      <c r="AA2103" s="488"/>
      <c r="AB2103" s="594"/>
      <c r="AC2103" s="595"/>
      <c r="AD2103" s="596" t="str">
        <f>IF(AND(AC2103&lt;&gt;"",S2103&lt;&gt;""),NETWORKDAYS(AC2103,S2103,#REF!),"")</f>
        <v/>
      </c>
      <c r="AE2103" s="596" t="str">
        <f ca="1">IF(AND(AD2103="",AC2103=""),"",IF(OR(AD2103&lt;&gt;"",O2103="*CANCELADO"),"",NETWORKDAYS(AC2103,TODAY(),#REF!)))</f>
        <v/>
      </c>
      <c r="AF2103" s="619"/>
    </row>
    <row r="2104" spans="1:32" ht="14.25" customHeight="1">
      <c r="A2104" s="176"/>
      <c r="B2104" s="176"/>
      <c r="C2104" s="177"/>
      <c r="D2104" s="176"/>
      <c r="E2104" s="176"/>
      <c r="F2104" s="259"/>
      <c r="G2104" s="176"/>
      <c r="H2104" s="178"/>
      <c r="I2104" s="592">
        <f t="shared" si="82"/>
        <v>0</v>
      </c>
      <c r="J2104" s="178"/>
      <c r="K2104" s="178"/>
      <c r="L2104" s="275" t="str">
        <f>IF(H:H=0,"",IF(ISERROR(VLOOKUP(H:H,produtos_escape2!$A$2:$B$2794,2,FALSE)),"Código não cadastrado",(VLOOKUP(H:H,produtos_escape2!$A$2:$B$2794,2,FALSE))))</f>
        <v/>
      </c>
      <c r="M2104" s="593" t="str">
        <f>IF(H:H=0,"",IF(ISERROR(VLOOKUP(H:H,produtos_escape2!$A$2:$D$2794,2,FALSE)),"Código não cadastrado",(VLOOKUP(H:H,produtos_escape2!$A$2:$D$2794,4,FALSE))))</f>
        <v/>
      </c>
      <c r="N2104" s="486"/>
      <c r="O2104" s="176"/>
      <c r="P2104" s="486"/>
      <c r="Q2104" s="247"/>
      <c r="R2104" s="246">
        <f t="shared" si="81"/>
        <v>0</v>
      </c>
      <c r="S2104" s="177"/>
      <c r="T2104" s="182"/>
      <c r="U2104" s="177"/>
      <c r="V2104" s="177"/>
      <c r="W2104" s="177"/>
      <c r="X2104" s="176"/>
      <c r="Y2104" s="177"/>
      <c r="Z2104" s="415"/>
      <c r="AA2104" s="488"/>
      <c r="AB2104" s="594"/>
      <c r="AC2104" s="595"/>
      <c r="AD2104" s="596" t="str">
        <f>IF(AND(AC2104&lt;&gt;"",S2104&lt;&gt;""),NETWORKDAYS(AC2104,S2104,#REF!),"")</f>
        <v/>
      </c>
      <c r="AE2104" s="596" t="str">
        <f ca="1">IF(AND(AD2104="",AC2104=""),"",IF(OR(AD2104&lt;&gt;"",O2104="*CANCELADO"),"",NETWORKDAYS(AC2104,TODAY(),#REF!)))</f>
        <v/>
      </c>
      <c r="AF2104" s="619"/>
    </row>
    <row r="2105" spans="1:32" ht="14.25" customHeight="1">
      <c r="A2105" s="176"/>
      <c r="B2105" s="176"/>
      <c r="C2105" s="177"/>
      <c r="D2105" s="176"/>
      <c r="E2105" s="176"/>
      <c r="F2105" s="259"/>
      <c r="G2105" s="176"/>
      <c r="H2105" s="178"/>
      <c r="I2105" s="592">
        <f t="shared" si="82"/>
        <v>0</v>
      </c>
      <c r="J2105" s="178"/>
      <c r="K2105" s="178"/>
      <c r="L2105" s="275" t="str">
        <f>IF(H:H=0,"",IF(ISERROR(VLOOKUP(H:H,produtos_escape2!$A$2:$B$2794,2,FALSE)),"Código não cadastrado",(VLOOKUP(H:H,produtos_escape2!$A$2:$B$2794,2,FALSE))))</f>
        <v/>
      </c>
      <c r="M2105" s="593" t="str">
        <f>IF(H:H=0,"",IF(ISERROR(VLOOKUP(H:H,produtos_escape2!$A$2:$D$2794,2,FALSE)),"Código não cadastrado",(VLOOKUP(H:H,produtos_escape2!$A$2:$D$2794,4,FALSE))))</f>
        <v/>
      </c>
      <c r="N2105" s="486"/>
      <c r="O2105" s="176"/>
      <c r="P2105" s="486"/>
      <c r="Q2105" s="247"/>
      <c r="R2105" s="246">
        <f t="shared" si="81"/>
        <v>0</v>
      </c>
      <c r="S2105" s="177"/>
      <c r="T2105" s="182"/>
      <c r="U2105" s="177"/>
      <c r="V2105" s="177"/>
      <c r="W2105" s="177"/>
      <c r="X2105" s="176"/>
      <c r="Y2105" s="177"/>
      <c r="Z2105" s="415"/>
      <c r="AA2105" s="488"/>
      <c r="AB2105" s="594"/>
      <c r="AC2105" s="595"/>
      <c r="AD2105" s="596" t="str">
        <f>IF(AND(AC2105&lt;&gt;"",S2105&lt;&gt;""),NETWORKDAYS(AC2105,S2105,#REF!),"")</f>
        <v/>
      </c>
      <c r="AE2105" s="596" t="str">
        <f ca="1">IF(AND(AD2105="",AC2105=""),"",IF(OR(AD2105&lt;&gt;"",O2105="*CANCELADO"),"",NETWORKDAYS(AC2105,TODAY(),#REF!)))</f>
        <v/>
      </c>
      <c r="AF2105" s="619"/>
    </row>
    <row r="2106" spans="1:32" ht="14.25" customHeight="1">
      <c r="A2106" s="176"/>
      <c r="B2106" s="176"/>
      <c r="C2106" s="177"/>
      <c r="D2106" s="176"/>
      <c r="E2106" s="176"/>
      <c r="F2106" s="259"/>
      <c r="G2106" s="176"/>
      <c r="H2106" s="178"/>
      <c r="I2106" s="592">
        <f t="shared" si="82"/>
        <v>0</v>
      </c>
      <c r="J2106" s="178"/>
      <c r="K2106" s="178"/>
      <c r="L2106" s="275" t="str">
        <f>IF(H:H=0,"",IF(ISERROR(VLOOKUP(H:H,produtos_escape2!$A$2:$B$2794,2,FALSE)),"Código não cadastrado",(VLOOKUP(H:H,produtos_escape2!$A$2:$B$2794,2,FALSE))))</f>
        <v/>
      </c>
      <c r="M2106" s="593" t="str">
        <f>IF(H:H=0,"",IF(ISERROR(VLOOKUP(H:H,produtos_escape2!$A$2:$D$2794,2,FALSE)),"Código não cadastrado",(VLOOKUP(H:H,produtos_escape2!$A$2:$D$2794,4,FALSE))))</f>
        <v/>
      </c>
      <c r="N2106" s="486"/>
      <c r="O2106" s="176"/>
      <c r="P2106" s="486"/>
      <c r="Q2106" s="247"/>
      <c r="R2106" s="246">
        <f t="shared" si="81"/>
        <v>0</v>
      </c>
      <c r="S2106" s="177"/>
      <c r="T2106" s="182"/>
      <c r="U2106" s="177"/>
      <c r="V2106" s="177"/>
      <c r="W2106" s="177"/>
      <c r="X2106" s="176"/>
      <c r="Y2106" s="177"/>
      <c r="Z2106" s="415"/>
      <c r="AA2106" s="488"/>
      <c r="AB2106" s="594"/>
      <c r="AC2106" s="595"/>
      <c r="AD2106" s="596" t="str">
        <f>IF(AND(AC2106&lt;&gt;"",S2106&lt;&gt;""),NETWORKDAYS(AC2106,S2106,#REF!),"")</f>
        <v/>
      </c>
      <c r="AE2106" s="596" t="str">
        <f ca="1">IF(AND(AD2106="",AC2106=""),"",IF(OR(AD2106&lt;&gt;"",O2106="*CANCELADO"),"",NETWORKDAYS(AC2106,TODAY(),#REF!)))</f>
        <v/>
      </c>
      <c r="AF2106" s="619"/>
    </row>
    <row r="2107" spans="1:32" ht="14.25" customHeight="1">
      <c r="A2107" s="176"/>
      <c r="B2107" s="176"/>
      <c r="C2107" s="177"/>
      <c r="D2107" s="176"/>
      <c r="E2107" s="176"/>
      <c r="F2107" s="259"/>
      <c r="G2107" s="176"/>
      <c r="H2107" s="178"/>
      <c r="I2107" s="592">
        <f t="shared" si="82"/>
        <v>0</v>
      </c>
      <c r="J2107" s="178"/>
      <c r="K2107" s="178"/>
      <c r="L2107" s="275" t="str">
        <f>IF(H:H=0,"",IF(ISERROR(VLOOKUP(H:H,produtos_escape2!$A$2:$B$2794,2,FALSE)),"Código não cadastrado",(VLOOKUP(H:H,produtos_escape2!$A$2:$B$2794,2,FALSE))))</f>
        <v/>
      </c>
      <c r="M2107" s="593" t="str">
        <f>IF(H:H=0,"",IF(ISERROR(VLOOKUP(H:H,produtos_escape2!$A$2:$D$2794,2,FALSE)),"Código não cadastrado",(VLOOKUP(H:H,produtos_escape2!$A$2:$D$2794,4,FALSE))))</f>
        <v/>
      </c>
      <c r="N2107" s="486"/>
      <c r="O2107" s="176"/>
      <c r="P2107" s="486"/>
      <c r="Q2107" s="247"/>
      <c r="R2107" s="246">
        <f t="shared" si="81"/>
        <v>0</v>
      </c>
      <c r="S2107" s="177"/>
      <c r="T2107" s="182"/>
      <c r="U2107" s="177"/>
      <c r="V2107" s="177"/>
      <c r="W2107" s="177"/>
      <c r="X2107" s="176"/>
      <c r="Y2107" s="177"/>
      <c r="Z2107" s="415"/>
      <c r="AA2107" s="488"/>
      <c r="AB2107" s="594"/>
      <c r="AC2107" s="595"/>
      <c r="AD2107" s="596" t="str">
        <f>IF(AND(AC2107&lt;&gt;"",S2107&lt;&gt;""),NETWORKDAYS(AC2107,S2107,#REF!),"")</f>
        <v/>
      </c>
      <c r="AE2107" s="596" t="str">
        <f ca="1">IF(AND(AD2107="",AC2107=""),"",IF(OR(AD2107&lt;&gt;"",O2107="*CANCELADO"),"",NETWORKDAYS(AC2107,TODAY(),#REF!)))</f>
        <v/>
      </c>
      <c r="AF2107" s="619"/>
    </row>
    <row r="2108" spans="1:32" ht="14.25" customHeight="1">
      <c r="A2108" s="176"/>
      <c r="B2108" s="176"/>
      <c r="C2108" s="177"/>
      <c r="D2108" s="176"/>
      <c r="E2108" s="176"/>
      <c r="F2108" s="259"/>
      <c r="G2108" s="176"/>
      <c r="H2108" s="178"/>
      <c r="I2108" s="592">
        <f t="shared" si="82"/>
        <v>0</v>
      </c>
      <c r="J2108" s="178"/>
      <c r="K2108" s="178"/>
      <c r="L2108" s="275" t="str">
        <f>IF(H:H=0,"",IF(ISERROR(VLOOKUP(H:H,produtos_escape2!$A$2:$B$2794,2,FALSE)),"Código não cadastrado",(VLOOKUP(H:H,produtos_escape2!$A$2:$B$2794,2,FALSE))))</f>
        <v/>
      </c>
      <c r="M2108" s="593" t="str">
        <f>IF(H:H=0,"",IF(ISERROR(VLOOKUP(H:H,produtos_escape2!$A$2:$D$2794,2,FALSE)),"Código não cadastrado",(VLOOKUP(H:H,produtos_escape2!$A$2:$D$2794,4,FALSE))))</f>
        <v/>
      </c>
      <c r="N2108" s="486"/>
      <c r="O2108" s="176"/>
      <c r="P2108" s="486"/>
      <c r="Q2108" s="247"/>
      <c r="R2108" s="246">
        <f t="shared" si="81"/>
        <v>0</v>
      </c>
      <c r="S2108" s="177"/>
      <c r="T2108" s="182"/>
      <c r="U2108" s="177"/>
      <c r="V2108" s="177"/>
      <c r="W2108" s="177"/>
      <c r="X2108" s="176"/>
      <c r="Y2108" s="177"/>
      <c r="Z2108" s="415"/>
      <c r="AA2108" s="488"/>
      <c r="AB2108" s="594"/>
      <c r="AC2108" s="595"/>
      <c r="AD2108" s="596" t="str">
        <f>IF(AND(AC2108&lt;&gt;"",S2108&lt;&gt;""),NETWORKDAYS(AC2108,S2108,#REF!),"")</f>
        <v/>
      </c>
      <c r="AE2108" s="596" t="str">
        <f ca="1">IF(AND(AD2108="",AC2108=""),"",IF(OR(AD2108&lt;&gt;"",O2108="*CANCELADO"),"",NETWORKDAYS(AC2108,TODAY(),#REF!)))</f>
        <v/>
      </c>
      <c r="AF2108" s="619"/>
    </row>
    <row r="2109" spans="1:32" ht="14.25" customHeight="1">
      <c r="A2109" s="176"/>
      <c r="B2109" s="176"/>
      <c r="C2109" s="177"/>
      <c r="D2109" s="176"/>
      <c r="E2109" s="176"/>
      <c r="F2109" s="259"/>
      <c r="G2109" s="176"/>
      <c r="H2109" s="178"/>
      <c r="I2109" s="592">
        <f t="shared" si="82"/>
        <v>0</v>
      </c>
      <c r="J2109" s="178"/>
      <c r="K2109" s="178"/>
      <c r="L2109" s="275" t="str">
        <f>IF(H:H=0,"",IF(ISERROR(VLOOKUP(H:H,produtos_escape2!$A$2:$B$2794,2,FALSE)),"Código não cadastrado",(VLOOKUP(H:H,produtos_escape2!$A$2:$B$2794,2,FALSE))))</f>
        <v/>
      </c>
      <c r="M2109" s="593" t="str">
        <f>IF(H:H=0,"",IF(ISERROR(VLOOKUP(H:H,produtos_escape2!$A$2:$D$2794,2,FALSE)),"Código não cadastrado",(VLOOKUP(H:H,produtos_escape2!$A$2:$D$2794,4,FALSE))))</f>
        <v/>
      </c>
      <c r="N2109" s="486"/>
      <c r="O2109" s="176"/>
      <c r="P2109" s="486"/>
      <c r="Q2109" s="247"/>
      <c r="R2109" s="246">
        <f t="shared" si="81"/>
        <v>0</v>
      </c>
      <c r="S2109" s="177"/>
      <c r="T2109" s="182"/>
      <c r="U2109" s="177"/>
      <c r="V2109" s="177"/>
      <c r="W2109" s="177"/>
      <c r="X2109" s="176"/>
      <c r="Y2109" s="177"/>
      <c r="Z2109" s="415"/>
      <c r="AA2109" s="488"/>
      <c r="AB2109" s="594"/>
      <c r="AC2109" s="595"/>
      <c r="AD2109" s="596" t="str">
        <f>IF(AND(AC2109&lt;&gt;"",S2109&lt;&gt;""),NETWORKDAYS(AC2109,S2109,#REF!),"")</f>
        <v/>
      </c>
      <c r="AE2109" s="596" t="str">
        <f ca="1">IF(AND(AD2109="",AC2109=""),"",IF(OR(AD2109&lt;&gt;"",O2109="*CANCELADO"),"",NETWORKDAYS(AC2109,TODAY(),#REF!)))</f>
        <v/>
      </c>
      <c r="AF2109" s="619"/>
    </row>
    <row r="2110" spans="1:32" ht="14.25" customHeight="1">
      <c r="A2110" s="176"/>
      <c r="B2110" s="176"/>
      <c r="C2110" s="177"/>
      <c r="D2110" s="176"/>
      <c r="E2110" s="176"/>
      <c r="F2110" s="259"/>
      <c r="G2110" s="176"/>
      <c r="H2110" s="178"/>
      <c r="I2110" s="592">
        <f t="shared" si="82"/>
        <v>0</v>
      </c>
      <c r="J2110" s="178"/>
      <c r="K2110" s="178"/>
      <c r="L2110" s="275" t="str">
        <f>IF(H:H=0,"",IF(ISERROR(VLOOKUP(H:H,produtos_escape2!$A$2:$B$2794,2,FALSE)),"Código não cadastrado",(VLOOKUP(H:H,produtos_escape2!$A$2:$B$2794,2,FALSE))))</f>
        <v/>
      </c>
      <c r="M2110" s="593" t="str">
        <f>IF(H:H=0,"",IF(ISERROR(VLOOKUP(H:H,produtos_escape2!$A$2:$D$2794,2,FALSE)),"Código não cadastrado",(VLOOKUP(H:H,produtos_escape2!$A$2:$D$2794,4,FALSE))))</f>
        <v/>
      </c>
      <c r="N2110" s="486"/>
      <c r="O2110" s="176"/>
      <c r="P2110" s="486"/>
      <c r="Q2110" s="247"/>
      <c r="R2110" s="246">
        <f t="shared" si="81"/>
        <v>0</v>
      </c>
      <c r="S2110" s="177"/>
      <c r="T2110" s="182"/>
      <c r="U2110" s="177"/>
      <c r="V2110" s="177"/>
      <c r="W2110" s="177"/>
      <c r="X2110" s="176"/>
      <c r="Y2110" s="177"/>
      <c r="Z2110" s="415"/>
      <c r="AA2110" s="488"/>
      <c r="AB2110" s="594"/>
      <c r="AC2110" s="595"/>
      <c r="AD2110" s="596" t="str">
        <f>IF(AND(AC2110&lt;&gt;"",S2110&lt;&gt;""),NETWORKDAYS(AC2110,S2110,#REF!),"")</f>
        <v/>
      </c>
      <c r="AE2110" s="596" t="str">
        <f ca="1">IF(AND(AD2110="",AC2110=""),"",IF(OR(AD2110&lt;&gt;"",O2110="*CANCELADO"),"",NETWORKDAYS(AC2110,TODAY(),#REF!)))</f>
        <v/>
      </c>
      <c r="AF2110" s="619"/>
    </row>
    <row r="2111" spans="1:32" ht="14.25" customHeight="1">
      <c r="A2111" s="176"/>
      <c r="B2111" s="176"/>
      <c r="C2111" s="177"/>
      <c r="D2111" s="176"/>
      <c r="E2111" s="176"/>
      <c r="F2111" s="259"/>
      <c r="G2111" s="176"/>
      <c r="H2111" s="178"/>
      <c r="I2111" s="592">
        <f t="shared" si="82"/>
        <v>0</v>
      </c>
      <c r="J2111" s="178"/>
      <c r="K2111" s="178"/>
      <c r="L2111" s="275" t="str">
        <f>IF(H:H=0,"",IF(ISERROR(VLOOKUP(H:H,produtos_escape2!$A$2:$B$2794,2,FALSE)),"Código não cadastrado",(VLOOKUP(H:H,produtos_escape2!$A$2:$B$2794,2,FALSE))))</f>
        <v/>
      </c>
      <c r="M2111" s="593" t="str">
        <f>IF(H:H=0,"",IF(ISERROR(VLOOKUP(H:H,produtos_escape2!$A$2:$D$2794,2,FALSE)),"Código não cadastrado",(VLOOKUP(H:H,produtos_escape2!$A$2:$D$2794,4,FALSE))))</f>
        <v/>
      </c>
      <c r="N2111" s="486"/>
      <c r="O2111" s="176"/>
      <c r="P2111" s="486"/>
      <c r="Q2111" s="247"/>
      <c r="R2111" s="246">
        <f t="shared" si="81"/>
        <v>0</v>
      </c>
      <c r="S2111" s="177"/>
      <c r="T2111" s="182"/>
      <c r="U2111" s="177"/>
      <c r="V2111" s="177"/>
      <c r="W2111" s="177"/>
      <c r="X2111" s="176"/>
      <c r="Y2111" s="177"/>
      <c r="Z2111" s="415"/>
      <c r="AA2111" s="488"/>
      <c r="AB2111" s="594"/>
      <c r="AC2111" s="595"/>
      <c r="AD2111" s="596" t="str">
        <f>IF(AND(AC2111&lt;&gt;"",S2111&lt;&gt;""),NETWORKDAYS(AC2111,S2111,#REF!),"")</f>
        <v/>
      </c>
      <c r="AE2111" s="596" t="str">
        <f ca="1">IF(AND(AD2111="",AC2111=""),"",IF(OR(AD2111&lt;&gt;"",O2111="*CANCELADO"),"",NETWORKDAYS(AC2111,TODAY(),#REF!)))</f>
        <v/>
      </c>
      <c r="AF2111" s="619"/>
    </row>
    <row r="2112" spans="1:32" ht="14.25" customHeight="1">
      <c r="A2112" s="176"/>
      <c r="B2112" s="176"/>
      <c r="C2112" s="177"/>
      <c r="D2112" s="176"/>
      <c r="E2112" s="176"/>
      <c r="F2112" s="259"/>
      <c r="G2112" s="176"/>
      <c r="H2112" s="178"/>
      <c r="I2112" s="592">
        <f t="shared" si="82"/>
        <v>0</v>
      </c>
      <c r="J2112" s="178"/>
      <c r="K2112" s="178"/>
      <c r="L2112" s="275" t="str">
        <f>IF(H:H=0,"",IF(ISERROR(VLOOKUP(H:H,produtos_escape2!$A$2:$B$2794,2,FALSE)),"Código não cadastrado",(VLOOKUP(H:H,produtos_escape2!$A$2:$B$2794,2,FALSE))))</f>
        <v/>
      </c>
      <c r="M2112" s="593" t="str">
        <f>IF(H:H=0,"",IF(ISERROR(VLOOKUP(H:H,produtos_escape2!$A$2:$D$2794,2,FALSE)),"Código não cadastrado",(VLOOKUP(H:H,produtos_escape2!$A$2:$D$2794,4,FALSE))))</f>
        <v/>
      </c>
      <c r="N2112" s="486"/>
      <c r="O2112" s="176"/>
      <c r="P2112" s="486"/>
      <c r="Q2112" s="247"/>
      <c r="R2112" s="246">
        <f t="shared" si="81"/>
        <v>0</v>
      </c>
      <c r="S2112" s="177"/>
      <c r="T2112" s="182"/>
      <c r="U2112" s="177"/>
      <c r="V2112" s="177"/>
      <c r="W2112" s="177"/>
      <c r="X2112" s="176"/>
      <c r="Y2112" s="177"/>
      <c r="Z2112" s="415"/>
      <c r="AA2112" s="488"/>
      <c r="AB2112" s="594"/>
      <c r="AC2112" s="595"/>
      <c r="AD2112" s="596" t="str">
        <f>IF(AND(AC2112&lt;&gt;"",S2112&lt;&gt;""),NETWORKDAYS(AC2112,S2112,#REF!),"")</f>
        <v/>
      </c>
      <c r="AE2112" s="596" t="str">
        <f ca="1">IF(AND(AD2112="",AC2112=""),"",IF(OR(AD2112&lt;&gt;"",O2112="*CANCELADO"),"",NETWORKDAYS(AC2112,TODAY(),#REF!)))</f>
        <v/>
      </c>
      <c r="AF2112" s="619"/>
    </row>
    <row r="2113" spans="1:32" ht="14.25" customHeight="1">
      <c r="A2113" s="176"/>
      <c r="B2113" s="176"/>
      <c r="C2113" s="177"/>
      <c r="D2113" s="176"/>
      <c r="E2113" s="176"/>
      <c r="F2113" s="259"/>
      <c r="G2113" s="176"/>
      <c r="H2113" s="178"/>
      <c r="I2113" s="592">
        <f t="shared" si="82"/>
        <v>0</v>
      </c>
      <c r="J2113" s="178"/>
      <c r="K2113" s="178"/>
      <c r="L2113" s="275" t="str">
        <f>IF(H:H=0,"",IF(ISERROR(VLOOKUP(H:H,produtos_escape2!$A$2:$B$2794,2,FALSE)),"Código não cadastrado",(VLOOKUP(H:H,produtos_escape2!$A$2:$B$2794,2,FALSE))))</f>
        <v/>
      </c>
      <c r="M2113" s="593" t="str">
        <f>IF(H:H=0,"",IF(ISERROR(VLOOKUP(H:H,produtos_escape2!$A$2:$D$2794,2,FALSE)),"Código não cadastrado",(VLOOKUP(H:H,produtos_escape2!$A$2:$D$2794,4,FALSE))))</f>
        <v/>
      </c>
      <c r="N2113" s="486"/>
      <c r="O2113" s="176"/>
      <c r="P2113" s="486"/>
      <c r="Q2113" s="247"/>
      <c r="R2113" s="246">
        <f t="shared" si="81"/>
        <v>0</v>
      </c>
      <c r="S2113" s="177"/>
      <c r="T2113" s="182"/>
      <c r="U2113" s="177"/>
      <c r="V2113" s="177"/>
      <c r="W2113" s="177"/>
      <c r="X2113" s="176"/>
      <c r="Y2113" s="177"/>
      <c r="Z2113" s="415"/>
      <c r="AA2113" s="488"/>
      <c r="AB2113" s="594"/>
      <c r="AC2113" s="595"/>
      <c r="AD2113" s="596" t="str">
        <f>IF(AND(AC2113&lt;&gt;"",S2113&lt;&gt;""),NETWORKDAYS(AC2113,S2113,#REF!),"")</f>
        <v/>
      </c>
      <c r="AE2113" s="596" t="str">
        <f ca="1">IF(AND(AD2113="",AC2113=""),"",IF(OR(AD2113&lt;&gt;"",O2113="*CANCELADO"),"",NETWORKDAYS(AC2113,TODAY(),#REF!)))</f>
        <v/>
      </c>
      <c r="AF2113" s="619"/>
    </row>
    <row r="2114" spans="1:32" ht="14.25" customHeight="1">
      <c r="A2114" s="176"/>
      <c r="B2114" s="176"/>
      <c r="C2114" s="177"/>
      <c r="D2114" s="176"/>
      <c r="E2114" s="176"/>
      <c r="F2114" s="259"/>
      <c r="G2114" s="176"/>
      <c r="H2114" s="178"/>
      <c r="I2114" s="592">
        <f t="shared" si="82"/>
        <v>0</v>
      </c>
      <c r="J2114" s="178"/>
      <c r="K2114" s="178"/>
      <c r="L2114" s="275" t="str">
        <f>IF(H:H=0,"",IF(ISERROR(VLOOKUP(H:H,produtos_escape2!$A$2:$B$2794,2,FALSE)),"Código não cadastrado",(VLOOKUP(H:H,produtos_escape2!$A$2:$B$2794,2,FALSE))))</f>
        <v/>
      </c>
      <c r="M2114" s="593" t="str">
        <f>IF(H:H=0,"",IF(ISERROR(VLOOKUP(H:H,produtos_escape2!$A$2:$D$2794,2,FALSE)),"Código não cadastrado",(VLOOKUP(H:H,produtos_escape2!$A$2:$D$2794,4,FALSE))))</f>
        <v/>
      </c>
      <c r="N2114" s="486"/>
      <c r="O2114" s="176"/>
      <c r="P2114" s="486"/>
      <c r="Q2114" s="247"/>
      <c r="R2114" s="246">
        <f t="shared" si="81"/>
        <v>0</v>
      </c>
      <c r="S2114" s="177"/>
      <c r="T2114" s="182"/>
      <c r="U2114" s="177"/>
      <c r="V2114" s="177"/>
      <c r="W2114" s="177"/>
      <c r="X2114" s="176"/>
      <c r="Y2114" s="177"/>
      <c r="Z2114" s="415"/>
      <c r="AA2114" s="488"/>
      <c r="AB2114" s="594"/>
      <c r="AC2114" s="595"/>
      <c r="AD2114" s="596" t="str">
        <f>IF(AND(AC2114&lt;&gt;"",S2114&lt;&gt;""),NETWORKDAYS(AC2114,S2114,#REF!),"")</f>
        <v/>
      </c>
      <c r="AE2114" s="596" t="str">
        <f ca="1">IF(AND(AD2114="",AC2114=""),"",IF(OR(AD2114&lt;&gt;"",O2114="*CANCELADO"),"",NETWORKDAYS(AC2114,TODAY(),#REF!)))</f>
        <v/>
      </c>
      <c r="AF2114" s="619"/>
    </row>
    <row r="2115" spans="1:32" ht="14.25" customHeight="1">
      <c r="A2115" s="176"/>
      <c r="B2115" s="176"/>
      <c r="C2115" s="177"/>
      <c r="D2115" s="176"/>
      <c r="E2115" s="176"/>
      <c r="F2115" s="259"/>
      <c r="G2115" s="176"/>
      <c r="H2115" s="178"/>
      <c r="I2115" s="592">
        <f t="shared" si="82"/>
        <v>0</v>
      </c>
      <c r="J2115" s="178"/>
      <c r="K2115" s="178"/>
      <c r="L2115" s="275" t="str">
        <f>IF(H:H=0,"",IF(ISERROR(VLOOKUP(H:H,produtos_escape2!$A$2:$B$2794,2,FALSE)),"Código não cadastrado",(VLOOKUP(H:H,produtos_escape2!$A$2:$B$2794,2,FALSE))))</f>
        <v/>
      </c>
      <c r="M2115" s="593" t="str">
        <f>IF(H:H=0,"",IF(ISERROR(VLOOKUP(H:H,produtos_escape2!$A$2:$D$2794,2,FALSE)),"Código não cadastrado",(VLOOKUP(H:H,produtos_escape2!$A$2:$D$2794,4,FALSE))))</f>
        <v/>
      </c>
      <c r="N2115" s="486"/>
      <c r="O2115" s="176"/>
      <c r="P2115" s="486"/>
      <c r="Q2115" s="247"/>
      <c r="R2115" s="246">
        <f t="shared" si="81"/>
        <v>0</v>
      </c>
      <c r="S2115" s="177"/>
      <c r="T2115" s="182"/>
      <c r="U2115" s="177"/>
      <c r="V2115" s="177"/>
      <c r="W2115" s="177"/>
      <c r="X2115" s="176"/>
      <c r="Y2115" s="177"/>
      <c r="Z2115" s="415"/>
      <c r="AA2115" s="488"/>
      <c r="AB2115" s="594"/>
      <c r="AC2115" s="595"/>
      <c r="AD2115" s="596" t="str">
        <f>IF(AND(AC2115&lt;&gt;"",S2115&lt;&gt;""),NETWORKDAYS(AC2115,S2115,#REF!),"")</f>
        <v/>
      </c>
      <c r="AE2115" s="596" t="str">
        <f ca="1">IF(AND(AD2115="",AC2115=""),"",IF(OR(AD2115&lt;&gt;"",O2115="*CANCELADO"),"",NETWORKDAYS(AC2115,TODAY(),#REF!)))</f>
        <v/>
      </c>
      <c r="AF2115" s="619"/>
    </row>
    <row r="2116" spans="1:32" ht="14.25" customHeight="1">
      <c r="A2116" s="176"/>
      <c r="B2116" s="176"/>
      <c r="C2116" s="177"/>
      <c r="D2116" s="176"/>
      <c r="E2116" s="176"/>
      <c r="F2116" s="259"/>
      <c r="G2116" s="176"/>
      <c r="H2116" s="178"/>
      <c r="I2116" s="592">
        <f t="shared" si="82"/>
        <v>0</v>
      </c>
      <c r="J2116" s="178"/>
      <c r="K2116" s="178"/>
      <c r="L2116" s="275" t="str">
        <f>IF(H:H=0,"",IF(ISERROR(VLOOKUP(H:H,produtos_escape2!$A$2:$B$2794,2,FALSE)),"Código não cadastrado",(VLOOKUP(H:H,produtos_escape2!$A$2:$B$2794,2,FALSE))))</f>
        <v/>
      </c>
      <c r="M2116" s="593" t="str">
        <f>IF(H:H=0,"",IF(ISERROR(VLOOKUP(H:H,produtos_escape2!$A$2:$D$2794,2,FALSE)),"Código não cadastrado",(VLOOKUP(H:H,produtos_escape2!$A$2:$D$2794,4,FALSE))))</f>
        <v/>
      </c>
      <c r="N2116" s="486"/>
      <c r="O2116" s="176"/>
      <c r="P2116" s="486"/>
      <c r="Q2116" s="247"/>
      <c r="R2116" s="246">
        <f t="shared" si="81"/>
        <v>0</v>
      </c>
      <c r="S2116" s="177"/>
      <c r="T2116" s="182"/>
      <c r="U2116" s="177"/>
      <c r="V2116" s="177"/>
      <c r="W2116" s="177"/>
      <c r="X2116" s="176"/>
      <c r="Y2116" s="177"/>
      <c r="Z2116" s="415"/>
      <c r="AA2116" s="488"/>
      <c r="AB2116" s="594"/>
      <c r="AC2116" s="595"/>
      <c r="AD2116" s="596" t="str">
        <f>IF(AND(AC2116&lt;&gt;"",S2116&lt;&gt;""),NETWORKDAYS(AC2116,S2116,#REF!),"")</f>
        <v/>
      </c>
      <c r="AE2116" s="596" t="str">
        <f ca="1">IF(AND(AD2116="",AC2116=""),"",IF(OR(AD2116&lt;&gt;"",O2116="*CANCELADO"),"",NETWORKDAYS(AC2116,TODAY(),#REF!)))</f>
        <v/>
      </c>
      <c r="AF2116" s="619"/>
    </row>
    <row r="2117" spans="1:32" ht="14.25" customHeight="1">
      <c r="A2117" s="176"/>
      <c r="B2117" s="176"/>
      <c r="C2117" s="177"/>
      <c r="D2117" s="176"/>
      <c r="E2117" s="176"/>
      <c r="F2117" s="259"/>
      <c r="G2117" s="176"/>
      <c r="H2117" s="178"/>
      <c r="I2117" s="592">
        <f t="shared" si="82"/>
        <v>0</v>
      </c>
      <c r="J2117" s="178"/>
      <c r="K2117" s="178"/>
      <c r="L2117" s="275" t="str">
        <f>IF(H:H=0,"",IF(ISERROR(VLOOKUP(H:H,produtos_escape2!$A$2:$B$2794,2,FALSE)),"Código não cadastrado",(VLOOKUP(H:H,produtos_escape2!$A$2:$B$2794,2,FALSE))))</f>
        <v/>
      </c>
      <c r="M2117" s="593" t="str">
        <f>IF(H:H=0,"",IF(ISERROR(VLOOKUP(H:H,produtos_escape2!$A$2:$D$2794,2,FALSE)),"Código não cadastrado",(VLOOKUP(H:H,produtos_escape2!$A$2:$D$2794,4,FALSE))))</f>
        <v/>
      </c>
      <c r="N2117" s="486"/>
      <c r="O2117" s="176"/>
      <c r="P2117" s="486"/>
      <c r="Q2117" s="247"/>
      <c r="R2117" s="246">
        <f t="shared" si="81"/>
        <v>0</v>
      </c>
      <c r="S2117" s="177"/>
      <c r="T2117" s="182"/>
      <c r="U2117" s="177"/>
      <c r="V2117" s="177"/>
      <c r="W2117" s="177"/>
      <c r="X2117" s="176"/>
      <c r="Y2117" s="177"/>
      <c r="Z2117" s="415"/>
      <c r="AA2117" s="488"/>
      <c r="AB2117" s="594"/>
      <c r="AC2117" s="595"/>
      <c r="AD2117" s="596" t="str">
        <f>IF(AND(AC2117&lt;&gt;"",S2117&lt;&gt;""),NETWORKDAYS(AC2117,S2117,#REF!),"")</f>
        <v/>
      </c>
      <c r="AE2117" s="596" t="str">
        <f ca="1">IF(AND(AD2117="",AC2117=""),"",IF(OR(AD2117&lt;&gt;"",O2117="*CANCELADO"),"",NETWORKDAYS(AC2117,TODAY(),#REF!)))</f>
        <v/>
      </c>
      <c r="AF2117" s="619"/>
    </row>
    <row r="2118" spans="1:32" ht="14.25" customHeight="1">
      <c r="A2118" s="176"/>
      <c r="B2118" s="176"/>
      <c r="C2118" s="177"/>
      <c r="D2118" s="176"/>
      <c r="E2118" s="176"/>
      <c r="F2118" s="259"/>
      <c r="G2118" s="176"/>
      <c r="H2118" s="178"/>
      <c r="I2118" s="592">
        <f t="shared" si="82"/>
        <v>0</v>
      </c>
      <c r="J2118" s="178"/>
      <c r="K2118" s="178"/>
      <c r="L2118" s="275" t="str">
        <f>IF(H:H=0,"",IF(ISERROR(VLOOKUP(H:H,produtos_escape2!$A$2:$B$2794,2,FALSE)),"Código não cadastrado",(VLOOKUP(H:H,produtos_escape2!$A$2:$B$2794,2,FALSE))))</f>
        <v/>
      </c>
      <c r="M2118" s="593" t="str">
        <f>IF(H:H=0,"",IF(ISERROR(VLOOKUP(H:H,produtos_escape2!$A$2:$D$2794,2,FALSE)),"Código não cadastrado",(VLOOKUP(H:H,produtos_escape2!$A$2:$D$2794,4,FALSE))))</f>
        <v/>
      </c>
      <c r="N2118" s="486"/>
      <c r="O2118" s="176"/>
      <c r="P2118" s="486"/>
      <c r="Q2118" s="247"/>
      <c r="R2118" s="246">
        <f t="shared" si="81"/>
        <v>0</v>
      </c>
      <c r="S2118" s="177"/>
      <c r="T2118" s="182"/>
      <c r="U2118" s="177"/>
      <c r="V2118" s="177"/>
      <c r="W2118" s="177"/>
      <c r="X2118" s="176"/>
      <c r="Y2118" s="177"/>
      <c r="Z2118" s="415"/>
      <c r="AA2118" s="488"/>
      <c r="AB2118" s="594"/>
      <c r="AC2118" s="595"/>
      <c r="AD2118" s="596" t="str">
        <f>IF(AND(AC2118&lt;&gt;"",S2118&lt;&gt;""),NETWORKDAYS(AC2118,S2118,#REF!),"")</f>
        <v/>
      </c>
      <c r="AE2118" s="596" t="str">
        <f ca="1">IF(AND(AD2118="",AC2118=""),"",IF(OR(AD2118&lt;&gt;"",O2118="*CANCELADO"),"",NETWORKDAYS(AC2118,TODAY(),#REF!)))</f>
        <v/>
      </c>
      <c r="AF2118" s="619"/>
    </row>
    <row r="2119" spans="1:32" ht="14.25" customHeight="1">
      <c r="A2119" s="176"/>
      <c r="B2119" s="176"/>
      <c r="C2119" s="177"/>
      <c r="D2119" s="176"/>
      <c r="E2119" s="176"/>
      <c r="F2119" s="259"/>
      <c r="G2119" s="176"/>
      <c r="H2119" s="178"/>
      <c r="I2119" s="592">
        <f t="shared" si="82"/>
        <v>0</v>
      </c>
      <c r="J2119" s="178"/>
      <c r="K2119" s="178"/>
      <c r="L2119" s="275" t="str">
        <f>IF(H:H=0,"",IF(ISERROR(VLOOKUP(H:H,produtos_escape2!$A$2:$B$2794,2,FALSE)),"Código não cadastrado",(VLOOKUP(H:H,produtos_escape2!$A$2:$B$2794,2,FALSE))))</f>
        <v/>
      </c>
      <c r="M2119" s="593" t="str">
        <f>IF(H:H=0,"",IF(ISERROR(VLOOKUP(H:H,produtos_escape2!$A$2:$D$2794,2,FALSE)),"Código não cadastrado",(VLOOKUP(H:H,produtos_escape2!$A$2:$D$2794,4,FALSE))))</f>
        <v/>
      </c>
      <c r="N2119" s="486"/>
      <c r="O2119" s="176"/>
      <c r="P2119" s="486"/>
      <c r="Q2119" s="247"/>
      <c r="R2119" s="246">
        <f t="shared" si="81"/>
        <v>0</v>
      </c>
      <c r="S2119" s="177"/>
      <c r="T2119" s="182"/>
      <c r="U2119" s="177"/>
      <c r="V2119" s="177"/>
      <c r="W2119" s="177"/>
      <c r="X2119" s="176"/>
      <c r="Y2119" s="177"/>
      <c r="Z2119" s="415"/>
      <c r="AA2119" s="488"/>
      <c r="AB2119" s="594"/>
      <c r="AC2119" s="595"/>
      <c r="AD2119" s="596" t="str">
        <f>IF(AND(AC2119&lt;&gt;"",S2119&lt;&gt;""),NETWORKDAYS(AC2119,S2119,#REF!),"")</f>
        <v/>
      </c>
      <c r="AE2119" s="596" t="str">
        <f ca="1">IF(AND(AD2119="",AC2119=""),"",IF(OR(AD2119&lt;&gt;"",O2119="*CANCELADO"),"",NETWORKDAYS(AC2119,TODAY(),#REF!)))</f>
        <v/>
      </c>
      <c r="AF2119" s="619"/>
    </row>
    <row r="2120" spans="1:32" ht="14.25" customHeight="1">
      <c r="A2120" s="176"/>
      <c r="B2120" s="176"/>
      <c r="C2120" s="177"/>
      <c r="D2120" s="176"/>
      <c r="E2120" s="176"/>
      <c r="F2120" s="259"/>
      <c r="G2120" s="176"/>
      <c r="H2120" s="178"/>
      <c r="I2120" s="592">
        <f t="shared" si="82"/>
        <v>0</v>
      </c>
      <c r="J2120" s="178"/>
      <c r="K2120" s="178"/>
      <c r="L2120" s="275" t="str">
        <f>IF(H:H=0,"",IF(ISERROR(VLOOKUP(H:H,produtos_escape2!$A$2:$B$2794,2,FALSE)),"Código não cadastrado",(VLOOKUP(H:H,produtos_escape2!$A$2:$B$2794,2,FALSE))))</f>
        <v/>
      </c>
      <c r="M2120" s="593" t="str">
        <f>IF(H:H=0,"",IF(ISERROR(VLOOKUP(H:H,produtos_escape2!$A$2:$D$2794,2,FALSE)),"Código não cadastrado",(VLOOKUP(H:H,produtos_escape2!$A$2:$D$2794,4,FALSE))))</f>
        <v/>
      </c>
      <c r="N2120" s="486"/>
      <c r="O2120" s="176"/>
      <c r="P2120" s="486"/>
      <c r="Q2120" s="247"/>
      <c r="R2120" s="246">
        <f t="shared" si="81"/>
        <v>0</v>
      </c>
      <c r="S2120" s="177"/>
      <c r="T2120" s="182"/>
      <c r="U2120" s="177"/>
      <c r="V2120" s="177"/>
      <c r="W2120" s="177"/>
      <c r="X2120" s="176"/>
      <c r="Y2120" s="177"/>
      <c r="Z2120" s="415"/>
      <c r="AA2120" s="488"/>
      <c r="AB2120" s="594"/>
      <c r="AC2120" s="595"/>
      <c r="AD2120" s="596" t="str">
        <f>IF(AND(AC2120&lt;&gt;"",S2120&lt;&gt;""),NETWORKDAYS(AC2120,S2120,#REF!),"")</f>
        <v/>
      </c>
      <c r="AE2120" s="596" t="str">
        <f ca="1">IF(AND(AD2120="",AC2120=""),"",IF(OR(AD2120&lt;&gt;"",O2120="*CANCELADO"),"",NETWORKDAYS(AC2120,TODAY(),#REF!)))</f>
        <v/>
      </c>
      <c r="AF2120" s="619"/>
    </row>
    <row r="2121" spans="1:32" ht="14.25" customHeight="1">
      <c r="A2121" s="176"/>
      <c r="B2121" s="176"/>
      <c r="C2121" s="177"/>
      <c r="D2121" s="176"/>
      <c r="E2121" s="176"/>
      <c r="F2121" s="259"/>
      <c r="G2121" s="176"/>
      <c r="H2121" s="178"/>
      <c r="I2121" s="592">
        <f t="shared" si="82"/>
        <v>0</v>
      </c>
      <c r="J2121" s="178"/>
      <c r="K2121" s="178"/>
      <c r="L2121" s="275" t="str">
        <f>IF(H:H=0,"",IF(ISERROR(VLOOKUP(H:H,produtos_escape2!$A$2:$B$2794,2,FALSE)),"Código não cadastrado",(VLOOKUP(H:H,produtos_escape2!$A$2:$B$2794,2,FALSE))))</f>
        <v/>
      </c>
      <c r="M2121" s="593" t="str">
        <f>IF(H:H=0,"",IF(ISERROR(VLOOKUP(H:H,produtos_escape2!$A$2:$D$2794,2,FALSE)),"Código não cadastrado",(VLOOKUP(H:H,produtos_escape2!$A$2:$D$2794,4,FALSE))))</f>
        <v/>
      </c>
      <c r="N2121" s="486"/>
      <c r="O2121" s="176"/>
      <c r="P2121" s="486"/>
      <c r="Q2121" s="247"/>
      <c r="R2121" s="246">
        <f t="shared" si="81"/>
        <v>0</v>
      </c>
      <c r="S2121" s="177"/>
      <c r="T2121" s="182"/>
      <c r="U2121" s="177"/>
      <c r="V2121" s="177"/>
      <c r="W2121" s="177"/>
      <c r="X2121" s="176"/>
      <c r="Y2121" s="177"/>
      <c r="Z2121" s="415"/>
      <c r="AA2121" s="488"/>
      <c r="AB2121" s="594"/>
      <c r="AC2121" s="595"/>
      <c r="AD2121" s="596" t="str">
        <f>IF(AND(AC2121&lt;&gt;"",S2121&lt;&gt;""),NETWORKDAYS(AC2121,S2121,#REF!),"")</f>
        <v/>
      </c>
      <c r="AE2121" s="596" t="str">
        <f ca="1">IF(AND(AD2121="",AC2121=""),"",IF(OR(AD2121&lt;&gt;"",O2121="*CANCELADO"),"",NETWORKDAYS(AC2121,TODAY(),#REF!)))</f>
        <v/>
      </c>
      <c r="AF2121" s="619"/>
    </row>
    <row r="2122" spans="1:32" ht="14.25" customHeight="1">
      <c r="A2122" s="176"/>
      <c r="B2122" s="176"/>
      <c r="C2122" s="177"/>
      <c r="D2122" s="176"/>
      <c r="E2122" s="176"/>
      <c r="F2122" s="259"/>
      <c r="G2122" s="176"/>
      <c r="H2122" s="178"/>
      <c r="I2122" s="592">
        <f t="shared" si="82"/>
        <v>0</v>
      </c>
      <c r="J2122" s="178"/>
      <c r="K2122" s="178"/>
      <c r="L2122" s="275" t="str">
        <f>IF(H:H=0,"",IF(ISERROR(VLOOKUP(H:H,produtos_escape2!$A$2:$B$2794,2,FALSE)),"Código não cadastrado",(VLOOKUP(H:H,produtos_escape2!$A$2:$B$2794,2,FALSE))))</f>
        <v/>
      </c>
      <c r="M2122" s="593" t="str">
        <f>IF(H:H=0,"",IF(ISERROR(VLOOKUP(H:H,produtos_escape2!$A$2:$D$2794,2,FALSE)),"Código não cadastrado",(VLOOKUP(H:H,produtos_escape2!$A$2:$D$2794,4,FALSE))))</f>
        <v/>
      </c>
      <c r="N2122" s="486"/>
      <c r="O2122" s="176"/>
      <c r="P2122" s="486"/>
      <c r="Q2122" s="247"/>
      <c r="R2122" s="246">
        <f t="shared" si="81"/>
        <v>0</v>
      </c>
      <c r="S2122" s="177"/>
      <c r="T2122" s="182"/>
      <c r="U2122" s="177"/>
      <c r="V2122" s="177"/>
      <c r="W2122" s="177"/>
      <c r="X2122" s="176"/>
      <c r="Y2122" s="177"/>
      <c r="Z2122" s="415"/>
      <c r="AA2122" s="488"/>
      <c r="AB2122" s="594"/>
      <c r="AC2122" s="595"/>
      <c r="AD2122" s="596" t="str">
        <f>IF(AND(AC2122&lt;&gt;"",S2122&lt;&gt;""),NETWORKDAYS(AC2122,S2122,#REF!),"")</f>
        <v/>
      </c>
      <c r="AE2122" s="596" t="str">
        <f ca="1">IF(AND(AD2122="",AC2122=""),"",IF(OR(AD2122&lt;&gt;"",O2122="*CANCELADO"),"",NETWORKDAYS(AC2122,TODAY(),#REF!)))</f>
        <v/>
      </c>
      <c r="AF2122" s="619"/>
    </row>
    <row r="2123" spans="1:32" ht="14.25" customHeight="1">
      <c r="A2123" s="176"/>
      <c r="B2123" s="176"/>
      <c r="C2123" s="177"/>
      <c r="D2123" s="176"/>
      <c r="E2123" s="176"/>
      <c r="F2123" s="259"/>
      <c r="G2123" s="176"/>
      <c r="H2123" s="178"/>
      <c r="I2123" s="592">
        <f t="shared" si="82"/>
        <v>0</v>
      </c>
      <c r="J2123" s="178"/>
      <c r="K2123" s="178"/>
      <c r="L2123" s="275" t="str">
        <f>IF(H:H=0,"",IF(ISERROR(VLOOKUP(H:H,produtos_escape2!$A$2:$B$2794,2,FALSE)),"Código não cadastrado",(VLOOKUP(H:H,produtos_escape2!$A$2:$B$2794,2,FALSE))))</f>
        <v/>
      </c>
      <c r="M2123" s="593" t="str">
        <f>IF(H:H=0,"",IF(ISERROR(VLOOKUP(H:H,produtos_escape2!$A$2:$D$2794,2,FALSE)),"Código não cadastrado",(VLOOKUP(H:H,produtos_escape2!$A$2:$D$2794,4,FALSE))))</f>
        <v/>
      </c>
      <c r="N2123" s="486"/>
      <c r="O2123" s="176"/>
      <c r="P2123" s="486"/>
      <c r="Q2123" s="247"/>
      <c r="R2123" s="246">
        <f t="shared" si="81"/>
        <v>0</v>
      </c>
      <c r="S2123" s="177"/>
      <c r="T2123" s="182"/>
      <c r="U2123" s="177"/>
      <c r="V2123" s="177"/>
      <c r="W2123" s="177"/>
      <c r="X2123" s="176"/>
      <c r="Y2123" s="177"/>
      <c r="Z2123" s="415"/>
      <c r="AA2123" s="488"/>
      <c r="AB2123" s="594"/>
      <c r="AC2123" s="595"/>
      <c r="AD2123" s="596" t="str">
        <f>IF(AND(AC2123&lt;&gt;"",S2123&lt;&gt;""),NETWORKDAYS(AC2123,S2123,#REF!),"")</f>
        <v/>
      </c>
      <c r="AE2123" s="596" t="str">
        <f ca="1">IF(AND(AD2123="",AC2123=""),"",IF(OR(AD2123&lt;&gt;"",O2123="*CANCELADO"),"",NETWORKDAYS(AC2123,TODAY(),#REF!)))</f>
        <v/>
      </c>
      <c r="AF2123" s="619"/>
    </row>
    <row r="2124" spans="1:32" ht="14.25" customHeight="1">
      <c r="A2124" s="176"/>
      <c r="B2124" s="176"/>
      <c r="C2124" s="177"/>
      <c r="D2124" s="176"/>
      <c r="E2124" s="176"/>
      <c r="F2124" s="259"/>
      <c r="G2124" s="176"/>
      <c r="H2124" s="178"/>
      <c r="I2124" s="592">
        <f t="shared" si="82"/>
        <v>0</v>
      </c>
      <c r="J2124" s="178"/>
      <c r="K2124" s="178"/>
      <c r="L2124" s="275" t="str">
        <f>IF(H:H=0,"",IF(ISERROR(VLOOKUP(H:H,produtos_escape2!$A$2:$B$2794,2,FALSE)),"Código não cadastrado",(VLOOKUP(H:H,produtos_escape2!$A$2:$B$2794,2,FALSE))))</f>
        <v/>
      </c>
      <c r="M2124" s="593" t="str">
        <f>IF(H:H=0,"",IF(ISERROR(VLOOKUP(H:H,produtos_escape2!$A$2:$D$2794,2,FALSE)),"Código não cadastrado",(VLOOKUP(H:H,produtos_escape2!$A$2:$D$2794,4,FALSE))))</f>
        <v/>
      </c>
      <c r="N2124" s="486"/>
      <c r="O2124" s="176"/>
      <c r="P2124" s="486"/>
      <c r="Q2124" s="247"/>
      <c r="R2124" s="246">
        <f t="shared" si="81"/>
        <v>0</v>
      </c>
      <c r="S2124" s="177"/>
      <c r="T2124" s="182"/>
      <c r="U2124" s="177"/>
      <c r="V2124" s="177"/>
      <c r="W2124" s="177"/>
      <c r="X2124" s="176"/>
      <c r="Y2124" s="177"/>
      <c r="Z2124" s="415"/>
      <c r="AA2124" s="488"/>
      <c r="AB2124" s="594"/>
      <c r="AC2124" s="595"/>
      <c r="AD2124" s="596" t="str">
        <f>IF(AND(AC2124&lt;&gt;"",S2124&lt;&gt;""),NETWORKDAYS(AC2124,S2124,#REF!),"")</f>
        <v/>
      </c>
      <c r="AE2124" s="596" t="str">
        <f ca="1">IF(AND(AD2124="",AC2124=""),"",IF(OR(AD2124&lt;&gt;"",O2124="*CANCELADO"),"",NETWORKDAYS(AC2124,TODAY(),#REF!)))</f>
        <v/>
      </c>
      <c r="AF2124" s="619"/>
    </row>
    <row r="2125" spans="1:32" ht="14.25" customHeight="1">
      <c r="A2125" s="176"/>
      <c r="B2125" s="176"/>
      <c r="C2125" s="177"/>
      <c r="D2125" s="176"/>
      <c r="E2125" s="176"/>
      <c r="F2125" s="259"/>
      <c r="G2125" s="176"/>
      <c r="H2125" s="178"/>
      <c r="I2125" s="592">
        <f t="shared" si="82"/>
        <v>0</v>
      </c>
      <c r="J2125" s="178"/>
      <c r="K2125" s="178"/>
      <c r="L2125" s="275" t="str">
        <f>IF(H:H=0,"",IF(ISERROR(VLOOKUP(H:H,produtos_escape2!$A$2:$B$2794,2,FALSE)),"Código não cadastrado",(VLOOKUP(H:H,produtos_escape2!$A$2:$B$2794,2,FALSE))))</f>
        <v/>
      </c>
      <c r="M2125" s="593" t="str">
        <f>IF(H:H=0,"",IF(ISERROR(VLOOKUP(H:H,produtos_escape2!$A$2:$D$2794,2,FALSE)),"Código não cadastrado",(VLOOKUP(H:H,produtos_escape2!$A$2:$D$2794,4,FALSE))))</f>
        <v/>
      </c>
      <c r="N2125" s="486"/>
      <c r="O2125" s="176"/>
      <c r="P2125" s="486"/>
      <c r="Q2125" s="247"/>
      <c r="R2125" s="246">
        <f t="shared" si="81"/>
        <v>0</v>
      </c>
      <c r="S2125" s="177"/>
      <c r="T2125" s="182"/>
      <c r="U2125" s="177"/>
      <c r="V2125" s="177"/>
      <c r="W2125" s="177"/>
      <c r="X2125" s="176"/>
      <c r="Y2125" s="177"/>
      <c r="Z2125" s="415"/>
      <c r="AA2125" s="488"/>
      <c r="AB2125" s="594"/>
      <c r="AC2125" s="595"/>
      <c r="AD2125" s="596" t="str">
        <f>IF(AND(AC2125&lt;&gt;"",S2125&lt;&gt;""),NETWORKDAYS(AC2125,S2125,#REF!),"")</f>
        <v/>
      </c>
      <c r="AE2125" s="596" t="str">
        <f ca="1">IF(AND(AD2125="",AC2125=""),"",IF(OR(AD2125&lt;&gt;"",O2125="*CANCELADO"),"",NETWORKDAYS(AC2125,TODAY(),#REF!)))</f>
        <v/>
      </c>
      <c r="AF2125" s="619"/>
    </row>
    <row r="2126" spans="1:32" ht="14.25" customHeight="1">
      <c r="A2126" s="176"/>
      <c r="B2126" s="176"/>
      <c r="C2126" s="177"/>
      <c r="D2126" s="176"/>
      <c r="E2126" s="176"/>
      <c r="F2126" s="259"/>
      <c r="G2126" s="176"/>
      <c r="H2126" s="178"/>
      <c r="I2126" s="592">
        <f t="shared" si="82"/>
        <v>0</v>
      </c>
      <c r="J2126" s="178"/>
      <c r="K2126" s="178"/>
      <c r="L2126" s="275" t="str">
        <f>IF(H:H=0,"",IF(ISERROR(VLOOKUP(H:H,produtos_escape2!$A$2:$B$2794,2,FALSE)),"Código não cadastrado",(VLOOKUP(H:H,produtos_escape2!$A$2:$B$2794,2,FALSE))))</f>
        <v/>
      </c>
      <c r="M2126" s="593" t="str">
        <f>IF(H:H=0,"",IF(ISERROR(VLOOKUP(H:H,produtos_escape2!$A$2:$D$2794,2,FALSE)),"Código não cadastrado",(VLOOKUP(H:H,produtos_escape2!$A$2:$D$2794,4,FALSE))))</f>
        <v/>
      </c>
      <c r="N2126" s="486"/>
      <c r="O2126" s="176"/>
      <c r="P2126" s="486"/>
      <c r="Q2126" s="247"/>
      <c r="R2126" s="246">
        <f t="shared" si="81"/>
        <v>0</v>
      </c>
      <c r="S2126" s="177"/>
      <c r="T2126" s="182"/>
      <c r="U2126" s="177"/>
      <c r="V2126" s="177"/>
      <c r="W2126" s="177"/>
      <c r="X2126" s="176"/>
      <c r="Y2126" s="177"/>
      <c r="Z2126" s="415"/>
      <c r="AA2126" s="488"/>
      <c r="AB2126" s="594"/>
      <c r="AC2126" s="595"/>
      <c r="AD2126" s="596" t="str">
        <f>IF(AND(AC2126&lt;&gt;"",S2126&lt;&gt;""),NETWORKDAYS(AC2126,S2126,#REF!),"")</f>
        <v/>
      </c>
      <c r="AE2126" s="596" t="str">
        <f ca="1">IF(AND(AD2126="",AC2126=""),"",IF(OR(AD2126&lt;&gt;"",O2126="*CANCELADO"),"",NETWORKDAYS(AC2126,TODAY(),#REF!)))</f>
        <v/>
      </c>
      <c r="AF2126" s="619"/>
    </row>
    <row r="2127" spans="1:32" ht="14.25" customHeight="1">
      <c r="A2127" s="176"/>
      <c r="B2127" s="176"/>
      <c r="C2127" s="177"/>
      <c r="D2127" s="176"/>
      <c r="E2127" s="176"/>
      <c r="F2127" s="259"/>
      <c r="G2127" s="176"/>
      <c r="H2127" s="178"/>
      <c r="I2127" s="592">
        <f t="shared" si="82"/>
        <v>0</v>
      </c>
      <c r="J2127" s="178"/>
      <c r="K2127" s="178"/>
      <c r="L2127" s="275" t="str">
        <f>IF(H:H=0,"",IF(ISERROR(VLOOKUP(H:H,produtos_escape2!$A$2:$B$2794,2,FALSE)),"Código não cadastrado",(VLOOKUP(H:H,produtos_escape2!$A$2:$B$2794,2,FALSE))))</f>
        <v/>
      </c>
      <c r="M2127" s="593" t="str">
        <f>IF(H:H=0,"",IF(ISERROR(VLOOKUP(H:H,produtos_escape2!$A$2:$D$2794,2,FALSE)),"Código não cadastrado",(VLOOKUP(H:H,produtos_escape2!$A$2:$D$2794,4,FALSE))))</f>
        <v/>
      </c>
      <c r="N2127" s="486"/>
      <c r="O2127" s="176"/>
      <c r="P2127" s="486"/>
      <c r="Q2127" s="247"/>
      <c r="R2127" s="246">
        <f t="shared" si="81"/>
        <v>0</v>
      </c>
      <c r="S2127" s="177"/>
      <c r="T2127" s="182"/>
      <c r="U2127" s="177"/>
      <c r="V2127" s="177"/>
      <c r="W2127" s="177"/>
      <c r="X2127" s="176"/>
      <c r="Y2127" s="177"/>
      <c r="Z2127" s="415"/>
      <c r="AA2127" s="488"/>
      <c r="AB2127" s="594"/>
      <c r="AC2127" s="595"/>
      <c r="AD2127" s="596" t="str">
        <f>IF(AND(AC2127&lt;&gt;"",S2127&lt;&gt;""),NETWORKDAYS(AC2127,S2127,#REF!),"")</f>
        <v/>
      </c>
      <c r="AE2127" s="596" t="str">
        <f ca="1">IF(AND(AD2127="",AC2127=""),"",IF(OR(AD2127&lt;&gt;"",O2127="*CANCELADO"),"",NETWORKDAYS(AC2127,TODAY(),#REF!)))</f>
        <v/>
      </c>
      <c r="AF2127" s="619"/>
    </row>
    <row r="2128" spans="1:32" ht="14.25" customHeight="1">
      <c r="A2128" s="176"/>
      <c r="B2128" s="176"/>
      <c r="C2128" s="177"/>
      <c r="D2128" s="176"/>
      <c r="E2128" s="176"/>
      <c r="F2128" s="259"/>
      <c r="G2128" s="176"/>
      <c r="H2128" s="178"/>
      <c r="I2128" s="592">
        <f t="shared" si="82"/>
        <v>0</v>
      </c>
      <c r="J2128" s="178"/>
      <c r="K2128" s="178"/>
      <c r="L2128" s="275" t="str">
        <f>IF(H:H=0,"",IF(ISERROR(VLOOKUP(H:H,produtos_escape2!$A$2:$B$2794,2,FALSE)),"Código não cadastrado",(VLOOKUP(H:H,produtos_escape2!$A$2:$B$2794,2,FALSE))))</f>
        <v/>
      </c>
      <c r="M2128" s="593" t="str">
        <f>IF(H:H=0,"",IF(ISERROR(VLOOKUP(H:H,produtos_escape2!$A$2:$D$2794,2,FALSE)),"Código não cadastrado",(VLOOKUP(H:H,produtos_escape2!$A$2:$D$2794,4,FALSE))))</f>
        <v/>
      </c>
      <c r="N2128" s="486"/>
      <c r="O2128" s="176"/>
      <c r="P2128" s="486"/>
      <c r="Q2128" s="247"/>
      <c r="R2128" s="246">
        <f t="shared" si="81"/>
        <v>0</v>
      </c>
      <c r="S2128" s="177"/>
      <c r="T2128" s="182"/>
      <c r="U2128" s="177"/>
      <c r="V2128" s="177"/>
      <c r="W2128" s="177"/>
      <c r="X2128" s="176"/>
      <c r="Y2128" s="177"/>
      <c r="Z2128" s="415"/>
      <c r="AA2128" s="488"/>
      <c r="AB2128" s="594"/>
      <c r="AC2128" s="595"/>
      <c r="AD2128" s="596" t="str">
        <f>IF(AND(AC2128&lt;&gt;"",S2128&lt;&gt;""),NETWORKDAYS(AC2128,S2128,#REF!),"")</f>
        <v/>
      </c>
      <c r="AE2128" s="596" t="str">
        <f ca="1">IF(AND(AD2128="",AC2128=""),"",IF(OR(AD2128&lt;&gt;"",O2128="*CANCELADO"),"",NETWORKDAYS(AC2128,TODAY(),#REF!)))</f>
        <v/>
      </c>
      <c r="AF2128" s="619"/>
    </row>
    <row r="2129" spans="1:32" ht="14.25" customHeight="1">
      <c r="A2129" s="176"/>
      <c r="B2129" s="176"/>
      <c r="C2129" s="177"/>
      <c r="D2129" s="176"/>
      <c r="E2129" s="176"/>
      <c r="F2129" s="259"/>
      <c r="G2129" s="176"/>
      <c r="H2129" s="178"/>
      <c r="I2129" s="592">
        <f t="shared" si="82"/>
        <v>0</v>
      </c>
      <c r="J2129" s="178"/>
      <c r="K2129" s="178"/>
      <c r="L2129" s="275" t="str">
        <f>IF(H:H=0,"",IF(ISERROR(VLOOKUP(H:H,produtos_escape2!$A$2:$B$2794,2,FALSE)),"Código não cadastrado",(VLOOKUP(H:H,produtos_escape2!$A$2:$B$2794,2,FALSE))))</f>
        <v/>
      </c>
      <c r="M2129" s="593" t="str">
        <f>IF(H:H=0,"",IF(ISERROR(VLOOKUP(H:H,produtos_escape2!$A$2:$D$2794,2,FALSE)),"Código não cadastrado",(VLOOKUP(H:H,produtos_escape2!$A$2:$D$2794,4,FALSE))))</f>
        <v/>
      </c>
      <c r="N2129" s="486"/>
      <c r="O2129" s="176"/>
      <c r="P2129" s="486"/>
      <c r="Q2129" s="247"/>
      <c r="R2129" s="246">
        <f t="shared" si="81"/>
        <v>0</v>
      </c>
      <c r="S2129" s="177"/>
      <c r="T2129" s="182"/>
      <c r="U2129" s="177"/>
      <c r="V2129" s="177"/>
      <c r="W2129" s="177"/>
      <c r="X2129" s="176"/>
      <c r="Y2129" s="177"/>
      <c r="Z2129" s="415"/>
      <c r="AA2129" s="488"/>
      <c r="AB2129" s="594"/>
      <c r="AC2129" s="595"/>
      <c r="AD2129" s="596" t="str">
        <f>IF(AND(AC2129&lt;&gt;"",S2129&lt;&gt;""),NETWORKDAYS(AC2129,S2129,#REF!),"")</f>
        <v/>
      </c>
      <c r="AE2129" s="596" t="str">
        <f ca="1">IF(AND(AD2129="",AC2129=""),"",IF(OR(AD2129&lt;&gt;"",O2129="*CANCELADO"),"",NETWORKDAYS(AC2129,TODAY(),#REF!)))</f>
        <v/>
      </c>
      <c r="AF2129" s="619"/>
    </row>
    <row r="2130" spans="1:32" ht="14.25" customHeight="1">
      <c r="A2130" s="176"/>
      <c r="B2130" s="176"/>
      <c r="C2130" s="177"/>
      <c r="D2130" s="176"/>
      <c r="E2130" s="176"/>
      <c r="F2130" s="259"/>
      <c r="G2130" s="176"/>
      <c r="H2130" s="178"/>
      <c r="I2130" s="592">
        <f t="shared" si="82"/>
        <v>0</v>
      </c>
      <c r="J2130" s="178"/>
      <c r="K2130" s="178"/>
      <c r="L2130" s="275" t="str">
        <f>IF(H:H=0,"",IF(ISERROR(VLOOKUP(H:H,produtos_escape2!$A$2:$B$2794,2,FALSE)),"Código não cadastrado",(VLOOKUP(H:H,produtos_escape2!$A$2:$B$2794,2,FALSE))))</f>
        <v/>
      </c>
      <c r="M2130" s="593" t="str">
        <f>IF(H:H=0,"",IF(ISERROR(VLOOKUP(H:H,produtos_escape2!$A$2:$D$2794,2,FALSE)),"Código não cadastrado",(VLOOKUP(H:H,produtos_escape2!$A$2:$D$2794,4,FALSE))))</f>
        <v/>
      </c>
      <c r="N2130" s="486"/>
      <c r="O2130" s="176"/>
      <c r="P2130" s="486"/>
      <c r="Q2130" s="247"/>
      <c r="R2130" s="246">
        <f t="shared" si="81"/>
        <v>0</v>
      </c>
      <c r="S2130" s="177"/>
      <c r="T2130" s="182"/>
      <c r="U2130" s="177"/>
      <c r="V2130" s="177"/>
      <c r="W2130" s="177"/>
      <c r="X2130" s="176"/>
      <c r="Y2130" s="177"/>
      <c r="Z2130" s="415"/>
      <c r="AA2130" s="488"/>
      <c r="AB2130" s="594"/>
      <c r="AC2130" s="595"/>
      <c r="AD2130" s="596" t="str">
        <f>IF(AND(AC2130&lt;&gt;"",S2130&lt;&gt;""),NETWORKDAYS(AC2130,S2130,#REF!),"")</f>
        <v/>
      </c>
      <c r="AE2130" s="596" t="str">
        <f ca="1">IF(AND(AD2130="",AC2130=""),"",IF(OR(AD2130&lt;&gt;"",O2130="*CANCELADO"),"",NETWORKDAYS(AC2130,TODAY(),#REF!)))</f>
        <v/>
      </c>
      <c r="AF2130" s="619"/>
    </row>
    <row r="2131" spans="1:32" ht="14.25" customHeight="1">
      <c r="A2131" s="176"/>
      <c r="B2131" s="176"/>
      <c r="C2131" s="177"/>
      <c r="D2131" s="176"/>
      <c r="E2131" s="176"/>
      <c r="F2131" s="259"/>
      <c r="G2131" s="176"/>
      <c r="H2131" s="178"/>
      <c r="I2131" s="592">
        <f t="shared" si="82"/>
        <v>0</v>
      </c>
      <c r="J2131" s="178"/>
      <c r="K2131" s="178"/>
      <c r="L2131" s="275" t="str">
        <f>IF(H:H=0,"",IF(ISERROR(VLOOKUP(H:H,produtos_escape2!$A$2:$B$2794,2,FALSE)),"Código não cadastrado",(VLOOKUP(H:H,produtos_escape2!$A$2:$B$2794,2,FALSE))))</f>
        <v/>
      </c>
      <c r="M2131" s="593" t="str">
        <f>IF(H:H=0,"",IF(ISERROR(VLOOKUP(H:H,produtos_escape2!$A$2:$D$2794,2,FALSE)),"Código não cadastrado",(VLOOKUP(H:H,produtos_escape2!$A$2:$D$2794,4,FALSE))))</f>
        <v/>
      </c>
      <c r="N2131" s="486"/>
      <c r="O2131" s="176"/>
      <c r="P2131" s="486"/>
      <c r="Q2131" s="247"/>
      <c r="R2131" s="246">
        <f t="shared" si="81"/>
        <v>0</v>
      </c>
      <c r="S2131" s="177"/>
      <c r="T2131" s="182"/>
      <c r="U2131" s="177"/>
      <c r="V2131" s="177"/>
      <c r="W2131" s="177"/>
      <c r="X2131" s="176"/>
      <c r="Y2131" s="177"/>
      <c r="Z2131" s="415"/>
      <c r="AA2131" s="488"/>
      <c r="AB2131" s="594"/>
      <c r="AC2131" s="595"/>
      <c r="AD2131" s="596" t="str">
        <f>IF(AND(AC2131&lt;&gt;"",S2131&lt;&gt;""),NETWORKDAYS(AC2131,S2131,#REF!),"")</f>
        <v/>
      </c>
      <c r="AE2131" s="596" t="str">
        <f ca="1">IF(AND(AD2131="",AC2131=""),"",IF(OR(AD2131&lt;&gt;"",O2131="*CANCELADO"),"",NETWORKDAYS(AC2131,TODAY(),#REF!)))</f>
        <v/>
      </c>
      <c r="AF2131" s="619"/>
    </row>
    <row r="2132" spans="1:32" ht="14.25" customHeight="1">
      <c r="A2132" s="176"/>
      <c r="B2132" s="176"/>
      <c r="C2132" s="177"/>
      <c r="D2132" s="176"/>
      <c r="E2132" s="176"/>
      <c r="F2132" s="259"/>
      <c r="G2132" s="176"/>
      <c r="H2132" s="178"/>
      <c r="I2132" s="592">
        <f t="shared" si="82"/>
        <v>0</v>
      </c>
      <c r="J2132" s="178"/>
      <c r="K2132" s="178"/>
      <c r="L2132" s="275" t="str">
        <f>IF(H:H=0,"",IF(ISERROR(VLOOKUP(H:H,produtos_escape2!$A$2:$B$2794,2,FALSE)),"Código não cadastrado",(VLOOKUP(H:H,produtos_escape2!$A$2:$B$2794,2,FALSE))))</f>
        <v/>
      </c>
      <c r="M2132" s="593" t="str">
        <f>IF(H:H=0,"",IF(ISERROR(VLOOKUP(H:H,produtos_escape2!$A$2:$D$2794,2,FALSE)),"Código não cadastrado",(VLOOKUP(H:H,produtos_escape2!$A$2:$D$2794,4,FALSE))))</f>
        <v/>
      </c>
      <c r="N2132" s="486"/>
      <c r="O2132" s="176"/>
      <c r="P2132" s="486"/>
      <c r="Q2132" s="247"/>
      <c r="R2132" s="246">
        <f t="shared" si="81"/>
        <v>0</v>
      </c>
      <c r="S2132" s="177"/>
      <c r="T2132" s="182"/>
      <c r="U2132" s="177"/>
      <c r="V2132" s="177"/>
      <c r="W2132" s="177"/>
      <c r="X2132" s="176"/>
      <c r="Y2132" s="177"/>
      <c r="Z2132" s="415"/>
      <c r="AA2132" s="488"/>
      <c r="AB2132" s="594"/>
      <c r="AC2132" s="595"/>
      <c r="AD2132" s="596" t="str">
        <f>IF(AND(AC2132&lt;&gt;"",S2132&lt;&gt;""),NETWORKDAYS(AC2132,S2132,#REF!),"")</f>
        <v/>
      </c>
      <c r="AE2132" s="596" t="str">
        <f ca="1">IF(AND(AD2132="",AC2132=""),"",IF(OR(AD2132&lt;&gt;"",O2132="*CANCELADO"),"",NETWORKDAYS(AC2132,TODAY(),#REF!)))</f>
        <v/>
      </c>
      <c r="AF2132" s="619"/>
    </row>
    <row r="2133" spans="1:32" ht="14.25" customHeight="1">
      <c r="A2133" s="176"/>
      <c r="B2133" s="176"/>
      <c r="C2133" s="177"/>
      <c r="D2133" s="176"/>
      <c r="E2133" s="176"/>
      <c r="F2133" s="259"/>
      <c r="G2133" s="176"/>
      <c r="H2133" s="178"/>
      <c r="I2133" s="592">
        <f t="shared" si="82"/>
        <v>0</v>
      </c>
      <c r="J2133" s="178"/>
      <c r="K2133" s="178"/>
      <c r="L2133" s="275" t="str">
        <f>IF(H:H=0,"",IF(ISERROR(VLOOKUP(H:H,produtos_escape2!$A$2:$B$2794,2,FALSE)),"Código não cadastrado",(VLOOKUP(H:H,produtos_escape2!$A$2:$B$2794,2,FALSE))))</f>
        <v/>
      </c>
      <c r="M2133" s="593" t="str">
        <f>IF(H:H=0,"",IF(ISERROR(VLOOKUP(H:H,produtos_escape2!$A$2:$D$2794,2,FALSE)),"Código não cadastrado",(VLOOKUP(H:H,produtos_escape2!$A$2:$D$2794,4,FALSE))))</f>
        <v/>
      </c>
      <c r="N2133" s="486"/>
      <c r="O2133" s="176"/>
      <c r="P2133" s="486"/>
      <c r="Q2133" s="247"/>
      <c r="R2133" s="246">
        <f t="shared" si="81"/>
        <v>0</v>
      </c>
      <c r="S2133" s="177"/>
      <c r="T2133" s="182"/>
      <c r="U2133" s="177"/>
      <c r="V2133" s="177"/>
      <c r="W2133" s="177"/>
      <c r="X2133" s="176"/>
      <c r="Y2133" s="177"/>
      <c r="Z2133" s="415"/>
      <c r="AA2133" s="488"/>
      <c r="AB2133" s="594"/>
      <c r="AC2133" s="595"/>
      <c r="AD2133" s="596" t="str">
        <f>IF(AND(AC2133&lt;&gt;"",S2133&lt;&gt;""),NETWORKDAYS(AC2133,S2133,#REF!),"")</f>
        <v/>
      </c>
      <c r="AE2133" s="596" t="str">
        <f ca="1">IF(AND(AD2133="",AC2133=""),"",IF(OR(AD2133&lt;&gt;"",O2133="*CANCELADO"),"",NETWORKDAYS(AC2133,TODAY(),#REF!)))</f>
        <v/>
      </c>
      <c r="AF2133" s="619"/>
    </row>
    <row r="2134" spans="1:32" ht="14.25" customHeight="1">
      <c r="A2134" s="176"/>
      <c r="B2134" s="176"/>
      <c r="C2134" s="177"/>
      <c r="D2134" s="176"/>
      <c r="E2134" s="176"/>
      <c r="F2134" s="259"/>
      <c r="G2134" s="176"/>
      <c r="H2134" s="178"/>
      <c r="I2134" s="592">
        <f t="shared" si="82"/>
        <v>0</v>
      </c>
      <c r="J2134" s="178"/>
      <c r="K2134" s="178"/>
      <c r="L2134" s="275" t="str">
        <f>IF(H:H=0,"",IF(ISERROR(VLOOKUP(H:H,produtos_escape2!$A$2:$B$2794,2,FALSE)),"Código não cadastrado",(VLOOKUP(H:H,produtos_escape2!$A$2:$B$2794,2,FALSE))))</f>
        <v/>
      </c>
      <c r="M2134" s="593" t="str">
        <f>IF(H:H=0,"",IF(ISERROR(VLOOKUP(H:H,produtos_escape2!$A$2:$D$2794,2,FALSE)),"Código não cadastrado",(VLOOKUP(H:H,produtos_escape2!$A$2:$D$2794,4,FALSE))))</f>
        <v/>
      </c>
      <c r="N2134" s="486"/>
      <c r="O2134" s="176"/>
      <c r="P2134" s="486"/>
      <c r="Q2134" s="247"/>
      <c r="R2134" s="246">
        <f t="shared" si="81"/>
        <v>0</v>
      </c>
      <c r="S2134" s="177"/>
      <c r="T2134" s="182"/>
      <c r="U2134" s="177"/>
      <c r="V2134" s="177"/>
      <c r="W2134" s="177"/>
      <c r="X2134" s="176"/>
      <c r="Y2134" s="177"/>
      <c r="Z2134" s="415"/>
      <c r="AA2134" s="488"/>
      <c r="AB2134" s="594"/>
      <c r="AC2134" s="595"/>
      <c r="AD2134" s="596" t="str">
        <f>IF(AND(AC2134&lt;&gt;"",S2134&lt;&gt;""),NETWORKDAYS(AC2134,S2134,#REF!),"")</f>
        <v/>
      </c>
      <c r="AE2134" s="596" t="str">
        <f ca="1">IF(AND(AD2134="",AC2134=""),"",IF(OR(AD2134&lt;&gt;"",O2134="*CANCELADO"),"",NETWORKDAYS(AC2134,TODAY(),#REF!)))</f>
        <v/>
      </c>
      <c r="AF2134" s="619"/>
    </row>
    <row r="2135" spans="1:32" ht="14.25" customHeight="1">
      <c r="A2135" s="176"/>
      <c r="B2135" s="176"/>
      <c r="C2135" s="177"/>
      <c r="D2135" s="176"/>
      <c r="E2135" s="176"/>
      <c r="F2135" s="259"/>
      <c r="G2135" s="176"/>
      <c r="H2135" s="178"/>
      <c r="I2135" s="592">
        <f t="shared" si="82"/>
        <v>0</v>
      </c>
      <c r="J2135" s="178"/>
      <c r="K2135" s="178"/>
      <c r="L2135" s="275" t="str">
        <f>IF(H:H=0,"",IF(ISERROR(VLOOKUP(H:H,produtos_escape2!$A$2:$B$2794,2,FALSE)),"Código não cadastrado",(VLOOKUP(H:H,produtos_escape2!$A$2:$B$2794,2,FALSE))))</f>
        <v/>
      </c>
      <c r="M2135" s="593" t="str">
        <f>IF(H:H=0,"",IF(ISERROR(VLOOKUP(H:H,produtos_escape2!$A$2:$D$2794,2,FALSE)),"Código não cadastrado",(VLOOKUP(H:H,produtos_escape2!$A$2:$D$2794,4,FALSE))))</f>
        <v/>
      </c>
      <c r="N2135" s="486"/>
      <c r="O2135" s="176"/>
      <c r="P2135" s="486"/>
      <c r="Q2135" s="247"/>
      <c r="R2135" s="246">
        <f t="shared" si="81"/>
        <v>0</v>
      </c>
      <c r="S2135" s="177"/>
      <c r="T2135" s="182"/>
      <c r="U2135" s="177"/>
      <c r="V2135" s="177"/>
      <c r="W2135" s="177"/>
      <c r="X2135" s="176"/>
      <c r="Y2135" s="177"/>
      <c r="Z2135" s="415"/>
      <c r="AA2135" s="488"/>
      <c r="AB2135" s="594"/>
      <c r="AC2135" s="595"/>
      <c r="AD2135" s="596" t="str">
        <f>IF(AND(AC2135&lt;&gt;"",S2135&lt;&gt;""),NETWORKDAYS(AC2135,S2135,#REF!),"")</f>
        <v/>
      </c>
      <c r="AE2135" s="596" t="str">
        <f ca="1">IF(AND(AD2135="",AC2135=""),"",IF(OR(AD2135&lt;&gt;"",O2135="*CANCELADO"),"",NETWORKDAYS(AC2135,TODAY(),#REF!)))</f>
        <v/>
      </c>
      <c r="AF2135" s="619"/>
    </row>
    <row r="2136" spans="1:32" ht="14.25" customHeight="1">
      <c r="A2136" s="176"/>
      <c r="B2136" s="176"/>
      <c r="C2136" s="177"/>
      <c r="D2136" s="176"/>
      <c r="E2136" s="176"/>
      <c r="F2136" s="259"/>
      <c r="G2136" s="176"/>
      <c r="H2136" s="178"/>
      <c r="I2136" s="592">
        <f t="shared" si="82"/>
        <v>0</v>
      </c>
      <c r="J2136" s="178"/>
      <c r="K2136" s="178"/>
      <c r="L2136" s="275" t="str">
        <f>IF(H:H=0,"",IF(ISERROR(VLOOKUP(H:H,produtos_escape2!$A$2:$B$2794,2,FALSE)),"Código não cadastrado",(VLOOKUP(H:H,produtos_escape2!$A$2:$B$2794,2,FALSE))))</f>
        <v/>
      </c>
      <c r="M2136" s="593" t="str">
        <f>IF(H:H=0,"",IF(ISERROR(VLOOKUP(H:H,produtos_escape2!$A$2:$D$2794,2,FALSE)),"Código não cadastrado",(VLOOKUP(H:H,produtos_escape2!$A$2:$D$2794,4,FALSE))))</f>
        <v/>
      </c>
      <c r="N2136" s="486"/>
      <c r="O2136" s="176"/>
      <c r="P2136" s="486"/>
      <c r="Q2136" s="247"/>
      <c r="R2136" s="246">
        <f t="shared" si="81"/>
        <v>0</v>
      </c>
      <c r="S2136" s="177"/>
      <c r="T2136" s="182"/>
      <c r="U2136" s="177"/>
      <c r="V2136" s="177"/>
      <c r="W2136" s="177"/>
      <c r="X2136" s="176"/>
      <c r="Y2136" s="177"/>
      <c r="Z2136" s="415"/>
      <c r="AA2136" s="488"/>
      <c r="AB2136" s="594"/>
      <c r="AC2136" s="595"/>
      <c r="AD2136" s="596" t="str">
        <f>IF(AND(AC2136&lt;&gt;"",S2136&lt;&gt;""),NETWORKDAYS(AC2136,S2136,#REF!),"")</f>
        <v/>
      </c>
      <c r="AE2136" s="596" t="str">
        <f ca="1">IF(AND(AD2136="",AC2136=""),"",IF(OR(AD2136&lt;&gt;"",O2136="*CANCELADO"),"",NETWORKDAYS(AC2136,TODAY(),#REF!)))</f>
        <v/>
      </c>
      <c r="AF2136" s="619"/>
    </row>
    <row r="2137" spans="1:32" ht="14.25" customHeight="1">
      <c r="A2137" s="176"/>
      <c r="B2137" s="176"/>
      <c r="C2137" s="177"/>
      <c r="D2137" s="176"/>
      <c r="E2137" s="176"/>
      <c r="F2137" s="259"/>
      <c r="G2137" s="176"/>
      <c r="H2137" s="178"/>
      <c r="I2137" s="592">
        <f t="shared" si="82"/>
        <v>0</v>
      </c>
      <c r="J2137" s="178"/>
      <c r="K2137" s="178"/>
      <c r="L2137" s="275" t="str">
        <f>IF(H:H=0,"",IF(ISERROR(VLOOKUP(H:H,produtos_escape2!$A$2:$B$2794,2,FALSE)),"Código não cadastrado",(VLOOKUP(H:H,produtos_escape2!$A$2:$B$2794,2,FALSE))))</f>
        <v/>
      </c>
      <c r="M2137" s="593" t="str">
        <f>IF(H:H=0,"",IF(ISERROR(VLOOKUP(H:H,produtos_escape2!$A$2:$D$2794,2,FALSE)),"Código não cadastrado",(VLOOKUP(H:H,produtos_escape2!$A$2:$D$2794,4,FALSE))))</f>
        <v/>
      </c>
      <c r="N2137" s="486"/>
      <c r="O2137" s="176"/>
      <c r="P2137" s="486"/>
      <c r="Q2137" s="247"/>
      <c r="R2137" s="246">
        <f t="shared" si="81"/>
        <v>0</v>
      </c>
      <c r="S2137" s="177"/>
      <c r="T2137" s="182"/>
      <c r="U2137" s="177"/>
      <c r="V2137" s="177"/>
      <c r="W2137" s="177"/>
      <c r="X2137" s="176"/>
      <c r="Y2137" s="177"/>
      <c r="Z2137" s="415"/>
      <c r="AA2137" s="488"/>
      <c r="AB2137" s="594"/>
      <c r="AC2137" s="595"/>
      <c r="AD2137" s="596" t="str">
        <f>IF(AND(AC2137&lt;&gt;"",S2137&lt;&gt;""),NETWORKDAYS(AC2137,S2137,#REF!),"")</f>
        <v/>
      </c>
      <c r="AE2137" s="596" t="str">
        <f ca="1">IF(AND(AD2137="",AC2137=""),"",IF(OR(AD2137&lt;&gt;"",O2137="*CANCELADO"),"",NETWORKDAYS(AC2137,TODAY(),#REF!)))</f>
        <v/>
      </c>
      <c r="AF2137" s="619"/>
    </row>
    <row r="2138" spans="1:32" ht="14.25" customHeight="1">
      <c r="A2138" s="176"/>
      <c r="B2138" s="176"/>
      <c r="C2138" s="177"/>
      <c r="D2138" s="176"/>
      <c r="E2138" s="176"/>
      <c r="F2138" s="259"/>
      <c r="G2138" s="176"/>
      <c r="H2138" s="178"/>
      <c r="I2138" s="592">
        <f t="shared" si="82"/>
        <v>0</v>
      </c>
      <c r="J2138" s="178"/>
      <c r="K2138" s="178"/>
      <c r="L2138" s="275" t="str">
        <f>IF(H:H=0,"",IF(ISERROR(VLOOKUP(H:H,produtos_escape2!$A$2:$B$2794,2,FALSE)),"Código não cadastrado",(VLOOKUP(H:H,produtos_escape2!$A$2:$B$2794,2,FALSE))))</f>
        <v/>
      </c>
      <c r="M2138" s="593" t="str">
        <f>IF(H:H=0,"",IF(ISERROR(VLOOKUP(H:H,produtos_escape2!$A$2:$D$2794,2,FALSE)),"Código não cadastrado",(VLOOKUP(H:H,produtos_escape2!$A$2:$D$2794,4,FALSE))))</f>
        <v/>
      </c>
      <c r="N2138" s="486"/>
      <c r="O2138" s="176"/>
      <c r="P2138" s="486"/>
      <c r="Q2138" s="247"/>
      <c r="R2138" s="246">
        <f t="shared" si="81"/>
        <v>0</v>
      </c>
      <c r="S2138" s="177"/>
      <c r="T2138" s="182"/>
      <c r="U2138" s="177"/>
      <c r="V2138" s="177"/>
      <c r="W2138" s="177"/>
      <c r="X2138" s="176"/>
      <c r="Y2138" s="177"/>
      <c r="Z2138" s="415"/>
      <c r="AA2138" s="488"/>
      <c r="AB2138" s="594"/>
      <c r="AC2138" s="595"/>
      <c r="AD2138" s="596" t="str">
        <f>IF(AND(AC2138&lt;&gt;"",S2138&lt;&gt;""),NETWORKDAYS(AC2138,S2138,#REF!),"")</f>
        <v/>
      </c>
      <c r="AE2138" s="596" t="str">
        <f ca="1">IF(AND(AD2138="",AC2138=""),"",IF(OR(AD2138&lt;&gt;"",O2138="*CANCELADO"),"",NETWORKDAYS(AC2138,TODAY(),#REF!)))</f>
        <v/>
      </c>
      <c r="AF2138" s="619"/>
    </row>
    <row r="2139" spans="1:32" ht="14.25" customHeight="1">
      <c r="A2139" s="176"/>
      <c r="B2139" s="176"/>
      <c r="C2139" s="177"/>
      <c r="D2139" s="176"/>
      <c r="E2139" s="176"/>
      <c r="F2139" s="259"/>
      <c r="G2139" s="176"/>
      <c r="H2139" s="178"/>
      <c r="I2139" s="592">
        <f t="shared" si="82"/>
        <v>0</v>
      </c>
      <c r="J2139" s="178"/>
      <c r="K2139" s="178"/>
      <c r="L2139" s="275" t="str">
        <f>IF(H:H=0,"",IF(ISERROR(VLOOKUP(H:H,produtos_escape2!$A$2:$B$2794,2,FALSE)),"Código não cadastrado",(VLOOKUP(H:H,produtos_escape2!$A$2:$B$2794,2,FALSE))))</f>
        <v/>
      </c>
      <c r="M2139" s="593" t="str">
        <f>IF(H:H=0,"",IF(ISERROR(VLOOKUP(H:H,produtos_escape2!$A$2:$D$2794,2,FALSE)),"Código não cadastrado",(VLOOKUP(H:H,produtos_escape2!$A$2:$D$2794,4,FALSE))))</f>
        <v/>
      </c>
      <c r="N2139" s="486"/>
      <c r="O2139" s="176"/>
      <c r="P2139" s="486"/>
      <c r="Q2139" s="247"/>
      <c r="R2139" s="246">
        <f t="shared" si="81"/>
        <v>0</v>
      </c>
      <c r="S2139" s="177"/>
      <c r="T2139" s="182"/>
      <c r="U2139" s="177"/>
      <c r="V2139" s="177"/>
      <c r="W2139" s="177"/>
      <c r="X2139" s="176"/>
      <c r="Y2139" s="177"/>
      <c r="Z2139" s="415"/>
      <c r="AA2139" s="488"/>
      <c r="AB2139" s="594"/>
      <c r="AC2139" s="595"/>
      <c r="AD2139" s="596" t="str">
        <f>IF(AND(AC2139&lt;&gt;"",S2139&lt;&gt;""),NETWORKDAYS(AC2139,S2139,#REF!),"")</f>
        <v/>
      </c>
      <c r="AE2139" s="596" t="str">
        <f ca="1">IF(AND(AD2139="",AC2139=""),"",IF(OR(AD2139&lt;&gt;"",O2139="*CANCELADO"),"",NETWORKDAYS(AC2139,TODAY(),#REF!)))</f>
        <v/>
      </c>
      <c r="AF2139" s="619"/>
    </row>
    <row r="2140" spans="1:32" ht="14.25" customHeight="1">
      <c r="A2140" s="176"/>
      <c r="B2140" s="176"/>
      <c r="C2140" s="177"/>
      <c r="D2140" s="176"/>
      <c r="E2140" s="176"/>
      <c r="F2140" s="259"/>
      <c r="G2140" s="176"/>
      <c r="H2140" s="178"/>
      <c r="I2140" s="592">
        <f t="shared" si="82"/>
        <v>0</v>
      </c>
      <c r="J2140" s="178"/>
      <c r="K2140" s="178"/>
      <c r="L2140" s="275" t="str">
        <f>IF(H:H=0,"",IF(ISERROR(VLOOKUP(H:H,produtos_escape2!$A$2:$B$2794,2,FALSE)),"Código não cadastrado",(VLOOKUP(H:H,produtos_escape2!$A$2:$B$2794,2,FALSE))))</f>
        <v/>
      </c>
      <c r="M2140" s="593" t="str">
        <f>IF(H:H=0,"",IF(ISERROR(VLOOKUP(H:H,produtos_escape2!$A$2:$D$2794,2,FALSE)),"Código não cadastrado",(VLOOKUP(H:H,produtos_escape2!$A$2:$D$2794,4,FALSE))))</f>
        <v/>
      </c>
      <c r="N2140" s="486"/>
      <c r="O2140" s="176"/>
      <c r="P2140" s="486"/>
      <c r="Q2140" s="247"/>
      <c r="R2140" s="246">
        <f t="shared" si="81"/>
        <v>0</v>
      </c>
      <c r="S2140" s="177"/>
      <c r="T2140" s="182"/>
      <c r="U2140" s="177"/>
      <c r="V2140" s="177"/>
      <c r="W2140" s="177"/>
      <c r="X2140" s="176"/>
      <c r="Y2140" s="177"/>
      <c r="Z2140" s="415"/>
      <c r="AA2140" s="488"/>
      <c r="AB2140" s="594"/>
      <c r="AC2140" s="595"/>
      <c r="AD2140" s="596" t="str">
        <f>IF(AND(AC2140&lt;&gt;"",S2140&lt;&gt;""),NETWORKDAYS(AC2140,S2140,#REF!),"")</f>
        <v/>
      </c>
      <c r="AE2140" s="596" t="str">
        <f ca="1">IF(AND(AD2140="",AC2140=""),"",IF(OR(AD2140&lt;&gt;"",O2140="*CANCELADO"),"",NETWORKDAYS(AC2140,TODAY(),#REF!)))</f>
        <v/>
      </c>
      <c r="AF2140" s="619"/>
    </row>
    <row r="2141" spans="1:32" ht="14.25" customHeight="1">
      <c r="A2141" s="176"/>
      <c r="B2141" s="176"/>
      <c r="C2141" s="177"/>
      <c r="D2141" s="176"/>
      <c r="E2141" s="176"/>
      <c r="F2141" s="259"/>
      <c r="G2141" s="176"/>
      <c r="H2141" s="178"/>
      <c r="I2141" s="592">
        <f t="shared" si="82"/>
        <v>0</v>
      </c>
      <c r="J2141" s="178"/>
      <c r="K2141" s="178"/>
      <c r="L2141" s="275" t="str">
        <f>IF(H:H=0,"",IF(ISERROR(VLOOKUP(H:H,produtos_escape2!$A$2:$B$2794,2,FALSE)),"Código não cadastrado",(VLOOKUP(H:H,produtos_escape2!$A$2:$B$2794,2,FALSE))))</f>
        <v/>
      </c>
      <c r="M2141" s="593" t="str">
        <f>IF(H:H=0,"",IF(ISERROR(VLOOKUP(H:H,produtos_escape2!$A$2:$D$2794,2,FALSE)),"Código não cadastrado",(VLOOKUP(H:H,produtos_escape2!$A$2:$D$2794,4,FALSE))))</f>
        <v/>
      </c>
      <c r="N2141" s="486"/>
      <c r="O2141" s="176"/>
      <c r="P2141" s="486"/>
      <c r="Q2141" s="247"/>
      <c r="R2141" s="246">
        <f t="shared" si="81"/>
        <v>0</v>
      </c>
      <c r="S2141" s="177"/>
      <c r="T2141" s="182"/>
      <c r="U2141" s="177"/>
      <c r="V2141" s="177"/>
      <c r="W2141" s="177"/>
      <c r="X2141" s="176"/>
      <c r="Y2141" s="177"/>
      <c r="Z2141" s="415"/>
      <c r="AA2141" s="488"/>
      <c r="AB2141" s="594"/>
      <c r="AC2141" s="595"/>
      <c r="AD2141" s="596" t="str">
        <f>IF(AND(AC2141&lt;&gt;"",S2141&lt;&gt;""),NETWORKDAYS(AC2141,S2141,#REF!),"")</f>
        <v/>
      </c>
      <c r="AE2141" s="596" t="str">
        <f ca="1">IF(AND(AD2141="",AC2141=""),"",IF(OR(AD2141&lt;&gt;"",O2141="*CANCELADO"),"",NETWORKDAYS(AC2141,TODAY(),#REF!)))</f>
        <v/>
      </c>
      <c r="AF2141" s="619"/>
    </row>
    <row r="2142" spans="1:32" ht="14.25" customHeight="1">
      <c r="A2142" s="176"/>
      <c r="B2142" s="176"/>
      <c r="C2142" s="177"/>
      <c r="D2142" s="176"/>
      <c r="E2142" s="176"/>
      <c r="F2142" s="259"/>
      <c r="G2142" s="176"/>
      <c r="H2142" s="178"/>
      <c r="I2142" s="592">
        <f t="shared" si="82"/>
        <v>0</v>
      </c>
      <c r="J2142" s="178"/>
      <c r="K2142" s="178"/>
      <c r="L2142" s="275" t="str">
        <f>IF(H:H=0,"",IF(ISERROR(VLOOKUP(H:H,produtos_escape2!$A$2:$B$2794,2,FALSE)),"Código não cadastrado",(VLOOKUP(H:H,produtos_escape2!$A$2:$B$2794,2,FALSE))))</f>
        <v/>
      </c>
      <c r="M2142" s="593" t="str">
        <f>IF(H:H=0,"",IF(ISERROR(VLOOKUP(H:H,produtos_escape2!$A$2:$D$2794,2,FALSE)),"Código não cadastrado",(VLOOKUP(H:H,produtos_escape2!$A$2:$D$2794,4,FALSE))))</f>
        <v/>
      </c>
      <c r="N2142" s="486"/>
      <c r="O2142" s="176"/>
      <c r="P2142" s="486"/>
      <c r="Q2142" s="247"/>
      <c r="R2142" s="246">
        <f t="shared" si="81"/>
        <v>0</v>
      </c>
      <c r="S2142" s="177"/>
      <c r="T2142" s="182"/>
      <c r="U2142" s="177"/>
      <c r="V2142" s="177"/>
      <c r="W2142" s="177"/>
      <c r="X2142" s="176"/>
      <c r="Y2142" s="177"/>
      <c r="Z2142" s="415"/>
      <c r="AA2142" s="488"/>
      <c r="AB2142" s="594"/>
      <c r="AC2142" s="595"/>
      <c r="AD2142" s="596" t="str">
        <f>IF(AND(AC2142&lt;&gt;"",S2142&lt;&gt;""),NETWORKDAYS(AC2142,S2142,#REF!),"")</f>
        <v/>
      </c>
      <c r="AE2142" s="596" t="str">
        <f ca="1">IF(AND(AD2142="",AC2142=""),"",IF(OR(AD2142&lt;&gt;"",O2142="*CANCELADO"),"",NETWORKDAYS(AC2142,TODAY(),#REF!)))</f>
        <v/>
      </c>
      <c r="AF2142" s="619"/>
    </row>
    <row r="2143" spans="1:32" ht="14.25" customHeight="1">
      <c r="A2143" s="176"/>
      <c r="B2143" s="176"/>
      <c r="C2143" s="177"/>
      <c r="D2143" s="176"/>
      <c r="E2143" s="176"/>
      <c r="F2143" s="259"/>
      <c r="G2143" s="176"/>
      <c r="H2143" s="178"/>
      <c r="I2143" s="592">
        <f t="shared" si="82"/>
        <v>0</v>
      </c>
      <c r="J2143" s="178"/>
      <c r="K2143" s="178"/>
      <c r="L2143" s="275" t="str">
        <f>IF(H:H=0,"",IF(ISERROR(VLOOKUP(H:H,produtos_escape2!$A$2:$B$2794,2,FALSE)),"Código não cadastrado",(VLOOKUP(H:H,produtos_escape2!$A$2:$B$2794,2,FALSE))))</f>
        <v/>
      </c>
      <c r="M2143" s="593" t="str">
        <f>IF(H:H=0,"",IF(ISERROR(VLOOKUP(H:H,produtos_escape2!$A$2:$D$2794,2,FALSE)),"Código não cadastrado",(VLOOKUP(H:H,produtos_escape2!$A$2:$D$2794,4,FALSE))))</f>
        <v/>
      </c>
      <c r="N2143" s="486"/>
      <c r="O2143" s="176"/>
      <c r="P2143" s="486"/>
      <c r="Q2143" s="247"/>
      <c r="R2143" s="246">
        <f t="shared" si="81"/>
        <v>0</v>
      </c>
      <c r="S2143" s="177"/>
      <c r="T2143" s="182"/>
      <c r="U2143" s="177"/>
      <c r="V2143" s="177"/>
      <c r="W2143" s="177"/>
      <c r="X2143" s="176"/>
      <c r="Y2143" s="177"/>
      <c r="Z2143" s="415"/>
      <c r="AA2143" s="488"/>
      <c r="AB2143" s="594"/>
      <c r="AC2143" s="595"/>
      <c r="AD2143" s="596" t="str">
        <f>IF(AND(AC2143&lt;&gt;"",S2143&lt;&gt;""),NETWORKDAYS(AC2143,S2143,#REF!),"")</f>
        <v/>
      </c>
      <c r="AE2143" s="596" t="str">
        <f ca="1">IF(AND(AD2143="",AC2143=""),"",IF(OR(AD2143&lt;&gt;"",O2143="*CANCELADO"),"",NETWORKDAYS(AC2143,TODAY(),#REF!)))</f>
        <v/>
      </c>
      <c r="AF2143" s="619"/>
    </row>
    <row r="2144" spans="1:32" ht="14.25" customHeight="1">
      <c r="A2144" s="176"/>
      <c r="B2144" s="176"/>
      <c r="C2144" s="177"/>
      <c r="D2144" s="176"/>
      <c r="E2144" s="176"/>
      <c r="F2144" s="259"/>
      <c r="G2144" s="176"/>
      <c r="H2144" s="178"/>
      <c r="I2144" s="592">
        <f t="shared" si="82"/>
        <v>0</v>
      </c>
      <c r="J2144" s="178"/>
      <c r="K2144" s="178"/>
      <c r="L2144" s="275" t="str">
        <f>IF(H:H=0,"",IF(ISERROR(VLOOKUP(H:H,produtos_escape2!$A$2:$B$2794,2,FALSE)),"Código não cadastrado",(VLOOKUP(H:H,produtos_escape2!$A$2:$B$2794,2,FALSE))))</f>
        <v/>
      </c>
      <c r="M2144" s="593" t="str">
        <f>IF(H:H=0,"",IF(ISERROR(VLOOKUP(H:H,produtos_escape2!$A$2:$D$2794,2,FALSE)),"Código não cadastrado",(VLOOKUP(H:H,produtos_escape2!$A$2:$D$2794,4,FALSE))))</f>
        <v/>
      </c>
      <c r="N2144" s="486"/>
      <c r="O2144" s="176"/>
      <c r="P2144" s="486"/>
      <c r="Q2144" s="247"/>
      <c r="R2144" s="246">
        <f t="shared" si="81"/>
        <v>0</v>
      </c>
      <c r="S2144" s="177"/>
      <c r="T2144" s="182"/>
      <c r="U2144" s="177"/>
      <c r="V2144" s="177"/>
      <c r="W2144" s="177"/>
      <c r="X2144" s="176"/>
      <c r="Y2144" s="177"/>
      <c r="Z2144" s="415"/>
      <c r="AA2144" s="488"/>
      <c r="AB2144" s="594"/>
      <c r="AC2144" s="595"/>
      <c r="AD2144" s="596" t="str">
        <f>IF(AND(AC2144&lt;&gt;"",S2144&lt;&gt;""),NETWORKDAYS(AC2144,S2144,#REF!),"")</f>
        <v/>
      </c>
      <c r="AE2144" s="596" t="str">
        <f ca="1">IF(AND(AD2144="",AC2144=""),"",IF(OR(AD2144&lt;&gt;"",O2144="*CANCELADO"),"",NETWORKDAYS(AC2144,TODAY(),#REF!)))</f>
        <v/>
      </c>
      <c r="AF2144" s="619"/>
    </row>
    <row r="2145" spans="1:32" ht="14.25" customHeight="1">
      <c r="A2145" s="176"/>
      <c r="B2145" s="176"/>
      <c r="C2145" s="177"/>
      <c r="D2145" s="176"/>
      <c r="E2145" s="176"/>
      <c r="F2145" s="259"/>
      <c r="G2145" s="176"/>
      <c r="H2145" s="178"/>
      <c r="I2145" s="592">
        <f t="shared" si="82"/>
        <v>0</v>
      </c>
      <c r="J2145" s="178"/>
      <c r="K2145" s="178"/>
      <c r="L2145" s="275" t="str">
        <f>IF(H:H=0,"",IF(ISERROR(VLOOKUP(H:H,produtos_escape2!$A$2:$B$2794,2,FALSE)),"Código não cadastrado",(VLOOKUP(H:H,produtos_escape2!$A$2:$B$2794,2,FALSE))))</f>
        <v/>
      </c>
      <c r="M2145" s="593" t="str">
        <f>IF(H:H=0,"",IF(ISERROR(VLOOKUP(H:H,produtos_escape2!$A$2:$D$2794,2,FALSE)),"Código não cadastrado",(VLOOKUP(H:H,produtos_escape2!$A$2:$D$2794,4,FALSE))))</f>
        <v/>
      </c>
      <c r="N2145" s="486"/>
      <c r="O2145" s="176"/>
      <c r="P2145" s="486"/>
      <c r="Q2145" s="247"/>
      <c r="R2145" s="246">
        <f t="shared" si="81"/>
        <v>0</v>
      </c>
      <c r="S2145" s="177"/>
      <c r="T2145" s="182"/>
      <c r="U2145" s="177"/>
      <c r="V2145" s="177"/>
      <c r="W2145" s="177"/>
      <c r="X2145" s="176"/>
      <c r="Y2145" s="177"/>
      <c r="Z2145" s="415"/>
      <c r="AA2145" s="488"/>
      <c r="AB2145" s="594"/>
      <c r="AC2145" s="595"/>
      <c r="AD2145" s="596" t="str">
        <f>IF(AND(AC2145&lt;&gt;"",S2145&lt;&gt;""),NETWORKDAYS(AC2145,S2145,#REF!),"")</f>
        <v/>
      </c>
      <c r="AE2145" s="596" t="str">
        <f ca="1">IF(AND(AD2145="",AC2145=""),"",IF(OR(AD2145&lt;&gt;"",O2145="*CANCELADO"),"",NETWORKDAYS(AC2145,TODAY(),#REF!)))</f>
        <v/>
      </c>
      <c r="AF2145" s="619"/>
    </row>
    <row r="2146" spans="1:32" ht="14.25" customHeight="1">
      <c r="A2146" s="176"/>
      <c r="B2146" s="176"/>
      <c r="C2146" s="177"/>
      <c r="D2146" s="176"/>
      <c r="E2146" s="176"/>
      <c r="F2146" s="259"/>
      <c r="G2146" s="176"/>
      <c r="H2146" s="178"/>
      <c r="I2146" s="592">
        <f t="shared" si="82"/>
        <v>0</v>
      </c>
      <c r="J2146" s="178"/>
      <c r="K2146" s="178"/>
      <c r="L2146" s="275" t="str">
        <f>IF(H:H=0,"",IF(ISERROR(VLOOKUP(H:H,produtos_escape2!$A$2:$B$2794,2,FALSE)),"Código não cadastrado",(VLOOKUP(H:H,produtos_escape2!$A$2:$B$2794,2,FALSE))))</f>
        <v/>
      </c>
      <c r="M2146" s="593" t="str">
        <f>IF(H:H=0,"",IF(ISERROR(VLOOKUP(H:H,produtos_escape2!$A$2:$D$2794,2,FALSE)),"Código não cadastrado",(VLOOKUP(H:H,produtos_escape2!$A$2:$D$2794,4,FALSE))))</f>
        <v/>
      </c>
      <c r="N2146" s="486"/>
      <c r="O2146" s="176"/>
      <c r="P2146" s="486"/>
      <c r="Q2146" s="247"/>
      <c r="R2146" s="246">
        <f t="shared" si="81"/>
        <v>0</v>
      </c>
      <c r="S2146" s="177"/>
      <c r="T2146" s="182"/>
      <c r="U2146" s="177"/>
      <c r="V2146" s="177"/>
      <c r="W2146" s="177"/>
      <c r="X2146" s="176"/>
      <c r="Y2146" s="177"/>
      <c r="Z2146" s="415"/>
      <c r="AA2146" s="488"/>
      <c r="AB2146" s="594"/>
      <c r="AC2146" s="595"/>
      <c r="AD2146" s="596" t="str">
        <f>IF(AND(AC2146&lt;&gt;"",S2146&lt;&gt;""),NETWORKDAYS(AC2146,S2146,#REF!),"")</f>
        <v/>
      </c>
      <c r="AE2146" s="596" t="str">
        <f ca="1">IF(AND(AD2146="",AC2146=""),"",IF(OR(AD2146&lt;&gt;"",O2146="*CANCELADO"),"",NETWORKDAYS(AC2146,TODAY(),#REF!)))</f>
        <v/>
      </c>
      <c r="AF2146" s="619"/>
    </row>
    <row r="2147" spans="1:32" ht="14.25" customHeight="1">
      <c r="A2147" s="176"/>
      <c r="B2147" s="176"/>
      <c r="C2147" s="177"/>
      <c r="D2147" s="176"/>
      <c r="E2147" s="176"/>
      <c r="F2147" s="259"/>
      <c r="G2147" s="176"/>
      <c r="H2147" s="178"/>
      <c r="I2147" s="592">
        <f t="shared" si="82"/>
        <v>0</v>
      </c>
      <c r="J2147" s="178"/>
      <c r="K2147" s="178"/>
      <c r="L2147" s="275" t="str">
        <f>IF(H:H=0,"",IF(ISERROR(VLOOKUP(H:H,produtos_escape2!$A$2:$B$2794,2,FALSE)),"Código não cadastrado",(VLOOKUP(H:H,produtos_escape2!$A$2:$B$2794,2,FALSE))))</f>
        <v/>
      </c>
      <c r="M2147" s="593" t="str">
        <f>IF(H:H=0,"",IF(ISERROR(VLOOKUP(H:H,produtos_escape2!$A$2:$D$2794,2,FALSE)),"Código não cadastrado",(VLOOKUP(H:H,produtos_escape2!$A$2:$D$2794,4,FALSE))))</f>
        <v/>
      </c>
      <c r="N2147" s="486"/>
      <c r="O2147" s="176"/>
      <c r="P2147" s="486"/>
      <c r="Q2147" s="247"/>
      <c r="R2147" s="246">
        <f t="shared" si="81"/>
        <v>0</v>
      </c>
      <c r="S2147" s="177"/>
      <c r="T2147" s="182"/>
      <c r="U2147" s="177"/>
      <c r="V2147" s="177"/>
      <c r="W2147" s="177"/>
      <c r="X2147" s="176"/>
      <c r="Y2147" s="177"/>
      <c r="Z2147" s="415"/>
      <c r="AA2147" s="488"/>
      <c r="AB2147" s="594"/>
      <c r="AC2147" s="595"/>
      <c r="AD2147" s="596" t="str">
        <f>IF(AND(AC2147&lt;&gt;"",S2147&lt;&gt;""),NETWORKDAYS(AC2147,S2147,#REF!),"")</f>
        <v/>
      </c>
      <c r="AE2147" s="596" t="str">
        <f ca="1">IF(AND(AD2147="",AC2147=""),"",IF(OR(AD2147&lt;&gt;"",O2147="*CANCELADO"),"",NETWORKDAYS(AC2147,TODAY(),#REF!)))</f>
        <v/>
      </c>
      <c r="AF2147" s="619"/>
    </row>
    <row r="2148" spans="1:32" ht="14.25" customHeight="1">
      <c r="A2148" s="176"/>
      <c r="B2148" s="176"/>
      <c r="C2148" s="177"/>
      <c r="D2148" s="176"/>
      <c r="E2148" s="176"/>
      <c r="F2148" s="259"/>
      <c r="G2148" s="176"/>
      <c r="H2148" s="178"/>
      <c r="I2148" s="592">
        <f t="shared" si="82"/>
        <v>0</v>
      </c>
      <c r="J2148" s="178"/>
      <c r="K2148" s="178"/>
      <c r="L2148" s="275" t="str">
        <f>IF(H:H=0,"",IF(ISERROR(VLOOKUP(H:H,produtos_escape2!$A$2:$B$2794,2,FALSE)),"Código não cadastrado",(VLOOKUP(H:H,produtos_escape2!$A$2:$B$2794,2,FALSE))))</f>
        <v/>
      </c>
      <c r="M2148" s="593" t="str">
        <f>IF(H:H=0,"",IF(ISERROR(VLOOKUP(H:H,produtos_escape2!$A$2:$D$2794,2,FALSE)),"Código não cadastrado",(VLOOKUP(H:H,produtos_escape2!$A$2:$D$2794,4,FALSE))))</f>
        <v/>
      </c>
      <c r="N2148" s="486"/>
      <c r="O2148" s="176"/>
      <c r="P2148" s="486"/>
      <c r="Q2148" s="247"/>
      <c r="R2148" s="246">
        <f t="shared" si="81"/>
        <v>0</v>
      </c>
      <c r="S2148" s="177"/>
      <c r="T2148" s="182"/>
      <c r="U2148" s="177"/>
      <c r="V2148" s="177"/>
      <c r="W2148" s="177"/>
      <c r="X2148" s="176"/>
      <c r="Y2148" s="177"/>
      <c r="Z2148" s="415"/>
      <c r="AA2148" s="488"/>
      <c r="AB2148" s="594"/>
      <c r="AC2148" s="595"/>
      <c r="AD2148" s="596" t="str">
        <f>IF(AND(AC2148&lt;&gt;"",S2148&lt;&gt;""),NETWORKDAYS(AC2148,S2148,#REF!),"")</f>
        <v/>
      </c>
      <c r="AE2148" s="596" t="str">
        <f ca="1">IF(AND(AD2148="",AC2148=""),"",IF(OR(AD2148&lt;&gt;"",O2148="*CANCELADO"),"",NETWORKDAYS(AC2148,TODAY(),#REF!)))</f>
        <v/>
      </c>
      <c r="AF2148" s="619"/>
    </row>
    <row r="2149" spans="1:32" ht="14.25" customHeight="1">
      <c r="A2149" s="176"/>
      <c r="B2149" s="176"/>
      <c r="C2149" s="177"/>
      <c r="D2149" s="176"/>
      <c r="E2149" s="176"/>
      <c r="F2149" s="259"/>
      <c r="G2149" s="176"/>
      <c r="H2149" s="178"/>
      <c r="I2149" s="592">
        <f t="shared" si="82"/>
        <v>0</v>
      </c>
      <c r="J2149" s="178"/>
      <c r="K2149" s="178"/>
      <c r="L2149" s="275" t="str">
        <f>IF(H:H=0,"",IF(ISERROR(VLOOKUP(H:H,produtos_escape2!$A$2:$B$2794,2,FALSE)),"Código não cadastrado",(VLOOKUP(H:H,produtos_escape2!$A$2:$B$2794,2,FALSE))))</f>
        <v/>
      </c>
      <c r="M2149" s="593" t="str">
        <f>IF(H:H=0,"",IF(ISERROR(VLOOKUP(H:H,produtos_escape2!$A$2:$D$2794,2,FALSE)),"Código não cadastrado",(VLOOKUP(H:H,produtos_escape2!$A$2:$D$2794,4,FALSE))))</f>
        <v/>
      </c>
      <c r="N2149" s="486"/>
      <c r="O2149" s="176"/>
      <c r="P2149" s="486"/>
      <c r="Q2149" s="247"/>
      <c r="R2149" s="246">
        <f t="shared" si="81"/>
        <v>0</v>
      </c>
      <c r="S2149" s="177"/>
      <c r="T2149" s="182"/>
      <c r="U2149" s="177"/>
      <c r="V2149" s="177"/>
      <c r="W2149" s="177"/>
      <c r="X2149" s="176"/>
      <c r="Y2149" s="177"/>
      <c r="Z2149" s="415"/>
      <c r="AA2149" s="488"/>
      <c r="AB2149" s="594"/>
      <c r="AC2149" s="595"/>
      <c r="AD2149" s="596" t="str">
        <f>IF(AND(AC2149&lt;&gt;"",S2149&lt;&gt;""),NETWORKDAYS(AC2149,S2149,#REF!),"")</f>
        <v/>
      </c>
      <c r="AE2149" s="596" t="str">
        <f ca="1">IF(AND(AD2149="",AC2149=""),"",IF(OR(AD2149&lt;&gt;"",O2149="*CANCELADO"),"",NETWORKDAYS(AC2149,TODAY(),#REF!)))</f>
        <v/>
      </c>
      <c r="AF2149" s="619"/>
    </row>
    <row r="2150" spans="1:32" ht="14.25" customHeight="1">
      <c r="A2150" s="176"/>
      <c r="B2150" s="176"/>
      <c r="C2150" s="177"/>
      <c r="D2150" s="176"/>
      <c r="E2150" s="176"/>
      <c r="F2150" s="259"/>
      <c r="G2150" s="176"/>
      <c r="H2150" s="178"/>
      <c r="I2150" s="592">
        <f t="shared" si="82"/>
        <v>0</v>
      </c>
      <c r="J2150" s="178"/>
      <c r="K2150" s="178"/>
      <c r="L2150" s="275" t="str">
        <f>IF(H:H=0,"",IF(ISERROR(VLOOKUP(H:H,produtos_escape2!$A$2:$B$2794,2,FALSE)),"Código não cadastrado",(VLOOKUP(H:H,produtos_escape2!$A$2:$B$2794,2,FALSE))))</f>
        <v/>
      </c>
      <c r="M2150" s="593" t="str">
        <f>IF(H:H=0,"",IF(ISERROR(VLOOKUP(H:H,produtos_escape2!$A$2:$D$2794,2,FALSE)),"Código não cadastrado",(VLOOKUP(H:H,produtos_escape2!$A$2:$D$2794,4,FALSE))))</f>
        <v/>
      </c>
      <c r="N2150" s="486"/>
      <c r="O2150" s="176"/>
      <c r="P2150" s="486"/>
      <c r="Q2150" s="247"/>
      <c r="R2150" s="246">
        <f t="shared" si="81"/>
        <v>0</v>
      </c>
      <c r="S2150" s="177"/>
      <c r="T2150" s="182"/>
      <c r="U2150" s="177"/>
      <c r="V2150" s="177"/>
      <c r="W2150" s="177"/>
      <c r="X2150" s="176"/>
      <c r="Y2150" s="177"/>
      <c r="Z2150" s="415"/>
      <c r="AA2150" s="488"/>
      <c r="AB2150" s="594"/>
      <c r="AC2150" s="595"/>
      <c r="AD2150" s="596" t="str">
        <f>IF(AND(AC2150&lt;&gt;"",S2150&lt;&gt;""),NETWORKDAYS(AC2150,S2150,#REF!),"")</f>
        <v/>
      </c>
      <c r="AE2150" s="596" t="str">
        <f ca="1">IF(AND(AD2150="",AC2150=""),"",IF(OR(AD2150&lt;&gt;"",O2150="*CANCELADO"),"",NETWORKDAYS(AC2150,TODAY(),#REF!)))</f>
        <v/>
      </c>
      <c r="AF2150" s="619"/>
    </row>
    <row r="2151" spans="1:32" ht="14.25" customHeight="1">
      <c r="A2151" s="176"/>
      <c r="B2151" s="176"/>
      <c r="C2151" s="177"/>
      <c r="D2151" s="176"/>
      <c r="E2151" s="176"/>
      <c r="F2151" s="259"/>
      <c r="G2151" s="176"/>
      <c r="H2151" s="178"/>
      <c r="I2151" s="592">
        <f t="shared" si="82"/>
        <v>0</v>
      </c>
      <c r="J2151" s="178"/>
      <c r="K2151" s="178"/>
      <c r="L2151" s="275" t="str">
        <f>IF(H:H=0,"",IF(ISERROR(VLOOKUP(H:H,produtos_escape2!$A$2:$B$2794,2,FALSE)),"Código não cadastrado",(VLOOKUP(H:H,produtos_escape2!$A$2:$B$2794,2,FALSE))))</f>
        <v/>
      </c>
      <c r="M2151" s="593" t="str">
        <f>IF(H:H=0,"",IF(ISERROR(VLOOKUP(H:H,produtos_escape2!$A$2:$D$2794,2,FALSE)),"Código não cadastrado",(VLOOKUP(H:H,produtos_escape2!$A$2:$D$2794,4,FALSE))))</f>
        <v/>
      </c>
      <c r="N2151" s="486"/>
      <c r="O2151" s="176"/>
      <c r="P2151" s="486"/>
      <c r="Q2151" s="247"/>
      <c r="R2151" s="246">
        <f t="shared" si="81"/>
        <v>0</v>
      </c>
      <c r="S2151" s="177"/>
      <c r="T2151" s="182"/>
      <c r="U2151" s="177"/>
      <c r="V2151" s="177"/>
      <c r="W2151" s="177"/>
      <c r="X2151" s="176"/>
      <c r="Y2151" s="177"/>
      <c r="Z2151" s="415"/>
      <c r="AA2151" s="488"/>
      <c r="AB2151" s="594"/>
      <c r="AC2151" s="595"/>
      <c r="AD2151" s="596" t="str">
        <f>IF(AND(AC2151&lt;&gt;"",S2151&lt;&gt;""),NETWORKDAYS(AC2151,S2151,#REF!),"")</f>
        <v/>
      </c>
      <c r="AE2151" s="596" t="str">
        <f ca="1">IF(AND(AD2151="",AC2151=""),"",IF(OR(AD2151&lt;&gt;"",O2151="*CANCELADO"),"",NETWORKDAYS(AC2151,TODAY(),#REF!)))</f>
        <v/>
      </c>
      <c r="AF2151" s="619"/>
    </row>
    <row r="2152" spans="1:32" ht="14.25" customHeight="1">
      <c r="A2152" s="176"/>
      <c r="B2152" s="176"/>
      <c r="C2152" s="177"/>
      <c r="D2152" s="176"/>
      <c r="E2152" s="176"/>
      <c r="F2152" s="259"/>
      <c r="G2152" s="176"/>
      <c r="H2152" s="178"/>
      <c r="I2152" s="592">
        <f t="shared" si="82"/>
        <v>0</v>
      </c>
      <c r="J2152" s="178"/>
      <c r="K2152" s="178"/>
      <c r="L2152" s="275" t="str">
        <f>IF(H:H=0,"",IF(ISERROR(VLOOKUP(H:H,produtos_escape2!$A$2:$B$2794,2,FALSE)),"Código não cadastrado",(VLOOKUP(H:H,produtos_escape2!$A$2:$B$2794,2,FALSE))))</f>
        <v/>
      </c>
      <c r="M2152" s="593" t="str">
        <f>IF(H:H=0,"",IF(ISERROR(VLOOKUP(H:H,produtos_escape2!$A$2:$D$2794,2,FALSE)),"Código não cadastrado",(VLOOKUP(H:H,produtos_escape2!$A$2:$D$2794,4,FALSE))))</f>
        <v/>
      </c>
      <c r="N2152" s="486"/>
      <c r="O2152" s="176"/>
      <c r="P2152" s="486"/>
      <c r="Q2152" s="247"/>
      <c r="R2152" s="246">
        <f t="shared" si="81"/>
        <v>0</v>
      </c>
      <c r="S2152" s="177"/>
      <c r="T2152" s="182"/>
      <c r="U2152" s="177"/>
      <c r="V2152" s="177"/>
      <c r="W2152" s="177"/>
      <c r="X2152" s="176"/>
      <c r="Y2152" s="177"/>
      <c r="Z2152" s="415"/>
      <c r="AA2152" s="488"/>
      <c r="AB2152" s="594"/>
      <c r="AC2152" s="595"/>
      <c r="AD2152" s="596" t="str">
        <f>IF(AND(AC2152&lt;&gt;"",S2152&lt;&gt;""),NETWORKDAYS(AC2152,S2152,#REF!),"")</f>
        <v/>
      </c>
      <c r="AE2152" s="596" t="str">
        <f ca="1">IF(AND(AD2152="",AC2152=""),"",IF(OR(AD2152&lt;&gt;"",O2152="*CANCELADO"),"",NETWORKDAYS(AC2152,TODAY(),#REF!)))</f>
        <v/>
      </c>
      <c r="AF2152" s="619"/>
    </row>
    <row r="2153" spans="1:32" ht="14.25" customHeight="1">
      <c r="A2153" s="176"/>
      <c r="B2153" s="176"/>
      <c r="C2153" s="177"/>
      <c r="D2153" s="176"/>
      <c r="E2153" s="176"/>
      <c r="F2153" s="259"/>
      <c r="G2153" s="176"/>
      <c r="H2153" s="178"/>
      <c r="I2153" s="592">
        <f t="shared" si="82"/>
        <v>0</v>
      </c>
      <c r="J2153" s="178"/>
      <c r="K2153" s="178"/>
      <c r="L2153" s="275" t="str">
        <f>IF(H:H=0,"",IF(ISERROR(VLOOKUP(H:H,produtos_escape2!$A$2:$B$2794,2,FALSE)),"Código não cadastrado",(VLOOKUP(H:H,produtos_escape2!$A$2:$B$2794,2,FALSE))))</f>
        <v/>
      </c>
      <c r="M2153" s="593" t="str">
        <f>IF(H:H=0,"",IF(ISERROR(VLOOKUP(H:H,produtos_escape2!$A$2:$D$2794,2,FALSE)),"Código não cadastrado",(VLOOKUP(H:H,produtos_escape2!$A$2:$D$2794,4,FALSE))))</f>
        <v/>
      </c>
      <c r="N2153" s="486"/>
      <c r="O2153" s="176"/>
      <c r="P2153" s="486"/>
      <c r="Q2153" s="247"/>
      <c r="R2153" s="246">
        <f t="shared" si="81"/>
        <v>0</v>
      </c>
      <c r="S2153" s="177"/>
      <c r="T2153" s="182"/>
      <c r="U2153" s="177"/>
      <c r="V2153" s="177"/>
      <c r="W2153" s="177"/>
      <c r="X2153" s="176"/>
      <c r="Y2153" s="177"/>
      <c r="Z2153" s="415"/>
      <c r="AA2153" s="488"/>
      <c r="AB2153" s="594"/>
      <c r="AC2153" s="595"/>
      <c r="AD2153" s="596" t="str">
        <f>IF(AND(AC2153&lt;&gt;"",S2153&lt;&gt;""),NETWORKDAYS(AC2153,S2153,#REF!),"")</f>
        <v/>
      </c>
      <c r="AE2153" s="596" t="str">
        <f ca="1">IF(AND(AD2153="",AC2153=""),"",IF(OR(AD2153&lt;&gt;"",O2153="*CANCELADO"),"",NETWORKDAYS(AC2153,TODAY(),#REF!)))</f>
        <v/>
      </c>
      <c r="AF2153" s="619"/>
    </row>
    <row r="2154" spans="1:32" ht="14.25" customHeight="1">
      <c r="A2154" s="176"/>
      <c r="B2154" s="176"/>
      <c r="C2154" s="177"/>
      <c r="D2154" s="176"/>
      <c r="E2154" s="176"/>
      <c r="F2154" s="259"/>
      <c r="G2154" s="176"/>
      <c r="H2154" s="178"/>
      <c r="I2154" s="592">
        <f t="shared" si="82"/>
        <v>0</v>
      </c>
      <c r="J2154" s="178"/>
      <c r="K2154" s="178"/>
      <c r="L2154" s="275" t="str">
        <f>IF(H:H=0,"",IF(ISERROR(VLOOKUP(H:H,produtos_escape2!$A$2:$B$2794,2,FALSE)),"Código não cadastrado",(VLOOKUP(H:H,produtos_escape2!$A$2:$B$2794,2,FALSE))))</f>
        <v/>
      </c>
      <c r="M2154" s="593" t="str">
        <f>IF(H:H=0,"",IF(ISERROR(VLOOKUP(H:H,produtos_escape2!$A$2:$D$2794,2,FALSE)),"Código não cadastrado",(VLOOKUP(H:H,produtos_escape2!$A$2:$D$2794,4,FALSE))))</f>
        <v/>
      </c>
      <c r="N2154" s="486"/>
      <c r="O2154" s="176"/>
      <c r="P2154" s="486"/>
      <c r="Q2154" s="247"/>
      <c r="R2154" s="246">
        <f t="shared" si="81"/>
        <v>0</v>
      </c>
      <c r="S2154" s="177"/>
      <c r="T2154" s="182"/>
      <c r="U2154" s="177"/>
      <c r="V2154" s="177"/>
      <c r="W2154" s="177"/>
      <c r="X2154" s="176"/>
      <c r="Y2154" s="177"/>
      <c r="Z2154" s="415"/>
      <c r="AA2154" s="488"/>
      <c r="AB2154" s="594"/>
      <c r="AC2154" s="595"/>
      <c r="AD2154" s="596" t="str">
        <f>IF(AND(AC2154&lt;&gt;"",S2154&lt;&gt;""),NETWORKDAYS(AC2154,S2154,#REF!),"")</f>
        <v/>
      </c>
      <c r="AE2154" s="596" t="str">
        <f ca="1">IF(AND(AD2154="",AC2154=""),"",IF(OR(AD2154&lt;&gt;"",O2154="*CANCELADO"),"",NETWORKDAYS(AC2154,TODAY(),#REF!)))</f>
        <v/>
      </c>
      <c r="AF2154" s="619"/>
    </row>
    <row r="2155" spans="1:32" ht="14.25" customHeight="1">
      <c r="A2155" s="176"/>
      <c r="B2155" s="176"/>
      <c r="C2155" s="177"/>
      <c r="D2155" s="176"/>
      <c r="E2155" s="176"/>
      <c r="F2155" s="259"/>
      <c r="G2155" s="176"/>
      <c r="H2155" s="178"/>
      <c r="I2155" s="592">
        <f t="shared" si="82"/>
        <v>0</v>
      </c>
      <c r="J2155" s="178"/>
      <c r="K2155" s="178"/>
      <c r="L2155" s="275" t="str">
        <f>IF(H:H=0,"",IF(ISERROR(VLOOKUP(H:H,produtos_escape2!$A$2:$B$2794,2,FALSE)),"Código não cadastrado",(VLOOKUP(H:H,produtos_escape2!$A$2:$B$2794,2,FALSE))))</f>
        <v/>
      </c>
      <c r="M2155" s="593" t="str">
        <f>IF(H:H=0,"",IF(ISERROR(VLOOKUP(H:H,produtos_escape2!$A$2:$D$2794,2,FALSE)),"Código não cadastrado",(VLOOKUP(H:H,produtos_escape2!$A$2:$D$2794,4,FALSE))))</f>
        <v/>
      </c>
      <c r="N2155" s="486"/>
      <c r="O2155" s="176"/>
      <c r="P2155" s="486"/>
      <c r="Q2155" s="247"/>
      <c r="R2155" s="246">
        <f t="shared" si="81"/>
        <v>0</v>
      </c>
      <c r="S2155" s="177"/>
      <c r="T2155" s="182"/>
      <c r="U2155" s="177"/>
      <c r="V2155" s="177"/>
      <c r="W2155" s="177"/>
      <c r="X2155" s="176"/>
      <c r="Y2155" s="177"/>
      <c r="Z2155" s="415"/>
      <c r="AA2155" s="488"/>
      <c r="AB2155" s="594"/>
      <c r="AC2155" s="595"/>
      <c r="AD2155" s="596" t="str">
        <f>IF(AND(AC2155&lt;&gt;"",S2155&lt;&gt;""),NETWORKDAYS(AC2155,S2155,#REF!),"")</f>
        <v/>
      </c>
      <c r="AE2155" s="596" t="str">
        <f ca="1">IF(AND(AD2155="",AC2155=""),"",IF(OR(AD2155&lt;&gt;"",O2155="*CANCELADO"),"",NETWORKDAYS(AC2155,TODAY(),#REF!)))</f>
        <v/>
      </c>
      <c r="AF2155" s="619"/>
    </row>
    <row r="2156" spans="1:32" ht="14.25" customHeight="1">
      <c r="A2156" s="176"/>
      <c r="B2156" s="176"/>
      <c r="C2156" s="177"/>
      <c r="D2156" s="176"/>
      <c r="E2156" s="176"/>
      <c r="F2156" s="259"/>
      <c r="G2156" s="176"/>
      <c r="H2156" s="178"/>
      <c r="I2156" s="592">
        <f t="shared" si="82"/>
        <v>0</v>
      </c>
      <c r="J2156" s="178"/>
      <c r="K2156" s="178"/>
      <c r="L2156" s="275" t="str">
        <f>IF(H:H=0,"",IF(ISERROR(VLOOKUP(H:H,produtos_escape2!$A$2:$B$2794,2,FALSE)),"Código não cadastrado",(VLOOKUP(H:H,produtos_escape2!$A$2:$B$2794,2,FALSE))))</f>
        <v/>
      </c>
      <c r="M2156" s="593" t="str">
        <f>IF(H:H=0,"",IF(ISERROR(VLOOKUP(H:H,produtos_escape2!$A$2:$D$2794,2,FALSE)),"Código não cadastrado",(VLOOKUP(H:H,produtos_escape2!$A$2:$D$2794,4,FALSE))))</f>
        <v/>
      </c>
      <c r="N2156" s="486"/>
      <c r="O2156" s="176"/>
      <c r="P2156" s="486"/>
      <c r="Q2156" s="247"/>
      <c r="R2156" s="246">
        <f t="shared" si="81"/>
        <v>0</v>
      </c>
      <c r="S2156" s="177"/>
      <c r="T2156" s="182"/>
      <c r="U2156" s="177"/>
      <c r="V2156" s="177"/>
      <c r="W2156" s="177"/>
      <c r="X2156" s="176"/>
      <c r="Y2156" s="177"/>
      <c r="Z2156" s="415"/>
      <c r="AA2156" s="488"/>
      <c r="AB2156" s="594"/>
      <c r="AC2156" s="595"/>
      <c r="AD2156" s="596" t="str">
        <f>IF(AND(AC2156&lt;&gt;"",S2156&lt;&gt;""),NETWORKDAYS(AC2156,S2156,#REF!),"")</f>
        <v/>
      </c>
      <c r="AE2156" s="596" t="str">
        <f ca="1">IF(AND(AD2156="",AC2156=""),"",IF(OR(AD2156&lt;&gt;"",O2156="*CANCELADO"),"",NETWORKDAYS(AC2156,TODAY(),#REF!)))</f>
        <v/>
      </c>
      <c r="AF2156" s="619"/>
    </row>
    <row r="2157" spans="1:32" ht="14.25" customHeight="1">
      <c r="A2157" s="176"/>
      <c r="B2157" s="176"/>
      <c r="C2157" s="177"/>
      <c r="D2157" s="176"/>
      <c r="E2157" s="176"/>
      <c r="F2157" s="259"/>
      <c r="G2157" s="176"/>
      <c r="H2157" s="178"/>
      <c r="I2157" s="592">
        <f t="shared" si="82"/>
        <v>0</v>
      </c>
      <c r="J2157" s="178"/>
      <c r="K2157" s="178"/>
      <c r="L2157" s="275" t="str">
        <f>IF(H:H=0,"",IF(ISERROR(VLOOKUP(H:H,produtos_escape2!$A$2:$B$2794,2,FALSE)),"Código não cadastrado",(VLOOKUP(H:H,produtos_escape2!$A$2:$B$2794,2,FALSE))))</f>
        <v/>
      </c>
      <c r="M2157" s="593" t="str">
        <f>IF(H:H=0,"",IF(ISERROR(VLOOKUP(H:H,produtos_escape2!$A$2:$D$2794,2,FALSE)),"Código não cadastrado",(VLOOKUP(H:H,produtos_escape2!$A$2:$D$2794,4,FALSE))))</f>
        <v/>
      </c>
      <c r="N2157" s="486"/>
      <c r="O2157" s="176"/>
      <c r="P2157" s="486"/>
      <c r="Q2157" s="247"/>
      <c r="R2157" s="246">
        <f t="shared" ref="R2157:R2220" si="83">P2157*Q2157</f>
        <v>0</v>
      </c>
      <c r="S2157" s="177"/>
      <c r="T2157" s="182"/>
      <c r="U2157" s="177"/>
      <c r="V2157" s="177"/>
      <c r="W2157" s="177"/>
      <c r="X2157" s="176"/>
      <c r="Y2157" s="177"/>
      <c r="Z2157" s="415"/>
      <c r="AA2157" s="488"/>
      <c r="AB2157" s="594"/>
      <c r="AC2157" s="595"/>
      <c r="AD2157" s="596" t="str">
        <f>IF(AND(AC2157&lt;&gt;"",S2157&lt;&gt;""),NETWORKDAYS(AC2157,S2157,#REF!),"")</f>
        <v/>
      </c>
      <c r="AE2157" s="596" t="str">
        <f ca="1">IF(AND(AD2157="",AC2157=""),"",IF(OR(AD2157&lt;&gt;"",O2157="*CANCELADO"),"",NETWORKDAYS(AC2157,TODAY(),#REF!)))</f>
        <v/>
      </c>
      <c r="AF2157" s="619"/>
    </row>
    <row r="2158" spans="1:32" ht="14.25" customHeight="1">
      <c r="A2158" s="176"/>
      <c r="B2158" s="176"/>
      <c r="C2158" s="177"/>
      <c r="D2158" s="176"/>
      <c r="E2158" s="176"/>
      <c r="F2158" s="259"/>
      <c r="G2158" s="176"/>
      <c r="H2158" s="178"/>
      <c r="I2158" s="592">
        <f t="shared" si="82"/>
        <v>0</v>
      </c>
      <c r="J2158" s="178"/>
      <c r="K2158" s="178"/>
      <c r="L2158" s="275" t="str">
        <f>IF(H:H=0,"",IF(ISERROR(VLOOKUP(H:H,produtos_escape2!$A$2:$B$2794,2,FALSE)),"Código não cadastrado",(VLOOKUP(H:H,produtos_escape2!$A$2:$B$2794,2,FALSE))))</f>
        <v/>
      </c>
      <c r="M2158" s="593" t="str">
        <f>IF(H:H=0,"",IF(ISERROR(VLOOKUP(H:H,produtos_escape2!$A$2:$D$2794,2,FALSE)),"Código não cadastrado",(VLOOKUP(H:H,produtos_escape2!$A$2:$D$2794,4,FALSE))))</f>
        <v/>
      </c>
      <c r="N2158" s="486"/>
      <c r="O2158" s="176"/>
      <c r="P2158" s="486"/>
      <c r="Q2158" s="247"/>
      <c r="R2158" s="246">
        <f t="shared" si="83"/>
        <v>0</v>
      </c>
      <c r="S2158" s="177"/>
      <c r="T2158" s="182"/>
      <c r="U2158" s="177"/>
      <c r="V2158" s="177"/>
      <c r="W2158" s="177"/>
      <c r="X2158" s="176"/>
      <c r="Y2158" s="177"/>
      <c r="Z2158" s="415"/>
      <c r="AA2158" s="488"/>
      <c r="AB2158" s="594"/>
      <c r="AC2158" s="595"/>
      <c r="AD2158" s="596" t="str">
        <f>IF(AND(AC2158&lt;&gt;"",S2158&lt;&gt;""),NETWORKDAYS(AC2158,S2158,#REF!),"")</f>
        <v/>
      </c>
      <c r="AE2158" s="596" t="str">
        <f ca="1">IF(AND(AD2158="",AC2158=""),"",IF(OR(AD2158&lt;&gt;"",O2158="*CANCELADO"),"",NETWORKDAYS(AC2158,TODAY(),#REF!)))</f>
        <v/>
      </c>
      <c r="AF2158" s="619"/>
    </row>
    <row r="2159" spans="1:32" ht="14.25" customHeight="1">
      <c r="A2159" s="176"/>
      <c r="B2159" s="176"/>
      <c r="C2159" s="177"/>
      <c r="D2159" s="176"/>
      <c r="E2159" s="176"/>
      <c r="F2159" s="259"/>
      <c r="G2159" s="176"/>
      <c r="H2159" s="178"/>
      <c r="I2159" s="592">
        <f t="shared" si="82"/>
        <v>0</v>
      </c>
      <c r="J2159" s="178"/>
      <c r="K2159" s="178"/>
      <c r="L2159" s="275" t="str">
        <f>IF(H:H=0,"",IF(ISERROR(VLOOKUP(H:H,produtos_escape2!$A$2:$B$2794,2,FALSE)),"Código não cadastrado",(VLOOKUP(H:H,produtos_escape2!$A$2:$B$2794,2,FALSE))))</f>
        <v/>
      </c>
      <c r="M2159" s="593" t="str">
        <f>IF(H:H=0,"",IF(ISERROR(VLOOKUP(H:H,produtos_escape2!$A$2:$D$2794,2,FALSE)),"Código não cadastrado",(VLOOKUP(H:H,produtos_escape2!$A$2:$D$2794,4,FALSE))))</f>
        <v/>
      </c>
      <c r="N2159" s="486"/>
      <c r="O2159" s="176"/>
      <c r="P2159" s="486"/>
      <c r="Q2159" s="247"/>
      <c r="R2159" s="246">
        <f t="shared" si="83"/>
        <v>0</v>
      </c>
      <c r="S2159" s="177"/>
      <c r="T2159" s="182"/>
      <c r="U2159" s="177"/>
      <c r="V2159" s="177"/>
      <c r="W2159" s="177"/>
      <c r="X2159" s="176"/>
      <c r="Y2159" s="177"/>
      <c r="Z2159" s="415"/>
      <c r="AA2159" s="488"/>
      <c r="AB2159" s="594"/>
      <c r="AC2159" s="595"/>
      <c r="AD2159" s="596" t="str">
        <f>IF(AND(AC2159&lt;&gt;"",S2159&lt;&gt;""),NETWORKDAYS(AC2159,S2159,#REF!),"")</f>
        <v/>
      </c>
      <c r="AE2159" s="596" t="str">
        <f ca="1">IF(AND(AD2159="",AC2159=""),"",IF(OR(AD2159&lt;&gt;"",O2159="*CANCELADO"),"",NETWORKDAYS(AC2159,TODAY(),#REF!)))</f>
        <v/>
      </c>
      <c r="AF2159" s="619"/>
    </row>
    <row r="2160" spans="1:32" ht="14.25" customHeight="1">
      <c r="A2160" s="176"/>
      <c r="B2160" s="176"/>
      <c r="C2160" s="177"/>
      <c r="D2160" s="176"/>
      <c r="E2160" s="176"/>
      <c r="F2160" s="259"/>
      <c r="G2160" s="176"/>
      <c r="H2160" s="178"/>
      <c r="I2160" s="592">
        <f t="shared" si="82"/>
        <v>0</v>
      </c>
      <c r="J2160" s="178"/>
      <c r="K2160" s="178"/>
      <c r="L2160" s="275" t="str">
        <f>IF(H:H=0,"",IF(ISERROR(VLOOKUP(H:H,produtos_escape2!$A$2:$B$2794,2,FALSE)),"Código não cadastrado",(VLOOKUP(H:H,produtos_escape2!$A$2:$B$2794,2,FALSE))))</f>
        <v/>
      </c>
      <c r="M2160" s="593" t="str">
        <f>IF(H:H=0,"",IF(ISERROR(VLOOKUP(H:H,produtos_escape2!$A$2:$D$2794,2,FALSE)),"Código não cadastrado",(VLOOKUP(H:H,produtos_escape2!$A$2:$D$2794,4,FALSE))))</f>
        <v/>
      </c>
      <c r="N2160" s="486"/>
      <c r="O2160" s="176"/>
      <c r="P2160" s="486"/>
      <c r="Q2160" s="247"/>
      <c r="R2160" s="246">
        <f t="shared" si="83"/>
        <v>0</v>
      </c>
      <c r="S2160" s="177"/>
      <c r="T2160" s="182"/>
      <c r="U2160" s="177"/>
      <c r="V2160" s="177"/>
      <c r="W2160" s="177"/>
      <c r="X2160" s="176"/>
      <c r="Y2160" s="177"/>
      <c r="Z2160" s="415"/>
      <c r="AA2160" s="488"/>
      <c r="AB2160" s="594"/>
      <c r="AC2160" s="595"/>
      <c r="AD2160" s="596" t="str">
        <f>IF(AND(AC2160&lt;&gt;"",S2160&lt;&gt;""),NETWORKDAYS(AC2160,S2160,#REF!),"")</f>
        <v/>
      </c>
      <c r="AE2160" s="596" t="str">
        <f ca="1">IF(AND(AD2160="",AC2160=""),"",IF(OR(AD2160&lt;&gt;"",O2160="*CANCELADO"),"",NETWORKDAYS(AC2160,TODAY(),#REF!)))</f>
        <v/>
      </c>
      <c r="AF2160" s="619"/>
    </row>
    <row r="2161" spans="1:32" ht="14.25" customHeight="1">
      <c r="A2161" s="176"/>
      <c r="B2161" s="176"/>
      <c r="C2161" s="177"/>
      <c r="D2161" s="176"/>
      <c r="E2161" s="176"/>
      <c r="F2161" s="259"/>
      <c r="G2161" s="176"/>
      <c r="H2161" s="178"/>
      <c r="I2161" s="592">
        <f t="shared" si="82"/>
        <v>0</v>
      </c>
      <c r="J2161" s="178"/>
      <c r="K2161" s="178"/>
      <c r="L2161" s="275" t="str">
        <f>IF(H:H=0,"",IF(ISERROR(VLOOKUP(H:H,produtos_escape2!$A$2:$B$2794,2,FALSE)),"Código não cadastrado",(VLOOKUP(H:H,produtos_escape2!$A$2:$B$2794,2,FALSE))))</f>
        <v/>
      </c>
      <c r="M2161" s="593" t="str">
        <f>IF(H:H=0,"",IF(ISERROR(VLOOKUP(H:H,produtos_escape2!$A$2:$D$2794,2,FALSE)),"Código não cadastrado",(VLOOKUP(H:H,produtos_escape2!$A$2:$D$2794,4,FALSE))))</f>
        <v/>
      </c>
      <c r="N2161" s="486"/>
      <c r="O2161" s="176"/>
      <c r="P2161" s="486"/>
      <c r="Q2161" s="247"/>
      <c r="R2161" s="246">
        <f t="shared" si="83"/>
        <v>0</v>
      </c>
      <c r="S2161" s="177"/>
      <c r="T2161" s="182"/>
      <c r="U2161" s="177"/>
      <c r="V2161" s="177"/>
      <c r="W2161" s="177"/>
      <c r="X2161" s="176"/>
      <c r="Y2161" s="177"/>
      <c r="Z2161" s="415"/>
      <c r="AA2161" s="488"/>
      <c r="AB2161" s="594"/>
      <c r="AC2161" s="595"/>
      <c r="AD2161" s="596" t="str">
        <f>IF(AND(AC2161&lt;&gt;"",S2161&lt;&gt;""),NETWORKDAYS(AC2161,S2161,#REF!),"")</f>
        <v/>
      </c>
      <c r="AE2161" s="596" t="str">
        <f ca="1">IF(AND(AD2161="",AC2161=""),"",IF(OR(AD2161&lt;&gt;"",O2161="*CANCELADO"),"",NETWORKDAYS(AC2161,TODAY(),#REF!)))</f>
        <v/>
      </c>
      <c r="AF2161" s="619"/>
    </row>
    <row r="2162" spans="1:32" ht="14.25" customHeight="1">
      <c r="A2162" s="176"/>
      <c r="B2162" s="176"/>
      <c r="C2162" s="177"/>
      <c r="D2162" s="176"/>
      <c r="E2162" s="176"/>
      <c r="F2162" s="259"/>
      <c r="G2162" s="176"/>
      <c r="H2162" s="178"/>
      <c r="I2162" s="592">
        <f t="shared" si="82"/>
        <v>0</v>
      </c>
      <c r="J2162" s="178"/>
      <c r="K2162" s="178"/>
      <c r="L2162" s="275" t="str">
        <f>IF(H:H=0,"",IF(ISERROR(VLOOKUP(H:H,produtos_escape2!$A$2:$B$2794,2,FALSE)),"Código não cadastrado",(VLOOKUP(H:H,produtos_escape2!$A$2:$B$2794,2,FALSE))))</f>
        <v/>
      </c>
      <c r="M2162" s="593" t="str">
        <f>IF(H:H=0,"",IF(ISERROR(VLOOKUP(H:H,produtos_escape2!$A$2:$D$2794,2,FALSE)),"Código não cadastrado",(VLOOKUP(H:H,produtos_escape2!$A$2:$D$2794,4,FALSE))))</f>
        <v/>
      </c>
      <c r="N2162" s="486"/>
      <c r="O2162" s="176"/>
      <c r="P2162" s="486"/>
      <c r="Q2162" s="247"/>
      <c r="R2162" s="246">
        <f t="shared" si="83"/>
        <v>0</v>
      </c>
      <c r="S2162" s="177"/>
      <c r="T2162" s="182"/>
      <c r="U2162" s="177"/>
      <c r="V2162" s="177"/>
      <c r="W2162" s="177"/>
      <c r="X2162" s="176"/>
      <c r="Y2162" s="177"/>
      <c r="Z2162" s="415"/>
      <c r="AA2162" s="488"/>
      <c r="AB2162" s="594"/>
      <c r="AC2162" s="595"/>
      <c r="AD2162" s="596" t="str">
        <f>IF(AND(AC2162&lt;&gt;"",S2162&lt;&gt;""),NETWORKDAYS(AC2162,S2162,#REF!),"")</f>
        <v/>
      </c>
      <c r="AE2162" s="596" t="str">
        <f ca="1">IF(AND(AD2162="",AC2162=""),"",IF(OR(AD2162&lt;&gt;"",O2162="*CANCELADO"),"",NETWORKDAYS(AC2162,TODAY(),#REF!)))</f>
        <v/>
      </c>
      <c r="AF2162" s="619"/>
    </row>
    <row r="2163" spans="1:32" ht="14.25" customHeight="1">
      <c r="A2163" s="176"/>
      <c r="B2163" s="176"/>
      <c r="C2163" s="177"/>
      <c r="D2163" s="176"/>
      <c r="E2163" s="176"/>
      <c r="F2163" s="259"/>
      <c r="G2163" s="176"/>
      <c r="H2163" s="178"/>
      <c r="I2163" s="592">
        <f t="shared" si="82"/>
        <v>0</v>
      </c>
      <c r="J2163" s="178"/>
      <c r="K2163" s="178"/>
      <c r="L2163" s="275" t="str">
        <f>IF(H:H=0,"",IF(ISERROR(VLOOKUP(H:H,produtos_escape2!$A$2:$B$2794,2,FALSE)),"Código não cadastrado",(VLOOKUP(H:H,produtos_escape2!$A$2:$B$2794,2,FALSE))))</f>
        <v/>
      </c>
      <c r="M2163" s="593" t="str">
        <f>IF(H:H=0,"",IF(ISERROR(VLOOKUP(H:H,produtos_escape2!$A$2:$D$2794,2,FALSE)),"Código não cadastrado",(VLOOKUP(H:H,produtos_escape2!$A$2:$D$2794,4,FALSE))))</f>
        <v/>
      </c>
      <c r="N2163" s="486"/>
      <c r="O2163" s="176"/>
      <c r="P2163" s="486"/>
      <c r="Q2163" s="247"/>
      <c r="R2163" s="246">
        <f t="shared" si="83"/>
        <v>0</v>
      </c>
      <c r="S2163" s="177"/>
      <c r="T2163" s="182"/>
      <c r="U2163" s="177"/>
      <c r="V2163" s="177"/>
      <c r="W2163" s="177"/>
      <c r="X2163" s="176"/>
      <c r="Y2163" s="177"/>
      <c r="Z2163" s="415"/>
      <c r="AA2163" s="488"/>
      <c r="AB2163" s="594"/>
      <c r="AC2163" s="595"/>
      <c r="AD2163" s="596" t="str">
        <f>IF(AND(AC2163&lt;&gt;"",S2163&lt;&gt;""),NETWORKDAYS(AC2163,S2163,#REF!),"")</f>
        <v/>
      </c>
      <c r="AE2163" s="596" t="str">
        <f ca="1">IF(AND(AD2163="",AC2163=""),"",IF(OR(AD2163&lt;&gt;"",O2163="*CANCELADO"),"",NETWORKDAYS(AC2163,TODAY(),#REF!)))</f>
        <v/>
      </c>
      <c r="AF2163" s="619"/>
    </row>
    <row r="2164" spans="1:32" ht="14.25" customHeight="1">
      <c r="A2164" s="176"/>
      <c r="B2164" s="176"/>
      <c r="C2164" s="177"/>
      <c r="D2164" s="176"/>
      <c r="E2164" s="176"/>
      <c r="F2164" s="259"/>
      <c r="G2164" s="176"/>
      <c r="H2164" s="178"/>
      <c r="I2164" s="592">
        <f t="shared" si="82"/>
        <v>0</v>
      </c>
      <c r="J2164" s="178"/>
      <c r="K2164" s="178"/>
      <c r="L2164" s="275" t="str">
        <f>IF(H:H=0,"",IF(ISERROR(VLOOKUP(H:H,produtos_escape2!$A$2:$B$2794,2,FALSE)),"Código não cadastrado",(VLOOKUP(H:H,produtos_escape2!$A$2:$B$2794,2,FALSE))))</f>
        <v/>
      </c>
      <c r="M2164" s="593" t="str">
        <f>IF(H:H=0,"",IF(ISERROR(VLOOKUP(H:H,produtos_escape2!$A$2:$D$2794,2,FALSE)),"Código não cadastrado",(VLOOKUP(H:H,produtos_escape2!$A$2:$D$2794,4,FALSE))))</f>
        <v/>
      </c>
      <c r="N2164" s="486"/>
      <c r="O2164" s="176"/>
      <c r="P2164" s="486"/>
      <c r="Q2164" s="247"/>
      <c r="R2164" s="246">
        <f t="shared" si="83"/>
        <v>0</v>
      </c>
      <c r="S2164" s="177"/>
      <c r="T2164" s="182"/>
      <c r="U2164" s="177"/>
      <c r="V2164" s="177"/>
      <c r="W2164" s="177"/>
      <c r="X2164" s="176"/>
      <c r="Y2164" s="177"/>
      <c r="Z2164" s="415"/>
      <c r="AA2164" s="488"/>
      <c r="AB2164" s="594"/>
      <c r="AC2164" s="595"/>
      <c r="AD2164" s="596" t="str">
        <f>IF(AND(AC2164&lt;&gt;"",S2164&lt;&gt;""),NETWORKDAYS(AC2164,S2164,#REF!),"")</f>
        <v/>
      </c>
      <c r="AE2164" s="596" t="str">
        <f ca="1">IF(AND(AD2164="",AC2164=""),"",IF(OR(AD2164&lt;&gt;"",O2164="*CANCELADO"),"",NETWORKDAYS(AC2164,TODAY(),#REF!)))</f>
        <v/>
      </c>
      <c r="AF2164" s="619"/>
    </row>
    <row r="2165" spans="1:32" ht="14.25" customHeight="1">
      <c r="A2165" s="176"/>
      <c r="B2165" s="176"/>
      <c r="C2165" s="177"/>
      <c r="D2165" s="176"/>
      <c r="E2165" s="176"/>
      <c r="F2165" s="259"/>
      <c r="G2165" s="176"/>
      <c r="H2165" s="178"/>
      <c r="I2165" s="592">
        <f t="shared" si="82"/>
        <v>0</v>
      </c>
      <c r="J2165" s="178"/>
      <c r="K2165" s="178"/>
      <c r="L2165" s="275" t="str">
        <f>IF(H:H=0,"",IF(ISERROR(VLOOKUP(H:H,produtos_escape2!$A$2:$B$2794,2,FALSE)),"Código não cadastrado",(VLOOKUP(H:H,produtos_escape2!$A$2:$B$2794,2,FALSE))))</f>
        <v/>
      </c>
      <c r="M2165" s="593" t="str">
        <f>IF(H:H=0,"",IF(ISERROR(VLOOKUP(H:H,produtos_escape2!$A$2:$D$2794,2,FALSE)),"Código não cadastrado",(VLOOKUP(H:H,produtos_escape2!$A$2:$D$2794,4,FALSE))))</f>
        <v/>
      </c>
      <c r="N2165" s="486"/>
      <c r="O2165" s="176"/>
      <c r="P2165" s="486"/>
      <c r="Q2165" s="247"/>
      <c r="R2165" s="246">
        <f t="shared" si="83"/>
        <v>0</v>
      </c>
      <c r="S2165" s="177"/>
      <c r="T2165" s="182"/>
      <c r="U2165" s="177"/>
      <c r="V2165" s="177"/>
      <c r="W2165" s="177"/>
      <c r="X2165" s="176"/>
      <c r="Y2165" s="177"/>
      <c r="Z2165" s="415"/>
      <c r="AA2165" s="488"/>
      <c r="AB2165" s="594"/>
      <c r="AC2165" s="595"/>
      <c r="AD2165" s="596" t="str">
        <f>IF(AND(AC2165&lt;&gt;"",S2165&lt;&gt;""),NETWORKDAYS(AC2165,S2165,#REF!),"")</f>
        <v/>
      </c>
      <c r="AE2165" s="596" t="str">
        <f ca="1">IF(AND(AD2165="",AC2165=""),"",IF(OR(AD2165&lt;&gt;"",O2165="*CANCELADO"),"",NETWORKDAYS(AC2165,TODAY(),#REF!)))</f>
        <v/>
      </c>
      <c r="AF2165" s="619"/>
    </row>
    <row r="2166" spans="1:32" ht="14.25" customHeight="1">
      <c r="A2166" s="176"/>
      <c r="B2166" s="176"/>
      <c r="C2166" s="177"/>
      <c r="D2166" s="176"/>
      <c r="E2166" s="176"/>
      <c r="F2166" s="259"/>
      <c r="G2166" s="176"/>
      <c r="H2166" s="178"/>
      <c r="I2166" s="592">
        <f t="shared" ref="I2166:I2229" si="84">COUNTIF($H$3:$H$3041,H2166)</f>
        <v>0</v>
      </c>
      <c r="J2166" s="178"/>
      <c r="K2166" s="178"/>
      <c r="L2166" s="275" t="str">
        <f>IF(H:H=0,"",IF(ISERROR(VLOOKUP(H:H,produtos_escape2!$A$2:$B$2794,2,FALSE)),"Código não cadastrado",(VLOOKUP(H:H,produtos_escape2!$A$2:$B$2794,2,FALSE))))</f>
        <v/>
      </c>
      <c r="M2166" s="593" t="str">
        <f>IF(H:H=0,"",IF(ISERROR(VLOOKUP(H:H,produtos_escape2!$A$2:$D$2794,2,FALSE)),"Código não cadastrado",(VLOOKUP(H:H,produtos_escape2!$A$2:$D$2794,4,FALSE))))</f>
        <v/>
      </c>
      <c r="N2166" s="486"/>
      <c r="O2166" s="176"/>
      <c r="P2166" s="486"/>
      <c r="Q2166" s="247"/>
      <c r="R2166" s="246">
        <f t="shared" si="83"/>
        <v>0</v>
      </c>
      <c r="S2166" s="177"/>
      <c r="T2166" s="182"/>
      <c r="U2166" s="177"/>
      <c r="V2166" s="177"/>
      <c r="W2166" s="177"/>
      <c r="X2166" s="176"/>
      <c r="Y2166" s="177"/>
      <c r="Z2166" s="415"/>
      <c r="AA2166" s="488"/>
      <c r="AB2166" s="594"/>
      <c r="AC2166" s="595"/>
      <c r="AD2166" s="596" t="str">
        <f>IF(AND(AC2166&lt;&gt;"",S2166&lt;&gt;""),NETWORKDAYS(AC2166,S2166,#REF!),"")</f>
        <v/>
      </c>
      <c r="AE2166" s="596" t="str">
        <f ca="1">IF(AND(AD2166="",AC2166=""),"",IF(OR(AD2166&lt;&gt;"",O2166="*CANCELADO"),"",NETWORKDAYS(AC2166,TODAY(),#REF!)))</f>
        <v/>
      </c>
      <c r="AF2166" s="619"/>
    </row>
    <row r="2167" spans="1:32" ht="14.25" customHeight="1">
      <c r="A2167" s="176"/>
      <c r="B2167" s="176"/>
      <c r="C2167" s="177"/>
      <c r="D2167" s="176"/>
      <c r="E2167" s="176"/>
      <c r="F2167" s="259"/>
      <c r="G2167" s="176"/>
      <c r="H2167" s="178"/>
      <c r="I2167" s="592">
        <f t="shared" si="84"/>
        <v>0</v>
      </c>
      <c r="J2167" s="178"/>
      <c r="K2167" s="178"/>
      <c r="L2167" s="275" t="str">
        <f>IF(H:H=0,"",IF(ISERROR(VLOOKUP(H:H,produtos_escape2!$A$2:$B$2794,2,FALSE)),"Código não cadastrado",(VLOOKUP(H:H,produtos_escape2!$A$2:$B$2794,2,FALSE))))</f>
        <v/>
      </c>
      <c r="M2167" s="593" t="str">
        <f>IF(H:H=0,"",IF(ISERROR(VLOOKUP(H:H,produtos_escape2!$A$2:$D$2794,2,FALSE)),"Código não cadastrado",(VLOOKUP(H:H,produtos_escape2!$A$2:$D$2794,4,FALSE))))</f>
        <v/>
      </c>
      <c r="N2167" s="486"/>
      <c r="O2167" s="176"/>
      <c r="P2167" s="486"/>
      <c r="Q2167" s="247"/>
      <c r="R2167" s="246">
        <f t="shared" si="83"/>
        <v>0</v>
      </c>
      <c r="S2167" s="177"/>
      <c r="T2167" s="182"/>
      <c r="U2167" s="177"/>
      <c r="V2167" s="177"/>
      <c r="W2167" s="177"/>
      <c r="X2167" s="176"/>
      <c r="Y2167" s="177"/>
      <c r="Z2167" s="415"/>
      <c r="AA2167" s="488"/>
      <c r="AB2167" s="594"/>
      <c r="AC2167" s="595"/>
      <c r="AD2167" s="596" t="str">
        <f>IF(AND(AC2167&lt;&gt;"",S2167&lt;&gt;""),NETWORKDAYS(AC2167,S2167,#REF!),"")</f>
        <v/>
      </c>
      <c r="AE2167" s="596" t="str">
        <f ca="1">IF(AND(AD2167="",AC2167=""),"",IF(OR(AD2167&lt;&gt;"",O2167="*CANCELADO"),"",NETWORKDAYS(AC2167,TODAY(),#REF!)))</f>
        <v/>
      </c>
      <c r="AF2167" s="619"/>
    </row>
    <row r="2168" spans="1:32" ht="14.25" customHeight="1">
      <c r="A2168" s="176"/>
      <c r="B2168" s="176"/>
      <c r="C2168" s="177"/>
      <c r="D2168" s="176"/>
      <c r="E2168" s="176"/>
      <c r="F2168" s="259"/>
      <c r="G2168" s="176"/>
      <c r="H2168" s="178"/>
      <c r="I2168" s="592">
        <f t="shared" si="84"/>
        <v>0</v>
      </c>
      <c r="J2168" s="178"/>
      <c r="K2168" s="178"/>
      <c r="L2168" s="275" t="str">
        <f>IF(H:H=0,"",IF(ISERROR(VLOOKUP(H:H,produtos_escape2!$A$2:$B$2794,2,FALSE)),"Código não cadastrado",(VLOOKUP(H:H,produtos_escape2!$A$2:$B$2794,2,FALSE))))</f>
        <v/>
      </c>
      <c r="M2168" s="593" t="str">
        <f>IF(H:H=0,"",IF(ISERROR(VLOOKUP(H:H,produtos_escape2!$A$2:$D$2794,2,FALSE)),"Código não cadastrado",(VLOOKUP(H:H,produtos_escape2!$A$2:$D$2794,4,FALSE))))</f>
        <v/>
      </c>
      <c r="N2168" s="486"/>
      <c r="O2168" s="176"/>
      <c r="P2168" s="486"/>
      <c r="Q2168" s="247"/>
      <c r="R2168" s="246">
        <f t="shared" si="83"/>
        <v>0</v>
      </c>
      <c r="S2168" s="177"/>
      <c r="T2168" s="182"/>
      <c r="U2168" s="177"/>
      <c r="V2168" s="177"/>
      <c r="W2168" s="177"/>
      <c r="X2168" s="176"/>
      <c r="Y2168" s="177"/>
      <c r="Z2168" s="415"/>
      <c r="AA2168" s="488"/>
      <c r="AB2168" s="594"/>
      <c r="AC2168" s="595"/>
      <c r="AD2168" s="596" t="str">
        <f>IF(AND(AC2168&lt;&gt;"",S2168&lt;&gt;""),NETWORKDAYS(AC2168,S2168,#REF!),"")</f>
        <v/>
      </c>
      <c r="AE2168" s="596" t="str">
        <f ca="1">IF(AND(AD2168="",AC2168=""),"",IF(OR(AD2168&lt;&gt;"",O2168="*CANCELADO"),"",NETWORKDAYS(AC2168,TODAY(),#REF!)))</f>
        <v/>
      </c>
      <c r="AF2168" s="619"/>
    </row>
    <row r="2169" spans="1:32" ht="14.25" customHeight="1">
      <c r="A2169" s="176"/>
      <c r="B2169" s="176"/>
      <c r="C2169" s="177"/>
      <c r="D2169" s="176"/>
      <c r="E2169" s="176"/>
      <c r="F2169" s="259"/>
      <c r="G2169" s="176"/>
      <c r="H2169" s="178"/>
      <c r="I2169" s="592">
        <f t="shared" si="84"/>
        <v>0</v>
      </c>
      <c r="J2169" s="178"/>
      <c r="K2169" s="178"/>
      <c r="L2169" s="275" t="str">
        <f>IF(H:H=0,"",IF(ISERROR(VLOOKUP(H:H,produtos_escape2!$A$2:$B$2794,2,FALSE)),"Código não cadastrado",(VLOOKUP(H:H,produtos_escape2!$A$2:$B$2794,2,FALSE))))</f>
        <v/>
      </c>
      <c r="M2169" s="593" t="str">
        <f>IF(H:H=0,"",IF(ISERROR(VLOOKUP(H:H,produtos_escape2!$A$2:$D$2794,2,FALSE)),"Código não cadastrado",(VLOOKUP(H:H,produtos_escape2!$A$2:$D$2794,4,FALSE))))</f>
        <v/>
      </c>
      <c r="N2169" s="486"/>
      <c r="O2169" s="176"/>
      <c r="P2169" s="486"/>
      <c r="Q2169" s="247"/>
      <c r="R2169" s="246">
        <f t="shared" si="83"/>
        <v>0</v>
      </c>
      <c r="S2169" s="177"/>
      <c r="T2169" s="182"/>
      <c r="U2169" s="177"/>
      <c r="V2169" s="177"/>
      <c r="W2169" s="177"/>
      <c r="X2169" s="176"/>
      <c r="Y2169" s="177"/>
      <c r="Z2169" s="415"/>
      <c r="AA2169" s="488"/>
      <c r="AB2169" s="594"/>
      <c r="AC2169" s="595"/>
      <c r="AD2169" s="596" t="str">
        <f>IF(AND(AC2169&lt;&gt;"",S2169&lt;&gt;""),NETWORKDAYS(AC2169,S2169,#REF!),"")</f>
        <v/>
      </c>
      <c r="AE2169" s="596" t="str">
        <f ca="1">IF(AND(AD2169="",AC2169=""),"",IF(OR(AD2169&lt;&gt;"",O2169="*CANCELADO"),"",NETWORKDAYS(AC2169,TODAY(),#REF!)))</f>
        <v/>
      </c>
      <c r="AF2169" s="619"/>
    </row>
    <row r="2170" spans="1:32" ht="14.25" customHeight="1">
      <c r="A2170" s="176"/>
      <c r="B2170" s="176"/>
      <c r="C2170" s="177"/>
      <c r="D2170" s="176"/>
      <c r="E2170" s="176"/>
      <c r="F2170" s="259"/>
      <c r="G2170" s="176"/>
      <c r="H2170" s="178"/>
      <c r="I2170" s="592">
        <f t="shared" si="84"/>
        <v>0</v>
      </c>
      <c r="J2170" s="178"/>
      <c r="K2170" s="178"/>
      <c r="L2170" s="275" t="str">
        <f>IF(H:H=0,"",IF(ISERROR(VLOOKUP(H:H,produtos_escape2!$A$2:$B$2794,2,FALSE)),"Código não cadastrado",(VLOOKUP(H:H,produtos_escape2!$A$2:$B$2794,2,FALSE))))</f>
        <v/>
      </c>
      <c r="M2170" s="593" t="str">
        <f>IF(H:H=0,"",IF(ISERROR(VLOOKUP(H:H,produtos_escape2!$A$2:$D$2794,2,FALSE)),"Código não cadastrado",(VLOOKUP(H:H,produtos_escape2!$A$2:$D$2794,4,FALSE))))</f>
        <v/>
      </c>
      <c r="N2170" s="486"/>
      <c r="O2170" s="176"/>
      <c r="P2170" s="486"/>
      <c r="Q2170" s="247"/>
      <c r="R2170" s="246">
        <f t="shared" si="83"/>
        <v>0</v>
      </c>
      <c r="S2170" s="177"/>
      <c r="T2170" s="182"/>
      <c r="U2170" s="177"/>
      <c r="V2170" s="177"/>
      <c r="W2170" s="177"/>
      <c r="X2170" s="176"/>
      <c r="Y2170" s="177"/>
      <c r="Z2170" s="415"/>
      <c r="AA2170" s="488"/>
      <c r="AB2170" s="594"/>
      <c r="AC2170" s="595"/>
      <c r="AD2170" s="596" t="str">
        <f>IF(AND(AC2170&lt;&gt;"",S2170&lt;&gt;""),NETWORKDAYS(AC2170,S2170,#REF!),"")</f>
        <v/>
      </c>
      <c r="AE2170" s="596" t="str">
        <f ca="1">IF(AND(AD2170="",AC2170=""),"",IF(OR(AD2170&lt;&gt;"",O2170="*CANCELADO"),"",NETWORKDAYS(AC2170,TODAY(),#REF!)))</f>
        <v/>
      </c>
      <c r="AF2170" s="619"/>
    </row>
    <row r="2171" spans="1:32" ht="14.25" customHeight="1">
      <c r="A2171" s="176"/>
      <c r="B2171" s="176"/>
      <c r="C2171" s="177"/>
      <c r="D2171" s="176"/>
      <c r="E2171" s="176"/>
      <c r="F2171" s="259"/>
      <c r="G2171" s="176"/>
      <c r="H2171" s="178"/>
      <c r="I2171" s="592">
        <f t="shared" si="84"/>
        <v>0</v>
      </c>
      <c r="J2171" s="178"/>
      <c r="K2171" s="178"/>
      <c r="L2171" s="275" t="str">
        <f>IF(H:H=0,"",IF(ISERROR(VLOOKUP(H:H,produtos_escape2!$A$2:$B$2794,2,FALSE)),"Código não cadastrado",(VLOOKUP(H:H,produtos_escape2!$A$2:$B$2794,2,FALSE))))</f>
        <v/>
      </c>
      <c r="M2171" s="593" t="str">
        <f>IF(H:H=0,"",IF(ISERROR(VLOOKUP(H:H,produtos_escape2!$A$2:$D$2794,2,FALSE)),"Código não cadastrado",(VLOOKUP(H:H,produtos_escape2!$A$2:$D$2794,4,FALSE))))</f>
        <v/>
      </c>
      <c r="N2171" s="486"/>
      <c r="O2171" s="176"/>
      <c r="P2171" s="486"/>
      <c r="Q2171" s="247"/>
      <c r="R2171" s="246">
        <f t="shared" si="83"/>
        <v>0</v>
      </c>
      <c r="S2171" s="177"/>
      <c r="T2171" s="182"/>
      <c r="U2171" s="177"/>
      <c r="V2171" s="177"/>
      <c r="W2171" s="177"/>
      <c r="X2171" s="176"/>
      <c r="Y2171" s="177"/>
      <c r="Z2171" s="415"/>
      <c r="AA2171" s="488"/>
      <c r="AB2171" s="594"/>
      <c r="AC2171" s="595"/>
      <c r="AD2171" s="596" t="str">
        <f>IF(AND(AC2171&lt;&gt;"",S2171&lt;&gt;""),NETWORKDAYS(AC2171,S2171,#REF!),"")</f>
        <v/>
      </c>
      <c r="AE2171" s="596" t="str">
        <f ca="1">IF(AND(AD2171="",AC2171=""),"",IF(OR(AD2171&lt;&gt;"",O2171="*CANCELADO"),"",NETWORKDAYS(AC2171,TODAY(),#REF!)))</f>
        <v/>
      </c>
      <c r="AF2171" s="619"/>
    </row>
    <row r="2172" spans="1:32" ht="14.25" customHeight="1">
      <c r="A2172" s="176"/>
      <c r="B2172" s="176"/>
      <c r="C2172" s="177"/>
      <c r="D2172" s="176"/>
      <c r="E2172" s="176"/>
      <c r="F2172" s="259"/>
      <c r="G2172" s="176"/>
      <c r="H2172" s="178"/>
      <c r="I2172" s="592">
        <f t="shared" si="84"/>
        <v>0</v>
      </c>
      <c r="J2172" s="178"/>
      <c r="K2172" s="178"/>
      <c r="L2172" s="275" t="str">
        <f>IF(H:H=0,"",IF(ISERROR(VLOOKUP(H:H,produtos_escape2!$A$2:$B$2794,2,FALSE)),"Código não cadastrado",(VLOOKUP(H:H,produtos_escape2!$A$2:$B$2794,2,FALSE))))</f>
        <v/>
      </c>
      <c r="M2172" s="593" t="str">
        <f>IF(H:H=0,"",IF(ISERROR(VLOOKUP(H:H,produtos_escape2!$A$2:$D$2794,2,FALSE)),"Código não cadastrado",(VLOOKUP(H:H,produtos_escape2!$A$2:$D$2794,4,FALSE))))</f>
        <v/>
      </c>
      <c r="N2172" s="486"/>
      <c r="O2172" s="176"/>
      <c r="P2172" s="486"/>
      <c r="Q2172" s="247"/>
      <c r="R2172" s="246">
        <f t="shared" si="83"/>
        <v>0</v>
      </c>
      <c r="S2172" s="177"/>
      <c r="T2172" s="182"/>
      <c r="U2172" s="177"/>
      <c r="V2172" s="177"/>
      <c r="W2172" s="177"/>
      <c r="X2172" s="176"/>
      <c r="Y2172" s="177"/>
      <c r="Z2172" s="415"/>
      <c r="AA2172" s="488"/>
      <c r="AB2172" s="594"/>
      <c r="AC2172" s="595"/>
      <c r="AD2172" s="596" t="str">
        <f>IF(AND(AC2172&lt;&gt;"",S2172&lt;&gt;""),NETWORKDAYS(AC2172,S2172,#REF!),"")</f>
        <v/>
      </c>
      <c r="AE2172" s="596" t="str">
        <f ca="1">IF(AND(AD2172="",AC2172=""),"",IF(OR(AD2172&lt;&gt;"",O2172="*CANCELADO"),"",NETWORKDAYS(AC2172,TODAY(),#REF!)))</f>
        <v/>
      </c>
      <c r="AF2172" s="619"/>
    </row>
    <row r="2173" spans="1:32" ht="14.25" customHeight="1">
      <c r="A2173" s="176"/>
      <c r="B2173" s="176"/>
      <c r="C2173" s="177"/>
      <c r="D2173" s="176"/>
      <c r="E2173" s="176"/>
      <c r="F2173" s="259"/>
      <c r="G2173" s="176"/>
      <c r="H2173" s="178"/>
      <c r="I2173" s="592">
        <f t="shared" si="84"/>
        <v>0</v>
      </c>
      <c r="J2173" s="178"/>
      <c r="K2173" s="178"/>
      <c r="L2173" s="275" t="str">
        <f>IF(H:H=0,"",IF(ISERROR(VLOOKUP(H:H,produtos_escape2!$A$2:$B$2794,2,FALSE)),"Código não cadastrado",(VLOOKUP(H:H,produtos_escape2!$A$2:$B$2794,2,FALSE))))</f>
        <v/>
      </c>
      <c r="M2173" s="593" t="str">
        <f>IF(H:H=0,"",IF(ISERROR(VLOOKUP(H:H,produtos_escape2!$A$2:$D$2794,2,FALSE)),"Código não cadastrado",(VLOOKUP(H:H,produtos_escape2!$A$2:$D$2794,4,FALSE))))</f>
        <v/>
      </c>
      <c r="N2173" s="486"/>
      <c r="O2173" s="176"/>
      <c r="P2173" s="486"/>
      <c r="Q2173" s="247"/>
      <c r="R2173" s="246">
        <f t="shared" si="83"/>
        <v>0</v>
      </c>
      <c r="S2173" s="177"/>
      <c r="T2173" s="182"/>
      <c r="U2173" s="177"/>
      <c r="V2173" s="177"/>
      <c r="W2173" s="177"/>
      <c r="X2173" s="176"/>
      <c r="Y2173" s="177"/>
      <c r="Z2173" s="415"/>
      <c r="AA2173" s="488"/>
      <c r="AB2173" s="594"/>
      <c r="AC2173" s="595"/>
      <c r="AD2173" s="596" t="str">
        <f>IF(AND(AC2173&lt;&gt;"",S2173&lt;&gt;""),NETWORKDAYS(AC2173,S2173,#REF!),"")</f>
        <v/>
      </c>
      <c r="AE2173" s="596" t="str">
        <f ca="1">IF(AND(AD2173="",AC2173=""),"",IF(OR(AD2173&lt;&gt;"",O2173="*CANCELADO"),"",NETWORKDAYS(AC2173,TODAY(),#REF!)))</f>
        <v/>
      </c>
      <c r="AF2173" s="619"/>
    </row>
    <row r="2174" spans="1:32" ht="14.25" customHeight="1">
      <c r="A2174" s="176"/>
      <c r="B2174" s="176"/>
      <c r="C2174" s="177"/>
      <c r="D2174" s="176"/>
      <c r="E2174" s="176"/>
      <c r="F2174" s="259"/>
      <c r="G2174" s="176"/>
      <c r="H2174" s="178"/>
      <c r="I2174" s="592">
        <f t="shared" si="84"/>
        <v>0</v>
      </c>
      <c r="J2174" s="178"/>
      <c r="K2174" s="178"/>
      <c r="L2174" s="275" t="str">
        <f>IF(H:H=0,"",IF(ISERROR(VLOOKUP(H:H,produtos_escape2!$A$2:$B$2794,2,FALSE)),"Código não cadastrado",(VLOOKUP(H:H,produtos_escape2!$A$2:$B$2794,2,FALSE))))</f>
        <v/>
      </c>
      <c r="M2174" s="593" t="str">
        <f>IF(H:H=0,"",IF(ISERROR(VLOOKUP(H:H,produtos_escape2!$A$2:$D$2794,2,FALSE)),"Código não cadastrado",(VLOOKUP(H:H,produtos_escape2!$A$2:$D$2794,4,FALSE))))</f>
        <v/>
      </c>
      <c r="N2174" s="486"/>
      <c r="O2174" s="176"/>
      <c r="P2174" s="486"/>
      <c r="Q2174" s="247"/>
      <c r="R2174" s="246">
        <f t="shared" si="83"/>
        <v>0</v>
      </c>
      <c r="S2174" s="177"/>
      <c r="T2174" s="182"/>
      <c r="U2174" s="177"/>
      <c r="V2174" s="177"/>
      <c r="W2174" s="177"/>
      <c r="X2174" s="176"/>
      <c r="Y2174" s="177"/>
      <c r="Z2174" s="415"/>
      <c r="AA2174" s="488"/>
      <c r="AB2174" s="594"/>
      <c r="AC2174" s="595"/>
      <c r="AD2174" s="596" t="str">
        <f>IF(AND(AC2174&lt;&gt;"",S2174&lt;&gt;""),NETWORKDAYS(AC2174,S2174,#REF!),"")</f>
        <v/>
      </c>
      <c r="AE2174" s="596" t="str">
        <f ca="1">IF(AND(AD2174="",AC2174=""),"",IF(OR(AD2174&lt;&gt;"",O2174="*CANCELADO"),"",NETWORKDAYS(AC2174,TODAY(),#REF!)))</f>
        <v/>
      </c>
      <c r="AF2174" s="619"/>
    </row>
    <row r="2175" spans="1:32" ht="14.25" customHeight="1">
      <c r="A2175" s="176"/>
      <c r="B2175" s="176"/>
      <c r="C2175" s="177"/>
      <c r="D2175" s="176"/>
      <c r="E2175" s="176"/>
      <c r="F2175" s="259"/>
      <c r="G2175" s="176"/>
      <c r="H2175" s="178"/>
      <c r="I2175" s="592">
        <f t="shared" si="84"/>
        <v>0</v>
      </c>
      <c r="J2175" s="178"/>
      <c r="K2175" s="178"/>
      <c r="L2175" s="275" t="str">
        <f>IF(H:H=0,"",IF(ISERROR(VLOOKUP(H:H,produtos_escape2!$A$2:$B$2794,2,FALSE)),"Código não cadastrado",(VLOOKUP(H:H,produtos_escape2!$A$2:$B$2794,2,FALSE))))</f>
        <v/>
      </c>
      <c r="M2175" s="593" t="str">
        <f>IF(H:H=0,"",IF(ISERROR(VLOOKUP(H:H,produtos_escape2!$A$2:$D$2794,2,FALSE)),"Código não cadastrado",(VLOOKUP(H:H,produtos_escape2!$A$2:$D$2794,4,FALSE))))</f>
        <v/>
      </c>
      <c r="N2175" s="486"/>
      <c r="O2175" s="176"/>
      <c r="P2175" s="486"/>
      <c r="Q2175" s="247"/>
      <c r="R2175" s="246">
        <f t="shared" si="83"/>
        <v>0</v>
      </c>
      <c r="S2175" s="177"/>
      <c r="T2175" s="182"/>
      <c r="U2175" s="177"/>
      <c r="V2175" s="177"/>
      <c r="W2175" s="177"/>
      <c r="X2175" s="176"/>
      <c r="Y2175" s="177"/>
      <c r="Z2175" s="415"/>
      <c r="AA2175" s="488"/>
      <c r="AB2175" s="594"/>
      <c r="AC2175" s="595"/>
      <c r="AD2175" s="596" t="str">
        <f>IF(AND(AC2175&lt;&gt;"",S2175&lt;&gt;""),NETWORKDAYS(AC2175,S2175,#REF!),"")</f>
        <v/>
      </c>
      <c r="AE2175" s="596" t="str">
        <f ca="1">IF(AND(AD2175="",AC2175=""),"",IF(OR(AD2175&lt;&gt;"",O2175="*CANCELADO"),"",NETWORKDAYS(AC2175,TODAY(),#REF!)))</f>
        <v/>
      </c>
      <c r="AF2175" s="619"/>
    </row>
    <row r="2176" spans="1:32" ht="14.25" customHeight="1">
      <c r="A2176" s="176"/>
      <c r="B2176" s="176"/>
      <c r="C2176" s="177"/>
      <c r="D2176" s="176"/>
      <c r="E2176" s="176"/>
      <c r="F2176" s="259"/>
      <c r="G2176" s="176"/>
      <c r="H2176" s="178"/>
      <c r="I2176" s="592">
        <f t="shared" si="84"/>
        <v>0</v>
      </c>
      <c r="J2176" s="178"/>
      <c r="K2176" s="178"/>
      <c r="L2176" s="275" t="str">
        <f>IF(H:H=0,"",IF(ISERROR(VLOOKUP(H:H,produtos_escape2!$A$2:$B$2794,2,FALSE)),"Código não cadastrado",(VLOOKUP(H:H,produtos_escape2!$A$2:$B$2794,2,FALSE))))</f>
        <v/>
      </c>
      <c r="M2176" s="593" t="str">
        <f>IF(H:H=0,"",IF(ISERROR(VLOOKUP(H:H,produtos_escape2!$A$2:$D$2794,2,FALSE)),"Código não cadastrado",(VLOOKUP(H:H,produtos_escape2!$A$2:$D$2794,4,FALSE))))</f>
        <v/>
      </c>
      <c r="N2176" s="486"/>
      <c r="O2176" s="176"/>
      <c r="P2176" s="486"/>
      <c r="Q2176" s="247"/>
      <c r="R2176" s="246">
        <f t="shared" si="83"/>
        <v>0</v>
      </c>
      <c r="S2176" s="177"/>
      <c r="T2176" s="182"/>
      <c r="U2176" s="177"/>
      <c r="V2176" s="177"/>
      <c r="W2176" s="177"/>
      <c r="X2176" s="176"/>
      <c r="Y2176" s="177"/>
      <c r="Z2176" s="415"/>
      <c r="AA2176" s="488"/>
      <c r="AB2176" s="594"/>
      <c r="AC2176" s="595"/>
      <c r="AD2176" s="596" t="str">
        <f>IF(AND(AC2176&lt;&gt;"",S2176&lt;&gt;""),NETWORKDAYS(AC2176,S2176,#REF!),"")</f>
        <v/>
      </c>
      <c r="AE2176" s="596" t="str">
        <f ca="1">IF(AND(AD2176="",AC2176=""),"",IF(OR(AD2176&lt;&gt;"",O2176="*CANCELADO"),"",NETWORKDAYS(AC2176,TODAY(),#REF!)))</f>
        <v/>
      </c>
      <c r="AF2176" s="619"/>
    </row>
    <row r="2177" spans="1:32" ht="14.25" customHeight="1">
      <c r="A2177" s="176"/>
      <c r="B2177" s="176"/>
      <c r="C2177" s="177"/>
      <c r="D2177" s="176"/>
      <c r="E2177" s="176"/>
      <c r="F2177" s="259"/>
      <c r="G2177" s="176"/>
      <c r="H2177" s="178"/>
      <c r="I2177" s="592">
        <f t="shared" si="84"/>
        <v>0</v>
      </c>
      <c r="J2177" s="178"/>
      <c r="K2177" s="178"/>
      <c r="L2177" s="275" t="str">
        <f>IF(H:H=0,"",IF(ISERROR(VLOOKUP(H:H,produtos_escape2!$A$2:$B$2794,2,FALSE)),"Código não cadastrado",(VLOOKUP(H:H,produtos_escape2!$A$2:$B$2794,2,FALSE))))</f>
        <v/>
      </c>
      <c r="M2177" s="593" t="str">
        <f>IF(H:H=0,"",IF(ISERROR(VLOOKUP(H:H,produtos_escape2!$A$2:$D$2794,2,FALSE)),"Código não cadastrado",(VLOOKUP(H:H,produtos_escape2!$A$2:$D$2794,4,FALSE))))</f>
        <v/>
      </c>
      <c r="N2177" s="486"/>
      <c r="O2177" s="176"/>
      <c r="P2177" s="486"/>
      <c r="Q2177" s="247"/>
      <c r="R2177" s="246">
        <f t="shared" si="83"/>
        <v>0</v>
      </c>
      <c r="S2177" s="177"/>
      <c r="T2177" s="182"/>
      <c r="U2177" s="177"/>
      <c r="V2177" s="177"/>
      <c r="W2177" s="177"/>
      <c r="X2177" s="176"/>
      <c r="Y2177" s="177"/>
      <c r="Z2177" s="415"/>
      <c r="AA2177" s="488"/>
      <c r="AB2177" s="594"/>
      <c r="AC2177" s="595"/>
      <c r="AD2177" s="596" t="str">
        <f>IF(AND(AC2177&lt;&gt;"",S2177&lt;&gt;""),NETWORKDAYS(AC2177,S2177,#REF!),"")</f>
        <v/>
      </c>
      <c r="AE2177" s="596" t="str">
        <f ca="1">IF(AND(AD2177="",AC2177=""),"",IF(OR(AD2177&lt;&gt;"",O2177="*CANCELADO"),"",NETWORKDAYS(AC2177,TODAY(),#REF!)))</f>
        <v/>
      </c>
      <c r="AF2177" s="619"/>
    </row>
    <row r="2178" spans="1:32" ht="14.25" customHeight="1">
      <c r="A2178" s="176"/>
      <c r="B2178" s="176"/>
      <c r="C2178" s="177"/>
      <c r="D2178" s="176"/>
      <c r="E2178" s="176"/>
      <c r="F2178" s="259"/>
      <c r="G2178" s="176"/>
      <c r="H2178" s="178"/>
      <c r="I2178" s="592">
        <f t="shared" si="84"/>
        <v>0</v>
      </c>
      <c r="J2178" s="178"/>
      <c r="K2178" s="178"/>
      <c r="L2178" s="275" t="str">
        <f>IF(H:H=0,"",IF(ISERROR(VLOOKUP(H:H,produtos_escape2!$A$2:$B$2794,2,FALSE)),"Código não cadastrado",(VLOOKUP(H:H,produtos_escape2!$A$2:$B$2794,2,FALSE))))</f>
        <v/>
      </c>
      <c r="M2178" s="593" t="str">
        <f>IF(H:H=0,"",IF(ISERROR(VLOOKUP(H:H,produtos_escape2!$A$2:$D$2794,2,FALSE)),"Código não cadastrado",(VLOOKUP(H:H,produtos_escape2!$A$2:$D$2794,4,FALSE))))</f>
        <v/>
      </c>
      <c r="N2178" s="486"/>
      <c r="O2178" s="176"/>
      <c r="P2178" s="486"/>
      <c r="Q2178" s="247"/>
      <c r="R2178" s="246">
        <f t="shared" si="83"/>
        <v>0</v>
      </c>
      <c r="S2178" s="177"/>
      <c r="T2178" s="182"/>
      <c r="U2178" s="177"/>
      <c r="V2178" s="177"/>
      <c r="W2178" s="177"/>
      <c r="X2178" s="176"/>
      <c r="Y2178" s="177"/>
      <c r="Z2178" s="415"/>
      <c r="AA2178" s="488"/>
      <c r="AB2178" s="594"/>
      <c r="AC2178" s="595"/>
      <c r="AD2178" s="596" t="str">
        <f>IF(AND(AC2178&lt;&gt;"",S2178&lt;&gt;""),NETWORKDAYS(AC2178,S2178,#REF!),"")</f>
        <v/>
      </c>
      <c r="AE2178" s="596" t="str">
        <f ca="1">IF(AND(AD2178="",AC2178=""),"",IF(OR(AD2178&lt;&gt;"",O2178="*CANCELADO"),"",NETWORKDAYS(AC2178,TODAY(),#REF!)))</f>
        <v/>
      </c>
      <c r="AF2178" s="619"/>
    </row>
    <row r="2179" spans="1:32" ht="14.25" customHeight="1">
      <c r="A2179" s="176"/>
      <c r="B2179" s="176"/>
      <c r="C2179" s="177"/>
      <c r="D2179" s="176"/>
      <c r="E2179" s="176"/>
      <c r="F2179" s="259"/>
      <c r="G2179" s="176"/>
      <c r="H2179" s="178"/>
      <c r="I2179" s="592">
        <f t="shared" si="84"/>
        <v>0</v>
      </c>
      <c r="J2179" s="178"/>
      <c r="K2179" s="178"/>
      <c r="L2179" s="275" t="str">
        <f>IF(H:H=0,"",IF(ISERROR(VLOOKUP(H:H,produtos_escape2!$A$2:$B$2794,2,FALSE)),"Código não cadastrado",(VLOOKUP(H:H,produtos_escape2!$A$2:$B$2794,2,FALSE))))</f>
        <v/>
      </c>
      <c r="M2179" s="593" t="str">
        <f>IF(H:H=0,"",IF(ISERROR(VLOOKUP(H:H,produtos_escape2!$A$2:$D$2794,2,FALSE)),"Código não cadastrado",(VLOOKUP(H:H,produtos_escape2!$A$2:$D$2794,4,FALSE))))</f>
        <v/>
      </c>
      <c r="N2179" s="486"/>
      <c r="O2179" s="176"/>
      <c r="P2179" s="486"/>
      <c r="Q2179" s="247"/>
      <c r="R2179" s="246">
        <f t="shared" si="83"/>
        <v>0</v>
      </c>
      <c r="S2179" s="177"/>
      <c r="T2179" s="182"/>
      <c r="U2179" s="177"/>
      <c r="V2179" s="177"/>
      <c r="W2179" s="177"/>
      <c r="X2179" s="176"/>
      <c r="Y2179" s="177"/>
      <c r="Z2179" s="415"/>
      <c r="AA2179" s="488"/>
      <c r="AB2179" s="594"/>
      <c r="AC2179" s="595"/>
      <c r="AD2179" s="596" t="str">
        <f>IF(AND(AC2179&lt;&gt;"",S2179&lt;&gt;""),NETWORKDAYS(AC2179,S2179,#REF!),"")</f>
        <v/>
      </c>
      <c r="AE2179" s="596" t="str">
        <f ca="1">IF(AND(AD2179="",AC2179=""),"",IF(OR(AD2179&lt;&gt;"",O2179="*CANCELADO"),"",NETWORKDAYS(AC2179,TODAY(),#REF!)))</f>
        <v/>
      </c>
      <c r="AF2179" s="619"/>
    </row>
    <row r="2180" spans="1:32" ht="14.25" customHeight="1">
      <c r="A2180" s="176"/>
      <c r="B2180" s="176"/>
      <c r="C2180" s="177"/>
      <c r="D2180" s="176"/>
      <c r="E2180" s="176"/>
      <c r="F2180" s="259"/>
      <c r="G2180" s="176"/>
      <c r="H2180" s="178"/>
      <c r="I2180" s="592">
        <f t="shared" si="84"/>
        <v>0</v>
      </c>
      <c r="J2180" s="178"/>
      <c r="K2180" s="178"/>
      <c r="L2180" s="275" t="str">
        <f>IF(H:H=0,"",IF(ISERROR(VLOOKUP(H:H,produtos_escape2!$A$2:$B$2794,2,FALSE)),"Código não cadastrado",(VLOOKUP(H:H,produtos_escape2!$A$2:$B$2794,2,FALSE))))</f>
        <v/>
      </c>
      <c r="M2180" s="593" t="str">
        <f>IF(H:H=0,"",IF(ISERROR(VLOOKUP(H:H,produtos_escape2!$A$2:$D$2794,2,FALSE)),"Código não cadastrado",(VLOOKUP(H:H,produtos_escape2!$A$2:$D$2794,4,FALSE))))</f>
        <v/>
      </c>
      <c r="N2180" s="486"/>
      <c r="O2180" s="176"/>
      <c r="P2180" s="486"/>
      <c r="Q2180" s="247"/>
      <c r="R2180" s="246">
        <f t="shared" si="83"/>
        <v>0</v>
      </c>
      <c r="S2180" s="177"/>
      <c r="T2180" s="182"/>
      <c r="U2180" s="177"/>
      <c r="V2180" s="177"/>
      <c r="W2180" s="177"/>
      <c r="X2180" s="176"/>
      <c r="Y2180" s="177"/>
      <c r="Z2180" s="415"/>
      <c r="AA2180" s="488"/>
      <c r="AB2180" s="594"/>
      <c r="AC2180" s="595"/>
      <c r="AD2180" s="596" t="str">
        <f>IF(AND(AC2180&lt;&gt;"",S2180&lt;&gt;""),NETWORKDAYS(AC2180,S2180,#REF!),"")</f>
        <v/>
      </c>
      <c r="AE2180" s="596" t="str">
        <f ca="1">IF(AND(AD2180="",AC2180=""),"",IF(OR(AD2180&lt;&gt;"",O2180="*CANCELADO"),"",NETWORKDAYS(AC2180,TODAY(),#REF!)))</f>
        <v/>
      </c>
      <c r="AF2180" s="619"/>
    </row>
    <row r="2181" spans="1:32" ht="14.25" customHeight="1">
      <c r="A2181" s="176"/>
      <c r="B2181" s="176"/>
      <c r="C2181" s="177"/>
      <c r="D2181" s="176"/>
      <c r="E2181" s="176"/>
      <c r="F2181" s="259"/>
      <c r="G2181" s="176"/>
      <c r="H2181" s="178"/>
      <c r="I2181" s="592">
        <f t="shared" si="84"/>
        <v>0</v>
      </c>
      <c r="J2181" s="178"/>
      <c r="K2181" s="178"/>
      <c r="L2181" s="275" t="str">
        <f>IF(H:H=0,"",IF(ISERROR(VLOOKUP(H:H,produtos_escape2!$A$2:$B$2794,2,FALSE)),"Código não cadastrado",(VLOOKUP(H:H,produtos_escape2!$A$2:$B$2794,2,FALSE))))</f>
        <v/>
      </c>
      <c r="M2181" s="593" t="str">
        <f>IF(H:H=0,"",IF(ISERROR(VLOOKUP(H:H,produtos_escape2!$A$2:$D$2794,2,FALSE)),"Código não cadastrado",(VLOOKUP(H:H,produtos_escape2!$A$2:$D$2794,4,FALSE))))</f>
        <v/>
      </c>
      <c r="N2181" s="486"/>
      <c r="O2181" s="176"/>
      <c r="P2181" s="486"/>
      <c r="Q2181" s="247"/>
      <c r="R2181" s="246">
        <f t="shared" si="83"/>
        <v>0</v>
      </c>
      <c r="S2181" s="177"/>
      <c r="T2181" s="182"/>
      <c r="U2181" s="177"/>
      <c r="V2181" s="177"/>
      <c r="W2181" s="177"/>
      <c r="X2181" s="176"/>
      <c r="Y2181" s="177"/>
      <c r="Z2181" s="415"/>
      <c r="AA2181" s="488"/>
      <c r="AB2181" s="594"/>
      <c r="AC2181" s="595"/>
      <c r="AD2181" s="596" t="str">
        <f>IF(AND(AC2181&lt;&gt;"",S2181&lt;&gt;""),NETWORKDAYS(AC2181,S2181,#REF!),"")</f>
        <v/>
      </c>
      <c r="AE2181" s="596" t="str">
        <f ca="1">IF(AND(AD2181="",AC2181=""),"",IF(OR(AD2181&lt;&gt;"",O2181="*CANCELADO"),"",NETWORKDAYS(AC2181,TODAY(),#REF!)))</f>
        <v/>
      </c>
      <c r="AF2181" s="619"/>
    </row>
    <row r="2182" spans="1:32" ht="14.25" customHeight="1">
      <c r="A2182" s="176"/>
      <c r="B2182" s="176"/>
      <c r="C2182" s="177"/>
      <c r="D2182" s="176"/>
      <c r="E2182" s="176"/>
      <c r="F2182" s="259"/>
      <c r="G2182" s="176"/>
      <c r="H2182" s="178"/>
      <c r="I2182" s="592">
        <f t="shared" si="84"/>
        <v>0</v>
      </c>
      <c r="J2182" s="178"/>
      <c r="K2182" s="178"/>
      <c r="L2182" s="275" t="str">
        <f>IF(H:H=0,"",IF(ISERROR(VLOOKUP(H:H,produtos_escape2!$A$2:$B$2794,2,FALSE)),"Código não cadastrado",(VLOOKUP(H:H,produtos_escape2!$A$2:$B$2794,2,FALSE))))</f>
        <v/>
      </c>
      <c r="M2182" s="593" t="str">
        <f>IF(H:H=0,"",IF(ISERROR(VLOOKUP(H:H,produtos_escape2!$A$2:$D$2794,2,FALSE)),"Código não cadastrado",(VLOOKUP(H:H,produtos_escape2!$A$2:$D$2794,4,FALSE))))</f>
        <v/>
      </c>
      <c r="N2182" s="486"/>
      <c r="O2182" s="176"/>
      <c r="P2182" s="486"/>
      <c r="Q2182" s="247"/>
      <c r="R2182" s="246">
        <f t="shared" si="83"/>
        <v>0</v>
      </c>
      <c r="S2182" s="177"/>
      <c r="T2182" s="182"/>
      <c r="U2182" s="177"/>
      <c r="V2182" s="177"/>
      <c r="W2182" s="177"/>
      <c r="X2182" s="176"/>
      <c r="Y2182" s="177"/>
      <c r="Z2182" s="415"/>
      <c r="AA2182" s="488"/>
      <c r="AB2182" s="594"/>
      <c r="AC2182" s="595"/>
      <c r="AD2182" s="596" t="str">
        <f>IF(AND(AC2182&lt;&gt;"",S2182&lt;&gt;""),NETWORKDAYS(AC2182,S2182,#REF!),"")</f>
        <v/>
      </c>
      <c r="AE2182" s="596" t="str">
        <f ca="1">IF(AND(AD2182="",AC2182=""),"",IF(OR(AD2182&lt;&gt;"",O2182="*CANCELADO"),"",NETWORKDAYS(AC2182,TODAY(),#REF!)))</f>
        <v/>
      </c>
      <c r="AF2182" s="619"/>
    </row>
    <row r="2183" spans="1:32" ht="14.25" customHeight="1">
      <c r="A2183" s="176"/>
      <c r="B2183" s="176"/>
      <c r="C2183" s="177"/>
      <c r="D2183" s="176"/>
      <c r="E2183" s="176"/>
      <c r="F2183" s="259"/>
      <c r="G2183" s="176"/>
      <c r="H2183" s="178"/>
      <c r="I2183" s="592">
        <f t="shared" si="84"/>
        <v>0</v>
      </c>
      <c r="J2183" s="178"/>
      <c r="K2183" s="178"/>
      <c r="L2183" s="275" t="str">
        <f>IF(H:H=0,"",IF(ISERROR(VLOOKUP(H:H,produtos_escape2!$A$2:$B$2794,2,FALSE)),"Código não cadastrado",(VLOOKUP(H:H,produtos_escape2!$A$2:$B$2794,2,FALSE))))</f>
        <v/>
      </c>
      <c r="M2183" s="593" t="str">
        <f>IF(H:H=0,"",IF(ISERROR(VLOOKUP(H:H,produtos_escape2!$A$2:$D$2794,2,FALSE)),"Código não cadastrado",(VLOOKUP(H:H,produtos_escape2!$A$2:$D$2794,4,FALSE))))</f>
        <v/>
      </c>
      <c r="N2183" s="486"/>
      <c r="O2183" s="176"/>
      <c r="P2183" s="486"/>
      <c r="Q2183" s="247"/>
      <c r="R2183" s="246">
        <f t="shared" si="83"/>
        <v>0</v>
      </c>
      <c r="S2183" s="177"/>
      <c r="T2183" s="182"/>
      <c r="U2183" s="177"/>
      <c r="V2183" s="177"/>
      <c r="W2183" s="177"/>
      <c r="X2183" s="176"/>
      <c r="Y2183" s="177"/>
      <c r="Z2183" s="415"/>
      <c r="AA2183" s="488"/>
      <c r="AB2183" s="594"/>
      <c r="AC2183" s="595"/>
      <c r="AD2183" s="596" t="str">
        <f>IF(AND(AC2183&lt;&gt;"",S2183&lt;&gt;""),NETWORKDAYS(AC2183,S2183,#REF!),"")</f>
        <v/>
      </c>
      <c r="AE2183" s="596" t="str">
        <f ca="1">IF(AND(AD2183="",AC2183=""),"",IF(OR(AD2183&lt;&gt;"",O2183="*CANCELADO"),"",NETWORKDAYS(AC2183,TODAY(),#REF!)))</f>
        <v/>
      </c>
      <c r="AF2183" s="619"/>
    </row>
    <row r="2184" spans="1:32" ht="14.25" customHeight="1">
      <c r="A2184" s="176"/>
      <c r="B2184" s="176"/>
      <c r="C2184" s="177"/>
      <c r="D2184" s="176"/>
      <c r="E2184" s="176"/>
      <c r="F2184" s="259"/>
      <c r="G2184" s="176"/>
      <c r="H2184" s="178"/>
      <c r="I2184" s="592">
        <f t="shared" si="84"/>
        <v>0</v>
      </c>
      <c r="J2184" s="178"/>
      <c r="K2184" s="178"/>
      <c r="L2184" s="275" t="str">
        <f>IF(H:H=0,"",IF(ISERROR(VLOOKUP(H:H,produtos_escape2!$A$2:$B$2794,2,FALSE)),"Código não cadastrado",(VLOOKUP(H:H,produtos_escape2!$A$2:$B$2794,2,FALSE))))</f>
        <v/>
      </c>
      <c r="M2184" s="593" t="str">
        <f>IF(H:H=0,"",IF(ISERROR(VLOOKUP(H:H,produtos_escape2!$A$2:$D$2794,2,FALSE)),"Código não cadastrado",(VLOOKUP(H:H,produtos_escape2!$A$2:$D$2794,4,FALSE))))</f>
        <v/>
      </c>
      <c r="N2184" s="486"/>
      <c r="O2184" s="176"/>
      <c r="P2184" s="486"/>
      <c r="Q2184" s="247"/>
      <c r="R2184" s="246">
        <f t="shared" si="83"/>
        <v>0</v>
      </c>
      <c r="S2184" s="177"/>
      <c r="T2184" s="182"/>
      <c r="U2184" s="177"/>
      <c r="V2184" s="177"/>
      <c r="W2184" s="177"/>
      <c r="X2184" s="176"/>
      <c r="Y2184" s="177"/>
      <c r="Z2184" s="415"/>
      <c r="AA2184" s="488"/>
      <c r="AB2184" s="594"/>
      <c r="AC2184" s="595"/>
      <c r="AD2184" s="596" t="str">
        <f>IF(AND(AC2184&lt;&gt;"",S2184&lt;&gt;""),NETWORKDAYS(AC2184,S2184,#REF!),"")</f>
        <v/>
      </c>
      <c r="AE2184" s="596" t="str">
        <f ca="1">IF(AND(AD2184="",AC2184=""),"",IF(OR(AD2184&lt;&gt;"",O2184="*CANCELADO"),"",NETWORKDAYS(AC2184,TODAY(),#REF!)))</f>
        <v/>
      </c>
      <c r="AF2184" s="619"/>
    </row>
    <row r="2185" spans="1:32" ht="14.25" customHeight="1">
      <c r="A2185" s="176"/>
      <c r="B2185" s="176"/>
      <c r="C2185" s="177"/>
      <c r="D2185" s="176"/>
      <c r="E2185" s="176"/>
      <c r="F2185" s="259"/>
      <c r="G2185" s="176"/>
      <c r="H2185" s="178"/>
      <c r="I2185" s="592">
        <f t="shared" si="84"/>
        <v>0</v>
      </c>
      <c r="J2185" s="178"/>
      <c r="K2185" s="178"/>
      <c r="L2185" s="275" t="str">
        <f>IF(H:H=0,"",IF(ISERROR(VLOOKUP(H:H,produtos_escape2!$A$2:$B$2794,2,FALSE)),"Código não cadastrado",(VLOOKUP(H:H,produtos_escape2!$A$2:$B$2794,2,FALSE))))</f>
        <v/>
      </c>
      <c r="M2185" s="593" t="str">
        <f>IF(H:H=0,"",IF(ISERROR(VLOOKUP(H:H,produtos_escape2!$A$2:$D$2794,2,FALSE)),"Código não cadastrado",(VLOOKUP(H:H,produtos_escape2!$A$2:$D$2794,4,FALSE))))</f>
        <v/>
      </c>
      <c r="N2185" s="486"/>
      <c r="O2185" s="176"/>
      <c r="P2185" s="486"/>
      <c r="Q2185" s="247"/>
      <c r="R2185" s="246">
        <f t="shared" si="83"/>
        <v>0</v>
      </c>
      <c r="S2185" s="177"/>
      <c r="T2185" s="182"/>
      <c r="U2185" s="177"/>
      <c r="V2185" s="177"/>
      <c r="W2185" s="177"/>
      <c r="X2185" s="176"/>
      <c r="Y2185" s="177"/>
      <c r="Z2185" s="415"/>
      <c r="AA2185" s="488"/>
      <c r="AB2185" s="594"/>
      <c r="AC2185" s="595"/>
      <c r="AD2185" s="596" t="str">
        <f>IF(AND(AC2185&lt;&gt;"",S2185&lt;&gt;""),NETWORKDAYS(AC2185,S2185,#REF!),"")</f>
        <v/>
      </c>
      <c r="AE2185" s="596" t="str">
        <f ca="1">IF(AND(AD2185="",AC2185=""),"",IF(OR(AD2185&lt;&gt;"",O2185="*CANCELADO"),"",NETWORKDAYS(AC2185,TODAY(),#REF!)))</f>
        <v/>
      </c>
      <c r="AF2185" s="619"/>
    </row>
    <row r="2186" spans="1:32" ht="14.25" customHeight="1">
      <c r="A2186" s="176"/>
      <c r="B2186" s="176"/>
      <c r="C2186" s="177"/>
      <c r="D2186" s="176"/>
      <c r="E2186" s="176"/>
      <c r="F2186" s="259"/>
      <c r="G2186" s="176"/>
      <c r="H2186" s="178"/>
      <c r="I2186" s="592">
        <f t="shared" si="84"/>
        <v>0</v>
      </c>
      <c r="J2186" s="178"/>
      <c r="K2186" s="178"/>
      <c r="L2186" s="275" t="str">
        <f>IF(H:H=0,"",IF(ISERROR(VLOOKUP(H:H,produtos_escape2!$A$2:$B$2794,2,FALSE)),"Código não cadastrado",(VLOOKUP(H:H,produtos_escape2!$A$2:$B$2794,2,FALSE))))</f>
        <v/>
      </c>
      <c r="M2186" s="593" t="str">
        <f>IF(H:H=0,"",IF(ISERROR(VLOOKUP(H:H,produtos_escape2!$A$2:$D$2794,2,FALSE)),"Código não cadastrado",(VLOOKUP(H:H,produtos_escape2!$A$2:$D$2794,4,FALSE))))</f>
        <v/>
      </c>
      <c r="N2186" s="486"/>
      <c r="O2186" s="176"/>
      <c r="P2186" s="486"/>
      <c r="Q2186" s="247"/>
      <c r="R2186" s="246">
        <f t="shared" si="83"/>
        <v>0</v>
      </c>
      <c r="S2186" s="177"/>
      <c r="T2186" s="182"/>
      <c r="U2186" s="177"/>
      <c r="V2186" s="177"/>
      <c r="W2186" s="177"/>
      <c r="X2186" s="176"/>
      <c r="Y2186" s="177"/>
      <c r="Z2186" s="415"/>
      <c r="AA2186" s="488"/>
      <c r="AB2186" s="594"/>
      <c r="AC2186" s="595"/>
      <c r="AD2186" s="596" t="str">
        <f>IF(AND(AC2186&lt;&gt;"",S2186&lt;&gt;""),NETWORKDAYS(AC2186,S2186,#REF!),"")</f>
        <v/>
      </c>
      <c r="AE2186" s="596" t="str">
        <f ca="1">IF(AND(AD2186="",AC2186=""),"",IF(OR(AD2186&lt;&gt;"",O2186="*CANCELADO"),"",NETWORKDAYS(AC2186,TODAY(),#REF!)))</f>
        <v/>
      </c>
      <c r="AF2186" s="619"/>
    </row>
    <row r="2187" spans="1:32" ht="14.25" customHeight="1">
      <c r="A2187" s="176"/>
      <c r="B2187" s="176"/>
      <c r="C2187" s="177"/>
      <c r="D2187" s="176"/>
      <c r="E2187" s="176"/>
      <c r="F2187" s="259"/>
      <c r="G2187" s="176"/>
      <c r="H2187" s="178"/>
      <c r="I2187" s="592">
        <f t="shared" si="84"/>
        <v>0</v>
      </c>
      <c r="J2187" s="178"/>
      <c r="K2187" s="178"/>
      <c r="L2187" s="275" t="str">
        <f>IF(H:H=0,"",IF(ISERROR(VLOOKUP(H:H,produtos_escape2!$A$2:$B$2794,2,FALSE)),"Código não cadastrado",(VLOOKUP(H:H,produtos_escape2!$A$2:$B$2794,2,FALSE))))</f>
        <v/>
      </c>
      <c r="M2187" s="593" t="str">
        <f>IF(H:H=0,"",IF(ISERROR(VLOOKUP(H:H,produtos_escape2!$A$2:$D$2794,2,FALSE)),"Código não cadastrado",(VLOOKUP(H:H,produtos_escape2!$A$2:$D$2794,4,FALSE))))</f>
        <v/>
      </c>
      <c r="N2187" s="486"/>
      <c r="O2187" s="176"/>
      <c r="P2187" s="486"/>
      <c r="Q2187" s="247"/>
      <c r="R2187" s="246">
        <f t="shared" si="83"/>
        <v>0</v>
      </c>
      <c r="S2187" s="177"/>
      <c r="T2187" s="182"/>
      <c r="U2187" s="177"/>
      <c r="V2187" s="177"/>
      <c r="W2187" s="177"/>
      <c r="X2187" s="176"/>
      <c r="Y2187" s="177"/>
      <c r="Z2187" s="415"/>
      <c r="AA2187" s="488"/>
      <c r="AB2187" s="594"/>
      <c r="AC2187" s="595"/>
      <c r="AD2187" s="596" t="str">
        <f>IF(AND(AC2187&lt;&gt;"",S2187&lt;&gt;""),NETWORKDAYS(AC2187,S2187,#REF!),"")</f>
        <v/>
      </c>
      <c r="AE2187" s="596" t="str">
        <f ca="1">IF(AND(AD2187="",AC2187=""),"",IF(OR(AD2187&lt;&gt;"",O2187="*CANCELADO"),"",NETWORKDAYS(AC2187,TODAY(),#REF!)))</f>
        <v/>
      </c>
      <c r="AF2187" s="619"/>
    </row>
    <row r="2188" spans="1:32" ht="14.25" customHeight="1">
      <c r="A2188" s="176"/>
      <c r="B2188" s="176"/>
      <c r="C2188" s="177"/>
      <c r="D2188" s="176"/>
      <c r="E2188" s="176"/>
      <c r="F2188" s="259"/>
      <c r="G2188" s="176"/>
      <c r="H2188" s="178"/>
      <c r="I2188" s="592">
        <f t="shared" si="84"/>
        <v>0</v>
      </c>
      <c r="J2188" s="178"/>
      <c r="K2188" s="178"/>
      <c r="L2188" s="275" t="str">
        <f>IF(H:H=0,"",IF(ISERROR(VLOOKUP(H:H,produtos_escape2!$A$2:$B$2794,2,FALSE)),"Código não cadastrado",(VLOOKUP(H:H,produtos_escape2!$A$2:$B$2794,2,FALSE))))</f>
        <v/>
      </c>
      <c r="M2188" s="593" t="str">
        <f>IF(H:H=0,"",IF(ISERROR(VLOOKUP(H:H,produtos_escape2!$A$2:$D$2794,2,FALSE)),"Código não cadastrado",(VLOOKUP(H:H,produtos_escape2!$A$2:$D$2794,4,FALSE))))</f>
        <v/>
      </c>
      <c r="N2188" s="486"/>
      <c r="O2188" s="176"/>
      <c r="P2188" s="486"/>
      <c r="Q2188" s="247"/>
      <c r="R2188" s="246">
        <f t="shared" si="83"/>
        <v>0</v>
      </c>
      <c r="S2188" s="177"/>
      <c r="T2188" s="182"/>
      <c r="U2188" s="177"/>
      <c r="V2188" s="177"/>
      <c r="W2188" s="177"/>
      <c r="X2188" s="176"/>
      <c r="Y2188" s="177"/>
      <c r="Z2188" s="415"/>
      <c r="AA2188" s="488"/>
      <c r="AB2188" s="594"/>
      <c r="AC2188" s="595"/>
      <c r="AD2188" s="596" t="str">
        <f>IF(AND(AC2188&lt;&gt;"",S2188&lt;&gt;""),NETWORKDAYS(AC2188,S2188,#REF!),"")</f>
        <v/>
      </c>
      <c r="AE2188" s="596" t="str">
        <f ca="1">IF(AND(AD2188="",AC2188=""),"",IF(OR(AD2188&lt;&gt;"",O2188="*CANCELADO"),"",NETWORKDAYS(AC2188,TODAY(),#REF!)))</f>
        <v/>
      </c>
      <c r="AF2188" s="619"/>
    </row>
    <row r="2189" spans="1:32" ht="14.25" customHeight="1">
      <c r="A2189" s="176"/>
      <c r="B2189" s="176"/>
      <c r="C2189" s="177"/>
      <c r="D2189" s="176"/>
      <c r="E2189" s="176"/>
      <c r="F2189" s="259"/>
      <c r="G2189" s="176"/>
      <c r="H2189" s="178"/>
      <c r="I2189" s="592">
        <f t="shared" si="84"/>
        <v>0</v>
      </c>
      <c r="J2189" s="178"/>
      <c r="K2189" s="178"/>
      <c r="L2189" s="275" t="str">
        <f>IF(H:H=0,"",IF(ISERROR(VLOOKUP(H:H,produtos_escape2!$A$2:$B$2794,2,FALSE)),"Código não cadastrado",(VLOOKUP(H:H,produtos_escape2!$A$2:$B$2794,2,FALSE))))</f>
        <v/>
      </c>
      <c r="M2189" s="593" t="str">
        <f>IF(H:H=0,"",IF(ISERROR(VLOOKUP(H:H,produtos_escape2!$A$2:$D$2794,2,FALSE)),"Código não cadastrado",(VLOOKUP(H:H,produtos_escape2!$A$2:$D$2794,4,FALSE))))</f>
        <v/>
      </c>
      <c r="N2189" s="486"/>
      <c r="O2189" s="176"/>
      <c r="P2189" s="486"/>
      <c r="Q2189" s="247"/>
      <c r="R2189" s="246">
        <f t="shared" si="83"/>
        <v>0</v>
      </c>
      <c r="S2189" s="177"/>
      <c r="T2189" s="182"/>
      <c r="U2189" s="177"/>
      <c r="V2189" s="177"/>
      <c r="W2189" s="177"/>
      <c r="X2189" s="176"/>
      <c r="Y2189" s="177"/>
      <c r="Z2189" s="415"/>
      <c r="AA2189" s="488"/>
      <c r="AB2189" s="594"/>
      <c r="AC2189" s="595"/>
      <c r="AD2189" s="596" t="str">
        <f>IF(AND(AC2189&lt;&gt;"",S2189&lt;&gt;""),NETWORKDAYS(AC2189,S2189,#REF!),"")</f>
        <v/>
      </c>
      <c r="AE2189" s="596" t="str">
        <f ca="1">IF(AND(AD2189="",AC2189=""),"",IF(OR(AD2189&lt;&gt;"",O2189="*CANCELADO"),"",NETWORKDAYS(AC2189,TODAY(),#REF!)))</f>
        <v/>
      </c>
      <c r="AF2189" s="619"/>
    </row>
    <row r="2190" spans="1:32" ht="14.25" customHeight="1">
      <c r="A2190" s="176"/>
      <c r="B2190" s="176"/>
      <c r="C2190" s="177"/>
      <c r="D2190" s="176"/>
      <c r="E2190" s="176"/>
      <c r="F2190" s="259"/>
      <c r="G2190" s="176"/>
      <c r="H2190" s="178"/>
      <c r="I2190" s="592">
        <f t="shared" si="84"/>
        <v>0</v>
      </c>
      <c r="J2190" s="178"/>
      <c r="K2190" s="178"/>
      <c r="L2190" s="275" t="str">
        <f>IF(H:H=0,"",IF(ISERROR(VLOOKUP(H:H,produtos_escape2!$A$2:$B$2794,2,FALSE)),"Código não cadastrado",(VLOOKUP(H:H,produtos_escape2!$A$2:$B$2794,2,FALSE))))</f>
        <v/>
      </c>
      <c r="M2190" s="593" t="str">
        <f>IF(H:H=0,"",IF(ISERROR(VLOOKUP(H:H,produtos_escape2!$A$2:$D$2794,2,FALSE)),"Código não cadastrado",(VLOOKUP(H:H,produtos_escape2!$A$2:$D$2794,4,FALSE))))</f>
        <v/>
      </c>
      <c r="N2190" s="486"/>
      <c r="O2190" s="176"/>
      <c r="P2190" s="486"/>
      <c r="Q2190" s="247"/>
      <c r="R2190" s="246">
        <f t="shared" si="83"/>
        <v>0</v>
      </c>
      <c r="S2190" s="177"/>
      <c r="T2190" s="182"/>
      <c r="U2190" s="177"/>
      <c r="V2190" s="177"/>
      <c r="W2190" s="177"/>
      <c r="X2190" s="176"/>
      <c r="Y2190" s="177"/>
      <c r="Z2190" s="415"/>
      <c r="AA2190" s="488"/>
      <c r="AB2190" s="594"/>
      <c r="AC2190" s="595"/>
      <c r="AD2190" s="596" t="str">
        <f>IF(AND(AC2190&lt;&gt;"",S2190&lt;&gt;""),NETWORKDAYS(AC2190,S2190,#REF!),"")</f>
        <v/>
      </c>
      <c r="AE2190" s="596" t="str">
        <f ca="1">IF(AND(AD2190="",AC2190=""),"",IF(OR(AD2190&lt;&gt;"",O2190="*CANCELADO"),"",NETWORKDAYS(AC2190,TODAY(),#REF!)))</f>
        <v/>
      </c>
      <c r="AF2190" s="619"/>
    </row>
    <row r="2191" spans="1:32" ht="14.25" customHeight="1">
      <c r="A2191" s="176"/>
      <c r="B2191" s="176"/>
      <c r="C2191" s="177"/>
      <c r="D2191" s="176"/>
      <c r="E2191" s="176"/>
      <c r="F2191" s="259"/>
      <c r="G2191" s="176"/>
      <c r="H2191" s="178"/>
      <c r="I2191" s="592">
        <f t="shared" si="84"/>
        <v>0</v>
      </c>
      <c r="J2191" s="178"/>
      <c r="K2191" s="178"/>
      <c r="L2191" s="275" t="str">
        <f>IF(H:H=0,"",IF(ISERROR(VLOOKUP(H:H,produtos_escape2!$A$2:$B$2794,2,FALSE)),"Código não cadastrado",(VLOOKUP(H:H,produtos_escape2!$A$2:$B$2794,2,FALSE))))</f>
        <v/>
      </c>
      <c r="M2191" s="593" t="str">
        <f>IF(H:H=0,"",IF(ISERROR(VLOOKUP(H:H,produtos_escape2!$A$2:$D$2794,2,FALSE)),"Código não cadastrado",(VLOOKUP(H:H,produtos_escape2!$A$2:$D$2794,4,FALSE))))</f>
        <v/>
      </c>
      <c r="N2191" s="486"/>
      <c r="O2191" s="176"/>
      <c r="P2191" s="486"/>
      <c r="Q2191" s="247"/>
      <c r="R2191" s="246">
        <f t="shared" si="83"/>
        <v>0</v>
      </c>
      <c r="S2191" s="177"/>
      <c r="T2191" s="182"/>
      <c r="U2191" s="177"/>
      <c r="V2191" s="177"/>
      <c r="W2191" s="177"/>
      <c r="X2191" s="176"/>
      <c r="Y2191" s="177"/>
      <c r="Z2191" s="415"/>
      <c r="AA2191" s="488"/>
      <c r="AB2191" s="594"/>
      <c r="AC2191" s="595"/>
      <c r="AD2191" s="596" t="str">
        <f>IF(AND(AC2191&lt;&gt;"",S2191&lt;&gt;""),NETWORKDAYS(AC2191,S2191,#REF!),"")</f>
        <v/>
      </c>
      <c r="AE2191" s="596" t="str">
        <f ca="1">IF(AND(AD2191="",AC2191=""),"",IF(OR(AD2191&lt;&gt;"",O2191="*CANCELADO"),"",NETWORKDAYS(AC2191,TODAY(),#REF!)))</f>
        <v/>
      </c>
      <c r="AF2191" s="619"/>
    </row>
    <row r="2192" spans="1:32" ht="14.25" customHeight="1">
      <c r="A2192" s="176"/>
      <c r="B2192" s="176"/>
      <c r="C2192" s="177"/>
      <c r="D2192" s="176"/>
      <c r="E2192" s="176"/>
      <c r="F2192" s="259"/>
      <c r="G2192" s="176"/>
      <c r="H2192" s="178"/>
      <c r="I2192" s="592">
        <f t="shared" si="84"/>
        <v>0</v>
      </c>
      <c r="J2192" s="178"/>
      <c r="K2192" s="178"/>
      <c r="L2192" s="275" t="str">
        <f>IF(H:H=0,"",IF(ISERROR(VLOOKUP(H:H,produtos_escape2!$A$2:$B$2794,2,FALSE)),"Código não cadastrado",(VLOOKUP(H:H,produtos_escape2!$A$2:$B$2794,2,FALSE))))</f>
        <v/>
      </c>
      <c r="M2192" s="593" t="str">
        <f>IF(H:H=0,"",IF(ISERROR(VLOOKUP(H:H,produtos_escape2!$A$2:$D$2794,2,FALSE)),"Código não cadastrado",(VLOOKUP(H:H,produtos_escape2!$A$2:$D$2794,4,FALSE))))</f>
        <v/>
      </c>
      <c r="N2192" s="486"/>
      <c r="O2192" s="176"/>
      <c r="P2192" s="486"/>
      <c r="Q2192" s="247"/>
      <c r="R2192" s="246">
        <f t="shared" si="83"/>
        <v>0</v>
      </c>
      <c r="S2192" s="177"/>
      <c r="T2192" s="182"/>
      <c r="U2192" s="177"/>
      <c r="V2192" s="177"/>
      <c r="W2192" s="177"/>
      <c r="X2192" s="176"/>
      <c r="Y2192" s="177"/>
      <c r="Z2192" s="415"/>
      <c r="AA2192" s="488"/>
      <c r="AB2192" s="594"/>
      <c r="AC2192" s="595"/>
      <c r="AD2192" s="596" t="str">
        <f>IF(AND(AC2192&lt;&gt;"",S2192&lt;&gt;""),NETWORKDAYS(AC2192,S2192,#REF!),"")</f>
        <v/>
      </c>
      <c r="AE2192" s="596" t="str">
        <f ca="1">IF(AND(AD2192="",AC2192=""),"",IF(OR(AD2192&lt;&gt;"",O2192="*CANCELADO"),"",NETWORKDAYS(AC2192,TODAY(),#REF!)))</f>
        <v/>
      </c>
      <c r="AF2192" s="619"/>
    </row>
    <row r="2193" spans="1:32" ht="14.25" customHeight="1">
      <c r="A2193" s="176"/>
      <c r="B2193" s="176"/>
      <c r="C2193" s="177"/>
      <c r="D2193" s="176"/>
      <c r="E2193" s="176"/>
      <c r="F2193" s="259"/>
      <c r="G2193" s="176"/>
      <c r="H2193" s="178"/>
      <c r="I2193" s="592">
        <f t="shared" si="84"/>
        <v>0</v>
      </c>
      <c r="J2193" s="178"/>
      <c r="K2193" s="178"/>
      <c r="L2193" s="275" t="str">
        <f>IF(H:H=0,"",IF(ISERROR(VLOOKUP(H:H,produtos_escape2!$A$2:$B$2794,2,FALSE)),"Código não cadastrado",(VLOOKUP(H:H,produtos_escape2!$A$2:$B$2794,2,FALSE))))</f>
        <v/>
      </c>
      <c r="M2193" s="593" t="str">
        <f>IF(H:H=0,"",IF(ISERROR(VLOOKUP(H:H,produtos_escape2!$A$2:$D$2794,2,FALSE)),"Código não cadastrado",(VLOOKUP(H:H,produtos_escape2!$A$2:$D$2794,4,FALSE))))</f>
        <v/>
      </c>
      <c r="N2193" s="486"/>
      <c r="O2193" s="176"/>
      <c r="P2193" s="486"/>
      <c r="Q2193" s="247"/>
      <c r="R2193" s="246">
        <f t="shared" si="83"/>
        <v>0</v>
      </c>
      <c r="S2193" s="177"/>
      <c r="T2193" s="182"/>
      <c r="U2193" s="177"/>
      <c r="V2193" s="177"/>
      <c r="W2193" s="177"/>
      <c r="X2193" s="176"/>
      <c r="Y2193" s="177"/>
      <c r="Z2193" s="415"/>
      <c r="AA2193" s="488"/>
      <c r="AB2193" s="594"/>
      <c r="AC2193" s="595"/>
      <c r="AD2193" s="596" t="str">
        <f>IF(AND(AC2193&lt;&gt;"",S2193&lt;&gt;""),NETWORKDAYS(AC2193,S2193,#REF!),"")</f>
        <v/>
      </c>
      <c r="AE2193" s="596" t="str">
        <f ca="1">IF(AND(AD2193="",AC2193=""),"",IF(OR(AD2193&lt;&gt;"",O2193="*CANCELADO"),"",NETWORKDAYS(AC2193,TODAY(),#REF!)))</f>
        <v/>
      </c>
      <c r="AF2193" s="619"/>
    </row>
    <row r="2194" spans="1:32" ht="14.25" customHeight="1">
      <c r="A2194" s="176"/>
      <c r="B2194" s="176"/>
      <c r="C2194" s="177"/>
      <c r="D2194" s="176"/>
      <c r="E2194" s="176"/>
      <c r="F2194" s="259"/>
      <c r="G2194" s="176"/>
      <c r="H2194" s="178"/>
      <c r="I2194" s="592">
        <f t="shared" si="84"/>
        <v>0</v>
      </c>
      <c r="J2194" s="178"/>
      <c r="K2194" s="178"/>
      <c r="L2194" s="275" t="str">
        <f>IF(H:H=0,"",IF(ISERROR(VLOOKUP(H:H,produtos_escape2!$A$2:$B$2794,2,FALSE)),"Código não cadastrado",(VLOOKUP(H:H,produtos_escape2!$A$2:$B$2794,2,FALSE))))</f>
        <v/>
      </c>
      <c r="M2194" s="593" t="str">
        <f>IF(H:H=0,"",IF(ISERROR(VLOOKUP(H:H,produtos_escape2!$A$2:$D$2794,2,FALSE)),"Código não cadastrado",(VLOOKUP(H:H,produtos_escape2!$A$2:$D$2794,4,FALSE))))</f>
        <v/>
      </c>
      <c r="N2194" s="486"/>
      <c r="O2194" s="176"/>
      <c r="P2194" s="486"/>
      <c r="Q2194" s="247"/>
      <c r="R2194" s="246">
        <f t="shared" si="83"/>
        <v>0</v>
      </c>
      <c r="S2194" s="177"/>
      <c r="T2194" s="182"/>
      <c r="U2194" s="177"/>
      <c r="V2194" s="177"/>
      <c r="W2194" s="177"/>
      <c r="X2194" s="176"/>
      <c r="Y2194" s="177"/>
      <c r="Z2194" s="415"/>
      <c r="AA2194" s="488"/>
      <c r="AB2194" s="594"/>
      <c r="AC2194" s="595"/>
      <c r="AD2194" s="596" t="str">
        <f>IF(AND(AC2194&lt;&gt;"",S2194&lt;&gt;""),NETWORKDAYS(AC2194,S2194,#REF!),"")</f>
        <v/>
      </c>
      <c r="AE2194" s="596" t="str">
        <f ca="1">IF(AND(AD2194="",AC2194=""),"",IF(OR(AD2194&lt;&gt;"",O2194="*CANCELADO"),"",NETWORKDAYS(AC2194,TODAY(),#REF!)))</f>
        <v/>
      </c>
      <c r="AF2194" s="619"/>
    </row>
    <row r="2195" spans="1:32" ht="14.25" customHeight="1">
      <c r="A2195" s="176"/>
      <c r="B2195" s="176"/>
      <c r="C2195" s="177"/>
      <c r="D2195" s="176"/>
      <c r="E2195" s="176"/>
      <c r="F2195" s="259"/>
      <c r="G2195" s="176"/>
      <c r="H2195" s="178"/>
      <c r="I2195" s="592">
        <f t="shared" si="84"/>
        <v>0</v>
      </c>
      <c r="J2195" s="178"/>
      <c r="K2195" s="178"/>
      <c r="L2195" s="275" t="str">
        <f>IF(H:H=0,"",IF(ISERROR(VLOOKUP(H:H,produtos_escape2!$A$2:$B$2794,2,FALSE)),"Código não cadastrado",(VLOOKUP(H:H,produtos_escape2!$A$2:$B$2794,2,FALSE))))</f>
        <v/>
      </c>
      <c r="M2195" s="593" t="str">
        <f>IF(H:H=0,"",IF(ISERROR(VLOOKUP(H:H,produtos_escape2!$A$2:$D$2794,2,FALSE)),"Código não cadastrado",(VLOOKUP(H:H,produtos_escape2!$A$2:$D$2794,4,FALSE))))</f>
        <v/>
      </c>
      <c r="N2195" s="486"/>
      <c r="O2195" s="176"/>
      <c r="P2195" s="486"/>
      <c r="Q2195" s="247"/>
      <c r="R2195" s="246">
        <f t="shared" si="83"/>
        <v>0</v>
      </c>
      <c r="S2195" s="177"/>
      <c r="T2195" s="182"/>
      <c r="U2195" s="177"/>
      <c r="V2195" s="177"/>
      <c r="W2195" s="177"/>
      <c r="X2195" s="176"/>
      <c r="Y2195" s="177"/>
      <c r="Z2195" s="415"/>
      <c r="AA2195" s="488"/>
      <c r="AB2195" s="594"/>
      <c r="AC2195" s="595"/>
      <c r="AD2195" s="596" t="str">
        <f>IF(AND(AC2195&lt;&gt;"",S2195&lt;&gt;""),NETWORKDAYS(AC2195,S2195,#REF!),"")</f>
        <v/>
      </c>
      <c r="AE2195" s="596" t="str">
        <f ca="1">IF(AND(AD2195="",AC2195=""),"",IF(OR(AD2195&lt;&gt;"",O2195="*CANCELADO"),"",NETWORKDAYS(AC2195,TODAY(),#REF!)))</f>
        <v/>
      </c>
      <c r="AF2195" s="619"/>
    </row>
    <row r="2196" spans="1:32" ht="14.25" customHeight="1">
      <c r="A2196" s="176"/>
      <c r="B2196" s="176"/>
      <c r="C2196" s="177"/>
      <c r="D2196" s="176"/>
      <c r="E2196" s="176"/>
      <c r="F2196" s="259"/>
      <c r="G2196" s="176"/>
      <c r="H2196" s="178"/>
      <c r="I2196" s="592">
        <f t="shared" si="84"/>
        <v>0</v>
      </c>
      <c r="J2196" s="178"/>
      <c r="K2196" s="178"/>
      <c r="L2196" s="275" t="str">
        <f>IF(H:H=0,"",IF(ISERROR(VLOOKUP(H:H,produtos_escape2!$A$2:$B$2794,2,FALSE)),"Código não cadastrado",(VLOOKUP(H:H,produtos_escape2!$A$2:$B$2794,2,FALSE))))</f>
        <v/>
      </c>
      <c r="M2196" s="593" t="str">
        <f>IF(H:H=0,"",IF(ISERROR(VLOOKUP(H:H,produtos_escape2!$A$2:$D$2794,2,FALSE)),"Código não cadastrado",(VLOOKUP(H:H,produtos_escape2!$A$2:$D$2794,4,FALSE))))</f>
        <v/>
      </c>
      <c r="N2196" s="486"/>
      <c r="O2196" s="176"/>
      <c r="P2196" s="486"/>
      <c r="Q2196" s="247"/>
      <c r="R2196" s="246">
        <f t="shared" si="83"/>
        <v>0</v>
      </c>
      <c r="S2196" s="177"/>
      <c r="T2196" s="182"/>
      <c r="U2196" s="177"/>
      <c r="V2196" s="177"/>
      <c r="W2196" s="177"/>
      <c r="X2196" s="176"/>
      <c r="Y2196" s="177"/>
      <c r="Z2196" s="415"/>
      <c r="AA2196" s="488"/>
      <c r="AB2196" s="594"/>
      <c r="AC2196" s="595"/>
      <c r="AD2196" s="596" t="str">
        <f>IF(AND(AC2196&lt;&gt;"",S2196&lt;&gt;""),NETWORKDAYS(AC2196,S2196,#REF!),"")</f>
        <v/>
      </c>
      <c r="AE2196" s="596" t="str">
        <f ca="1">IF(AND(AD2196="",AC2196=""),"",IF(OR(AD2196&lt;&gt;"",O2196="*CANCELADO"),"",NETWORKDAYS(AC2196,TODAY(),#REF!)))</f>
        <v/>
      </c>
      <c r="AF2196" s="619"/>
    </row>
    <row r="2197" spans="1:32" ht="14.25" customHeight="1">
      <c r="A2197" s="176"/>
      <c r="B2197" s="176"/>
      <c r="C2197" s="177"/>
      <c r="D2197" s="176"/>
      <c r="E2197" s="176"/>
      <c r="F2197" s="259"/>
      <c r="G2197" s="176"/>
      <c r="H2197" s="178"/>
      <c r="I2197" s="592">
        <f t="shared" si="84"/>
        <v>0</v>
      </c>
      <c r="J2197" s="178"/>
      <c r="K2197" s="178"/>
      <c r="L2197" s="275" t="str">
        <f>IF(H:H=0,"",IF(ISERROR(VLOOKUP(H:H,produtos_escape2!$A$2:$B$2794,2,FALSE)),"Código não cadastrado",(VLOOKUP(H:H,produtos_escape2!$A$2:$B$2794,2,FALSE))))</f>
        <v/>
      </c>
      <c r="M2197" s="593" t="str">
        <f>IF(H:H=0,"",IF(ISERROR(VLOOKUP(H:H,produtos_escape2!$A$2:$D$2794,2,FALSE)),"Código não cadastrado",(VLOOKUP(H:H,produtos_escape2!$A$2:$D$2794,4,FALSE))))</f>
        <v/>
      </c>
      <c r="N2197" s="486"/>
      <c r="O2197" s="176"/>
      <c r="P2197" s="486"/>
      <c r="Q2197" s="247"/>
      <c r="R2197" s="246">
        <f t="shared" si="83"/>
        <v>0</v>
      </c>
      <c r="S2197" s="177"/>
      <c r="T2197" s="182"/>
      <c r="U2197" s="177"/>
      <c r="V2197" s="177"/>
      <c r="W2197" s="177"/>
      <c r="X2197" s="176"/>
      <c r="Y2197" s="177"/>
      <c r="Z2197" s="415"/>
      <c r="AA2197" s="488"/>
      <c r="AB2197" s="594"/>
      <c r="AC2197" s="595"/>
      <c r="AD2197" s="596" t="str">
        <f>IF(AND(AC2197&lt;&gt;"",S2197&lt;&gt;""),NETWORKDAYS(AC2197,S2197,#REF!),"")</f>
        <v/>
      </c>
      <c r="AE2197" s="596" t="str">
        <f ca="1">IF(AND(AD2197="",AC2197=""),"",IF(OR(AD2197&lt;&gt;"",O2197="*CANCELADO"),"",NETWORKDAYS(AC2197,TODAY(),#REF!)))</f>
        <v/>
      </c>
      <c r="AF2197" s="619"/>
    </row>
    <row r="2198" spans="1:32" ht="14.25" customHeight="1">
      <c r="A2198" s="176"/>
      <c r="B2198" s="176"/>
      <c r="C2198" s="177"/>
      <c r="D2198" s="176"/>
      <c r="E2198" s="176"/>
      <c r="F2198" s="259"/>
      <c r="G2198" s="176"/>
      <c r="H2198" s="178"/>
      <c r="I2198" s="592">
        <f t="shared" si="84"/>
        <v>0</v>
      </c>
      <c r="J2198" s="178"/>
      <c r="K2198" s="178"/>
      <c r="L2198" s="275" t="str">
        <f>IF(H:H=0,"",IF(ISERROR(VLOOKUP(H:H,produtos_escape2!$A$2:$B$2794,2,FALSE)),"Código não cadastrado",(VLOOKUP(H:H,produtos_escape2!$A$2:$B$2794,2,FALSE))))</f>
        <v/>
      </c>
      <c r="M2198" s="593" t="str">
        <f>IF(H:H=0,"",IF(ISERROR(VLOOKUP(H:H,produtos_escape2!$A$2:$D$2794,2,FALSE)),"Código não cadastrado",(VLOOKUP(H:H,produtos_escape2!$A$2:$D$2794,4,FALSE))))</f>
        <v/>
      </c>
      <c r="N2198" s="486"/>
      <c r="O2198" s="176"/>
      <c r="P2198" s="486"/>
      <c r="Q2198" s="247"/>
      <c r="R2198" s="246">
        <f t="shared" si="83"/>
        <v>0</v>
      </c>
      <c r="S2198" s="177"/>
      <c r="T2198" s="182"/>
      <c r="U2198" s="177"/>
      <c r="V2198" s="177"/>
      <c r="W2198" s="177"/>
      <c r="X2198" s="176"/>
      <c r="Y2198" s="177"/>
      <c r="Z2198" s="415"/>
      <c r="AA2198" s="488"/>
      <c r="AB2198" s="594"/>
      <c r="AC2198" s="595"/>
      <c r="AD2198" s="596" t="str">
        <f>IF(AND(AC2198&lt;&gt;"",S2198&lt;&gt;""),NETWORKDAYS(AC2198,S2198,#REF!),"")</f>
        <v/>
      </c>
      <c r="AE2198" s="596" t="str">
        <f ca="1">IF(AND(AD2198="",AC2198=""),"",IF(OR(AD2198&lt;&gt;"",O2198="*CANCELADO"),"",NETWORKDAYS(AC2198,TODAY(),#REF!)))</f>
        <v/>
      </c>
      <c r="AF2198" s="619"/>
    </row>
    <row r="2199" spans="1:32" ht="14.25" customHeight="1">
      <c r="A2199" s="176"/>
      <c r="B2199" s="176"/>
      <c r="C2199" s="177"/>
      <c r="D2199" s="176"/>
      <c r="E2199" s="176"/>
      <c r="F2199" s="259"/>
      <c r="G2199" s="176"/>
      <c r="H2199" s="178"/>
      <c r="I2199" s="592">
        <f t="shared" si="84"/>
        <v>0</v>
      </c>
      <c r="J2199" s="178"/>
      <c r="K2199" s="178"/>
      <c r="L2199" s="275" t="str">
        <f>IF(H:H=0,"",IF(ISERROR(VLOOKUP(H:H,produtos_escape2!$A$2:$B$2794,2,FALSE)),"Código não cadastrado",(VLOOKUP(H:H,produtos_escape2!$A$2:$B$2794,2,FALSE))))</f>
        <v/>
      </c>
      <c r="M2199" s="593" t="str">
        <f>IF(H:H=0,"",IF(ISERROR(VLOOKUP(H:H,produtos_escape2!$A$2:$D$2794,2,FALSE)),"Código não cadastrado",(VLOOKUP(H:H,produtos_escape2!$A$2:$D$2794,4,FALSE))))</f>
        <v/>
      </c>
      <c r="N2199" s="486"/>
      <c r="O2199" s="176"/>
      <c r="P2199" s="486"/>
      <c r="Q2199" s="247"/>
      <c r="R2199" s="246">
        <f t="shared" si="83"/>
        <v>0</v>
      </c>
      <c r="S2199" s="177"/>
      <c r="T2199" s="182"/>
      <c r="U2199" s="177"/>
      <c r="V2199" s="177"/>
      <c r="W2199" s="177"/>
      <c r="X2199" s="176"/>
      <c r="Y2199" s="177"/>
      <c r="Z2199" s="415"/>
      <c r="AA2199" s="488"/>
      <c r="AB2199" s="594"/>
      <c r="AC2199" s="595"/>
      <c r="AD2199" s="596" t="str">
        <f>IF(AND(AC2199&lt;&gt;"",S2199&lt;&gt;""),NETWORKDAYS(AC2199,S2199,#REF!),"")</f>
        <v/>
      </c>
      <c r="AE2199" s="596" t="str">
        <f ca="1">IF(AND(AD2199="",AC2199=""),"",IF(OR(AD2199&lt;&gt;"",O2199="*CANCELADO"),"",NETWORKDAYS(AC2199,TODAY(),#REF!)))</f>
        <v/>
      </c>
      <c r="AF2199" s="619"/>
    </row>
    <row r="2200" spans="1:32" ht="14.25" customHeight="1">
      <c r="A2200" s="176"/>
      <c r="B2200" s="176"/>
      <c r="C2200" s="177"/>
      <c r="D2200" s="176"/>
      <c r="E2200" s="176"/>
      <c r="F2200" s="259"/>
      <c r="G2200" s="176"/>
      <c r="H2200" s="178"/>
      <c r="I2200" s="592">
        <f t="shared" si="84"/>
        <v>0</v>
      </c>
      <c r="J2200" s="178"/>
      <c r="K2200" s="178"/>
      <c r="L2200" s="275" t="str">
        <f>IF(H:H=0,"",IF(ISERROR(VLOOKUP(H:H,produtos_escape2!$A$2:$B$2794,2,FALSE)),"Código não cadastrado",(VLOOKUP(H:H,produtos_escape2!$A$2:$B$2794,2,FALSE))))</f>
        <v/>
      </c>
      <c r="M2200" s="593" t="str">
        <f>IF(H:H=0,"",IF(ISERROR(VLOOKUP(H:H,produtos_escape2!$A$2:$D$2794,2,FALSE)),"Código não cadastrado",(VLOOKUP(H:H,produtos_escape2!$A$2:$D$2794,4,FALSE))))</f>
        <v/>
      </c>
      <c r="N2200" s="486"/>
      <c r="O2200" s="176"/>
      <c r="P2200" s="486"/>
      <c r="Q2200" s="247"/>
      <c r="R2200" s="246">
        <f t="shared" si="83"/>
        <v>0</v>
      </c>
      <c r="S2200" s="177"/>
      <c r="T2200" s="182"/>
      <c r="U2200" s="177"/>
      <c r="V2200" s="177"/>
      <c r="W2200" s="177"/>
      <c r="X2200" s="176"/>
      <c r="Y2200" s="177"/>
      <c r="Z2200" s="415"/>
      <c r="AA2200" s="488"/>
      <c r="AB2200" s="594"/>
      <c r="AC2200" s="595"/>
      <c r="AD2200" s="596" t="str">
        <f>IF(AND(AC2200&lt;&gt;"",S2200&lt;&gt;""),NETWORKDAYS(AC2200,S2200,#REF!),"")</f>
        <v/>
      </c>
      <c r="AE2200" s="596" t="str">
        <f ca="1">IF(AND(AD2200="",AC2200=""),"",IF(OR(AD2200&lt;&gt;"",O2200="*CANCELADO"),"",NETWORKDAYS(AC2200,TODAY(),#REF!)))</f>
        <v/>
      </c>
      <c r="AF2200" s="619"/>
    </row>
    <row r="2201" spans="1:32" ht="14.25" customHeight="1">
      <c r="A2201" s="176"/>
      <c r="B2201" s="176"/>
      <c r="C2201" s="177"/>
      <c r="D2201" s="176"/>
      <c r="E2201" s="176"/>
      <c r="F2201" s="259"/>
      <c r="G2201" s="176"/>
      <c r="H2201" s="178"/>
      <c r="I2201" s="592">
        <f t="shared" si="84"/>
        <v>0</v>
      </c>
      <c r="J2201" s="178"/>
      <c r="K2201" s="178"/>
      <c r="L2201" s="275" t="str">
        <f>IF(H:H=0,"",IF(ISERROR(VLOOKUP(H:H,produtos_escape2!$A$2:$B$2794,2,FALSE)),"Código não cadastrado",(VLOOKUP(H:H,produtos_escape2!$A$2:$B$2794,2,FALSE))))</f>
        <v/>
      </c>
      <c r="M2201" s="593" t="str">
        <f>IF(H:H=0,"",IF(ISERROR(VLOOKUP(H:H,produtos_escape2!$A$2:$D$2794,2,FALSE)),"Código não cadastrado",(VLOOKUP(H:H,produtos_escape2!$A$2:$D$2794,4,FALSE))))</f>
        <v/>
      </c>
      <c r="N2201" s="486"/>
      <c r="O2201" s="176"/>
      <c r="P2201" s="486"/>
      <c r="Q2201" s="247"/>
      <c r="R2201" s="246">
        <f t="shared" si="83"/>
        <v>0</v>
      </c>
      <c r="S2201" s="177"/>
      <c r="T2201" s="182"/>
      <c r="U2201" s="177"/>
      <c r="V2201" s="177"/>
      <c r="W2201" s="177"/>
      <c r="X2201" s="176"/>
      <c r="Y2201" s="177"/>
      <c r="Z2201" s="415"/>
      <c r="AA2201" s="488"/>
      <c r="AB2201" s="594"/>
      <c r="AC2201" s="595"/>
      <c r="AD2201" s="596" t="str">
        <f>IF(AND(AC2201&lt;&gt;"",S2201&lt;&gt;""),NETWORKDAYS(AC2201,S2201,#REF!),"")</f>
        <v/>
      </c>
      <c r="AE2201" s="596" t="str">
        <f ca="1">IF(AND(AD2201="",AC2201=""),"",IF(OR(AD2201&lt;&gt;"",O2201="*CANCELADO"),"",NETWORKDAYS(AC2201,TODAY(),#REF!)))</f>
        <v/>
      </c>
      <c r="AF2201" s="619"/>
    </row>
    <row r="2202" spans="1:32" ht="14.25" customHeight="1">
      <c r="A2202" s="176"/>
      <c r="B2202" s="176"/>
      <c r="C2202" s="177"/>
      <c r="D2202" s="176"/>
      <c r="E2202" s="176"/>
      <c r="F2202" s="259"/>
      <c r="G2202" s="176"/>
      <c r="H2202" s="178"/>
      <c r="I2202" s="592">
        <f t="shared" si="84"/>
        <v>0</v>
      </c>
      <c r="J2202" s="178"/>
      <c r="K2202" s="178"/>
      <c r="L2202" s="275" t="str">
        <f>IF(H:H=0,"",IF(ISERROR(VLOOKUP(H:H,produtos_escape2!$A$2:$B$2794,2,FALSE)),"Código não cadastrado",(VLOOKUP(H:H,produtos_escape2!$A$2:$B$2794,2,FALSE))))</f>
        <v/>
      </c>
      <c r="M2202" s="593" t="str">
        <f>IF(H:H=0,"",IF(ISERROR(VLOOKUP(H:H,produtos_escape2!$A$2:$D$2794,2,FALSE)),"Código não cadastrado",(VLOOKUP(H:H,produtos_escape2!$A$2:$D$2794,4,FALSE))))</f>
        <v/>
      </c>
      <c r="N2202" s="486"/>
      <c r="O2202" s="176"/>
      <c r="P2202" s="486"/>
      <c r="Q2202" s="247"/>
      <c r="R2202" s="246">
        <f t="shared" si="83"/>
        <v>0</v>
      </c>
      <c r="S2202" s="177"/>
      <c r="T2202" s="182"/>
      <c r="U2202" s="177"/>
      <c r="V2202" s="177"/>
      <c r="W2202" s="177"/>
      <c r="X2202" s="176"/>
      <c r="Y2202" s="177"/>
      <c r="Z2202" s="415"/>
      <c r="AA2202" s="488"/>
      <c r="AB2202" s="594"/>
      <c r="AC2202" s="595"/>
      <c r="AD2202" s="596" t="str">
        <f>IF(AND(AC2202&lt;&gt;"",S2202&lt;&gt;""),NETWORKDAYS(AC2202,S2202,#REF!),"")</f>
        <v/>
      </c>
      <c r="AE2202" s="596" t="str">
        <f ca="1">IF(AND(AD2202="",AC2202=""),"",IF(OR(AD2202&lt;&gt;"",O2202="*CANCELADO"),"",NETWORKDAYS(AC2202,TODAY(),#REF!)))</f>
        <v/>
      </c>
      <c r="AF2202" s="619"/>
    </row>
    <row r="2203" spans="1:32" ht="14.25" customHeight="1">
      <c r="A2203" s="176"/>
      <c r="B2203" s="176"/>
      <c r="C2203" s="177"/>
      <c r="D2203" s="176"/>
      <c r="E2203" s="176"/>
      <c r="F2203" s="259"/>
      <c r="G2203" s="176"/>
      <c r="H2203" s="178"/>
      <c r="I2203" s="592">
        <f t="shared" si="84"/>
        <v>0</v>
      </c>
      <c r="J2203" s="178"/>
      <c r="K2203" s="178"/>
      <c r="L2203" s="275" t="str">
        <f>IF(H:H=0,"",IF(ISERROR(VLOOKUP(H:H,produtos_escape2!$A$2:$B$2794,2,FALSE)),"Código não cadastrado",(VLOOKUP(H:H,produtos_escape2!$A$2:$B$2794,2,FALSE))))</f>
        <v/>
      </c>
      <c r="M2203" s="593" t="str">
        <f>IF(H:H=0,"",IF(ISERROR(VLOOKUP(H:H,produtos_escape2!$A$2:$D$2794,2,FALSE)),"Código não cadastrado",(VLOOKUP(H:H,produtos_escape2!$A$2:$D$2794,4,FALSE))))</f>
        <v/>
      </c>
      <c r="N2203" s="486"/>
      <c r="O2203" s="176"/>
      <c r="P2203" s="486"/>
      <c r="Q2203" s="247"/>
      <c r="R2203" s="246">
        <f t="shared" si="83"/>
        <v>0</v>
      </c>
      <c r="S2203" s="177"/>
      <c r="T2203" s="182"/>
      <c r="U2203" s="177"/>
      <c r="V2203" s="177"/>
      <c r="W2203" s="177"/>
      <c r="X2203" s="176"/>
      <c r="Y2203" s="177"/>
      <c r="Z2203" s="415"/>
      <c r="AA2203" s="488"/>
      <c r="AB2203" s="594"/>
      <c r="AC2203" s="595"/>
      <c r="AD2203" s="596" t="str">
        <f>IF(AND(AC2203&lt;&gt;"",S2203&lt;&gt;""),NETWORKDAYS(AC2203,S2203,#REF!),"")</f>
        <v/>
      </c>
      <c r="AE2203" s="596" t="str">
        <f ca="1">IF(AND(AD2203="",AC2203=""),"",IF(OR(AD2203&lt;&gt;"",O2203="*CANCELADO"),"",NETWORKDAYS(AC2203,TODAY(),#REF!)))</f>
        <v/>
      </c>
      <c r="AF2203" s="619"/>
    </row>
    <row r="2204" spans="1:32" ht="14.25" customHeight="1">
      <c r="A2204" s="176"/>
      <c r="B2204" s="176"/>
      <c r="C2204" s="177"/>
      <c r="D2204" s="176"/>
      <c r="E2204" s="176"/>
      <c r="F2204" s="259"/>
      <c r="G2204" s="176"/>
      <c r="H2204" s="178"/>
      <c r="I2204" s="592">
        <f t="shared" si="84"/>
        <v>0</v>
      </c>
      <c r="J2204" s="178"/>
      <c r="K2204" s="178"/>
      <c r="L2204" s="275" t="str">
        <f>IF(H:H=0,"",IF(ISERROR(VLOOKUP(H:H,produtos_escape2!$A$2:$B$2794,2,FALSE)),"Código não cadastrado",(VLOOKUP(H:H,produtos_escape2!$A$2:$B$2794,2,FALSE))))</f>
        <v/>
      </c>
      <c r="M2204" s="593" t="str">
        <f>IF(H:H=0,"",IF(ISERROR(VLOOKUP(H:H,produtos_escape2!$A$2:$D$2794,2,FALSE)),"Código não cadastrado",(VLOOKUP(H:H,produtos_escape2!$A$2:$D$2794,4,FALSE))))</f>
        <v/>
      </c>
      <c r="N2204" s="486"/>
      <c r="O2204" s="176"/>
      <c r="P2204" s="486"/>
      <c r="Q2204" s="247"/>
      <c r="R2204" s="246">
        <f t="shared" si="83"/>
        <v>0</v>
      </c>
      <c r="S2204" s="177"/>
      <c r="T2204" s="182"/>
      <c r="U2204" s="177"/>
      <c r="V2204" s="177"/>
      <c r="W2204" s="177"/>
      <c r="X2204" s="176"/>
      <c r="Y2204" s="177"/>
      <c r="Z2204" s="415"/>
      <c r="AA2204" s="488"/>
      <c r="AB2204" s="594"/>
      <c r="AC2204" s="595"/>
      <c r="AD2204" s="596" t="str">
        <f>IF(AND(AC2204&lt;&gt;"",S2204&lt;&gt;""),NETWORKDAYS(AC2204,S2204,#REF!),"")</f>
        <v/>
      </c>
      <c r="AE2204" s="596" t="str">
        <f ca="1">IF(AND(AD2204="",AC2204=""),"",IF(OR(AD2204&lt;&gt;"",O2204="*CANCELADO"),"",NETWORKDAYS(AC2204,TODAY(),#REF!)))</f>
        <v/>
      </c>
      <c r="AF2204" s="619"/>
    </row>
    <row r="2205" spans="1:32" ht="14.25" customHeight="1">
      <c r="A2205" s="176"/>
      <c r="B2205" s="176"/>
      <c r="C2205" s="177"/>
      <c r="D2205" s="176"/>
      <c r="E2205" s="176"/>
      <c r="F2205" s="259"/>
      <c r="G2205" s="176"/>
      <c r="H2205" s="178"/>
      <c r="I2205" s="592">
        <f t="shared" si="84"/>
        <v>0</v>
      </c>
      <c r="J2205" s="178"/>
      <c r="K2205" s="178"/>
      <c r="L2205" s="275" t="str">
        <f>IF(H:H=0,"",IF(ISERROR(VLOOKUP(H:H,produtos_escape2!$A$2:$B$2794,2,FALSE)),"Código não cadastrado",(VLOOKUP(H:H,produtos_escape2!$A$2:$B$2794,2,FALSE))))</f>
        <v/>
      </c>
      <c r="M2205" s="593" t="str">
        <f>IF(H:H=0,"",IF(ISERROR(VLOOKUP(H:H,produtos_escape2!$A$2:$D$2794,2,FALSE)),"Código não cadastrado",(VLOOKUP(H:H,produtos_escape2!$A$2:$D$2794,4,FALSE))))</f>
        <v/>
      </c>
      <c r="N2205" s="486"/>
      <c r="O2205" s="176"/>
      <c r="P2205" s="486"/>
      <c r="Q2205" s="247"/>
      <c r="R2205" s="246">
        <f t="shared" si="83"/>
        <v>0</v>
      </c>
      <c r="S2205" s="177"/>
      <c r="T2205" s="182"/>
      <c r="U2205" s="177"/>
      <c r="V2205" s="177"/>
      <c r="W2205" s="177"/>
      <c r="X2205" s="176"/>
      <c r="Y2205" s="177"/>
      <c r="Z2205" s="415"/>
      <c r="AA2205" s="488"/>
      <c r="AB2205" s="594"/>
      <c r="AC2205" s="595"/>
      <c r="AD2205" s="596" t="str">
        <f>IF(AND(AC2205&lt;&gt;"",S2205&lt;&gt;""),NETWORKDAYS(AC2205,S2205,#REF!),"")</f>
        <v/>
      </c>
      <c r="AE2205" s="596" t="str">
        <f ca="1">IF(AND(AD2205="",AC2205=""),"",IF(OR(AD2205&lt;&gt;"",O2205="*CANCELADO"),"",NETWORKDAYS(AC2205,TODAY(),#REF!)))</f>
        <v/>
      </c>
      <c r="AF2205" s="619"/>
    </row>
    <row r="2206" spans="1:32" ht="14.25" customHeight="1">
      <c r="A2206" s="176"/>
      <c r="B2206" s="176"/>
      <c r="C2206" s="177"/>
      <c r="D2206" s="176"/>
      <c r="E2206" s="176"/>
      <c r="F2206" s="259"/>
      <c r="G2206" s="176"/>
      <c r="H2206" s="178"/>
      <c r="I2206" s="592">
        <f t="shared" si="84"/>
        <v>0</v>
      </c>
      <c r="J2206" s="178"/>
      <c r="K2206" s="178"/>
      <c r="L2206" s="275" t="str">
        <f>IF(H:H=0,"",IF(ISERROR(VLOOKUP(H:H,produtos_escape2!$A$2:$B$2794,2,FALSE)),"Código não cadastrado",(VLOOKUP(H:H,produtos_escape2!$A$2:$B$2794,2,FALSE))))</f>
        <v/>
      </c>
      <c r="M2206" s="593" t="str">
        <f>IF(H:H=0,"",IF(ISERROR(VLOOKUP(H:H,produtos_escape2!$A$2:$D$2794,2,FALSE)),"Código não cadastrado",(VLOOKUP(H:H,produtos_escape2!$A$2:$D$2794,4,FALSE))))</f>
        <v/>
      </c>
      <c r="N2206" s="486"/>
      <c r="O2206" s="176"/>
      <c r="P2206" s="486"/>
      <c r="Q2206" s="247"/>
      <c r="R2206" s="246">
        <f t="shared" si="83"/>
        <v>0</v>
      </c>
      <c r="S2206" s="177"/>
      <c r="T2206" s="182"/>
      <c r="U2206" s="177"/>
      <c r="V2206" s="177"/>
      <c r="W2206" s="177"/>
      <c r="X2206" s="176"/>
      <c r="Y2206" s="177"/>
      <c r="Z2206" s="415"/>
      <c r="AA2206" s="488"/>
      <c r="AB2206" s="594"/>
      <c r="AC2206" s="595"/>
      <c r="AD2206" s="596" t="str">
        <f>IF(AND(AC2206&lt;&gt;"",S2206&lt;&gt;""),NETWORKDAYS(AC2206,S2206,#REF!),"")</f>
        <v/>
      </c>
      <c r="AE2206" s="596" t="str">
        <f ca="1">IF(AND(AD2206="",AC2206=""),"",IF(OR(AD2206&lt;&gt;"",O2206="*CANCELADO"),"",NETWORKDAYS(AC2206,TODAY(),#REF!)))</f>
        <v/>
      </c>
      <c r="AF2206" s="619"/>
    </row>
    <row r="2207" spans="1:32" ht="14.25" customHeight="1">
      <c r="A2207" s="176"/>
      <c r="B2207" s="176"/>
      <c r="C2207" s="177"/>
      <c r="D2207" s="176"/>
      <c r="E2207" s="176"/>
      <c r="F2207" s="259"/>
      <c r="G2207" s="176"/>
      <c r="H2207" s="178"/>
      <c r="I2207" s="592">
        <f t="shared" si="84"/>
        <v>0</v>
      </c>
      <c r="J2207" s="178"/>
      <c r="K2207" s="178"/>
      <c r="L2207" s="275" t="str">
        <f>IF(H:H=0,"",IF(ISERROR(VLOOKUP(H:H,produtos_escape2!$A$2:$B$2794,2,FALSE)),"Código não cadastrado",(VLOOKUP(H:H,produtos_escape2!$A$2:$B$2794,2,FALSE))))</f>
        <v/>
      </c>
      <c r="M2207" s="593" t="str">
        <f>IF(H:H=0,"",IF(ISERROR(VLOOKUP(H:H,produtos_escape2!$A$2:$D$2794,2,FALSE)),"Código não cadastrado",(VLOOKUP(H:H,produtos_escape2!$A$2:$D$2794,4,FALSE))))</f>
        <v/>
      </c>
      <c r="N2207" s="486"/>
      <c r="O2207" s="176"/>
      <c r="P2207" s="486"/>
      <c r="Q2207" s="247"/>
      <c r="R2207" s="246">
        <f t="shared" si="83"/>
        <v>0</v>
      </c>
      <c r="S2207" s="177"/>
      <c r="T2207" s="182"/>
      <c r="U2207" s="177"/>
      <c r="V2207" s="177"/>
      <c r="W2207" s="177"/>
      <c r="X2207" s="176"/>
      <c r="Y2207" s="177"/>
      <c r="Z2207" s="415"/>
      <c r="AA2207" s="488"/>
      <c r="AB2207" s="594"/>
      <c r="AC2207" s="595"/>
      <c r="AD2207" s="596" t="str">
        <f>IF(AND(AC2207&lt;&gt;"",S2207&lt;&gt;""),NETWORKDAYS(AC2207,S2207,#REF!),"")</f>
        <v/>
      </c>
      <c r="AE2207" s="596" t="str">
        <f ca="1">IF(AND(AD2207="",AC2207=""),"",IF(OR(AD2207&lt;&gt;"",O2207="*CANCELADO"),"",NETWORKDAYS(AC2207,TODAY(),#REF!)))</f>
        <v/>
      </c>
      <c r="AF2207" s="619"/>
    </row>
    <row r="2208" spans="1:32" ht="14.25" customHeight="1">
      <c r="A2208" s="176"/>
      <c r="B2208" s="176"/>
      <c r="C2208" s="177"/>
      <c r="D2208" s="176"/>
      <c r="E2208" s="176"/>
      <c r="F2208" s="259"/>
      <c r="G2208" s="176"/>
      <c r="H2208" s="178"/>
      <c r="I2208" s="592">
        <f t="shared" si="84"/>
        <v>0</v>
      </c>
      <c r="J2208" s="178"/>
      <c r="K2208" s="178"/>
      <c r="L2208" s="275" t="str">
        <f>IF(H:H=0,"",IF(ISERROR(VLOOKUP(H:H,produtos_escape2!$A$2:$B$2794,2,FALSE)),"Código não cadastrado",(VLOOKUP(H:H,produtos_escape2!$A$2:$B$2794,2,FALSE))))</f>
        <v/>
      </c>
      <c r="M2208" s="593" t="str">
        <f>IF(H:H=0,"",IF(ISERROR(VLOOKUP(H:H,produtos_escape2!$A$2:$D$2794,2,FALSE)),"Código não cadastrado",(VLOOKUP(H:H,produtos_escape2!$A$2:$D$2794,4,FALSE))))</f>
        <v/>
      </c>
      <c r="N2208" s="486"/>
      <c r="O2208" s="176"/>
      <c r="P2208" s="486"/>
      <c r="Q2208" s="247"/>
      <c r="R2208" s="246">
        <f t="shared" si="83"/>
        <v>0</v>
      </c>
      <c r="S2208" s="177"/>
      <c r="T2208" s="182"/>
      <c r="U2208" s="177"/>
      <c r="V2208" s="177"/>
      <c r="W2208" s="177"/>
      <c r="X2208" s="176"/>
      <c r="Y2208" s="177"/>
      <c r="Z2208" s="415"/>
      <c r="AA2208" s="488"/>
      <c r="AB2208" s="594"/>
      <c r="AC2208" s="595"/>
      <c r="AD2208" s="596" t="str">
        <f>IF(AND(AC2208&lt;&gt;"",S2208&lt;&gt;""),NETWORKDAYS(AC2208,S2208,#REF!),"")</f>
        <v/>
      </c>
      <c r="AE2208" s="596" t="str">
        <f ca="1">IF(AND(AD2208="",AC2208=""),"",IF(OR(AD2208&lt;&gt;"",O2208="*CANCELADO"),"",NETWORKDAYS(AC2208,TODAY(),#REF!)))</f>
        <v/>
      </c>
      <c r="AF2208" s="619"/>
    </row>
    <row r="2209" spans="1:32" ht="14.25" customHeight="1">
      <c r="A2209" s="176"/>
      <c r="B2209" s="176"/>
      <c r="C2209" s="177"/>
      <c r="D2209" s="176"/>
      <c r="E2209" s="176"/>
      <c r="F2209" s="259"/>
      <c r="G2209" s="176"/>
      <c r="H2209" s="178"/>
      <c r="I2209" s="592">
        <f t="shared" si="84"/>
        <v>0</v>
      </c>
      <c r="J2209" s="178"/>
      <c r="K2209" s="178"/>
      <c r="L2209" s="275" t="str">
        <f>IF(H:H=0,"",IF(ISERROR(VLOOKUP(H:H,produtos_escape2!$A$2:$B$2794,2,FALSE)),"Código não cadastrado",(VLOOKUP(H:H,produtos_escape2!$A$2:$B$2794,2,FALSE))))</f>
        <v/>
      </c>
      <c r="M2209" s="593" t="str">
        <f>IF(H:H=0,"",IF(ISERROR(VLOOKUP(H:H,produtos_escape2!$A$2:$D$2794,2,FALSE)),"Código não cadastrado",(VLOOKUP(H:H,produtos_escape2!$A$2:$D$2794,4,FALSE))))</f>
        <v/>
      </c>
      <c r="N2209" s="486"/>
      <c r="O2209" s="176"/>
      <c r="P2209" s="486"/>
      <c r="Q2209" s="247"/>
      <c r="R2209" s="246">
        <f t="shared" si="83"/>
        <v>0</v>
      </c>
      <c r="S2209" s="177"/>
      <c r="T2209" s="182"/>
      <c r="U2209" s="177"/>
      <c r="V2209" s="177"/>
      <c r="W2209" s="177"/>
      <c r="X2209" s="176"/>
      <c r="Y2209" s="177"/>
      <c r="Z2209" s="415"/>
      <c r="AA2209" s="488"/>
      <c r="AB2209" s="594"/>
      <c r="AC2209" s="595"/>
      <c r="AD2209" s="596" t="str">
        <f>IF(AND(AC2209&lt;&gt;"",S2209&lt;&gt;""),NETWORKDAYS(AC2209,S2209,#REF!),"")</f>
        <v/>
      </c>
      <c r="AE2209" s="596" t="str">
        <f ca="1">IF(AND(AD2209="",AC2209=""),"",IF(OR(AD2209&lt;&gt;"",O2209="*CANCELADO"),"",NETWORKDAYS(AC2209,TODAY(),#REF!)))</f>
        <v/>
      </c>
      <c r="AF2209" s="619"/>
    </row>
    <row r="2210" spans="1:32" ht="14.25" customHeight="1">
      <c r="A2210" s="176"/>
      <c r="B2210" s="176"/>
      <c r="C2210" s="177"/>
      <c r="D2210" s="176"/>
      <c r="E2210" s="176"/>
      <c r="F2210" s="259"/>
      <c r="G2210" s="176"/>
      <c r="H2210" s="178"/>
      <c r="I2210" s="592">
        <f t="shared" si="84"/>
        <v>0</v>
      </c>
      <c r="J2210" s="178"/>
      <c r="K2210" s="178"/>
      <c r="L2210" s="275" t="str">
        <f>IF(H:H=0,"",IF(ISERROR(VLOOKUP(H:H,produtos_escape2!$A$2:$B$2794,2,FALSE)),"Código não cadastrado",(VLOOKUP(H:H,produtos_escape2!$A$2:$B$2794,2,FALSE))))</f>
        <v/>
      </c>
      <c r="M2210" s="593" t="str">
        <f>IF(H:H=0,"",IF(ISERROR(VLOOKUP(H:H,produtos_escape2!$A$2:$D$2794,2,FALSE)),"Código não cadastrado",(VLOOKUP(H:H,produtos_escape2!$A$2:$D$2794,4,FALSE))))</f>
        <v/>
      </c>
      <c r="N2210" s="486"/>
      <c r="O2210" s="176"/>
      <c r="P2210" s="486"/>
      <c r="Q2210" s="247"/>
      <c r="R2210" s="246">
        <f t="shared" si="83"/>
        <v>0</v>
      </c>
      <c r="S2210" s="177"/>
      <c r="T2210" s="182"/>
      <c r="U2210" s="177"/>
      <c r="V2210" s="177"/>
      <c r="W2210" s="177"/>
      <c r="X2210" s="176"/>
      <c r="Y2210" s="177"/>
      <c r="Z2210" s="415"/>
      <c r="AA2210" s="488"/>
      <c r="AB2210" s="594"/>
      <c r="AC2210" s="595"/>
      <c r="AD2210" s="596" t="str">
        <f>IF(AND(AC2210&lt;&gt;"",S2210&lt;&gt;""),NETWORKDAYS(AC2210,S2210,#REF!),"")</f>
        <v/>
      </c>
      <c r="AE2210" s="596" t="str">
        <f ca="1">IF(AND(AD2210="",AC2210=""),"",IF(OR(AD2210&lt;&gt;"",O2210="*CANCELADO"),"",NETWORKDAYS(AC2210,TODAY(),#REF!)))</f>
        <v/>
      </c>
      <c r="AF2210" s="619"/>
    </row>
    <row r="2211" spans="1:32" ht="14.25" customHeight="1">
      <c r="A2211" s="176"/>
      <c r="B2211" s="176"/>
      <c r="C2211" s="177"/>
      <c r="D2211" s="176"/>
      <c r="E2211" s="176"/>
      <c r="F2211" s="259"/>
      <c r="G2211" s="176"/>
      <c r="H2211" s="178"/>
      <c r="I2211" s="592">
        <f t="shared" si="84"/>
        <v>0</v>
      </c>
      <c r="J2211" s="178"/>
      <c r="K2211" s="178"/>
      <c r="L2211" s="275" t="str">
        <f>IF(H:H=0,"",IF(ISERROR(VLOOKUP(H:H,produtos_escape2!$A$2:$B$2794,2,FALSE)),"Código não cadastrado",(VLOOKUP(H:H,produtos_escape2!$A$2:$B$2794,2,FALSE))))</f>
        <v/>
      </c>
      <c r="M2211" s="593" t="str">
        <f>IF(H:H=0,"",IF(ISERROR(VLOOKUP(H:H,produtos_escape2!$A$2:$D$2794,2,FALSE)),"Código não cadastrado",(VLOOKUP(H:H,produtos_escape2!$A$2:$D$2794,4,FALSE))))</f>
        <v/>
      </c>
      <c r="N2211" s="486"/>
      <c r="O2211" s="176"/>
      <c r="P2211" s="486"/>
      <c r="Q2211" s="247"/>
      <c r="R2211" s="246">
        <f t="shared" si="83"/>
        <v>0</v>
      </c>
      <c r="S2211" s="177"/>
      <c r="T2211" s="182"/>
      <c r="U2211" s="177"/>
      <c r="V2211" s="177"/>
      <c r="W2211" s="177"/>
      <c r="X2211" s="176"/>
      <c r="Y2211" s="177"/>
      <c r="Z2211" s="415"/>
      <c r="AA2211" s="488"/>
      <c r="AB2211" s="594"/>
      <c r="AC2211" s="595"/>
      <c r="AD2211" s="596" t="str">
        <f>IF(AND(AC2211&lt;&gt;"",S2211&lt;&gt;""),NETWORKDAYS(AC2211,S2211,#REF!),"")</f>
        <v/>
      </c>
      <c r="AE2211" s="596" t="str">
        <f ca="1">IF(AND(AD2211="",AC2211=""),"",IF(OR(AD2211&lt;&gt;"",O2211="*CANCELADO"),"",NETWORKDAYS(AC2211,TODAY(),#REF!)))</f>
        <v/>
      </c>
      <c r="AF2211" s="619"/>
    </row>
    <row r="2212" spans="1:32" ht="14.25" customHeight="1">
      <c r="A2212" s="176"/>
      <c r="B2212" s="176"/>
      <c r="C2212" s="177"/>
      <c r="D2212" s="176"/>
      <c r="E2212" s="176"/>
      <c r="F2212" s="259"/>
      <c r="G2212" s="176"/>
      <c r="H2212" s="178"/>
      <c r="I2212" s="592">
        <f t="shared" si="84"/>
        <v>0</v>
      </c>
      <c r="J2212" s="178"/>
      <c r="K2212" s="178"/>
      <c r="L2212" s="275" t="str">
        <f>IF(H:H=0,"",IF(ISERROR(VLOOKUP(H:H,produtos_escape2!$A$2:$B$2794,2,FALSE)),"Código não cadastrado",(VLOOKUP(H:H,produtos_escape2!$A$2:$B$2794,2,FALSE))))</f>
        <v/>
      </c>
      <c r="M2212" s="593" t="str">
        <f>IF(H:H=0,"",IF(ISERROR(VLOOKUP(H:H,produtos_escape2!$A$2:$D$2794,2,FALSE)),"Código não cadastrado",(VLOOKUP(H:H,produtos_escape2!$A$2:$D$2794,4,FALSE))))</f>
        <v/>
      </c>
      <c r="N2212" s="486"/>
      <c r="O2212" s="176"/>
      <c r="P2212" s="486"/>
      <c r="Q2212" s="247"/>
      <c r="R2212" s="246">
        <f t="shared" si="83"/>
        <v>0</v>
      </c>
      <c r="S2212" s="177"/>
      <c r="T2212" s="182"/>
      <c r="U2212" s="177"/>
      <c r="V2212" s="177"/>
      <c r="W2212" s="177"/>
      <c r="X2212" s="176"/>
      <c r="Y2212" s="177"/>
      <c r="Z2212" s="415"/>
      <c r="AA2212" s="488"/>
      <c r="AB2212" s="594"/>
      <c r="AC2212" s="595"/>
      <c r="AD2212" s="596" t="str">
        <f>IF(AND(AC2212&lt;&gt;"",S2212&lt;&gt;""),NETWORKDAYS(AC2212,S2212,#REF!),"")</f>
        <v/>
      </c>
      <c r="AE2212" s="596" t="str">
        <f ca="1">IF(AND(AD2212="",AC2212=""),"",IF(OR(AD2212&lt;&gt;"",O2212="*CANCELADO"),"",NETWORKDAYS(AC2212,TODAY(),#REF!)))</f>
        <v/>
      </c>
      <c r="AF2212" s="619"/>
    </row>
    <row r="2213" spans="1:32" ht="14.25" customHeight="1">
      <c r="A2213" s="176"/>
      <c r="B2213" s="176"/>
      <c r="C2213" s="177"/>
      <c r="D2213" s="176"/>
      <c r="E2213" s="176"/>
      <c r="F2213" s="259"/>
      <c r="G2213" s="176"/>
      <c r="H2213" s="178"/>
      <c r="I2213" s="592">
        <f t="shared" si="84"/>
        <v>0</v>
      </c>
      <c r="J2213" s="178"/>
      <c r="K2213" s="178"/>
      <c r="L2213" s="275" t="str">
        <f>IF(H:H=0,"",IF(ISERROR(VLOOKUP(H:H,produtos_escape2!$A$2:$B$2794,2,FALSE)),"Código não cadastrado",(VLOOKUP(H:H,produtos_escape2!$A$2:$B$2794,2,FALSE))))</f>
        <v/>
      </c>
      <c r="M2213" s="593" t="str">
        <f>IF(H:H=0,"",IF(ISERROR(VLOOKUP(H:H,produtos_escape2!$A$2:$D$2794,2,FALSE)),"Código não cadastrado",(VLOOKUP(H:H,produtos_escape2!$A$2:$D$2794,4,FALSE))))</f>
        <v/>
      </c>
      <c r="N2213" s="486"/>
      <c r="O2213" s="176"/>
      <c r="P2213" s="486"/>
      <c r="Q2213" s="247"/>
      <c r="R2213" s="246">
        <f t="shared" si="83"/>
        <v>0</v>
      </c>
      <c r="S2213" s="177"/>
      <c r="T2213" s="182"/>
      <c r="U2213" s="177"/>
      <c r="V2213" s="177"/>
      <c r="W2213" s="177"/>
      <c r="X2213" s="176"/>
      <c r="Y2213" s="177"/>
      <c r="Z2213" s="415"/>
      <c r="AA2213" s="488"/>
      <c r="AB2213" s="594"/>
      <c r="AC2213" s="595"/>
      <c r="AD2213" s="596" t="str">
        <f>IF(AND(AC2213&lt;&gt;"",S2213&lt;&gt;""),NETWORKDAYS(AC2213,S2213,#REF!),"")</f>
        <v/>
      </c>
      <c r="AE2213" s="596" t="str">
        <f ca="1">IF(AND(AD2213="",AC2213=""),"",IF(OR(AD2213&lt;&gt;"",O2213="*CANCELADO"),"",NETWORKDAYS(AC2213,TODAY(),#REF!)))</f>
        <v/>
      </c>
      <c r="AF2213" s="619"/>
    </row>
    <row r="2214" spans="1:32" ht="14.25" customHeight="1">
      <c r="A2214" s="176"/>
      <c r="B2214" s="176"/>
      <c r="C2214" s="177"/>
      <c r="D2214" s="176"/>
      <c r="E2214" s="176"/>
      <c r="F2214" s="259"/>
      <c r="G2214" s="176"/>
      <c r="H2214" s="178"/>
      <c r="I2214" s="592">
        <f t="shared" si="84"/>
        <v>0</v>
      </c>
      <c r="J2214" s="178"/>
      <c r="K2214" s="178"/>
      <c r="L2214" s="275" t="str">
        <f>IF(H:H=0,"",IF(ISERROR(VLOOKUP(H:H,produtos_escape2!$A$2:$B$2794,2,FALSE)),"Código não cadastrado",(VLOOKUP(H:H,produtos_escape2!$A$2:$B$2794,2,FALSE))))</f>
        <v/>
      </c>
      <c r="M2214" s="593" t="str">
        <f>IF(H:H=0,"",IF(ISERROR(VLOOKUP(H:H,produtos_escape2!$A$2:$D$2794,2,FALSE)),"Código não cadastrado",(VLOOKUP(H:H,produtos_escape2!$A$2:$D$2794,4,FALSE))))</f>
        <v/>
      </c>
      <c r="N2214" s="486"/>
      <c r="O2214" s="176"/>
      <c r="P2214" s="486"/>
      <c r="Q2214" s="247"/>
      <c r="R2214" s="246">
        <f t="shared" si="83"/>
        <v>0</v>
      </c>
      <c r="S2214" s="177"/>
      <c r="T2214" s="182"/>
      <c r="U2214" s="177"/>
      <c r="V2214" s="177"/>
      <c r="W2214" s="177"/>
      <c r="X2214" s="176"/>
      <c r="Y2214" s="177"/>
      <c r="Z2214" s="415"/>
      <c r="AA2214" s="488"/>
      <c r="AB2214" s="594"/>
      <c r="AC2214" s="595"/>
      <c r="AD2214" s="596" t="str">
        <f>IF(AND(AC2214&lt;&gt;"",S2214&lt;&gt;""),NETWORKDAYS(AC2214,S2214,#REF!),"")</f>
        <v/>
      </c>
      <c r="AE2214" s="596" t="str">
        <f ca="1">IF(AND(AD2214="",AC2214=""),"",IF(OR(AD2214&lt;&gt;"",O2214="*CANCELADO"),"",NETWORKDAYS(AC2214,TODAY(),#REF!)))</f>
        <v/>
      </c>
      <c r="AF2214" s="619"/>
    </row>
    <row r="2215" spans="1:32" ht="14.25" customHeight="1">
      <c r="A2215" s="176"/>
      <c r="B2215" s="176"/>
      <c r="C2215" s="177"/>
      <c r="D2215" s="176"/>
      <c r="E2215" s="176"/>
      <c r="F2215" s="259"/>
      <c r="G2215" s="176"/>
      <c r="H2215" s="178"/>
      <c r="I2215" s="592">
        <f t="shared" si="84"/>
        <v>0</v>
      </c>
      <c r="J2215" s="178"/>
      <c r="K2215" s="178"/>
      <c r="L2215" s="275" t="str">
        <f>IF(H:H=0,"",IF(ISERROR(VLOOKUP(H:H,produtos_escape2!$A$2:$B$2794,2,FALSE)),"Código não cadastrado",(VLOOKUP(H:H,produtos_escape2!$A$2:$B$2794,2,FALSE))))</f>
        <v/>
      </c>
      <c r="M2215" s="593" t="str">
        <f>IF(H:H=0,"",IF(ISERROR(VLOOKUP(H:H,produtos_escape2!$A$2:$D$2794,2,FALSE)),"Código não cadastrado",(VLOOKUP(H:H,produtos_escape2!$A$2:$D$2794,4,FALSE))))</f>
        <v/>
      </c>
      <c r="N2215" s="486"/>
      <c r="O2215" s="176"/>
      <c r="P2215" s="486"/>
      <c r="Q2215" s="247"/>
      <c r="R2215" s="246">
        <f t="shared" si="83"/>
        <v>0</v>
      </c>
      <c r="S2215" s="177"/>
      <c r="T2215" s="182"/>
      <c r="U2215" s="177"/>
      <c r="V2215" s="177"/>
      <c r="W2215" s="177"/>
      <c r="X2215" s="176"/>
      <c r="Y2215" s="177"/>
      <c r="Z2215" s="415"/>
      <c r="AA2215" s="488"/>
      <c r="AB2215" s="594"/>
      <c r="AC2215" s="595"/>
      <c r="AD2215" s="596" t="str">
        <f>IF(AND(AC2215&lt;&gt;"",S2215&lt;&gt;""),NETWORKDAYS(AC2215,S2215,#REF!),"")</f>
        <v/>
      </c>
      <c r="AE2215" s="596" t="str">
        <f ca="1">IF(AND(AD2215="",AC2215=""),"",IF(OR(AD2215&lt;&gt;"",O2215="*CANCELADO"),"",NETWORKDAYS(AC2215,TODAY(),#REF!)))</f>
        <v/>
      </c>
      <c r="AF2215" s="619"/>
    </row>
    <row r="2216" spans="1:32" ht="14.25" customHeight="1">
      <c r="A2216" s="176"/>
      <c r="B2216" s="176"/>
      <c r="C2216" s="177"/>
      <c r="D2216" s="176"/>
      <c r="E2216" s="176"/>
      <c r="F2216" s="259"/>
      <c r="G2216" s="176"/>
      <c r="H2216" s="178"/>
      <c r="I2216" s="592">
        <f t="shared" si="84"/>
        <v>0</v>
      </c>
      <c r="J2216" s="178"/>
      <c r="K2216" s="178"/>
      <c r="L2216" s="275" t="str">
        <f>IF(H:H=0,"",IF(ISERROR(VLOOKUP(H:H,produtos_escape2!$A$2:$B$2794,2,FALSE)),"Código não cadastrado",(VLOOKUP(H:H,produtos_escape2!$A$2:$B$2794,2,FALSE))))</f>
        <v/>
      </c>
      <c r="M2216" s="593" t="str">
        <f>IF(H:H=0,"",IF(ISERROR(VLOOKUP(H:H,produtos_escape2!$A$2:$D$2794,2,FALSE)),"Código não cadastrado",(VLOOKUP(H:H,produtos_escape2!$A$2:$D$2794,4,FALSE))))</f>
        <v/>
      </c>
      <c r="N2216" s="486"/>
      <c r="O2216" s="176"/>
      <c r="P2216" s="486"/>
      <c r="Q2216" s="247"/>
      <c r="R2216" s="246">
        <f t="shared" si="83"/>
        <v>0</v>
      </c>
      <c r="S2216" s="177"/>
      <c r="T2216" s="182"/>
      <c r="U2216" s="177"/>
      <c r="V2216" s="177"/>
      <c r="W2216" s="177"/>
      <c r="X2216" s="176"/>
      <c r="Y2216" s="177"/>
      <c r="Z2216" s="415"/>
      <c r="AA2216" s="488"/>
      <c r="AB2216" s="594"/>
      <c r="AC2216" s="595"/>
      <c r="AD2216" s="596" t="str">
        <f>IF(AND(AC2216&lt;&gt;"",S2216&lt;&gt;""),NETWORKDAYS(AC2216,S2216,#REF!),"")</f>
        <v/>
      </c>
      <c r="AE2216" s="596" t="str">
        <f ca="1">IF(AND(AD2216="",AC2216=""),"",IF(OR(AD2216&lt;&gt;"",O2216="*CANCELADO"),"",NETWORKDAYS(AC2216,TODAY(),#REF!)))</f>
        <v/>
      </c>
      <c r="AF2216" s="619"/>
    </row>
    <row r="2217" spans="1:32" ht="14.25" customHeight="1">
      <c r="A2217" s="176"/>
      <c r="B2217" s="176"/>
      <c r="C2217" s="177"/>
      <c r="D2217" s="176"/>
      <c r="E2217" s="176"/>
      <c r="F2217" s="259"/>
      <c r="G2217" s="176"/>
      <c r="H2217" s="178"/>
      <c r="I2217" s="592">
        <f t="shared" si="84"/>
        <v>0</v>
      </c>
      <c r="J2217" s="178"/>
      <c r="K2217" s="178"/>
      <c r="L2217" s="275" t="str">
        <f>IF(H:H=0,"",IF(ISERROR(VLOOKUP(H:H,produtos_escape2!$A$2:$B$2794,2,FALSE)),"Código não cadastrado",(VLOOKUP(H:H,produtos_escape2!$A$2:$B$2794,2,FALSE))))</f>
        <v/>
      </c>
      <c r="M2217" s="593" t="str">
        <f>IF(H:H=0,"",IF(ISERROR(VLOOKUP(H:H,produtos_escape2!$A$2:$D$2794,2,FALSE)),"Código não cadastrado",(VLOOKUP(H:H,produtos_escape2!$A$2:$D$2794,4,FALSE))))</f>
        <v/>
      </c>
      <c r="N2217" s="486"/>
      <c r="O2217" s="176"/>
      <c r="P2217" s="486"/>
      <c r="Q2217" s="247"/>
      <c r="R2217" s="246">
        <f t="shared" si="83"/>
        <v>0</v>
      </c>
      <c r="S2217" s="177"/>
      <c r="T2217" s="182"/>
      <c r="U2217" s="177"/>
      <c r="V2217" s="177"/>
      <c r="W2217" s="177"/>
      <c r="X2217" s="176"/>
      <c r="Y2217" s="177"/>
      <c r="Z2217" s="415"/>
      <c r="AA2217" s="488"/>
      <c r="AB2217" s="594"/>
      <c r="AC2217" s="595"/>
      <c r="AD2217" s="596" t="str">
        <f>IF(AND(AC2217&lt;&gt;"",S2217&lt;&gt;""),NETWORKDAYS(AC2217,S2217,#REF!),"")</f>
        <v/>
      </c>
      <c r="AE2217" s="596" t="str">
        <f ca="1">IF(AND(AD2217="",AC2217=""),"",IF(OR(AD2217&lt;&gt;"",O2217="*CANCELADO"),"",NETWORKDAYS(AC2217,TODAY(),#REF!)))</f>
        <v/>
      </c>
      <c r="AF2217" s="619"/>
    </row>
    <row r="2218" spans="1:32" ht="14.25" customHeight="1">
      <c r="A2218" s="176"/>
      <c r="B2218" s="176"/>
      <c r="C2218" s="177"/>
      <c r="D2218" s="176"/>
      <c r="E2218" s="176"/>
      <c r="F2218" s="259"/>
      <c r="G2218" s="176"/>
      <c r="H2218" s="178"/>
      <c r="I2218" s="592">
        <f t="shared" si="84"/>
        <v>0</v>
      </c>
      <c r="J2218" s="178"/>
      <c r="K2218" s="178"/>
      <c r="L2218" s="275" t="str">
        <f>IF(H:H=0,"",IF(ISERROR(VLOOKUP(H:H,produtos_escape2!$A$2:$B$2794,2,FALSE)),"Código não cadastrado",(VLOOKUP(H:H,produtos_escape2!$A$2:$B$2794,2,FALSE))))</f>
        <v/>
      </c>
      <c r="M2218" s="593" t="str">
        <f>IF(H:H=0,"",IF(ISERROR(VLOOKUP(H:H,produtos_escape2!$A$2:$D$2794,2,FALSE)),"Código não cadastrado",(VLOOKUP(H:H,produtos_escape2!$A$2:$D$2794,4,FALSE))))</f>
        <v/>
      </c>
      <c r="N2218" s="486"/>
      <c r="O2218" s="176"/>
      <c r="P2218" s="486"/>
      <c r="Q2218" s="247"/>
      <c r="R2218" s="246">
        <f t="shared" si="83"/>
        <v>0</v>
      </c>
      <c r="S2218" s="177"/>
      <c r="T2218" s="182"/>
      <c r="U2218" s="177"/>
      <c r="V2218" s="177"/>
      <c r="W2218" s="177"/>
      <c r="X2218" s="176"/>
      <c r="Y2218" s="177"/>
      <c r="Z2218" s="415"/>
      <c r="AA2218" s="488"/>
      <c r="AB2218" s="594"/>
      <c r="AC2218" s="595"/>
      <c r="AD2218" s="596" t="str">
        <f>IF(AND(AC2218&lt;&gt;"",S2218&lt;&gt;""),NETWORKDAYS(AC2218,S2218,#REF!),"")</f>
        <v/>
      </c>
      <c r="AE2218" s="596" t="str">
        <f ca="1">IF(AND(AD2218="",AC2218=""),"",IF(OR(AD2218&lt;&gt;"",O2218="*CANCELADO"),"",NETWORKDAYS(AC2218,TODAY(),#REF!)))</f>
        <v/>
      </c>
      <c r="AF2218" s="619"/>
    </row>
    <row r="2219" spans="1:32" ht="14.25" customHeight="1">
      <c r="A2219" s="176"/>
      <c r="B2219" s="176"/>
      <c r="C2219" s="177"/>
      <c r="D2219" s="176"/>
      <c r="E2219" s="176"/>
      <c r="F2219" s="259"/>
      <c r="G2219" s="176"/>
      <c r="H2219" s="178"/>
      <c r="I2219" s="592">
        <f t="shared" si="84"/>
        <v>0</v>
      </c>
      <c r="J2219" s="178"/>
      <c r="K2219" s="178"/>
      <c r="L2219" s="275" t="str">
        <f>IF(H:H=0,"",IF(ISERROR(VLOOKUP(H:H,produtos_escape2!$A$2:$B$2794,2,FALSE)),"Código não cadastrado",(VLOOKUP(H:H,produtos_escape2!$A$2:$B$2794,2,FALSE))))</f>
        <v/>
      </c>
      <c r="M2219" s="593" t="str">
        <f>IF(H:H=0,"",IF(ISERROR(VLOOKUP(H:H,produtos_escape2!$A$2:$D$2794,2,FALSE)),"Código não cadastrado",(VLOOKUP(H:H,produtos_escape2!$A$2:$D$2794,4,FALSE))))</f>
        <v/>
      </c>
      <c r="N2219" s="486"/>
      <c r="O2219" s="176"/>
      <c r="P2219" s="486"/>
      <c r="Q2219" s="247"/>
      <c r="R2219" s="246">
        <f t="shared" si="83"/>
        <v>0</v>
      </c>
      <c r="S2219" s="177"/>
      <c r="T2219" s="182"/>
      <c r="U2219" s="177"/>
      <c r="V2219" s="177"/>
      <c r="W2219" s="177"/>
      <c r="X2219" s="176"/>
      <c r="Y2219" s="177"/>
      <c r="Z2219" s="415"/>
      <c r="AA2219" s="488"/>
      <c r="AB2219" s="594"/>
      <c r="AC2219" s="595"/>
      <c r="AD2219" s="596" t="str">
        <f>IF(AND(AC2219&lt;&gt;"",S2219&lt;&gt;""),NETWORKDAYS(AC2219,S2219,#REF!),"")</f>
        <v/>
      </c>
      <c r="AE2219" s="596" t="str">
        <f ca="1">IF(AND(AD2219="",AC2219=""),"",IF(OR(AD2219&lt;&gt;"",O2219="*CANCELADO"),"",NETWORKDAYS(AC2219,TODAY(),#REF!)))</f>
        <v/>
      </c>
      <c r="AF2219" s="619"/>
    </row>
    <row r="2220" spans="1:32" ht="14.25" customHeight="1">
      <c r="A2220" s="176"/>
      <c r="B2220" s="176"/>
      <c r="C2220" s="177"/>
      <c r="D2220" s="176"/>
      <c r="E2220" s="176"/>
      <c r="F2220" s="259"/>
      <c r="G2220" s="176"/>
      <c r="H2220" s="178"/>
      <c r="I2220" s="592">
        <f t="shared" si="84"/>
        <v>0</v>
      </c>
      <c r="J2220" s="178"/>
      <c r="K2220" s="178"/>
      <c r="L2220" s="275" t="str">
        <f>IF(H:H=0,"",IF(ISERROR(VLOOKUP(H:H,produtos_escape2!$A$2:$B$2794,2,FALSE)),"Código não cadastrado",(VLOOKUP(H:H,produtos_escape2!$A$2:$B$2794,2,FALSE))))</f>
        <v/>
      </c>
      <c r="M2220" s="593" t="str">
        <f>IF(H:H=0,"",IF(ISERROR(VLOOKUP(H:H,produtos_escape2!$A$2:$D$2794,2,FALSE)),"Código não cadastrado",(VLOOKUP(H:H,produtos_escape2!$A$2:$D$2794,4,FALSE))))</f>
        <v/>
      </c>
      <c r="N2220" s="486"/>
      <c r="O2220" s="176"/>
      <c r="P2220" s="486"/>
      <c r="Q2220" s="247"/>
      <c r="R2220" s="246">
        <f t="shared" si="83"/>
        <v>0</v>
      </c>
      <c r="S2220" s="177"/>
      <c r="T2220" s="182"/>
      <c r="U2220" s="177"/>
      <c r="V2220" s="177"/>
      <c r="W2220" s="177"/>
      <c r="X2220" s="176"/>
      <c r="Y2220" s="177"/>
      <c r="Z2220" s="415"/>
      <c r="AA2220" s="488"/>
      <c r="AB2220" s="594"/>
      <c r="AC2220" s="595"/>
      <c r="AD2220" s="596" t="str">
        <f>IF(AND(AC2220&lt;&gt;"",S2220&lt;&gt;""),NETWORKDAYS(AC2220,S2220,#REF!),"")</f>
        <v/>
      </c>
      <c r="AE2220" s="596" t="str">
        <f ca="1">IF(AND(AD2220="",AC2220=""),"",IF(OR(AD2220&lt;&gt;"",O2220="*CANCELADO"),"",NETWORKDAYS(AC2220,TODAY(),#REF!)))</f>
        <v/>
      </c>
      <c r="AF2220" s="619"/>
    </row>
    <row r="2221" spans="1:32" ht="14.25" customHeight="1">
      <c r="A2221" s="176"/>
      <c r="B2221" s="176"/>
      <c r="C2221" s="177"/>
      <c r="D2221" s="176"/>
      <c r="E2221" s="176"/>
      <c r="F2221" s="259"/>
      <c r="G2221" s="176"/>
      <c r="H2221" s="178"/>
      <c r="I2221" s="592">
        <f t="shared" si="84"/>
        <v>0</v>
      </c>
      <c r="J2221" s="178"/>
      <c r="K2221" s="178"/>
      <c r="L2221" s="275" t="str">
        <f>IF(H:H=0,"",IF(ISERROR(VLOOKUP(H:H,produtos_escape2!$A$2:$B$2794,2,FALSE)),"Código não cadastrado",(VLOOKUP(H:H,produtos_escape2!$A$2:$B$2794,2,FALSE))))</f>
        <v/>
      </c>
      <c r="M2221" s="593" t="str">
        <f>IF(H:H=0,"",IF(ISERROR(VLOOKUP(H:H,produtos_escape2!$A$2:$D$2794,2,FALSE)),"Código não cadastrado",(VLOOKUP(H:H,produtos_escape2!$A$2:$D$2794,4,FALSE))))</f>
        <v/>
      </c>
      <c r="N2221" s="486"/>
      <c r="O2221" s="176"/>
      <c r="P2221" s="486"/>
      <c r="Q2221" s="247"/>
      <c r="R2221" s="246">
        <f t="shared" ref="R2221:R2284" si="85">P2221*Q2221</f>
        <v>0</v>
      </c>
      <c r="S2221" s="177"/>
      <c r="T2221" s="182"/>
      <c r="U2221" s="177"/>
      <c r="V2221" s="177"/>
      <c r="W2221" s="177"/>
      <c r="X2221" s="176"/>
      <c r="Y2221" s="177"/>
      <c r="Z2221" s="415"/>
      <c r="AA2221" s="488"/>
      <c r="AB2221" s="594"/>
      <c r="AC2221" s="595"/>
      <c r="AD2221" s="596" t="str">
        <f>IF(AND(AC2221&lt;&gt;"",S2221&lt;&gt;""),NETWORKDAYS(AC2221,S2221,#REF!),"")</f>
        <v/>
      </c>
      <c r="AE2221" s="596" t="str">
        <f ca="1">IF(AND(AD2221="",AC2221=""),"",IF(OR(AD2221&lt;&gt;"",O2221="*CANCELADO"),"",NETWORKDAYS(AC2221,TODAY(),#REF!)))</f>
        <v/>
      </c>
      <c r="AF2221" s="619"/>
    </row>
    <row r="2222" spans="1:32" ht="14.25" customHeight="1">
      <c r="A2222" s="176"/>
      <c r="B2222" s="176"/>
      <c r="C2222" s="177"/>
      <c r="D2222" s="176"/>
      <c r="E2222" s="176"/>
      <c r="F2222" s="259"/>
      <c r="G2222" s="176"/>
      <c r="H2222" s="178"/>
      <c r="I2222" s="592">
        <f t="shared" si="84"/>
        <v>0</v>
      </c>
      <c r="J2222" s="178"/>
      <c r="K2222" s="178"/>
      <c r="L2222" s="275" t="str">
        <f>IF(H:H=0,"",IF(ISERROR(VLOOKUP(H:H,produtos_escape2!$A$2:$B$2794,2,FALSE)),"Código não cadastrado",(VLOOKUP(H:H,produtos_escape2!$A$2:$B$2794,2,FALSE))))</f>
        <v/>
      </c>
      <c r="M2222" s="593" t="str">
        <f>IF(H:H=0,"",IF(ISERROR(VLOOKUP(H:H,produtos_escape2!$A$2:$D$2794,2,FALSE)),"Código não cadastrado",(VLOOKUP(H:H,produtos_escape2!$A$2:$D$2794,4,FALSE))))</f>
        <v/>
      </c>
      <c r="N2222" s="486"/>
      <c r="O2222" s="176"/>
      <c r="P2222" s="486"/>
      <c r="Q2222" s="247"/>
      <c r="R2222" s="246">
        <f t="shared" si="85"/>
        <v>0</v>
      </c>
      <c r="S2222" s="177"/>
      <c r="T2222" s="182"/>
      <c r="U2222" s="177"/>
      <c r="V2222" s="177"/>
      <c r="W2222" s="177"/>
      <c r="X2222" s="176"/>
      <c r="Y2222" s="177"/>
      <c r="Z2222" s="415"/>
      <c r="AA2222" s="488"/>
      <c r="AB2222" s="594"/>
      <c r="AC2222" s="595"/>
      <c r="AD2222" s="596" t="str">
        <f>IF(AND(AC2222&lt;&gt;"",S2222&lt;&gt;""),NETWORKDAYS(AC2222,S2222,#REF!),"")</f>
        <v/>
      </c>
      <c r="AE2222" s="596" t="str">
        <f ca="1">IF(AND(AD2222="",AC2222=""),"",IF(OR(AD2222&lt;&gt;"",O2222="*CANCELADO"),"",NETWORKDAYS(AC2222,TODAY(),#REF!)))</f>
        <v/>
      </c>
      <c r="AF2222" s="619"/>
    </row>
    <row r="2223" spans="1:32" ht="14.25" customHeight="1">
      <c r="A2223" s="176"/>
      <c r="B2223" s="176"/>
      <c r="C2223" s="177"/>
      <c r="D2223" s="176"/>
      <c r="E2223" s="176"/>
      <c r="F2223" s="259"/>
      <c r="G2223" s="176"/>
      <c r="H2223" s="178"/>
      <c r="I2223" s="592">
        <f t="shared" si="84"/>
        <v>0</v>
      </c>
      <c r="J2223" s="178"/>
      <c r="K2223" s="178"/>
      <c r="L2223" s="275" t="str">
        <f>IF(H:H=0,"",IF(ISERROR(VLOOKUP(H:H,produtos_escape2!$A$2:$B$2794,2,FALSE)),"Código não cadastrado",(VLOOKUP(H:H,produtos_escape2!$A$2:$B$2794,2,FALSE))))</f>
        <v/>
      </c>
      <c r="M2223" s="593" t="str">
        <f>IF(H:H=0,"",IF(ISERROR(VLOOKUP(H:H,produtos_escape2!$A$2:$D$2794,2,FALSE)),"Código não cadastrado",(VLOOKUP(H:H,produtos_escape2!$A$2:$D$2794,4,FALSE))))</f>
        <v/>
      </c>
      <c r="N2223" s="486"/>
      <c r="O2223" s="176"/>
      <c r="P2223" s="486"/>
      <c r="Q2223" s="247"/>
      <c r="R2223" s="246">
        <f t="shared" si="85"/>
        <v>0</v>
      </c>
      <c r="S2223" s="177"/>
      <c r="T2223" s="182"/>
      <c r="U2223" s="177"/>
      <c r="V2223" s="177"/>
      <c r="W2223" s="177"/>
      <c r="X2223" s="176"/>
      <c r="Y2223" s="177"/>
      <c r="Z2223" s="415"/>
      <c r="AA2223" s="488"/>
      <c r="AB2223" s="594"/>
      <c r="AC2223" s="595"/>
      <c r="AD2223" s="596" t="str">
        <f>IF(AND(AC2223&lt;&gt;"",S2223&lt;&gt;""),NETWORKDAYS(AC2223,S2223,#REF!),"")</f>
        <v/>
      </c>
      <c r="AE2223" s="596" t="str">
        <f ca="1">IF(AND(AD2223="",AC2223=""),"",IF(OR(AD2223&lt;&gt;"",O2223="*CANCELADO"),"",NETWORKDAYS(AC2223,TODAY(),#REF!)))</f>
        <v/>
      </c>
      <c r="AF2223" s="619"/>
    </row>
    <row r="2224" spans="1:32" ht="14.25" customHeight="1">
      <c r="A2224" s="176"/>
      <c r="B2224" s="176"/>
      <c r="C2224" s="177"/>
      <c r="D2224" s="176"/>
      <c r="E2224" s="176"/>
      <c r="F2224" s="259"/>
      <c r="G2224" s="176"/>
      <c r="H2224" s="178"/>
      <c r="I2224" s="592">
        <f t="shared" si="84"/>
        <v>0</v>
      </c>
      <c r="J2224" s="178"/>
      <c r="K2224" s="178"/>
      <c r="L2224" s="275" t="str">
        <f>IF(H:H=0,"",IF(ISERROR(VLOOKUP(H:H,produtos_escape2!$A$2:$B$2794,2,FALSE)),"Código não cadastrado",(VLOOKUP(H:H,produtos_escape2!$A$2:$B$2794,2,FALSE))))</f>
        <v/>
      </c>
      <c r="M2224" s="593" t="str">
        <f>IF(H:H=0,"",IF(ISERROR(VLOOKUP(H:H,produtos_escape2!$A$2:$D$2794,2,FALSE)),"Código não cadastrado",(VLOOKUP(H:H,produtos_escape2!$A$2:$D$2794,4,FALSE))))</f>
        <v/>
      </c>
      <c r="N2224" s="486"/>
      <c r="O2224" s="176"/>
      <c r="P2224" s="486"/>
      <c r="Q2224" s="247"/>
      <c r="R2224" s="246">
        <f t="shared" si="85"/>
        <v>0</v>
      </c>
      <c r="S2224" s="177"/>
      <c r="T2224" s="182"/>
      <c r="U2224" s="177"/>
      <c r="V2224" s="177"/>
      <c r="W2224" s="177"/>
      <c r="X2224" s="176"/>
      <c r="Y2224" s="177"/>
      <c r="Z2224" s="415"/>
      <c r="AA2224" s="488"/>
      <c r="AB2224" s="594"/>
      <c r="AC2224" s="595"/>
      <c r="AD2224" s="596" t="str">
        <f>IF(AND(AC2224&lt;&gt;"",S2224&lt;&gt;""),NETWORKDAYS(AC2224,S2224,#REF!),"")</f>
        <v/>
      </c>
      <c r="AE2224" s="596" t="str">
        <f ca="1">IF(AND(AD2224="",AC2224=""),"",IF(OR(AD2224&lt;&gt;"",O2224="*CANCELADO"),"",NETWORKDAYS(AC2224,TODAY(),#REF!)))</f>
        <v/>
      </c>
      <c r="AF2224" s="619"/>
    </row>
    <row r="2225" spans="1:32" ht="14.25" customHeight="1">
      <c r="A2225" s="176"/>
      <c r="B2225" s="176"/>
      <c r="C2225" s="177"/>
      <c r="D2225" s="176"/>
      <c r="E2225" s="176"/>
      <c r="F2225" s="259"/>
      <c r="G2225" s="176"/>
      <c r="H2225" s="178"/>
      <c r="I2225" s="592">
        <f t="shared" si="84"/>
        <v>0</v>
      </c>
      <c r="J2225" s="178"/>
      <c r="K2225" s="178"/>
      <c r="L2225" s="275" t="str">
        <f>IF(H:H=0,"",IF(ISERROR(VLOOKUP(H:H,produtos_escape2!$A$2:$B$2794,2,FALSE)),"Código não cadastrado",(VLOOKUP(H:H,produtos_escape2!$A$2:$B$2794,2,FALSE))))</f>
        <v/>
      </c>
      <c r="M2225" s="593" t="str">
        <f>IF(H:H=0,"",IF(ISERROR(VLOOKUP(H:H,produtos_escape2!$A$2:$D$2794,2,FALSE)),"Código não cadastrado",(VLOOKUP(H:H,produtos_escape2!$A$2:$D$2794,4,FALSE))))</f>
        <v/>
      </c>
      <c r="N2225" s="486"/>
      <c r="O2225" s="176"/>
      <c r="P2225" s="486"/>
      <c r="Q2225" s="247"/>
      <c r="R2225" s="246">
        <f t="shared" si="85"/>
        <v>0</v>
      </c>
      <c r="S2225" s="177"/>
      <c r="T2225" s="182"/>
      <c r="U2225" s="177"/>
      <c r="V2225" s="177"/>
      <c r="W2225" s="177"/>
      <c r="X2225" s="176"/>
      <c r="Y2225" s="177"/>
      <c r="Z2225" s="415"/>
      <c r="AA2225" s="488"/>
      <c r="AB2225" s="594"/>
      <c r="AC2225" s="595"/>
      <c r="AD2225" s="596" t="str">
        <f>IF(AND(AC2225&lt;&gt;"",S2225&lt;&gt;""),NETWORKDAYS(AC2225,S2225,#REF!),"")</f>
        <v/>
      </c>
      <c r="AE2225" s="596" t="str">
        <f ca="1">IF(AND(AD2225="",AC2225=""),"",IF(OR(AD2225&lt;&gt;"",O2225="*CANCELADO"),"",NETWORKDAYS(AC2225,TODAY(),#REF!)))</f>
        <v/>
      </c>
      <c r="AF2225" s="619"/>
    </row>
    <row r="2226" spans="1:32" ht="14.25" customHeight="1">
      <c r="A2226" s="176"/>
      <c r="B2226" s="176"/>
      <c r="C2226" s="177"/>
      <c r="D2226" s="176"/>
      <c r="E2226" s="176"/>
      <c r="F2226" s="259"/>
      <c r="G2226" s="176"/>
      <c r="H2226" s="178"/>
      <c r="I2226" s="592">
        <f t="shared" si="84"/>
        <v>0</v>
      </c>
      <c r="J2226" s="178"/>
      <c r="K2226" s="178"/>
      <c r="L2226" s="275" t="str">
        <f>IF(H:H=0,"",IF(ISERROR(VLOOKUP(H:H,produtos_escape2!$A$2:$B$2794,2,FALSE)),"Código não cadastrado",(VLOOKUP(H:H,produtos_escape2!$A$2:$B$2794,2,FALSE))))</f>
        <v/>
      </c>
      <c r="M2226" s="593" t="str">
        <f>IF(H:H=0,"",IF(ISERROR(VLOOKUP(H:H,produtos_escape2!$A$2:$D$2794,2,FALSE)),"Código não cadastrado",(VLOOKUP(H:H,produtos_escape2!$A$2:$D$2794,4,FALSE))))</f>
        <v/>
      </c>
      <c r="N2226" s="486"/>
      <c r="O2226" s="176"/>
      <c r="P2226" s="486"/>
      <c r="Q2226" s="247"/>
      <c r="R2226" s="246">
        <f t="shared" si="85"/>
        <v>0</v>
      </c>
      <c r="S2226" s="177"/>
      <c r="T2226" s="182"/>
      <c r="U2226" s="177"/>
      <c r="V2226" s="177"/>
      <c r="W2226" s="177"/>
      <c r="X2226" s="176"/>
      <c r="Y2226" s="177"/>
      <c r="Z2226" s="415"/>
      <c r="AA2226" s="488"/>
      <c r="AB2226" s="594"/>
      <c r="AC2226" s="595"/>
      <c r="AD2226" s="596" t="str">
        <f>IF(AND(AC2226&lt;&gt;"",S2226&lt;&gt;""),NETWORKDAYS(AC2226,S2226,#REF!),"")</f>
        <v/>
      </c>
      <c r="AE2226" s="596" t="str">
        <f ca="1">IF(AND(AD2226="",AC2226=""),"",IF(OR(AD2226&lt;&gt;"",O2226="*CANCELADO"),"",NETWORKDAYS(AC2226,TODAY(),#REF!)))</f>
        <v/>
      </c>
      <c r="AF2226" s="619"/>
    </row>
    <row r="2227" spans="1:32" ht="14.25" customHeight="1">
      <c r="A2227" s="176"/>
      <c r="B2227" s="176"/>
      <c r="C2227" s="177"/>
      <c r="D2227" s="176"/>
      <c r="E2227" s="176"/>
      <c r="F2227" s="259"/>
      <c r="G2227" s="176"/>
      <c r="H2227" s="178"/>
      <c r="I2227" s="592">
        <f t="shared" si="84"/>
        <v>0</v>
      </c>
      <c r="J2227" s="178"/>
      <c r="K2227" s="178"/>
      <c r="L2227" s="275" t="str">
        <f>IF(H:H=0,"",IF(ISERROR(VLOOKUP(H:H,produtos_escape2!$A$2:$B$2794,2,FALSE)),"Código não cadastrado",(VLOOKUP(H:H,produtos_escape2!$A$2:$B$2794,2,FALSE))))</f>
        <v/>
      </c>
      <c r="M2227" s="593" t="str">
        <f>IF(H:H=0,"",IF(ISERROR(VLOOKUP(H:H,produtos_escape2!$A$2:$D$2794,2,FALSE)),"Código não cadastrado",(VLOOKUP(H:H,produtos_escape2!$A$2:$D$2794,4,FALSE))))</f>
        <v/>
      </c>
      <c r="N2227" s="486"/>
      <c r="O2227" s="176"/>
      <c r="P2227" s="486"/>
      <c r="Q2227" s="247"/>
      <c r="R2227" s="246">
        <f t="shared" si="85"/>
        <v>0</v>
      </c>
      <c r="S2227" s="177"/>
      <c r="T2227" s="182"/>
      <c r="U2227" s="177"/>
      <c r="V2227" s="177"/>
      <c r="W2227" s="177"/>
      <c r="X2227" s="176"/>
      <c r="Y2227" s="177"/>
      <c r="Z2227" s="415"/>
      <c r="AA2227" s="488"/>
      <c r="AB2227" s="594"/>
      <c r="AC2227" s="595"/>
      <c r="AD2227" s="596" t="str">
        <f>IF(AND(AC2227&lt;&gt;"",S2227&lt;&gt;""),NETWORKDAYS(AC2227,S2227,#REF!),"")</f>
        <v/>
      </c>
      <c r="AE2227" s="596" t="str">
        <f ca="1">IF(AND(AD2227="",AC2227=""),"",IF(OR(AD2227&lt;&gt;"",O2227="*CANCELADO"),"",NETWORKDAYS(AC2227,TODAY(),#REF!)))</f>
        <v/>
      </c>
      <c r="AF2227" s="619"/>
    </row>
    <row r="2228" spans="1:32" ht="14.25" customHeight="1">
      <c r="A2228" s="176"/>
      <c r="B2228" s="176"/>
      <c r="C2228" s="177"/>
      <c r="D2228" s="176"/>
      <c r="E2228" s="176"/>
      <c r="F2228" s="259"/>
      <c r="G2228" s="176"/>
      <c r="H2228" s="178"/>
      <c r="I2228" s="592">
        <f t="shared" si="84"/>
        <v>0</v>
      </c>
      <c r="J2228" s="178"/>
      <c r="K2228" s="178"/>
      <c r="L2228" s="275" t="str">
        <f>IF(H:H=0,"",IF(ISERROR(VLOOKUP(H:H,produtos_escape2!$A$2:$B$2794,2,FALSE)),"Código não cadastrado",(VLOOKUP(H:H,produtos_escape2!$A$2:$B$2794,2,FALSE))))</f>
        <v/>
      </c>
      <c r="M2228" s="593" t="str">
        <f>IF(H:H=0,"",IF(ISERROR(VLOOKUP(H:H,produtos_escape2!$A$2:$D$2794,2,FALSE)),"Código não cadastrado",(VLOOKUP(H:H,produtos_escape2!$A$2:$D$2794,4,FALSE))))</f>
        <v/>
      </c>
      <c r="N2228" s="486"/>
      <c r="O2228" s="176"/>
      <c r="P2228" s="486"/>
      <c r="Q2228" s="247"/>
      <c r="R2228" s="246">
        <f t="shared" si="85"/>
        <v>0</v>
      </c>
      <c r="S2228" s="177"/>
      <c r="T2228" s="182"/>
      <c r="U2228" s="177"/>
      <c r="V2228" s="177"/>
      <c r="W2228" s="177"/>
      <c r="X2228" s="176"/>
      <c r="Y2228" s="177"/>
      <c r="Z2228" s="415"/>
      <c r="AA2228" s="488"/>
      <c r="AB2228" s="594"/>
      <c r="AC2228" s="595"/>
      <c r="AD2228" s="596" t="str">
        <f>IF(AND(AC2228&lt;&gt;"",S2228&lt;&gt;""),NETWORKDAYS(AC2228,S2228,#REF!),"")</f>
        <v/>
      </c>
      <c r="AE2228" s="596" t="str">
        <f ca="1">IF(AND(AD2228="",AC2228=""),"",IF(OR(AD2228&lt;&gt;"",O2228="*CANCELADO"),"",NETWORKDAYS(AC2228,TODAY(),#REF!)))</f>
        <v/>
      </c>
      <c r="AF2228" s="619"/>
    </row>
    <row r="2229" spans="1:32" ht="14.25" customHeight="1">
      <c r="A2229" s="176"/>
      <c r="B2229" s="176"/>
      <c r="C2229" s="177"/>
      <c r="D2229" s="176"/>
      <c r="E2229" s="176"/>
      <c r="F2229" s="259"/>
      <c r="G2229" s="176"/>
      <c r="H2229" s="178"/>
      <c r="I2229" s="592">
        <f t="shared" si="84"/>
        <v>0</v>
      </c>
      <c r="J2229" s="178"/>
      <c r="K2229" s="178"/>
      <c r="L2229" s="275" t="str">
        <f>IF(H:H=0,"",IF(ISERROR(VLOOKUP(H:H,produtos_escape2!$A$2:$B$2794,2,FALSE)),"Código não cadastrado",(VLOOKUP(H:H,produtos_escape2!$A$2:$B$2794,2,FALSE))))</f>
        <v/>
      </c>
      <c r="M2229" s="593" t="str">
        <f>IF(H:H=0,"",IF(ISERROR(VLOOKUP(H:H,produtos_escape2!$A$2:$D$2794,2,FALSE)),"Código não cadastrado",(VLOOKUP(H:H,produtos_escape2!$A$2:$D$2794,4,FALSE))))</f>
        <v/>
      </c>
      <c r="N2229" s="486"/>
      <c r="O2229" s="176"/>
      <c r="P2229" s="486"/>
      <c r="Q2229" s="247"/>
      <c r="R2229" s="246">
        <f t="shared" si="85"/>
        <v>0</v>
      </c>
      <c r="S2229" s="177"/>
      <c r="T2229" s="182"/>
      <c r="U2229" s="177"/>
      <c r="V2229" s="177"/>
      <c r="W2229" s="177"/>
      <c r="X2229" s="176"/>
      <c r="Y2229" s="177"/>
      <c r="Z2229" s="415"/>
      <c r="AA2229" s="488"/>
      <c r="AB2229" s="594"/>
      <c r="AC2229" s="595"/>
      <c r="AD2229" s="596" t="str">
        <f>IF(AND(AC2229&lt;&gt;"",S2229&lt;&gt;""),NETWORKDAYS(AC2229,S2229,#REF!),"")</f>
        <v/>
      </c>
      <c r="AE2229" s="596" t="str">
        <f ca="1">IF(AND(AD2229="",AC2229=""),"",IF(OR(AD2229&lt;&gt;"",O2229="*CANCELADO"),"",NETWORKDAYS(AC2229,TODAY(),#REF!)))</f>
        <v/>
      </c>
      <c r="AF2229" s="619"/>
    </row>
    <row r="2230" spans="1:32" ht="14.25" customHeight="1">
      <c r="A2230" s="176"/>
      <c r="B2230" s="176"/>
      <c r="C2230" s="177"/>
      <c r="D2230" s="176"/>
      <c r="E2230" s="176"/>
      <c r="F2230" s="259"/>
      <c r="G2230" s="176"/>
      <c r="H2230" s="178"/>
      <c r="I2230" s="592">
        <f t="shared" ref="I2230:I2293" si="86">COUNTIF($H$3:$H$3041,H2230)</f>
        <v>0</v>
      </c>
      <c r="J2230" s="178"/>
      <c r="K2230" s="178"/>
      <c r="L2230" s="275" t="str">
        <f>IF(H:H=0,"",IF(ISERROR(VLOOKUP(H:H,produtos_escape2!$A$2:$B$2794,2,FALSE)),"Código não cadastrado",(VLOOKUP(H:H,produtos_escape2!$A$2:$B$2794,2,FALSE))))</f>
        <v/>
      </c>
      <c r="M2230" s="593" t="str">
        <f>IF(H:H=0,"",IF(ISERROR(VLOOKUP(H:H,produtos_escape2!$A$2:$D$2794,2,FALSE)),"Código não cadastrado",(VLOOKUP(H:H,produtos_escape2!$A$2:$D$2794,4,FALSE))))</f>
        <v/>
      </c>
      <c r="N2230" s="486"/>
      <c r="O2230" s="176"/>
      <c r="P2230" s="486"/>
      <c r="Q2230" s="247"/>
      <c r="R2230" s="246">
        <f t="shared" si="85"/>
        <v>0</v>
      </c>
      <c r="S2230" s="177"/>
      <c r="T2230" s="182"/>
      <c r="U2230" s="177"/>
      <c r="V2230" s="177"/>
      <c r="W2230" s="177"/>
      <c r="X2230" s="176"/>
      <c r="Y2230" s="177"/>
      <c r="Z2230" s="415"/>
      <c r="AA2230" s="488"/>
      <c r="AB2230" s="594"/>
      <c r="AC2230" s="595"/>
      <c r="AD2230" s="596" t="str">
        <f>IF(AND(AC2230&lt;&gt;"",S2230&lt;&gt;""),NETWORKDAYS(AC2230,S2230,#REF!),"")</f>
        <v/>
      </c>
      <c r="AE2230" s="596" t="str">
        <f ca="1">IF(AND(AD2230="",AC2230=""),"",IF(OR(AD2230&lt;&gt;"",O2230="*CANCELADO"),"",NETWORKDAYS(AC2230,TODAY(),#REF!)))</f>
        <v/>
      </c>
      <c r="AF2230" s="619"/>
    </row>
    <row r="2231" spans="1:32" ht="14.25" customHeight="1">
      <c r="A2231" s="176"/>
      <c r="B2231" s="176"/>
      <c r="C2231" s="177"/>
      <c r="D2231" s="176"/>
      <c r="E2231" s="176"/>
      <c r="F2231" s="259"/>
      <c r="G2231" s="176"/>
      <c r="H2231" s="178"/>
      <c r="I2231" s="592">
        <f t="shared" si="86"/>
        <v>0</v>
      </c>
      <c r="J2231" s="178"/>
      <c r="K2231" s="178"/>
      <c r="L2231" s="275" t="str">
        <f>IF(H:H=0,"",IF(ISERROR(VLOOKUP(H:H,produtos_escape2!$A$2:$B$2794,2,FALSE)),"Código não cadastrado",(VLOOKUP(H:H,produtos_escape2!$A$2:$B$2794,2,FALSE))))</f>
        <v/>
      </c>
      <c r="M2231" s="593" t="str">
        <f>IF(H:H=0,"",IF(ISERROR(VLOOKUP(H:H,produtos_escape2!$A$2:$D$2794,2,FALSE)),"Código não cadastrado",(VLOOKUP(H:H,produtos_escape2!$A$2:$D$2794,4,FALSE))))</f>
        <v/>
      </c>
      <c r="N2231" s="486"/>
      <c r="O2231" s="176"/>
      <c r="P2231" s="486"/>
      <c r="Q2231" s="247"/>
      <c r="R2231" s="246">
        <f t="shared" si="85"/>
        <v>0</v>
      </c>
      <c r="S2231" s="177"/>
      <c r="T2231" s="182"/>
      <c r="U2231" s="177"/>
      <c r="V2231" s="177"/>
      <c r="W2231" s="177"/>
      <c r="X2231" s="176"/>
      <c r="Y2231" s="177"/>
      <c r="Z2231" s="415"/>
      <c r="AA2231" s="488"/>
      <c r="AB2231" s="594"/>
      <c r="AC2231" s="595"/>
      <c r="AD2231" s="596" t="str">
        <f>IF(AND(AC2231&lt;&gt;"",S2231&lt;&gt;""),NETWORKDAYS(AC2231,S2231,#REF!),"")</f>
        <v/>
      </c>
      <c r="AE2231" s="596" t="str">
        <f ca="1">IF(AND(AD2231="",AC2231=""),"",IF(OR(AD2231&lt;&gt;"",O2231="*CANCELADO"),"",NETWORKDAYS(AC2231,TODAY(),#REF!)))</f>
        <v/>
      </c>
      <c r="AF2231" s="619"/>
    </row>
    <row r="2232" spans="1:32" ht="14.25" customHeight="1">
      <c r="A2232" s="176"/>
      <c r="B2232" s="176"/>
      <c r="C2232" s="177"/>
      <c r="D2232" s="176"/>
      <c r="E2232" s="176"/>
      <c r="F2232" s="259"/>
      <c r="G2232" s="176"/>
      <c r="H2232" s="178"/>
      <c r="I2232" s="592">
        <f t="shared" si="86"/>
        <v>0</v>
      </c>
      <c r="J2232" s="178"/>
      <c r="K2232" s="178"/>
      <c r="L2232" s="275" t="str">
        <f>IF(H:H=0,"",IF(ISERROR(VLOOKUP(H:H,produtos_escape2!$A$2:$B$2794,2,FALSE)),"Código não cadastrado",(VLOOKUP(H:H,produtos_escape2!$A$2:$B$2794,2,FALSE))))</f>
        <v/>
      </c>
      <c r="M2232" s="593" t="str">
        <f>IF(H:H=0,"",IF(ISERROR(VLOOKUP(H:H,produtos_escape2!$A$2:$D$2794,2,FALSE)),"Código não cadastrado",(VLOOKUP(H:H,produtos_escape2!$A$2:$D$2794,4,FALSE))))</f>
        <v/>
      </c>
      <c r="N2232" s="486"/>
      <c r="O2232" s="176"/>
      <c r="P2232" s="486"/>
      <c r="Q2232" s="247"/>
      <c r="R2232" s="246">
        <f t="shared" si="85"/>
        <v>0</v>
      </c>
      <c r="S2232" s="177"/>
      <c r="T2232" s="182"/>
      <c r="U2232" s="177"/>
      <c r="V2232" s="177"/>
      <c r="W2232" s="177"/>
      <c r="X2232" s="176"/>
      <c r="Y2232" s="177"/>
      <c r="Z2232" s="415"/>
      <c r="AA2232" s="488"/>
      <c r="AB2232" s="594"/>
      <c r="AC2232" s="595"/>
      <c r="AD2232" s="596" t="str">
        <f>IF(AND(AC2232&lt;&gt;"",S2232&lt;&gt;""),NETWORKDAYS(AC2232,S2232,#REF!),"")</f>
        <v/>
      </c>
      <c r="AE2232" s="596" t="str">
        <f ca="1">IF(AND(AD2232="",AC2232=""),"",IF(OR(AD2232&lt;&gt;"",O2232="*CANCELADO"),"",NETWORKDAYS(AC2232,TODAY(),#REF!)))</f>
        <v/>
      </c>
      <c r="AF2232" s="619"/>
    </row>
    <row r="2233" spans="1:32" ht="14.25" customHeight="1">
      <c r="A2233" s="176"/>
      <c r="B2233" s="176"/>
      <c r="C2233" s="177"/>
      <c r="D2233" s="176"/>
      <c r="E2233" s="176"/>
      <c r="F2233" s="259"/>
      <c r="G2233" s="176"/>
      <c r="H2233" s="178"/>
      <c r="I2233" s="592">
        <f t="shared" si="86"/>
        <v>0</v>
      </c>
      <c r="J2233" s="178"/>
      <c r="K2233" s="178"/>
      <c r="L2233" s="275" t="str">
        <f>IF(H:H=0,"",IF(ISERROR(VLOOKUP(H:H,produtos_escape2!$A$2:$B$2794,2,FALSE)),"Código não cadastrado",(VLOOKUP(H:H,produtos_escape2!$A$2:$B$2794,2,FALSE))))</f>
        <v/>
      </c>
      <c r="M2233" s="593" t="str">
        <f>IF(H:H=0,"",IF(ISERROR(VLOOKUP(H:H,produtos_escape2!$A$2:$D$2794,2,FALSE)),"Código não cadastrado",(VLOOKUP(H:H,produtos_escape2!$A$2:$D$2794,4,FALSE))))</f>
        <v/>
      </c>
      <c r="N2233" s="486"/>
      <c r="O2233" s="176"/>
      <c r="P2233" s="486"/>
      <c r="Q2233" s="247"/>
      <c r="R2233" s="246">
        <f t="shared" si="85"/>
        <v>0</v>
      </c>
      <c r="S2233" s="177"/>
      <c r="T2233" s="182"/>
      <c r="U2233" s="177"/>
      <c r="V2233" s="177"/>
      <c r="W2233" s="177"/>
      <c r="X2233" s="176"/>
      <c r="Y2233" s="177"/>
      <c r="Z2233" s="415"/>
      <c r="AA2233" s="488"/>
      <c r="AB2233" s="594"/>
      <c r="AC2233" s="595"/>
      <c r="AD2233" s="596" t="str">
        <f>IF(AND(AC2233&lt;&gt;"",S2233&lt;&gt;""),NETWORKDAYS(AC2233,S2233,#REF!),"")</f>
        <v/>
      </c>
      <c r="AE2233" s="596" t="str">
        <f ca="1">IF(AND(AD2233="",AC2233=""),"",IF(OR(AD2233&lt;&gt;"",O2233="*CANCELADO"),"",NETWORKDAYS(AC2233,TODAY(),#REF!)))</f>
        <v/>
      </c>
      <c r="AF2233" s="619"/>
    </row>
    <row r="2234" spans="1:32" ht="14.25" customHeight="1">
      <c r="A2234" s="176"/>
      <c r="B2234" s="176"/>
      <c r="C2234" s="177"/>
      <c r="D2234" s="176"/>
      <c r="E2234" s="176"/>
      <c r="F2234" s="259"/>
      <c r="G2234" s="176"/>
      <c r="H2234" s="178"/>
      <c r="I2234" s="592">
        <f t="shared" si="86"/>
        <v>0</v>
      </c>
      <c r="J2234" s="178"/>
      <c r="K2234" s="178"/>
      <c r="L2234" s="275" t="str">
        <f>IF(H:H=0,"",IF(ISERROR(VLOOKUP(H:H,produtos_escape2!$A$2:$B$2794,2,FALSE)),"Código não cadastrado",(VLOOKUP(H:H,produtos_escape2!$A$2:$B$2794,2,FALSE))))</f>
        <v/>
      </c>
      <c r="M2234" s="593" t="str">
        <f>IF(H:H=0,"",IF(ISERROR(VLOOKUP(H:H,produtos_escape2!$A$2:$D$2794,2,FALSE)),"Código não cadastrado",(VLOOKUP(H:H,produtos_escape2!$A$2:$D$2794,4,FALSE))))</f>
        <v/>
      </c>
      <c r="N2234" s="486"/>
      <c r="O2234" s="176"/>
      <c r="P2234" s="486"/>
      <c r="Q2234" s="247"/>
      <c r="R2234" s="246">
        <f t="shared" si="85"/>
        <v>0</v>
      </c>
      <c r="S2234" s="177"/>
      <c r="T2234" s="182"/>
      <c r="U2234" s="177"/>
      <c r="V2234" s="177"/>
      <c r="W2234" s="177"/>
      <c r="X2234" s="176"/>
      <c r="Y2234" s="177"/>
      <c r="Z2234" s="415"/>
      <c r="AA2234" s="488"/>
      <c r="AB2234" s="594"/>
      <c r="AC2234" s="595"/>
      <c r="AD2234" s="596" t="str">
        <f>IF(AND(AC2234&lt;&gt;"",S2234&lt;&gt;""),NETWORKDAYS(AC2234,S2234,#REF!),"")</f>
        <v/>
      </c>
      <c r="AE2234" s="596" t="str">
        <f ca="1">IF(AND(AD2234="",AC2234=""),"",IF(OR(AD2234&lt;&gt;"",O2234="*CANCELADO"),"",NETWORKDAYS(AC2234,TODAY(),#REF!)))</f>
        <v/>
      </c>
      <c r="AF2234" s="619"/>
    </row>
    <row r="2235" spans="1:32" ht="14.25" customHeight="1">
      <c r="A2235" s="176"/>
      <c r="B2235" s="176"/>
      <c r="C2235" s="177"/>
      <c r="D2235" s="176"/>
      <c r="E2235" s="176"/>
      <c r="F2235" s="259"/>
      <c r="G2235" s="176"/>
      <c r="H2235" s="178"/>
      <c r="I2235" s="592">
        <f t="shared" si="86"/>
        <v>0</v>
      </c>
      <c r="J2235" s="178"/>
      <c r="K2235" s="178"/>
      <c r="L2235" s="275" t="str">
        <f>IF(H:H=0,"",IF(ISERROR(VLOOKUP(H:H,produtos_escape2!$A$2:$B$2794,2,FALSE)),"Código não cadastrado",(VLOOKUP(H:H,produtos_escape2!$A$2:$B$2794,2,FALSE))))</f>
        <v/>
      </c>
      <c r="M2235" s="593" t="str">
        <f>IF(H:H=0,"",IF(ISERROR(VLOOKUP(H:H,produtos_escape2!$A$2:$D$2794,2,FALSE)),"Código não cadastrado",(VLOOKUP(H:H,produtos_escape2!$A$2:$D$2794,4,FALSE))))</f>
        <v/>
      </c>
      <c r="N2235" s="486"/>
      <c r="O2235" s="176"/>
      <c r="P2235" s="486"/>
      <c r="Q2235" s="247"/>
      <c r="R2235" s="246">
        <f t="shared" si="85"/>
        <v>0</v>
      </c>
      <c r="S2235" s="177"/>
      <c r="T2235" s="182"/>
      <c r="U2235" s="177"/>
      <c r="V2235" s="177"/>
      <c r="W2235" s="177"/>
      <c r="X2235" s="176"/>
      <c r="Y2235" s="177"/>
      <c r="Z2235" s="415"/>
      <c r="AA2235" s="488"/>
      <c r="AB2235" s="594"/>
      <c r="AC2235" s="595"/>
      <c r="AD2235" s="596" t="str">
        <f>IF(AND(AC2235&lt;&gt;"",S2235&lt;&gt;""),NETWORKDAYS(AC2235,S2235,#REF!),"")</f>
        <v/>
      </c>
      <c r="AE2235" s="596" t="str">
        <f ca="1">IF(AND(AD2235="",AC2235=""),"",IF(OR(AD2235&lt;&gt;"",O2235="*CANCELADO"),"",NETWORKDAYS(AC2235,TODAY(),#REF!)))</f>
        <v/>
      </c>
      <c r="AF2235" s="619"/>
    </row>
    <row r="2236" spans="1:32" ht="14.25" customHeight="1">
      <c r="A2236" s="176"/>
      <c r="B2236" s="176"/>
      <c r="C2236" s="177"/>
      <c r="D2236" s="176"/>
      <c r="E2236" s="176"/>
      <c r="F2236" s="259"/>
      <c r="G2236" s="176"/>
      <c r="H2236" s="178"/>
      <c r="I2236" s="592">
        <f t="shared" si="86"/>
        <v>0</v>
      </c>
      <c r="J2236" s="178"/>
      <c r="K2236" s="178"/>
      <c r="L2236" s="275" t="str">
        <f>IF(H:H=0,"",IF(ISERROR(VLOOKUP(H:H,produtos_escape2!$A$2:$B$2794,2,FALSE)),"Código não cadastrado",(VLOOKUP(H:H,produtos_escape2!$A$2:$B$2794,2,FALSE))))</f>
        <v/>
      </c>
      <c r="M2236" s="593" t="str">
        <f>IF(H:H=0,"",IF(ISERROR(VLOOKUP(H:H,produtos_escape2!$A$2:$D$2794,2,FALSE)),"Código não cadastrado",(VLOOKUP(H:H,produtos_escape2!$A$2:$D$2794,4,FALSE))))</f>
        <v/>
      </c>
      <c r="N2236" s="486"/>
      <c r="O2236" s="176"/>
      <c r="P2236" s="486"/>
      <c r="Q2236" s="247"/>
      <c r="R2236" s="246">
        <f t="shared" si="85"/>
        <v>0</v>
      </c>
      <c r="S2236" s="177"/>
      <c r="T2236" s="182"/>
      <c r="U2236" s="177"/>
      <c r="V2236" s="177"/>
      <c r="W2236" s="177"/>
      <c r="X2236" s="176"/>
      <c r="Y2236" s="177"/>
      <c r="Z2236" s="415"/>
      <c r="AA2236" s="488"/>
      <c r="AB2236" s="594"/>
      <c r="AC2236" s="595"/>
      <c r="AD2236" s="596" t="str">
        <f>IF(AND(AC2236&lt;&gt;"",S2236&lt;&gt;""),NETWORKDAYS(AC2236,S2236,#REF!),"")</f>
        <v/>
      </c>
      <c r="AE2236" s="596" t="str">
        <f ca="1">IF(AND(AD2236="",AC2236=""),"",IF(OR(AD2236&lt;&gt;"",O2236="*CANCELADO"),"",NETWORKDAYS(AC2236,TODAY(),#REF!)))</f>
        <v/>
      </c>
      <c r="AF2236" s="619"/>
    </row>
    <row r="2237" spans="1:32" ht="14.25" customHeight="1">
      <c r="A2237" s="176"/>
      <c r="B2237" s="176"/>
      <c r="C2237" s="177"/>
      <c r="D2237" s="176"/>
      <c r="E2237" s="176"/>
      <c r="F2237" s="259"/>
      <c r="G2237" s="176"/>
      <c r="H2237" s="178"/>
      <c r="I2237" s="592">
        <f t="shared" si="86"/>
        <v>0</v>
      </c>
      <c r="J2237" s="178"/>
      <c r="K2237" s="178"/>
      <c r="L2237" s="275" t="str">
        <f>IF(H:H=0,"",IF(ISERROR(VLOOKUP(H:H,produtos_escape2!$A$2:$B$2794,2,FALSE)),"Código não cadastrado",(VLOOKUP(H:H,produtos_escape2!$A$2:$B$2794,2,FALSE))))</f>
        <v/>
      </c>
      <c r="M2237" s="593" t="str">
        <f>IF(H:H=0,"",IF(ISERROR(VLOOKUP(H:H,produtos_escape2!$A$2:$D$2794,2,FALSE)),"Código não cadastrado",(VLOOKUP(H:H,produtos_escape2!$A$2:$D$2794,4,FALSE))))</f>
        <v/>
      </c>
      <c r="N2237" s="486"/>
      <c r="O2237" s="176"/>
      <c r="P2237" s="486"/>
      <c r="Q2237" s="247"/>
      <c r="R2237" s="246">
        <f t="shared" si="85"/>
        <v>0</v>
      </c>
      <c r="S2237" s="177"/>
      <c r="T2237" s="182"/>
      <c r="U2237" s="177"/>
      <c r="V2237" s="177"/>
      <c r="W2237" s="177"/>
      <c r="X2237" s="176"/>
      <c r="Y2237" s="177"/>
      <c r="Z2237" s="415"/>
      <c r="AA2237" s="488"/>
      <c r="AB2237" s="594"/>
      <c r="AC2237" s="595"/>
      <c r="AD2237" s="596" t="str">
        <f>IF(AND(AC2237&lt;&gt;"",S2237&lt;&gt;""),NETWORKDAYS(AC2237,S2237,#REF!),"")</f>
        <v/>
      </c>
      <c r="AE2237" s="596" t="str">
        <f ca="1">IF(AND(AD2237="",AC2237=""),"",IF(OR(AD2237&lt;&gt;"",O2237="*CANCELADO"),"",NETWORKDAYS(AC2237,TODAY(),#REF!)))</f>
        <v/>
      </c>
      <c r="AF2237" s="619"/>
    </row>
    <row r="2238" spans="1:32" ht="14.25" customHeight="1">
      <c r="A2238" s="176"/>
      <c r="B2238" s="176"/>
      <c r="C2238" s="177"/>
      <c r="D2238" s="176"/>
      <c r="E2238" s="176"/>
      <c r="F2238" s="259"/>
      <c r="G2238" s="176"/>
      <c r="H2238" s="178"/>
      <c r="I2238" s="592">
        <f t="shared" si="86"/>
        <v>0</v>
      </c>
      <c r="J2238" s="178"/>
      <c r="K2238" s="178"/>
      <c r="L2238" s="275" t="str">
        <f>IF(H:H=0,"",IF(ISERROR(VLOOKUP(H:H,produtos_escape2!$A$2:$B$2794,2,FALSE)),"Código não cadastrado",(VLOOKUP(H:H,produtos_escape2!$A$2:$B$2794,2,FALSE))))</f>
        <v/>
      </c>
      <c r="M2238" s="593" t="str">
        <f>IF(H:H=0,"",IF(ISERROR(VLOOKUP(H:H,produtos_escape2!$A$2:$D$2794,2,FALSE)),"Código não cadastrado",(VLOOKUP(H:H,produtos_escape2!$A$2:$D$2794,4,FALSE))))</f>
        <v/>
      </c>
      <c r="N2238" s="486"/>
      <c r="O2238" s="176"/>
      <c r="P2238" s="486"/>
      <c r="Q2238" s="247"/>
      <c r="R2238" s="246">
        <f t="shared" si="85"/>
        <v>0</v>
      </c>
      <c r="S2238" s="177"/>
      <c r="T2238" s="182"/>
      <c r="U2238" s="177"/>
      <c r="V2238" s="177"/>
      <c r="W2238" s="177"/>
      <c r="X2238" s="176"/>
      <c r="Y2238" s="177"/>
      <c r="Z2238" s="415"/>
      <c r="AA2238" s="488"/>
      <c r="AB2238" s="594"/>
      <c r="AC2238" s="595"/>
      <c r="AD2238" s="596" t="str">
        <f>IF(AND(AC2238&lt;&gt;"",S2238&lt;&gt;""),NETWORKDAYS(AC2238,S2238,#REF!),"")</f>
        <v/>
      </c>
      <c r="AE2238" s="596" t="str">
        <f ca="1">IF(AND(AD2238="",AC2238=""),"",IF(OR(AD2238&lt;&gt;"",O2238="*CANCELADO"),"",NETWORKDAYS(AC2238,TODAY(),#REF!)))</f>
        <v/>
      </c>
      <c r="AF2238" s="619"/>
    </row>
    <row r="2239" spans="1:32" ht="14.25" customHeight="1">
      <c r="A2239" s="176"/>
      <c r="B2239" s="176"/>
      <c r="C2239" s="177"/>
      <c r="D2239" s="176"/>
      <c r="E2239" s="176"/>
      <c r="F2239" s="259"/>
      <c r="G2239" s="176"/>
      <c r="H2239" s="178"/>
      <c r="I2239" s="592">
        <f t="shared" si="86"/>
        <v>0</v>
      </c>
      <c r="J2239" s="178"/>
      <c r="K2239" s="178"/>
      <c r="L2239" s="275" t="str">
        <f>IF(H:H=0,"",IF(ISERROR(VLOOKUP(H:H,produtos_escape2!$A$2:$B$2794,2,FALSE)),"Código não cadastrado",(VLOOKUP(H:H,produtos_escape2!$A$2:$B$2794,2,FALSE))))</f>
        <v/>
      </c>
      <c r="M2239" s="593" t="str">
        <f>IF(H:H=0,"",IF(ISERROR(VLOOKUP(H:H,produtos_escape2!$A$2:$D$2794,2,FALSE)),"Código não cadastrado",(VLOOKUP(H:H,produtos_escape2!$A$2:$D$2794,4,FALSE))))</f>
        <v/>
      </c>
      <c r="N2239" s="486"/>
      <c r="O2239" s="176"/>
      <c r="P2239" s="486"/>
      <c r="Q2239" s="247"/>
      <c r="R2239" s="246">
        <f t="shared" si="85"/>
        <v>0</v>
      </c>
      <c r="S2239" s="177"/>
      <c r="T2239" s="182"/>
      <c r="U2239" s="177"/>
      <c r="V2239" s="177"/>
      <c r="W2239" s="177"/>
      <c r="X2239" s="176"/>
      <c r="Y2239" s="177"/>
      <c r="Z2239" s="415"/>
      <c r="AA2239" s="488"/>
      <c r="AB2239" s="594"/>
      <c r="AC2239" s="595"/>
      <c r="AD2239" s="596" t="str">
        <f>IF(AND(AC2239&lt;&gt;"",S2239&lt;&gt;""),NETWORKDAYS(AC2239,S2239,#REF!),"")</f>
        <v/>
      </c>
      <c r="AE2239" s="596" t="str">
        <f ca="1">IF(AND(AD2239="",AC2239=""),"",IF(OR(AD2239&lt;&gt;"",O2239="*CANCELADO"),"",NETWORKDAYS(AC2239,TODAY(),#REF!)))</f>
        <v/>
      </c>
      <c r="AF2239" s="619"/>
    </row>
    <row r="2240" spans="1:32" ht="14.25" customHeight="1">
      <c r="A2240" s="176"/>
      <c r="B2240" s="176"/>
      <c r="C2240" s="177"/>
      <c r="D2240" s="176"/>
      <c r="E2240" s="176"/>
      <c r="F2240" s="259"/>
      <c r="G2240" s="176"/>
      <c r="H2240" s="178"/>
      <c r="I2240" s="592">
        <f t="shared" si="86"/>
        <v>0</v>
      </c>
      <c r="J2240" s="178"/>
      <c r="K2240" s="178"/>
      <c r="L2240" s="275" t="str">
        <f>IF(H:H=0,"",IF(ISERROR(VLOOKUP(H:H,produtos_escape2!$A$2:$B$2794,2,FALSE)),"Código não cadastrado",(VLOOKUP(H:H,produtos_escape2!$A$2:$B$2794,2,FALSE))))</f>
        <v/>
      </c>
      <c r="M2240" s="593" t="str">
        <f>IF(H:H=0,"",IF(ISERROR(VLOOKUP(H:H,produtos_escape2!$A$2:$D$2794,2,FALSE)),"Código não cadastrado",(VLOOKUP(H:H,produtos_escape2!$A$2:$D$2794,4,FALSE))))</f>
        <v/>
      </c>
      <c r="N2240" s="486"/>
      <c r="O2240" s="176"/>
      <c r="P2240" s="486"/>
      <c r="Q2240" s="247"/>
      <c r="R2240" s="246">
        <f t="shared" si="85"/>
        <v>0</v>
      </c>
      <c r="S2240" s="177"/>
      <c r="T2240" s="182"/>
      <c r="U2240" s="177"/>
      <c r="V2240" s="177"/>
      <c r="W2240" s="177"/>
      <c r="X2240" s="176"/>
      <c r="Y2240" s="177"/>
      <c r="Z2240" s="415"/>
      <c r="AA2240" s="488"/>
      <c r="AB2240" s="594"/>
      <c r="AC2240" s="595"/>
      <c r="AD2240" s="596" t="str">
        <f>IF(AND(AC2240&lt;&gt;"",S2240&lt;&gt;""),NETWORKDAYS(AC2240,S2240,#REF!),"")</f>
        <v/>
      </c>
      <c r="AE2240" s="596" t="str">
        <f ca="1">IF(AND(AD2240="",AC2240=""),"",IF(OR(AD2240&lt;&gt;"",O2240="*CANCELADO"),"",NETWORKDAYS(AC2240,TODAY(),#REF!)))</f>
        <v/>
      </c>
      <c r="AF2240" s="619"/>
    </row>
    <row r="2241" spans="1:32" ht="14.25" customHeight="1">
      <c r="A2241" s="176"/>
      <c r="B2241" s="176"/>
      <c r="C2241" s="177"/>
      <c r="D2241" s="176"/>
      <c r="E2241" s="176"/>
      <c r="F2241" s="259"/>
      <c r="G2241" s="176"/>
      <c r="H2241" s="178"/>
      <c r="I2241" s="592">
        <f t="shared" si="86"/>
        <v>0</v>
      </c>
      <c r="J2241" s="178"/>
      <c r="K2241" s="178"/>
      <c r="L2241" s="275" t="str">
        <f>IF(H:H=0,"",IF(ISERROR(VLOOKUP(H:H,produtos_escape2!$A$2:$B$2794,2,FALSE)),"Código não cadastrado",(VLOOKUP(H:H,produtos_escape2!$A$2:$B$2794,2,FALSE))))</f>
        <v/>
      </c>
      <c r="M2241" s="593" t="str">
        <f>IF(H:H=0,"",IF(ISERROR(VLOOKUP(H:H,produtos_escape2!$A$2:$D$2794,2,FALSE)),"Código não cadastrado",(VLOOKUP(H:H,produtos_escape2!$A$2:$D$2794,4,FALSE))))</f>
        <v/>
      </c>
      <c r="N2241" s="486"/>
      <c r="O2241" s="176"/>
      <c r="P2241" s="486"/>
      <c r="Q2241" s="247"/>
      <c r="R2241" s="246">
        <f t="shared" si="85"/>
        <v>0</v>
      </c>
      <c r="S2241" s="177"/>
      <c r="T2241" s="182"/>
      <c r="U2241" s="177"/>
      <c r="V2241" s="177"/>
      <c r="W2241" s="177"/>
      <c r="X2241" s="176"/>
      <c r="Y2241" s="177"/>
      <c r="Z2241" s="415"/>
      <c r="AA2241" s="488"/>
      <c r="AB2241" s="594"/>
      <c r="AC2241" s="595"/>
      <c r="AD2241" s="596" t="str">
        <f>IF(AND(AC2241&lt;&gt;"",S2241&lt;&gt;""),NETWORKDAYS(AC2241,S2241,#REF!),"")</f>
        <v/>
      </c>
      <c r="AE2241" s="596" t="str">
        <f ca="1">IF(AND(AD2241="",AC2241=""),"",IF(OR(AD2241&lt;&gt;"",O2241="*CANCELADO"),"",NETWORKDAYS(AC2241,TODAY(),#REF!)))</f>
        <v/>
      </c>
      <c r="AF2241" s="619"/>
    </row>
    <row r="2242" spans="1:32" ht="14.25" customHeight="1">
      <c r="A2242" s="176"/>
      <c r="B2242" s="176"/>
      <c r="C2242" s="177"/>
      <c r="D2242" s="176"/>
      <c r="E2242" s="176"/>
      <c r="F2242" s="259"/>
      <c r="G2242" s="176"/>
      <c r="H2242" s="178"/>
      <c r="I2242" s="592">
        <f t="shared" si="86"/>
        <v>0</v>
      </c>
      <c r="J2242" s="178"/>
      <c r="K2242" s="178"/>
      <c r="L2242" s="275" t="str">
        <f>IF(H:H=0,"",IF(ISERROR(VLOOKUP(H:H,produtos_escape2!$A$2:$B$2794,2,FALSE)),"Código não cadastrado",(VLOOKUP(H:H,produtos_escape2!$A$2:$B$2794,2,FALSE))))</f>
        <v/>
      </c>
      <c r="M2242" s="593" t="str">
        <f>IF(H:H=0,"",IF(ISERROR(VLOOKUP(H:H,produtos_escape2!$A$2:$D$2794,2,FALSE)),"Código não cadastrado",(VLOOKUP(H:H,produtos_escape2!$A$2:$D$2794,4,FALSE))))</f>
        <v/>
      </c>
      <c r="N2242" s="486"/>
      <c r="O2242" s="176"/>
      <c r="P2242" s="486"/>
      <c r="Q2242" s="247"/>
      <c r="R2242" s="246">
        <f t="shared" si="85"/>
        <v>0</v>
      </c>
      <c r="S2242" s="177"/>
      <c r="T2242" s="182"/>
      <c r="U2242" s="177"/>
      <c r="V2242" s="177"/>
      <c r="W2242" s="177"/>
      <c r="X2242" s="176"/>
      <c r="Y2242" s="177"/>
      <c r="Z2242" s="415"/>
      <c r="AA2242" s="488"/>
      <c r="AB2242" s="594"/>
      <c r="AC2242" s="595"/>
      <c r="AD2242" s="596" t="str">
        <f>IF(AND(AC2242&lt;&gt;"",S2242&lt;&gt;""),NETWORKDAYS(AC2242,S2242,#REF!),"")</f>
        <v/>
      </c>
      <c r="AE2242" s="596" t="str">
        <f ca="1">IF(AND(AD2242="",AC2242=""),"",IF(OR(AD2242&lt;&gt;"",O2242="*CANCELADO"),"",NETWORKDAYS(AC2242,TODAY(),#REF!)))</f>
        <v/>
      </c>
      <c r="AF2242" s="619"/>
    </row>
    <row r="2243" spans="1:32" ht="14.25" customHeight="1">
      <c r="A2243" s="176"/>
      <c r="B2243" s="176"/>
      <c r="C2243" s="177"/>
      <c r="D2243" s="176"/>
      <c r="E2243" s="176"/>
      <c r="F2243" s="259"/>
      <c r="G2243" s="176"/>
      <c r="H2243" s="178"/>
      <c r="I2243" s="592">
        <f t="shared" si="86"/>
        <v>0</v>
      </c>
      <c r="J2243" s="178"/>
      <c r="K2243" s="178"/>
      <c r="L2243" s="275" t="str">
        <f>IF(H:H=0,"",IF(ISERROR(VLOOKUP(H:H,produtos_escape2!$A$2:$B$2794,2,FALSE)),"Código não cadastrado",(VLOOKUP(H:H,produtos_escape2!$A$2:$B$2794,2,FALSE))))</f>
        <v/>
      </c>
      <c r="M2243" s="593" t="str">
        <f>IF(H:H=0,"",IF(ISERROR(VLOOKUP(H:H,produtos_escape2!$A$2:$D$2794,2,FALSE)),"Código não cadastrado",(VLOOKUP(H:H,produtos_escape2!$A$2:$D$2794,4,FALSE))))</f>
        <v/>
      </c>
      <c r="N2243" s="486"/>
      <c r="O2243" s="176"/>
      <c r="P2243" s="486"/>
      <c r="Q2243" s="247"/>
      <c r="R2243" s="246">
        <f t="shared" si="85"/>
        <v>0</v>
      </c>
      <c r="S2243" s="177"/>
      <c r="T2243" s="182"/>
      <c r="U2243" s="177"/>
      <c r="V2243" s="177"/>
      <c r="W2243" s="177"/>
      <c r="X2243" s="176"/>
      <c r="Y2243" s="177"/>
      <c r="Z2243" s="415"/>
      <c r="AA2243" s="488"/>
      <c r="AB2243" s="594"/>
      <c r="AC2243" s="595"/>
      <c r="AD2243" s="596" t="str">
        <f>IF(AND(AC2243&lt;&gt;"",S2243&lt;&gt;""),NETWORKDAYS(AC2243,S2243,#REF!),"")</f>
        <v/>
      </c>
      <c r="AE2243" s="596" t="str">
        <f ca="1">IF(AND(AD2243="",AC2243=""),"",IF(OR(AD2243&lt;&gt;"",O2243="*CANCELADO"),"",NETWORKDAYS(AC2243,TODAY(),#REF!)))</f>
        <v/>
      </c>
      <c r="AF2243" s="619"/>
    </row>
    <row r="2244" spans="1:32" ht="14.25" customHeight="1">
      <c r="A2244" s="176"/>
      <c r="B2244" s="176"/>
      <c r="C2244" s="177"/>
      <c r="D2244" s="176"/>
      <c r="E2244" s="176"/>
      <c r="F2244" s="259"/>
      <c r="G2244" s="176"/>
      <c r="H2244" s="178"/>
      <c r="I2244" s="592">
        <f t="shared" si="86"/>
        <v>0</v>
      </c>
      <c r="J2244" s="178"/>
      <c r="K2244" s="178"/>
      <c r="L2244" s="275" t="str">
        <f>IF(H:H=0,"",IF(ISERROR(VLOOKUP(H:H,produtos_escape2!$A$2:$B$2794,2,FALSE)),"Código não cadastrado",(VLOOKUP(H:H,produtos_escape2!$A$2:$B$2794,2,FALSE))))</f>
        <v/>
      </c>
      <c r="M2244" s="593" t="str">
        <f>IF(H:H=0,"",IF(ISERROR(VLOOKUP(H:H,produtos_escape2!$A$2:$D$2794,2,FALSE)),"Código não cadastrado",(VLOOKUP(H:H,produtos_escape2!$A$2:$D$2794,4,FALSE))))</f>
        <v/>
      </c>
      <c r="N2244" s="486"/>
      <c r="O2244" s="176"/>
      <c r="P2244" s="486"/>
      <c r="Q2244" s="247"/>
      <c r="R2244" s="246">
        <f t="shared" si="85"/>
        <v>0</v>
      </c>
      <c r="S2244" s="177"/>
      <c r="T2244" s="182"/>
      <c r="U2244" s="177"/>
      <c r="V2244" s="177"/>
      <c r="W2244" s="177"/>
      <c r="X2244" s="176"/>
      <c r="Y2244" s="177"/>
      <c r="Z2244" s="415"/>
      <c r="AA2244" s="488"/>
      <c r="AB2244" s="594"/>
      <c r="AC2244" s="595"/>
      <c r="AD2244" s="596" t="str">
        <f>IF(AND(AC2244&lt;&gt;"",S2244&lt;&gt;""),NETWORKDAYS(AC2244,S2244,#REF!),"")</f>
        <v/>
      </c>
      <c r="AE2244" s="596" t="str">
        <f ca="1">IF(AND(AD2244="",AC2244=""),"",IF(OR(AD2244&lt;&gt;"",O2244="*CANCELADO"),"",NETWORKDAYS(AC2244,TODAY(),#REF!)))</f>
        <v/>
      </c>
      <c r="AF2244" s="619"/>
    </row>
    <row r="2245" spans="1:32" ht="14.25" customHeight="1">
      <c r="A2245" s="176"/>
      <c r="B2245" s="176"/>
      <c r="C2245" s="177"/>
      <c r="D2245" s="176"/>
      <c r="E2245" s="176"/>
      <c r="F2245" s="259"/>
      <c r="G2245" s="176"/>
      <c r="H2245" s="178"/>
      <c r="I2245" s="592">
        <f t="shared" si="86"/>
        <v>0</v>
      </c>
      <c r="J2245" s="178"/>
      <c r="K2245" s="178"/>
      <c r="L2245" s="275" t="str">
        <f>IF(H:H=0,"",IF(ISERROR(VLOOKUP(H:H,produtos_escape2!$A$2:$B$2794,2,FALSE)),"Código não cadastrado",(VLOOKUP(H:H,produtos_escape2!$A$2:$B$2794,2,FALSE))))</f>
        <v/>
      </c>
      <c r="M2245" s="593" t="str">
        <f>IF(H:H=0,"",IF(ISERROR(VLOOKUP(H:H,produtos_escape2!$A$2:$D$2794,2,FALSE)),"Código não cadastrado",(VLOOKUP(H:H,produtos_escape2!$A$2:$D$2794,4,FALSE))))</f>
        <v/>
      </c>
      <c r="N2245" s="486"/>
      <c r="O2245" s="176"/>
      <c r="P2245" s="486"/>
      <c r="Q2245" s="247"/>
      <c r="R2245" s="246">
        <f t="shared" si="85"/>
        <v>0</v>
      </c>
      <c r="S2245" s="177"/>
      <c r="T2245" s="182"/>
      <c r="U2245" s="177"/>
      <c r="V2245" s="177"/>
      <c r="W2245" s="177"/>
      <c r="X2245" s="176"/>
      <c r="Y2245" s="177"/>
      <c r="Z2245" s="415"/>
      <c r="AA2245" s="488"/>
      <c r="AB2245" s="594"/>
      <c r="AC2245" s="595"/>
      <c r="AD2245" s="596" t="str">
        <f>IF(AND(AC2245&lt;&gt;"",S2245&lt;&gt;""),NETWORKDAYS(AC2245,S2245,#REF!),"")</f>
        <v/>
      </c>
      <c r="AE2245" s="596" t="str">
        <f ca="1">IF(AND(AD2245="",AC2245=""),"",IF(OR(AD2245&lt;&gt;"",O2245="*CANCELADO"),"",NETWORKDAYS(AC2245,TODAY(),#REF!)))</f>
        <v/>
      </c>
      <c r="AF2245" s="619"/>
    </row>
    <row r="2246" spans="1:32" ht="14.25" customHeight="1">
      <c r="A2246" s="176"/>
      <c r="B2246" s="176"/>
      <c r="C2246" s="177"/>
      <c r="D2246" s="176"/>
      <c r="E2246" s="176"/>
      <c r="F2246" s="259"/>
      <c r="G2246" s="176"/>
      <c r="H2246" s="178"/>
      <c r="I2246" s="592">
        <f t="shared" si="86"/>
        <v>0</v>
      </c>
      <c r="J2246" s="178"/>
      <c r="K2246" s="178"/>
      <c r="L2246" s="275" t="str">
        <f>IF(H:H=0,"",IF(ISERROR(VLOOKUP(H:H,produtos_escape2!$A$2:$B$2794,2,FALSE)),"Código não cadastrado",(VLOOKUP(H:H,produtos_escape2!$A$2:$B$2794,2,FALSE))))</f>
        <v/>
      </c>
      <c r="M2246" s="593" t="str">
        <f>IF(H:H=0,"",IF(ISERROR(VLOOKUP(H:H,produtos_escape2!$A$2:$D$2794,2,FALSE)),"Código não cadastrado",(VLOOKUP(H:H,produtos_escape2!$A$2:$D$2794,4,FALSE))))</f>
        <v/>
      </c>
      <c r="N2246" s="486"/>
      <c r="O2246" s="176"/>
      <c r="P2246" s="486"/>
      <c r="Q2246" s="247"/>
      <c r="R2246" s="246">
        <f t="shared" si="85"/>
        <v>0</v>
      </c>
      <c r="S2246" s="177"/>
      <c r="T2246" s="182"/>
      <c r="U2246" s="177"/>
      <c r="V2246" s="177"/>
      <c r="W2246" s="177"/>
      <c r="X2246" s="176"/>
      <c r="Y2246" s="177"/>
      <c r="Z2246" s="415"/>
      <c r="AA2246" s="488"/>
      <c r="AB2246" s="594"/>
      <c r="AC2246" s="595"/>
      <c r="AD2246" s="596" t="str">
        <f>IF(AND(AC2246&lt;&gt;"",S2246&lt;&gt;""),NETWORKDAYS(AC2246,S2246,#REF!),"")</f>
        <v/>
      </c>
      <c r="AE2246" s="596" t="str">
        <f ca="1">IF(AND(AD2246="",AC2246=""),"",IF(OR(AD2246&lt;&gt;"",O2246="*CANCELADO"),"",NETWORKDAYS(AC2246,TODAY(),#REF!)))</f>
        <v/>
      </c>
      <c r="AF2246" s="619"/>
    </row>
    <row r="2247" spans="1:32" ht="14.25" customHeight="1">
      <c r="A2247" s="176"/>
      <c r="B2247" s="176"/>
      <c r="C2247" s="177"/>
      <c r="D2247" s="176"/>
      <c r="E2247" s="176"/>
      <c r="F2247" s="259"/>
      <c r="G2247" s="176"/>
      <c r="H2247" s="178"/>
      <c r="I2247" s="592">
        <f t="shared" si="86"/>
        <v>0</v>
      </c>
      <c r="J2247" s="178"/>
      <c r="K2247" s="178"/>
      <c r="L2247" s="275" t="str">
        <f>IF(H:H=0,"",IF(ISERROR(VLOOKUP(H:H,produtos_escape2!$A$2:$B$2794,2,FALSE)),"Código não cadastrado",(VLOOKUP(H:H,produtos_escape2!$A$2:$B$2794,2,FALSE))))</f>
        <v/>
      </c>
      <c r="M2247" s="593" t="str">
        <f>IF(H:H=0,"",IF(ISERROR(VLOOKUP(H:H,produtos_escape2!$A$2:$D$2794,2,FALSE)),"Código não cadastrado",(VLOOKUP(H:H,produtos_escape2!$A$2:$D$2794,4,FALSE))))</f>
        <v/>
      </c>
      <c r="N2247" s="486"/>
      <c r="O2247" s="176"/>
      <c r="P2247" s="486"/>
      <c r="Q2247" s="247"/>
      <c r="R2247" s="246">
        <f t="shared" si="85"/>
        <v>0</v>
      </c>
      <c r="S2247" s="177"/>
      <c r="T2247" s="182"/>
      <c r="U2247" s="177"/>
      <c r="V2247" s="177"/>
      <c r="W2247" s="177"/>
      <c r="X2247" s="176"/>
      <c r="Y2247" s="177"/>
      <c r="Z2247" s="415"/>
      <c r="AA2247" s="488"/>
      <c r="AB2247" s="594"/>
      <c r="AC2247" s="595"/>
      <c r="AD2247" s="596" t="str">
        <f>IF(AND(AC2247&lt;&gt;"",S2247&lt;&gt;""),NETWORKDAYS(AC2247,S2247,#REF!),"")</f>
        <v/>
      </c>
      <c r="AE2247" s="596" t="str">
        <f ca="1">IF(AND(AD2247="",AC2247=""),"",IF(OR(AD2247&lt;&gt;"",O2247="*CANCELADO"),"",NETWORKDAYS(AC2247,TODAY(),#REF!)))</f>
        <v/>
      </c>
      <c r="AF2247" s="619"/>
    </row>
    <row r="2248" spans="1:32" ht="14.25" customHeight="1">
      <c r="A2248" s="176"/>
      <c r="B2248" s="176"/>
      <c r="C2248" s="177"/>
      <c r="D2248" s="176"/>
      <c r="E2248" s="176"/>
      <c r="F2248" s="259"/>
      <c r="G2248" s="176"/>
      <c r="H2248" s="178"/>
      <c r="I2248" s="592">
        <f t="shared" si="86"/>
        <v>0</v>
      </c>
      <c r="J2248" s="178"/>
      <c r="K2248" s="178"/>
      <c r="L2248" s="275" t="str">
        <f>IF(H:H=0,"",IF(ISERROR(VLOOKUP(H:H,produtos_escape2!$A$2:$B$2794,2,FALSE)),"Código não cadastrado",(VLOOKUP(H:H,produtos_escape2!$A$2:$B$2794,2,FALSE))))</f>
        <v/>
      </c>
      <c r="M2248" s="593" t="str">
        <f>IF(H:H=0,"",IF(ISERROR(VLOOKUP(H:H,produtos_escape2!$A$2:$D$2794,2,FALSE)),"Código não cadastrado",(VLOOKUP(H:H,produtos_escape2!$A$2:$D$2794,4,FALSE))))</f>
        <v/>
      </c>
      <c r="N2248" s="486"/>
      <c r="O2248" s="176"/>
      <c r="P2248" s="486"/>
      <c r="Q2248" s="247"/>
      <c r="R2248" s="246">
        <f t="shared" si="85"/>
        <v>0</v>
      </c>
      <c r="S2248" s="177"/>
      <c r="T2248" s="182"/>
      <c r="U2248" s="177"/>
      <c r="V2248" s="177"/>
      <c r="W2248" s="177"/>
      <c r="X2248" s="176"/>
      <c r="Y2248" s="177"/>
      <c r="Z2248" s="415"/>
      <c r="AA2248" s="488"/>
      <c r="AB2248" s="594"/>
      <c r="AC2248" s="595"/>
      <c r="AD2248" s="596" t="str">
        <f>IF(AND(AC2248&lt;&gt;"",S2248&lt;&gt;""),NETWORKDAYS(AC2248,S2248,#REF!),"")</f>
        <v/>
      </c>
      <c r="AE2248" s="596" t="str">
        <f ca="1">IF(AND(AD2248="",AC2248=""),"",IF(OR(AD2248&lt;&gt;"",O2248="*CANCELADO"),"",NETWORKDAYS(AC2248,TODAY(),#REF!)))</f>
        <v/>
      </c>
      <c r="AF2248" s="619"/>
    </row>
    <row r="2249" spans="1:32" ht="14.25" customHeight="1">
      <c r="A2249" s="176"/>
      <c r="B2249" s="176"/>
      <c r="C2249" s="177"/>
      <c r="D2249" s="176"/>
      <c r="E2249" s="176"/>
      <c r="F2249" s="259"/>
      <c r="G2249" s="176"/>
      <c r="H2249" s="178"/>
      <c r="I2249" s="592">
        <f t="shared" si="86"/>
        <v>0</v>
      </c>
      <c r="J2249" s="178"/>
      <c r="K2249" s="178"/>
      <c r="L2249" s="275" t="str">
        <f>IF(H:H=0,"",IF(ISERROR(VLOOKUP(H:H,produtos_escape2!$A$2:$B$2794,2,FALSE)),"Código não cadastrado",(VLOOKUP(H:H,produtos_escape2!$A$2:$B$2794,2,FALSE))))</f>
        <v/>
      </c>
      <c r="M2249" s="593" t="str">
        <f>IF(H:H=0,"",IF(ISERROR(VLOOKUP(H:H,produtos_escape2!$A$2:$D$2794,2,FALSE)),"Código não cadastrado",(VLOOKUP(H:H,produtos_escape2!$A$2:$D$2794,4,FALSE))))</f>
        <v/>
      </c>
      <c r="N2249" s="486"/>
      <c r="O2249" s="176"/>
      <c r="P2249" s="486"/>
      <c r="Q2249" s="247"/>
      <c r="R2249" s="246">
        <f t="shared" si="85"/>
        <v>0</v>
      </c>
      <c r="S2249" s="177"/>
      <c r="T2249" s="182"/>
      <c r="U2249" s="177"/>
      <c r="V2249" s="177"/>
      <c r="W2249" s="177"/>
      <c r="X2249" s="176"/>
      <c r="Y2249" s="177"/>
      <c r="Z2249" s="415"/>
      <c r="AA2249" s="488"/>
      <c r="AB2249" s="594"/>
      <c r="AC2249" s="595"/>
      <c r="AD2249" s="596" t="str">
        <f>IF(AND(AC2249&lt;&gt;"",S2249&lt;&gt;""),NETWORKDAYS(AC2249,S2249,#REF!),"")</f>
        <v/>
      </c>
      <c r="AE2249" s="596" t="str">
        <f ca="1">IF(AND(AD2249="",AC2249=""),"",IF(OR(AD2249&lt;&gt;"",O2249="*CANCELADO"),"",NETWORKDAYS(AC2249,TODAY(),#REF!)))</f>
        <v/>
      </c>
      <c r="AF2249" s="619"/>
    </row>
    <row r="2250" spans="1:32" ht="14.25" customHeight="1">
      <c r="A2250" s="176"/>
      <c r="B2250" s="176"/>
      <c r="C2250" s="177"/>
      <c r="D2250" s="176"/>
      <c r="E2250" s="176"/>
      <c r="F2250" s="259"/>
      <c r="G2250" s="176"/>
      <c r="H2250" s="178"/>
      <c r="I2250" s="592">
        <f t="shared" si="86"/>
        <v>0</v>
      </c>
      <c r="J2250" s="178"/>
      <c r="K2250" s="178"/>
      <c r="L2250" s="275" t="str">
        <f>IF(H:H=0,"",IF(ISERROR(VLOOKUP(H:H,produtos_escape2!$A$2:$B$2794,2,FALSE)),"Código não cadastrado",(VLOOKUP(H:H,produtos_escape2!$A$2:$B$2794,2,FALSE))))</f>
        <v/>
      </c>
      <c r="M2250" s="593" t="str">
        <f>IF(H:H=0,"",IF(ISERROR(VLOOKUP(H:H,produtos_escape2!$A$2:$D$2794,2,FALSE)),"Código não cadastrado",(VLOOKUP(H:H,produtos_escape2!$A$2:$D$2794,4,FALSE))))</f>
        <v/>
      </c>
      <c r="N2250" s="486"/>
      <c r="O2250" s="176"/>
      <c r="P2250" s="486"/>
      <c r="Q2250" s="247"/>
      <c r="R2250" s="246">
        <f t="shared" si="85"/>
        <v>0</v>
      </c>
      <c r="S2250" s="177"/>
      <c r="T2250" s="182"/>
      <c r="U2250" s="177"/>
      <c r="V2250" s="177"/>
      <c r="W2250" s="177"/>
      <c r="X2250" s="176"/>
      <c r="Y2250" s="177"/>
      <c r="Z2250" s="415"/>
      <c r="AA2250" s="488"/>
      <c r="AB2250" s="594"/>
      <c r="AC2250" s="595"/>
      <c r="AD2250" s="596" t="str">
        <f>IF(AND(AC2250&lt;&gt;"",S2250&lt;&gt;""),NETWORKDAYS(AC2250,S2250,#REF!),"")</f>
        <v/>
      </c>
      <c r="AE2250" s="596" t="str">
        <f ca="1">IF(AND(AD2250="",AC2250=""),"",IF(OR(AD2250&lt;&gt;"",O2250="*CANCELADO"),"",NETWORKDAYS(AC2250,TODAY(),#REF!)))</f>
        <v/>
      </c>
      <c r="AF2250" s="619"/>
    </row>
    <row r="2251" spans="1:32" ht="14.25" customHeight="1">
      <c r="A2251" s="176"/>
      <c r="B2251" s="176"/>
      <c r="C2251" s="177"/>
      <c r="D2251" s="176"/>
      <c r="E2251" s="176"/>
      <c r="F2251" s="259"/>
      <c r="G2251" s="176"/>
      <c r="H2251" s="178"/>
      <c r="I2251" s="592">
        <f t="shared" si="86"/>
        <v>0</v>
      </c>
      <c r="J2251" s="178"/>
      <c r="K2251" s="178"/>
      <c r="L2251" s="275" t="str">
        <f>IF(H:H=0,"",IF(ISERROR(VLOOKUP(H:H,produtos_escape2!$A$2:$B$2794,2,FALSE)),"Código não cadastrado",(VLOOKUP(H:H,produtos_escape2!$A$2:$B$2794,2,FALSE))))</f>
        <v/>
      </c>
      <c r="M2251" s="593" t="str">
        <f>IF(H:H=0,"",IF(ISERROR(VLOOKUP(H:H,produtos_escape2!$A$2:$D$2794,2,FALSE)),"Código não cadastrado",(VLOOKUP(H:H,produtos_escape2!$A$2:$D$2794,4,FALSE))))</f>
        <v/>
      </c>
      <c r="N2251" s="486"/>
      <c r="O2251" s="176"/>
      <c r="P2251" s="486"/>
      <c r="Q2251" s="247"/>
      <c r="R2251" s="246">
        <f t="shared" si="85"/>
        <v>0</v>
      </c>
      <c r="S2251" s="177"/>
      <c r="T2251" s="182"/>
      <c r="U2251" s="177"/>
      <c r="V2251" s="177"/>
      <c r="W2251" s="177"/>
      <c r="X2251" s="176"/>
      <c r="Y2251" s="177"/>
      <c r="Z2251" s="415"/>
      <c r="AA2251" s="488"/>
      <c r="AB2251" s="594"/>
      <c r="AC2251" s="595"/>
      <c r="AD2251" s="596" t="str">
        <f>IF(AND(AC2251&lt;&gt;"",S2251&lt;&gt;""),NETWORKDAYS(AC2251,S2251,#REF!),"")</f>
        <v/>
      </c>
      <c r="AE2251" s="596" t="str">
        <f ca="1">IF(AND(AD2251="",AC2251=""),"",IF(OR(AD2251&lt;&gt;"",O2251="*CANCELADO"),"",NETWORKDAYS(AC2251,TODAY(),#REF!)))</f>
        <v/>
      </c>
      <c r="AF2251" s="619"/>
    </row>
    <row r="2252" spans="1:32" ht="14.25" customHeight="1">
      <c r="A2252" s="176"/>
      <c r="B2252" s="176"/>
      <c r="C2252" s="177"/>
      <c r="D2252" s="176"/>
      <c r="E2252" s="176"/>
      <c r="F2252" s="259"/>
      <c r="G2252" s="176"/>
      <c r="H2252" s="178"/>
      <c r="I2252" s="592">
        <f t="shared" si="86"/>
        <v>0</v>
      </c>
      <c r="J2252" s="178"/>
      <c r="K2252" s="178"/>
      <c r="L2252" s="275" t="str">
        <f>IF(H:H=0,"",IF(ISERROR(VLOOKUP(H:H,produtos_escape2!$A$2:$B$2794,2,FALSE)),"Código não cadastrado",(VLOOKUP(H:H,produtos_escape2!$A$2:$B$2794,2,FALSE))))</f>
        <v/>
      </c>
      <c r="M2252" s="593" t="str">
        <f>IF(H:H=0,"",IF(ISERROR(VLOOKUP(H:H,produtos_escape2!$A$2:$D$2794,2,FALSE)),"Código não cadastrado",(VLOOKUP(H:H,produtos_escape2!$A$2:$D$2794,4,FALSE))))</f>
        <v/>
      </c>
      <c r="N2252" s="486"/>
      <c r="O2252" s="176"/>
      <c r="P2252" s="486"/>
      <c r="Q2252" s="247"/>
      <c r="R2252" s="246">
        <f t="shared" si="85"/>
        <v>0</v>
      </c>
      <c r="S2252" s="177"/>
      <c r="T2252" s="182"/>
      <c r="U2252" s="177"/>
      <c r="V2252" s="177"/>
      <c r="W2252" s="177"/>
      <c r="X2252" s="176"/>
      <c r="Y2252" s="177"/>
      <c r="Z2252" s="415"/>
      <c r="AA2252" s="488"/>
      <c r="AB2252" s="594"/>
      <c r="AC2252" s="595"/>
      <c r="AD2252" s="596" t="str">
        <f>IF(AND(AC2252&lt;&gt;"",S2252&lt;&gt;""),NETWORKDAYS(AC2252,S2252,#REF!),"")</f>
        <v/>
      </c>
      <c r="AE2252" s="596" t="str">
        <f ca="1">IF(AND(AD2252="",AC2252=""),"",IF(OR(AD2252&lt;&gt;"",O2252="*CANCELADO"),"",NETWORKDAYS(AC2252,TODAY(),#REF!)))</f>
        <v/>
      </c>
      <c r="AF2252" s="619"/>
    </row>
    <row r="2253" spans="1:32" ht="14.25" customHeight="1">
      <c r="A2253" s="176"/>
      <c r="B2253" s="176"/>
      <c r="C2253" s="177"/>
      <c r="D2253" s="176"/>
      <c r="E2253" s="176"/>
      <c r="F2253" s="259"/>
      <c r="G2253" s="176"/>
      <c r="H2253" s="178"/>
      <c r="I2253" s="592">
        <f t="shared" si="86"/>
        <v>0</v>
      </c>
      <c r="J2253" s="178"/>
      <c r="K2253" s="178"/>
      <c r="L2253" s="275" t="str">
        <f>IF(H:H=0,"",IF(ISERROR(VLOOKUP(H:H,produtos_escape2!$A$2:$B$2794,2,FALSE)),"Código não cadastrado",(VLOOKUP(H:H,produtos_escape2!$A$2:$B$2794,2,FALSE))))</f>
        <v/>
      </c>
      <c r="M2253" s="593" t="str">
        <f>IF(H:H=0,"",IF(ISERROR(VLOOKUP(H:H,produtos_escape2!$A$2:$D$2794,2,FALSE)),"Código não cadastrado",(VLOOKUP(H:H,produtos_escape2!$A$2:$D$2794,4,FALSE))))</f>
        <v/>
      </c>
      <c r="N2253" s="486"/>
      <c r="O2253" s="176"/>
      <c r="P2253" s="486"/>
      <c r="Q2253" s="247"/>
      <c r="R2253" s="246">
        <f t="shared" si="85"/>
        <v>0</v>
      </c>
      <c r="S2253" s="177"/>
      <c r="T2253" s="182"/>
      <c r="U2253" s="177"/>
      <c r="V2253" s="177"/>
      <c r="W2253" s="177"/>
      <c r="X2253" s="176"/>
      <c r="Y2253" s="177"/>
      <c r="Z2253" s="415"/>
      <c r="AA2253" s="488"/>
      <c r="AB2253" s="594"/>
      <c r="AC2253" s="595"/>
      <c r="AD2253" s="596" t="str">
        <f>IF(AND(AC2253&lt;&gt;"",S2253&lt;&gt;""),NETWORKDAYS(AC2253,S2253,#REF!),"")</f>
        <v/>
      </c>
      <c r="AE2253" s="596" t="str">
        <f ca="1">IF(AND(AD2253="",AC2253=""),"",IF(OR(AD2253&lt;&gt;"",O2253="*CANCELADO"),"",NETWORKDAYS(AC2253,TODAY(),#REF!)))</f>
        <v/>
      </c>
      <c r="AF2253" s="619"/>
    </row>
    <row r="2254" spans="1:32" ht="14.25" customHeight="1">
      <c r="A2254" s="176"/>
      <c r="B2254" s="176"/>
      <c r="C2254" s="177"/>
      <c r="D2254" s="176"/>
      <c r="E2254" s="176"/>
      <c r="F2254" s="259"/>
      <c r="G2254" s="176"/>
      <c r="H2254" s="178"/>
      <c r="I2254" s="592">
        <f t="shared" si="86"/>
        <v>0</v>
      </c>
      <c r="J2254" s="178"/>
      <c r="K2254" s="178"/>
      <c r="L2254" s="275" t="str">
        <f>IF(H:H=0,"",IF(ISERROR(VLOOKUP(H:H,produtos_escape2!$A$2:$B$2794,2,FALSE)),"Código não cadastrado",(VLOOKUP(H:H,produtos_escape2!$A$2:$B$2794,2,FALSE))))</f>
        <v/>
      </c>
      <c r="M2254" s="593" t="str">
        <f>IF(H:H=0,"",IF(ISERROR(VLOOKUP(H:H,produtos_escape2!$A$2:$D$2794,2,FALSE)),"Código não cadastrado",(VLOOKUP(H:H,produtos_escape2!$A$2:$D$2794,4,FALSE))))</f>
        <v/>
      </c>
      <c r="N2254" s="486"/>
      <c r="O2254" s="176"/>
      <c r="P2254" s="486"/>
      <c r="Q2254" s="247"/>
      <c r="R2254" s="246">
        <f t="shared" si="85"/>
        <v>0</v>
      </c>
      <c r="S2254" s="177"/>
      <c r="T2254" s="182"/>
      <c r="U2254" s="177"/>
      <c r="V2254" s="177"/>
      <c r="W2254" s="177"/>
      <c r="X2254" s="176"/>
      <c r="Y2254" s="177"/>
      <c r="Z2254" s="415"/>
      <c r="AA2254" s="488"/>
      <c r="AB2254" s="594"/>
      <c r="AC2254" s="595"/>
      <c r="AD2254" s="596" t="str">
        <f>IF(AND(AC2254&lt;&gt;"",S2254&lt;&gt;""),NETWORKDAYS(AC2254,S2254,#REF!),"")</f>
        <v/>
      </c>
      <c r="AE2254" s="596" t="str">
        <f ca="1">IF(AND(AD2254="",AC2254=""),"",IF(OR(AD2254&lt;&gt;"",O2254="*CANCELADO"),"",NETWORKDAYS(AC2254,TODAY(),#REF!)))</f>
        <v/>
      </c>
      <c r="AF2254" s="619"/>
    </row>
    <row r="2255" spans="1:32" ht="14.25" customHeight="1">
      <c r="A2255" s="176"/>
      <c r="B2255" s="176"/>
      <c r="C2255" s="177"/>
      <c r="D2255" s="176"/>
      <c r="E2255" s="176"/>
      <c r="F2255" s="259"/>
      <c r="G2255" s="176"/>
      <c r="H2255" s="178"/>
      <c r="I2255" s="592">
        <f t="shared" si="86"/>
        <v>0</v>
      </c>
      <c r="J2255" s="178"/>
      <c r="K2255" s="178"/>
      <c r="L2255" s="275" t="str">
        <f>IF(H:H=0,"",IF(ISERROR(VLOOKUP(H:H,produtos_escape2!$A$2:$B$2794,2,FALSE)),"Código não cadastrado",(VLOOKUP(H:H,produtos_escape2!$A$2:$B$2794,2,FALSE))))</f>
        <v/>
      </c>
      <c r="M2255" s="593" t="str">
        <f>IF(H:H=0,"",IF(ISERROR(VLOOKUP(H:H,produtos_escape2!$A$2:$D$2794,2,FALSE)),"Código não cadastrado",(VLOOKUP(H:H,produtos_escape2!$A$2:$D$2794,4,FALSE))))</f>
        <v/>
      </c>
      <c r="N2255" s="486"/>
      <c r="O2255" s="176"/>
      <c r="P2255" s="486"/>
      <c r="Q2255" s="247"/>
      <c r="R2255" s="246">
        <f t="shared" si="85"/>
        <v>0</v>
      </c>
      <c r="S2255" s="177"/>
      <c r="T2255" s="182"/>
      <c r="U2255" s="177"/>
      <c r="V2255" s="177"/>
      <c r="W2255" s="177"/>
      <c r="X2255" s="176"/>
      <c r="Y2255" s="177"/>
      <c r="Z2255" s="415"/>
      <c r="AA2255" s="488"/>
      <c r="AB2255" s="594"/>
      <c r="AC2255" s="595"/>
      <c r="AD2255" s="596" t="str">
        <f>IF(AND(AC2255&lt;&gt;"",S2255&lt;&gt;""),NETWORKDAYS(AC2255,S2255,#REF!),"")</f>
        <v/>
      </c>
      <c r="AE2255" s="596" t="str">
        <f ca="1">IF(AND(AD2255="",AC2255=""),"",IF(OR(AD2255&lt;&gt;"",O2255="*CANCELADO"),"",NETWORKDAYS(AC2255,TODAY(),#REF!)))</f>
        <v/>
      </c>
      <c r="AF2255" s="619"/>
    </row>
    <row r="2256" spans="1:32" ht="14.25" customHeight="1">
      <c r="A2256" s="176"/>
      <c r="B2256" s="176"/>
      <c r="C2256" s="177"/>
      <c r="D2256" s="176"/>
      <c r="E2256" s="176"/>
      <c r="F2256" s="259"/>
      <c r="G2256" s="176"/>
      <c r="H2256" s="178"/>
      <c r="I2256" s="592">
        <f t="shared" si="86"/>
        <v>0</v>
      </c>
      <c r="J2256" s="178"/>
      <c r="K2256" s="178"/>
      <c r="L2256" s="275" t="str">
        <f>IF(H:H=0,"",IF(ISERROR(VLOOKUP(H:H,produtos_escape2!$A$2:$B$2794,2,FALSE)),"Código não cadastrado",(VLOOKUP(H:H,produtos_escape2!$A$2:$B$2794,2,FALSE))))</f>
        <v/>
      </c>
      <c r="M2256" s="593" t="str">
        <f>IF(H:H=0,"",IF(ISERROR(VLOOKUP(H:H,produtos_escape2!$A$2:$D$2794,2,FALSE)),"Código não cadastrado",(VLOOKUP(H:H,produtos_escape2!$A$2:$D$2794,4,FALSE))))</f>
        <v/>
      </c>
      <c r="N2256" s="486"/>
      <c r="O2256" s="176"/>
      <c r="P2256" s="486"/>
      <c r="Q2256" s="247"/>
      <c r="R2256" s="246">
        <f t="shared" si="85"/>
        <v>0</v>
      </c>
      <c r="S2256" s="177"/>
      <c r="T2256" s="182"/>
      <c r="U2256" s="177"/>
      <c r="V2256" s="177"/>
      <c r="W2256" s="177"/>
      <c r="X2256" s="176"/>
      <c r="Y2256" s="177"/>
      <c r="Z2256" s="415"/>
      <c r="AA2256" s="488"/>
      <c r="AB2256" s="594"/>
      <c r="AC2256" s="595"/>
      <c r="AD2256" s="596" t="str">
        <f>IF(AND(AC2256&lt;&gt;"",S2256&lt;&gt;""),NETWORKDAYS(AC2256,S2256,#REF!),"")</f>
        <v/>
      </c>
      <c r="AE2256" s="596" t="str">
        <f ca="1">IF(AND(AD2256="",AC2256=""),"",IF(OR(AD2256&lt;&gt;"",O2256="*CANCELADO"),"",NETWORKDAYS(AC2256,TODAY(),#REF!)))</f>
        <v/>
      </c>
      <c r="AF2256" s="619"/>
    </row>
    <row r="2257" spans="1:32" ht="14.25" customHeight="1">
      <c r="A2257" s="176"/>
      <c r="B2257" s="176"/>
      <c r="C2257" s="177"/>
      <c r="D2257" s="176"/>
      <c r="E2257" s="176"/>
      <c r="F2257" s="259"/>
      <c r="G2257" s="176"/>
      <c r="H2257" s="178"/>
      <c r="I2257" s="592">
        <f t="shared" si="86"/>
        <v>0</v>
      </c>
      <c r="J2257" s="178"/>
      <c r="K2257" s="178"/>
      <c r="L2257" s="275" t="str">
        <f>IF(H:H=0,"",IF(ISERROR(VLOOKUP(H:H,produtos_escape2!$A$2:$B$2794,2,FALSE)),"Código não cadastrado",(VLOOKUP(H:H,produtos_escape2!$A$2:$B$2794,2,FALSE))))</f>
        <v/>
      </c>
      <c r="M2257" s="593" t="str">
        <f>IF(H:H=0,"",IF(ISERROR(VLOOKUP(H:H,produtos_escape2!$A$2:$D$2794,2,FALSE)),"Código não cadastrado",(VLOOKUP(H:H,produtos_escape2!$A$2:$D$2794,4,FALSE))))</f>
        <v/>
      </c>
      <c r="N2257" s="486"/>
      <c r="O2257" s="176"/>
      <c r="P2257" s="486"/>
      <c r="Q2257" s="247"/>
      <c r="R2257" s="246">
        <f t="shared" si="85"/>
        <v>0</v>
      </c>
      <c r="S2257" s="177"/>
      <c r="T2257" s="182"/>
      <c r="U2257" s="177"/>
      <c r="V2257" s="177"/>
      <c r="W2257" s="177"/>
      <c r="X2257" s="176"/>
      <c r="Y2257" s="177"/>
      <c r="Z2257" s="415"/>
      <c r="AA2257" s="488"/>
      <c r="AB2257" s="594"/>
      <c r="AC2257" s="595"/>
      <c r="AD2257" s="596" t="str">
        <f>IF(AND(AC2257&lt;&gt;"",S2257&lt;&gt;""),NETWORKDAYS(AC2257,S2257,#REF!),"")</f>
        <v/>
      </c>
      <c r="AE2257" s="596" t="str">
        <f ca="1">IF(AND(AD2257="",AC2257=""),"",IF(OR(AD2257&lt;&gt;"",O2257="*CANCELADO"),"",NETWORKDAYS(AC2257,TODAY(),#REF!)))</f>
        <v/>
      </c>
      <c r="AF2257" s="619"/>
    </row>
    <row r="2258" spans="1:32" ht="14.25" customHeight="1">
      <c r="A2258" s="176"/>
      <c r="B2258" s="176"/>
      <c r="C2258" s="177"/>
      <c r="D2258" s="176"/>
      <c r="E2258" s="176"/>
      <c r="F2258" s="259"/>
      <c r="G2258" s="176"/>
      <c r="H2258" s="178"/>
      <c r="I2258" s="592">
        <f t="shared" si="86"/>
        <v>0</v>
      </c>
      <c r="J2258" s="178"/>
      <c r="K2258" s="178"/>
      <c r="L2258" s="275" t="str">
        <f>IF(H:H=0,"",IF(ISERROR(VLOOKUP(H:H,produtos_escape2!$A$2:$B$2794,2,FALSE)),"Código não cadastrado",(VLOOKUP(H:H,produtos_escape2!$A$2:$B$2794,2,FALSE))))</f>
        <v/>
      </c>
      <c r="M2258" s="593" t="str">
        <f>IF(H:H=0,"",IF(ISERROR(VLOOKUP(H:H,produtos_escape2!$A$2:$D$2794,2,FALSE)),"Código não cadastrado",(VLOOKUP(H:H,produtos_escape2!$A$2:$D$2794,4,FALSE))))</f>
        <v/>
      </c>
      <c r="N2258" s="486"/>
      <c r="O2258" s="176"/>
      <c r="P2258" s="486"/>
      <c r="Q2258" s="247"/>
      <c r="R2258" s="246">
        <f t="shared" si="85"/>
        <v>0</v>
      </c>
      <c r="S2258" s="177"/>
      <c r="T2258" s="182"/>
      <c r="U2258" s="177"/>
      <c r="V2258" s="177"/>
      <c r="W2258" s="177"/>
      <c r="X2258" s="176"/>
      <c r="Y2258" s="177"/>
      <c r="Z2258" s="415"/>
      <c r="AA2258" s="488"/>
      <c r="AB2258" s="594"/>
      <c r="AC2258" s="595"/>
      <c r="AD2258" s="596" t="str">
        <f>IF(AND(AC2258&lt;&gt;"",S2258&lt;&gt;""),NETWORKDAYS(AC2258,S2258,#REF!),"")</f>
        <v/>
      </c>
      <c r="AE2258" s="596" t="str">
        <f ca="1">IF(AND(AD2258="",AC2258=""),"",IF(OR(AD2258&lt;&gt;"",O2258="*CANCELADO"),"",NETWORKDAYS(AC2258,TODAY(),#REF!)))</f>
        <v/>
      </c>
      <c r="AF2258" s="619"/>
    </row>
    <row r="2259" spans="1:32" ht="14.25" customHeight="1">
      <c r="A2259" s="176"/>
      <c r="B2259" s="176"/>
      <c r="C2259" s="177"/>
      <c r="D2259" s="176"/>
      <c r="E2259" s="176"/>
      <c r="F2259" s="259"/>
      <c r="G2259" s="176"/>
      <c r="H2259" s="178"/>
      <c r="I2259" s="592">
        <f t="shared" si="86"/>
        <v>0</v>
      </c>
      <c r="J2259" s="178"/>
      <c r="K2259" s="178"/>
      <c r="L2259" s="275" t="str">
        <f>IF(H:H=0,"",IF(ISERROR(VLOOKUP(H:H,produtos_escape2!$A$2:$B$2794,2,FALSE)),"Código não cadastrado",(VLOOKUP(H:H,produtos_escape2!$A$2:$B$2794,2,FALSE))))</f>
        <v/>
      </c>
      <c r="M2259" s="593" t="str">
        <f>IF(H:H=0,"",IF(ISERROR(VLOOKUP(H:H,produtos_escape2!$A$2:$D$2794,2,FALSE)),"Código não cadastrado",(VLOOKUP(H:H,produtos_escape2!$A$2:$D$2794,4,FALSE))))</f>
        <v/>
      </c>
      <c r="N2259" s="486"/>
      <c r="O2259" s="176"/>
      <c r="P2259" s="486"/>
      <c r="Q2259" s="247"/>
      <c r="R2259" s="246">
        <f t="shared" si="85"/>
        <v>0</v>
      </c>
      <c r="S2259" s="177"/>
      <c r="T2259" s="182"/>
      <c r="U2259" s="177"/>
      <c r="V2259" s="177"/>
      <c r="W2259" s="177"/>
      <c r="X2259" s="176"/>
      <c r="Y2259" s="177"/>
      <c r="Z2259" s="415"/>
      <c r="AA2259" s="488"/>
      <c r="AB2259" s="594"/>
      <c r="AC2259" s="595"/>
      <c r="AD2259" s="596" t="str">
        <f>IF(AND(AC2259&lt;&gt;"",S2259&lt;&gt;""),NETWORKDAYS(AC2259,S2259,#REF!),"")</f>
        <v/>
      </c>
      <c r="AE2259" s="596" t="str">
        <f ca="1">IF(AND(AD2259="",AC2259=""),"",IF(OR(AD2259&lt;&gt;"",O2259="*CANCELADO"),"",NETWORKDAYS(AC2259,TODAY(),#REF!)))</f>
        <v/>
      </c>
      <c r="AF2259" s="619"/>
    </row>
    <row r="2260" spans="1:32" ht="14.25" customHeight="1">
      <c r="A2260" s="176"/>
      <c r="B2260" s="176"/>
      <c r="C2260" s="177"/>
      <c r="D2260" s="176"/>
      <c r="E2260" s="176"/>
      <c r="F2260" s="259"/>
      <c r="G2260" s="176"/>
      <c r="H2260" s="178"/>
      <c r="I2260" s="592">
        <f t="shared" si="86"/>
        <v>0</v>
      </c>
      <c r="J2260" s="178"/>
      <c r="K2260" s="178"/>
      <c r="L2260" s="275" t="str">
        <f>IF(H:H=0,"",IF(ISERROR(VLOOKUP(H:H,produtos_escape2!$A$2:$B$2794,2,FALSE)),"Código não cadastrado",(VLOOKUP(H:H,produtos_escape2!$A$2:$B$2794,2,FALSE))))</f>
        <v/>
      </c>
      <c r="M2260" s="593" t="str">
        <f>IF(H:H=0,"",IF(ISERROR(VLOOKUP(H:H,produtos_escape2!$A$2:$D$2794,2,FALSE)),"Código não cadastrado",(VLOOKUP(H:H,produtos_escape2!$A$2:$D$2794,4,FALSE))))</f>
        <v/>
      </c>
      <c r="N2260" s="486"/>
      <c r="O2260" s="176"/>
      <c r="P2260" s="486"/>
      <c r="Q2260" s="247"/>
      <c r="R2260" s="246">
        <f t="shared" si="85"/>
        <v>0</v>
      </c>
      <c r="S2260" s="177"/>
      <c r="T2260" s="182"/>
      <c r="U2260" s="177"/>
      <c r="V2260" s="177"/>
      <c r="W2260" s="177"/>
      <c r="X2260" s="176"/>
      <c r="Y2260" s="177"/>
      <c r="Z2260" s="415"/>
      <c r="AA2260" s="488"/>
      <c r="AB2260" s="594"/>
      <c r="AC2260" s="595"/>
      <c r="AD2260" s="596" t="str">
        <f>IF(AND(AC2260&lt;&gt;"",S2260&lt;&gt;""),NETWORKDAYS(AC2260,S2260,#REF!),"")</f>
        <v/>
      </c>
      <c r="AE2260" s="596" t="str">
        <f ca="1">IF(AND(AD2260="",AC2260=""),"",IF(OR(AD2260&lt;&gt;"",O2260="*CANCELADO"),"",NETWORKDAYS(AC2260,TODAY(),#REF!)))</f>
        <v/>
      </c>
      <c r="AF2260" s="619"/>
    </row>
    <row r="2261" spans="1:32" ht="14.25" customHeight="1">
      <c r="A2261" s="176"/>
      <c r="B2261" s="176"/>
      <c r="C2261" s="177"/>
      <c r="D2261" s="176"/>
      <c r="E2261" s="176"/>
      <c r="F2261" s="259"/>
      <c r="G2261" s="176"/>
      <c r="H2261" s="178"/>
      <c r="I2261" s="592">
        <f t="shared" si="86"/>
        <v>0</v>
      </c>
      <c r="J2261" s="178"/>
      <c r="K2261" s="178"/>
      <c r="L2261" s="275" t="str">
        <f>IF(H:H=0,"",IF(ISERROR(VLOOKUP(H:H,produtos_escape2!$A$2:$B$2794,2,FALSE)),"Código não cadastrado",(VLOOKUP(H:H,produtos_escape2!$A$2:$B$2794,2,FALSE))))</f>
        <v/>
      </c>
      <c r="M2261" s="593" t="str">
        <f>IF(H:H=0,"",IF(ISERROR(VLOOKUP(H:H,produtos_escape2!$A$2:$D$2794,2,FALSE)),"Código não cadastrado",(VLOOKUP(H:H,produtos_escape2!$A$2:$D$2794,4,FALSE))))</f>
        <v/>
      </c>
      <c r="N2261" s="486"/>
      <c r="O2261" s="176"/>
      <c r="P2261" s="486"/>
      <c r="Q2261" s="247"/>
      <c r="R2261" s="246">
        <f t="shared" si="85"/>
        <v>0</v>
      </c>
      <c r="S2261" s="177"/>
      <c r="T2261" s="182"/>
      <c r="U2261" s="177"/>
      <c r="V2261" s="177"/>
      <c r="W2261" s="177"/>
      <c r="X2261" s="176"/>
      <c r="Y2261" s="177"/>
      <c r="Z2261" s="415"/>
      <c r="AA2261" s="488"/>
      <c r="AB2261" s="594"/>
      <c r="AC2261" s="595"/>
      <c r="AD2261" s="596" t="str">
        <f>IF(AND(AC2261&lt;&gt;"",S2261&lt;&gt;""),NETWORKDAYS(AC2261,S2261,#REF!),"")</f>
        <v/>
      </c>
      <c r="AE2261" s="596" t="str">
        <f ca="1">IF(AND(AD2261="",AC2261=""),"",IF(OR(AD2261&lt;&gt;"",O2261="*CANCELADO"),"",NETWORKDAYS(AC2261,TODAY(),#REF!)))</f>
        <v/>
      </c>
      <c r="AF2261" s="619"/>
    </row>
    <row r="2262" spans="1:32" ht="14.25" customHeight="1">
      <c r="A2262" s="176"/>
      <c r="B2262" s="176"/>
      <c r="C2262" s="177"/>
      <c r="D2262" s="176"/>
      <c r="E2262" s="176"/>
      <c r="F2262" s="259"/>
      <c r="G2262" s="176"/>
      <c r="H2262" s="178"/>
      <c r="I2262" s="592">
        <f t="shared" si="86"/>
        <v>0</v>
      </c>
      <c r="J2262" s="178"/>
      <c r="K2262" s="178"/>
      <c r="L2262" s="275" t="str">
        <f>IF(H:H=0,"",IF(ISERROR(VLOOKUP(H:H,produtos_escape2!$A$2:$B$2794,2,FALSE)),"Código não cadastrado",(VLOOKUP(H:H,produtos_escape2!$A$2:$B$2794,2,FALSE))))</f>
        <v/>
      </c>
      <c r="M2262" s="593" t="str">
        <f>IF(H:H=0,"",IF(ISERROR(VLOOKUP(H:H,produtos_escape2!$A$2:$D$2794,2,FALSE)),"Código não cadastrado",(VLOOKUP(H:H,produtos_escape2!$A$2:$D$2794,4,FALSE))))</f>
        <v/>
      </c>
      <c r="N2262" s="486"/>
      <c r="O2262" s="176"/>
      <c r="P2262" s="486"/>
      <c r="Q2262" s="247"/>
      <c r="R2262" s="246">
        <f t="shared" si="85"/>
        <v>0</v>
      </c>
      <c r="S2262" s="177"/>
      <c r="T2262" s="182"/>
      <c r="U2262" s="177"/>
      <c r="V2262" s="177"/>
      <c r="W2262" s="177"/>
      <c r="X2262" s="176"/>
      <c r="Y2262" s="177"/>
      <c r="Z2262" s="415"/>
      <c r="AA2262" s="488"/>
      <c r="AB2262" s="594"/>
      <c r="AC2262" s="595"/>
      <c r="AD2262" s="596" t="str">
        <f>IF(AND(AC2262&lt;&gt;"",S2262&lt;&gt;""),NETWORKDAYS(AC2262,S2262,#REF!),"")</f>
        <v/>
      </c>
      <c r="AE2262" s="596" t="str">
        <f ca="1">IF(AND(AD2262="",AC2262=""),"",IF(OR(AD2262&lt;&gt;"",O2262="*CANCELADO"),"",NETWORKDAYS(AC2262,TODAY(),#REF!)))</f>
        <v/>
      </c>
      <c r="AF2262" s="619"/>
    </row>
    <row r="2263" spans="1:32" ht="14.25" customHeight="1">
      <c r="A2263" s="176"/>
      <c r="B2263" s="176"/>
      <c r="C2263" s="177"/>
      <c r="D2263" s="176"/>
      <c r="E2263" s="176"/>
      <c r="F2263" s="259"/>
      <c r="G2263" s="176"/>
      <c r="H2263" s="178"/>
      <c r="I2263" s="592">
        <f t="shared" si="86"/>
        <v>0</v>
      </c>
      <c r="J2263" s="178"/>
      <c r="K2263" s="178"/>
      <c r="L2263" s="275" t="str">
        <f>IF(H:H=0,"",IF(ISERROR(VLOOKUP(H:H,produtos_escape2!$A$2:$B$2794,2,FALSE)),"Código não cadastrado",(VLOOKUP(H:H,produtos_escape2!$A$2:$B$2794,2,FALSE))))</f>
        <v/>
      </c>
      <c r="M2263" s="593" t="str">
        <f>IF(H:H=0,"",IF(ISERROR(VLOOKUP(H:H,produtos_escape2!$A$2:$D$2794,2,FALSE)),"Código não cadastrado",(VLOOKUP(H:H,produtos_escape2!$A$2:$D$2794,4,FALSE))))</f>
        <v/>
      </c>
      <c r="N2263" s="486"/>
      <c r="O2263" s="176"/>
      <c r="P2263" s="486"/>
      <c r="Q2263" s="247"/>
      <c r="R2263" s="246">
        <f t="shared" si="85"/>
        <v>0</v>
      </c>
      <c r="S2263" s="177"/>
      <c r="T2263" s="182"/>
      <c r="U2263" s="177"/>
      <c r="V2263" s="177"/>
      <c r="W2263" s="177"/>
      <c r="X2263" s="176"/>
      <c r="Y2263" s="177"/>
      <c r="Z2263" s="415"/>
      <c r="AA2263" s="488"/>
      <c r="AB2263" s="594"/>
      <c r="AC2263" s="595"/>
      <c r="AD2263" s="596" t="str">
        <f>IF(AND(AC2263&lt;&gt;"",S2263&lt;&gt;""),NETWORKDAYS(AC2263,S2263,#REF!),"")</f>
        <v/>
      </c>
      <c r="AE2263" s="596" t="str">
        <f ca="1">IF(AND(AD2263="",AC2263=""),"",IF(OR(AD2263&lt;&gt;"",O2263="*CANCELADO"),"",NETWORKDAYS(AC2263,TODAY(),#REF!)))</f>
        <v/>
      </c>
      <c r="AF2263" s="619"/>
    </row>
    <row r="2264" spans="1:32" ht="14.25" customHeight="1">
      <c r="A2264" s="176"/>
      <c r="B2264" s="176"/>
      <c r="C2264" s="177"/>
      <c r="D2264" s="176"/>
      <c r="E2264" s="176"/>
      <c r="F2264" s="259"/>
      <c r="G2264" s="176"/>
      <c r="H2264" s="178"/>
      <c r="I2264" s="592">
        <f t="shared" si="86"/>
        <v>0</v>
      </c>
      <c r="J2264" s="178"/>
      <c r="K2264" s="178"/>
      <c r="L2264" s="275" t="str">
        <f>IF(H:H=0,"",IF(ISERROR(VLOOKUP(H:H,produtos_escape2!$A$2:$B$2794,2,FALSE)),"Código não cadastrado",(VLOOKUP(H:H,produtos_escape2!$A$2:$B$2794,2,FALSE))))</f>
        <v/>
      </c>
      <c r="M2264" s="593" t="str">
        <f>IF(H:H=0,"",IF(ISERROR(VLOOKUP(H:H,produtos_escape2!$A$2:$D$2794,2,FALSE)),"Código não cadastrado",(VLOOKUP(H:H,produtos_escape2!$A$2:$D$2794,4,FALSE))))</f>
        <v/>
      </c>
      <c r="N2264" s="486"/>
      <c r="O2264" s="176"/>
      <c r="P2264" s="486"/>
      <c r="Q2264" s="247"/>
      <c r="R2264" s="246">
        <f t="shared" si="85"/>
        <v>0</v>
      </c>
      <c r="S2264" s="177"/>
      <c r="T2264" s="182"/>
      <c r="U2264" s="177"/>
      <c r="V2264" s="177"/>
      <c r="W2264" s="177"/>
      <c r="X2264" s="176"/>
      <c r="Y2264" s="177"/>
      <c r="Z2264" s="415"/>
      <c r="AA2264" s="488"/>
      <c r="AB2264" s="594"/>
      <c r="AC2264" s="595"/>
      <c r="AD2264" s="596" t="str">
        <f>IF(AND(AC2264&lt;&gt;"",S2264&lt;&gt;""),NETWORKDAYS(AC2264,S2264,#REF!),"")</f>
        <v/>
      </c>
      <c r="AE2264" s="596" t="str">
        <f ca="1">IF(AND(AD2264="",AC2264=""),"",IF(OR(AD2264&lt;&gt;"",O2264="*CANCELADO"),"",NETWORKDAYS(AC2264,TODAY(),#REF!)))</f>
        <v/>
      </c>
      <c r="AF2264" s="619"/>
    </row>
    <row r="2265" spans="1:32" ht="14.25" customHeight="1">
      <c r="A2265" s="176"/>
      <c r="B2265" s="176"/>
      <c r="C2265" s="177"/>
      <c r="D2265" s="176"/>
      <c r="E2265" s="176"/>
      <c r="F2265" s="259"/>
      <c r="G2265" s="176"/>
      <c r="H2265" s="178"/>
      <c r="I2265" s="592">
        <f t="shared" si="86"/>
        <v>0</v>
      </c>
      <c r="J2265" s="178"/>
      <c r="K2265" s="178"/>
      <c r="L2265" s="275" t="str">
        <f>IF(H:H=0,"",IF(ISERROR(VLOOKUP(H:H,produtos_escape2!$A$2:$B$2794,2,FALSE)),"Código não cadastrado",(VLOOKUP(H:H,produtos_escape2!$A$2:$B$2794,2,FALSE))))</f>
        <v/>
      </c>
      <c r="M2265" s="593" t="str">
        <f>IF(H:H=0,"",IF(ISERROR(VLOOKUP(H:H,produtos_escape2!$A$2:$D$2794,2,FALSE)),"Código não cadastrado",(VLOOKUP(H:H,produtos_escape2!$A$2:$D$2794,4,FALSE))))</f>
        <v/>
      </c>
      <c r="N2265" s="486"/>
      <c r="O2265" s="176"/>
      <c r="P2265" s="486"/>
      <c r="Q2265" s="247"/>
      <c r="R2265" s="246">
        <f t="shared" si="85"/>
        <v>0</v>
      </c>
      <c r="S2265" s="177"/>
      <c r="T2265" s="182"/>
      <c r="U2265" s="177"/>
      <c r="V2265" s="177"/>
      <c r="W2265" s="177"/>
      <c r="X2265" s="176"/>
      <c r="Y2265" s="177"/>
      <c r="Z2265" s="415"/>
      <c r="AA2265" s="488"/>
      <c r="AB2265" s="594"/>
      <c r="AC2265" s="595"/>
      <c r="AD2265" s="596" t="str">
        <f>IF(AND(AC2265&lt;&gt;"",S2265&lt;&gt;""),NETWORKDAYS(AC2265,S2265,#REF!),"")</f>
        <v/>
      </c>
      <c r="AE2265" s="596" t="str">
        <f ca="1">IF(AND(AD2265="",AC2265=""),"",IF(OR(AD2265&lt;&gt;"",O2265="*CANCELADO"),"",NETWORKDAYS(AC2265,TODAY(),#REF!)))</f>
        <v/>
      </c>
      <c r="AF2265" s="619"/>
    </row>
    <row r="2266" spans="1:32" ht="14.25" customHeight="1">
      <c r="A2266" s="176"/>
      <c r="B2266" s="176"/>
      <c r="C2266" s="177"/>
      <c r="D2266" s="176"/>
      <c r="E2266" s="176"/>
      <c r="F2266" s="259"/>
      <c r="G2266" s="176"/>
      <c r="H2266" s="178"/>
      <c r="I2266" s="592">
        <f t="shared" si="86"/>
        <v>0</v>
      </c>
      <c r="J2266" s="178"/>
      <c r="K2266" s="178"/>
      <c r="L2266" s="275" t="str">
        <f>IF(H:H=0,"",IF(ISERROR(VLOOKUP(H:H,produtos_escape2!$A$2:$B$2794,2,FALSE)),"Código não cadastrado",(VLOOKUP(H:H,produtos_escape2!$A$2:$B$2794,2,FALSE))))</f>
        <v/>
      </c>
      <c r="M2266" s="593" t="str">
        <f>IF(H:H=0,"",IF(ISERROR(VLOOKUP(H:H,produtos_escape2!$A$2:$D$2794,2,FALSE)),"Código não cadastrado",(VLOOKUP(H:H,produtos_escape2!$A$2:$D$2794,4,FALSE))))</f>
        <v/>
      </c>
      <c r="N2266" s="486"/>
      <c r="O2266" s="176"/>
      <c r="P2266" s="486"/>
      <c r="Q2266" s="247"/>
      <c r="R2266" s="246">
        <f t="shared" si="85"/>
        <v>0</v>
      </c>
      <c r="S2266" s="177"/>
      <c r="T2266" s="182"/>
      <c r="U2266" s="177"/>
      <c r="V2266" s="177"/>
      <c r="W2266" s="177"/>
      <c r="X2266" s="176"/>
      <c r="Y2266" s="177"/>
      <c r="Z2266" s="415"/>
      <c r="AA2266" s="488"/>
      <c r="AB2266" s="594"/>
      <c r="AC2266" s="595"/>
      <c r="AD2266" s="596" t="str">
        <f>IF(AND(AC2266&lt;&gt;"",S2266&lt;&gt;""),NETWORKDAYS(AC2266,S2266,#REF!),"")</f>
        <v/>
      </c>
      <c r="AE2266" s="596" t="str">
        <f ca="1">IF(AND(AD2266="",AC2266=""),"",IF(OR(AD2266&lt;&gt;"",O2266="*CANCELADO"),"",NETWORKDAYS(AC2266,TODAY(),#REF!)))</f>
        <v/>
      </c>
      <c r="AF2266" s="619"/>
    </row>
    <row r="2267" spans="1:32" ht="14.25" customHeight="1">
      <c r="A2267" s="176"/>
      <c r="B2267" s="176"/>
      <c r="C2267" s="177"/>
      <c r="D2267" s="176"/>
      <c r="E2267" s="176"/>
      <c r="F2267" s="259"/>
      <c r="G2267" s="176"/>
      <c r="H2267" s="178"/>
      <c r="I2267" s="592">
        <f t="shared" si="86"/>
        <v>0</v>
      </c>
      <c r="J2267" s="178"/>
      <c r="K2267" s="178"/>
      <c r="L2267" s="275" t="str">
        <f>IF(H:H=0,"",IF(ISERROR(VLOOKUP(H:H,produtos_escape2!$A$2:$B$2794,2,FALSE)),"Código não cadastrado",(VLOOKUP(H:H,produtos_escape2!$A$2:$B$2794,2,FALSE))))</f>
        <v/>
      </c>
      <c r="M2267" s="593" t="str">
        <f>IF(H:H=0,"",IF(ISERROR(VLOOKUP(H:H,produtos_escape2!$A$2:$D$2794,2,FALSE)),"Código não cadastrado",(VLOOKUP(H:H,produtos_escape2!$A$2:$D$2794,4,FALSE))))</f>
        <v/>
      </c>
      <c r="N2267" s="486"/>
      <c r="O2267" s="176"/>
      <c r="P2267" s="486"/>
      <c r="Q2267" s="247"/>
      <c r="R2267" s="246">
        <f t="shared" si="85"/>
        <v>0</v>
      </c>
      <c r="S2267" s="177"/>
      <c r="T2267" s="182"/>
      <c r="U2267" s="177"/>
      <c r="V2267" s="177"/>
      <c r="W2267" s="177"/>
      <c r="X2267" s="176"/>
      <c r="Y2267" s="177"/>
      <c r="Z2267" s="415"/>
      <c r="AA2267" s="488"/>
      <c r="AB2267" s="594"/>
      <c r="AC2267" s="595"/>
      <c r="AD2267" s="596" t="str">
        <f>IF(AND(AC2267&lt;&gt;"",S2267&lt;&gt;""),NETWORKDAYS(AC2267,S2267,#REF!),"")</f>
        <v/>
      </c>
      <c r="AE2267" s="596" t="str">
        <f ca="1">IF(AND(AD2267="",AC2267=""),"",IF(OR(AD2267&lt;&gt;"",O2267="*CANCELADO"),"",NETWORKDAYS(AC2267,TODAY(),#REF!)))</f>
        <v/>
      </c>
      <c r="AF2267" s="619"/>
    </row>
    <row r="2268" spans="1:32" ht="14.25" customHeight="1">
      <c r="A2268" s="176"/>
      <c r="B2268" s="176"/>
      <c r="C2268" s="177"/>
      <c r="D2268" s="176"/>
      <c r="E2268" s="176"/>
      <c r="F2268" s="259"/>
      <c r="G2268" s="176"/>
      <c r="H2268" s="178"/>
      <c r="I2268" s="592">
        <f t="shared" si="86"/>
        <v>0</v>
      </c>
      <c r="J2268" s="178"/>
      <c r="K2268" s="178"/>
      <c r="L2268" s="275" t="str">
        <f>IF(H:H=0,"",IF(ISERROR(VLOOKUP(H:H,produtos_escape2!$A$2:$B$2794,2,FALSE)),"Código não cadastrado",(VLOOKUP(H:H,produtos_escape2!$A$2:$B$2794,2,FALSE))))</f>
        <v/>
      </c>
      <c r="M2268" s="593" t="str">
        <f>IF(H:H=0,"",IF(ISERROR(VLOOKUP(H:H,produtos_escape2!$A$2:$D$2794,2,FALSE)),"Código não cadastrado",(VLOOKUP(H:H,produtos_escape2!$A$2:$D$2794,4,FALSE))))</f>
        <v/>
      </c>
      <c r="N2268" s="486"/>
      <c r="O2268" s="176"/>
      <c r="P2268" s="486"/>
      <c r="Q2268" s="247"/>
      <c r="R2268" s="246">
        <f t="shared" si="85"/>
        <v>0</v>
      </c>
      <c r="S2268" s="177"/>
      <c r="T2268" s="182"/>
      <c r="U2268" s="177"/>
      <c r="V2268" s="177"/>
      <c r="W2268" s="177"/>
      <c r="X2268" s="176"/>
      <c r="Y2268" s="177"/>
      <c r="Z2268" s="415"/>
      <c r="AA2268" s="488"/>
      <c r="AB2268" s="594"/>
      <c r="AC2268" s="595"/>
      <c r="AD2268" s="596" t="str">
        <f>IF(AND(AC2268&lt;&gt;"",S2268&lt;&gt;""),NETWORKDAYS(AC2268,S2268,#REF!),"")</f>
        <v/>
      </c>
      <c r="AE2268" s="596" t="str">
        <f ca="1">IF(AND(AD2268="",AC2268=""),"",IF(OR(AD2268&lt;&gt;"",O2268="*CANCELADO"),"",NETWORKDAYS(AC2268,TODAY(),#REF!)))</f>
        <v/>
      </c>
      <c r="AF2268" s="619"/>
    </row>
    <row r="2269" spans="1:32" ht="14.25" customHeight="1">
      <c r="A2269" s="176"/>
      <c r="B2269" s="176"/>
      <c r="C2269" s="177"/>
      <c r="D2269" s="176"/>
      <c r="E2269" s="176"/>
      <c r="F2269" s="259"/>
      <c r="G2269" s="176"/>
      <c r="H2269" s="178"/>
      <c r="I2269" s="592">
        <f t="shared" si="86"/>
        <v>0</v>
      </c>
      <c r="J2269" s="178"/>
      <c r="K2269" s="178"/>
      <c r="L2269" s="275" t="str">
        <f>IF(H:H=0,"",IF(ISERROR(VLOOKUP(H:H,produtos_escape2!$A$2:$B$2794,2,FALSE)),"Código não cadastrado",(VLOOKUP(H:H,produtos_escape2!$A$2:$B$2794,2,FALSE))))</f>
        <v/>
      </c>
      <c r="M2269" s="593" t="str">
        <f>IF(H:H=0,"",IF(ISERROR(VLOOKUP(H:H,produtos_escape2!$A$2:$D$2794,2,FALSE)),"Código não cadastrado",(VLOOKUP(H:H,produtos_escape2!$A$2:$D$2794,4,FALSE))))</f>
        <v/>
      </c>
      <c r="N2269" s="486"/>
      <c r="O2269" s="176"/>
      <c r="P2269" s="486"/>
      <c r="Q2269" s="247"/>
      <c r="R2269" s="246">
        <f t="shared" si="85"/>
        <v>0</v>
      </c>
      <c r="S2269" s="177"/>
      <c r="T2269" s="182"/>
      <c r="U2269" s="177"/>
      <c r="V2269" s="177"/>
      <c r="W2269" s="177"/>
      <c r="X2269" s="176"/>
      <c r="Y2269" s="177"/>
      <c r="Z2269" s="415"/>
      <c r="AA2269" s="488"/>
      <c r="AB2269" s="594"/>
      <c r="AC2269" s="595"/>
      <c r="AD2269" s="596" t="str">
        <f>IF(AND(AC2269&lt;&gt;"",S2269&lt;&gt;""),NETWORKDAYS(AC2269,S2269,#REF!),"")</f>
        <v/>
      </c>
      <c r="AE2269" s="596" t="str">
        <f ca="1">IF(AND(AD2269="",AC2269=""),"",IF(OR(AD2269&lt;&gt;"",O2269="*CANCELADO"),"",NETWORKDAYS(AC2269,TODAY(),#REF!)))</f>
        <v/>
      </c>
      <c r="AF2269" s="619"/>
    </row>
    <row r="2270" spans="1:32" ht="14.25" customHeight="1">
      <c r="A2270" s="176"/>
      <c r="B2270" s="176"/>
      <c r="C2270" s="177"/>
      <c r="D2270" s="176"/>
      <c r="E2270" s="176"/>
      <c r="F2270" s="259"/>
      <c r="G2270" s="176"/>
      <c r="H2270" s="178"/>
      <c r="I2270" s="592">
        <f t="shared" si="86"/>
        <v>0</v>
      </c>
      <c r="J2270" s="178"/>
      <c r="K2270" s="178"/>
      <c r="L2270" s="275" t="str">
        <f>IF(H:H=0,"",IF(ISERROR(VLOOKUP(H:H,produtos_escape2!$A$2:$B$2794,2,FALSE)),"Código não cadastrado",(VLOOKUP(H:H,produtos_escape2!$A$2:$B$2794,2,FALSE))))</f>
        <v/>
      </c>
      <c r="M2270" s="593" t="str">
        <f>IF(H:H=0,"",IF(ISERROR(VLOOKUP(H:H,produtos_escape2!$A$2:$D$2794,2,FALSE)),"Código não cadastrado",(VLOOKUP(H:H,produtos_escape2!$A$2:$D$2794,4,FALSE))))</f>
        <v/>
      </c>
      <c r="N2270" s="486"/>
      <c r="O2270" s="176"/>
      <c r="P2270" s="486"/>
      <c r="Q2270" s="247"/>
      <c r="R2270" s="246">
        <f t="shared" si="85"/>
        <v>0</v>
      </c>
      <c r="S2270" s="177"/>
      <c r="T2270" s="182"/>
      <c r="U2270" s="177"/>
      <c r="V2270" s="177"/>
      <c r="W2270" s="177"/>
      <c r="X2270" s="176"/>
      <c r="Y2270" s="177"/>
      <c r="Z2270" s="415"/>
      <c r="AA2270" s="488"/>
      <c r="AB2270" s="594"/>
      <c r="AC2270" s="595"/>
      <c r="AD2270" s="596" t="str">
        <f>IF(AND(AC2270&lt;&gt;"",S2270&lt;&gt;""),NETWORKDAYS(AC2270,S2270,#REF!),"")</f>
        <v/>
      </c>
      <c r="AE2270" s="596" t="str">
        <f ca="1">IF(AND(AD2270="",AC2270=""),"",IF(OR(AD2270&lt;&gt;"",O2270="*CANCELADO"),"",NETWORKDAYS(AC2270,TODAY(),#REF!)))</f>
        <v/>
      </c>
      <c r="AF2270" s="619"/>
    </row>
    <row r="2271" spans="1:32" ht="14.25" customHeight="1">
      <c r="A2271" s="176"/>
      <c r="B2271" s="176"/>
      <c r="C2271" s="177"/>
      <c r="D2271" s="176"/>
      <c r="E2271" s="176"/>
      <c r="F2271" s="259"/>
      <c r="G2271" s="176"/>
      <c r="H2271" s="178"/>
      <c r="I2271" s="592">
        <f t="shared" si="86"/>
        <v>0</v>
      </c>
      <c r="J2271" s="178"/>
      <c r="K2271" s="178"/>
      <c r="L2271" s="275" t="str">
        <f>IF(H:H=0,"",IF(ISERROR(VLOOKUP(H:H,produtos_escape2!$A$2:$B$2794,2,FALSE)),"Código não cadastrado",(VLOOKUP(H:H,produtos_escape2!$A$2:$B$2794,2,FALSE))))</f>
        <v/>
      </c>
      <c r="M2271" s="593" t="str">
        <f>IF(H:H=0,"",IF(ISERROR(VLOOKUP(H:H,produtos_escape2!$A$2:$D$2794,2,FALSE)),"Código não cadastrado",(VLOOKUP(H:H,produtos_escape2!$A$2:$D$2794,4,FALSE))))</f>
        <v/>
      </c>
      <c r="N2271" s="486"/>
      <c r="O2271" s="176"/>
      <c r="P2271" s="486"/>
      <c r="Q2271" s="247"/>
      <c r="R2271" s="246">
        <f t="shared" si="85"/>
        <v>0</v>
      </c>
      <c r="S2271" s="177"/>
      <c r="T2271" s="182"/>
      <c r="U2271" s="177"/>
      <c r="V2271" s="177"/>
      <c r="W2271" s="177"/>
      <c r="X2271" s="176"/>
      <c r="Y2271" s="177"/>
      <c r="Z2271" s="415"/>
      <c r="AA2271" s="488"/>
      <c r="AB2271" s="594"/>
      <c r="AC2271" s="595"/>
      <c r="AD2271" s="596" t="str">
        <f>IF(AND(AC2271&lt;&gt;"",S2271&lt;&gt;""),NETWORKDAYS(AC2271,S2271,#REF!),"")</f>
        <v/>
      </c>
      <c r="AE2271" s="596" t="str">
        <f ca="1">IF(AND(AD2271="",AC2271=""),"",IF(OR(AD2271&lt;&gt;"",O2271="*CANCELADO"),"",NETWORKDAYS(AC2271,TODAY(),#REF!)))</f>
        <v/>
      </c>
      <c r="AF2271" s="619"/>
    </row>
    <row r="2272" spans="1:32" ht="14.25" customHeight="1">
      <c r="A2272" s="176"/>
      <c r="B2272" s="176"/>
      <c r="C2272" s="177"/>
      <c r="D2272" s="176"/>
      <c r="E2272" s="176"/>
      <c r="F2272" s="259"/>
      <c r="G2272" s="176"/>
      <c r="H2272" s="178"/>
      <c r="I2272" s="592">
        <f t="shared" si="86"/>
        <v>0</v>
      </c>
      <c r="J2272" s="178"/>
      <c r="K2272" s="178"/>
      <c r="L2272" s="275" t="str">
        <f>IF(H:H=0,"",IF(ISERROR(VLOOKUP(H:H,produtos_escape2!$A$2:$B$2794,2,FALSE)),"Código não cadastrado",(VLOOKUP(H:H,produtos_escape2!$A$2:$B$2794,2,FALSE))))</f>
        <v/>
      </c>
      <c r="M2272" s="593" t="str">
        <f>IF(H:H=0,"",IF(ISERROR(VLOOKUP(H:H,produtos_escape2!$A$2:$D$2794,2,FALSE)),"Código não cadastrado",(VLOOKUP(H:H,produtos_escape2!$A$2:$D$2794,4,FALSE))))</f>
        <v/>
      </c>
      <c r="N2272" s="486"/>
      <c r="O2272" s="176"/>
      <c r="P2272" s="486"/>
      <c r="Q2272" s="247"/>
      <c r="R2272" s="246">
        <f t="shared" si="85"/>
        <v>0</v>
      </c>
      <c r="S2272" s="177"/>
      <c r="T2272" s="182"/>
      <c r="U2272" s="177"/>
      <c r="V2272" s="177"/>
      <c r="W2272" s="177"/>
      <c r="X2272" s="176"/>
      <c r="Y2272" s="177"/>
      <c r="Z2272" s="415"/>
      <c r="AA2272" s="488"/>
      <c r="AB2272" s="594"/>
      <c r="AC2272" s="595"/>
      <c r="AD2272" s="596" t="str">
        <f>IF(AND(AC2272&lt;&gt;"",S2272&lt;&gt;""),NETWORKDAYS(AC2272,S2272,#REF!),"")</f>
        <v/>
      </c>
      <c r="AE2272" s="596" t="str">
        <f ca="1">IF(AND(AD2272="",AC2272=""),"",IF(OR(AD2272&lt;&gt;"",O2272="*CANCELADO"),"",NETWORKDAYS(AC2272,TODAY(),#REF!)))</f>
        <v/>
      </c>
      <c r="AF2272" s="619"/>
    </row>
    <row r="2273" spans="1:32" ht="14.25" customHeight="1">
      <c r="A2273" s="176"/>
      <c r="B2273" s="176"/>
      <c r="C2273" s="177"/>
      <c r="D2273" s="176"/>
      <c r="E2273" s="176"/>
      <c r="F2273" s="259"/>
      <c r="G2273" s="176"/>
      <c r="H2273" s="178"/>
      <c r="I2273" s="592">
        <f t="shared" si="86"/>
        <v>0</v>
      </c>
      <c r="J2273" s="178"/>
      <c r="K2273" s="178"/>
      <c r="L2273" s="275" t="str">
        <f>IF(H:H=0,"",IF(ISERROR(VLOOKUP(H:H,produtos_escape2!$A$2:$B$2794,2,FALSE)),"Código não cadastrado",(VLOOKUP(H:H,produtos_escape2!$A$2:$B$2794,2,FALSE))))</f>
        <v/>
      </c>
      <c r="M2273" s="593" t="str">
        <f>IF(H:H=0,"",IF(ISERROR(VLOOKUP(H:H,produtos_escape2!$A$2:$D$2794,2,FALSE)),"Código não cadastrado",(VLOOKUP(H:H,produtos_escape2!$A$2:$D$2794,4,FALSE))))</f>
        <v/>
      </c>
      <c r="N2273" s="486"/>
      <c r="O2273" s="176"/>
      <c r="P2273" s="486"/>
      <c r="Q2273" s="247"/>
      <c r="R2273" s="246">
        <f t="shared" si="85"/>
        <v>0</v>
      </c>
      <c r="S2273" s="177"/>
      <c r="T2273" s="182"/>
      <c r="U2273" s="177"/>
      <c r="V2273" s="177"/>
      <c r="W2273" s="177"/>
      <c r="X2273" s="176"/>
      <c r="Y2273" s="177"/>
      <c r="Z2273" s="415"/>
      <c r="AA2273" s="488"/>
      <c r="AB2273" s="594"/>
      <c r="AC2273" s="595"/>
      <c r="AD2273" s="596" t="str">
        <f>IF(AND(AC2273&lt;&gt;"",S2273&lt;&gt;""),NETWORKDAYS(AC2273,S2273,#REF!),"")</f>
        <v/>
      </c>
      <c r="AE2273" s="596" t="str">
        <f ca="1">IF(AND(AD2273="",AC2273=""),"",IF(OR(AD2273&lt;&gt;"",O2273="*CANCELADO"),"",NETWORKDAYS(AC2273,TODAY(),#REF!)))</f>
        <v/>
      </c>
      <c r="AF2273" s="619"/>
    </row>
    <row r="2274" spans="1:32" ht="14.25" customHeight="1">
      <c r="A2274" s="176"/>
      <c r="B2274" s="176"/>
      <c r="C2274" s="177"/>
      <c r="D2274" s="176"/>
      <c r="E2274" s="176"/>
      <c r="F2274" s="259"/>
      <c r="G2274" s="176"/>
      <c r="H2274" s="178"/>
      <c r="I2274" s="592">
        <f t="shared" si="86"/>
        <v>0</v>
      </c>
      <c r="J2274" s="178"/>
      <c r="K2274" s="178"/>
      <c r="L2274" s="275" t="str">
        <f>IF(H:H=0,"",IF(ISERROR(VLOOKUP(H:H,produtos_escape2!$A$2:$B$2794,2,FALSE)),"Código não cadastrado",(VLOOKUP(H:H,produtos_escape2!$A$2:$B$2794,2,FALSE))))</f>
        <v/>
      </c>
      <c r="M2274" s="593" t="str">
        <f>IF(H:H=0,"",IF(ISERROR(VLOOKUP(H:H,produtos_escape2!$A$2:$D$2794,2,FALSE)),"Código não cadastrado",(VLOOKUP(H:H,produtos_escape2!$A$2:$D$2794,4,FALSE))))</f>
        <v/>
      </c>
      <c r="N2274" s="486"/>
      <c r="O2274" s="176"/>
      <c r="P2274" s="486"/>
      <c r="Q2274" s="247"/>
      <c r="R2274" s="246">
        <f t="shared" si="85"/>
        <v>0</v>
      </c>
      <c r="S2274" s="177"/>
      <c r="T2274" s="182"/>
      <c r="U2274" s="177"/>
      <c r="V2274" s="177"/>
      <c r="W2274" s="177"/>
      <c r="X2274" s="176"/>
      <c r="Y2274" s="177"/>
      <c r="Z2274" s="415"/>
      <c r="AA2274" s="488"/>
      <c r="AB2274" s="594"/>
      <c r="AC2274" s="595"/>
      <c r="AD2274" s="596" t="str">
        <f>IF(AND(AC2274&lt;&gt;"",S2274&lt;&gt;""),NETWORKDAYS(AC2274,S2274,#REF!),"")</f>
        <v/>
      </c>
      <c r="AE2274" s="596" t="str">
        <f ca="1">IF(AND(AD2274="",AC2274=""),"",IF(OR(AD2274&lt;&gt;"",O2274="*CANCELADO"),"",NETWORKDAYS(AC2274,TODAY(),#REF!)))</f>
        <v/>
      </c>
      <c r="AF2274" s="619"/>
    </row>
    <row r="2275" spans="1:32" ht="14.25" customHeight="1">
      <c r="A2275" s="176"/>
      <c r="B2275" s="176"/>
      <c r="C2275" s="177"/>
      <c r="D2275" s="176"/>
      <c r="E2275" s="176"/>
      <c r="F2275" s="259"/>
      <c r="G2275" s="176"/>
      <c r="H2275" s="178"/>
      <c r="I2275" s="592">
        <f t="shared" si="86"/>
        <v>0</v>
      </c>
      <c r="J2275" s="178"/>
      <c r="K2275" s="178"/>
      <c r="L2275" s="275" t="str">
        <f>IF(H:H=0,"",IF(ISERROR(VLOOKUP(H:H,produtos_escape2!$A$2:$B$2794,2,FALSE)),"Código não cadastrado",(VLOOKUP(H:H,produtos_escape2!$A$2:$B$2794,2,FALSE))))</f>
        <v/>
      </c>
      <c r="M2275" s="593" t="str">
        <f>IF(H:H=0,"",IF(ISERROR(VLOOKUP(H:H,produtos_escape2!$A$2:$D$2794,2,FALSE)),"Código não cadastrado",(VLOOKUP(H:H,produtos_escape2!$A$2:$D$2794,4,FALSE))))</f>
        <v/>
      </c>
      <c r="N2275" s="486"/>
      <c r="O2275" s="176"/>
      <c r="P2275" s="486"/>
      <c r="Q2275" s="247"/>
      <c r="R2275" s="246">
        <f t="shared" si="85"/>
        <v>0</v>
      </c>
      <c r="S2275" s="177"/>
      <c r="T2275" s="182"/>
      <c r="U2275" s="177"/>
      <c r="V2275" s="177"/>
      <c r="W2275" s="177"/>
      <c r="X2275" s="176"/>
      <c r="Y2275" s="177"/>
      <c r="Z2275" s="415"/>
      <c r="AA2275" s="488"/>
      <c r="AB2275" s="594"/>
      <c r="AC2275" s="595"/>
      <c r="AD2275" s="596" t="str">
        <f>IF(AND(AC2275&lt;&gt;"",S2275&lt;&gt;""),NETWORKDAYS(AC2275,S2275,#REF!),"")</f>
        <v/>
      </c>
      <c r="AE2275" s="596" t="str">
        <f ca="1">IF(AND(AD2275="",AC2275=""),"",IF(OR(AD2275&lt;&gt;"",O2275="*CANCELADO"),"",NETWORKDAYS(AC2275,TODAY(),#REF!)))</f>
        <v/>
      </c>
      <c r="AF2275" s="619"/>
    </row>
    <row r="2276" spans="1:32" ht="14.25" customHeight="1">
      <c r="A2276" s="176"/>
      <c r="B2276" s="176"/>
      <c r="C2276" s="177"/>
      <c r="D2276" s="176"/>
      <c r="E2276" s="176"/>
      <c r="F2276" s="259"/>
      <c r="G2276" s="176"/>
      <c r="H2276" s="178"/>
      <c r="I2276" s="592">
        <f t="shared" si="86"/>
        <v>0</v>
      </c>
      <c r="J2276" s="178"/>
      <c r="K2276" s="178"/>
      <c r="L2276" s="275" t="str">
        <f>IF(H:H=0,"",IF(ISERROR(VLOOKUP(H:H,produtos_escape2!$A$2:$B$2794,2,FALSE)),"Código não cadastrado",(VLOOKUP(H:H,produtos_escape2!$A$2:$B$2794,2,FALSE))))</f>
        <v/>
      </c>
      <c r="M2276" s="593" t="str">
        <f>IF(H:H=0,"",IF(ISERROR(VLOOKUP(H:H,produtos_escape2!$A$2:$D$2794,2,FALSE)),"Código não cadastrado",(VLOOKUP(H:H,produtos_escape2!$A$2:$D$2794,4,FALSE))))</f>
        <v/>
      </c>
      <c r="N2276" s="486"/>
      <c r="O2276" s="176"/>
      <c r="P2276" s="486"/>
      <c r="Q2276" s="247"/>
      <c r="R2276" s="246">
        <f t="shared" si="85"/>
        <v>0</v>
      </c>
      <c r="S2276" s="177"/>
      <c r="T2276" s="182"/>
      <c r="U2276" s="177"/>
      <c r="V2276" s="177"/>
      <c r="W2276" s="177"/>
      <c r="X2276" s="176"/>
      <c r="Y2276" s="177"/>
      <c r="Z2276" s="415"/>
      <c r="AA2276" s="488"/>
      <c r="AB2276" s="594"/>
      <c r="AC2276" s="595"/>
      <c r="AD2276" s="596" t="str">
        <f>IF(AND(AC2276&lt;&gt;"",S2276&lt;&gt;""),NETWORKDAYS(AC2276,S2276,#REF!),"")</f>
        <v/>
      </c>
      <c r="AE2276" s="596" t="str">
        <f ca="1">IF(AND(AD2276="",AC2276=""),"",IF(OR(AD2276&lt;&gt;"",O2276="*CANCELADO"),"",NETWORKDAYS(AC2276,TODAY(),#REF!)))</f>
        <v/>
      </c>
      <c r="AF2276" s="619"/>
    </row>
    <row r="2277" spans="1:32" ht="14.25" customHeight="1">
      <c r="A2277" s="176"/>
      <c r="B2277" s="176"/>
      <c r="C2277" s="177"/>
      <c r="D2277" s="176"/>
      <c r="E2277" s="176"/>
      <c r="F2277" s="259"/>
      <c r="G2277" s="176"/>
      <c r="H2277" s="178"/>
      <c r="I2277" s="592">
        <f t="shared" si="86"/>
        <v>0</v>
      </c>
      <c r="J2277" s="178"/>
      <c r="K2277" s="178"/>
      <c r="L2277" s="275" t="str">
        <f>IF(H:H=0,"",IF(ISERROR(VLOOKUP(H:H,produtos_escape2!$A$2:$B$2794,2,FALSE)),"Código não cadastrado",(VLOOKUP(H:H,produtos_escape2!$A$2:$B$2794,2,FALSE))))</f>
        <v/>
      </c>
      <c r="M2277" s="593" t="str">
        <f>IF(H:H=0,"",IF(ISERROR(VLOOKUP(H:H,produtos_escape2!$A$2:$D$2794,2,FALSE)),"Código não cadastrado",(VLOOKUP(H:H,produtos_escape2!$A$2:$D$2794,4,FALSE))))</f>
        <v/>
      </c>
      <c r="N2277" s="486"/>
      <c r="O2277" s="176"/>
      <c r="P2277" s="486"/>
      <c r="Q2277" s="247"/>
      <c r="R2277" s="246">
        <f t="shared" si="85"/>
        <v>0</v>
      </c>
      <c r="S2277" s="177"/>
      <c r="T2277" s="182"/>
      <c r="U2277" s="177"/>
      <c r="V2277" s="177"/>
      <c r="W2277" s="177"/>
      <c r="X2277" s="176"/>
      <c r="Y2277" s="177"/>
      <c r="Z2277" s="415"/>
      <c r="AA2277" s="488"/>
      <c r="AB2277" s="594"/>
      <c r="AC2277" s="595"/>
      <c r="AD2277" s="596" t="str">
        <f>IF(AND(AC2277&lt;&gt;"",S2277&lt;&gt;""),NETWORKDAYS(AC2277,S2277,#REF!),"")</f>
        <v/>
      </c>
      <c r="AE2277" s="596" t="str">
        <f ca="1">IF(AND(AD2277="",AC2277=""),"",IF(OR(AD2277&lt;&gt;"",O2277="*CANCELADO"),"",NETWORKDAYS(AC2277,TODAY(),#REF!)))</f>
        <v/>
      </c>
      <c r="AF2277" s="619"/>
    </row>
    <row r="2278" spans="1:32" ht="14.25" customHeight="1">
      <c r="A2278" s="176"/>
      <c r="B2278" s="176"/>
      <c r="C2278" s="177"/>
      <c r="D2278" s="176"/>
      <c r="E2278" s="176"/>
      <c r="F2278" s="259"/>
      <c r="G2278" s="176"/>
      <c r="H2278" s="178"/>
      <c r="I2278" s="592">
        <f t="shared" si="86"/>
        <v>0</v>
      </c>
      <c r="J2278" s="178"/>
      <c r="K2278" s="178"/>
      <c r="L2278" s="275" t="str">
        <f>IF(H:H=0,"",IF(ISERROR(VLOOKUP(H:H,produtos_escape2!$A$2:$B$2794,2,FALSE)),"Código não cadastrado",(VLOOKUP(H:H,produtos_escape2!$A$2:$B$2794,2,FALSE))))</f>
        <v/>
      </c>
      <c r="M2278" s="593" t="str">
        <f>IF(H:H=0,"",IF(ISERROR(VLOOKUP(H:H,produtos_escape2!$A$2:$D$2794,2,FALSE)),"Código não cadastrado",(VLOOKUP(H:H,produtos_escape2!$A$2:$D$2794,4,FALSE))))</f>
        <v/>
      </c>
      <c r="N2278" s="486"/>
      <c r="O2278" s="176"/>
      <c r="P2278" s="486"/>
      <c r="Q2278" s="247"/>
      <c r="R2278" s="246">
        <f t="shared" si="85"/>
        <v>0</v>
      </c>
      <c r="S2278" s="177"/>
      <c r="T2278" s="182"/>
      <c r="U2278" s="177"/>
      <c r="V2278" s="177"/>
      <c r="W2278" s="177"/>
      <c r="X2278" s="176"/>
      <c r="Y2278" s="177"/>
      <c r="Z2278" s="415"/>
      <c r="AA2278" s="488"/>
      <c r="AB2278" s="594"/>
      <c r="AC2278" s="595"/>
      <c r="AD2278" s="596" t="str">
        <f>IF(AND(AC2278&lt;&gt;"",S2278&lt;&gt;""),NETWORKDAYS(AC2278,S2278,#REF!),"")</f>
        <v/>
      </c>
      <c r="AE2278" s="596" t="str">
        <f ca="1">IF(AND(AD2278="",AC2278=""),"",IF(OR(AD2278&lt;&gt;"",O2278="*CANCELADO"),"",NETWORKDAYS(AC2278,TODAY(),#REF!)))</f>
        <v/>
      </c>
      <c r="AF2278" s="619"/>
    </row>
    <row r="2279" spans="1:32" ht="14.25" customHeight="1">
      <c r="A2279" s="176"/>
      <c r="B2279" s="176"/>
      <c r="C2279" s="177"/>
      <c r="D2279" s="176"/>
      <c r="E2279" s="176"/>
      <c r="F2279" s="259"/>
      <c r="G2279" s="176"/>
      <c r="H2279" s="178"/>
      <c r="I2279" s="592">
        <f t="shared" si="86"/>
        <v>0</v>
      </c>
      <c r="J2279" s="178"/>
      <c r="K2279" s="178"/>
      <c r="L2279" s="275" t="str">
        <f>IF(H:H=0,"",IF(ISERROR(VLOOKUP(H:H,produtos_escape2!$A$2:$B$2794,2,FALSE)),"Código não cadastrado",(VLOOKUP(H:H,produtos_escape2!$A$2:$B$2794,2,FALSE))))</f>
        <v/>
      </c>
      <c r="M2279" s="593" t="str">
        <f>IF(H:H=0,"",IF(ISERROR(VLOOKUP(H:H,produtos_escape2!$A$2:$D$2794,2,FALSE)),"Código não cadastrado",(VLOOKUP(H:H,produtos_escape2!$A$2:$D$2794,4,FALSE))))</f>
        <v/>
      </c>
      <c r="N2279" s="486"/>
      <c r="O2279" s="176"/>
      <c r="P2279" s="486"/>
      <c r="Q2279" s="247"/>
      <c r="R2279" s="246">
        <f t="shared" si="85"/>
        <v>0</v>
      </c>
      <c r="S2279" s="177"/>
      <c r="T2279" s="182"/>
      <c r="U2279" s="177"/>
      <c r="V2279" s="177"/>
      <c r="W2279" s="177"/>
      <c r="X2279" s="176"/>
      <c r="Y2279" s="177"/>
      <c r="Z2279" s="415"/>
      <c r="AA2279" s="488"/>
      <c r="AB2279" s="594"/>
      <c r="AC2279" s="595"/>
      <c r="AD2279" s="596" t="str">
        <f>IF(AND(AC2279&lt;&gt;"",S2279&lt;&gt;""),NETWORKDAYS(AC2279,S2279,#REF!),"")</f>
        <v/>
      </c>
      <c r="AE2279" s="596" t="str">
        <f ca="1">IF(AND(AD2279="",AC2279=""),"",IF(OR(AD2279&lt;&gt;"",O2279="*CANCELADO"),"",NETWORKDAYS(AC2279,TODAY(),#REF!)))</f>
        <v/>
      </c>
      <c r="AF2279" s="619"/>
    </row>
    <row r="2280" spans="1:32" ht="14.25" customHeight="1">
      <c r="A2280" s="176"/>
      <c r="B2280" s="176"/>
      <c r="C2280" s="177"/>
      <c r="D2280" s="176"/>
      <c r="E2280" s="176"/>
      <c r="F2280" s="259"/>
      <c r="G2280" s="176"/>
      <c r="H2280" s="178"/>
      <c r="I2280" s="592">
        <f t="shared" si="86"/>
        <v>0</v>
      </c>
      <c r="J2280" s="178"/>
      <c r="K2280" s="178"/>
      <c r="L2280" s="275" t="str">
        <f>IF(H:H=0,"",IF(ISERROR(VLOOKUP(H:H,produtos_escape2!$A$2:$B$2794,2,FALSE)),"Código não cadastrado",(VLOOKUP(H:H,produtos_escape2!$A$2:$B$2794,2,FALSE))))</f>
        <v/>
      </c>
      <c r="M2280" s="593" t="str">
        <f>IF(H:H=0,"",IF(ISERROR(VLOOKUP(H:H,produtos_escape2!$A$2:$D$2794,2,FALSE)),"Código não cadastrado",(VLOOKUP(H:H,produtos_escape2!$A$2:$D$2794,4,FALSE))))</f>
        <v/>
      </c>
      <c r="N2280" s="486"/>
      <c r="O2280" s="176"/>
      <c r="P2280" s="486"/>
      <c r="Q2280" s="247"/>
      <c r="R2280" s="246">
        <f t="shared" si="85"/>
        <v>0</v>
      </c>
      <c r="S2280" s="177"/>
      <c r="T2280" s="182"/>
      <c r="U2280" s="177"/>
      <c r="V2280" s="177"/>
      <c r="W2280" s="177"/>
      <c r="X2280" s="176"/>
      <c r="Y2280" s="177"/>
      <c r="Z2280" s="415"/>
      <c r="AA2280" s="488"/>
      <c r="AB2280" s="594"/>
      <c r="AC2280" s="595"/>
      <c r="AD2280" s="596" t="str">
        <f>IF(AND(AC2280&lt;&gt;"",S2280&lt;&gt;""),NETWORKDAYS(AC2280,S2280,#REF!),"")</f>
        <v/>
      </c>
      <c r="AE2280" s="596" t="str">
        <f ca="1">IF(AND(AD2280="",AC2280=""),"",IF(OR(AD2280&lt;&gt;"",O2280="*CANCELADO"),"",NETWORKDAYS(AC2280,TODAY(),#REF!)))</f>
        <v/>
      </c>
      <c r="AF2280" s="619"/>
    </row>
    <row r="2281" spans="1:32" ht="14.25" customHeight="1">
      <c r="A2281" s="176"/>
      <c r="B2281" s="176"/>
      <c r="C2281" s="177"/>
      <c r="D2281" s="176"/>
      <c r="E2281" s="176"/>
      <c r="F2281" s="259"/>
      <c r="G2281" s="176"/>
      <c r="H2281" s="178"/>
      <c r="I2281" s="592">
        <f t="shared" si="86"/>
        <v>0</v>
      </c>
      <c r="J2281" s="178"/>
      <c r="K2281" s="178"/>
      <c r="L2281" s="275" t="str">
        <f>IF(H:H=0,"",IF(ISERROR(VLOOKUP(H:H,produtos_escape2!$A$2:$B$2794,2,FALSE)),"Código não cadastrado",(VLOOKUP(H:H,produtos_escape2!$A$2:$B$2794,2,FALSE))))</f>
        <v/>
      </c>
      <c r="M2281" s="593" t="str">
        <f>IF(H:H=0,"",IF(ISERROR(VLOOKUP(H:H,produtos_escape2!$A$2:$D$2794,2,FALSE)),"Código não cadastrado",(VLOOKUP(H:H,produtos_escape2!$A$2:$D$2794,4,FALSE))))</f>
        <v/>
      </c>
      <c r="N2281" s="486"/>
      <c r="O2281" s="176"/>
      <c r="P2281" s="486"/>
      <c r="Q2281" s="247"/>
      <c r="R2281" s="246">
        <f t="shared" si="85"/>
        <v>0</v>
      </c>
      <c r="S2281" s="177"/>
      <c r="T2281" s="182"/>
      <c r="U2281" s="177"/>
      <c r="V2281" s="177"/>
      <c r="W2281" s="177"/>
      <c r="X2281" s="176"/>
      <c r="Y2281" s="177"/>
      <c r="Z2281" s="415"/>
      <c r="AA2281" s="488"/>
      <c r="AB2281" s="594"/>
      <c r="AC2281" s="595"/>
      <c r="AD2281" s="596" t="str">
        <f>IF(AND(AC2281&lt;&gt;"",S2281&lt;&gt;""),NETWORKDAYS(AC2281,S2281,#REF!),"")</f>
        <v/>
      </c>
      <c r="AE2281" s="596" t="str">
        <f ca="1">IF(AND(AD2281="",AC2281=""),"",IF(OR(AD2281&lt;&gt;"",O2281="*CANCELADO"),"",NETWORKDAYS(AC2281,TODAY(),#REF!)))</f>
        <v/>
      </c>
      <c r="AF2281" s="619"/>
    </row>
    <row r="2282" spans="1:32" ht="14.25" customHeight="1">
      <c r="A2282" s="176"/>
      <c r="B2282" s="176"/>
      <c r="C2282" s="177"/>
      <c r="D2282" s="176"/>
      <c r="E2282" s="176"/>
      <c r="F2282" s="259"/>
      <c r="G2282" s="176"/>
      <c r="H2282" s="178"/>
      <c r="I2282" s="592">
        <f t="shared" si="86"/>
        <v>0</v>
      </c>
      <c r="J2282" s="178"/>
      <c r="K2282" s="178"/>
      <c r="L2282" s="275" t="str">
        <f>IF(H:H=0,"",IF(ISERROR(VLOOKUP(H:H,produtos_escape2!$A$2:$B$2794,2,FALSE)),"Código não cadastrado",(VLOOKUP(H:H,produtos_escape2!$A$2:$B$2794,2,FALSE))))</f>
        <v/>
      </c>
      <c r="M2282" s="593" t="str">
        <f>IF(H:H=0,"",IF(ISERROR(VLOOKUP(H:H,produtos_escape2!$A$2:$D$2794,2,FALSE)),"Código não cadastrado",(VLOOKUP(H:H,produtos_escape2!$A$2:$D$2794,4,FALSE))))</f>
        <v/>
      </c>
      <c r="N2282" s="486"/>
      <c r="O2282" s="176"/>
      <c r="P2282" s="486"/>
      <c r="Q2282" s="247"/>
      <c r="R2282" s="246">
        <f t="shared" si="85"/>
        <v>0</v>
      </c>
      <c r="S2282" s="177"/>
      <c r="T2282" s="182"/>
      <c r="U2282" s="177"/>
      <c r="V2282" s="177"/>
      <c r="W2282" s="177"/>
      <c r="X2282" s="176"/>
      <c r="Y2282" s="177"/>
      <c r="Z2282" s="415"/>
      <c r="AA2282" s="488"/>
      <c r="AB2282" s="594"/>
      <c r="AC2282" s="595"/>
      <c r="AD2282" s="596" t="str">
        <f>IF(AND(AC2282&lt;&gt;"",S2282&lt;&gt;""),NETWORKDAYS(AC2282,S2282,#REF!),"")</f>
        <v/>
      </c>
      <c r="AE2282" s="596" t="str">
        <f ca="1">IF(AND(AD2282="",AC2282=""),"",IF(OR(AD2282&lt;&gt;"",O2282="*CANCELADO"),"",NETWORKDAYS(AC2282,TODAY(),#REF!)))</f>
        <v/>
      </c>
      <c r="AF2282" s="619"/>
    </row>
    <row r="2283" spans="1:32" ht="14.25" customHeight="1">
      <c r="A2283" s="176"/>
      <c r="B2283" s="176"/>
      <c r="C2283" s="177"/>
      <c r="D2283" s="176"/>
      <c r="E2283" s="176"/>
      <c r="F2283" s="259"/>
      <c r="G2283" s="176"/>
      <c r="H2283" s="178"/>
      <c r="I2283" s="592">
        <f t="shared" si="86"/>
        <v>0</v>
      </c>
      <c r="J2283" s="178"/>
      <c r="K2283" s="178"/>
      <c r="L2283" s="275" t="str">
        <f>IF(H:H=0,"",IF(ISERROR(VLOOKUP(H:H,produtos_escape2!$A$2:$B$2794,2,FALSE)),"Código não cadastrado",(VLOOKUP(H:H,produtos_escape2!$A$2:$B$2794,2,FALSE))))</f>
        <v/>
      </c>
      <c r="M2283" s="593" t="str">
        <f>IF(H:H=0,"",IF(ISERROR(VLOOKUP(H:H,produtos_escape2!$A$2:$D$2794,2,FALSE)),"Código não cadastrado",(VLOOKUP(H:H,produtos_escape2!$A$2:$D$2794,4,FALSE))))</f>
        <v/>
      </c>
      <c r="N2283" s="486"/>
      <c r="O2283" s="176"/>
      <c r="P2283" s="486"/>
      <c r="Q2283" s="247"/>
      <c r="R2283" s="246">
        <f t="shared" si="85"/>
        <v>0</v>
      </c>
      <c r="S2283" s="177"/>
      <c r="T2283" s="182"/>
      <c r="U2283" s="177"/>
      <c r="V2283" s="177"/>
      <c r="W2283" s="177"/>
      <c r="X2283" s="176"/>
      <c r="Y2283" s="177"/>
      <c r="Z2283" s="415"/>
      <c r="AA2283" s="488"/>
      <c r="AB2283" s="594"/>
      <c r="AC2283" s="595"/>
      <c r="AD2283" s="596" t="str">
        <f>IF(AND(AC2283&lt;&gt;"",S2283&lt;&gt;""),NETWORKDAYS(AC2283,S2283,#REF!),"")</f>
        <v/>
      </c>
      <c r="AE2283" s="596" t="str">
        <f ca="1">IF(AND(AD2283="",AC2283=""),"",IF(OR(AD2283&lt;&gt;"",O2283="*CANCELADO"),"",NETWORKDAYS(AC2283,TODAY(),#REF!)))</f>
        <v/>
      </c>
      <c r="AF2283" s="619"/>
    </row>
    <row r="2284" spans="1:32" ht="14.25" customHeight="1">
      <c r="A2284" s="176"/>
      <c r="B2284" s="176"/>
      <c r="C2284" s="177"/>
      <c r="D2284" s="176"/>
      <c r="E2284" s="176"/>
      <c r="F2284" s="259"/>
      <c r="G2284" s="176"/>
      <c r="H2284" s="178"/>
      <c r="I2284" s="592">
        <f t="shared" si="86"/>
        <v>0</v>
      </c>
      <c r="J2284" s="178"/>
      <c r="K2284" s="178"/>
      <c r="L2284" s="275" t="str">
        <f>IF(H:H=0,"",IF(ISERROR(VLOOKUP(H:H,produtos_escape2!$A$2:$B$2794,2,FALSE)),"Código não cadastrado",(VLOOKUP(H:H,produtos_escape2!$A$2:$B$2794,2,FALSE))))</f>
        <v/>
      </c>
      <c r="M2284" s="593" t="str">
        <f>IF(H:H=0,"",IF(ISERROR(VLOOKUP(H:H,produtos_escape2!$A$2:$D$2794,2,FALSE)),"Código não cadastrado",(VLOOKUP(H:H,produtos_escape2!$A$2:$D$2794,4,FALSE))))</f>
        <v/>
      </c>
      <c r="N2284" s="486"/>
      <c r="O2284" s="176"/>
      <c r="P2284" s="486"/>
      <c r="Q2284" s="247"/>
      <c r="R2284" s="246">
        <f t="shared" si="85"/>
        <v>0</v>
      </c>
      <c r="S2284" s="177"/>
      <c r="T2284" s="182"/>
      <c r="U2284" s="177"/>
      <c r="V2284" s="177"/>
      <c r="W2284" s="177"/>
      <c r="X2284" s="176"/>
      <c r="Y2284" s="177"/>
      <c r="Z2284" s="415"/>
      <c r="AA2284" s="488"/>
      <c r="AB2284" s="594"/>
      <c r="AC2284" s="595"/>
      <c r="AD2284" s="596" t="str">
        <f>IF(AND(AC2284&lt;&gt;"",S2284&lt;&gt;""),NETWORKDAYS(AC2284,S2284,#REF!),"")</f>
        <v/>
      </c>
      <c r="AE2284" s="596" t="str">
        <f ca="1">IF(AND(AD2284="",AC2284=""),"",IF(OR(AD2284&lt;&gt;"",O2284="*CANCELADO"),"",NETWORKDAYS(AC2284,TODAY(),#REF!)))</f>
        <v/>
      </c>
      <c r="AF2284" s="619"/>
    </row>
    <row r="2285" spans="1:32" ht="14.25" customHeight="1">
      <c r="A2285" s="176"/>
      <c r="B2285" s="176"/>
      <c r="C2285" s="177"/>
      <c r="D2285" s="176"/>
      <c r="E2285" s="176"/>
      <c r="F2285" s="259"/>
      <c r="G2285" s="176"/>
      <c r="H2285" s="178"/>
      <c r="I2285" s="592">
        <f t="shared" si="86"/>
        <v>0</v>
      </c>
      <c r="J2285" s="178"/>
      <c r="K2285" s="178"/>
      <c r="L2285" s="275" t="str">
        <f>IF(H:H=0,"",IF(ISERROR(VLOOKUP(H:H,produtos_escape2!$A$2:$B$2794,2,FALSE)),"Código não cadastrado",(VLOOKUP(H:H,produtos_escape2!$A$2:$B$2794,2,FALSE))))</f>
        <v/>
      </c>
      <c r="M2285" s="593" t="str">
        <f>IF(H:H=0,"",IF(ISERROR(VLOOKUP(H:H,produtos_escape2!$A$2:$D$2794,2,FALSE)),"Código não cadastrado",(VLOOKUP(H:H,produtos_escape2!$A$2:$D$2794,4,FALSE))))</f>
        <v/>
      </c>
      <c r="N2285" s="486"/>
      <c r="O2285" s="176"/>
      <c r="P2285" s="486"/>
      <c r="Q2285" s="247"/>
      <c r="R2285" s="246">
        <f t="shared" ref="R2285:R2348" si="87">P2285*Q2285</f>
        <v>0</v>
      </c>
      <c r="S2285" s="177"/>
      <c r="T2285" s="182"/>
      <c r="U2285" s="177"/>
      <c r="V2285" s="177"/>
      <c r="W2285" s="177"/>
      <c r="X2285" s="176"/>
      <c r="Y2285" s="177"/>
      <c r="Z2285" s="415"/>
      <c r="AA2285" s="488"/>
      <c r="AB2285" s="594"/>
      <c r="AC2285" s="595"/>
      <c r="AD2285" s="596" t="str">
        <f>IF(AND(AC2285&lt;&gt;"",S2285&lt;&gt;""),NETWORKDAYS(AC2285,S2285,#REF!),"")</f>
        <v/>
      </c>
      <c r="AE2285" s="596" t="str">
        <f ca="1">IF(AND(AD2285="",AC2285=""),"",IF(OR(AD2285&lt;&gt;"",O2285="*CANCELADO"),"",NETWORKDAYS(AC2285,TODAY(),#REF!)))</f>
        <v/>
      </c>
      <c r="AF2285" s="619"/>
    </row>
    <row r="2286" spans="1:32" ht="14.25" customHeight="1">
      <c r="A2286" s="176"/>
      <c r="B2286" s="176"/>
      <c r="C2286" s="177"/>
      <c r="D2286" s="176"/>
      <c r="E2286" s="176"/>
      <c r="F2286" s="259"/>
      <c r="G2286" s="176"/>
      <c r="H2286" s="178"/>
      <c r="I2286" s="592">
        <f t="shared" si="86"/>
        <v>0</v>
      </c>
      <c r="J2286" s="178"/>
      <c r="K2286" s="178"/>
      <c r="L2286" s="275" t="str">
        <f>IF(H:H=0,"",IF(ISERROR(VLOOKUP(H:H,produtos_escape2!$A$2:$B$2794,2,FALSE)),"Código não cadastrado",(VLOOKUP(H:H,produtos_escape2!$A$2:$B$2794,2,FALSE))))</f>
        <v/>
      </c>
      <c r="M2286" s="593" t="str">
        <f>IF(H:H=0,"",IF(ISERROR(VLOOKUP(H:H,produtos_escape2!$A$2:$D$2794,2,FALSE)),"Código não cadastrado",(VLOOKUP(H:H,produtos_escape2!$A$2:$D$2794,4,FALSE))))</f>
        <v/>
      </c>
      <c r="N2286" s="486"/>
      <c r="O2286" s="176"/>
      <c r="P2286" s="486"/>
      <c r="Q2286" s="247"/>
      <c r="R2286" s="246">
        <f t="shared" si="87"/>
        <v>0</v>
      </c>
      <c r="S2286" s="177"/>
      <c r="T2286" s="182"/>
      <c r="U2286" s="177"/>
      <c r="V2286" s="177"/>
      <c r="W2286" s="177"/>
      <c r="X2286" s="176"/>
      <c r="Y2286" s="177"/>
      <c r="Z2286" s="415"/>
      <c r="AA2286" s="488"/>
      <c r="AB2286" s="594"/>
      <c r="AC2286" s="595"/>
      <c r="AD2286" s="596" t="str">
        <f>IF(AND(AC2286&lt;&gt;"",S2286&lt;&gt;""),NETWORKDAYS(AC2286,S2286,#REF!),"")</f>
        <v/>
      </c>
      <c r="AE2286" s="596" t="str">
        <f ca="1">IF(AND(AD2286="",AC2286=""),"",IF(OR(AD2286&lt;&gt;"",O2286="*CANCELADO"),"",NETWORKDAYS(AC2286,TODAY(),#REF!)))</f>
        <v/>
      </c>
      <c r="AF2286" s="619"/>
    </row>
    <row r="2287" spans="1:32" ht="14.25" customHeight="1">
      <c r="A2287" s="176"/>
      <c r="B2287" s="176"/>
      <c r="C2287" s="177"/>
      <c r="D2287" s="176"/>
      <c r="E2287" s="176"/>
      <c r="F2287" s="259"/>
      <c r="G2287" s="176"/>
      <c r="H2287" s="178"/>
      <c r="I2287" s="592">
        <f t="shared" si="86"/>
        <v>0</v>
      </c>
      <c r="J2287" s="178"/>
      <c r="K2287" s="178"/>
      <c r="L2287" s="275" t="str">
        <f>IF(H:H=0,"",IF(ISERROR(VLOOKUP(H:H,produtos_escape2!$A$2:$B$2794,2,FALSE)),"Código não cadastrado",(VLOOKUP(H:H,produtos_escape2!$A$2:$B$2794,2,FALSE))))</f>
        <v/>
      </c>
      <c r="M2287" s="593" t="str">
        <f>IF(H:H=0,"",IF(ISERROR(VLOOKUP(H:H,produtos_escape2!$A$2:$D$2794,2,FALSE)),"Código não cadastrado",(VLOOKUP(H:H,produtos_escape2!$A$2:$D$2794,4,FALSE))))</f>
        <v/>
      </c>
      <c r="N2287" s="486"/>
      <c r="O2287" s="176"/>
      <c r="P2287" s="486"/>
      <c r="Q2287" s="247"/>
      <c r="R2287" s="246">
        <f t="shared" si="87"/>
        <v>0</v>
      </c>
      <c r="S2287" s="177"/>
      <c r="T2287" s="182"/>
      <c r="U2287" s="177"/>
      <c r="V2287" s="177"/>
      <c r="W2287" s="177"/>
      <c r="X2287" s="176"/>
      <c r="Y2287" s="177"/>
      <c r="Z2287" s="415"/>
      <c r="AA2287" s="488"/>
      <c r="AB2287" s="594"/>
      <c r="AC2287" s="595"/>
      <c r="AD2287" s="596" t="str">
        <f>IF(AND(AC2287&lt;&gt;"",S2287&lt;&gt;""),NETWORKDAYS(AC2287,S2287,#REF!),"")</f>
        <v/>
      </c>
      <c r="AE2287" s="596" t="str">
        <f ca="1">IF(AND(AD2287="",AC2287=""),"",IF(OR(AD2287&lt;&gt;"",O2287="*CANCELADO"),"",NETWORKDAYS(AC2287,TODAY(),#REF!)))</f>
        <v/>
      </c>
      <c r="AF2287" s="619"/>
    </row>
    <row r="2288" spans="1:32" ht="14.25" customHeight="1">
      <c r="A2288" s="176"/>
      <c r="B2288" s="176"/>
      <c r="C2288" s="177"/>
      <c r="D2288" s="176"/>
      <c r="E2288" s="176"/>
      <c r="F2288" s="259"/>
      <c r="G2288" s="176"/>
      <c r="H2288" s="178"/>
      <c r="I2288" s="592">
        <f t="shared" si="86"/>
        <v>0</v>
      </c>
      <c r="J2288" s="178"/>
      <c r="K2288" s="178"/>
      <c r="L2288" s="275" t="str">
        <f>IF(H:H=0,"",IF(ISERROR(VLOOKUP(H:H,produtos_escape2!$A$2:$B$2794,2,FALSE)),"Código não cadastrado",(VLOOKUP(H:H,produtos_escape2!$A$2:$B$2794,2,FALSE))))</f>
        <v/>
      </c>
      <c r="M2288" s="593" t="str">
        <f>IF(H:H=0,"",IF(ISERROR(VLOOKUP(H:H,produtos_escape2!$A$2:$D$2794,2,FALSE)),"Código não cadastrado",(VLOOKUP(H:H,produtos_escape2!$A$2:$D$2794,4,FALSE))))</f>
        <v/>
      </c>
      <c r="N2288" s="486"/>
      <c r="O2288" s="176"/>
      <c r="P2288" s="486"/>
      <c r="Q2288" s="247"/>
      <c r="R2288" s="246">
        <f t="shared" si="87"/>
        <v>0</v>
      </c>
      <c r="S2288" s="177"/>
      <c r="T2288" s="182"/>
      <c r="U2288" s="177"/>
      <c r="V2288" s="177"/>
      <c r="W2288" s="177"/>
      <c r="X2288" s="176"/>
      <c r="Y2288" s="177"/>
      <c r="Z2288" s="415"/>
      <c r="AA2288" s="488"/>
      <c r="AB2288" s="594"/>
      <c r="AC2288" s="595"/>
      <c r="AD2288" s="596" t="str">
        <f>IF(AND(AC2288&lt;&gt;"",S2288&lt;&gt;""),NETWORKDAYS(AC2288,S2288,#REF!),"")</f>
        <v/>
      </c>
      <c r="AE2288" s="596" t="str">
        <f ca="1">IF(AND(AD2288="",AC2288=""),"",IF(OR(AD2288&lt;&gt;"",O2288="*CANCELADO"),"",NETWORKDAYS(AC2288,TODAY(),#REF!)))</f>
        <v/>
      </c>
      <c r="AF2288" s="619"/>
    </row>
    <row r="2289" spans="1:32" ht="14.25" customHeight="1">
      <c r="A2289" s="176"/>
      <c r="B2289" s="176"/>
      <c r="C2289" s="177"/>
      <c r="D2289" s="176"/>
      <c r="E2289" s="176"/>
      <c r="F2289" s="259"/>
      <c r="G2289" s="176"/>
      <c r="H2289" s="178"/>
      <c r="I2289" s="592">
        <f t="shared" si="86"/>
        <v>0</v>
      </c>
      <c r="J2289" s="178"/>
      <c r="K2289" s="178"/>
      <c r="L2289" s="275" t="str">
        <f>IF(H:H=0,"",IF(ISERROR(VLOOKUP(H:H,produtos_escape2!$A$2:$B$2794,2,FALSE)),"Código não cadastrado",(VLOOKUP(H:H,produtos_escape2!$A$2:$B$2794,2,FALSE))))</f>
        <v/>
      </c>
      <c r="M2289" s="593" t="str">
        <f>IF(H:H=0,"",IF(ISERROR(VLOOKUP(H:H,produtos_escape2!$A$2:$D$2794,2,FALSE)),"Código não cadastrado",(VLOOKUP(H:H,produtos_escape2!$A$2:$D$2794,4,FALSE))))</f>
        <v/>
      </c>
      <c r="N2289" s="486"/>
      <c r="O2289" s="176"/>
      <c r="P2289" s="486"/>
      <c r="Q2289" s="247"/>
      <c r="R2289" s="246">
        <f t="shared" si="87"/>
        <v>0</v>
      </c>
      <c r="S2289" s="177"/>
      <c r="T2289" s="182"/>
      <c r="U2289" s="177"/>
      <c r="V2289" s="177"/>
      <c r="W2289" s="177"/>
      <c r="X2289" s="176"/>
      <c r="Y2289" s="177"/>
      <c r="Z2289" s="415"/>
      <c r="AA2289" s="488"/>
      <c r="AB2289" s="594"/>
      <c r="AC2289" s="595"/>
      <c r="AD2289" s="596" t="str">
        <f>IF(AND(AC2289&lt;&gt;"",S2289&lt;&gt;""),NETWORKDAYS(AC2289,S2289,#REF!),"")</f>
        <v/>
      </c>
      <c r="AE2289" s="596" t="str">
        <f ca="1">IF(AND(AD2289="",AC2289=""),"",IF(OR(AD2289&lt;&gt;"",O2289="*CANCELADO"),"",NETWORKDAYS(AC2289,TODAY(),#REF!)))</f>
        <v/>
      </c>
      <c r="AF2289" s="619"/>
    </row>
    <row r="2290" spans="1:32" ht="14.25" customHeight="1">
      <c r="A2290" s="176"/>
      <c r="B2290" s="176"/>
      <c r="C2290" s="177"/>
      <c r="D2290" s="176"/>
      <c r="E2290" s="176"/>
      <c r="F2290" s="259"/>
      <c r="G2290" s="176"/>
      <c r="H2290" s="178"/>
      <c r="I2290" s="592">
        <f t="shared" si="86"/>
        <v>0</v>
      </c>
      <c r="J2290" s="178"/>
      <c r="K2290" s="178"/>
      <c r="L2290" s="275" t="str">
        <f>IF(H:H=0,"",IF(ISERROR(VLOOKUP(H:H,produtos_escape2!$A$2:$B$2794,2,FALSE)),"Código não cadastrado",(VLOOKUP(H:H,produtos_escape2!$A$2:$B$2794,2,FALSE))))</f>
        <v/>
      </c>
      <c r="M2290" s="593" t="str">
        <f>IF(H:H=0,"",IF(ISERROR(VLOOKUP(H:H,produtos_escape2!$A$2:$D$2794,2,FALSE)),"Código não cadastrado",(VLOOKUP(H:H,produtos_escape2!$A$2:$D$2794,4,FALSE))))</f>
        <v/>
      </c>
      <c r="N2290" s="486"/>
      <c r="O2290" s="176"/>
      <c r="P2290" s="486"/>
      <c r="Q2290" s="247"/>
      <c r="R2290" s="246">
        <f t="shared" si="87"/>
        <v>0</v>
      </c>
      <c r="S2290" s="177"/>
      <c r="T2290" s="182"/>
      <c r="U2290" s="177"/>
      <c r="V2290" s="177"/>
      <c r="W2290" s="177"/>
      <c r="X2290" s="176"/>
      <c r="Y2290" s="177"/>
      <c r="Z2290" s="415"/>
      <c r="AA2290" s="488"/>
      <c r="AB2290" s="594"/>
      <c r="AC2290" s="595"/>
      <c r="AD2290" s="596" t="str">
        <f>IF(AND(AC2290&lt;&gt;"",S2290&lt;&gt;""),NETWORKDAYS(AC2290,S2290,#REF!),"")</f>
        <v/>
      </c>
      <c r="AE2290" s="596" t="str">
        <f ca="1">IF(AND(AD2290="",AC2290=""),"",IF(OR(AD2290&lt;&gt;"",O2290="*CANCELADO"),"",NETWORKDAYS(AC2290,TODAY(),#REF!)))</f>
        <v/>
      </c>
      <c r="AF2290" s="619"/>
    </row>
    <row r="2291" spans="1:32" ht="14.25" customHeight="1">
      <c r="A2291" s="176"/>
      <c r="B2291" s="176"/>
      <c r="C2291" s="177"/>
      <c r="D2291" s="176"/>
      <c r="E2291" s="176"/>
      <c r="F2291" s="259"/>
      <c r="G2291" s="176"/>
      <c r="H2291" s="178"/>
      <c r="I2291" s="592">
        <f t="shared" si="86"/>
        <v>0</v>
      </c>
      <c r="J2291" s="178"/>
      <c r="K2291" s="178"/>
      <c r="L2291" s="275" t="str">
        <f>IF(H:H=0,"",IF(ISERROR(VLOOKUP(H:H,produtos_escape2!$A$2:$B$2794,2,FALSE)),"Código não cadastrado",(VLOOKUP(H:H,produtos_escape2!$A$2:$B$2794,2,FALSE))))</f>
        <v/>
      </c>
      <c r="M2291" s="593" t="str">
        <f>IF(H:H=0,"",IF(ISERROR(VLOOKUP(H:H,produtos_escape2!$A$2:$D$2794,2,FALSE)),"Código não cadastrado",(VLOOKUP(H:H,produtos_escape2!$A$2:$D$2794,4,FALSE))))</f>
        <v/>
      </c>
      <c r="N2291" s="486"/>
      <c r="O2291" s="176"/>
      <c r="P2291" s="486"/>
      <c r="Q2291" s="247"/>
      <c r="R2291" s="246">
        <f t="shared" si="87"/>
        <v>0</v>
      </c>
      <c r="S2291" s="177"/>
      <c r="T2291" s="182"/>
      <c r="U2291" s="177"/>
      <c r="V2291" s="177"/>
      <c r="W2291" s="177"/>
      <c r="X2291" s="176"/>
      <c r="Y2291" s="177"/>
      <c r="Z2291" s="415"/>
      <c r="AA2291" s="488"/>
      <c r="AB2291" s="594"/>
      <c r="AC2291" s="595"/>
      <c r="AD2291" s="596" t="str">
        <f>IF(AND(AC2291&lt;&gt;"",S2291&lt;&gt;""),NETWORKDAYS(AC2291,S2291,#REF!),"")</f>
        <v/>
      </c>
      <c r="AE2291" s="596" t="str">
        <f ca="1">IF(AND(AD2291="",AC2291=""),"",IF(OR(AD2291&lt;&gt;"",O2291="*CANCELADO"),"",NETWORKDAYS(AC2291,TODAY(),#REF!)))</f>
        <v/>
      </c>
      <c r="AF2291" s="619"/>
    </row>
    <row r="2292" spans="1:32" ht="14.25" customHeight="1">
      <c r="A2292" s="176"/>
      <c r="B2292" s="176"/>
      <c r="C2292" s="177"/>
      <c r="D2292" s="176"/>
      <c r="E2292" s="176"/>
      <c r="F2292" s="259"/>
      <c r="G2292" s="176"/>
      <c r="H2292" s="178"/>
      <c r="I2292" s="592">
        <f t="shared" si="86"/>
        <v>0</v>
      </c>
      <c r="J2292" s="178"/>
      <c r="K2292" s="178"/>
      <c r="L2292" s="275" t="str">
        <f>IF(H:H=0,"",IF(ISERROR(VLOOKUP(H:H,produtos_escape2!$A$2:$B$2794,2,FALSE)),"Código não cadastrado",(VLOOKUP(H:H,produtos_escape2!$A$2:$B$2794,2,FALSE))))</f>
        <v/>
      </c>
      <c r="M2292" s="593" t="str">
        <f>IF(H:H=0,"",IF(ISERROR(VLOOKUP(H:H,produtos_escape2!$A$2:$D$2794,2,FALSE)),"Código não cadastrado",(VLOOKUP(H:H,produtos_escape2!$A$2:$D$2794,4,FALSE))))</f>
        <v/>
      </c>
      <c r="N2292" s="486"/>
      <c r="O2292" s="176"/>
      <c r="P2292" s="486"/>
      <c r="Q2292" s="247"/>
      <c r="R2292" s="246">
        <f t="shared" si="87"/>
        <v>0</v>
      </c>
      <c r="S2292" s="177"/>
      <c r="T2292" s="182"/>
      <c r="U2292" s="177"/>
      <c r="V2292" s="177"/>
      <c r="W2292" s="177"/>
      <c r="X2292" s="176"/>
      <c r="Y2292" s="177"/>
      <c r="Z2292" s="415"/>
      <c r="AA2292" s="488"/>
      <c r="AB2292" s="594"/>
      <c r="AC2292" s="595"/>
      <c r="AD2292" s="596" t="str">
        <f>IF(AND(AC2292&lt;&gt;"",S2292&lt;&gt;""),NETWORKDAYS(AC2292,S2292,#REF!),"")</f>
        <v/>
      </c>
      <c r="AE2292" s="596" t="str">
        <f ca="1">IF(AND(AD2292="",AC2292=""),"",IF(OR(AD2292&lt;&gt;"",O2292="*CANCELADO"),"",NETWORKDAYS(AC2292,TODAY(),#REF!)))</f>
        <v/>
      </c>
      <c r="AF2292" s="619"/>
    </row>
    <row r="2293" spans="1:32" ht="14.25" customHeight="1">
      <c r="A2293" s="176"/>
      <c r="B2293" s="176"/>
      <c r="C2293" s="177"/>
      <c r="D2293" s="176"/>
      <c r="E2293" s="176"/>
      <c r="F2293" s="259"/>
      <c r="G2293" s="176"/>
      <c r="H2293" s="178"/>
      <c r="I2293" s="592">
        <f t="shared" si="86"/>
        <v>0</v>
      </c>
      <c r="J2293" s="178"/>
      <c r="K2293" s="178"/>
      <c r="L2293" s="275" t="str">
        <f>IF(H:H=0,"",IF(ISERROR(VLOOKUP(H:H,produtos_escape2!$A$2:$B$2794,2,FALSE)),"Código não cadastrado",(VLOOKUP(H:H,produtos_escape2!$A$2:$B$2794,2,FALSE))))</f>
        <v/>
      </c>
      <c r="M2293" s="593" t="str">
        <f>IF(H:H=0,"",IF(ISERROR(VLOOKUP(H:H,produtos_escape2!$A$2:$D$2794,2,FALSE)),"Código não cadastrado",(VLOOKUP(H:H,produtos_escape2!$A$2:$D$2794,4,FALSE))))</f>
        <v/>
      </c>
      <c r="N2293" s="486"/>
      <c r="O2293" s="176"/>
      <c r="P2293" s="486"/>
      <c r="Q2293" s="247"/>
      <c r="R2293" s="246">
        <f t="shared" si="87"/>
        <v>0</v>
      </c>
      <c r="S2293" s="177"/>
      <c r="T2293" s="182"/>
      <c r="U2293" s="177"/>
      <c r="V2293" s="177"/>
      <c r="W2293" s="177"/>
      <c r="X2293" s="176"/>
      <c r="Y2293" s="177"/>
      <c r="Z2293" s="415"/>
      <c r="AA2293" s="488"/>
      <c r="AB2293" s="594"/>
      <c r="AC2293" s="595"/>
      <c r="AD2293" s="596" t="str">
        <f>IF(AND(AC2293&lt;&gt;"",S2293&lt;&gt;""),NETWORKDAYS(AC2293,S2293,#REF!),"")</f>
        <v/>
      </c>
      <c r="AE2293" s="596" t="str">
        <f ca="1">IF(AND(AD2293="",AC2293=""),"",IF(OR(AD2293&lt;&gt;"",O2293="*CANCELADO"),"",NETWORKDAYS(AC2293,TODAY(),#REF!)))</f>
        <v/>
      </c>
      <c r="AF2293" s="619"/>
    </row>
    <row r="2294" spans="1:32" ht="14.25" customHeight="1">
      <c r="A2294" s="176"/>
      <c r="B2294" s="176"/>
      <c r="C2294" s="177"/>
      <c r="D2294" s="176"/>
      <c r="E2294" s="176"/>
      <c r="F2294" s="259"/>
      <c r="G2294" s="176"/>
      <c r="H2294" s="178"/>
      <c r="I2294" s="592">
        <f t="shared" ref="I2294:I2357" si="88">COUNTIF($H$3:$H$3041,H2294)</f>
        <v>0</v>
      </c>
      <c r="J2294" s="178"/>
      <c r="K2294" s="178"/>
      <c r="L2294" s="275" t="str">
        <f>IF(H:H=0,"",IF(ISERROR(VLOOKUP(H:H,produtos_escape2!$A$2:$B$2794,2,FALSE)),"Código não cadastrado",(VLOOKUP(H:H,produtos_escape2!$A$2:$B$2794,2,FALSE))))</f>
        <v/>
      </c>
      <c r="M2294" s="593" t="str">
        <f>IF(H:H=0,"",IF(ISERROR(VLOOKUP(H:H,produtos_escape2!$A$2:$D$2794,2,FALSE)),"Código não cadastrado",(VLOOKUP(H:H,produtos_escape2!$A$2:$D$2794,4,FALSE))))</f>
        <v/>
      </c>
      <c r="N2294" s="486"/>
      <c r="O2294" s="176"/>
      <c r="P2294" s="486"/>
      <c r="Q2294" s="247"/>
      <c r="R2294" s="246">
        <f t="shared" si="87"/>
        <v>0</v>
      </c>
      <c r="S2294" s="177"/>
      <c r="T2294" s="182"/>
      <c r="U2294" s="177"/>
      <c r="V2294" s="177"/>
      <c r="W2294" s="177"/>
      <c r="X2294" s="176"/>
      <c r="Y2294" s="177"/>
      <c r="Z2294" s="415"/>
      <c r="AA2294" s="488"/>
      <c r="AB2294" s="594"/>
      <c r="AC2294" s="595"/>
      <c r="AD2294" s="596" t="str">
        <f>IF(AND(AC2294&lt;&gt;"",S2294&lt;&gt;""),NETWORKDAYS(AC2294,S2294,#REF!),"")</f>
        <v/>
      </c>
      <c r="AE2294" s="596" t="str">
        <f ca="1">IF(AND(AD2294="",AC2294=""),"",IF(OR(AD2294&lt;&gt;"",O2294="*CANCELADO"),"",NETWORKDAYS(AC2294,TODAY(),#REF!)))</f>
        <v/>
      </c>
      <c r="AF2294" s="619"/>
    </row>
    <row r="2295" spans="1:32" ht="14.25" customHeight="1">
      <c r="A2295" s="176"/>
      <c r="B2295" s="176"/>
      <c r="C2295" s="177"/>
      <c r="D2295" s="176"/>
      <c r="E2295" s="176"/>
      <c r="F2295" s="259"/>
      <c r="G2295" s="176"/>
      <c r="H2295" s="178"/>
      <c r="I2295" s="592">
        <f t="shared" si="88"/>
        <v>0</v>
      </c>
      <c r="J2295" s="178"/>
      <c r="K2295" s="178"/>
      <c r="L2295" s="275" t="str">
        <f>IF(H:H=0,"",IF(ISERROR(VLOOKUP(H:H,produtos_escape2!$A$2:$B$2794,2,FALSE)),"Código não cadastrado",(VLOOKUP(H:H,produtos_escape2!$A$2:$B$2794,2,FALSE))))</f>
        <v/>
      </c>
      <c r="M2295" s="593" t="str">
        <f>IF(H:H=0,"",IF(ISERROR(VLOOKUP(H:H,produtos_escape2!$A$2:$D$2794,2,FALSE)),"Código não cadastrado",(VLOOKUP(H:H,produtos_escape2!$A$2:$D$2794,4,FALSE))))</f>
        <v/>
      </c>
      <c r="N2295" s="486"/>
      <c r="O2295" s="176"/>
      <c r="P2295" s="486"/>
      <c r="Q2295" s="247"/>
      <c r="R2295" s="246">
        <f t="shared" si="87"/>
        <v>0</v>
      </c>
      <c r="S2295" s="177"/>
      <c r="T2295" s="182"/>
      <c r="U2295" s="177"/>
      <c r="V2295" s="177"/>
      <c r="W2295" s="177"/>
      <c r="X2295" s="176"/>
      <c r="Y2295" s="177"/>
      <c r="Z2295" s="415"/>
      <c r="AA2295" s="488"/>
      <c r="AB2295" s="594"/>
      <c r="AC2295" s="595"/>
      <c r="AD2295" s="596" t="str">
        <f>IF(AND(AC2295&lt;&gt;"",S2295&lt;&gt;""),NETWORKDAYS(AC2295,S2295,#REF!),"")</f>
        <v/>
      </c>
      <c r="AE2295" s="596" t="str">
        <f ca="1">IF(AND(AD2295="",AC2295=""),"",IF(OR(AD2295&lt;&gt;"",O2295="*CANCELADO"),"",NETWORKDAYS(AC2295,TODAY(),#REF!)))</f>
        <v/>
      </c>
      <c r="AF2295" s="619"/>
    </row>
    <row r="2296" spans="1:32" ht="14.25" customHeight="1">
      <c r="A2296" s="176"/>
      <c r="B2296" s="176"/>
      <c r="C2296" s="177"/>
      <c r="D2296" s="176"/>
      <c r="E2296" s="176"/>
      <c r="F2296" s="259"/>
      <c r="G2296" s="176"/>
      <c r="H2296" s="178"/>
      <c r="I2296" s="592">
        <f t="shared" si="88"/>
        <v>0</v>
      </c>
      <c r="J2296" s="178"/>
      <c r="K2296" s="178"/>
      <c r="L2296" s="275" t="str">
        <f>IF(H:H=0,"",IF(ISERROR(VLOOKUP(H:H,produtos_escape2!$A$2:$B$2794,2,FALSE)),"Código não cadastrado",(VLOOKUP(H:H,produtos_escape2!$A$2:$B$2794,2,FALSE))))</f>
        <v/>
      </c>
      <c r="M2296" s="593" t="str">
        <f>IF(H:H=0,"",IF(ISERROR(VLOOKUP(H:H,produtos_escape2!$A$2:$D$2794,2,FALSE)),"Código não cadastrado",(VLOOKUP(H:H,produtos_escape2!$A$2:$D$2794,4,FALSE))))</f>
        <v/>
      </c>
      <c r="N2296" s="486"/>
      <c r="O2296" s="176"/>
      <c r="P2296" s="486"/>
      <c r="Q2296" s="247"/>
      <c r="R2296" s="246">
        <f t="shared" si="87"/>
        <v>0</v>
      </c>
      <c r="S2296" s="177"/>
      <c r="T2296" s="182"/>
      <c r="U2296" s="177"/>
      <c r="V2296" s="177"/>
      <c r="W2296" s="177"/>
      <c r="X2296" s="176"/>
      <c r="Y2296" s="177"/>
      <c r="Z2296" s="415"/>
      <c r="AA2296" s="488"/>
      <c r="AB2296" s="594"/>
      <c r="AC2296" s="595"/>
      <c r="AD2296" s="596" t="str">
        <f>IF(AND(AC2296&lt;&gt;"",S2296&lt;&gt;""),NETWORKDAYS(AC2296,S2296,#REF!),"")</f>
        <v/>
      </c>
      <c r="AE2296" s="596" t="str">
        <f ca="1">IF(AND(AD2296="",AC2296=""),"",IF(OR(AD2296&lt;&gt;"",O2296="*CANCELADO"),"",NETWORKDAYS(AC2296,TODAY(),#REF!)))</f>
        <v/>
      </c>
      <c r="AF2296" s="619"/>
    </row>
    <row r="2297" spans="1:32" ht="14.25" customHeight="1">
      <c r="A2297" s="176"/>
      <c r="B2297" s="176"/>
      <c r="C2297" s="177"/>
      <c r="D2297" s="176"/>
      <c r="E2297" s="176"/>
      <c r="F2297" s="259"/>
      <c r="G2297" s="176"/>
      <c r="H2297" s="178"/>
      <c r="I2297" s="592">
        <f t="shared" si="88"/>
        <v>0</v>
      </c>
      <c r="J2297" s="178"/>
      <c r="K2297" s="178"/>
      <c r="L2297" s="275" t="str">
        <f>IF(H:H=0,"",IF(ISERROR(VLOOKUP(H:H,produtos_escape2!$A$2:$B$2794,2,FALSE)),"Código não cadastrado",(VLOOKUP(H:H,produtos_escape2!$A$2:$B$2794,2,FALSE))))</f>
        <v/>
      </c>
      <c r="M2297" s="593" t="str">
        <f>IF(H:H=0,"",IF(ISERROR(VLOOKUP(H:H,produtos_escape2!$A$2:$D$2794,2,FALSE)),"Código não cadastrado",(VLOOKUP(H:H,produtos_escape2!$A$2:$D$2794,4,FALSE))))</f>
        <v/>
      </c>
      <c r="N2297" s="486"/>
      <c r="O2297" s="176"/>
      <c r="P2297" s="486"/>
      <c r="Q2297" s="247"/>
      <c r="R2297" s="246">
        <f t="shared" si="87"/>
        <v>0</v>
      </c>
      <c r="S2297" s="177"/>
      <c r="T2297" s="182"/>
      <c r="U2297" s="177"/>
      <c r="V2297" s="177"/>
      <c r="W2297" s="177"/>
      <c r="X2297" s="176"/>
      <c r="Y2297" s="177"/>
      <c r="Z2297" s="415"/>
      <c r="AA2297" s="488"/>
      <c r="AB2297" s="594"/>
      <c r="AC2297" s="595"/>
      <c r="AD2297" s="596" t="str">
        <f>IF(AND(AC2297&lt;&gt;"",S2297&lt;&gt;""),NETWORKDAYS(AC2297,S2297,#REF!),"")</f>
        <v/>
      </c>
      <c r="AE2297" s="596" t="str">
        <f ca="1">IF(AND(AD2297="",AC2297=""),"",IF(OR(AD2297&lt;&gt;"",O2297="*CANCELADO"),"",NETWORKDAYS(AC2297,TODAY(),#REF!)))</f>
        <v/>
      </c>
      <c r="AF2297" s="619"/>
    </row>
    <row r="2298" spans="1:32" ht="14.25" customHeight="1">
      <c r="A2298" s="176"/>
      <c r="B2298" s="176"/>
      <c r="C2298" s="177"/>
      <c r="D2298" s="176"/>
      <c r="E2298" s="176"/>
      <c r="F2298" s="259"/>
      <c r="G2298" s="176"/>
      <c r="H2298" s="178"/>
      <c r="I2298" s="592">
        <f t="shared" si="88"/>
        <v>0</v>
      </c>
      <c r="J2298" s="178"/>
      <c r="K2298" s="178"/>
      <c r="L2298" s="275" t="str">
        <f>IF(H:H=0,"",IF(ISERROR(VLOOKUP(H:H,produtos_escape2!$A$2:$B$2794,2,FALSE)),"Código não cadastrado",(VLOOKUP(H:H,produtos_escape2!$A$2:$B$2794,2,FALSE))))</f>
        <v/>
      </c>
      <c r="M2298" s="593" t="str">
        <f>IF(H:H=0,"",IF(ISERROR(VLOOKUP(H:H,produtos_escape2!$A$2:$D$2794,2,FALSE)),"Código não cadastrado",(VLOOKUP(H:H,produtos_escape2!$A$2:$D$2794,4,FALSE))))</f>
        <v/>
      </c>
      <c r="N2298" s="486"/>
      <c r="O2298" s="176"/>
      <c r="P2298" s="486"/>
      <c r="Q2298" s="247"/>
      <c r="R2298" s="246">
        <f t="shared" si="87"/>
        <v>0</v>
      </c>
      <c r="S2298" s="177"/>
      <c r="T2298" s="182"/>
      <c r="U2298" s="177"/>
      <c r="V2298" s="177"/>
      <c r="W2298" s="177"/>
      <c r="X2298" s="176"/>
      <c r="Y2298" s="177"/>
      <c r="Z2298" s="415"/>
      <c r="AA2298" s="488"/>
      <c r="AB2298" s="594"/>
      <c r="AC2298" s="595"/>
      <c r="AD2298" s="596" t="str">
        <f>IF(AND(AC2298&lt;&gt;"",S2298&lt;&gt;""),NETWORKDAYS(AC2298,S2298,#REF!),"")</f>
        <v/>
      </c>
      <c r="AE2298" s="596" t="str">
        <f ca="1">IF(AND(AD2298="",AC2298=""),"",IF(OR(AD2298&lt;&gt;"",O2298="*CANCELADO"),"",NETWORKDAYS(AC2298,TODAY(),#REF!)))</f>
        <v/>
      </c>
      <c r="AF2298" s="619"/>
    </row>
    <row r="2299" spans="1:32" ht="14.25" customHeight="1">
      <c r="A2299" s="176"/>
      <c r="B2299" s="176"/>
      <c r="C2299" s="177"/>
      <c r="D2299" s="176"/>
      <c r="E2299" s="176"/>
      <c r="F2299" s="259"/>
      <c r="G2299" s="176"/>
      <c r="H2299" s="178"/>
      <c r="I2299" s="592">
        <f t="shared" si="88"/>
        <v>0</v>
      </c>
      <c r="J2299" s="178"/>
      <c r="K2299" s="178"/>
      <c r="L2299" s="275" t="str">
        <f>IF(H:H=0,"",IF(ISERROR(VLOOKUP(H:H,produtos_escape2!$A$2:$B$2794,2,FALSE)),"Código não cadastrado",(VLOOKUP(H:H,produtos_escape2!$A$2:$B$2794,2,FALSE))))</f>
        <v/>
      </c>
      <c r="M2299" s="593" t="str">
        <f>IF(H:H=0,"",IF(ISERROR(VLOOKUP(H:H,produtos_escape2!$A$2:$D$2794,2,FALSE)),"Código não cadastrado",(VLOOKUP(H:H,produtos_escape2!$A$2:$D$2794,4,FALSE))))</f>
        <v/>
      </c>
      <c r="N2299" s="486"/>
      <c r="O2299" s="176"/>
      <c r="P2299" s="486"/>
      <c r="Q2299" s="247"/>
      <c r="R2299" s="246">
        <f t="shared" si="87"/>
        <v>0</v>
      </c>
      <c r="S2299" s="177"/>
      <c r="T2299" s="182"/>
      <c r="U2299" s="177"/>
      <c r="V2299" s="177"/>
      <c r="W2299" s="177"/>
      <c r="X2299" s="176"/>
      <c r="Y2299" s="177"/>
      <c r="Z2299" s="415"/>
      <c r="AA2299" s="488"/>
      <c r="AB2299" s="594"/>
      <c r="AC2299" s="595"/>
      <c r="AD2299" s="596" t="str">
        <f>IF(AND(AC2299&lt;&gt;"",S2299&lt;&gt;""),NETWORKDAYS(AC2299,S2299,#REF!),"")</f>
        <v/>
      </c>
      <c r="AE2299" s="596" t="str">
        <f ca="1">IF(AND(AD2299="",AC2299=""),"",IF(OR(AD2299&lt;&gt;"",O2299="*CANCELADO"),"",NETWORKDAYS(AC2299,TODAY(),#REF!)))</f>
        <v/>
      </c>
      <c r="AF2299" s="619"/>
    </row>
    <row r="2300" spans="1:32" ht="14.25" customHeight="1">
      <c r="A2300" s="176"/>
      <c r="B2300" s="176"/>
      <c r="C2300" s="177"/>
      <c r="D2300" s="176"/>
      <c r="E2300" s="176"/>
      <c r="F2300" s="259"/>
      <c r="G2300" s="176"/>
      <c r="H2300" s="178"/>
      <c r="I2300" s="592">
        <f t="shared" si="88"/>
        <v>0</v>
      </c>
      <c r="J2300" s="178"/>
      <c r="K2300" s="178"/>
      <c r="L2300" s="275" t="str">
        <f>IF(H:H=0,"",IF(ISERROR(VLOOKUP(H:H,produtos_escape2!$A$2:$B$2794,2,FALSE)),"Código não cadastrado",(VLOOKUP(H:H,produtos_escape2!$A$2:$B$2794,2,FALSE))))</f>
        <v/>
      </c>
      <c r="M2300" s="593" t="str">
        <f>IF(H:H=0,"",IF(ISERROR(VLOOKUP(H:H,produtos_escape2!$A$2:$D$2794,2,FALSE)),"Código não cadastrado",(VLOOKUP(H:H,produtos_escape2!$A$2:$D$2794,4,FALSE))))</f>
        <v/>
      </c>
      <c r="N2300" s="486"/>
      <c r="O2300" s="176"/>
      <c r="P2300" s="486"/>
      <c r="Q2300" s="247"/>
      <c r="R2300" s="246">
        <f t="shared" si="87"/>
        <v>0</v>
      </c>
      <c r="S2300" s="177"/>
      <c r="T2300" s="182"/>
      <c r="U2300" s="177"/>
      <c r="V2300" s="177"/>
      <c r="W2300" s="177"/>
      <c r="X2300" s="176"/>
      <c r="Y2300" s="177"/>
      <c r="Z2300" s="415"/>
      <c r="AA2300" s="488"/>
      <c r="AB2300" s="594"/>
      <c r="AC2300" s="595"/>
      <c r="AD2300" s="596" t="str">
        <f>IF(AND(AC2300&lt;&gt;"",S2300&lt;&gt;""),NETWORKDAYS(AC2300,S2300,#REF!),"")</f>
        <v/>
      </c>
      <c r="AE2300" s="596" t="str">
        <f ca="1">IF(AND(AD2300="",AC2300=""),"",IF(OR(AD2300&lt;&gt;"",O2300="*CANCELADO"),"",NETWORKDAYS(AC2300,TODAY(),#REF!)))</f>
        <v/>
      </c>
      <c r="AF2300" s="619"/>
    </row>
    <row r="2301" spans="1:32" ht="14.25" customHeight="1">
      <c r="A2301" s="176"/>
      <c r="B2301" s="176"/>
      <c r="C2301" s="177"/>
      <c r="D2301" s="176"/>
      <c r="E2301" s="176"/>
      <c r="F2301" s="259"/>
      <c r="G2301" s="176"/>
      <c r="H2301" s="178"/>
      <c r="I2301" s="592">
        <f t="shared" si="88"/>
        <v>0</v>
      </c>
      <c r="J2301" s="178"/>
      <c r="K2301" s="178"/>
      <c r="L2301" s="275" t="str">
        <f>IF(H:H=0,"",IF(ISERROR(VLOOKUP(H:H,produtos_escape2!$A$2:$B$2794,2,FALSE)),"Código não cadastrado",(VLOOKUP(H:H,produtos_escape2!$A$2:$B$2794,2,FALSE))))</f>
        <v/>
      </c>
      <c r="M2301" s="593" t="str">
        <f>IF(H:H=0,"",IF(ISERROR(VLOOKUP(H:H,produtos_escape2!$A$2:$D$2794,2,FALSE)),"Código não cadastrado",(VLOOKUP(H:H,produtos_escape2!$A$2:$D$2794,4,FALSE))))</f>
        <v/>
      </c>
      <c r="N2301" s="486"/>
      <c r="O2301" s="176"/>
      <c r="P2301" s="486"/>
      <c r="Q2301" s="247"/>
      <c r="R2301" s="246">
        <f t="shared" si="87"/>
        <v>0</v>
      </c>
      <c r="S2301" s="177"/>
      <c r="T2301" s="182"/>
      <c r="U2301" s="177"/>
      <c r="V2301" s="177"/>
      <c r="W2301" s="177"/>
      <c r="X2301" s="176"/>
      <c r="Y2301" s="177"/>
      <c r="Z2301" s="415"/>
      <c r="AA2301" s="488"/>
      <c r="AB2301" s="594"/>
      <c r="AC2301" s="595"/>
      <c r="AD2301" s="596" t="str">
        <f>IF(AND(AC2301&lt;&gt;"",S2301&lt;&gt;""),NETWORKDAYS(AC2301,S2301,#REF!),"")</f>
        <v/>
      </c>
      <c r="AE2301" s="596" t="str">
        <f ca="1">IF(AND(AD2301="",AC2301=""),"",IF(OR(AD2301&lt;&gt;"",O2301="*CANCELADO"),"",NETWORKDAYS(AC2301,TODAY(),#REF!)))</f>
        <v/>
      </c>
      <c r="AF2301" s="619"/>
    </row>
    <row r="2302" spans="1:32" ht="14.25" customHeight="1">
      <c r="A2302" s="176"/>
      <c r="B2302" s="176"/>
      <c r="C2302" s="177"/>
      <c r="D2302" s="176"/>
      <c r="E2302" s="176"/>
      <c r="F2302" s="259"/>
      <c r="G2302" s="176"/>
      <c r="H2302" s="178"/>
      <c r="I2302" s="592">
        <f t="shared" si="88"/>
        <v>0</v>
      </c>
      <c r="J2302" s="178"/>
      <c r="K2302" s="178"/>
      <c r="L2302" s="275" t="str">
        <f>IF(H:H=0,"",IF(ISERROR(VLOOKUP(H:H,produtos_escape2!$A$2:$B$2794,2,FALSE)),"Código não cadastrado",(VLOOKUP(H:H,produtos_escape2!$A$2:$B$2794,2,FALSE))))</f>
        <v/>
      </c>
      <c r="M2302" s="593" t="str">
        <f>IF(H:H=0,"",IF(ISERROR(VLOOKUP(H:H,produtos_escape2!$A$2:$D$2794,2,FALSE)),"Código não cadastrado",(VLOOKUP(H:H,produtos_escape2!$A$2:$D$2794,4,FALSE))))</f>
        <v/>
      </c>
      <c r="N2302" s="486"/>
      <c r="O2302" s="176"/>
      <c r="P2302" s="486"/>
      <c r="Q2302" s="247"/>
      <c r="R2302" s="246">
        <f t="shared" si="87"/>
        <v>0</v>
      </c>
      <c r="S2302" s="177"/>
      <c r="T2302" s="182"/>
      <c r="U2302" s="177"/>
      <c r="V2302" s="177"/>
      <c r="W2302" s="177"/>
      <c r="X2302" s="176"/>
      <c r="Y2302" s="177"/>
      <c r="Z2302" s="415"/>
      <c r="AA2302" s="488"/>
      <c r="AB2302" s="594"/>
      <c r="AC2302" s="595"/>
      <c r="AD2302" s="596" t="str">
        <f>IF(AND(AC2302&lt;&gt;"",S2302&lt;&gt;""),NETWORKDAYS(AC2302,S2302,#REF!),"")</f>
        <v/>
      </c>
      <c r="AE2302" s="596" t="str">
        <f ca="1">IF(AND(AD2302="",AC2302=""),"",IF(OR(AD2302&lt;&gt;"",O2302="*CANCELADO"),"",NETWORKDAYS(AC2302,TODAY(),#REF!)))</f>
        <v/>
      </c>
      <c r="AF2302" s="619"/>
    </row>
    <row r="2303" spans="1:32" ht="14.25" customHeight="1">
      <c r="A2303" s="176"/>
      <c r="B2303" s="176"/>
      <c r="C2303" s="177"/>
      <c r="D2303" s="176"/>
      <c r="E2303" s="176"/>
      <c r="F2303" s="259"/>
      <c r="G2303" s="176"/>
      <c r="H2303" s="178"/>
      <c r="I2303" s="592">
        <f t="shared" si="88"/>
        <v>0</v>
      </c>
      <c r="J2303" s="178"/>
      <c r="K2303" s="178"/>
      <c r="L2303" s="275" t="str">
        <f>IF(H:H=0,"",IF(ISERROR(VLOOKUP(H:H,produtos_escape2!$A$2:$B$2794,2,FALSE)),"Código não cadastrado",(VLOOKUP(H:H,produtos_escape2!$A$2:$B$2794,2,FALSE))))</f>
        <v/>
      </c>
      <c r="M2303" s="593" t="str">
        <f>IF(H:H=0,"",IF(ISERROR(VLOOKUP(H:H,produtos_escape2!$A$2:$D$2794,2,FALSE)),"Código não cadastrado",(VLOOKUP(H:H,produtos_escape2!$A$2:$D$2794,4,FALSE))))</f>
        <v/>
      </c>
      <c r="N2303" s="486"/>
      <c r="O2303" s="176"/>
      <c r="P2303" s="486"/>
      <c r="Q2303" s="247"/>
      <c r="R2303" s="246">
        <f t="shared" si="87"/>
        <v>0</v>
      </c>
      <c r="S2303" s="177"/>
      <c r="T2303" s="182"/>
      <c r="U2303" s="177"/>
      <c r="V2303" s="177"/>
      <c r="W2303" s="177"/>
      <c r="X2303" s="176"/>
      <c r="Y2303" s="177"/>
      <c r="Z2303" s="415"/>
      <c r="AA2303" s="488"/>
      <c r="AB2303" s="594"/>
      <c r="AC2303" s="595"/>
      <c r="AD2303" s="596" t="str">
        <f>IF(AND(AC2303&lt;&gt;"",S2303&lt;&gt;""),NETWORKDAYS(AC2303,S2303,#REF!),"")</f>
        <v/>
      </c>
      <c r="AE2303" s="596" t="str">
        <f ca="1">IF(AND(AD2303="",AC2303=""),"",IF(OR(AD2303&lt;&gt;"",O2303="*CANCELADO"),"",NETWORKDAYS(AC2303,TODAY(),#REF!)))</f>
        <v/>
      </c>
      <c r="AF2303" s="619"/>
    </row>
    <row r="2304" spans="1:32" ht="14.25" customHeight="1">
      <c r="A2304" s="176"/>
      <c r="B2304" s="176"/>
      <c r="C2304" s="177"/>
      <c r="D2304" s="176"/>
      <c r="E2304" s="176"/>
      <c r="F2304" s="259"/>
      <c r="G2304" s="176"/>
      <c r="H2304" s="178"/>
      <c r="I2304" s="592">
        <f t="shared" si="88"/>
        <v>0</v>
      </c>
      <c r="J2304" s="178"/>
      <c r="K2304" s="178"/>
      <c r="L2304" s="275" t="str">
        <f>IF(H:H=0,"",IF(ISERROR(VLOOKUP(H:H,produtos_escape2!$A$2:$B$2794,2,FALSE)),"Código não cadastrado",(VLOOKUP(H:H,produtos_escape2!$A$2:$B$2794,2,FALSE))))</f>
        <v/>
      </c>
      <c r="M2304" s="593" t="str">
        <f>IF(H:H=0,"",IF(ISERROR(VLOOKUP(H:H,produtos_escape2!$A$2:$D$2794,2,FALSE)),"Código não cadastrado",(VLOOKUP(H:H,produtos_escape2!$A$2:$D$2794,4,FALSE))))</f>
        <v/>
      </c>
      <c r="N2304" s="486"/>
      <c r="O2304" s="176"/>
      <c r="P2304" s="486"/>
      <c r="Q2304" s="247"/>
      <c r="R2304" s="246">
        <f t="shared" si="87"/>
        <v>0</v>
      </c>
      <c r="S2304" s="177"/>
      <c r="T2304" s="182"/>
      <c r="U2304" s="177"/>
      <c r="V2304" s="177"/>
      <c r="W2304" s="177"/>
      <c r="X2304" s="176"/>
      <c r="Y2304" s="177"/>
      <c r="Z2304" s="415"/>
      <c r="AA2304" s="488"/>
      <c r="AB2304" s="594"/>
      <c r="AC2304" s="595"/>
      <c r="AD2304" s="596" t="str">
        <f>IF(AND(AC2304&lt;&gt;"",S2304&lt;&gt;""),NETWORKDAYS(AC2304,S2304,#REF!),"")</f>
        <v/>
      </c>
      <c r="AE2304" s="596" t="str">
        <f ca="1">IF(AND(AD2304="",AC2304=""),"",IF(OR(AD2304&lt;&gt;"",O2304="*CANCELADO"),"",NETWORKDAYS(AC2304,TODAY(),#REF!)))</f>
        <v/>
      </c>
      <c r="AF2304" s="619"/>
    </row>
    <row r="2305" spans="1:32" ht="14.25" customHeight="1">
      <c r="A2305" s="176"/>
      <c r="B2305" s="176"/>
      <c r="C2305" s="177"/>
      <c r="D2305" s="176"/>
      <c r="E2305" s="176"/>
      <c r="F2305" s="259"/>
      <c r="G2305" s="176"/>
      <c r="H2305" s="178"/>
      <c r="I2305" s="592">
        <f t="shared" si="88"/>
        <v>0</v>
      </c>
      <c r="J2305" s="178"/>
      <c r="K2305" s="178"/>
      <c r="L2305" s="275" t="str">
        <f>IF(H:H=0,"",IF(ISERROR(VLOOKUP(H:H,produtos_escape2!$A$2:$B$2794,2,FALSE)),"Código não cadastrado",(VLOOKUP(H:H,produtos_escape2!$A$2:$B$2794,2,FALSE))))</f>
        <v/>
      </c>
      <c r="M2305" s="593" t="str">
        <f>IF(H:H=0,"",IF(ISERROR(VLOOKUP(H:H,produtos_escape2!$A$2:$D$2794,2,FALSE)),"Código não cadastrado",(VLOOKUP(H:H,produtos_escape2!$A$2:$D$2794,4,FALSE))))</f>
        <v/>
      </c>
      <c r="N2305" s="486"/>
      <c r="O2305" s="176"/>
      <c r="P2305" s="486"/>
      <c r="Q2305" s="247"/>
      <c r="R2305" s="246">
        <f t="shared" si="87"/>
        <v>0</v>
      </c>
      <c r="S2305" s="177"/>
      <c r="T2305" s="182"/>
      <c r="U2305" s="177"/>
      <c r="V2305" s="177"/>
      <c r="W2305" s="177"/>
      <c r="X2305" s="176"/>
      <c r="Y2305" s="177"/>
      <c r="Z2305" s="415"/>
      <c r="AA2305" s="488"/>
      <c r="AB2305" s="594"/>
      <c r="AC2305" s="595"/>
      <c r="AD2305" s="596" t="str">
        <f>IF(AND(AC2305&lt;&gt;"",S2305&lt;&gt;""),NETWORKDAYS(AC2305,S2305,#REF!),"")</f>
        <v/>
      </c>
      <c r="AE2305" s="596" t="str">
        <f ca="1">IF(AND(AD2305="",AC2305=""),"",IF(OR(AD2305&lt;&gt;"",O2305="*CANCELADO"),"",NETWORKDAYS(AC2305,TODAY(),#REF!)))</f>
        <v/>
      </c>
      <c r="AF2305" s="619"/>
    </row>
    <row r="2306" spans="1:32" ht="14.25" customHeight="1">
      <c r="A2306" s="176"/>
      <c r="B2306" s="176"/>
      <c r="C2306" s="177"/>
      <c r="D2306" s="176"/>
      <c r="E2306" s="176"/>
      <c r="F2306" s="259"/>
      <c r="G2306" s="176"/>
      <c r="H2306" s="178"/>
      <c r="I2306" s="592">
        <f t="shared" si="88"/>
        <v>0</v>
      </c>
      <c r="J2306" s="178"/>
      <c r="K2306" s="178"/>
      <c r="L2306" s="275" t="str">
        <f>IF(H:H=0,"",IF(ISERROR(VLOOKUP(H:H,produtos_escape2!$A$2:$B$2794,2,FALSE)),"Código não cadastrado",(VLOOKUP(H:H,produtos_escape2!$A$2:$B$2794,2,FALSE))))</f>
        <v/>
      </c>
      <c r="M2306" s="593" t="str">
        <f>IF(H:H=0,"",IF(ISERROR(VLOOKUP(H:H,produtos_escape2!$A$2:$D$2794,2,FALSE)),"Código não cadastrado",(VLOOKUP(H:H,produtos_escape2!$A$2:$D$2794,4,FALSE))))</f>
        <v/>
      </c>
      <c r="N2306" s="486"/>
      <c r="O2306" s="176"/>
      <c r="P2306" s="486"/>
      <c r="Q2306" s="247"/>
      <c r="R2306" s="246">
        <f t="shared" si="87"/>
        <v>0</v>
      </c>
      <c r="S2306" s="177"/>
      <c r="T2306" s="182"/>
      <c r="U2306" s="177"/>
      <c r="V2306" s="177"/>
      <c r="W2306" s="177"/>
      <c r="X2306" s="176"/>
      <c r="Y2306" s="177"/>
      <c r="Z2306" s="415"/>
      <c r="AA2306" s="488"/>
      <c r="AB2306" s="594"/>
      <c r="AC2306" s="595"/>
      <c r="AD2306" s="596" t="str">
        <f>IF(AND(AC2306&lt;&gt;"",S2306&lt;&gt;""),NETWORKDAYS(AC2306,S2306,#REF!),"")</f>
        <v/>
      </c>
      <c r="AE2306" s="596" t="str">
        <f ca="1">IF(AND(AD2306="",AC2306=""),"",IF(OR(AD2306&lt;&gt;"",O2306="*CANCELADO"),"",NETWORKDAYS(AC2306,TODAY(),#REF!)))</f>
        <v/>
      </c>
      <c r="AF2306" s="619"/>
    </row>
    <row r="2307" spans="1:32" ht="14.25" customHeight="1">
      <c r="A2307" s="176"/>
      <c r="B2307" s="176"/>
      <c r="C2307" s="177"/>
      <c r="D2307" s="176"/>
      <c r="E2307" s="176"/>
      <c r="F2307" s="259"/>
      <c r="G2307" s="176"/>
      <c r="H2307" s="178"/>
      <c r="I2307" s="592">
        <f t="shared" si="88"/>
        <v>0</v>
      </c>
      <c r="J2307" s="178"/>
      <c r="K2307" s="178"/>
      <c r="L2307" s="275" t="str">
        <f>IF(H:H=0,"",IF(ISERROR(VLOOKUP(H:H,produtos_escape2!$A$2:$B$2794,2,FALSE)),"Código não cadastrado",(VLOOKUP(H:H,produtos_escape2!$A$2:$B$2794,2,FALSE))))</f>
        <v/>
      </c>
      <c r="M2307" s="593" t="str">
        <f>IF(H:H=0,"",IF(ISERROR(VLOOKUP(H:H,produtos_escape2!$A$2:$D$2794,2,FALSE)),"Código não cadastrado",(VLOOKUP(H:H,produtos_escape2!$A$2:$D$2794,4,FALSE))))</f>
        <v/>
      </c>
      <c r="N2307" s="486"/>
      <c r="O2307" s="176"/>
      <c r="P2307" s="486"/>
      <c r="Q2307" s="247"/>
      <c r="R2307" s="246">
        <f t="shared" si="87"/>
        <v>0</v>
      </c>
      <c r="S2307" s="177"/>
      <c r="T2307" s="182"/>
      <c r="U2307" s="177"/>
      <c r="V2307" s="177"/>
      <c r="W2307" s="177"/>
      <c r="X2307" s="176"/>
      <c r="Y2307" s="177"/>
      <c r="Z2307" s="415"/>
      <c r="AA2307" s="488"/>
      <c r="AB2307" s="594"/>
      <c r="AC2307" s="595"/>
      <c r="AD2307" s="596" t="str">
        <f>IF(AND(AC2307&lt;&gt;"",S2307&lt;&gt;""),NETWORKDAYS(AC2307,S2307,#REF!),"")</f>
        <v/>
      </c>
      <c r="AE2307" s="596" t="str">
        <f ca="1">IF(AND(AD2307="",AC2307=""),"",IF(OR(AD2307&lt;&gt;"",O2307="*CANCELADO"),"",NETWORKDAYS(AC2307,TODAY(),#REF!)))</f>
        <v/>
      </c>
      <c r="AF2307" s="619"/>
    </row>
    <row r="2308" spans="1:32" ht="14.25" customHeight="1">
      <c r="A2308" s="176"/>
      <c r="B2308" s="176"/>
      <c r="C2308" s="177"/>
      <c r="D2308" s="176"/>
      <c r="E2308" s="176"/>
      <c r="F2308" s="259"/>
      <c r="G2308" s="176"/>
      <c r="H2308" s="178"/>
      <c r="I2308" s="592">
        <f t="shared" si="88"/>
        <v>0</v>
      </c>
      <c r="J2308" s="178"/>
      <c r="K2308" s="178"/>
      <c r="L2308" s="275" t="str">
        <f>IF(H:H=0,"",IF(ISERROR(VLOOKUP(H:H,produtos_escape2!$A$2:$B$2794,2,FALSE)),"Código não cadastrado",(VLOOKUP(H:H,produtos_escape2!$A$2:$B$2794,2,FALSE))))</f>
        <v/>
      </c>
      <c r="M2308" s="593" t="str">
        <f>IF(H:H=0,"",IF(ISERROR(VLOOKUP(H:H,produtos_escape2!$A$2:$D$2794,2,FALSE)),"Código não cadastrado",(VLOOKUP(H:H,produtos_escape2!$A$2:$D$2794,4,FALSE))))</f>
        <v/>
      </c>
      <c r="N2308" s="486"/>
      <c r="O2308" s="176"/>
      <c r="P2308" s="486"/>
      <c r="Q2308" s="247"/>
      <c r="R2308" s="246">
        <f t="shared" si="87"/>
        <v>0</v>
      </c>
      <c r="S2308" s="177"/>
      <c r="T2308" s="182"/>
      <c r="U2308" s="177"/>
      <c r="V2308" s="177"/>
      <c r="W2308" s="177"/>
      <c r="X2308" s="176"/>
      <c r="Y2308" s="177"/>
      <c r="Z2308" s="415"/>
      <c r="AA2308" s="488"/>
      <c r="AB2308" s="594"/>
      <c r="AC2308" s="595"/>
      <c r="AD2308" s="596" t="str">
        <f>IF(AND(AC2308&lt;&gt;"",S2308&lt;&gt;""),NETWORKDAYS(AC2308,S2308,#REF!),"")</f>
        <v/>
      </c>
      <c r="AE2308" s="596" t="str">
        <f ca="1">IF(AND(AD2308="",AC2308=""),"",IF(OR(AD2308&lt;&gt;"",O2308="*CANCELADO"),"",NETWORKDAYS(AC2308,TODAY(),#REF!)))</f>
        <v/>
      </c>
      <c r="AF2308" s="619"/>
    </row>
    <row r="2309" spans="1:32" ht="14.25" customHeight="1">
      <c r="A2309" s="176"/>
      <c r="B2309" s="176"/>
      <c r="C2309" s="177"/>
      <c r="D2309" s="176"/>
      <c r="E2309" s="176"/>
      <c r="F2309" s="259"/>
      <c r="G2309" s="176"/>
      <c r="H2309" s="178"/>
      <c r="I2309" s="592">
        <f t="shared" si="88"/>
        <v>0</v>
      </c>
      <c r="J2309" s="178"/>
      <c r="K2309" s="178"/>
      <c r="L2309" s="275" t="str">
        <f>IF(H:H=0,"",IF(ISERROR(VLOOKUP(H:H,produtos_escape2!$A$2:$B$2794,2,FALSE)),"Código não cadastrado",(VLOOKUP(H:H,produtos_escape2!$A$2:$B$2794,2,FALSE))))</f>
        <v/>
      </c>
      <c r="M2309" s="593" t="str">
        <f>IF(H:H=0,"",IF(ISERROR(VLOOKUP(H:H,produtos_escape2!$A$2:$D$2794,2,FALSE)),"Código não cadastrado",(VLOOKUP(H:H,produtos_escape2!$A$2:$D$2794,4,FALSE))))</f>
        <v/>
      </c>
      <c r="N2309" s="486"/>
      <c r="O2309" s="176"/>
      <c r="P2309" s="486"/>
      <c r="Q2309" s="247"/>
      <c r="R2309" s="246">
        <f t="shared" si="87"/>
        <v>0</v>
      </c>
      <c r="S2309" s="177"/>
      <c r="T2309" s="182"/>
      <c r="U2309" s="177"/>
      <c r="V2309" s="177"/>
      <c r="W2309" s="177"/>
      <c r="X2309" s="176"/>
      <c r="Y2309" s="177"/>
      <c r="Z2309" s="415"/>
      <c r="AA2309" s="488"/>
      <c r="AB2309" s="594"/>
      <c r="AC2309" s="595"/>
      <c r="AD2309" s="596" t="str">
        <f>IF(AND(AC2309&lt;&gt;"",S2309&lt;&gt;""),NETWORKDAYS(AC2309,S2309,#REF!),"")</f>
        <v/>
      </c>
      <c r="AE2309" s="596" t="str">
        <f ca="1">IF(AND(AD2309="",AC2309=""),"",IF(OR(AD2309&lt;&gt;"",O2309="*CANCELADO"),"",NETWORKDAYS(AC2309,TODAY(),#REF!)))</f>
        <v/>
      </c>
      <c r="AF2309" s="619"/>
    </row>
    <row r="2310" spans="1:32" ht="14.25" customHeight="1">
      <c r="A2310" s="176"/>
      <c r="B2310" s="176"/>
      <c r="C2310" s="177"/>
      <c r="D2310" s="176"/>
      <c r="E2310" s="176"/>
      <c r="F2310" s="259"/>
      <c r="G2310" s="176"/>
      <c r="H2310" s="178"/>
      <c r="I2310" s="592">
        <f t="shared" si="88"/>
        <v>0</v>
      </c>
      <c r="J2310" s="178"/>
      <c r="K2310" s="178"/>
      <c r="L2310" s="275" t="str">
        <f>IF(H:H=0,"",IF(ISERROR(VLOOKUP(H:H,produtos_escape2!$A$2:$B$2794,2,FALSE)),"Código não cadastrado",(VLOOKUP(H:H,produtos_escape2!$A$2:$B$2794,2,FALSE))))</f>
        <v/>
      </c>
      <c r="M2310" s="593" t="str">
        <f>IF(H:H=0,"",IF(ISERROR(VLOOKUP(H:H,produtos_escape2!$A$2:$D$2794,2,FALSE)),"Código não cadastrado",(VLOOKUP(H:H,produtos_escape2!$A$2:$D$2794,4,FALSE))))</f>
        <v/>
      </c>
      <c r="N2310" s="486"/>
      <c r="O2310" s="176"/>
      <c r="P2310" s="486"/>
      <c r="Q2310" s="247"/>
      <c r="R2310" s="246">
        <f t="shared" si="87"/>
        <v>0</v>
      </c>
      <c r="S2310" s="177"/>
      <c r="T2310" s="182"/>
      <c r="U2310" s="177"/>
      <c r="V2310" s="177"/>
      <c r="W2310" s="177"/>
      <c r="X2310" s="176"/>
      <c r="Y2310" s="177"/>
      <c r="Z2310" s="415"/>
      <c r="AA2310" s="488"/>
      <c r="AB2310" s="594"/>
      <c r="AC2310" s="595"/>
      <c r="AD2310" s="596" t="str">
        <f>IF(AND(AC2310&lt;&gt;"",S2310&lt;&gt;""),NETWORKDAYS(AC2310,S2310,#REF!),"")</f>
        <v/>
      </c>
      <c r="AE2310" s="596" t="str">
        <f ca="1">IF(AND(AD2310="",AC2310=""),"",IF(OR(AD2310&lt;&gt;"",O2310="*CANCELADO"),"",NETWORKDAYS(AC2310,TODAY(),#REF!)))</f>
        <v/>
      </c>
      <c r="AF2310" s="619"/>
    </row>
    <row r="2311" spans="1:32" ht="14.25" customHeight="1">
      <c r="A2311" s="176"/>
      <c r="B2311" s="176"/>
      <c r="C2311" s="177"/>
      <c r="D2311" s="176"/>
      <c r="E2311" s="176"/>
      <c r="F2311" s="259"/>
      <c r="G2311" s="176"/>
      <c r="H2311" s="178"/>
      <c r="I2311" s="592">
        <f t="shared" si="88"/>
        <v>0</v>
      </c>
      <c r="J2311" s="178"/>
      <c r="K2311" s="178"/>
      <c r="L2311" s="275" t="str">
        <f>IF(H:H=0,"",IF(ISERROR(VLOOKUP(H:H,produtos_escape2!$A$2:$B$2794,2,FALSE)),"Código não cadastrado",(VLOOKUP(H:H,produtos_escape2!$A$2:$B$2794,2,FALSE))))</f>
        <v/>
      </c>
      <c r="M2311" s="593" t="str">
        <f>IF(H:H=0,"",IF(ISERROR(VLOOKUP(H:H,produtos_escape2!$A$2:$D$2794,2,FALSE)),"Código não cadastrado",(VLOOKUP(H:H,produtos_escape2!$A$2:$D$2794,4,FALSE))))</f>
        <v/>
      </c>
      <c r="N2311" s="486"/>
      <c r="O2311" s="176"/>
      <c r="P2311" s="486"/>
      <c r="Q2311" s="247"/>
      <c r="R2311" s="246">
        <f t="shared" si="87"/>
        <v>0</v>
      </c>
      <c r="S2311" s="177"/>
      <c r="T2311" s="182"/>
      <c r="U2311" s="177"/>
      <c r="V2311" s="177"/>
      <c r="W2311" s="177"/>
      <c r="X2311" s="176"/>
      <c r="Y2311" s="177"/>
      <c r="Z2311" s="415"/>
      <c r="AA2311" s="488"/>
      <c r="AB2311" s="594"/>
      <c r="AC2311" s="595"/>
      <c r="AD2311" s="596" t="str">
        <f>IF(AND(AC2311&lt;&gt;"",S2311&lt;&gt;""),NETWORKDAYS(AC2311,S2311,#REF!),"")</f>
        <v/>
      </c>
      <c r="AE2311" s="596" t="str">
        <f ca="1">IF(AND(AD2311="",AC2311=""),"",IF(OR(AD2311&lt;&gt;"",O2311="*CANCELADO"),"",NETWORKDAYS(AC2311,TODAY(),#REF!)))</f>
        <v/>
      </c>
      <c r="AF2311" s="619"/>
    </row>
    <row r="2312" spans="1:32" ht="14.25" customHeight="1">
      <c r="A2312" s="176"/>
      <c r="B2312" s="176"/>
      <c r="C2312" s="177"/>
      <c r="D2312" s="176"/>
      <c r="E2312" s="176"/>
      <c r="F2312" s="259"/>
      <c r="G2312" s="176"/>
      <c r="H2312" s="178"/>
      <c r="I2312" s="592">
        <f t="shared" si="88"/>
        <v>0</v>
      </c>
      <c r="J2312" s="178"/>
      <c r="K2312" s="178"/>
      <c r="L2312" s="275" t="str">
        <f>IF(H:H=0,"",IF(ISERROR(VLOOKUP(H:H,produtos_escape2!$A$2:$B$2794,2,FALSE)),"Código não cadastrado",(VLOOKUP(H:H,produtos_escape2!$A$2:$B$2794,2,FALSE))))</f>
        <v/>
      </c>
      <c r="M2312" s="593" t="str">
        <f>IF(H:H=0,"",IF(ISERROR(VLOOKUP(H:H,produtos_escape2!$A$2:$D$2794,2,FALSE)),"Código não cadastrado",(VLOOKUP(H:H,produtos_escape2!$A$2:$D$2794,4,FALSE))))</f>
        <v/>
      </c>
      <c r="N2312" s="486"/>
      <c r="O2312" s="176"/>
      <c r="P2312" s="486"/>
      <c r="Q2312" s="247"/>
      <c r="R2312" s="246">
        <f t="shared" si="87"/>
        <v>0</v>
      </c>
      <c r="S2312" s="177"/>
      <c r="T2312" s="182"/>
      <c r="U2312" s="177"/>
      <c r="V2312" s="177"/>
      <c r="W2312" s="177"/>
      <c r="X2312" s="176"/>
      <c r="Y2312" s="177"/>
      <c r="Z2312" s="415"/>
      <c r="AA2312" s="488"/>
      <c r="AB2312" s="594"/>
      <c r="AC2312" s="595"/>
      <c r="AD2312" s="596" t="str">
        <f>IF(AND(AC2312&lt;&gt;"",S2312&lt;&gt;""),NETWORKDAYS(AC2312,S2312,#REF!),"")</f>
        <v/>
      </c>
      <c r="AE2312" s="596" t="str">
        <f ca="1">IF(AND(AD2312="",AC2312=""),"",IF(OR(AD2312&lt;&gt;"",O2312="*CANCELADO"),"",NETWORKDAYS(AC2312,TODAY(),#REF!)))</f>
        <v/>
      </c>
      <c r="AF2312" s="619"/>
    </row>
    <row r="2313" spans="1:32" ht="14.25" customHeight="1">
      <c r="A2313" s="176"/>
      <c r="B2313" s="176"/>
      <c r="C2313" s="177"/>
      <c r="D2313" s="176"/>
      <c r="E2313" s="176"/>
      <c r="F2313" s="259"/>
      <c r="G2313" s="176"/>
      <c r="H2313" s="178"/>
      <c r="I2313" s="592">
        <f t="shared" si="88"/>
        <v>0</v>
      </c>
      <c r="J2313" s="178"/>
      <c r="K2313" s="178"/>
      <c r="L2313" s="275" t="str">
        <f>IF(H:H=0,"",IF(ISERROR(VLOOKUP(H:H,produtos_escape2!$A$2:$B$2794,2,FALSE)),"Código não cadastrado",(VLOOKUP(H:H,produtos_escape2!$A$2:$B$2794,2,FALSE))))</f>
        <v/>
      </c>
      <c r="M2313" s="593" t="str">
        <f>IF(H:H=0,"",IF(ISERROR(VLOOKUP(H:H,produtos_escape2!$A$2:$D$2794,2,FALSE)),"Código não cadastrado",(VLOOKUP(H:H,produtos_escape2!$A$2:$D$2794,4,FALSE))))</f>
        <v/>
      </c>
      <c r="N2313" s="486"/>
      <c r="O2313" s="176"/>
      <c r="P2313" s="486"/>
      <c r="Q2313" s="247"/>
      <c r="R2313" s="246">
        <f t="shared" si="87"/>
        <v>0</v>
      </c>
      <c r="S2313" s="177"/>
      <c r="T2313" s="182"/>
      <c r="U2313" s="177"/>
      <c r="V2313" s="177"/>
      <c r="W2313" s="177"/>
      <c r="X2313" s="176"/>
      <c r="Y2313" s="177"/>
      <c r="Z2313" s="415"/>
      <c r="AA2313" s="488"/>
      <c r="AB2313" s="594"/>
      <c r="AC2313" s="595"/>
      <c r="AD2313" s="596" t="str">
        <f>IF(AND(AC2313&lt;&gt;"",S2313&lt;&gt;""),NETWORKDAYS(AC2313,S2313,#REF!),"")</f>
        <v/>
      </c>
      <c r="AE2313" s="596" t="str">
        <f ca="1">IF(AND(AD2313="",AC2313=""),"",IF(OR(AD2313&lt;&gt;"",O2313="*CANCELADO"),"",NETWORKDAYS(AC2313,TODAY(),#REF!)))</f>
        <v/>
      </c>
      <c r="AF2313" s="619"/>
    </row>
    <row r="2314" spans="1:32" ht="14.25" customHeight="1">
      <c r="A2314" s="176"/>
      <c r="B2314" s="176"/>
      <c r="C2314" s="177"/>
      <c r="D2314" s="176"/>
      <c r="E2314" s="176"/>
      <c r="F2314" s="259"/>
      <c r="G2314" s="176"/>
      <c r="H2314" s="178"/>
      <c r="I2314" s="592">
        <f t="shared" si="88"/>
        <v>0</v>
      </c>
      <c r="J2314" s="178"/>
      <c r="K2314" s="178"/>
      <c r="L2314" s="275" t="str">
        <f>IF(H:H=0,"",IF(ISERROR(VLOOKUP(H:H,produtos_escape2!$A$2:$B$2794,2,FALSE)),"Código não cadastrado",(VLOOKUP(H:H,produtos_escape2!$A$2:$B$2794,2,FALSE))))</f>
        <v/>
      </c>
      <c r="M2314" s="593" t="str">
        <f>IF(H:H=0,"",IF(ISERROR(VLOOKUP(H:H,produtos_escape2!$A$2:$D$2794,2,FALSE)),"Código não cadastrado",(VLOOKUP(H:H,produtos_escape2!$A$2:$D$2794,4,FALSE))))</f>
        <v/>
      </c>
      <c r="N2314" s="486"/>
      <c r="O2314" s="176"/>
      <c r="P2314" s="486"/>
      <c r="Q2314" s="247"/>
      <c r="R2314" s="246">
        <f t="shared" si="87"/>
        <v>0</v>
      </c>
      <c r="S2314" s="177"/>
      <c r="T2314" s="182"/>
      <c r="U2314" s="177"/>
      <c r="V2314" s="177"/>
      <c r="W2314" s="177"/>
      <c r="X2314" s="176"/>
      <c r="Y2314" s="177"/>
      <c r="Z2314" s="415"/>
      <c r="AA2314" s="488"/>
      <c r="AB2314" s="594"/>
      <c r="AC2314" s="595"/>
      <c r="AD2314" s="596" t="str">
        <f>IF(AND(AC2314&lt;&gt;"",S2314&lt;&gt;""),NETWORKDAYS(AC2314,S2314,#REF!),"")</f>
        <v/>
      </c>
      <c r="AE2314" s="596" t="str">
        <f ca="1">IF(AND(AD2314="",AC2314=""),"",IF(OR(AD2314&lt;&gt;"",O2314="*CANCELADO"),"",NETWORKDAYS(AC2314,TODAY(),#REF!)))</f>
        <v/>
      </c>
      <c r="AF2314" s="619"/>
    </row>
    <row r="2315" spans="1:32" ht="14.25" customHeight="1">
      <c r="A2315" s="176"/>
      <c r="B2315" s="176"/>
      <c r="C2315" s="177"/>
      <c r="D2315" s="176"/>
      <c r="E2315" s="176"/>
      <c r="F2315" s="259"/>
      <c r="G2315" s="176"/>
      <c r="H2315" s="178"/>
      <c r="I2315" s="592">
        <f t="shared" si="88"/>
        <v>0</v>
      </c>
      <c r="J2315" s="178"/>
      <c r="K2315" s="178"/>
      <c r="L2315" s="275" t="str">
        <f>IF(H:H=0,"",IF(ISERROR(VLOOKUP(H:H,produtos_escape2!$A$2:$B$2794,2,FALSE)),"Código não cadastrado",(VLOOKUP(H:H,produtos_escape2!$A$2:$B$2794,2,FALSE))))</f>
        <v/>
      </c>
      <c r="M2315" s="593" t="str">
        <f>IF(H:H=0,"",IF(ISERROR(VLOOKUP(H:H,produtos_escape2!$A$2:$D$2794,2,FALSE)),"Código não cadastrado",(VLOOKUP(H:H,produtos_escape2!$A$2:$D$2794,4,FALSE))))</f>
        <v/>
      </c>
      <c r="N2315" s="486"/>
      <c r="O2315" s="176"/>
      <c r="P2315" s="486"/>
      <c r="Q2315" s="247"/>
      <c r="R2315" s="246">
        <f t="shared" si="87"/>
        <v>0</v>
      </c>
      <c r="S2315" s="177"/>
      <c r="T2315" s="182"/>
      <c r="U2315" s="177"/>
      <c r="V2315" s="177"/>
      <c r="W2315" s="177"/>
      <c r="X2315" s="176"/>
      <c r="Y2315" s="177"/>
      <c r="Z2315" s="415"/>
      <c r="AA2315" s="488"/>
      <c r="AB2315" s="594"/>
      <c r="AC2315" s="595"/>
      <c r="AD2315" s="596" t="str">
        <f>IF(AND(AC2315&lt;&gt;"",S2315&lt;&gt;""),NETWORKDAYS(AC2315,S2315,#REF!),"")</f>
        <v/>
      </c>
      <c r="AE2315" s="596" t="str">
        <f ca="1">IF(AND(AD2315="",AC2315=""),"",IF(OR(AD2315&lt;&gt;"",O2315="*CANCELADO"),"",NETWORKDAYS(AC2315,TODAY(),#REF!)))</f>
        <v/>
      </c>
      <c r="AF2315" s="619"/>
    </row>
    <row r="2316" spans="1:32" ht="14.25" customHeight="1">
      <c r="A2316" s="176"/>
      <c r="B2316" s="176"/>
      <c r="C2316" s="177"/>
      <c r="D2316" s="176"/>
      <c r="E2316" s="176"/>
      <c r="F2316" s="259"/>
      <c r="G2316" s="176"/>
      <c r="H2316" s="178"/>
      <c r="I2316" s="592">
        <f t="shared" si="88"/>
        <v>0</v>
      </c>
      <c r="J2316" s="178"/>
      <c r="K2316" s="178"/>
      <c r="L2316" s="275" t="str">
        <f>IF(H:H=0,"",IF(ISERROR(VLOOKUP(H:H,produtos_escape2!$A$2:$B$2794,2,FALSE)),"Código não cadastrado",(VLOOKUP(H:H,produtos_escape2!$A$2:$B$2794,2,FALSE))))</f>
        <v/>
      </c>
      <c r="M2316" s="593" t="str">
        <f>IF(H:H=0,"",IF(ISERROR(VLOOKUP(H:H,produtos_escape2!$A$2:$D$2794,2,FALSE)),"Código não cadastrado",(VLOOKUP(H:H,produtos_escape2!$A$2:$D$2794,4,FALSE))))</f>
        <v/>
      </c>
      <c r="N2316" s="486"/>
      <c r="O2316" s="176"/>
      <c r="P2316" s="486"/>
      <c r="Q2316" s="247"/>
      <c r="R2316" s="246">
        <f t="shared" si="87"/>
        <v>0</v>
      </c>
      <c r="S2316" s="177"/>
      <c r="T2316" s="182"/>
      <c r="U2316" s="177"/>
      <c r="V2316" s="177"/>
      <c r="W2316" s="177"/>
      <c r="X2316" s="176"/>
      <c r="Y2316" s="177"/>
      <c r="Z2316" s="415"/>
      <c r="AA2316" s="488"/>
      <c r="AB2316" s="594"/>
      <c r="AC2316" s="595"/>
      <c r="AD2316" s="596" t="str">
        <f>IF(AND(AC2316&lt;&gt;"",S2316&lt;&gt;""),NETWORKDAYS(AC2316,S2316,#REF!),"")</f>
        <v/>
      </c>
      <c r="AE2316" s="596" t="str">
        <f ca="1">IF(AND(AD2316="",AC2316=""),"",IF(OR(AD2316&lt;&gt;"",O2316="*CANCELADO"),"",NETWORKDAYS(AC2316,TODAY(),#REF!)))</f>
        <v/>
      </c>
      <c r="AF2316" s="619"/>
    </row>
    <row r="2317" spans="1:32" ht="14.25" customHeight="1">
      <c r="A2317" s="176"/>
      <c r="B2317" s="176"/>
      <c r="C2317" s="177"/>
      <c r="D2317" s="176"/>
      <c r="E2317" s="176"/>
      <c r="F2317" s="259"/>
      <c r="G2317" s="176"/>
      <c r="H2317" s="178"/>
      <c r="I2317" s="592">
        <f t="shared" si="88"/>
        <v>0</v>
      </c>
      <c r="J2317" s="178"/>
      <c r="K2317" s="178"/>
      <c r="L2317" s="275" t="str">
        <f>IF(H:H=0,"",IF(ISERROR(VLOOKUP(H:H,produtos_escape2!$A$2:$B$2794,2,FALSE)),"Código não cadastrado",(VLOOKUP(H:H,produtos_escape2!$A$2:$B$2794,2,FALSE))))</f>
        <v/>
      </c>
      <c r="M2317" s="593" t="str">
        <f>IF(H:H=0,"",IF(ISERROR(VLOOKUP(H:H,produtos_escape2!$A$2:$D$2794,2,FALSE)),"Código não cadastrado",(VLOOKUP(H:H,produtos_escape2!$A$2:$D$2794,4,FALSE))))</f>
        <v/>
      </c>
      <c r="N2317" s="486"/>
      <c r="O2317" s="176"/>
      <c r="P2317" s="486"/>
      <c r="Q2317" s="247"/>
      <c r="R2317" s="246">
        <f t="shared" si="87"/>
        <v>0</v>
      </c>
      <c r="S2317" s="177"/>
      <c r="T2317" s="182"/>
      <c r="U2317" s="177"/>
      <c r="V2317" s="177"/>
      <c r="W2317" s="177"/>
      <c r="X2317" s="176"/>
      <c r="Y2317" s="177"/>
      <c r="Z2317" s="415"/>
      <c r="AA2317" s="488"/>
      <c r="AB2317" s="594"/>
      <c r="AC2317" s="595"/>
      <c r="AD2317" s="596" t="str">
        <f>IF(AND(AC2317&lt;&gt;"",S2317&lt;&gt;""),NETWORKDAYS(AC2317,S2317,#REF!),"")</f>
        <v/>
      </c>
      <c r="AE2317" s="596" t="str">
        <f ca="1">IF(AND(AD2317="",AC2317=""),"",IF(OR(AD2317&lt;&gt;"",O2317="*CANCELADO"),"",NETWORKDAYS(AC2317,TODAY(),#REF!)))</f>
        <v/>
      </c>
      <c r="AF2317" s="619"/>
    </row>
    <row r="2318" spans="1:32" ht="14.25" customHeight="1">
      <c r="A2318" s="176"/>
      <c r="B2318" s="176"/>
      <c r="C2318" s="177"/>
      <c r="D2318" s="176"/>
      <c r="E2318" s="176"/>
      <c r="F2318" s="259"/>
      <c r="G2318" s="176"/>
      <c r="H2318" s="178"/>
      <c r="I2318" s="592">
        <f t="shared" si="88"/>
        <v>0</v>
      </c>
      <c r="J2318" s="178"/>
      <c r="K2318" s="178"/>
      <c r="L2318" s="275" t="str">
        <f>IF(H:H=0,"",IF(ISERROR(VLOOKUP(H:H,produtos_escape2!$A$2:$B$2794,2,FALSE)),"Código não cadastrado",(VLOOKUP(H:H,produtos_escape2!$A$2:$B$2794,2,FALSE))))</f>
        <v/>
      </c>
      <c r="M2318" s="593" t="str">
        <f>IF(H:H=0,"",IF(ISERROR(VLOOKUP(H:H,produtos_escape2!$A$2:$D$2794,2,FALSE)),"Código não cadastrado",(VLOOKUP(H:H,produtos_escape2!$A$2:$D$2794,4,FALSE))))</f>
        <v/>
      </c>
      <c r="N2318" s="486"/>
      <c r="O2318" s="176"/>
      <c r="P2318" s="486"/>
      <c r="Q2318" s="247"/>
      <c r="R2318" s="246">
        <f t="shared" si="87"/>
        <v>0</v>
      </c>
      <c r="S2318" s="177"/>
      <c r="T2318" s="182"/>
      <c r="U2318" s="177"/>
      <c r="V2318" s="177"/>
      <c r="W2318" s="177"/>
      <c r="X2318" s="176"/>
      <c r="Y2318" s="177"/>
      <c r="Z2318" s="415"/>
      <c r="AA2318" s="488"/>
      <c r="AB2318" s="594"/>
      <c r="AC2318" s="595"/>
      <c r="AD2318" s="596" t="str">
        <f>IF(AND(AC2318&lt;&gt;"",S2318&lt;&gt;""),NETWORKDAYS(AC2318,S2318,#REF!),"")</f>
        <v/>
      </c>
      <c r="AE2318" s="596" t="str">
        <f ca="1">IF(AND(AD2318="",AC2318=""),"",IF(OR(AD2318&lt;&gt;"",O2318="*CANCELADO"),"",NETWORKDAYS(AC2318,TODAY(),#REF!)))</f>
        <v/>
      </c>
      <c r="AF2318" s="619"/>
    </row>
    <row r="2319" spans="1:32" ht="14.25" customHeight="1">
      <c r="A2319" s="176"/>
      <c r="B2319" s="176"/>
      <c r="C2319" s="177"/>
      <c r="D2319" s="176"/>
      <c r="E2319" s="176"/>
      <c r="F2319" s="259"/>
      <c r="G2319" s="176"/>
      <c r="H2319" s="178"/>
      <c r="I2319" s="592">
        <f t="shared" si="88"/>
        <v>0</v>
      </c>
      <c r="J2319" s="178"/>
      <c r="K2319" s="178"/>
      <c r="L2319" s="275" t="str">
        <f>IF(H:H=0,"",IF(ISERROR(VLOOKUP(H:H,produtos_escape2!$A$2:$B$2794,2,FALSE)),"Código não cadastrado",(VLOOKUP(H:H,produtos_escape2!$A$2:$B$2794,2,FALSE))))</f>
        <v/>
      </c>
      <c r="M2319" s="593" t="str">
        <f>IF(H:H=0,"",IF(ISERROR(VLOOKUP(H:H,produtos_escape2!$A$2:$D$2794,2,FALSE)),"Código não cadastrado",(VLOOKUP(H:H,produtos_escape2!$A$2:$D$2794,4,FALSE))))</f>
        <v/>
      </c>
      <c r="N2319" s="486"/>
      <c r="O2319" s="176"/>
      <c r="P2319" s="486"/>
      <c r="Q2319" s="247"/>
      <c r="R2319" s="246">
        <f t="shared" si="87"/>
        <v>0</v>
      </c>
      <c r="S2319" s="177"/>
      <c r="T2319" s="182"/>
      <c r="U2319" s="177"/>
      <c r="V2319" s="177"/>
      <c r="W2319" s="177"/>
      <c r="X2319" s="176"/>
      <c r="Y2319" s="177"/>
      <c r="Z2319" s="415"/>
      <c r="AA2319" s="488"/>
      <c r="AB2319" s="594"/>
      <c r="AC2319" s="595"/>
      <c r="AD2319" s="596" t="str">
        <f>IF(AND(AC2319&lt;&gt;"",S2319&lt;&gt;""),NETWORKDAYS(AC2319,S2319,#REF!),"")</f>
        <v/>
      </c>
      <c r="AE2319" s="596" t="str">
        <f ca="1">IF(AND(AD2319="",AC2319=""),"",IF(OR(AD2319&lt;&gt;"",O2319="*CANCELADO"),"",NETWORKDAYS(AC2319,TODAY(),#REF!)))</f>
        <v/>
      </c>
      <c r="AF2319" s="619"/>
    </row>
    <row r="2320" spans="1:32" ht="14.25" customHeight="1">
      <c r="A2320" s="176"/>
      <c r="B2320" s="176"/>
      <c r="C2320" s="177"/>
      <c r="D2320" s="176"/>
      <c r="E2320" s="176"/>
      <c r="F2320" s="259"/>
      <c r="G2320" s="176"/>
      <c r="H2320" s="178"/>
      <c r="I2320" s="592">
        <f t="shared" si="88"/>
        <v>0</v>
      </c>
      <c r="J2320" s="178"/>
      <c r="K2320" s="178"/>
      <c r="L2320" s="275" t="str">
        <f>IF(H:H=0,"",IF(ISERROR(VLOOKUP(H:H,produtos_escape2!$A$2:$B$2794,2,FALSE)),"Código não cadastrado",(VLOOKUP(H:H,produtos_escape2!$A$2:$B$2794,2,FALSE))))</f>
        <v/>
      </c>
      <c r="M2320" s="593" t="str">
        <f>IF(H:H=0,"",IF(ISERROR(VLOOKUP(H:H,produtos_escape2!$A$2:$D$2794,2,FALSE)),"Código não cadastrado",(VLOOKUP(H:H,produtos_escape2!$A$2:$D$2794,4,FALSE))))</f>
        <v/>
      </c>
      <c r="N2320" s="486"/>
      <c r="O2320" s="176"/>
      <c r="P2320" s="486"/>
      <c r="Q2320" s="247"/>
      <c r="R2320" s="246">
        <f t="shared" si="87"/>
        <v>0</v>
      </c>
      <c r="S2320" s="177"/>
      <c r="T2320" s="182"/>
      <c r="U2320" s="177"/>
      <c r="V2320" s="177"/>
      <c r="W2320" s="177"/>
      <c r="X2320" s="176"/>
      <c r="Y2320" s="177"/>
      <c r="Z2320" s="415"/>
      <c r="AA2320" s="488"/>
      <c r="AB2320" s="594"/>
      <c r="AC2320" s="595"/>
      <c r="AD2320" s="596" t="str">
        <f>IF(AND(AC2320&lt;&gt;"",S2320&lt;&gt;""),NETWORKDAYS(AC2320,S2320,#REF!),"")</f>
        <v/>
      </c>
      <c r="AE2320" s="596" t="str">
        <f ca="1">IF(AND(AD2320="",AC2320=""),"",IF(OR(AD2320&lt;&gt;"",O2320="*CANCELADO"),"",NETWORKDAYS(AC2320,TODAY(),#REF!)))</f>
        <v/>
      </c>
      <c r="AF2320" s="619"/>
    </row>
    <row r="2321" spans="1:32" ht="14.25" customHeight="1">
      <c r="A2321" s="176"/>
      <c r="B2321" s="176"/>
      <c r="C2321" s="177"/>
      <c r="D2321" s="176"/>
      <c r="E2321" s="176"/>
      <c r="F2321" s="259"/>
      <c r="G2321" s="176"/>
      <c r="H2321" s="178"/>
      <c r="I2321" s="592">
        <f t="shared" si="88"/>
        <v>0</v>
      </c>
      <c r="J2321" s="178"/>
      <c r="K2321" s="178"/>
      <c r="L2321" s="275" t="str">
        <f>IF(H:H=0,"",IF(ISERROR(VLOOKUP(H:H,produtos_escape2!$A$2:$B$2794,2,FALSE)),"Código não cadastrado",(VLOOKUP(H:H,produtos_escape2!$A$2:$B$2794,2,FALSE))))</f>
        <v/>
      </c>
      <c r="M2321" s="593" t="str">
        <f>IF(H:H=0,"",IF(ISERROR(VLOOKUP(H:H,produtos_escape2!$A$2:$D$2794,2,FALSE)),"Código não cadastrado",(VLOOKUP(H:H,produtos_escape2!$A$2:$D$2794,4,FALSE))))</f>
        <v/>
      </c>
      <c r="N2321" s="486"/>
      <c r="O2321" s="176"/>
      <c r="P2321" s="486"/>
      <c r="Q2321" s="247"/>
      <c r="R2321" s="246">
        <f t="shared" si="87"/>
        <v>0</v>
      </c>
      <c r="S2321" s="177"/>
      <c r="T2321" s="182"/>
      <c r="U2321" s="177"/>
      <c r="V2321" s="177"/>
      <c r="W2321" s="177"/>
      <c r="X2321" s="176"/>
      <c r="Y2321" s="177"/>
      <c r="Z2321" s="415"/>
      <c r="AA2321" s="488"/>
      <c r="AB2321" s="594"/>
      <c r="AC2321" s="595"/>
      <c r="AD2321" s="596" t="str">
        <f>IF(AND(AC2321&lt;&gt;"",S2321&lt;&gt;""),NETWORKDAYS(AC2321,S2321,#REF!),"")</f>
        <v/>
      </c>
      <c r="AE2321" s="596" t="str">
        <f ca="1">IF(AND(AD2321="",AC2321=""),"",IF(OR(AD2321&lt;&gt;"",O2321="*CANCELADO"),"",NETWORKDAYS(AC2321,TODAY(),#REF!)))</f>
        <v/>
      </c>
      <c r="AF2321" s="619"/>
    </row>
    <row r="2322" spans="1:32" ht="14.25" customHeight="1">
      <c r="A2322" s="176"/>
      <c r="B2322" s="176"/>
      <c r="C2322" s="177"/>
      <c r="D2322" s="176"/>
      <c r="E2322" s="176"/>
      <c r="F2322" s="259"/>
      <c r="G2322" s="176"/>
      <c r="H2322" s="178"/>
      <c r="I2322" s="592">
        <f t="shared" si="88"/>
        <v>0</v>
      </c>
      <c r="J2322" s="178"/>
      <c r="K2322" s="178"/>
      <c r="L2322" s="275" t="str">
        <f>IF(H:H=0,"",IF(ISERROR(VLOOKUP(H:H,produtos_escape2!$A$2:$B$2794,2,FALSE)),"Código não cadastrado",(VLOOKUP(H:H,produtos_escape2!$A$2:$B$2794,2,FALSE))))</f>
        <v/>
      </c>
      <c r="M2322" s="593" t="str">
        <f>IF(H:H=0,"",IF(ISERROR(VLOOKUP(H:H,produtos_escape2!$A$2:$D$2794,2,FALSE)),"Código não cadastrado",(VLOOKUP(H:H,produtos_escape2!$A$2:$D$2794,4,FALSE))))</f>
        <v/>
      </c>
      <c r="N2322" s="486"/>
      <c r="O2322" s="176"/>
      <c r="P2322" s="486"/>
      <c r="Q2322" s="247"/>
      <c r="R2322" s="246">
        <f t="shared" si="87"/>
        <v>0</v>
      </c>
      <c r="S2322" s="177"/>
      <c r="T2322" s="182"/>
      <c r="U2322" s="177"/>
      <c r="V2322" s="177"/>
      <c r="W2322" s="177"/>
      <c r="X2322" s="176"/>
      <c r="Y2322" s="177"/>
      <c r="Z2322" s="415"/>
      <c r="AA2322" s="488"/>
      <c r="AB2322" s="594"/>
      <c r="AC2322" s="595"/>
      <c r="AD2322" s="596" t="str">
        <f>IF(AND(AC2322&lt;&gt;"",S2322&lt;&gt;""),NETWORKDAYS(AC2322,S2322,#REF!),"")</f>
        <v/>
      </c>
      <c r="AE2322" s="596" t="str">
        <f ca="1">IF(AND(AD2322="",AC2322=""),"",IF(OR(AD2322&lt;&gt;"",O2322="*CANCELADO"),"",NETWORKDAYS(AC2322,TODAY(),#REF!)))</f>
        <v/>
      </c>
      <c r="AF2322" s="619"/>
    </row>
    <row r="2323" spans="1:32" ht="14.25" customHeight="1">
      <c r="A2323" s="176"/>
      <c r="B2323" s="176"/>
      <c r="C2323" s="177"/>
      <c r="D2323" s="176"/>
      <c r="E2323" s="176"/>
      <c r="F2323" s="259"/>
      <c r="G2323" s="176"/>
      <c r="H2323" s="178"/>
      <c r="I2323" s="592">
        <f t="shared" si="88"/>
        <v>0</v>
      </c>
      <c r="J2323" s="178"/>
      <c r="K2323" s="178"/>
      <c r="L2323" s="275" t="str">
        <f>IF(H:H=0,"",IF(ISERROR(VLOOKUP(H:H,produtos_escape2!$A$2:$B$2794,2,FALSE)),"Código não cadastrado",(VLOOKUP(H:H,produtos_escape2!$A$2:$B$2794,2,FALSE))))</f>
        <v/>
      </c>
      <c r="M2323" s="593" t="str">
        <f>IF(H:H=0,"",IF(ISERROR(VLOOKUP(H:H,produtos_escape2!$A$2:$D$2794,2,FALSE)),"Código não cadastrado",(VLOOKUP(H:H,produtos_escape2!$A$2:$D$2794,4,FALSE))))</f>
        <v/>
      </c>
      <c r="N2323" s="486"/>
      <c r="O2323" s="176"/>
      <c r="P2323" s="486"/>
      <c r="Q2323" s="247"/>
      <c r="R2323" s="246">
        <f t="shared" si="87"/>
        <v>0</v>
      </c>
      <c r="S2323" s="177"/>
      <c r="T2323" s="182"/>
      <c r="U2323" s="177"/>
      <c r="V2323" s="177"/>
      <c r="W2323" s="177"/>
      <c r="X2323" s="176"/>
      <c r="Y2323" s="177"/>
      <c r="Z2323" s="415"/>
      <c r="AA2323" s="488"/>
      <c r="AB2323" s="594"/>
      <c r="AC2323" s="595"/>
      <c r="AD2323" s="596" t="str">
        <f>IF(AND(AC2323&lt;&gt;"",S2323&lt;&gt;""),NETWORKDAYS(AC2323,S2323,#REF!),"")</f>
        <v/>
      </c>
      <c r="AE2323" s="596" t="str">
        <f ca="1">IF(AND(AD2323="",AC2323=""),"",IF(OR(AD2323&lt;&gt;"",O2323="*CANCELADO"),"",NETWORKDAYS(AC2323,TODAY(),#REF!)))</f>
        <v/>
      </c>
      <c r="AF2323" s="619"/>
    </row>
    <row r="2324" spans="1:32" ht="14.25" customHeight="1">
      <c r="A2324" s="176"/>
      <c r="B2324" s="176"/>
      <c r="C2324" s="177"/>
      <c r="D2324" s="176"/>
      <c r="E2324" s="176"/>
      <c r="F2324" s="259"/>
      <c r="G2324" s="176"/>
      <c r="H2324" s="178"/>
      <c r="I2324" s="592">
        <f t="shared" si="88"/>
        <v>0</v>
      </c>
      <c r="J2324" s="178"/>
      <c r="K2324" s="178"/>
      <c r="L2324" s="275" t="str">
        <f>IF(H:H=0,"",IF(ISERROR(VLOOKUP(H:H,produtos_escape2!$A$2:$B$2794,2,FALSE)),"Código não cadastrado",(VLOOKUP(H:H,produtos_escape2!$A$2:$B$2794,2,FALSE))))</f>
        <v/>
      </c>
      <c r="M2324" s="593" t="str">
        <f>IF(H:H=0,"",IF(ISERROR(VLOOKUP(H:H,produtos_escape2!$A$2:$D$2794,2,FALSE)),"Código não cadastrado",(VLOOKUP(H:H,produtos_escape2!$A$2:$D$2794,4,FALSE))))</f>
        <v/>
      </c>
      <c r="N2324" s="486"/>
      <c r="O2324" s="176"/>
      <c r="P2324" s="486"/>
      <c r="Q2324" s="247"/>
      <c r="R2324" s="246">
        <f t="shared" si="87"/>
        <v>0</v>
      </c>
      <c r="S2324" s="177"/>
      <c r="T2324" s="182"/>
      <c r="U2324" s="177"/>
      <c r="V2324" s="177"/>
      <c r="W2324" s="177"/>
      <c r="X2324" s="176"/>
      <c r="Y2324" s="177"/>
      <c r="Z2324" s="415"/>
      <c r="AA2324" s="488"/>
      <c r="AB2324" s="594"/>
      <c r="AC2324" s="595"/>
      <c r="AD2324" s="596" t="str">
        <f>IF(AND(AC2324&lt;&gt;"",S2324&lt;&gt;""),NETWORKDAYS(AC2324,S2324,#REF!),"")</f>
        <v/>
      </c>
      <c r="AE2324" s="596" t="str">
        <f ca="1">IF(AND(AD2324="",AC2324=""),"",IF(OR(AD2324&lt;&gt;"",O2324="*CANCELADO"),"",NETWORKDAYS(AC2324,TODAY(),#REF!)))</f>
        <v/>
      </c>
      <c r="AF2324" s="619"/>
    </row>
    <row r="2325" spans="1:32" ht="14.25" customHeight="1">
      <c r="A2325" s="176"/>
      <c r="B2325" s="176"/>
      <c r="C2325" s="177"/>
      <c r="D2325" s="176"/>
      <c r="E2325" s="176"/>
      <c r="F2325" s="259"/>
      <c r="G2325" s="176"/>
      <c r="H2325" s="178"/>
      <c r="I2325" s="592">
        <f t="shared" si="88"/>
        <v>0</v>
      </c>
      <c r="J2325" s="178"/>
      <c r="K2325" s="178"/>
      <c r="L2325" s="275" t="str">
        <f>IF(H:H=0,"",IF(ISERROR(VLOOKUP(H:H,produtos_escape2!$A$2:$B$2794,2,FALSE)),"Código não cadastrado",(VLOOKUP(H:H,produtos_escape2!$A$2:$B$2794,2,FALSE))))</f>
        <v/>
      </c>
      <c r="M2325" s="593" t="str">
        <f>IF(H:H=0,"",IF(ISERROR(VLOOKUP(H:H,produtos_escape2!$A$2:$D$2794,2,FALSE)),"Código não cadastrado",(VLOOKUP(H:H,produtos_escape2!$A$2:$D$2794,4,FALSE))))</f>
        <v/>
      </c>
      <c r="N2325" s="486"/>
      <c r="O2325" s="176"/>
      <c r="P2325" s="486"/>
      <c r="Q2325" s="247"/>
      <c r="R2325" s="246">
        <f t="shared" si="87"/>
        <v>0</v>
      </c>
      <c r="S2325" s="177"/>
      <c r="T2325" s="182"/>
      <c r="U2325" s="177"/>
      <c r="V2325" s="177"/>
      <c r="W2325" s="177"/>
      <c r="X2325" s="176"/>
      <c r="Y2325" s="177"/>
      <c r="Z2325" s="415"/>
      <c r="AA2325" s="488"/>
      <c r="AB2325" s="594"/>
      <c r="AC2325" s="595"/>
      <c r="AD2325" s="596" t="str">
        <f>IF(AND(AC2325&lt;&gt;"",S2325&lt;&gt;""),NETWORKDAYS(AC2325,S2325,#REF!),"")</f>
        <v/>
      </c>
      <c r="AE2325" s="596" t="str">
        <f ca="1">IF(AND(AD2325="",AC2325=""),"",IF(OR(AD2325&lt;&gt;"",O2325="*CANCELADO"),"",NETWORKDAYS(AC2325,TODAY(),#REF!)))</f>
        <v/>
      </c>
      <c r="AF2325" s="619"/>
    </row>
    <row r="2326" spans="1:32" ht="14.25" customHeight="1">
      <c r="A2326" s="176"/>
      <c r="B2326" s="176"/>
      <c r="C2326" s="177"/>
      <c r="D2326" s="176"/>
      <c r="E2326" s="176"/>
      <c r="F2326" s="259"/>
      <c r="G2326" s="176"/>
      <c r="H2326" s="178"/>
      <c r="I2326" s="592">
        <f t="shared" si="88"/>
        <v>0</v>
      </c>
      <c r="J2326" s="178"/>
      <c r="K2326" s="178"/>
      <c r="L2326" s="275" t="str">
        <f>IF(H:H=0,"",IF(ISERROR(VLOOKUP(H:H,produtos_escape2!$A$2:$B$2794,2,FALSE)),"Código não cadastrado",(VLOOKUP(H:H,produtos_escape2!$A$2:$B$2794,2,FALSE))))</f>
        <v/>
      </c>
      <c r="M2326" s="593" t="str">
        <f>IF(H:H=0,"",IF(ISERROR(VLOOKUP(H:H,produtos_escape2!$A$2:$D$2794,2,FALSE)),"Código não cadastrado",(VLOOKUP(H:H,produtos_escape2!$A$2:$D$2794,4,FALSE))))</f>
        <v/>
      </c>
      <c r="N2326" s="486"/>
      <c r="O2326" s="176"/>
      <c r="P2326" s="486"/>
      <c r="Q2326" s="247"/>
      <c r="R2326" s="246">
        <f t="shared" si="87"/>
        <v>0</v>
      </c>
      <c r="S2326" s="177"/>
      <c r="T2326" s="182"/>
      <c r="U2326" s="177"/>
      <c r="V2326" s="177"/>
      <c r="W2326" s="177"/>
      <c r="X2326" s="176"/>
      <c r="Y2326" s="177"/>
      <c r="Z2326" s="415"/>
      <c r="AA2326" s="488"/>
      <c r="AB2326" s="594"/>
      <c r="AC2326" s="595"/>
      <c r="AD2326" s="596" t="str">
        <f>IF(AND(AC2326&lt;&gt;"",S2326&lt;&gt;""),NETWORKDAYS(AC2326,S2326,#REF!),"")</f>
        <v/>
      </c>
      <c r="AE2326" s="596" t="str">
        <f ca="1">IF(AND(AD2326="",AC2326=""),"",IF(OR(AD2326&lt;&gt;"",O2326="*CANCELADO"),"",NETWORKDAYS(AC2326,TODAY(),#REF!)))</f>
        <v/>
      </c>
      <c r="AF2326" s="619"/>
    </row>
    <row r="2327" spans="1:32" ht="14.25" customHeight="1">
      <c r="A2327" s="176"/>
      <c r="B2327" s="176"/>
      <c r="C2327" s="177"/>
      <c r="D2327" s="176"/>
      <c r="E2327" s="176"/>
      <c r="F2327" s="259"/>
      <c r="G2327" s="176"/>
      <c r="H2327" s="178"/>
      <c r="I2327" s="592">
        <f t="shared" si="88"/>
        <v>0</v>
      </c>
      <c r="J2327" s="178"/>
      <c r="K2327" s="178"/>
      <c r="L2327" s="275" t="str">
        <f>IF(H:H=0,"",IF(ISERROR(VLOOKUP(H:H,produtos_escape2!$A$2:$B$2794,2,FALSE)),"Código não cadastrado",(VLOOKUP(H:H,produtos_escape2!$A$2:$B$2794,2,FALSE))))</f>
        <v/>
      </c>
      <c r="M2327" s="593" t="str">
        <f>IF(H:H=0,"",IF(ISERROR(VLOOKUP(H:H,produtos_escape2!$A$2:$D$2794,2,FALSE)),"Código não cadastrado",(VLOOKUP(H:H,produtos_escape2!$A$2:$D$2794,4,FALSE))))</f>
        <v/>
      </c>
      <c r="N2327" s="486"/>
      <c r="O2327" s="176"/>
      <c r="P2327" s="486"/>
      <c r="Q2327" s="247"/>
      <c r="R2327" s="246">
        <f t="shared" si="87"/>
        <v>0</v>
      </c>
      <c r="S2327" s="177"/>
      <c r="T2327" s="182"/>
      <c r="U2327" s="177"/>
      <c r="V2327" s="177"/>
      <c r="W2327" s="177"/>
      <c r="X2327" s="176"/>
      <c r="Y2327" s="177"/>
      <c r="Z2327" s="415"/>
      <c r="AA2327" s="488"/>
      <c r="AB2327" s="594"/>
      <c r="AC2327" s="595"/>
      <c r="AD2327" s="596" t="str">
        <f>IF(AND(AC2327&lt;&gt;"",S2327&lt;&gt;""),NETWORKDAYS(AC2327,S2327,#REF!),"")</f>
        <v/>
      </c>
      <c r="AE2327" s="596" t="str">
        <f ca="1">IF(AND(AD2327="",AC2327=""),"",IF(OR(AD2327&lt;&gt;"",O2327="*CANCELADO"),"",NETWORKDAYS(AC2327,TODAY(),#REF!)))</f>
        <v/>
      </c>
      <c r="AF2327" s="619"/>
    </row>
    <row r="2328" spans="1:32" ht="14.25" customHeight="1">
      <c r="A2328" s="176"/>
      <c r="B2328" s="176"/>
      <c r="C2328" s="177"/>
      <c r="D2328" s="176"/>
      <c r="E2328" s="176"/>
      <c r="F2328" s="259"/>
      <c r="G2328" s="176"/>
      <c r="H2328" s="178"/>
      <c r="I2328" s="592">
        <f t="shared" si="88"/>
        <v>0</v>
      </c>
      <c r="J2328" s="178"/>
      <c r="K2328" s="178"/>
      <c r="L2328" s="275" t="str">
        <f>IF(H:H=0,"",IF(ISERROR(VLOOKUP(H:H,produtos_escape2!$A$2:$B$2794,2,FALSE)),"Código não cadastrado",(VLOOKUP(H:H,produtos_escape2!$A$2:$B$2794,2,FALSE))))</f>
        <v/>
      </c>
      <c r="M2328" s="593" t="str">
        <f>IF(H:H=0,"",IF(ISERROR(VLOOKUP(H:H,produtos_escape2!$A$2:$D$2794,2,FALSE)),"Código não cadastrado",(VLOOKUP(H:H,produtos_escape2!$A$2:$D$2794,4,FALSE))))</f>
        <v/>
      </c>
      <c r="N2328" s="486"/>
      <c r="O2328" s="176"/>
      <c r="P2328" s="486"/>
      <c r="Q2328" s="247"/>
      <c r="R2328" s="246">
        <f t="shared" si="87"/>
        <v>0</v>
      </c>
      <c r="S2328" s="177"/>
      <c r="T2328" s="182"/>
      <c r="U2328" s="177"/>
      <c r="V2328" s="177"/>
      <c r="W2328" s="177"/>
      <c r="X2328" s="176"/>
      <c r="Y2328" s="177"/>
      <c r="Z2328" s="415"/>
      <c r="AA2328" s="488"/>
      <c r="AB2328" s="594"/>
      <c r="AC2328" s="595"/>
      <c r="AD2328" s="596" t="str">
        <f>IF(AND(AC2328&lt;&gt;"",S2328&lt;&gt;""),NETWORKDAYS(AC2328,S2328,#REF!),"")</f>
        <v/>
      </c>
      <c r="AE2328" s="596" t="str">
        <f ca="1">IF(AND(AD2328="",AC2328=""),"",IF(OR(AD2328&lt;&gt;"",O2328="*CANCELADO"),"",NETWORKDAYS(AC2328,TODAY(),#REF!)))</f>
        <v/>
      </c>
      <c r="AF2328" s="619"/>
    </row>
    <row r="2329" spans="1:32" ht="14.25" customHeight="1">
      <c r="A2329" s="176"/>
      <c r="B2329" s="176"/>
      <c r="C2329" s="177"/>
      <c r="D2329" s="176"/>
      <c r="E2329" s="176"/>
      <c r="F2329" s="259"/>
      <c r="G2329" s="176"/>
      <c r="H2329" s="178"/>
      <c r="I2329" s="592">
        <f t="shared" si="88"/>
        <v>0</v>
      </c>
      <c r="J2329" s="178"/>
      <c r="K2329" s="178"/>
      <c r="L2329" s="275" t="str">
        <f>IF(H:H=0,"",IF(ISERROR(VLOOKUP(H:H,produtos_escape2!$A$2:$B$2794,2,FALSE)),"Código não cadastrado",(VLOOKUP(H:H,produtos_escape2!$A$2:$B$2794,2,FALSE))))</f>
        <v/>
      </c>
      <c r="M2329" s="593" t="str">
        <f>IF(H:H=0,"",IF(ISERROR(VLOOKUP(H:H,produtos_escape2!$A$2:$D$2794,2,FALSE)),"Código não cadastrado",(VLOOKUP(H:H,produtos_escape2!$A$2:$D$2794,4,FALSE))))</f>
        <v/>
      </c>
      <c r="N2329" s="486"/>
      <c r="O2329" s="176"/>
      <c r="P2329" s="486"/>
      <c r="Q2329" s="247"/>
      <c r="R2329" s="246">
        <f t="shared" si="87"/>
        <v>0</v>
      </c>
      <c r="S2329" s="177"/>
      <c r="T2329" s="182"/>
      <c r="U2329" s="177"/>
      <c r="V2329" s="177"/>
      <c r="W2329" s="177"/>
      <c r="X2329" s="176"/>
      <c r="Y2329" s="177"/>
      <c r="Z2329" s="415"/>
      <c r="AA2329" s="488"/>
      <c r="AB2329" s="594"/>
      <c r="AC2329" s="595"/>
      <c r="AD2329" s="596" t="str">
        <f>IF(AND(AC2329&lt;&gt;"",S2329&lt;&gt;""),NETWORKDAYS(AC2329,S2329,#REF!),"")</f>
        <v/>
      </c>
      <c r="AE2329" s="596" t="str">
        <f ca="1">IF(AND(AD2329="",AC2329=""),"",IF(OR(AD2329&lt;&gt;"",O2329="*CANCELADO"),"",NETWORKDAYS(AC2329,TODAY(),#REF!)))</f>
        <v/>
      </c>
      <c r="AF2329" s="619"/>
    </row>
    <row r="2330" spans="1:32" ht="14.25" customHeight="1">
      <c r="A2330" s="176"/>
      <c r="B2330" s="176"/>
      <c r="C2330" s="177"/>
      <c r="D2330" s="176"/>
      <c r="E2330" s="176"/>
      <c r="F2330" s="259"/>
      <c r="G2330" s="176"/>
      <c r="H2330" s="178"/>
      <c r="I2330" s="592">
        <f t="shared" si="88"/>
        <v>0</v>
      </c>
      <c r="J2330" s="178"/>
      <c r="K2330" s="178"/>
      <c r="L2330" s="275" t="str">
        <f>IF(H:H=0,"",IF(ISERROR(VLOOKUP(H:H,produtos_escape2!$A$2:$B$2794,2,FALSE)),"Código não cadastrado",(VLOOKUP(H:H,produtos_escape2!$A$2:$B$2794,2,FALSE))))</f>
        <v/>
      </c>
      <c r="M2330" s="593" t="str">
        <f>IF(H:H=0,"",IF(ISERROR(VLOOKUP(H:H,produtos_escape2!$A$2:$D$2794,2,FALSE)),"Código não cadastrado",(VLOOKUP(H:H,produtos_escape2!$A$2:$D$2794,4,FALSE))))</f>
        <v/>
      </c>
      <c r="N2330" s="486"/>
      <c r="O2330" s="176"/>
      <c r="P2330" s="486"/>
      <c r="Q2330" s="247"/>
      <c r="R2330" s="246">
        <f t="shared" si="87"/>
        <v>0</v>
      </c>
      <c r="S2330" s="177"/>
      <c r="T2330" s="182"/>
      <c r="U2330" s="177"/>
      <c r="V2330" s="177"/>
      <c r="W2330" s="177"/>
      <c r="X2330" s="176"/>
      <c r="Y2330" s="177"/>
      <c r="Z2330" s="415"/>
      <c r="AA2330" s="488"/>
      <c r="AB2330" s="594"/>
      <c r="AC2330" s="595"/>
      <c r="AD2330" s="596" t="str">
        <f>IF(AND(AC2330&lt;&gt;"",S2330&lt;&gt;""),NETWORKDAYS(AC2330,S2330,#REF!),"")</f>
        <v/>
      </c>
      <c r="AE2330" s="596" t="str">
        <f ca="1">IF(AND(AD2330="",AC2330=""),"",IF(OR(AD2330&lt;&gt;"",O2330="*CANCELADO"),"",NETWORKDAYS(AC2330,TODAY(),#REF!)))</f>
        <v/>
      </c>
      <c r="AF2330" s="619"/>
    </row>
    <row r="2331" spans="1:32" ht="14.25" customHeight="1">
      <c r="A2331" s="176"/>
      <c r="B2331" s="176"/>
      <c r="C2331" s="177"/>
      <c r="D2331" s="176"/>
      <c r="E2331" s="176"/>
      <c r="F2331" s="259"/>
      <c r="G2331" s="176"/>
      <c r="H2331" s="178"/>
      <c r="I2331" s="592">
        <f t="shared" si="88"/>
        <v>0</v>
      </c>
      <c r="J2331" s="178"/>
      <c r="K2331" s="178"/>
      <c r="L2331" s="275" t="str">
        <f>IF(H:H=0,"",IF(ISERROR(VLOOKUP(H:H,produtos_escape2!$A$2:$B$2794,2,FALSE)),"Código não cadastrado",(VLOOKUP(H:H,produtos_escape2!$A$2:$B$2794,2,FALSE))))</f>
        <v/>
      </c>
      <c r="M2331" s="593" t="str">
        <f>IF(H:H=0,"",IF(ISERROR(VLOOKUP(H:H,produtos_escape2!$A$2:$D$2794,2,FALSE)),"Código não cadastrado",(VLOOKUP(H:H,produtos_escape2!$A$2:$D$2794,4,FALSE))))</f>
        <v/>
      </c>
      <c r="N2331" s="486"/>
      <c r="O2331" s="176"/>
      <c r="P2331" s="486"/>
      <c r="Q2331" s="247"/>
      <c r="R2331" s="246">
        <f t="shared" si="87"/>
        <v>0</v>
      </c>
      <c r="S2331" s="177"/>
      <c r="T2331" s="182"/>
      <c r="U2331" s="177"/>
      <c r="V2331" s="177"/>
      <c r="W2331" s="177"/>
      <c r="X2331" s="176"/>
      <c r="Y2331" s="177"/>
      <c r="Z2331" s="415"/>
      <c r="AA2331" s="488"/>
      <c r="AB2331" s="594"/>
      <c r="AC2331" s="595"/>
      <c r="AD2331" s="596" t="str">
        <f>IF(AND(AC2331&lt;&gt;"",S2331&lt;&gt;""),NETWORKDAYS(AC2331,S2331,#REF!),"")</f>
        <v/>
      </c>
      <c r="AE2331" s="596" t="str">
        <f ca="1">IF(AND(AD2331="",AC2331=""),"",IF(OR(AD2331&lt;&gt;"",O2331="*CANCELADO"),"",NETWORKDAYS(AC2331,TODAY(),#REF!)))</f>
        <v/>
      </c>
      <c r="AF2331" s="619"/>
    </row>
    <row r="2332" spans="1:32" ht="14.25" customHeight="1">
      <c r="A2332" s="176"/>
      <c r="B2332" s="176"/>
      <c r="C2332" s="177"/>
      <c r="D2332" s="176"/>
      <c r="E2332" s="176"/>
      <c r="F2332" s="259"/>
      <c r="G2332" s="176"/>
      <c r="H2332" s="178"/>
      <c r="I2332" s="592">
        <f t="shared" si="88"/>
        <v>0</v>
      </c>
      <c r="J2332" s="178"/>
      <c r="K2332" s="178"/>
      <c r="L2332" s="275" t="str">
        <f>IF(H:H=0,"",IF(ISERROR(VLOOKUP(H:H,produtos_escape2!$A$2:$B$2794,2,FALSE)),"Código não cadastrado",(VLOOKUP(H:H,produtos_escape2!$A$2:$B$2794,2,FALSE))))</f>
        <v/>
      </c>
      <c r="M2332" s="593" t="str">
        <f>IF(H:H=0,"",IF(ISERROR(VLOOKUP(H:H,produtos_escape2!$A$2:$D$2794,2,FALSE)),"Código não cadastrado",(VLOOKUP(H:H,produtos_escape2!$A$2:$D$2794,4,FALSE))))</f>
        <v/>
      </c>
      <c r="N2332" s="486"/>
      <c r="O2332" s="176"/>
      <c r="P2332" s="486"/>
      <c r="Q2332" s="247"/>
      <c r="R2332" s="246">
        <f t="shared" si="87"/>
        <v>0</v>
      </c>
      <c r="S2332" s="177"/>
      <c r="T2332" s="182"/>
      <c r="U2332" s="177"/>
      <c r="V2332" s="177"/>
      <c r="W2332" s="177"/>
      <c r="X2332" s="176"/>
      <c r="Y2332" s="177"/>
      <c r="Z2332" s="415"/>
      <c r="AA2332" s="488"/>
      <c r="AB2332" s="594"/>
      <c r="AC2332" s="595"/>
      <c r="AD2332" s="596" t="str">
        <f>IF(AND(AC2332&lt;&gt;"",S2332&lt;&gt;""),NETWORKDAYS(AC2332,S2332,#REF!),"")</f>
        <v/>
      </c>
      <c r="AE2332" s="596" t="str">
        <f ca="1">IF(AND(AD2332="",AC2332=""),"",IF(OR(AD2332&lt;&gt;"",O2332="*CANCELADO"),"",NETWORKDAYS(AC2332,TODAY(),#REF!)))</f>
        <v/>
      </c>
      <c r="AF2332" s="619"/>
    </row>
    <row r="2333" spans="1:32" ht="14.25" customHeight="1">
      <c r="A2333" s="176"/>
      <c r="B2333" s="176"/>
      <c r="C2333" s="177"/>
      <c r="D2333" s="176"/>
      <c r="E2333" s="176"/>
      <c r="F2333" s="259"/>
      <c r="G2333" s="176"/>
      <c r="H2333" s="178"/>
      <c r="I2333" s="592">
        <f t="shared" si="88"/>
        <v>0</v>
      </c>
      <c r="J2333" s="178"/>
      <c r="K2333" s="178"/>
      <c r="L2333" s="275" t="str">
        <f>IF(H:H=0,"",IF(ISERROR(VLOOKUP(H:H,produtos_escape2!$A$2:$B$2794,2,FALSE)),"Código não cadastrado",(VLOOKUP(H:H,produtos_escape2!$A$2:$B$2794,2,FALSE))))</f>
        <v/>
      </c>
      <c r="M2333" s="593" t="str">
        <f>IF(H:H=0,"",IF(ISERROR(VLOOKUP(H:H,produtos_escape2!$A$2:$D$2794,2,FALSE)),"Código não cadastrado",(VLOOKUP(H:H,produtos_escape2!$A$2:$D$2794,4,FALSE))))</f>
        <v/>
      </c>
      <c r="N2333" s="486"/>
      <c r="O2333" s="176"/>
      <c r="P2333" s="486"/>
      <c r="Q2333" s="247"/>
      <c r="R2333" s="246">
        <f t="shared" si="87"/>
        <v>0</v>
      </c>
      <c r="S2333" s="177"/>
      <c r="T2333" s="182"/>
      <c r="U2333" s="177"/>
      <c r="V2333" s="177"/>
      <c r="W2333" s="177"/>
      <c r="X2333" s="176"/>
      <c r="Y2333" s="177"/>
      <c r="Z2333" s="415"/>
      <c r="AA2333" s="488"/>
      <c r="AB2333" s="594"/>
      <c r="AC2333" s="595"/>
      <c r="AD2333" s="596" t="str">
        <f>IF(AND(AC2333&lt;&gt;"",S2333&lt;&gt;""),NETWORKDAYS(AC2333,S2333,#REF!),"")</f>
        <v/>
      </c>
      <c r="AE2333" s="596" t="str">
        <f ca="1">IF(AND(AD2333="",AC2333=""),"",IF(OR(AD2333&lt;&gt;"",O2333="*CANCELADO"),"",NETWORKDAYS(AC2333,TODAY(),#REF!)))</f>
        <v/>
      </c>
      <c r="AF2333" s="619"/>
    </row>
    <row r="2334" spans="1:32" ht="14.25" customHeight="1">
      <c r="A2334" s="176"/>
      <c r="B2334" s="176"/>
      <c r="C2334" s="177"/>
      <c r="D2334" s="176"/>
      <c r="E2334" s="176"/>
      <c r="F2334" s="259"/>
      <c r="G2334" s="176"/>
      <c r="H2334" s="178"/>
      <c r="I2334" s="592">
        <f t="shared" si="88"/>
        <v>0</v>
      </c>
      <c r="J2334" s="178"/>
      <c r="K2334" s="178"/>
      <c r="L2334" s="275" t="str">
        <f>IF(H:H=0,"",IF(ISERROR(VLOOKUP(H:H,produtos_escape2!$A$2:$B$2794,2,FALSE)),"Código não cadastrado",(VLOOKUP(H:H,produtos_escape2!$A$2:$B$2794,2,FALSE))))</f>
        <v/>
      </c>
      <c r="M2334" s="593" t="str">
        <f>IF(H:H=0,"",IF(ISERROR(VLOOKUP(H:H,produtos_escape2!$A$2:$D$2794,2,FALSE)),"Código não cadastrado",(VLOOKUP(H:H,produtos_escape2!$A$2:$D$2794,4,FALSE))))</f>
        <v/>
      </c>
      <c r="N2334" s="486"/>
      <c r="O2334" s="176"/>
      <c r="P2334" s="486"/>
      <c r="Q2334" s="247"/>
      <c r="R2334" s="246">
        <f t="shared" si="87"/>
        <v>0</v>
      </c>
      <c r="S2334" s="177"/>
      <c r="T2334" s="182"/>
      <c r="U2334" s="177"/>
      <c r="V2334" s="177"/>
      <c r="W2334" s="177"/>
      <c r="X2334" s="176"/>
      <c r="Y2334" s="177"/>
      <c r="Z2334" s="415"/>
      <c r="AA2334" s="488"/>
      <c r="AB2334" s="594"/>
      <c r="AC2334" s="595"/>
      <c r="AD2334" s="596" t="str">
        <f>IF(AND(AC2334&lt;&gt;"",S2334&lt;&gt;""),NETWORKDAYS(AC2334,S2334,#REF!),"")</f>
        <v/>
      </c>
      <c r="AE2334" s="596" t="str">
        <f ca="1">IF(AND(AD2334="",AC2334=""),"",IF(OR(AD2334&lt;&gt;"",O2334="*CANCELADO"),"",NETWORKDAYS(AC2334,TODAY(),#REF!)))</f>
        <v/>
      </c>
      <c r="AF2334" s="619"/>
    </row>
    <row r="2335" spans="1:32" ht="14.25" customHeight="1">
      <c r="A2335" s="176"/>
      <c r="B2335" s="176"/>
      <c r="C2335" s="177"/>
      <c r="D2335" s="176"/>
      <c r="E2335" s="176"/>
      <c r="F2335" s="259"/>
      <c r="G2335" s="176"/>
      <c r="H2335" s="178"/>
      <c r="I2335" s="592">
        <f t="shared" si="88"/>
        <v>0</v>
      </c>
      <c r="J2335" s="178"/>
      <c r="K2335" s="178"/>
      <c r="L2335" s="275" t="str">
        <f>IF(H:H=0,"",IF(ISERROR(VLOOKUP(H:H,produtos_escape2!$A$2:$B$2794,2,FALSE)),"Código não cadastrado",(VLOOKUP(H:H,produtos_escape2!$A$2:$B$2794,2,FALSE))))</f>
        <v/>
      </c>
      <c r="M2335" s="593" t="str">
        <f>IF(H:H=0,"",IF(ISERROR(VLOOKUP(H:H,produtos_escape2!$A$2:$D$2794,2,FALSE)),"Código não cadastrado",(VLOOKUP(H:H,produtos_escape2!$A$2:$D$2794,4,FALSE))))</f>
        <v/>
      </c>
      <c r="N2335" s="486"/>
      <c r="O2335" s="176"/>
      <c r="P2335" s="486"/>
      <c r="Q2335" s="247"/>
      <c r="R2335" s="246">
        <f t="shared" si="87"/>
        <v>0</v>
      </c>
      <c r="S2335" s="177"/>
      <c r="T2335" s="182"/>
      <c r="U2335" s="177"/>
      <c r="V2335" s="177"/>
      <c r="W2335" s="177"/>
      <c r="X2335" s="176"/>
      <c r="Y2335" s="177"/>
      <c r="Z2335" s="415"/>
      <c r="AA2335" s="488"/>
      <c r="AB2335" s="594"/>
      <c r="AC2335" s="595"/>
      <c r="AD2335" s="596" t="str">
        <f>IF(AND(AC2335&lt;&gt;"",S2335&lt;&gt;""),NETWORKDAYS(AC2335,S2335,#REF!),"")</f>
        <v/>
      </c>
      <c r="AE2335" s="596" t="str">
        <f ca="1">IF(AND(AD2335="",AC2335=""),"",IF(OR(AD2335&lt;&gt;"",O2335="*CANCELADO"),"",NETWORKDAYS(AC2335,TODAY(),#REF!)))</f>
        <v/>
      </c>
      <c r="AF2335" s="619"/>
    </row>
    <row r="2336" spans="1:32" ht="14.25" customHeight="1">
      <c r="A2336" s="176"/>
      <c r="B2336" s="176"/>
      <c r="C2336" s="177"/>
      <c r="D2336" s="176"/>
      <c r="E2336" s="176"/>
      <c r="F2336" s="259"/>
      <c r="G2336" s="176"/>
      <c r="H2336" s="178"/>
      <c r="I2336" s="592">
        <f t="shared" si="88"/>
        <v>0</v>
      </c>
      <c r="J2336" s="178"/>
      <c r="K2336" s="178"/>
      <c r="L2336" s="275" t="str">
        <f>IF(H:H=0,"",IF(ISERROR(VLOOKUP(H:H,produtos_escape2!$A$2:$B$2794,2,FALSE)),"Código não cadastrado",(VLOOKUP(H:H,produtos_escape2!$A$2:$B$2794,2,FALSE))))</f>
        <v/>
      </c>
      <c r="M2336" s="593" t="str">
        <f>IF(H:H=0,"",IF(ISERROR(VLOOKUP(H:H,produtos_escape2!$A$2:$D$2794,2,FALSE)),"Código não cadastrado",(VLOOKUP(H:H,produtos_escape2!$A$2:$D$2794,4,FALSE))))</f>
        <v/>
      </c>
      <c r="N2336" s="486"/>
      <c r="O2336" s="176"/>
      <c r="P2336" s="486"/>
      <c r="Q2336" s="247"/>
      <c r="R2336" s="246">
        <f t="shared" si="87"/>
        <v>0</v>
      </c>
      <c r="S2336" s="177"/>
      <c r="T2336" s="182"/>
      <c r="U2336" s="177"/>
      <c r="V2336" s="177"/>
      <c r="W2336" s="177"/>
      <c r="X2336" s="176"/>
      <c r="Y2336" s="177"/>
      <c r="Z2336" s="415"/>
      <c r="AA2336" s="488"/>
      <c r="AB2336" s="594"/>
      <c r="AC2336" s="595"/>
      <c r="AD2336" s="596" t="str">
        <f>IF(AND(AC2336&lt;&gt;"",S2336&lt;&gt;""),NETWORKDAYS(AC2336,S2336,#REF!),"")</f>
        <v/>
      </c>
      <c r="AE2336" s="596" t="str">
        <f ca="1">IF(AND(AD2336="",AC2336=""),"",IF(OR(AD2336&lt;&gt;"",O2336="*CANCELADO"),"",NETWORKDAYS(AC2336,TODAY(),#REF!)))</f>
        <v/>
      </c>
      <c r="AF2336" s="619"/>
    </row>
    <row r="2337" spans="1:32" ht="14.25" customHeight="1">
      <c r="A2337" s="176"/>
      <c r="B2337" s="176"/>
      <c r="C2337" s="177"/>
      <c r="D2337" s="176"/>
      <c r="E2337" s="176"/>
      <c r="F2337" s="259"/>
      <c r="G2337" s="176"/>
      <c r="H2337" s="178"/>
      <c r="I2337" s="592">
        <f t="shared" si="88"/>
        <v>0</v>
      </c>
      <c r="J2337" s="178"/>
      <c r="K2337" s="178"/>
      <c r="L2337" s="275" t="str">
        <f>IF(H:H=0,"",IF(ISERROR(VLOOKUP(H:H,produtos_escape2!$A$2:$B$2794,2,FALSE)),"Código não cadastrado",(VLOOKUP(H:H,produtos_escape2!$A$2:$B$2794,2,FALSE))))</f>
        <v/>
      </c>
      <c r="M2337" s="593" t="str">
        <f>IF(H:H=0,"",IF(ISERROR(VLOOKUP(H:H,produtos_escape2!$A$2:$D$2794,2,FALSE)),"Código não cadastrado",(VLOOKUP(H:H,produtos_escape2!$A$2:$D$2794,4,FALSE))))</f>
        <v/>
      </c>
      <c r="N2337" s="486"/>
      <c r="O2337" s="176"/>
      <c r="P2337" s="486"/>
      <c r="Q2337" s="247"/>
      <c r="R2337" s="246">
        <f t="shared" si="87"/>
        <v>0</v>
      </c>
      <c r="S2337" s="177"/>
      <c r="T2337" s="182"/>
      <c r="U2337" s="177"/>
      <c r="V2337" s="177"/>
      <c r="W2337" s="177"/>
      <c r="X2337" s="176"/>
      <c r="Y2337" s="177"/>
      <c r="Z2337" s="415"/>
      <c r="AA2337" s="488"/>
      <c r="AB2337" s="594"/>
      <c r="AC2337" s="595"/>
      <c r="AD2337" s="596" t="str">
        <f>IF(AND(AC2337&lt;&gt;"",S2337&lt;&gt;""),NETWORKDAYS(AC2337,S2337,#REF!),"")</f>
        <v/>
      </c>
      <c r="AE2337" s="596" t="str">
        <f ca="1">IF(AND(AD2337="",AC2337=""),"",IF(OR(AD2337&lt;&gt;"",O2337="*CANCELADO"),"",NETWORKDAYS(AC2337,TODAY(),#REF!)))</f>
        <v/>
      </c>
      <c r="AF2337" s="619"/>
    </row>
    <row r="2338" spans="1:32" ht="14.25" customHeight="1">
      <c r="A2338" s="176"/>
      <c r="B2338" s="176"/>
      <c r="C2338" s="177"/>
      <c r="D2338" s="176"/>
      <c r="E2338" s="176"/>
      <c r="F2338" s="259"/>
      <c r="G2338" s="176"/>
      <c r="H2338" s="178"/>
      <c r="I2338" s="592">
        <f t="shared" si="88"/>
        <v>0</v>
      </c>
      <c r="J2338" s="178"/>
      <c r="K2338" s="178"/>
      <c r="L2338" s="275" t="str">
        <f>IF(H:H=0,"",IF(ISERROR(VLOOKUP(H:H,produtos_escape2!$A$2:$B$2794,2,FALSE)),"Código não cadastrado",(VLOOKUP(H:H,produtos_escape2!$A$2:$B$2794,2,FALSE))))</f>
        <v/>
      </c>
      <c r="M2338" s="593" t="str">
        <f>IF(H:H=0,"",IF(ISERROR(VLOOKUP(H:H,produtos_escape2!$A$2:$D$2794,2,FALSE)),"Código não cadastrado",(VLOOKUP(H:H,produtos_escape2!$A$2:$D$2794,4,FALSE))))</f>
        <v/>
      </c>
      <c r="N2338" s="486"/>
      <c r="O2338" s="176"/>
      <c r="P2338" s="486"/>
      <c r="Q2338" s="247"/>
      <c r="R2338" s="246">
        <f t="shared" si="87"/>
        <v>0</v>
      </c>
      <c r="S2338" s="177"/>
      <c r="T2338" s="182"/>
      <c r="U2338" s="177"/>
      <c r="V2338" s="177"/>
      <c r="W2338" s="177"/>
      <c r="X2338" s="176"/>
      <c r="Y2338" s="177"/>
      <c r="Z2338" s="415"/>
      <c r="AA2338" s="488"/>
      <c r="AB2338" s="594"/>
      <c r="AC2338" s="595"/>
      <c r="AD2338" s="596" t="str">
        <f>IF(AND(AC2338&lt;&gt;"",S2338&lt;&gt;""),NETWORKDAYS(AC2338,S2338,#REF!),"")</f>
        <v/>
      </c>
      <c r="AE2338" s="596" t="str">
        <f ca="1">IF(AND(AD2338="",AC2338=""),"",IF(OR(AD2338&lt;&gt;"",O2338="*CANCELADO"),"",NETWORKDAYS(AC2338,TODAY(),#REF!)))</f>
        <v/>
      </c>
      <c r="AF2338" s="619"/>
    </row>
    <row r="2339" spans="1:32" ht="14.25" customHeight="1">
      <c r="A2339" s="176"/>
      <c r="B2339" s="176"/>
      <c r="C2339" s="177"/>
      <c r="D2339" s="176"/>
      <c r="E2339" s="176"/>
      <c r="F2339" s="259"/>
      <c r="G2339" s="176"/>
      <c r="H2339" s="178"/>
      <c r="I2339" s="592">
        <f t="shared" si="88"/>
        <v>0</v>
      </c>
      <c r="J2339" s="178"/>
      <c r="K2339" s="178"/>
      <c r="L2339" s="275" t="str">
        <f>IF(H:H=0,"",IF(ISERROR(VLOOKUP(H:H,produtos_escape2!$A$2:$B$2794,2,FALSE)),"Código não cadastrado",(VLOOKUP(H:H,produtos_escape2!$A$2:$B$2794,2,FALSE))))</f>
        <v/>
      </c>
      <c r="M2339" s="593" t="str">
        <f>IF(H:H=0,"",IF(ISERROR(VLOOKUP(H:H,produtos_escape2!$A$2:$D$2794,2,FALSE)),"Código não cadastrado",(VLOOKUP(H:H,produtos_escape2!$A$2:$D$2794,4,FALSE))))</f>
        <v/>
      </c>
      <c r="N2339" s="486"/>
      <c r="O2339" s="176"/>
      <c r="P2339" s="486"/>
      <c r="Q2339" s="247"/>
      <c r="R2339" s="246">
        <f t="shared" si="87"/>
        <v>0</v>
      </c>
      <c r="S2339" s="177"/>
      <c r="T2339" s="182"/>
      <c r="U2339" s="177"/>
      <c r="V2339" s="177"/>
      <c r="W2339" s="177"/>
      <c r="X2339" s="176"/>
      <c r="Y2339" s="177"/>
      <c r="Z2339" s="415"/>
      <c r="AA2339" s="488"/>
      <c r="AB2339" s="594"/>
      <c r="AC2339" s="595"/>
      <c r="AD2339" s="596" t="str">
        <f>IF(AND(AC2339&lt;&gt;"",S2339&lt;&gt;""),NETWORKDAYS(AC2339,S2339,#REF!),"")</f>
        <v/>
      </c>
      <c r="AE2339" s="596" t="str">
        <f ca="1">IF(AND(AD2339="",AC2339=""),"",IF(OR(AD2339&lt;&gt;"",O2339="*CANCELADO"),"",NETWORKDAYS(AC2339,TODAY(),#REF!)))</f>
        <v/>
      </c>
      <c r="AF2339" s="619"/>
    </row>
    <row r="2340" spans="1:32" ht="14.25" customHeight="1">
      <c r="A2340" s="176"/>
      <c r="B2340" s="176"/>
      <c r="C2340" s="177"/>
      <c r="D2340" s="176"/>
      <c r="E2340" s="176"/>
      <c r="F2340" s="259"/>
      <c r="G2340" s="176"/>
      <c r="H2340" s="178"/>
      <c r="I2340" s="592">
        <f t="shared" si="88"/>
        <v>0</v>
      </c>
      <c r="J2340" s="178"/>
      <c r="K2340" s="178"/>
      <c r="L2340" s="275" t="str">
        <f>IF(H:H=0,"",IF(ISERROR(VLOOKUP(H:H,produtos_escape2!$A$2:$B$2794,2,FALSE)),"Código não cadastrado",(VLOOKUP(H:H,produtos_escape2!$A$2:$B$2794,2,FALSE))))</f>
        <v/>
      </c>
      <c r="M2340" s="593" t="str">
        <f>IF(H:H=0,"",IF(ISERROR(VLOOKUP(H:H,produtos_escape2!$A$2:$D$2794,2,FALSE)),"Código não cadastrado",(VLOOKUP(H:H,produtos_escape2!$A$2:$D$2794,4,FALSE))))</f>
        <v/>
      </c>
      <c r="N2340" s="486"/>
      <c r="O2340" s="176"/>
      <c r="P2340" s="486"/>
      <c r="Q2340" s="247"/>
      <c r="R2340" s="246">
        <f t="shared" si="87"/>
        <v>0</v>
      </c>
      <c r="S2340" s="177"/>
      <c r="T2340" s="182"/>
      <c r="U2340" s="177"/>
      <c r="V2340" s="177"/>
      <c r="W2340" s="177"/>
      <c r="X2340" s="176"/>
      <c r="Y2340" s="177"/>
      <c r="Z2340" s="415"/>
      <c r="AA2340" s="488"/>
      <c r="AB2340" s="594"/>
      <c r="AC2340" s="595"/>
      <c r="AD2340" s="596" t="str">
        <f>IF(AND(AC2340&lt;&gt;"",S2340&lt;&gt;""),NETWORKDAYS(AC2340,S2340,#REF!),"")</f>
        <v/>
      </c>
      <c r="AE2340" s="596" t="str">
        <f ca="1">IF(AND(AD2340="",AC2340=""),"",IF(OR(AD2340&lt;&gt;"",O2340="*CANCELADO"),"",NETWORKDAYS(AC2340,TODAY(),#REF!)))</f>
        <v/>
      </c>
      <c r="AF2340" s="619"/>
    </row>
    <row r="2341" spans="1:32" ht="14.25" customHeight="1">
      <c r="A2341" s="176"/>
      <c r="B2341" s="176"/>
      <c r="C2341" s="177"/>
      <c r="D2341" s="176"/>
      <c r="E2341" s="176"/>
      <c r="F2341" s="259"/>
      <c r="G2341" s="176"/>
      <c r="H2341" s="178"/>
      <c r="I2341" s="592">
        <f t="shared" si="88"/>
        <v>0</v>
      </c>
      <c r="J2341" s="178"/>
      <c r="K2341" s="178"/>
      <c r="L2341" s="275" t="str">
        <f>IF(H:H=0,"",IF(ISERROR(VLOOKUP(H:H,produtos_escape2!$A$2:$B$2794,2,FALSE)),"Código não cadastrado",(VLOOKUP(H:H,produtos_escape2!$A$2:$B$2794,2,FALSE))))</f>
        <v/>
      </c>
      <c r="M2341" s="593" t="str">
        <f>IF(H:H=0,"",IF(ISERROR(VLOOKUP(H:H,produtos_escape2!$A$2:$D$2794,2,FALSE)),"Código não cadastrado",(VLOOKUP(H:H,produtos_escape2!$A$2:$D$2794,4,FALSE))))</f>
        <v/>
      </c>
      <c r="N2341" s="486"/>
      <c r="O2341" s="176"/>
      <c r="P2341" s="486"/>
      <c r="Q2341" s="247"/>
      <c r="R2341" s="246">
        <f t="shared" si="87"/>
        <v>0</v>
      </c>
      <c r="S2341" s="177"/>
      <c r="T2341" s="182"/>
      <c r="U2341" s="177"/>
      <c r="V2341" s="177"/>
      <c r="W2341" s="177"/>
      <c r="X2341" s="176"/>
      <c r="Y2341" s="177"/>
      <c r="Z2341" s="415"/>
      <c r="AA2341" s="488"/>
      <c r="AB2341" s="594"/>
      <c r="AC2341" s="595"/>
      <c r="AD2341" s="596" t="str">
        <f>IF(AND(AC2341&lt;&gt;"",S2341&lt;&gt;""),NETWORKDAYS(AC2341,S2341,#REF!),"")</f>
        <v/>
      </c>
      <c r="AE2341" s="596" t="str">
        <f ca="1">IF(AND(AD2341="",AC2341=""),"",IF(OR(AD2341&lt;&gt;"",O2341="*CANCELADO"),"",NETWORKDAYS(AC2341,TODAY(),#REF!)))</f>
        <v/>
      </c>
      <c r="AF2341" s="619"/>
    </row>
    <row r="2342" spans="1:32" ht="14.25" customHeight="1">
      <c r="A2342" s="176"/>
      <c r="B2342" s="176"/>
      <c r="C2342" s="177"/>
      <c r="D2342" s="176"/>
      <c r="E2342" s="176"/>
      <c r="F2342" s="259"/>
      <c r="G2342" s="176"/>
      <c r="H2342" s="178"/>
      <c r="I2342" s="592">
        <f t="shared" si="88"/>
        <v>0</v>
      </c>
      <c r="J2342" s="178"/>
      <c r="K2342" s="178"/>
      <c r="L2342" s="275" t="str">
        <f>IF(H:H=0,"",IF(ISERROR(VLOOKUP(H:H,produtos_escape2!$A$2:$B$2794,2,FALSE)),"Código não cadastrado",(VLOOKUP(H:H,produtos_escape2!$A$2:$B$2794,2,FALSE))))</f>
        <v/>
      </c>
      <c r="M2342" s="593" t="str">
        <f>IF(H:H=0,"",IF(ISERROR(VLOOKUP(H:H,produtos_escape2!$A$2:$D$2794,2,FALSE)),"Código não cadastrado",(VLOOKUP(H:H,produtos_escape2!$A$2:$D$2794,4,FALSE))))</f>
        <v/>
      </c>
      <c r="N2342" s="486"/>
      <c r="O2342" s="176"/>
      <c r="P2342" s="486"/>
      <c r="Q2342" s="247"/>
      <c r="R2342" s="246">
        <f t="shared" si="87"/>
        <v>0</v>
      </c>
      <c r="S2342" s="177"/>
      <c r="T2342" s="182"/>
      <c r="U2342" s="177"/>
      <c r="V2342" s="177"/>
      <c r="W2342" s="177"/>
      <c r="X2342" s="176"/>
      <c r="Y2342" s="177"/>
      <c r="Z2342" s="415"/>
      <c r="AA2342" s="488"/>
      <c r="AB2342" s="594"/>
      <c r="AC2342" s="595"/>
      <c r="AD2342" s="596" t="str">
        <f>IF(AND(AC2342&lt;&gt;"",S2342&lt;&gt;""),NETWORKDAYS(AC2342,S2342,#REF!),"")</f>
        <v/>
      </c>
      <c r="AE2342" s="596" t="str">
        <f ca="1">IF(AND(AD2342="",AC2342=""),"",IF(OR(AD2342&lt;&gt;"",O2342="*CANCELADO"),"",NETWORKDAYS(AC2342,TODAY(),#REF!)))</f>
        <v/>
      </c>
      <c r="AF2342" s="619"/>
    </row>
    <row r="2343" spans="1:32" ht="14.25" customHeight="1">
      <c r="A2343" s="176"/>
      <c r="B2343" s="176"/>
      <c r="C2343" s="177"/>
      <c r="D2343" s="176"/>
      <c r="E2343" s="176"/>
      <c r="F2343" s="259"/>
      <c r="G2343" s="176"/>
      <c r="H2343" s="178"/>
      <c r="I2343" s="592">
        <f t="shared" si="88"/>
        <v>0</v>
      </c>
      <c r="J2343" s="178"/>
      <c r="K2343" s="178"/>
      <c r="L2343" s="275" t="str">
        <f>IF(H:H=0,"",IF(ISERROR(VLOOKUP(H:H,produtos_escape2!$A$2:$B$2794,2,FALSE)),"Código não cadastrado",(VLOOKUP(H:H,produtos_escape2!$A$2:$B$2794,2,FALSE))))</f>
        <v/>
      </c>
      <c r="M2343" s="593" t="str">
        <f>IF(H:H=0,"",IF(ISERROR(VLOOKUP(H:H,produtos_escape2!$A$2:$D$2794,2,FALSE)),"Código não cadastrado",(VLOOKUP(H:H,produtos_escape2!$A$2:$D$2794,4,FALSE))))</f>
        <v/>
      </c>
      <c r="N2343" s="486"/>
      <c r="O2343" s="176"/>
      <c r="P2343" s="486"/>
      <c r="Q2343" s="247"/>
      <c r="R2343" s="246">
        <f t="shared" si="87"/>
        <v>0</v>
      </c>
      <c r="S2343" s="177"/>
      <c r="T2343" s="182"/>
      <c r="U2343" s="177"/>
      <c r="V2343" s="177"/>
      <c r="W2343" s="177"/>
      <c r="X2343" s="176"/>
      <c r="Y2343" s="177"/>
      <c r="Z2343" s="415"/>
      <c r="AA2343" s="488"/>
      <c r="AB2343" s="594"/>
      <c r="AC2343" s="595"/>
      <c r="AD2343" s="596" t="str">
        <f>IF(AND(AC2343&lt;&gt;"",S2343&lt;&gt;""),NETWORKDAYS(AC2343,S2343,#REF!),"")</f>
        <v/>
      </c>
      <c r="AE2343" s="596" t="str">
        <f ca="1">IF(AND(AD2343="",AC2343=""),"",IF(OR(AD2343&lt;&gt;"",O2343="*CANCELADO"),"",NETWORKDAYS(AC2343,TODAY(),#REF!)))</f>
        <v/>
      </c>
      <c r="AF2343" s="619"/>
    </row>
    <row r="2344" spans="1:32" ht="14.25" customHeight="1">
      <c r="A2344" s="176"/>
      <c r="B2344" s="176"/>
      <c r="C2344" s="177"/>
      <c r="D2344" s="176"/>
      <c r="E2344" s="176"/>
      <c r="F2344" s="259"/>
      <c r="G2344" s="176"/>
      <c r="H2344" s="178"/>
      <c r="I2344" s="592">
        <f t="shared" si="88"/>
        <v>0</v>
      </c>
      <c r="J2344" s="178"/>
      <c r="K2344" s="178"/>
      <c r="L2344" s="275" t="str">
        <f>IF(H:H=0,"",IF(ISERROR(VLOOKUP(H:H,produtos_escape2!$A$2:$B$2794,2,FALSE)),"Código não cadastrado",(VLOOKUP(H:H,produtos_escape2!$A$2:$B$2794,2,FALSE))))</f>
        <v/>
      </c>
      <c r="M2344" s="593" t="str">
        <f>IF(H:H=0,"",IF(ISERROR(VLOOKUP(H:H,produtos_escape2!$A$2:$D$2794,2,FALSE)),"Código não cadastrado",(VLOOKUP(H:H,produtos_escape2!$A$2:$D$2794,4,FALSE))))</f>
        <v/>
      </c>
      <c r="N2344" s="486"/>
      <c r="O2344" s="176"/>
      <c r="P2344" s="486"/>
      <c r="Q2344" s="247"/>
      <c r="R2344" s="246">
        <f t="shared" si="87"/>
        <v>0</v>
      </c>
      <c r="S2344" s="177"/>
      <c r="T2344" s="182"/>
      <c r="U2344" s="177"/>
      <c r="V2344" s="177"/>
      <c r="W2344" s="177"/>
      <c r="X2344" s="176"/>
      <c r="Y2344" s="177"/>
      <c r="Z2344" s="415"/>
      <c r="AA2344" s="488"/>
      <c r="AB2344" s="594"/>
      <c r="AC2344" s="595"/>
      <c r="AD2344" s="596" t="str">
        <f>IF(AND(AC2344&lt;&gt;"",S2344&lt;&gt;""),NETWORKDAYS(AC2344,S2344,#REF!),"")</f>
        <v/>
      </c>
      <c r="AE2344" s="596" t="str">
        <f ca="1">IF(AND(AD2344="",AC2344=""),"",IF(OR(AD2344&lt;&gt;"",O2344="*CANCELADO"),"",NETWORKDAYS(AC2344,TODAY(),#REF!)))</f>
        <v/>
      </c>
      <c r="AF2344" s="619"/>
    </row>
    <row r="2345" spans="1:32" ht="14.25" customHeight="1">
      <c r="A2345" s="176"/>
      <c r="B2345" s="176"/>
      <c r="C2345" s="177"/>
      <c r="D2345" s="176"/>
      <c r="E2345" s="176"/>
      <c r="F2345" s="259"/>
      <c r="G2345" s="176"/>
      <c r="H2345" s="178"/>
      <c r="I2345" s="592">
        <f t="shared" si="88"/>
        <v>0</v>
      </c>
      <c r="J2345" s="178"/>
      <c r="K2345" s="178"/>
      <c r="L2345" s="275" t="str">
        <f>IF(H:H=0,"",IF(ISERROR(VLOOKUP(H:H,produtos_escape2!$A$2:$B$2794,2,FALSE)),"Código não cadastrado",(VLOOKUP(H:H,produtos_escape2!$A$2:$B$2794,2,FALSE))))</f>
        <v/>
      </c>
      <c r="M2345" s="593" t="str">
        <f>IF(H:H=0,"",IF(ISERROR(VLOOKUP(H:H,produtos_escape2!$A$2:$D$2794,2,FALSE)),"Código não cadastrado",(VLOOKUP(H:H,produtos_escape2!$A$2:$D$2794,4,FALSE))))</f>
        <v/>
      </c>
      <c r="N2345" s="486"/>
      <c r="O2345" s="176"/>
      <c r="P2345" s="486"/>
      <c r="Q2345" s="247"/>
      <c r="R2345" s="246">
        <f t="shared" si="87"/>
        <v>0</v>
      </c>
      <c r="S2345" s="177"/>
      <c r="T2345" s="182"/>
      <c r="U2345" s="177"/>
      <c r="V2345" s="177"/>
      <c r="W2345" s="177"/>
      <c r="X2345" s="176"/>
      <c r="Y2345" s="177"/>
      <c r="Z2345" s="415"/>
      <c r="AA2345" s="488"/>
      <c r="AB2345" s="594"/>
      <c r="AC2345" s="595"/>
      <c r="AD2345" s="596" t="str">
        <f>IF(AND(AC2345&lt;&gt;"",S2345&lt;&gt;""),NETWORKDAYS(AC2345,S2345,#REF!),"")</f>
        <v/>
      </c>
      <c r="AE2345" s="596" t="str">
        <f ca="1">IF(AND(AD2345="",AC2345=""),"",IF(OR(AD2345&lt;&gt;"",O2345="*CANCELADO"),"",NETWORKDAYS(AC2345,TODAY(),#REF!)))</f>
        <v/>
      </c>
      <c r="AF2345" s="619"/>
    </row>
    <row r="2346" spans="1:32" ht="14.25" customHeight="1">
      <c r="A2346" s="176"/>
      <c r="B2346" s="176"/>
      <c r="C2346" s="177"/>
      <c r="D2346" s="176"/>
      <c r="E2346" s="176"/>
      <c r="F2346" s="259"/>
      <c r="G2346" s="176"/>
      <c r="H2346" s="178"/>
      <c r="I2346" s="592">
        <f t="shared" si="88"/>
        <v>0</v>
      </c>
      <c r="J2346" s="178"/>
      <c r="K2346" s="178"/>
      <c r="L2346" s="275" t="str">
        <f>IF(H:H=0,"",IF(ISERROR(VLOOKUP(H:H,produtos_escape2!$A$2:$B$2794,2,FALSE)),"Código não cadastrado",(VLOOKUP(H:H,produtos_escape2!$A$2:$B$2794,2,FALSE))))</f>
        <v/>
      </c>
      <c r="M2346" s="593" t="str">
        <f>IF(H:H=0,"",IF(ISERROR(VLOOKUP(H:H,produtos_escape2!$A$2:$D$2794,2,FALSE)),"Código não cadastrado",(VLOOKUP(H:H,produtos_escape2!$A$2:$D$2794,4,FALSE))))</f>
        <v/>
      </c>
      <c r="N2346" s="486"/>
      <c r="O2346" s="176"/>
      <c r="P2346" s="486"/>
      <c r="Q2346" s="247"/>
      <c r="R2346" s="246">
        <f t="shared" si="87"/>
        <v>0</v>
      </c>
      <c r="S2346" s="177"/>
      <c r="T2346" s="182"/>
      <c r="U2346" s="177"/>
      <c r="V2346" s="177"/>
      <c r="W2346" s="177"/>
      <c r="X2346" s="176"/>
      <c r="Y2346" s="177"/>
      <c r="Z2346" s="415"/>
      <c r="AA2346" s="488"/>
      <c r="AB2346" s="594"/>
      <c r="AC2346" s="595"/>
      <c r="AD2346" s="596" t="str">
        <f>IF(AND(AC2346&lt;&gt;"",S2346&lt;&gt;""),NETWORKDAYS(AC2346,S2346,#REF!),"")</f>
        <v/>
      </c>
      <c r="AE2346" s="596" t="str">
        <f ca="1">IF(AND(AD2346="",AC2346=""),"",IF(OR(AD2346&lt;&gt;"",O2346="*CANCELADO"),"",NETWORKDAYS(AC2346,TODAY(),#REF!)))</f>
        <v/>
      </c>
      <c r="AF2346" s="619"/>
    </row>
    <row r="2347" spans="1:32" ht="14.25" customHeight="1">
      <c r="A2347" s="176"/>
      <c r="B2347" s="176"/>
      <c r="C2347" s="177"/>
      <c r="D2347" s="176"/>
      <c r="E2347" s="176"/>
      <c r="F2347" s="259"/>
      <c r="G2347" s="176"/>
      <c r="H2347" s="178"/>
      <c r="I2347" s="592">
        <f t="shared" si="88"/>
        <v>0</v>
      </c>
      <c r="J2347" s="178"/>
      <c r="K2347" s="178"/>
      <c r="L2347" s="275" t="str">
        <f>IF(H:H=0,"",IF(ISERROR(VLOOKUP(H:H,produtos_escape2!$A$2:$B$2794,2,FALSE)),"Código não cadastrado",(VLOOKUP(H:H,produtos_escape2!$A$2:$B$2794,2,FALSE))))</f>
        <v/>
      </c>
      <c r="M2347" s="593" t="str">
        <f>IF(H:H=0,"",IF(ISERROR(VLOOKUP(H:H,produtos_escape2!$A$2:$D$2794,2,FALSE)),"Código não cadastrado",(VLOOKUP(H:H,produtos_escape2!$A$2:$D$2794,4,FALSE))))</f>
        <v/>
      </c>
      <c r="N2347" s="486"/>
      <c r="O2347" s="176"/>
      <c r="P2347" s="486"/>
      <c r="Q2347" s="247"/>
      <c r="R2347" s="246">
        <f t="shared" si="87"/>
        <v>0</v>
      </c>
      <c r="S2347" s="177"/>
      <c r="T2347" s="182"/>
      <c r="U2347" s="177"/>
      <c r="V2347" s="177"/>
      <c r="W2347" s="177"/>
      <c r="X2347" s="176"/>
      <c r="Y2347" s="177"/>
      <c r="Z2347" s="415"/>
      <c r="AA2347" s="488"/>
      <c r="AB2347" s="594"/>
      <c r="AC2347" s="595"/>
      <c r="AD2347" s="596" t="str">
        <f>IF(AND(AC2347&lt;&gt;"",S2347&lt;&gt;""),NETWORKDAYS(AC2347,S2347,#REF!),"")</f>
        <v/>
      </c>
      <c r="AE2347" s="596" t="str">
        <f ca="1">IF(AND(AD2347="",AC2347=""),"",IF(OR(AD2347&lt;&gt;"",O2347="*CANCELADO"),"",NETWORKDAYS(AC2347,TODAY(),#REF!)))</f>
        <v/>
      </c>
      <c r="AF2347" s="619"/>
    </row>
    <row r="2348" spans="1:32" ht="14.25" customHeight="1">
      <c r="A2348" s="176"/>
      <c r="B2348" s="176"/>
      <c r="C2348" s="177"/>
      <c r="D2348" s="176"/>
      <c r="E2348" s="176"/>
      <c r="F2348" s="259"/>
      <c r="G2348" s="176"/>
      <c r="H2348" s="178"/>
      <c r="I2348" s="592">
        <f t="shared" si="88"/>
        <v>0</v>
      </c>
      <c r="J2348" s="178"/>
      <c r="K2348" s="178"/>
      <c r="L2348" s="275" t="str">
        <f>IF(H:H=0,"",IF(ISERROR(VLOOKUP(H:H,produtos_escape2!$A$2:$B$2794,2,FALSE)),"Código não cadastrado",(VLOOKUP(H:H,produtos_escape2!$A$2:$B$2794,2,FALSE))))</f>
        <v/>
      </c>
      <c r="M2348" s="593" t="str">
        <f>IF(H:H=0,"",IF(ISERROR(VLOOKUP(H:H,produtos_escape2!$A$2:$D$2794,2,FALSE)),"Código não cadastrado",(VLOOKUP(H:H,produtos_escape2!$A$2:$D$2794,4,FALSE))))</f>
        <v/>
      </c>
      <c r="N2348" s="486"/>
      <c r="O2348" s="176"/>
      <c r="P2348" s="486"/>
      <c r="Q2348" s="247"/>
      <c r="R2348" s="246">
        <f t="shared" si="87"/>
        <v>0</v>
      </c>
      <c r="S2348" s="177"/>
      <c r="T2348" s="182"/>
      <c r="U2348" s="177"/>
      <c r="V2348" s="177"/>
      <c r="W2348" s="177"/>
      <c r="X2348" s="176"/>
      <c r="Y2348" s="177"/>
      <c r="Z2348" s="415"/>
      <c r="AA2348" s="488"/>
      <c r="AB2348" s="594"/>
      <c r="AC2348" s="595"/>
      <c r="AD2348" s="596" t="str">
        <f>IF(AND(AC2348&lt;&gt;"",S2348&lt;&gt;""),NETWORKDAYS(AC2348,S2348,#REF!),"")</f>
        <v/>
      </c>
      <c r="AE2348" s="596" t="str">
        <f ca="1">IF(AND(AD2348="",AC2348=""),"",IF(OR(AD2348&lt;&gt;"",O2348="*CANCELADO"),"",NETWORKDAYS(AC2348,TODAY(),#REF!)))</f>
        <v/>
      </c>
      <c r="AF2348" s="619"/>
    </row>
    <row r="2349" spans="1:32" ht="14.25" customHeight="1">
      <c r="A2349" s="176"/>
      <c r="B2349" s="176"/>
      <c r="C2349" s="177"/>
      <c r="D2349" s="176"/>
      <c r="E2349" s="176"/>
      <c r="F2349" s="259"/>
      <c r="G2349" s="176"/>
      <c r="H2349" s="178"/>
      <c r="I2349" s="592">
        <f t="shared" si="88"/>
        <v>0</v>
      </c>
      <c r="J2349" s="178"/>
      <c r="K2349" s="178"/>
      <c r="L2349" s="275" t="str">
        <f>IF(H:H=0,"",IF(ISERROR(VLOOKUP(H:H,produtos_escape2!$A$2:$B$2794,2,FALSE)),"Código não cadastrado",(VLOOKUP(H:H,produtos_escape2!$A$2:$B$2794,2,FALSE))))</f>
        <v/>
      </c>
      <c r="M2349" s="593" t="str">
        <f>IF(H:H=0,"",IF(ISERROR(VLOOKUP(H:H,produtos_escape2!$A$2:$D$2794,2,FALSE)),"Código não cadastrado",(VLOOKUP(H:H,produtos_escape2!$A$2:$D$2794,4,FALSE))))</f>
        <v/>
      </c>
      <c r="N2349" s="486"/>
      <c r="O2349" s="176"/>
      <c r="P2349" s="486"/>
      <c r="Q2349" s="247"/>
      <c r="R2349" s="246">
        <f t="shared" ref="R2349:R2412" si="89">P2349*Q2349</f>
        <v>0</v>
      </c>
      <c r="S2349" s="177"/>
      <c r="T2349" s="182"/>
      <c r="U2349" s="177"/>
      <c r="V2349" s="177"/>
      <c r="W2349" s="177"/>
      <c r="X2349" s="176"/>
      <c r="Y2349" s="177"/>
      <c r="Z2349" s="415"/>
      <c r="AA2349" s="488"/>
      <c r="AB2349" s="594"/>
      <c r="AC2349" s="595"/>
      <c r="AD2349" s="596" t="str">
        <f>IF(AND(AC2349&lt;&gt;"",S2349&lt;&gt;""),NETWORKDAYS(AC2349,S2349,#REF!),"")</f>
        <v/>
      </c>
      <c r="AE2349" s="596" t="str">
        <f ca="1">IF(AND(AD2349="",AC2349=""),"",IF(OR(AD2349&lt;&gt;"",O2349="*CANCELADO"),"",NETWORKDAYS(AC2349,TODAY(),#REF!)))</f>
        <v/>
      </c>
      <c r="AF2349" s="619"/>
    </row>
    <row r="2350" spans="1:32" ht="14.25" customHeight="1">
      <c r="A2350" s="176"/>
      <c r="B2350" s="176"/>
      <c r="C2350" s="177"/>
      <c r="D2350" s="176"/>
      <c r="E2350" s="176"/>
      <c r="F2350" s="259"/>
      <c r="G2350" s="176"/>
      <c r="H2350" s="178"/>
      <c r="I2350" s="592">
        <f t="shared" si="88"/>
        <v>0</v>
      </c>
      <c r="J2350" s="178"/>
      <c r="K2350" s="178"/>
      <c r="L2350" s="275" t="str">
        <f>IF(H:H=0,"",IF(ISERROR(VLOOKUP(H:H,produtos_escape2!$A$2:$B$2794,2,FALSE)),"Código não cadastrado",(VLOOKUP(H:H,produtos_escape2!$A$2:$B$2794,2,FALSE))))</f>
        <v/>
      </c>
      <c r="M2350" s="593" t="str">
        <f>IF(H:H=0,"",IF(ISERROR(VLOOKUP(H:H,produtos_escape2!$A$2:$D$2794,2,FALSE)),"Código não cadastrado",(VLOOKUP(H:H,produtos_escape2!$A$2:$D$2794,4,FALSE))))</f>
        <v/>
      </c>
      <c r="N2350" s="486"/>
      <c r="O2350" s="176"/>
      <c r="P2350" s="486"/>
      <c r="Q2350" s="247"/>
      <c r="R2350" s="246">
        <f t="shared" si="89"/>
        <v>0</v>
      </c>
      <c r="S2350" s="177"/>
      <c r="T2350" s="182"/>
      <c r="U2350" s="177"/>
      <c r="V2350" s="177"/>
      <c r="W2350" s="177"/>
      <c r="X2350" s="176"/>
      <c r="Y2350" s="177"/>
      <c r="Z2350" s="415"/>
      <c r="AA2350" s="488"/>
      <c r="AB2350" s="594"/>
      <c r="AC2350" s="595"/>
      <c r="AD2350" s="596" t="str">
        <f>IF(AND(AC2350&lt;&gt;"",S2350&lt;&gt;""),NETWORKDAYS(AC2350,S2350,#REF!),"")</f>
        <v/>
      </c>
      <c r="AE2350" s="596" t="str">
        <f ca="1">IF(AND(AD2350="",AC2350=""),"",IF(OR(AD2350&lt;&gt;"",O2350="*CANCELADO"),"",NETWORKDAYS(AC2350,TODAY(),#REF!)))</f>
        <v/>
      </c>
      <c r="AF2350" s="619"/>
    </row>
    <row r="2351" spans="1:32" ht="14.25" customHeight="1">
      <c r="A2351" s="176"/>
      <c r="B2351" s="176"/>
      <c r="C2351" s="177"/>
      <c r="D2351" s="176"/>
      <c r="E2351" s="176"/>
      <c r="F2351" s="259"/>
      <c r="G2351" s="176"/>
      <c r="H2351" s="178"/>
      <c r="I2351" s="592">
        <f t="shared" si="88"/>
        <v>0</v>
      </c>
      <c r="J2351" s="178"/>
      <c r="K2351" s="178"/>
      <c r="L2351" s="275" t="str">
        <f>IF(H:H=0,"",IF(ISERROR(VLOOKUP(H:H,produtos_escape2!$A$2:$B$2794,2,FALSE)),"Código não cadastrado",(VLOOKUP(H:H,produtos_escape2!$A$2:$B$2794,2,FALSE))))</f>
        <v/>
      </c>
      <c r="M2351" s="593" t="str">
        <f>IF(H:H=0,"",IF(ISERROR(VLOOKUP(H:H,produtos_escape2!$A$2:$D$2794,2,FALSE)),"Código não cadastrado",(VLOOKUP(H:H,produtos_escape2!$A$2:$D$2794,4,FALSE))))</f>
        <v/>
      </c>
      <c r="N2351" s="486"/>
      <c r="O2351" s="176"/>
      <c r="P2351" s="486"/>
      <c r="Q2351" s="247"/>
      <c r="R2351" s="246">
        <f t="shared" si="89"/>
        <v>0</v>
      </c>
      <c r="S2351" s="177"/>
      <c r="T2351" s="182"/>
      <c r="U2351" s="177"/>
      <c r="V2351" s="177"/>
      <c r="W2351" s="177"/>
      <c r="X2351" s="176"/>
      <c r="Y2351" s="177"/>
      <c r="Z2351" s="415"/>
      <c r="AA2351" s="488"/>
      <c r="AB2351" s="594"/>
      <c r="AC2351" s="595"/>
      <c r="AD2351" s="596" t="str">
        <f>IF(AND(AC2351&lt;&gt;"",S2351&lt;&gt;""),NETWORKDAYS(AC2351,S2351,#REF!),"")</f>
        <v/>
      </c>
      <c r="AE2351" s="596" t="str">
        <f ca="1">IF(AND(AD2351="",AC2351=""),"",IF(OR(AD2351&lt;&gt;"",O2351="*CANCELADO"),"",NETWORKDAYS(AC2351,TODAY(),#REF!)))</f>
        <v/>
      </c>
      <c r="AF2351" s="619"/>
    </row>
    <row r="2352" spans="1:32" ht="14.25" customHeight="1">
      <c r="A2352" s="176"/>
      <c r="B2352" s="176"/>
      <c r="C2352" s="177"/>
      <c r="D2352" s="176"/>
      <c r="E2352" s="176"/>
      <c r="F2352" s="259"/>
      <c r="G2352" s="176"/>
      <c r="H2352" s="178"/>
      <c r="I2352" s="592">
        <f t="shared" si="88"/>
        <v>0</v>
      </c>
      <c r="J2352" s="178"/>
      <c r="K2352" s="178"/>
      <c r="L2352" s="275" t="str">
        <f>IF(H:H=0,"",IF(ISERROR(VLOOKUP(H:H,produtos_escape2!$A$2:$B$2794,2,FALSE)),"Código não cadastrado",(VLOOKUP(H:H,produtos_escape2!$A$2:$B$2794,2,FALSE))))</f>
        <v/>
      </c>
      <c r="M2352" s="593" t="str">
        <f>IF(H:H=0,"",IF(ISERROR(VLOOKUP(H:H,produtos_escape2!$A$2:$D$2794,2,FALSE)),"Código não cadastrado",(VLOOKUP(H:H,produtos_escape2!$A$2:$D$2794,4,FALSE))))</f>
        <v/>
      </c>
      <c r="N2352" s="486"/>
      <c r="O2352" s="176"/>
      <c r="P2352" s="486"/>
      <c r="Q2352" s="247"/>
      <c r="R2352" s="246">
        <f t="shared" si="89"/>
        <v>0</v>
      </c>
      <c r="S2352" s="177"/>
      <c r="T2352" s="182"/>
      <c r="U2352" s="177"/>
      <c r="V2352" s="177"/>
      <c r="W2352" s="177"/>
      <c r="X2352" s="176"/>
      <c r="Y2352" s="177"/>
      <c r="Z2352" s="415"/>
      <c r="AA2352" s="488"/>
      <c r="AB2352" s="594"/>
      <c r="AC2352" s="595"/>
      <c r="AD2352" s="596" t="str">
        <f>IF(AND(AC2352&lt;&gt;"",S2352&lt;&gt;""),NETWORKDAYS(AC2352,S2352,#REF!),"")</f>
        <v/>
      </c>
      <c r="AE2352" s="596" t="str">
        <f ca="1">IF(AND(AD2352="",AC2352=""),"",IF(OR(AD2352&lt;&gt;"",O2352="*CANCELADO"),"",NETWORKDAYS(AC2352,TODAY(),#REF!)))</f>
        <v/>
      </c>
      <c r="AF2352" s="619"/>
    </row>
    <row r="2353" spans="1:32" ht="14.25" customHeight="1">
      <c r="A2353" s="176"/>
      <c r="B2353" s="176"/>
      <c r="C2353" s="177"/>
      <c r="D2353" s="176"/>
      <c r="E2353" s="176"/>
      <c r="F2353" s="259"/>
      <c r="G2353" s="176"/>
      <c r="H2353" s="178"/>
      <c r="I2353" s="592">
        <f t="shared" si="88"/>
        <v>0</v>
      </c>
      <c r="J2353" s="178"/>
      <c r="K2353" s="178"/>
      <c r="L2353" s="275" t="str">
        <f>IF(H:H=0,"",IF(ISERROR(VLOOKUP(H:H,produtos_escape2!$A$2:$B$2794,2,FALSE)),"Código não cadastrado",(VLOOKUP(H:H,produtos_escape2!$A$2:$B$2794,2,FALSE))))</f>
        <v/>
      </c>
      <c r="M2353" s="593" t="str">
        <f>IF(H:H=0,"",IF(ISERROR(VLOOKUP(H:H,produtos_escape2!$A$2:$D$2794,2,FALSE)),"Código não cadastrado",(VLOOKUP(H:H,produtos_escape2!$A$2:$D$2794,4,FALSE))))</f>
        <v/>
      </c>
      <c r="N2353" s="486"/>
      <c r="O2353" s="176"/>
      <c r="P2353" s="486"/>
      <c r="Q2353" s="247"/>
      <c r="R2353" s="246">
        <f t="shared" si="89"/>
        <v>0</v>
      </c>
      <c r="S2353" s="177"/>
      <c r="T2353" s="182"/>
      <c r="U2353" s="177"/>
      <c r="V2353" s="177"/>
      <c r="W2353" s="177"/>
      <c r="X2353" s="176"/>
      <c r="Y2353" s="177"/>
      <c r="Z2353" s="415"/>
      <c r="AA2353" s="488"/>
      <c r="AB2353" s="594"/>
      <c r="AC2353" s="595"/>
      <c r="AD2353" s="596" t="str">
        <f>IF(AND(AC2353&lt;&gt;"",S2353&lt;&gt;""),NETWORKDAYS(AC2353,S2353,#REF!),"")</f>
        <v/>
      </c>
      <c r="AE2353" s="596" t="str">
        <f ca="1">IF(AND(AD2353="",AC2353=""),"",IF(OR(AD2353&lt;&gt;"",O2353="*CANCELADO"),"",NETWORKDAYS(AC2353,TODAY(),#REF!)))</f>
        <v/>
      </c>
      <c r="AF2353" s="619"/>
    </row>
    <row r="2354" spans="1:32" ht="14.25" customHeight="1">
      <c r="A2354" s="176"/>
      <c r="B2354" s="176"/>
      <c r="C2354" s="177"/>
      <c r="D2354" s="176"/>
      <c r="E2354" s="176"/>
      <c r="F2354" s="259"/>
      <c r="G2354" s="176"/>
      <c r="H2354" s="178"/>
      <c r="I2354" s="592">
        <f t="shared" si="88"/>
        <v>0</v>
      </c>
      <c r="J2354" s="178"/>
      <c r="K2354" s="178"/>
      <c r="L2354" s="275" t="str">
        <f>IF(H:H=0,"",IF(ISERROR(VLOOKUP(H:H,produtos_escape2!$A$2:$B$2794,2,FALSE)),"Código não cadastrado",(VLOOKUP(H:H,produtos_escape2!$A$2:$B$2794,2,FALSE))))</f>
        <v/>
      </c>
      <c r="M2354" s="593" t="str">
        <f>IF(H:H=0,"",IF(ISERROR(VLOOKUP(H:H,produtos_escape2!$A$2:$D$2794,2,FALSE)),"Código não cadastrado",(VLOOKUP(H:H,produtos_escape2!$A$2:$D$2794,4,FALSE))))</f>
        <v/>
      </c>
      <c r="N2354" s="486"/>
      <c r="O2354" s="176"/>
      <c r="P2354" s="486"/>
      <c r="Q2354" s="247"/>
      <c r="R2354" s="246">
        <f t="shared" si="89"/>
        <v>0</v>
      </c>
      <c r="S2354" s="177"/>
      <c r="T2354" s="182"/>
      <c r="U2354" s="177"/>
      <c r="V2354" s="177"/>
      <c r="W2354" s="177"/>
      <c r="X2354" s="176"/>
      <c r="Y2354" s="177"/>
      <c r="Z2354" s="415"/>
      <c r="AA2354" s="488"/>
      <c r="AB2354" s="594"/>
      <c r="AC2354" s="595"/>
      <c r="AD2354" s="596" t="str">
        <f>IF(AND(AC2354&lt;&gt;"",S2354&lt;&gt;""),NETWORKDAYS(AC2354,S2354,#REF!),"")</f>
        <v/>
      </c>
      <c r="AE2354" s="596" t="str">
        <f ca="1">IF(AND(AD2354="",AC2354=""),"",IF(OR(AD2354&lt;&gt;"",O2354="*CANCELADO"),"",NETWORKDAYS(AC2354,TODAY(),#REF!)))</f>
        <v/>
      </c>
      <c r="AF2354" s="619"/>
    </row>
    <row r="2355" spans="1:32" ht="14.25" customHeight="1">
      <c r="A2355" s="176"/>
      <c r="B2355" s="176"/>
      <c r="C2355" s="177"/>
      <c r="D2355" s="176"/>
      <c r="E2355" s="176"/>
      <c r="F2355" s="259"/>
      <c r="G2355" s="176"/>
      <c r="H2355" s="178"/>
      <c r="I2355" s="592">
        <f t="shared" si="88"/>
        <v>0</v>
      </c>
      <c r="J2355" s="178"/>
      <c r="K2355" s="178"/>
      <c r="L2355" s="275" t="str">
        <f>IF(H:H=0,"",IF(ISERROR(VLOOKUP(H:H,produtos_escape2!$A$2:$B$2794,2,FALSE)),"Código não cadastrado",(VLOOKUP(H:H,produtos_escape2!$A$2:$B$2794,2,FALSE))))</f>
        <v/>
      </c>
      <c r="M2355" s="593" t="str">
        <f>IF(H:H=0,"",IF(ISERROR(VLOOKUP(H:H,produtos_escape2!$A$2:$D$2794,2,FALSE)),"Código não cadastrado",(VLOOKUP(H:H,produtos_escape2!$A$2:$D$2794,4,FALSE))))</f>
        <v/>
      </c>
      <c r="N2355" s="486"/>
      <c r="O2355" s="176"/>
      <c r="P2355" s="486"/>
      <c r="Q2355" s="247"/>
      <c r="R2355" s="246">
        <f t="shared" si="89"/>
        <v>0</v>
      </c>
      <c r="S2355" s="177"/>
      <c r="T2355" s="182"/>
      <c r="U2355" s="177"/>
      <c r="V2355" s="177"/>
      <c r="W2355" s="177"/>
      <c r="X2355" s="176"/>
      <c r="Y2355" s="177"/>
      <c r="Z2355" s="415"/>
      <c r="AA2355" s="488"/>
      <c r="AB2355" s="594"/>
      <c r="AC2355" s="595"/>
      <c r="AD2355" s="596" t="str">
        <f>IF(AND(AC2355&lt;&gt;"",S2355&lt;&gt;""),NETWORKDAYS(AC2355,S2355,#REF!),"")</f>
        <v/>
      </c>
      <c r="AE2355" s="596" t="str">
        <f ca="1">IF(AND(AD2355="",AC2355=""),"",IF(OR(AD2355&lt;&gt;"",O2355="*CANCELADO"),"",NETWORKDAYS(AC2355,TODAY(),#REF!)))</f>
        <v/>
      </c>
      <c r="AF2355" s="619"/>
    </row>
    <row r="2356" spans="1:32" ht="14.25" customHeight="1">
      <c r="A2356" s="176"/>
      <c r="B2356" s="176"/>
      <c r="C2356" s="177"/>
      <c r="D2356" s="176"/>
      <c r="E2356" s="176"/>
      <c r="F2356" s="259"/>
      <c r="G2356" s="176"/>
      <c r="H2356" s="178"/>
      <c r="I2356" s="592">
        <f t="shared" si="88"/>
        <v>0</v>
      </c>
      <c r="J2356" s="178"/>
      <c r="K2356" s="178"/>
      <c r="L2356" s="275" t="str">
        <f>IF(H:H=0,"",IF(ISERROR(VLOOKUP(H:H,produtos_escape2!$A$2:$B$2794,2,FALSE)),"Código não cadastrado",(VLOOKUP(H:H,produtos_escape2!$A$2:$B$2794,2,FALSE))))</f>
        <v/>
      </c>
      <c r="M2356" s="593" t="str">
        <f>IF(H:H=0,"",IF(ISERROR(VLOOKUP(H:H,produtos_escape2!$A$2:$D$2794,2,FALSE)),"Código não cadastrado",(VLOOKUP(H:H,produtos_escape2!$A$2:$D$2794,4,FALSE))))</f>
        <v/>
      </c>
      <c r="N2356" s="486"/>
      <c r="O2356" s="176"/>
      <c r="P2356" s="486"/>
      <c r="Q2356" s="247"/>
      <c r="R2356" s="246">
        <f t="shared" si="89"/>
        <v>0</v>
      </c>
      <c r="S2356" s="177"/>
      <c r="T2356" s="182"/>
      <c r="U2356" s="177"/>
      <c r="V2356" s="177"/>
      <c r="W2356" s="177"/>
      <c r="X2356" s="176"/>
      <c r="Y2356" s="177"/>
      <c r="Z2356" s="415"/>
      <c r="AA2356" s="488"/>
      <c r="AB2356" s="594"/>
      <c r="AC2356" s="595"/>
      <c r="AD2356" s="596" t="str">
        <f>IF(AND(AC2356&lt;&gt;"",S2356&lt;&gt;""),NETWORKDAYS(AC2356,S2356,#REF!),"")</f>
        <v/>
      </c>
      <c r="AE2356" s="596" t="str">
        <f ca="1">IF(AND(AD2356="",AC2356=""),"",IF(OR(AD2356&lt;&gt;"",O2356="*CANCELADO"),"",NETWORKDAYS(AC2356,TODAY(),#REF!)))</f>
        <v/>
      </c>
      <c r="AF2356" s="619"/>
    </row>
    <row r="2357" spans="1:32" ht="14.25" customHeight="1">
      <c r="A2357" s="176"/>
      <c r="B2357" s="176"/>
      <c r="C2357" s="177"/>
      <c r="D2357" s="176"/>
      <c r="E2357" s="176"/>
      <c r="F2357" s="259"/>
      <c r="G2357" s="176"/>
      <c r="H2357" s="178"/>
      <c r="I2357" s="592">
        <f t="shared" si="88"/>
        <v>0</v>
      </c>
      <c r="J2357" s="178"/>
      <c r="K2357" s="178"/>
      <c r="L2357" s="275" t="str">
        <f>IF(H:H=0,"",IF(ISERROR(VLOOKUP(H:H,produtos_escape2!$A$2:$B$2794,2,FALSE)),"Código não cadastrado",(VLOOKUP(H:H,produtos_escape2!$A$2:$B$2794,2,FALSE))))</f>
        <v/>
      </c>
      <c r="M2357" s="593" t="str">
        <f>IF(H:H=0,"",IF(ISERROR(VLOOKUP(H:H,produtos_escape2!$A$2:$D$2794,2,FALSE)),"Código não cadastrado",(VLOOKUP(H:H,produtos_escape2!$A$2:$D$2794,4,FALSE))))</f>
        <v/>
      </c>
      <c r="N2357" s="486"/>
      <c r="O2357" s="176"/>
      <c r="P2357" s="486"/>
      <c r="Q2357" s="247"/>
      <c r="R2357" s="246">
        <f t="shared" si="89"/>
        <v>0</v>
      </c>
      <c r="S2357" s="177"/>
      <c r="T2357" s="182"/>
      <c r="U2357" s="177"/>
      <c r="V2357" s="177"/>
      <c r="W2357" s="177"/>
      <c r="X2357" s="176"/>
      <c r="Y2357" s="177"/>
      <c r="Z2357" s="415"/>
      <c r="AA2357" s="488"/>
      <c r="AB2357" s="594"/>
      <c r="AC2357" s="595"/>
      <c r="AD2357" s="596" t="str">
        <f>IF(AND(AC2357&lt;&gt;"",S2357&lt;&gt;""),NETWORKDAYS(AC2357,S2357,#REF!),"")</f>
        <v/>
      </c>
      <c r="AE2357" s="596" t="str">
        <f ca="1">IF(AND(AD2357="",AC2357=""),"",IF(OR(AD2357&lt;&gt;"",O2357="*CANCELADO"),"",NETWORKDAYS(AC2357,TODAY(),#REF!)))</f>
        <v/>
      </c>
      <c r="AF2357" s="619"/>
    </row>
    <row r="2358" spans="1:32" ht="14.25" customHeight="1">
      <c r="A2358" s="176"/>
      <c r="B2358" s="176"/>
      <c r="C2358" s="177"/>
      <c r="D2358" s="176"/>
      <c r="E2358" s="176"/>
      <c r="F2358" s="259"/>
      <c r="G2358" s="176"/>
      <c r="H2358" s="178"/>
      <c r="I2358" s="592">
        <f t="shared" ref="I2358:I2421" si="90">COUNTIF($H$3:$H$3041,H2358)</f>
        <v>0</v>
      </c>
      <c r="J2358" s="178"/>
      <c r="K2358" s="178"/>
      <c r="L2358" s="275" t="str">
        <f>IF(H:H=0,"",IF(ISERROR(VLOOKUP(H:H,produtos_escape2!$A$2:$B$2794,2,FALSE)),"Código não cadastrado",(VLOOKUP(H:H,produtos_escape2!$A$2:$B$2794,2,FALSE))))</f>
        <v/>
      </c>
      <c r="M2358" s="593" t="str">
        <f>IF(H:H=0,"",IF(ISERROR(VLOOKUP(H:H,produtos_escape2!$A$2:$D$2794,2,FALSE)),"Código não cadastrado",(VLOOKUP(H:H,produtos_escape2!$A$2:$D$2794,4,FALSE))))</f>
        <v/>
      </c>
      <c r="N2358" s="486"/>
      <c r="O2358" s="176"/>
      <c r="P2358" s="486"/>
      <c r="Q2358" s="247"/>
      <c r="R2358" s="246">
        <f t="shared" si="89"/>
        <v>0</v>
      </c>
      <c r="S2358" s="177"/>
      <c r="T2358" s="182"/>
      <c r="U2358" s="177"/>
      <c r="V2358" s="177"/>
      <c r="W2358" s="177"/>
      <c r="X2358" s="176"/>
      <c r="Y2358" s="177"/>
      <c r="Z2358" s="415"/>
      <c r="AA2358" s="488"/>
      <c r="AB2358" s="594"/>
      <c r="AC2358" s="595"/>
      <c r="AD2358" s="596" t="str">
        <f>IF(AND(AC2358&lt;&gt;"",S2358&lt;&gt;""),NETWORKDAYS(AC2358,S2358,#REF!),"")</f>
        <v/>
      </c>
      <c r="AE2358" s="596" t="str">
        <f ca="1">IF(AND(AD2358="",AC2358=""),"",IF(OR(AD2358&lt;&gt;"",O2358="*CANCELADO"),"",NETWORKDAYS(AC2358,TODAY(),#REF!)))</f>
        <v/>
      </c>
      <c r="AF2358" s="619"/>
    </row>
    <row r="2359" spans="1:32" ht="14.25" customHeight="1">
      <c r="A2359" s="176"/>
      <c r="B2359" s="176"/>
      <c r="C2359" s="177"/>
      <c r="D2359" s="176"/>
      <c r="E2359" s="176"/>
      <c r="F2359" s="259"/>
      <c r="G2359" s="176"/>
      <c r="H2359" s="178"/>
      <c r="I2359" s="592">
        <f t="shared" si="90"/>
        <v>0</v>
      </c>
      <c r="J2359" s="178"/>
      <c r="K2359" s="178"/>
      <c r="L2359" s="275" t="str">
        <f>IF(H:H=0,"",IF(ISERROR(VLOOKUP(H:H,produtos_escape2!$A$2:$B$2794,2,FALSE)),"Código não cadastrado",(VLOOKUP(H:H,produtos_escape2!$A$2:$B$2794,2,FALSE))))</f>
        <v/>
      </c>
      <c r="M2359" s="593" t="str">
        <f>IF(H:H=0,"",IF(ISERROR(VLOOKUP(H:H,produtos_escape2!$A$2:$D$2794,2,FALSE)),"Código não cadastrado",(VLOOKUP(H:H,produtos_escape2!$A$2:$D$2794,4,FALSE))))</f>
        <v/>
      </c>
      <c r="N2359" s="486"/>
      <c r="O2359" s="176"/>
      <c r="P2359" s="486"/>
      <c r="Q2359" s="247"/>
      <c r="R2359" s="246">
        <f t="shared" si="89"/>
        <v>0</v>
      </c>
      <c r="S2359" s="177"/>
      <c r="T2359" s="182"/>
      <c r="U2359" s="177"/>
      <c r="V2359" s="177"/>
      <c r="W2359" s="177"/>
      <c r="X2359" s="176"/>
      <c r="Y2359" s="177"/>
      <c r="Z2359" s="415"/>
      <c r="AA2359" s="488"/>
      <c r="AB2359" s="594"/>
      <c r="AC2359" s="595"/>
      <c r="AD2359" s="596" t="str">
        <f>IF(AND(AC2359&lt;&gt;"",S2359&lt;&gt;""),NETWORKDAYS(AC2359,S2359,#REF!),"")</f>
        <v/>
      </c>
      <c r="AE2359" s="596" t="str">
        <f ca="1">IF(AND(AD2359="",AC2359=""),"",IF(OR(AD2359&lt;&gt;"",O2359="*CANCELADO"),"",NETWORKDAYS(AC2359,TODAY(),#REF!)))</f>
        <v/>
      </c>
      <c r="AF2359" s="619"/>
    </row>
    <row r="2360" spans="1:32" ht="14.25" customHeight="1">
      <c r="A2360" s="176"/>
      <c r="B2360" s="176"/>
      <c r="C2360" s="177"/>
      <c r="D2360" s="176"/>
      <c r="E2360" s="176"/>
      <c r="F2360" s="259"/>
      <c r="G2360" s="176"/>
      <c r="H2360" s="178"/>
      <c r="I2360" s="592">
        <f t="shared" si="90"/>
        <v>0</v>
      </c>
      <c r="J2360" s="178"/>
      <c r="K2360" s="178"/>
      <c r="L2360" s="275" t="str">
        <f>IF(H:H=0,"",IF(ISERROR(VLOOKUP(H:H,produtos_escape2!$A$2:$B$2794,2,FALSE)),"Código não cadastrado",(VLOOKUP(H:H,produtos_escape2!$A$2:$B$2794,2,FALSE))))</f>
        <v/>
      </c>
      <c r="M2360" s="593" t="str">
        <f>IF(H:H=0,"",IF(ISERROR(VLOOKUP(H:H,produtos_escape2!$A$2:$D$2794,2,FALSE)),"Código não cadastrado",(VLOOKUP(H:H,produtos_escape2!$A$2:$D$2794,4,FALSE))))</f>
        <v/>
      </c>
      <c r="N2360" s="486"/>
      <c r="O2360" s="176"/>
      <c r="P2360" s="486"/>
      <c r="Q2360" s="247"/>
      <c r="R2360" s="246">
        <f t="shared" si="89"/>
        <v>0</v>
      </c>
      <c r="S2360" s="177"/>
      <c r="T2360" s="182"/>
      <c r="U2360" s="177"/>
      <c r="V2360" s="177"/>
      <c r="W2360" s="177"/>
      <c r="X2360" s="176"/>
      <c r="Y2360" s="177"/>
      <c r="Z2360" s="415"/>
      <c r="AA2360" s="488"/>
      <c r="AB2360" s="594"/>
      <c r="AC2360" s="595"/>
      <c r="AD2360" s="596" t="str">
        <f>IF(AND(AC2360&lt;&gt;"",S2360&lt;&gt;""),NETWORKDAYS(AC2360,S2360,#REF!),"")</f>
        <v/>
      </c>
      <c r="AE2360" s="596" t="str">
        <f ca="1">IF(AND(AD2360="",AC2360=""),"",IF(OR(AD2360&lt;&gt;"",O2360="*CANCELADO"),"",NETWORKDAYS(AC2360,TODAY(),#REF!)))</f>
        <v/>
      </c>
      <c r="AF2360" s="619"/>
    </row>
    <row r="2361" spans="1:32" ht="14.25" customHeight="1">
      <c r="A2361" s="176"/>
      <c r="B2361" s="176"/>
      <c r="C2361" s="177"/>
      <c r="D2361" s="176"/>
      <c r="E2361" s="176"/>
      <c r="F2361" s="259"/>
      <c r="G2361" s="176"/>
      <c r="H2361" s="178"/>
      <c r="I2361" s="592">
        <f t="shared" si="90"/>
        <v>0</v>
      </c>
      <c r="J2361" s="178"/>
      <c r="K2361" s="178"/>
      <c r="L2361" s="275" t="str">
        <f>IF(H:H=0,"",IF(ISERROR(VLOOKUP(H:H,produtos_escape2!$A$2:$B$2794,2,FALSE)),"Código não cadastrado",(VLOOKUP(H:H,produtos_escape2!$A$2:$B$2794,2,FALSE))))</f>
        <v/>
      </c>
      <c r="M2361" s="593" t="str">
        <f>IF(H:H=0,"",IF(ISERROR(VLOOKUP(H:H,produtos_escape2!$A$2:$D$2794,2,FALSE)),"Código não cadastrado",(VLOOKUP(H:H,produtos_escape2!$A$2:$D$2794,4,FALSE))))</f>
        <v/>
      </c>
      <c r="N2361" s="486"/>
      <c r="O2361" s="176"/>
      <c r="P2361" s="486"/>
      <c r="Q2361" s="247"/>
      <c r="R2361" s="246">
        <f t="shared" si="89"/>
        <v>0</v>
      </c>
      <c r="S2361" s="177"/>
      <c r="T2361" s="182"/>
      <c r="U2361" s="177"/>
      <c r="V2361" s="177"/>
      <c r="W2361" s="177"/>
      <c r="X2361" s="176"/>
      <c r="Y2361" s="177"/>
      <c r="Z2361" s="415"/>
      <c r="AA2361" s="488"/>
      <c r="AB2361" s="594"/>
      <c r="AC2361" s="595"/>
      <c r="AD2361" s="596" t="str">
        <f>IF(AND(AC2361&lt;&gt;"",S2361&lt;&gt;""),NETWORKDAYS(AC2361,S2361,#REF!),"")</f>
        <v/>
      </c>
      <c r="AE2361" s="596" t="str">
        <f ca="1">IF(AND(AD2361="",AC2361=""),"",IF(OR(AD2361&lt;&gt;"",O2361="*CANCELADO"),"",NETWORKDAYS(AC2361,TODAY(),#REF!)))</f>
        <v/>
      </c>
      <c r="AF2361" s="619"/>
    </row>
    <row r="2362" spans="1:32" ht="14.25" customHeight="1">
      <c r="A2362" s="176"/>
      <c r="B2362" s="176"/>
      <c r="C2362" s="177"/>
      <c r="D2362" s="176"/>
      <c r="E2362" s="176"/>
      <c r="F2362" s="259"/>
      <c r="G2362" s="176"/>
      <c r="H2362" s="178"/>
      <c r="I2362" s="592">
        <f t="shared" si="90"/>
        <v>0</v>
      </c>
      <c r="J2362" s="178"/>
      <c r="K2362" s="178"/>
      <c r="L2362" s="275" t="str">
        <f>IF(H:H=0,"",IF(ISERROR(VLOOKUP(H:H,produtos_escape2!$A$2:$B$2794,2,FALSE)),"Código não cadastrado",(VLOOKUP(H:H,produtos_escape2!$A$2:$B$2794,2,FALSE))))</f>
        <v/>
      </c>
      <c r="M2362" s="593" t="str">
        <f>IF(H:H=0,"",IF(ISERROR(VLOOKUP(H:H,produtos_escape2!$A$2:$D$2794,2,FALSE)),"Código não cadastrado",(VLOOKUP(H:H,produtos_escape2!$A$2:$D$2794,4,FALSE))))</f>
        <v/>
      </c>
      <c r="N2362" s="486"/>
      <c r="O2362" s="176"/>
      <c r="P2362" s="486"/>
      <c r="Q2362" s="247"/>
      <c r="R2362" s="246">
        <f t="shared" si="89"/>
        <v>0</v>
      </c>
      <c r="S2362" s="177"/>
      <c r="T2362" s="182"/>
      <c r="U2362" s="177"/>
      <c r="V2362" s="177"/>
      <c r="W2362" s="177"/>
      <c r="X2362" s="176"/>
      <c r="Y2362" s="177"/>
      <c r="Z2362" s="415"/>
      <c r="AA2362" s="488"/>
      <c r="AB2362" s="594"/>
      <c r="AC2362" s="595"/>
      <c r="AD2362" s="596" t="str">
        <f>IF(AND(AC2362&lt;&gt;"",S2362&lt;&gt;""),NETWORKDAYS(AC2362,S2362,#REF!),"")</f>
        <v/>
      </c>
      <c r="AE2362" s="596" t="str">
        <f ca="1">IF(AND(AD2362="",AC2362=""),"",IF(OR(AD2362&lt;&gt;"",O2362="*CANCELADO"),"",NETWORKDAYS(AC2362,TODAY(),#REF!)))</f>
        <v/>
      </c>
      <c r="AF2362" s="619"/>
    </row>
    <row r="2363" spans="1:32" ht="14.25" customHeight="1">
      <c r="A2363" s="176"/>
      <c r="B2363" s="176"/>
      <c r="C2363" s="177"/>
      <c r="D2363" s="176"/>
      <c r="E2363" s="176"/>
      <c r="F2363" s="259"/>
      <c r="G2363" s="176"/>
      <c r="H2363" s="178"/>
      <c r="I2363" s="592">
        <f t="shared" si="90"/>
        <v>0</v>
      </c>
      <c r="J2363" s="178"/>
      <c r="K2363" s="178"/>
      <c r="L2363" s="275" t="str">
        <f>IF(H:H=0,"",IF(ISERROR(VLOOKUP(H:H,produtos_escape2!$A$2:$B$2794,2,FALSE)),"Código não cadastrado",(VLOOKUP(H:H,produtos_escape2!$A$2:$B$2794,2,FALSE))))</f>
        <v/>
      </c>
      <c r="M2363" s="593" t="str">
        <f>IF(H:H=0,"",IF(ISERROR(VLOOKUP(H:H,produtos_escape2!$A$2:$D$2794,2,FALSE)),"Código não cadastrado",(VLOOKUP(H:H,produtos_escape2!$A$2:$D$2794,4,FALSE))))</f>
        <v/>
      </c>
      <c r="N2363" s="486"/>
      <c r="O2363" s="176"/>
      <c r="P2363" s="486"/>
      <c r="Q2363" s="247"/>
      <c r="R2363" s="246">
        <f t="shared" si="89"/>
        <v>0</v>
      </c>
      <c r="S2363" s="177"/>
      <c r="T2363" s="182"/>
      <c r="U2363" s="177"/>
      <c r="V2363" s="177"/>
      <c r="W2363" s="177"/>
      <c r="X2363" s="176"/>
      <c r="Y2363" s="177"/>
      <c r="Z2363" s="415"/>
      <c r="AA2363" s="488"/>
      <c r="AB2363" s="594"/>
      <c r="AC2363" s="595"/>
      <c r="AD2363" s="596" t="str">
        <f>IF(AND(AC2363&lt;&gt;"",S2363&lt;&gt;""),NETWORKDAYS(AC2363,S2363,#REF!),"")</f>
        <v/>
      </c>
      <c r="AE2363" s="596" t="str">
        <f ca="1">IF(AND(AD2363="",AC2363=""),"",IF(OR(AD2363&lt;&gt;"",O2363="*CANCELADO"),"",NETWORKDAYS(AC2363,TODAY(),#REF!)))</f>
        <v/>
      </c>
      <c r="AF2363" s="619"/>
    </row>
    <row r="2364" spans="1:32" ht="14.25" customHeight="1">
      <c r="A2364" s="176"/>
      <c r="B2364" s="176"/>
      <c r="C2364" s="177"/>
      <c r="D2364" s="176"/>
      <c r="E2364" s="176"/>
      <c r="F2364" s="259"/>
      <c r="G2364" s="176"/>
      <c r="H2364" s="178"/>
      <c r="I2364" s="592">
        <f t="shared" si="90"/>
        <v>0</v>
      </c>
      <c r="J2364" s="178"/>
      <c r="K2364" s="178"/>
      <c r="L2364" s="275" t="str">
        <f>IF(H:H=0,"",IF(ISERROR(VLOOKUP(H:H,produtos_escape2!$A$2:$B$2794,2,FALSE)),"Código não cadastrado",(VLOOKUP(H:H,produtos_escape2!$A$2:$B$2794,2,FALSE))))</f>
        <v/>
      </c>
      <c r="M2364" s="593" t="str">
        <f>IF(H:H=0,"",IF(ISERROR(VLOOKUP(H:H,produtos_escape2!$A$2:$D$2794,2,FALSE)),"Código não cadastrado",(VLOOKUP(H:H,produtos_escape2!$A$2:$D$2794,4,FALSE))))</f>
        <v/>
      </c>
      <c r="N2364" s="486"/>
      <c r="O2364" s="176"/>
      <c r="P2364" s="486"/>
      <c r="Q2364" s="247"/>
      <c r="R2364" s="246">
        <f t="shared" si="89"/>
        <v>0</v>
      </c>
      <c r="S2364" s="177"/>
      <c r="T2364" s="182"/>
      <c r="U2364" s="177"/>
      <c r="V2364" s="177"/>
      <c r="W2364" s="177"/>
      <c r="X2364" s="176"/>
      <c r="Y2364" s="177"/>
      <c r="Z2364" s="415"/>
      <c r="AA2364" s="488"/>
      <c r="AB2364" s="594"/>
      <c r="AC2364" s="595"/>
      <c r="AD2364" s="596" t="str">
        <f>IF(AND(AC2364&lt;&gt;"",S2364&lt;&gt;""),NETWORKDAYS(AC2364,S2364,#REF!),"")</f>
        <v/>
      </c>
      <c r="AE2364" s="596" t="str">
        <f ca="1">IF(AND(AD2364="",AC2364=""),"",IF(OR(AD2364&lt;&gt;"",O2364="*CANCELADO"),"",NETWORKDAYS(AC2364,TODAY(),#REF!)))</f>
        <v/>
      </c>
      <c r="AF2364" s="619"/>
    </row>
    <row r="2365" spans="1:32" ht="14.25" customHeight="1">
      <c r="A2365" s="176"/>
      <c r="B2365" s="176"/>
      <c r="C2365" s="177"/>
      <c r="D2365" s="176"/>
      <c r="E2365" s="176"/>
      <c r="F2365" s="259"/>
      <c r="G2365" s="176"/>
      <c r="H2365" s="178"/>
      <c r="I2365" s="592">
        <f t="shared" si="90"/>
        <v>0</v>
      </c>
      <c r="J2365" s="178"/>
      <c r="K2365" s="178"/>
      <c r="L2365" s="275" t="str">
        <f>IF(H:H=0,"",IF(ISERROR(VLOOKUP(H:H,produtos_escape2!$A$2:$B$2794,2,FALSE)),"Código não cadastrado",(VLOOKUP(H:H,produtos_escape2!$A$2:$B$2794,2,FALSE))))</f>
        <v/>
      </c>
      <c r="M2365" s="593" t="str">
        <f>IF(H:H=0,"",IF(ISERROR(VLOOKUP(H:H,produtos_escape2!$A$2:$D$2794,2,FALSE)),"Código não cadastrado",(VLOOKUP(H:H,produtos_escape2!$A$2:$D$2794,4,FALSE))))</f>
        <v/>
      </c>
      <c r="N2365" s="486"/>
      <c r="O2365" s="176"/>
      <c r="P2365" s="486"/>
      <c r="Q2365" s="247"/>
      <c r="R2365" s="246">
        <f t="shared" si="89"/>
        <v>0</v>
      </c>
      <c r="S2365" s="177"/>
      <c r="T2365" s="182"/>
      <c r="U2365" s="177"/>
      <c r="V2365" s="177"/>
      <c r="W2365" s="177"/>
      <c r="X2365" s="176"/>
      <c r="Y2365" s="177"/>
      <c r="Z2365" s="415"/>
      <c r="AA2365" s="488"/>
      <c r="AB2365" s="594"/>
      <c r="AC2365" s="595"/>
      <c r="AD2365" s="596" t="str">
        <f>IF(AND(AC2365&lt;&gt;"",S2365&lt;&gt;""),NETWORKDAYS(AC2365,S2365,#REF!),"")</f>
        <v/>
      </c>
      <c r="AE2365" s="596" t="str">
        <f ca="1">IF(AND(AD2365="",AC2365=""),"",IF(OR(AD2365&lt;&gt;"",O2365="*CANCELADO"),"",NETWORKDAYS(AC2365,TODAY(),#REF!)))</f>
        <v/>
      </c>
      <c r="AF2365" s="619"/>
    </row>
    <row r="2366" spans="1:32" ht="14.25" customHeight="1">
      <c r="A2366" s="176"/>
      <c r="B2366" s="176"/>
      <c r="C2366" s="177"/>
      <c r="D2366" s="176"/>
      <c r="E2366" s="176"/>
      <c r="F2366" s="259"/>
      <c r="G2366" s="176"/>
      <c r="H2366" s="178"/>
      <c r="I2366" s="592">
        <f t="shared" si="90"/>
        <v>0</v>
      </c>
      <c r="J2366" s="178"/>
      <c r="K2366" s="178"/>
      <c r="L2366" s="275" t="str">
        <f>IF(H:H=0,"",IF(ISERROR(VLOOKUP(H:H,produtos_escape2!$A$2:$B$2794,2,FALSE)),"Código não cadastrado",(VLOOKUP(H:H,produtos_escape2!$A$2:$B$2794,2,FALSE))))</f>
        <v/>
      </c>
      <c r="M2366" s="593" t="str">
        <f>IF(H:H=0,"",IF(ISERROR(VLOOKUP(H:H,produtos_escape2!$A$2:$D$2794,2,FALSE)),"Código não cadastrado",(VLOOKUP(H:H,produtos_escape2!$A$2:$D$2794,4,FALSE))))</f>
        <v/>
      </c>
      <c r="N2366" s="486"/>
      <c r="O2366" s="176"/>
      <c r="P2366" s="486"/>
      <c r="Q2366" s="247"/>
      <c r="R2366" s="246">
        <f t="shared" si="89"/>
        <v>0</v>
      </c>
      <c r="S2366" s="177"/>
      <c r="T2366" s="182"/>
      <c r="U2366" s="177"/>
      <c r="V2366" s="177"/>
      <c r="W2366" s="177"/>
      <c r="X2366" s="176"/>
      <c r="Y2366" s="177"/>
      <c r="Z2366" s="415"/>
      <c r="AA2366" s="488"/>
      <c r="AB2366" s="594"/>
      <c r="AC2366" s="595"/>
      <c r="AD2366" s="596" t="str">
        <f>IF(AND(AC2366&lt;&gt;"",S2366&lt;&gt;""),NETWORKDAYS(AC2366,S2366,#REF!),"")</f>
        <v/>
      </c>
      <c r="AE2366" s="596" t="str">
        <f ca="1">IF(AND(AD2366="",AC2366=""),"",IF(OR(AD2366&lt;&gt;"",O2366="*CANCELADO"),"",NETWORKDAYS(AC2366,TODAY(),#REF!)))</f>
        <v/>
      </c>
      <c r="AF2366" s="619"/>
    </row>
    <row r="2367" spans="1:32" ht="14.25" customHeight="1">
      <c r="A2367" s="176"/>
      <c r="B2367" s="176"/>
      <c r="C2367" s="177"/>
      <c r="D2367" s="176"/>
      <c r="E2367" s="176"/>
      <c r="F2367" s="259"/>
      <c r="G2367" s="176"/>
      <c r="H2367" s="178"/>
      <c r="I2367" s="592">
        <f t="shared" si="90"/>
        <v>0</v>
      </c>
      <c r="J2367" s="178"/>
      <c r="K2367" s="178"/>
      <c r="L2367" s="275" t="str">
        <f>IF(H:H=0,"",IF(ISERROR(VLOOKUP(H:H,produtos_escape2!$A$2:$B$2794,2,FALSE)),"Código não cadastrado",(VLOOKUP(H:H,produtos_escape2!$A$2:$B$2794,2,FALSE))))</f>
        <v/>
      </c>
      <c r="M2367" s="593" t="str">
        <f>IF(H:H=0,"",IF(ISERROR(VLOOKUP(H:H,produtos_escape2!$A$2:$D$2794,2,FALSE)),"Código não cadastrado",(VLOOKUP(H:H,produtos_escape2!$A$2:$D$2794,4,FALSE))))</f>
        <v/>
      </c>
      <c r="N2367" s="486"/>
      <c r="O2367" s="176"/>
      <c r="P2367" s="486"/>
      <c r="Q2367" s="247"/>
      <c r="R2367" s="246">
        <f t="shared" si="89"/>
        <v>0</v>
      </c>
      <c r="S2367" s="177"/>
      <c r="T2367" s="182"/>
      <c r="U2367" s="177"/>
      <c r="V2367" s="177"/>
      <c r="W2367" s="177"/>
      <c r="X2367" s="176"/>
      <c r="Y2367" s="177"/>
      <c r="Z2367" s="415"/>
      <c r="AA2367" s="488"/>
      <c r="AB2367" s="594"/>
      <c r="AC2367" s="595"/>
      <c r="AD2367" s="596" t="str">
        <f>IF(AND(AC2367&lt;&gt;"",S2367&lt;&gt;""),NETWORKDAYS(AC2367,S2367,#REF!),"")</f>
        <v/>
      </c>
      <c r="AE2367" s="596" t="str">
        <f ca="1">IF(AND(AD2367="",AC2367=""),"",IF(OR(AD2367&lt;&gt;"",O2367="*CANCELADO"),"",NETWORKDAYS(AC2367,TODAY(),#REF!)))</f>
        <v/>
      </c>
      <c r="AF2367" s="619"/>
    </row>
    <row r="2368" spans="1:32" ht="14.25" customHeight="1">
      <c r="A2368" s="176"/>
      <c r="B2368" s="176"/>
      <c r="C2368" s="177"/>
      <c r="D2368" s="176"/>
      <c r="E2368" s="176"/>
      <c r="F2368" s="259"/>
      <c r="G2368" s="176"/>
      <c r="H2368" s="178"/>
      <c r="I2368" s="592">
        <f t="shared" si="90"/>
        <v>0</v>
      </c>
      <c r="J2368" s="178"/>
      <c r="K2368" s="178"/>
      <c r="L2368" s="275" t="str">
        <f>IF(H:H=0,"",IF(ISERROR(VLOOKUP(H:H,produtos_escape2!$A$2:$B$2794,2,FALSE)),"Código não cadastrado",(VLOOKUP(H:H,produtos_escape2!$A$2:$B$2794,2,FALSE))))</f>
        <v/>
      </c>
      <c r="M2368" s="593" t="str">
        <f>IF(H:H=0,"",IF(ISERROR(VLOOKUP(H:H,produtos_escape2!$A$2:$D$2794,2,FALSE)),"Código não cadastrado",(VLOOKUP(H:H,produtos_escape2!$A$2:$D$2794,4,FALSE))))</f>
        <v/>
      </c>
      <c r="N2368" s="486"/>
      <c r="O2368" s="176"/>
      <c r="P2368" s="486"/>
      <c r="Q2368" s="247"/>
      <c r="R2368" s="246">
        <f t="shared" si="89"/>
        <v>0</v>
      </c>
      <c r="S2368" s="177"/>
      <c r="T2368" s="182"/>
      <c r="U2368" s="177"/>
      <c r="V2368" s="177"/>
      <c r="W2368" s="177"/>
      <c r="X2368" s="176"/>
      <c r="Y2368" s="177"/>
      <c r="Z2368" s="415"/>
      <c r="AA2368" s="488"/>
      <c r="AB2368" s="594"/>
      <c r="AC2368" s="595"/>
      <c r="AD2368" s="596" t="str">
        <f>IF(AND(AC2368&lt;&gt;"",S2368&lt;&gt;""),NETWORKDAYS(AC2368,S2368,#REF!),"")</f>
        <v/>
      </c>
      <c r="AE2368" s="596" t="str">
        <f ca="1">IF(AND(AD2368="",AC2368=""),"",IF(OR(AD2368&lt;&gt;"",O2368="*CANCELADO"),"",NETWORKDAYS(AC2368,TODAY(),#REF!)))</f>
        <v/>
      </c>
      <c r="AF2368" s="619"/>
    </row>
    <row r="2369" spans="1:32" ht="14.25" customHeight="1">
      <c r="A2369" s="176"/>
      <c r="B2369" s="176"/>
      <c r="C2369" s="177"/>
      <c r="D2369" s="176"/>
      <c r="E2369" s="176"/>
      <c r="F2369" s="259"/>
      <c r="G2369" s="176"/>
      <c r="H2369" s="178"/>
      <c r="I2369" s="592">
        <f t="shared" si="90"/>
        <v>0</v>
      </c>
      <c r="J2369" s="178"/>
      <c r="K2369" s="178"/>
      <c r="L2369" s="275" t="str">
        <f>IF(H:H=0,"",IF(ISERROR(VLOOKUP(H:H,produtos_escape2!$A$2:$B$2794,2,FALSE)),"Código não cadastrado",(VLOOKUP(H:H,produtos_escape2!$A$2:$B$2794,2,FALSE))))</f>
        <v/>
      </c>
      <c r="M2369" s="593" t="str">
        <f>IF(H:H=0,"",IF(ISERROR(VLOOKUP(H:H,produtos_escape2!$A$2:$D$2794,2,FALSE)),"Código não cadastrado",(VLOOKUP(H:H,produtos_escape2!$A$2:$D$2794,4,FALSE))))</f>
        <v/>
      </c>
      <c r="N2369" s="486"/>
      <c r="O2369" s="176"/>
      <c r="P2369" s="486"/>
      <c r="Q2369" s="247"/>
      <c r="R2369" s="246">
        <f t="shared" si="89"/>
        <v>0</v>
      </c>
      <c r="S2369" s="177"/>
      <c r="T2369" s="182"/>
      <c r="U2369" s="177"/>
      <c r="V2369" s="177"/>
      <c r="W2369" s="177"/>
      <c r="X2369" s="176"/>
      <c r="Y2369" s="177"/>
      <c r="Z2369" s="415"/>
      <c r="AA2369" s="488"/>
      <c r="AB2369" s="594"/>
      <c r="AC2369" s="595"/>
      <c r="AD2369" s="596" t="str">
        <f>IF(AND(AC2369&lt;&gt;"",S2369&lt;&gt;""),NETWORKDAYS(AC2369,S2369,#REF!),"")</f>
        <v/>
      </c>
      <c r="AE2369" s="596" t="str">
        <f ca="1">IF(AND(AD2369="",AC2369=""),"",IF(OR(AD2369&lt;&gt;"",O2369="*CANCELADO"),"",NETWORKDAYS(AC2369,TODAY(),#REF!)))</f>
        <v/>
      </c>
      <c r="AF2369" s="619"/>
    </row>
    <row r="2370" spans="1:32" ht="14.25" customHeight="1">
      <c r="A2370" s="176"/>
      <c r="B2370" s="176"/>
      <c r="C2370" s="177"/>
      <c r="D2370" s="176"/>
      <c r="E2370" s="176"/>
      <c r="F2370" s="259"/>
      <c r="G2370" s="176"/>
      <c r="H2370" s="178"/>
      <c r="I2370" s="592">
        <f t="shared" si="90"/>
        <v>0</v>
      </c>
      <c r="J2370" s="178"/>
      <c r="K2370" s="178"/>
      <c r="L2370" s="275" t="str">
        <f>IF(H:H=0,"",IF(ISERROR(VLOOKUP(H:H,produtos_escape2!$A$2:$B$2794,2,FALSE)),"Código não cadastrado",(VLOOKUP(H:H,produtos_escape2!$A$2:$B$2794,2,FALSE))))</f>
        <v/>
      </c>
      <c r="M2370" s="593" t="str">
        <f>IF(H:H=0,"",IF(ISERROR(VLOOKUP(H:H,produtos_escape2!$A$2:$D$2794,2,FALSE)),"Código não cadastrado",(VLOOKUP(H:H,produtos_escape2!$A$2:$D$2794,4,FALSE))))</f>
        <v/>
      </c>
      <c r="N2370" s="486"/>
      <c r="O2370" s="176"/>
      <c r="P2370" s="486"/>
      <c r="Q2370" s="247"/>
      <c r="R2370" s="246">
        <f t="shared" si="89"/>
        <v>0</v>
      </c>
      <c r="S2370" s="177"/>
      <c r="T2370" s="182"/>
      <c r="U2370" s="177"/>
      <c r="V2370" s="177"/>
      <c r="W2370" s="177"/>
      <c r="X2370" s="176"/>
      <c r="Y2370" s="177"/>
      <c r="Z2370" s="415"/>
      <c r="AA2370" s="488"/>
      <c r="AB2370" s="594"/>
      <c r="AC2370" s="595"/>
      <c r="AD2370" s="596" t="str">
        <f>IF(AND(AC2370&lt;&gt;"",S2370&lt;&gt;""),NETWORKDAYS(AC2370,S2370,#REF!),"")</f>
        <v/>
      </c>
      <c r="AE2370" s="596" t="str">
        <f ca="1">IF(AND(AD2370="",AC2370=""),"",IF(OR(AD2370&lt;&gt;"",O2370="*CANCELADO"),"",NETWORKDAYS(AC2370,TODAY(),#REF!)))</f>
        <v/>
      </c>
      <c r="AF2370" s="619"/>
    </row>
    <row r="2371" spans="1:32" ht="14.25" customHeight="1">
      <c r="A2371" s="176"/>
      <c r="B2371" s="176"/>
      <c r="C2371" s="177"/>
      <c r="D2371" s="176"/>
      <c r="E2371" s="176"/>
      <c r="F2371" s="259"/>
      <c r="G2371" s="176"/>
      <c r="H2371" s="178"/>
      <c r="I2371" s="592">
        <f t="shared" si="90"/>
        <v>0</v>
      </c>
      <c r="J2371" s="178"/>
      <c r="K2371" s="178"/>
      <c r="L2371" s="275" t="str">
        <f>IF(H:H=0,"",IF(ISERROR(VLOOKUP(H:H,produtos_escape2!$A$2:$B$2794,2,FALSE)),"Código não cadastrado",(VLOOKUP(H:H,produtos_escape2!$A$2:$B$2794,2,FALSE))))</f>
        <v/>
      </c>
      <c r="M2371" s="593" t="str">
        <f>IF(H:H=0,"",IF(ISERROR(VLOOKUP(H:H,produtos_escape2!$A$2:$D$2794,2,FALSE)),"Código não cadastrado",(VLOOKUP(H:H,produtos_escape2!$A$2:$D$2794,4,FALSE))))</f>
        <v/>
      </c>
      <c r="N2371" s="486"/>
      <c r="O2371" s="176"/>
      <c r="P2371" s="486"/>
      <c r="Q2371" s="247"/>
      <c r="R2371" s="246">
        <f t="shared" si="89"/>
        <v>0</v>
      </c>
      <c r="S2371" s="177"/>
      <c r="T2371" s="182"/>
      <c r="U2371" s="177"/>
      <c r="V2371" s="177"/>
      <c r="W2371" s="177"/>
      <c r="X2371" s="176"/>
      <c r="Y2371" s="177"/>
      <c r="Z2371" s="415"/>
      <c r="AA2371" s="488"/>
      <c r="AB2371" s="594"/>
      <c r="AC2371" s="595"/>
      <c r="AD2371" s="596" t="str">
        <f>IF(AND(AC2371&lt;&gt;"",S2371&lt;&gt;""),NETWORKDAYS(AC2371,S2371,#REF!),"")</f>
        <v/>
      </c>
      <c r="AE2371" s="596" t="str">
        <f ca="1">IF(AND(AD2371="",AC2371=""),"",IF(OR(AD2371&lt;&gt;"",O2371="*CANCELADO"),"",NETWORKDAYS(AC2371,TODAY(),#REF!)))</f>
        <v/>
      </c>
      <c r="AF2371" s="619"/>
    </row>
    <row r="2372" spans="1:32" ht="14.25" customHeight="1">
      <c r="A2372" s="176"/>
      <c r="B2372" s="176"/>
      <c r="C2372" s="177"/>
      <c r="D2372" s="176"/>
      <c r="E2372" s="176"/>
      <c r="F2372" s="259"/>
      <c r="G2372" s="176"/>
      <c r="H2372" s="178"/>
      <c r="I2372" s="592">
        <f t="shared" si="90"/>
        <v>0</v>
      </c>
      <c r="J2372" s="178"/>
      <c r="K2372" s="178"/>
      <c r="L2372" s="275" t="str">
        <f>IF(H:H=0,"",IF(ISERROR(VLOOKUP(H:H,produtos_escape2!$A$2:$B$2794,2,FALSE)),"Código não cadastrado",(VLOOKUP(H:H,produtos_escape2!$A$2:$B$2794,2,FALSE))))</f>
        <v/>
      </c>
      <c r="M2372" s="593" t="str">
        <f>IF(H:H=0,"",IF(ISERROR(VLOOKUP(H:H,produtos_escape2!$A$2:$D$2794,2,FALSE)),"Código não cadastrado",(VLOOKUP(H:H,produtos_escape2!$A$2:$D$2794,4,FALSE))))</f>
        <v/>
      </c>
      <c r="N2372" s="486"/>
      <c r="O2372" s="176"/>
      <c r="P2372" s="486"/>
      <c r="Q2372" s="247"/>
      <c r="R2372" s="246">
        <f t="shared" si="89"/>
        <v>0</v>
      </c>
      <c r="S2372" s="177"/>
      <c r="T2372" s="182"/>
      <c r="U2372" s="177"/>
      <c r="V2372" s="177"/>
      <c r="W2372" s="177"/>
      <c r="X2372" s="176"/>
      <c r="Y2372" s="177"/>
      <c r="Z2372" s="415"/>
      <c r="AA2372" s="488"/>
      <c r="AB2372" s="594"/>
      <c r="AC2372" s="595"/>
      <c r="AD2372" s="596" t="str">
        <f>IF(AND(AC2372&lt;&gt;"",S2372&lt;&gt;""),NETWORKDAYS(AC2372,S2372,#REF!),"")</f>
        <v/>
      </c>
      <c r="AE2372" s="596" t="str">
        <f ca="1">IF(AND(AD2372="",AC2372=""),"",IF(OR(AD2372&lt;&gt;"",O2372="*CANCELADO"),"",NETWORKDAYS(AC2372,TODAY(),#REF!)))</f>
        <v/>
      </c>
      <c r="AF2372" s="619"/>
    </row>
    <row r="2373" spans="1:32" ht="14.25" customHeight="1">
      <c r="A2373" s="176"/>
      <c r="B2373" s="176"/>
      <c r="C2373" s="177"/>
      <c r="D2373" s="176"/>
      <c r="E2373" s="176"/>
      <c r="F2373" s="259"/>
      <c r="G2373" s="176"/>
      <c r="H2373" s="178"/>
      <c r="I2373" s="592">
        <f t="shared" si="90"/>
        <v>0</v>
      </c>
      <c r="J2373" s="178"/>
      <c r="K2373" s="178"/>
      <c r="L2373" s="275" t="str">
        <f>IF(H:H=0,"",IF(ISERROR(VLOOKUP(H:H,produtos_escape2!$A$2:$B$2794,2,FALSE)),"Código não cadastrado",(VLOOKUP(H:H,produtos_escape2!$A$2:$B$2794,2,FALSE))))</f>
        <v/>
      </c>
      <c r="M2373" s="593" t="str">
        <f>IF(H:H=0,"",IF(ISERROR(VLOOKUP(H:H,produtos_escape2!$A$2:$D$2794,2,FALSE)),"Código não cadastrado",(VLOOKUP(H:H,produtos_escape2!$A$2:$D$2794,4,FALSE))))</f>
        <v/>
      </c>
      <c r="N2373" s="486"/>
      <c r="O2373" s="176"/>
      <c r="P2373" s="486"/>
      <c r="Q2373" s="247"/>
      <c r="R2373" s="246">
        <f t="shared" si="89"/>
        <v>0</v>
      </c>
      <c r="S2373" s="177"/>
      <c r="T2373" s="182"/>
      <c r="U2373" s="177"/>
      <c r="V2373" s="177"/>
      <c r="W2373" s="177"/>
      <c r="X2373" s="176"/>
      <c r="Y2373" s="177"/>
      <c r="Z2373" s="415"/>
      <c r="AA2373" s="488"/>
      <c r="AB2373" s="594"/>
      <c r="AC2373" s="595"/>
      <c r="AD2373" s="596" t="str">
        <f>IF(AND(AC2373&lt;&gt;"",S2373&lt;&gt;""),NETWORKDAYS(AC2373,S2373,#REF!),"")</f>
        <v/>
      </c>
      <c r="AE2373" s="596" t="str">
        <f ca="1">IF(AND(AD2373="",AC2373=""),"",IF(OR(AD2373&lt;&gt;"",O2373="*CANCELADO"),"",NETWORKDAYS(AC2373,TODAY(),#REF!)))</f>
        <v/>
      </c>
      <c r="AF2373" s="619"/>
    </row>
    <row r="2374" spans="1:32" ht="14.25" customHeight="1">
      <c r="A2374" s="176"/>
      <c r="B2374" s="176"/>
      <c r="C2374" s="177"/>
      <c r="D2374" s="176"/>
      <c r="E2374" s="176"/>
      <c r="F2374" s="259"/>
      <c r="G2374" s="176"/>
      <c r="H2374" s="178"/>
      <c r="I2374" s="592">
        <f t="shared" si="90"/>
        <v>0</v>
      </c>
      <c r="J2374" s="178"/>
      <c r="K2374" s="178"/>
      <c r="L2374" s="275" t="str">
        <f>IF(H:H=0,"",IF(ISERROR(VLOOKUP(H:H,produtos_escape2!$A$2:$B$2794,2,FALSE)),"Código não cadastrado",(VLOOKUP(H:H,produtos_escape2!$A$2:$B$2794,2,FALSE))))</f>
        <v/>
      </c>
      <c r="M2374" s="593" t="str">
        <f>IF(H:H=0,"",IF(ISERROR(VLOOKUP(H:H,produtos_escape2!$A$2:$D$2794,2,FALSE)),"Código não cadastrado",(VLOOKUP(H:H,produtos_escape2!$A$2:$D$2794,4,FALSE))))</f>
        <v/>
      </c>
      <c r="N2374" s="486"/>
      <c r="O2374" s="176"/>
      <c r="P2374" s="486"/>
      <c r="Q2374" s="247"/>
      <c r="R2374" s="246">
        <f t="shared" si="89"/>
        <v>0</v>
      </c>
      <c r="S2374" s="177"/>
      <c r="T2374" s="182"/>
      <c r="U2374" s="177"/>
      <c r="V2374" s="177"/>
      <c r="W2374" s="177"/>
      <c r="X2374" s="176"/>
      <c r="Y2374" s="177"/>
      <c r="Z2374" s="415"/>
      <c r="AA2374" s="488"/>
      <c r="AB2374" s="594"/>
      <c r="AC2374" s="595"/>
      <c r="AD2374" s="596" t="str">
        <f>IF(AND(AC2374&lt;&gt;"",S2374&lt;&gt;""),NETWORKDAYS(AC2374,S2374,#REF!),"")</f>
        <v/>
      </c>
      <c r="AE2374" s="596" t="str">
        <f ca="1">IF(AND(AD2374="",AC2374=""),"",IF(OR(AD2374&lt;&gt;"",O2374="*CANCELADO"),"",NETWORKDAYS(AC2374,TODAY(),#REF!)))</f>
        <v/>
      </c>
      <c r="AF2374" s="619"/>
    </row>
    <row r="2375" spans="1:32" ht="14.25" customHeight="1">
      <c r="A2375" s="176"/>
      <c r="B2375" s="176"/>
      <c r="C2375" s="177"/>
      <c r="D2375" s="176"/>
      <c r="E2375" s="176"/>
      <c r="F2375" s="259"/>
      <c r="G2375" s="176"/>
      <c r="H2375" s="178"/>
      <c r="I2375" s="592">
        <f t="shared" si="90"/>
        <v>0</v>
      </c>
      <c r="J2375" s="178"/>
      <c r="K2375" s="178"/>
      <c r="L2375" s="275" t="str">
        <f>IF(H:H=0,"",IF(ISERROR(VLOOKUP(H:H,produtos_escape2!$A$2:$B$2794,2,FALSE)),"Código não cadastrado",(VLOOKUP(H:H,produtos_escape2!$A$2:$B$2794,2,FALSE))))</f>
        <v/>
      </c>
      <c r="M2375" s="593" t="str">
        <f>IF(H:H=0,"",IF(ISERROR(VLOOKUP(H:H,produtos_escape2!$A$2:$D$2794,2,FALSE)),"Código não cadastrado",(VLOOKUP(H:H,produtos_escape2!$A$2:$D$2794,4,FALSE))))</f>
        <v/>
      </c>
      <c r="N2375" s="486"/>
      <c r="O2375" s="176"/>
      <c r="P2375" s="486"/>
      <c r="Q2375" s="247"/>
      <c r="R2375" s="246">
        <f t="shared" si="89"/>
        <v>0</v>
      </c>
      <c r="S2375" s="177"/>
      <c r="T2375" s="182"/>
      <c r="U2375" s="177"/>
      <c r="V2375" s="177"/>
      <c r="W2375" s="177"/>
      <c r="X2375" s="176"/>
      <c r="Y2375" s="177"/>
      <c r="Z2375" s="415"/>
      <c r="AA2375" s="488"/>
      <c r="AB2375" s="594"/>
      <c r="AC2375" s="595"/>
      <c r="AD2375" s="596" t="str">
        <f>IF(AND(AC2375&lt;&gt;"",S2375&lt;&gt;""),NETWORKDAYS(AC2375,S2375,#REF!),"")</f>
        <v/>
      </c>
      <c r="AE2375" s="596" t="str">
        <f ca="1">IF(AND(AD2375="",AC2375=""),"",IF(OR(AD2375&lt;&gt;"",O2375="*CANCELADO"),"",NETWORKDAYS(AC2375,TODAY(),#REF!)))</f>
        <v/>
      </c>
      <c r="AF2375" s="619"/>
    </row>
    <row r="2376" spans="1:32" ht="14.25" customHeight="1">
      <c r="A2376" s="176"/>
      <c r="B2376" s="176"/>
      <c r="C2376" s="177"/>
      <c r="D2376" s="176"/>
      <c r="E2376" s="176"/>
      <c r="F2376" s="259"/>
      <c r="G2376" s="176"/>
      <c r="H2376" s="178"/>
      <c r="I2376" s="592">
        <f t="shared" si="90"/>
        <v>0</v>
      </c>
      <c r="J2376" s="178"/>
      <c r="K2376" s="178"/>
      <c r="L2376" s="275" t="str">
        <f>IF(H:H=0,"",IF(ISERROR(VLOOKUP(H:H,produtos_escape2!$A$2:$B$2794,2,FALSE)),"Código não cadastrado",(VLOOKUP(H:H,produtos_escape2!$A$2:$B$2794,2,FALSE))))</f>
        <v/>
      </c>
      <c r="M2376" s="593" t="str">
        <f>IF(H:H=0,"",IF(ISERROR(VLOOKUP(H:H,produtos_escape2!$A$2:$D$2794,2,FALSE)),"Código não cadastrado",(VLOOKUP(H:H,produtos_escape2!$A$2:$D$2794,4,FALSE))))</f>
        <v/>
      </c>
      <c r="N2376" s="486"/>
      <c r="O2376" s="176"/>
      <c r="P2376" s="486"/>
      <c r="Q2376" s="247"/>
      <c r="R2376" s="246">
        <f t="shared" si="89"/>
        <v>0</v>
      </c>
      <c r="S2376" s="177"/>
      <c r="T2376" s="182"/>
      <c r="U2376" s="177"/>
      <c r="V2376" s="177"/>
      <c r="W2376" s="177"/>
      <c r="X2376" s="176"/>
      <c r="Y2376" s="177"/>
      <c r="Z2376" s="415"/>
      <c r="AA2376" s="488"/>
      <c r="AB2376" s="594"/>
      <c r="AC2376" s="595"/>
      <c r="AD2376" s="596" t="str">
        <f>IF(AND(AC2376&lt;&gt;"",S2376&lt;&gt;""),NETWORKDAYS(AC2376,S2376,#REF!),"")</f>
        <v/>
      </c>
      <c r="AE2376" s="596" t="str">
        <f ca="1">IF(AND(AD2376="",AC2376=""),"",IF(OR(AD2376&lt;&gt;"",O2376="*CANCELADO"),"",NETWORKDAYS(AC2376,TODAY(),#REF!)))</f>
        <v/>
      </c>
      <c r="AF2376" s="619"/>
    </row>
    <row r="2377" spans="1:32" ht="14.25" customHeight="1">
      <c r="A2377" s="176"/>
      <c r="B2377" s="176"/>
      <c r="C2377" s="177"/>
      <c r="D2377" s="176"/>
      <c r="E2377" s="176"/>
      <c r="F2377" s="259"/>
      <c r="G2377" s="176"/>
      <c r="H2377" s="178"/>
      <c r="I2377" s="592">
        <f t="shared" si="90"/>
        <v>0</v>
      </c>
      <c r="J2377" s="178"/>
      <c r="K2377" s="178"/>
      <c r="L2377" s="275" t="str">
        <f>IF(H:H=0,"",IF(ISERROR(VLOOKUP(H:H,produtos_escape2!$A$2:$B$2794,2,FALSE)),"Código não cadastrado",(VLOOKUP(H:H,produtos_escape2!$A$2:$B$2794,2,FALSE))))</f>
        <v/>
      </c>
      <c r="M2377" s="593" t="str">
        <f>IF(H:H=0,"",IF(ISERROR(VLOOKUP(H:H,produtos_escape2!$A$2:$D$2794,2,FALSE)),"Código não cadastrado",(VLOOKUP(H:H,produtos_escape2!$A$2:$D$2794,4,FALSE))))</f>
        <v/>
      </c>
      <c r="N2377" s="486"/>
      <c r="O2377" s="176"/>
      <c r="P2377" s="486"/>
      <c r="Q2377" s="247"/>
      <c r="R2377" s="246">
        <f t="shared" si="89"/>
        <v>0</v>
      </c>
      <c r="S2377" s="177"/>
      <c r="T2377" s="182"/>
      <c r="U2377" s="177"/>
      <c r="V2377" s="177"/>
      <c r="W2377" s="177"/>
      <c r="X2377" s="176"/>
      <c r="Y2377" s="177"/>
      <c r="Z2377" s="415"/>
      <c r="AA2377" s="488"/>
      <c r="AB2377" s="594"/>
      <c r="AC2377" s="595"/>
      <c r="AD2377" s="596" t="str">
        <f>IF(AND(AC2377&lt;&gt;"",S2377&lt;&gt;""),NETWORKDAYS(AC2377,S2377,#REF!),"")</f>
        <v/>
      </c>
      <c r="AE2377" s="596" t="str">
        <f ca="1">IF(AND(AD2377="",AC2377=""),"",IF(OR(AD2377&lt;&gt;"",O2377="*CANCELADO"),"",NETWORKDAYS(AC2377,TODAY(),#REF!)))</f>
        <v/>
      </c>
      <c r="AF2377" s="619"/>
    </row>
    <row r="2378" spans="1:32" ht="14.25" customHeight="1">
      <c r="A2378" s="176"/>
      <c r="B2378" s="176"/>
      <c r="C2378" s="177"/>
      <c r="D2378" s="176"/>
      <c r="E2378" s="176"/>
      <c r="F2378" s="259"/>
      <c r="G2378" s="176"/>
      <c r="H2378" s="178"/>
      <c r="I2378" s="592">
        <f t="shared" si="90"/>
        <v>0</v>
      </c>
      <c r="J2378" s="178"/>
      <c r="K2378" s="178"/>
      <c r="L2378" s="275" t="str">
        <f>IF(H:H=0,"",IF(ISERROR(VLOOKUP(H:H,produtos_escape2!$A$2:$B$2794,2,FALSE)),"Código não cadastrado",(VLOOKUP(H:H,produtos_escape2!$A$2:$B$2794,2,FALSE))))</f>
        <v/>
      </c>
      <c r="M2378" s="593" t="str">
        <f>IF(H:H=0,"",IF(ISERROR(VLOOKUP(H:H,produtos_escape2!$A$2:$D$2794,2,FALSE)),"Código não cadastrado",(VLOOKUP(H:H,produtos_escape2!$A$2:$D$2794,4,FALSE))))</f>
        <v/>
      </c>
      <c r="N2378" s="486"/>
      <c r="O2378" s="176"/>
      <c r="P2378" s="486"/>
      <c r="Q2378" s="247"/>
      <c r="R2378" s="246">
        <f t="shared" si="89"/>
        <v>0</v>
      </c>
      <c r="S2378" s="177"/>
      <c r="T2378" s="182"/>
      <c r="U2378" s="177"/>
      <c r="V2378" s="177"/>
      <c r="W2378" s="177"/>
      <c r="X2378" s="176"/>
      <c r="Y2378" s="177"/>
      <c r="Z2378" s="415"/>
      <c r="AA2378" s="488"/>
      <c r="AB2378" s="594"/>
      <c r="AC2378" s="595"/>
      <c r="AD2378" s="596" t="str">
        <f>IF(AND(AC2378&lt;&gt;"",S2378&lt;&gt;""),NETWORKDAYS(AC2378,S2378,#REF!),"")</f>
        <v/>
      </c>
      <c r="AE2378" s="596" t="str">
        <f ca="1">IF(AND(AD2378="",AC2378=""),"",IF(OR(AD2378&lt;&gt;"",O2378="*CANCELADO"),"",NETWORKDAYS(AC2378,TODAY(),#REF!)))</f>
        <v/>
      </c>
      <c r="AF2378" s="619"/>
    </row>
    <row r="2379" spans="1:32" ht="14.25" customHeight="1">
      <c r="A2379" s="176"/>
      <c r="B2379" s="176"/>
      <c r="C2379" s="177"/>
      <c r="D2379" s="176"/>
      <c r="E2379" s="176"/>
      <c r="F2379" s="259"/>
      <c r="G2379" s="176"/>
      <c r="H2379" s="178"/>
      <c r="I2379" s="592">
        <f t="shared" si="90"/>
        <v>0</v>
      </c>
      <c r="J2379" s="178"/>
      <c r="K2379" s="178"/>
      <c r="L2379" s="275" t="str">
        <f>IF(H:H=0,"",IF(ISERROR(VLOOKUP(H:H,produtos_escape2!$A$2:$B$2794,2,FALSE)),"Código não cadastrado",(VLOOKUP(H:H,produtos_escape2!$A$2:$B$2794,2,FALSE))))</f>
        <v/>
      </c>
      <c r="M2379" s="593" t="str">
        <f>IF(H:H=0,"",IF(ISERROR(VLOOKUP(H:H,produtos_escape2!$A$2:$D$2794,2,FALSE)),"Código não cadastrado",(VLOOKUP(H:H,produtos_escape2!$A$2:$D$2794,4,FALSE))))</f>
        <v/>
      </c>
      <c r="N2379" s="486"/>
      <c r="O2379" s="176"/>
      <c r="P2379" s="486"/>
      <c r="Q2379" s="247"/>
      <c r="R2379" s="246">
        <f t="shared" si="89"/>
        <v>0</v>
      </c>
      <c r="S2379" s="177"/>
      <c r="T2379" s="182"/>
      <c r="U2379" s="177"/>
      <c r="V2379" s="177"/>
      <c r="W2379" s="177"/>
      <c r="X2379" s="176"/>
      <c r="Y2379" s="177"/>
      <c r="Z2379" s="415"/>
      <c r="AA2379" s="488"/>
      <c r="AB2379" s="594"/>
      <c r="AC2379" s="595"/>
      <c r="AD2379" s="596" t="str">
        <f>IF(AND(AC2379&lt;&gt;"",S2379&lt;&gt;""),NETWORKDAYS(AC2379,S2379,#REF!),"")</f>
        <v/>
      </c>
      <c r="AE2379" s="596" t="str">
        <f ca="1">IF(AND(AD2379="",AC2379=""),"",IF(OR(AD2379&lt;&gt;"",O2379="*CANCELADO"),"",NETWORKDAYS(AC2379,TODAY(),#REF!)))</f>
        <v/>
      </c>
      <c r="AF2379" s="619"/>
    </row>
    <row r="2380" spans="1:32" ht="14.25" customHeight="1">
      <c r="A2380" s="176"/>
      <c r="B2380" s="176"/>
      <c r="C2380" s="177"/>
      <c r="D2380" s="176"/>
      <c r="E2380" s="176"/>
      <c r="F2380" s="259"/>
      <c r="G2380" s="176"/>
      <c r="H2380" s="178"/>
      <c r="I2380" s="592">
        <f t="shared" si="90"/>
        <v>0</v>
      </c>
      <c r="J2380" s="178"/>
      <c r="K2380" s="178"/>
      <c r="L2380" s="275" t="str">
        <f>IF(H:H=0,"",IF(ISERROR(VLOOKUP(H:H,produtos_escape2!$A$2:$B$2794,2,FALSE)),"Código não cadastrado",(VLOOKUP(H:H,produtos_escape2!$A$2:$B$2794,2,FALSE))))</f>
        <v/>
      </c>
      <c r="M2380" s="593" t="str">
        <f>IF(H:H=0,"",IF(ISERROR(VLOOKUP(H:H,produtos_escape2!$A$2:$D$2794,2,FALSE)),"Código não cadastrado",(VLOOKUP(H:H,produtos_escape2!$A$2:$D$2794,4,FALSE))))</f>
        <v/>
      </c>
      <c r="N2380" s="486"/>
      <c r="O2380" s="176"/>
      <c r="P2380" s="486"/>
      <c r="Q2380" s="247"/>
      <c r="R2380" s="246">
        <f t="shared" si="89"/>
        <v>0</v>
      </c>
      <c r="S2380" s="177"/>
      <c r="T2380" s="182"/>
      <c r="U2380" s="177"/>
      <c r="V2380" s="177"/>
      <c r="W2380" s="177"/>
      <c r="X2380" s="176"/>
      <c r="Y2380" s="177"/>
      <c r="Z2380" s="415"/>
      <c r="AA2380" s="488"/>
      <c r="AB2380" s="594"/>
      <c r="AC2380" s="595"/>
      <c r="AD2380" s="596" t="str">
        <f>IF(AND(AC2380&lt;&gt;"",S2380&lt;&gt;""),NETWORKDAYS(AC2380,S2380,#REF!),"")</f>
        <v/>
      </c>
      <c r="AE2380" s="596" t="str">
        <f ca="1">IF(AND(AD2380="",AC2380=""),"",IF(OR(AD2380&lt;&gt;"",O2380="*CANCELADO"),"",NETWORKDAYS(AC2380,TODAY(),#REF!)))</f>
        <v/>
      </c>
      <c r="AF2380" s="619"/>
    </row>
    <row r="2381" spans="1:32" ht="14.25" customHeight="1">
      <c r="A2381" s="176"/>
      <c r="B2381" s="176"/>
      <c r="C2381" s="177"/>
      <c r="D2381" s="176"/>
      <c r="E2381" s="176"/>
      <c r="F2381" s="259"/>
      <c r="G2381" s="176"/>
      <c r="H2381" s="178"/>
      <c r="I2381" s="592">
        <f t="shared" si="90"/>
        <v>0</v>
      </c>
      <c r="J2381" s="178"/>
      <c r="K2381" s="178"/>
      <c r="L2381" s="275" t="str">
        <f>IF(H:H=0,"",IF(ISERROR(VLOOKUP(H:H,produtos_escape2!$A$2:$B$2794,2,FALSE)),"Código não cadastrado",(VLOOKUP(H:H,produtos_escape2!$A$2:$B$2794,2,FALSE))))</f>
        <v/>
      </c>
      <c r="M2381" s="593" t="str">
        <f>IF(H:H=0,"",IF(ISERROR(VLOOKUP(H:H,produtos_escape2!$A$2:$D$2794,2,FALSE)),"Código não cadastrado",(VLOOKUP(H:H,produtos_escape2!$A$2:$D$2794,4,FALSE))))</f>
        <v/>
      </c>
      <c r="N2381" s="486"/>
      <c r="O2381" s="176"/>
      <c r="P2381" s="486"/>
      <c r="Q2381" s="247"/>
      <c r="R2381" s="246">
        <f t="shared" si="89"/>
        <v>0</v>
      </c>
      <c r="S2381" s="177"/>
      <c r="T2381" s="182"/>
      <c r="U2381" s="177"/>
      <c r="V2381" s="177"/>
      <c r="W2381" s="177"/>
      <c r="X2381" s="176"/>
      <c r="Y2381" s="177"/>
      <c r="Z2381" s="415"/>
      <c r="AA2381" s="488"/>
      <c r="AB2381" s="594"/>
      <c r="AC2381" s="595"/>
      <c r="AD2381" s="596" t="str">
        <f>IF(AND(AC2381&lt;&gt;"",S2381&lt;&gt;""),NETWORKDAYS(AC2381,S2381,#REF!),"")</f>
        <v/>
      </c>
      <c r="AE2381" s="596" t="str">
        <f ca="1">IF(AND(AD2381="",AC2381=""),"",IF(OR(AD2381&lt;&gt;"",O2381="*CANCELADO"),"",NETWORKDAYS(AC2381,TODAY(),#REF!)))</f>
        <v/>
      </c>
      <c r="AF2381" s="619"/>
    </row>
    <row r="2382" spans="1:32" ht="14.25" customHeight="1">
      <c r="A2382" s="176"/>
      <c r="B2382" s="176"/>
      <c r="C2382" s="177"/>
      <c r="D2382" s="176"/>
      <c r="E2382" s="176"/>
      <c r="F2382" s="259"/>
      <c r="G2382" s="176"/>
      <c r="H2382" s="178"/>
      <c r="I2382" s="592">
        <f t="shared" si="90"/>
        <v>0</v>
      </c>
      <c r="J2382" s="178"/>
      <c r="K2382" s="178"/>
      <c r="L2382" s="275" t="str">
        <f>IF(H:H=0,"",IF(ISERROR(VLOOKUP(H:H,produtos_escape2!$A$2:$B$2794,2,FALSE)),"Código não cadastrado",(VLOOKUP(H:H,produtos_escape2!$A$2:$B$2794,2,FALSE))))</f>
        <v/>
      </c>
      <c r="M2382" s="593" t="str">
        <f>IF(H:H=0,"",IF(ISERROR(VLOOKUP(H:H,produtos_escape2!$A$2:$D$2794,2,FALSE)),"Código não cadastrado",(VLOOKUP(H:H,produtos_escape2!$A$2:$D$2794,4,FALSE))))</f>
        <v/>
      </c>
      <c r="N2382" s="486"/>
      <c r="O2382" s="176"/>
      <c r="P2382" s="486"/>
      <c r="Q2382" s="247"/>
      <c r="R2382" s="246">
        <f t="shared" si="89"/>
        <v>0</v>
      </c>
      <c r="S2382" s="177"/>
      <c r="T2382" s="182"/>
      <c r="U2382" s="177"/>
      <c r="V2382" s="177"/>
      <c r="W2382" s="177"/>
      <c r="X2382" s="176"/>
      <c r="Y2382" s="177"/>
      <c r="Z2382" s="415"/>
      <c r="AA2382" s="488"/>
      <c r="AB2382" s="594"/>
      <c r="AC2382" s="595"/>
      <c r="AD2382" s="596" t="str">
        <f>IF(AND(AC2382&lt;&gt;"",S2382&lt;&gt;""),NETWORKDAYS(AC2382,S2382,#REF!),"")</f>
        <v/>
      </c>
      <c r="AE2382" s="596" t="str">
        <f ca="1">IF(AND(AD2382="",AC2382=""),"",IF(OR(AD2382&lt;&gt;"",O2382="*CANCELADO"),"",NETWORKDAYS(AC2382,TODAY(),#REF!)))</f>
        <v/>
      </c>
      <c r="AF2382" s="619"/>
    </row>
    <row r="2383" spans="1:32" ht="14.25" customHeight="1">
      <c r="A2383" s="176"/>
      <c r="B2383" s="176"/>
      <c r="C2383" s="177"/>
      <c r="D2383" s="176"/>
      <c r="E2383" s="176"/>
      <c r="F2383" s="259"/>
      <c r="G2383" s="176"/>
      <c r="H2383" s="178"/>
      <c r="I2383" s="592">
        <f t="shared" si="90"/>
        <v>0</v>
      </c>
      <c r="J2383" s="178"/>
      <c r="K2383" s="178"/>
      <c r="L2383" s="275" t="str">
        <f>IF(H:H=0,"",IF(ISERROR(VLOOKUP(H:H,produtos_escape2!$A$2:$B$2794,2,FALSE)),"Código não cadastrado",(VLOOKUP(H:H,produtos_escape2!$A$2:$B$2794,2,FALSE))))</f>
        <v/>
      </c>
      <c r="M2383" s="593" t="str">
        <f>IF(H:H=0,"",IF(ISERROR(VLOOKUP(H:H,produtos_escape2!$A$2:$D$2794,2,FALSE)),"Código não cadastrado",(VLOOKUP(H:H,produtos_escape2!$A$2:$D$2794,4,FALSE))))</f>
        <v/>
      </c>
      <c r="N2383" s="486"/>
      <c r="O2383" s="176"/>
      <c r="P2383" s="486"/>
      <c r="Q2383" s="247"/>
      <c r="R2383" s="246">
        <f t="shared" si="89"/>
        <v>0</v>
      </c>
      <c r="S2383" s="177"/>
      <c r="T2383" s="182"/>
      <c r="U2383" s="177"/>
      <c r="V2383" s="177"/>
      <c r="W2383" s="177"/>
      <c r="X2383" s="176"/>
      <c r="Y2383" s="177"/>
      <c r="Z2383" s="415"/>
      <c r="AA2383" s="488"/>
      <c r="AB2383" s="594"/>
      <c r="AC2383" s="595"/>
      <c r="AD2383" s="596" t="str">
        <f>IF(AND(AC2383&lt;&gt;"",S2383&lt;&gt;""),NETWORKDAYS(AC2383,S2383,#REF!),"")</f>
        <v/>
      </c>
      <c r="AE2383" s="596" t="str">
        <f ca="1">IF(AND(AD2383="",AC2383=""),"",IF(OR(AD2383&lt;&gt;"",O2383="*CANCELADO"),"",NETWORKDAYS(AC2383,TODAY(),#REF!)))</f>
        <v/>
      </c>
      <c r="AF2383" s="619"/>
    </row>
    <row r="2384" spans="1:32" ht="14.25" customHeight="1">
      <c r="A2384" s="176"/>
      <c r="B2384" s="176"/>
      <c r="C2384" s="177"/>
      <c r="D2384" s="176"/>
      <c r="E2384" s="176"/>
      <c r="F2384" s="259"/>
      <c r="G2384" s="176"/>
      <c r="H2384" s="178"/>
      <c r="I2384" s="592">
        <f t="shared" si="90"/>
        <v>0</v>
      </c>
      <c r="J2384" s="178"/>
      <c r="K2384" s="178"/>
      <c r="L2384" s="275" t="str">
        <f>IF(H:H=0,"",IF(ISERROR(VLOOKUP(H:H,produtos_escape2!$A$2:$B$2794,2,FALSE)),"Código não cadastrado",(VLOOKUP(H:H,produtos_escape2!$A$2:$B$2794,2,FALSE))))</f>
        <v/>
      </c>
      <c r="M2384" s="593" t="str">
        <f>IF(H:H=0,"",IF(ISERROR(VLOOKUP(H:H,produtos_escape2!$A$2:$D$2794,2,FALSE)),"Código não cadastrado",(VLOOKUP(H:H,produtos_escape2!$A$2:$D$2794,4,FALSE))))</f>
        <v/>
      </c>
      <c r="N2384" s="486"/>
      <c r="O2384" s="176"/>
      <c r="P2384" s="486"/>
      <c r="Q2384" s="247"/>
      <c r="R2384" s="246">
        <f t="shared" si="89"/>
        <v>0</v>
      </c>
      <c r="S2384" s="177"/>
      <c r="T2384" s="182"/>
      <c r="U2384" s="177"/>
      <c r="V2384" s="177"/>
      <c r="W2384" s="177"/>
      <c r="X2384" s="176"/>
      <c r="Y2384" s="177"/>
      <c r="Z2384" s="415"/>
      <c r="AA2384" s="488"/>
      <c r="AB2384" s="594"/>
      <c r="AC2384" s="595"/>
      <c r="AD2384" s="596" t="str">
        <f>IF(AND(AC2384&lt;&gt;"",S2384&lt;&gt;""),NETWORKDAYS(AC2384,S2384,#REF!),"")</f>
        <v/>
      </c>
      <c r="AE2384" s="596" t="str">
        <f ca="1">IF(AND(AD2384="",AC2384=""),"",IF(OR(AD2384&lt;&gt;"",O2384="*CANCELADO"),"",NETWORKDAYS(AC2384,TODAY(),#REF!)))</f>
        <v/>
      </c>
      <c r="AF2384" s="619"/>
    </row>
    <row r="2385" spans="1:32" ht="14.25" customHeight="1">
      <c r="A2385" s="176"/>
      <c r="B2385" s="176"/>
      <c r="C2385" s="177"/>
      <c r="D2385" s="176"/>
      <c r="E2385" s="176"/>
      <c r="F2385" s="259"/>
      <c r="G2385" s="176"/>
      <c r="H2385" s="178"/>
      <c r="I2385" s="592">
        <f t="shared" si="90"/>
        <v>0</v>
      </c>
      <c r="J2385" s="178"/>
      <c r="K2385" s="178"/>
      <c r="L2385" s="275" t="str">
        <f>IF(H:H=0,"",IF(ISERROR(VLOOKUP(H:H,produtos_escape2!$A$2:$B$2794,2,FALSE)),"Código não cadastrado",(VLOOKUP(H:H,produtos_escape2!$A$2:$B$2794,2,FALSE))))</f>
        <v/>
      </c>
      <c r="M2385" s="593" t="str">
        <f>IF(H:H=0,"",IF(ISERROR(VLOOKUP(H:H,produtos_escape2!$A$2:$D$2794,2,FALSE)),"Código não cadastrado",(VLOOKUP(H:H,produtos_escape2!$A$2:$D$2794,4,FALSE))))</f>
        <v/>
      </c>
      <c r="N2385" s="486"/>
      <c r="O2385" s="176"/>
      <c r="P2385" s="486"/>
      <c r="Q2385" s="247"/>
      <c r="R2385" s="246">
        <f t="shared" si="89"/>
        <v>0</v>
      </c>
      <c r="S2385" s="177"/>
      <c r="T2385" s="182"/>
      <c r="U2385" s="177"/>
      <c r="V2385" s="177"/>
      <c r="W2385" s="177"/>
      <c r="X2385" s="176"/>
      <c r="Y2385" s="177"/>
      <c r="Z2385" s="415"/>
      <c r="AA2385" s="488"/>
      <c r="AB2385" s="594"/>
      <c r="AC2385" s="595"/>
      <c r="AD2385" s="596" t="str">
        <f>IF(AND(AC2385&lt;&gt;"",S2385&lt;&gt;""),NETWORKDAYS(AC2385,S2385,#REF!),"")</f>
        <v/>
      </c>
      <c r="AE2385" s="596" t="str">
        <f ca="1">IF(AND(AD2385="",AC2385=""),"",IF(OR(AD2385&lt;&gt;"",O2385="*CANCELADO"),"",NETWORKDAYS(AC2385,TODAY(),#REF!)))</f>
        <v/>
      </c>
      <c r="AF2385" s="619"/>
    </row>
    <row r="2386" spans="1:32" ht="14.25" customHeight="1">
      <c r="A2386" s="176"/>
      <c r="B2386" s="176"/>
      <c r="C2386" s="177"/>
      <c r="D2386" s="176"/>
      <c r="E2386" s="176"/>
      <c r="F2386" s="259"/>
      <c r="G2386" s="176"/>
      <c r="H2386" s="178"/>
      <c r="I2386" s="592">
        <f t="shared" si="90"/>
        <v>0</v>
      </c>
      <c r="J2386" s="178"/>
      <c r="K2386" s="178"/>
      <c r="L2386" s="275" t="str">
        <f>IF(H:H=0,"",IF(ISERROR(VLOOKUP(H:H,produtos_escape2!$A$2:$B$2794,2,FALSE)),"Código não cadastrado",(VLOOKUP(H:H,produtos_escape2!$A$2:$B$2794,2,FALSE))))</f>
        <v/>
      </c>
      <c r="M2386" s="593" t="str">
        <f>IF(H:H=0,"",IF(ISERROR(VLOOKUP(H:H,produtos_escape2!$A$2:$D$2794,2,FALSE)),"Código não cadastrado",(VLOOKUP(H:H,produtos_escape2!$A$2:$D$2794,4,FALSE))))</f>
        <v/>
      </c>
      <c r="N2386" s="486"/>
      <c r="O2386" s="176"/>
      <c r="P2386" s="486"/>
      <c r="Q2386" s="247"/>
      <c r="R2386" s="246">
        <f t="shared" si="89"/>
        <v>0</v>
      </c>
      <c r="S2386" s="177"/>
      <c r="T2386" s="182"/>
      <c r="U2386" s="177"/>
      <c r="V2386" s="177"/>
      <c r="W2386" s="177"/>
      <c r="X2386" s="176"/>
      <c r="Y2386" s="177"/>
      <c r="Z2386" s="415"/>
      <c r="AA2386" s="488"/>
      <c r="AB2386" s="594"/>
      <c r="AC2386" s="595"/>
      <c r="AD2386" s="596" t="str">
        <f>IF(AND(AC2386&lt;&gt;"",S2386&lt;&gt;""),NETWORKDAYS(AC2386,S2386,#REF!),"")</f>
        <v/>
      </c>
      <c r="AE2386" s="596" t="str">
        <f ca="1">IF(AND(AD2386="",AC2386=""),"",IF(OR(AD2386&lt;&gt;"",O2386="*CANCELADO"),"",NETWORKDAYS(AC2386,TODAY(),#REF!)))</f>
        <v/>
      </c>
      <c r="AF2386" s="619"/>
    </row>
    <row r="2387" spans="1:32" ht="14.25" customHeight="1">
      <c r="A2387" s="176"/>
      <c r="B2387" s="176"/>
      <c r="C2387" s="177"/>
      <c r="D2387" s="176"/>
      <c r="E2387" s="176"/>
      <c r="F2387" s="259"/>
      <c r="G2387" s="176"/>
      <c r="H2387" s="178"/>
      <c r="I2387" s="592">
        <f t="shared" si="90"/>
        <v>0</v>
      </c>
      <c r="J2387" s="178"/>
      <c r="K2387" s="178"/>
      <c r="L2387" s="275" t="str">
        <f>IF(H:H=0,"",IF(ISERROR(VLOOKUP(H:H,produtos_escape2!$A$2:$B$2794,2,FALSE)),"Código não cadastrado",(VLOOKUP(H:H,produtos_escape2!$A$2:$B$2794,2,FALSE))))</f>
        <v/>
      </c>
      <c r="M2387" s="593" t="str">
        <f>IF(H:H=0,"",IF(ISERROR(VLOOKUP(H:H,produtos_escape2!$A$2:$D$2794,2,FALSE)),"Código não cadastrado",(VLOOKUP(H:H,produtos_escape2!$A$2:$D$2794,4,FALSE))))</f>
        <v/>
      </c>
      <c r="N2387" s="486"/>
      <c r="O2387" s="176"/>
      <c r="P2387" s="486"/>
      <c r="Q2387" s="247"/>
      <c r="R2387" s="246">
        <f t="shared" si="89"/>
        <v>0</v>
      </c>
      <c r="S2387" s="177"/>
      <c r="T2387" s="182"/>
      <c r="U2387" s="177"/>
      <c r="V2387" s="177"/>
      <c r="W2387" s="177"/>
      <c r="X2387" s="176"/>
      <c r="Y2387" s="177"/>
      <c r="Z2387" s="415"/>
      <c r="AA2387" s="488"/>
      <c r="AB2387" s="594"/>
      <c r="AC2387" s="595"/>
      <c r="AD2387" s="596" t="str">
        <f>IF(AND(AC2387&lt;&gt;"",S2387&lt;&gt;""),NETWORKDAYS(AC2387,S2387,#REF!),"")</f>
        <v/>
      </c>
      <c r="AE2387" s="596" t="str">
        <f ca="1">IF(AND(AD2387="",AC2387=""),"",IF(OR(AD2387&lt;&gt;"",O2387="*CANCELADO"),"",NETWORKDAYS(AC2387,TODAY(),#REF!)))</f>
        <v/>
      </c>
      <c r="AF2387" s="619"/>
    </row>
    <row r="2388" spans="1:32" ht="14.25" customHeight="1">
      <c r="A2388" s="176"/>
      <c r="B2388" s="176"/>
      <c r="C2388" s="177"/>
      <c r="D2388" s="176"/>
      <c r="E2388" s="176"/>
      <c r="F2388" s="259"/>
      <c r="G2388" s="176"/>
      <c r="H2388" s="178"/>
      <c r="I2388" s="592">
        <f t="shared" si="90"/>
        <v>0</v>
      </c>
      <c r="J2388" s="178"/>
      <c r="K2388" s="178"/>
      <c r="L2388" s="275" t="str">
        <f>IF(H:H=0,"",IF(ISERROR(VLOOKUP(H:H,produtos_escape2!$A$2:$B$2794,2,FALSE)),"Código não cadastrado",(VLOOKUP(H:H,produtos_escape2!$A$2:$B$2794,2,FALSE))))</f>
        <v/>
      </c>
      <c r="M2388" s="593" t="str">
        <f>IF(H:H=0,"",IF(ISERROR(VLOOKUP(H:H,produtos_escape2!$A$2:$D$2794,2,FALSE)),"Código não cadastrado",(VLOOKUP(H:H,produtos_escape2!$A$2:$D$2794,4,FALSE))))</f>
        <v/>
      </c>
      <c r="N2388" s="486"/>
      <c r="O2388" s="176"/>
      <c r="P2388" s="486"/>
      <c r="Q2388" s="247"/>
      <c r="R2388" s="246">
        <f t="shared" si="89"/>
        <v>0</v>
      </c>
      <c r="S2388" s="177"/>
      <c r="T2388" s="182"/>
      <c r="U2388" s="177"/>
      <c r="V2388" s="177"/>
      <c r="W2388" s="177"/>
      <c r="X2388" s="176"/>
      <c r="Y2388" s="177"/>
      <c r="Z2388" s="415"/>
      <c r="AA2388" s="488"/>
      <c r="AB2388" s="594"/>
      <c r="AC2388" s="595"/>
      <c r="AD2388" s="596" t="str">
        <f>IF(AND(AC2388&lt;&gt;"",S2388&lt;&gt;""),NETWORKDAYS(AC2388,S2388,#REF!),"")</f>
        <v/>
      </c>
      <c r="AE2388" s="596" t="str">
        <f ca="1">IF(AND(AD2388="",AC2388=""),"",IF(OR(AD2388&lt;&gt;"",O2388="*CANCELADO"),"",NETWORKDAYS(AC2388,TODAY(),#REF!)))</f>
        <v/>
      </c>
      <c r="AF2388" s="619"/>
    </row>
    <row r="2389" spans="1:32" ht="14.25" customHeight="1">
      <c r="A2389" s="176"/>
      <c r="B2389" s="176"/>
      <c r="C2389" s="177"/>
      <c r="D2389" s="176"/>
      <c r="E2389" s="176"/>
      <c r="F2389" s="259"/>
      <c r="G2389" s="176"/>
      <c r="H2389" s="178"/>
      <c r="I2389" s="592">
        <f t="shared" si="90"/>
        <v>0</v>
      </c>
      <c r="J2389" s="178"/>
      <c r="K2389" s="178"/>
      <c r="L2389" s="275" t="str">
        <f>IF(H:H=0,"",IF(ISERROR(VLOOKUP(H:H,produtos_escape2!$A$2:$B$2794,2,FALSE)),"Código não cadastrado",(VLOOKUP(H:H,produtos_escape2!$A$2:$B$2794,2,FALSE))))</f>
        <v/>
      </c>
      <c r="M2389" s="593" t="str">
        <f>IF(H:H=0,"",IF(ISERROR(VLOOKUP(H:H,produtos_escape2!$A$2:$D$2794,2,FALSE)),"Código não cadastrado",(VLOOKUP(H:H,produtos_escape2!$A$2:$D$2794,4,FALSE))))</f>
        <v/>
      </c>
      <c r="N2389" s="486"/>
      <c r="O2389" s="176"/>
      <c r="P2389" s="486"/>
      <c r="Q2389" s="247"/>
      <c r="R2389" s="246">
        <f t="shared" si="89"/>
        <v>0</v>
      </c>
      <c r="S2389" s="177"/>
      <c r="T2389" s="182"/>
      <c r="U2389" s="177"/>
      <c r="V2389" s="177"/>
      <c r="W2389" s="177"/>
      <c r="X2389" s="176"/>
      <c r="Y2389" s="177"/>
      <c r="Z2389" s="415"/>
      <c r="AA2389" s="488"/>
      <c r="AB2389" s="594"/>
      <c r="AC2389" s="595"/>
      <c r="AD2389" s="596" t="str">
        <f>IF(AND(AC2389&lt;&gt;"",S2389&lt;&gt;""),NETWORKDAYS(AC2389,S2389,#REF!),"")</f>
        <v/>
      </c>
      <c r="AE2389" s="596" t="str">
        <f ca="1">IF(AND(AD2389="",AC2389=""),"",IF(OR(AD2389&lt;&gt;"",O2389="*CANCELADO"),"",NETWORKDAYS(AC2389,TODAY(),#REF!)))</f>
        <v/>
      </c>
      <c r="AF2389" s="619"/>
    </row>
    <row r="2390" spans="1:32" ht="14.25" customHeight="1">
      <c r="A2390" s="176"/>
      <c r="B2390" s="176"/>
      <c r="C2390" s="177"/>
      <c r="D2390" s="176"/>
      <c r="E2390" s="176"/>
      <c r="F2390" s="259"/>
      <c r="G2390" s="176"/>
      <c r="H2390" s="178"/>
      <c r="I2390" s="592">
        <f t="shared" si="90"/>
        <v>0</v>
      </c>
      <c r="J2390" s="178"/>
      <c r="K2390" s="178"/>
      <c r="L2390" s="275" t="str">
        <f>IF(H:H=0,"",IF(ISERROR(VLOOKUP(H:H,produtos_escape2!$A$2:$B$2794,2,FALSE)),"Código não cadastrado",(VLOOKUP(H:H,produtos_escape2!$A$2:$B$2794,2,FALSE))))</f>
        <v/>
      </c>
      <c r="M2390" s="593" t="str">
        <f>IF(H:H=0,"",IF(ISERROR(VLOOKUP(H:H,produtos_escape2!$A$2:$D$2794,2,FALSE)),"Código não cadastrado",(VLOOKUP(H:H,produtos_escape2!$A$2:$D$2794,4,FALSE))))</f>
        <v/>
      </c>
      <c r="N2390" s="486"/>
      <c r="O2390" s="176"/>
      <c r="P2390" s="486"/>
      <c r="Q2390" s="247"/>
      <c r="R2390" s="246">
        <f t="shared" si="89"/>
        <v>0</v>
      </c>
      <c r="S2390" s="177"/>
      <c r="T2390" s="182"/>
      <c r="U2390" s="177"/>
      <c r="V2390" s="177"/>
      <c r="W2390" s="177"/>
      <c r="X2390" s="176"/>
      <c r="Y2390" s="177"/>
      <c r="Z2390" s="415"/>
      <c r="AA2390" s="488"/>
      <c r="AB2390" s="594"/>
      <c r="AC2390" s="595"/>
      <c r="AD2390" s="596" t="str">
        <f>IF(AND(AC2390&lt;&gt;"",S2390&lt;&gt;""),NETWORKDAYS(AC2390,S2390,#REF!),"")</f>
        <v/>
      </c>
      <c r="AE2390" s="596" t="str">
        <f ca="1">IF(AND(AD2390="",AC2390=""),"",IF(OR(AD2390&lt;&gt;"",O2390="*CANCELADO"),"",NETWORKDAYS(AC2390,TODAY(),#REF!)))</f>
        <v/>
      </c>
      <c r="AF2390" s="619"/>
    </row>
    <row r="2391" spans="1:32" ht="14.25" customHeight="1">
      <c r="A2391" s="176"/>
      <c r="B2391" s="176"/>
      <c r="C2391" s="177"/>
      <c r="D2391" s="176"/>
      <c r="E2391" s="176"/>
      <c r="F2391" s="259"/>
      <c r="G2391" s="176"/>
      <c r="H2391" s="178"/>
      <c r="I2391" s="592">
        <f t="shared" si="90"/>
        <v>0</v>
      </c>
      <c r="J2391" s="178"/>
      <c r="K2391" s="178"/>
      <c r="L2391" s="275" t="str">
        <f>IF(H:H=0,"",IF(ISERROR(VLOOKUP(H:H,produtos_escape2!$A$2:$B$2794,2,FALSE)),"Código não cadastrado",(VLOOKUP(H:H,produtos_escape2!$A$2:$B$2794,2,FALSE))))</f>
        <v/>
      </c>
      <c r="M2391" s="593" t="str">
        <f>IF(H:H=0,"",IF(ISERROR(VLOOKUP(H:H,produtos_escape2!$A$2:$D$2794,2,FALSE)),"Código não cadastrado",(VLOOKUP(H:H,produtos_escape2!$A$2:$D$2794,4,FALSE))))</f>
        <v/>
      </c>
      <c r="N2391" s="486"/>
      <c r="O2391" s="176"/>
      <c r="P2391" s="486"/>
      <c r="Q2391" s="247"/>
      <c r="R2391" s="246">
        <f t="shared" si="89"/>
        <v>0</v>
      </c>
      <c r="S2391" s="177"/>
      <c r="T2391" s="182"/>
      <c r="U2391" s="177"/>
      <c r="V2391" s="177"/>
      <c r="W2391" s="177"/>
      <c r="X2391" s="176"/>
      <c r="Y2391" s="177"/>
      <c r="Z2391" s="415"/>
      <c r="AA2391" s="488"/>
      <c r="AB2391" s="594"/>
      <c r="AC2391" s="595"/>
      <c r="AD2391" s="596" t="str">
        <f>IF(AND(AC2391&lt;&gt;"",S2391&lt;&gt;""),NETWORKDAYS(AC2391,S2391,#REF!),"")</f>
        <v/>
      </c>
      <c r="AE2391" s="596" t="str">
        <f ca="1">IF(AND(AD2391="",AC2391=""),"",IF(OR(AD2391&lt;&gt;"",O2391="*CANCELADO"),"",NETWORKDAYS(AC2391,TODAY(),#REF!)))</f>
        <v/>
      </c>
      <c r="AF2391" s="619"/>
    </row>
    <row r="2392" spans="1:32" ht="14.25" customHeight="1">
      <c r="A2392" s="176"/>
      <c r="B2392" s="176"/>
      <c r="C2392" s="177"/>
      <c r="D2392" s="176"/>
      <c r="E2392" s="176"/>
      <c r="F2392" s="259"/>
      <c r="G2392" s="176"/>
      <c r="H2392" s="178"/>
      <c r="I2392" s="592">
        <f t="shared" si="90"/>
        <v>0</v>
      </c>
      <c r="J2392" s="178"/>
      <c r="K2392" s="178"/>
      <c r="L2392" s="275" t="str">
        <f>IF(H:H=0,"",IF(ISERROR(VLOOKUP(H:H,produtos_escape2!$A$2:$B$2794,2,FALSE)),"Código não cadastrado",(VLOOKUP(H:H,produtos_escape2!$A$2:$B$2794,2,FALSE))))</f>
        <v/>
      </c>
      <c r="M2392" s="593" t="str">
        <f>IF(H:H=0,"",IF(ISERROR(VLOOKUP(H:H,produtos_escape2!$A$2:$D$2794,2,FALSE)),"Código não cadastrado",(VLOOKUP(H:H,produtos_escape2!$A$2:$D$2794,4,FALSE))))</f>
        <v/>
      </c>
      <c r="N2392" s="486"/>
      <c r="O2392" s="176"/>
      <c r="P2392" s="486"/>
      <c r="Q2392" s="247"/>
      <c r="R2392" s="246">
        <f t="shared" si="89"/>
        <v>0</v>
      </c>
      <c r="S2392" s="177"/>
      <c r="T2392" s="182"/>
      <c r="U2392" s="177"/>
      <c r="V2392" s="177"/>
      <c r="W2392" s="177"/>
      <c r="X2392" s="176"/>
      <c r="Y2392" s="177"/>
      <c r="Z2392" s="415"/>
      <c r="AA2392" s="488"/>
      <c r="AB2392" s="594"/>
      <c r="AC2392" s="595"/>
      <c r="AD2392" s="596" t="str">
        <f>IF(AND(AC2392&lt;&gt;"",S2392&lt;&gt;""),NETWORKDAYS(AC2392,S2392,#REF!),"")</f>
        <v/>
      </c>
      <c r="AE2392" s="596" t="str">
        <f ca="1">IF(AND(AD2392="",AC2392=""),"",IF(OR(AD2392&lt;&gt;"",O2392="*CANCELADO"),"",NETWORKDAYS(AC2392,TODAY(),#REF!)))</f>
        <v/>
      </c>
      <c r="AF2392" s="619"/>
    </row>
    <row r="2393" spans="1:32" ht="14.25" customHeight="1">
      <c r="A2393" s="176"/>
      <c r="B2393" s="176"/>
      <c r="C2393" s="177"/>
      <c r="D2393" s="176"/>
      <c r="E2393" s="176"/>
      <c r="F2393" s="259"/>
      <c r="G2393" s="176"/>
      <c r="H2393" s="178"/>
      <c r="I2393" s="592">
        <f t="shared" si="90"/>
        <v>0</v>
      </c>
      <c r="J2393" s="178"/>
      <c r="K2393" s="178"/>
      <c r="L2393" s="275" t="str">
        <f>IF(H:H=0,"",IF(ISERROR(VLOOKUP(H:H,produtos_escape2!$A$2:$B$2794,2,FALSE)),"Código não cadastrado",(VLOOKUP(H:H,produtos_escape2!$A$2:$B$2794,2,FALSE))))</f>
        <v/>
      </c>
      <c r="M2393" s="593" t="str">
        <f>IF(H:H=0,"",IF(ISERROR(VLOOKUP(H:H,produtos_escape2!$A$2:$D$2794,2,FALSE)),"Código não cadastrado",(VLOOKUP(H:H,produtos_escape2!$A$2:$D$2794,4,FALSE))))</f>
        <v/>
      </c>
      <c r="N2393" s="486"/>
      <c r="O2393" s="176"/>
      <c r="P2393" s="486"/>
      <c r="Q2393" s="247"/>
      <c r="R2393" s="246">
        <f t="shared" si="89"/>
        <v>0</v>
      </c>
      <c r="S2393" s="177"/>
      <c r="T2393" s="182"/>
      <c r="U2393" s="177"/>
      <c r="V2393" s="177"/>
      <c r="W2393" s="177"/>
      <c r="X2393" s="176"/>
      <c r="Y2393" s="177"/>
      <c r="Z2393" s="415"/>
      <c r="AA2393" s="488"/>
      <c r="AB2393" s="594"/>
      <c r="AC2393" s="595"/>
      <c r="AD2393" s="596" t="str">
        <f>IF(AND(AC2393&lt;&gt;"",S2393&lt;&gt;""),NETWORKDAYS(AC2393,S2393,#REF!),"")</f>
        <v/>
      </c>
      <c r="AE2393" s="596" t="str">
        <f ca="1">IF(AND(AD2393="",AC2393=""),"",IF(OR(AD2393&lt;&gt;"",O2393="*CANCELADO"),"",NETWORKDAYS(AC2393,TODAY(),#REF!)))</f>
        <v/>
      </c>
      <c r="AF2393" s="619"/>
    </row>
    <row r="2394" spans="1:32" ht="14.25" customHeight="1">
      <c r="A2394" s="176"/>
      <c r="B2394" s="176"/>
      <c r="C2394" s="177"/>
      <c r="D2394" s="176"/>
      <c r="E2394" s="176"/>
      <c r="F2394" s="259"/>
      <c r="G2394" s="176"/>
      <c r="H2394" s="178"/>
      <c r="I2394" s="592">
        <f t="shared" si="90"/>
        <v>0</v>
      </c>
      <c r="J2394" s="178"/>
      <c r="K2394" s="178"/>
      <c r="L2394" s="275" t="str">
        <f>IF(H:H=0,"",IF(ISERROR(VLOOKUP(H:H,produtos_escape2!$A$2:$B$2794,2,FALSE)),"Código não cadastrado",(VLOOKUP(H:H,produtos_escape2!$A$2:$B$2794,2,FALSE))))</f>
        <v/>
      </c>
      <c r="M2394" s="593" t="str">
        <f>IF(H:H=0,"",IF(ISERROR(VLOOKUP(H:H,produtos_escape2!$A$2:$D$2794,2,FALSE)),"Código não cadastrado",(VLOOKUP(H:H,produtos_escape2!$A$2:$D$2794,4,FALSE))))</f>
        <v/>
      </c>
      <c r="N2394" s="486"/>
      <c r="O2394" s="176"/>
      <c r="P2394" s="486"/>
      <c r="Q2394" s="247"/>
      <c r="R2394" s="246">
        <f t="shared" si="89"/>
        <v>0</v>
      </c>
      <c r="S2394" s="177"/>
      <c r="T2394" s="182"/>
      <c r="U2394" s="177"/>
      <c r="V2394" s="177"/>
      <c r="W2394" s="177"/>
      <c r="X2394" s="176"/>
      <c r="Y2394" s="177"/>
      <c r="Z2394" s="415"/>
      <c r="AA2394" s="488"/>
      <c r="AB2394" s="594"/>
      <c r="AC2394" s="595"/>
      <c r="AD2394" s="596" t="str">
        <f>IF(AND(AC2394&lt;&gt;"",S2394&lt;&gt;""),NETWORKDAYS(AC2394,S2394,#REF!),"")</f>
        <v/>
      </c>
      <c r="AE2394" s="596" t="str">
        <f ca="1">IF(AND(AD2394="",AC2394=""),"",IF(OR(AD2394&lt;&gt;"",O2394="*CANCELADO"),"",NETWORKDAYS(AC2394,TODAY(),#REF!)))</f>
        <v/>
      </c>
      <c r="AF2394" s="619"/>
    </row>
    <row r="2395" spans="1:32" ht="14.25" customHeight="1">
      <c r="A2395" s="176"/>
      <c r="B2395" s="176"/>
      <c r="C2395" s="177"/>
      <c r="D2395" s="176"/>
      <c r="E2395" s="176"/>
      <c r="F2395" s="259"/>
      <c r="G2395" s="176"/>
      <c r="H2395" s="178"/>
      <c r="I2395" s="592">
        <f t="shared" si="90"/>
        <v>0</v>
      </c>
      <c r="J2395" s="178"/>
      <c r="K2395" s="178"/>
      <c r="L2395" s="275" t="str">
        <f>IF(H:H=0,"",IF(ISERROR(VLOOKUP(H:H,produtos_escape2!$A$2:$B$2794,2,FALSE)),"Código não cadastrado",(VLOOKUP(H:H,produtos_escape2!$A$2:$B$2794,2,FALSE))))</f>
        <v/>
      </c>
      <c r="M2395" s="593" t="str">
        <f>IF(H:H=0,"",IF(ISERROR(VLOOKUP(H:H,produtos_escape2!$A$2:$D$2794,2,FALSE)),"Código não cadastrado",(VLOOKUP(H:H,produtos_escape2!$A$2:$D$2794,4,FALSE))))</f>
        <v/>
      </c>
      <c r="N2395" s="486"/>
      <c r="O2395" s="176"/>
      <c r="P2395" s="486"/>
      <c r="Q2395" s="247"/>
      <c r="R2395" s="246">
        <f t="shared" si="89"/>
        <v>0</v>
      </c>
      <c r="S2395" s="177"/>
      <c r="T2395" s="182"/>
      <c r="U2395" s="177"/>
      <c r="V2395" s="177"/>
      <c r="W2395" s="177"/>
      <c r="X2395" s="176"/>
      <c r="Y2395" s="177"/>
      <c r="Z2395" s="415"/>
      <c r="AA2395" s="488"/>
      <c r="AB2395" s="594"/>
      <c r="AC2395" s="595"/>
      <c r="AD2395" s="596" t="str">
        <f>IF(AND(AC2395&lt;&gt;"",S2395&lt;&gt;""),NETWORKDAYS(AC2395,S2395,#REF!),"")</f>
        <v/>
      </c>
      <c r="AE2395" s="596" t="str">
        <f ca="1">IF(AND(AD2395="",AC2395=""),"",IF(OR(AD2395&lt;&gt;"",O2395="*CANCELADO"),"",NETWORKDAYS(AC2395,TODAY(),#REF!)))</f>
        <v/>
      </c>
      <c r="AF2395" s="619"/>
    </row>
    <row r="2396" spans="1:32" ht="14.25" customHeight="1">
      <c r="A2396" s="176"/>
      <c r="B2396" s="176"/>
      <c r="C2396" s="177"/>
      <c r="D2396" s="176"/>
      <c r="E2396" s="176"/>
      <c r="F2396" s="259"/>
      <c r="G2396" s="176"/>
      <c r="H2396" s="178"/>
      <c r="I2396" s="592">
        <f t="shared" si="90"/>
        <v>0</v>
      </c>
      <c r="J2396" s="178"/>
      <c r="K2396" s="178"/>
      <c r="L2396" s="275" t="str">
        <f>IF(H:H=0,"",IF(ISERROR(VLOOKUP(H:H,produtos_escape2!$A$2:$B$2794,2,FALSE)),"Código não cadastrado",(VLOOKUP(H:H,produtos_escape2!$A$2:$B$2794,2,FALSE))))</f>
        <v/>
      </c>
      <c r="M2396" s="593" t="str">
        <f>IF(H:H=0,"",IF(ISERROR(VLOOKUP(H:H,produtos_escape2!$A$2:$D$2794,2,FALSE)),"Código não cadastrado",(VLOOKUP(H:H,produtos_escape2!$A$2:$D$2794,4,FALSE))))</f>
        <v/>
      </c>
      <c r="N2396" s="486"/>
      <c r="O2396" s="176"/>
      <c r="P2396" s="486"/>
      <c r="Q2396" s="247"/>
      <c r="R2396" s="246">
        <f t="shared" si="89"/>
        <v>0</v>
      </c>
      <c r="S2396" s="177"/>
      <c r="T2396" s="182"/>
      <c r="U2396" s="177"/>
      <c r="V2396" s="177"/>
      <c r="W2396" s="177"/>
      <c r="X2396" s="176"/>
      <c r="Y2396" s="177"/>
      <c r="Z2396" s="415"/>
      <c r="AA2396" s="488"/>
      <c r="AB2396" s="594"/>
      <c r="AC2396" s="595"/>
      <c r="AD2396" s="596" t="str">
        <f>IF(AND(AC2396&lt;&gt;"",S2396&lt;&gt;""),NETWORKDAYS(AC2396,S2396,#REF!),"")</f>
        <v/>
      </c>
      <c r="AE2396" s="596" t="str">
        <f ca="1">IF(AND(AD2396="",AC2396=""),"",IF(OR(AD2396&lt;&gt;"",O2396="*CANCELADO"),"",NETWORKDAYS(AC2396,TODAY(),#REF!)))</f>
        <v/>
      </c>
      <c r="AF2396" s="619"/>
    </row>
    <row r="2397" spans="1:32" ht="14.25" customHeight="1">
      <c r="A2397" s="176"/>
      <c r="B2397" s="176"/>
      <c r="C2397" s="177"/>
      <c r="D2397" s="176"/>
      <c r="E2397" s="176"/>
      <c r="F2397" s="259"/>
      <c r="G2397" s="176"/>
      <c r="H2397" s="178"/>
      <c r="I2397" s="592">
        <f t="shared" si="90"/>
        <v>0</v>
      </c>
      <c r="J2397" s="178"/>
      <c r="K2397" s="178"/>
      <c r="L2397" s="275" t="str">
        <f>IF(H:H=0,"",IF(ISERROR(VLOOKUP(H:H,produtos_escape2!$A$2:$B$2794,2,FALSE)),"Código não cadastrado",(VLOOKUP(H:H,produtos_escape2!$A$2:$B$2794,2,FALSE))))</f>
        <v/>
      </c>
      <c r="M2397" s="593" t="str">
        <f>IF(H:H=0,"",IF(ISERROR(VLOOKUP(H:H,produtos_escape2!$A$2:$D$2794,2,FALSE)),"Código não cadastrado",(VLOOKUP(H:H,produtos_escape2!$A$2:$D$2794,4,FALSE))))</f>
        <v/>
      </c>
      <c r="N2397" s="486"/>
      <c r="O2397" s="176"/>
      <c r="P2397" s="486"/>
      <c r="Q2397" s="247"/>
      <c r="R2397" s="246">
        <f t="shared" si="89"/>
        <v>0</v>
      </c>
      <c r="S2397" s="177"/>
      <c r="T2397" s="182"/>
      <c r="U2397" s="177"/>
      <c r="V2397" s="177"/>
      <c r="W2397" s="177"/>
      <c r="X2397" s="176"/>
      <c r="Y2397" s="177"/>
      <c r="Z2397" s="415"/>
      <c r="AA2397" s="488"/>
      <c r="AB2397" s="594"/>
      <c r="AC2397" s="595"/>
      <c r="AD2397" s="596" t="str">
        <f>IF(AND(AC2397&lt;&gt;"",S2397&lt;&gt;""),NETWORKDAYS(AC2397,S2397,#REF!),"")</f>
        <v/>
      </c>
      <c r="AE2397" s="596" t="str">
        <f ca="1">IF(AND(AD2397="",AC2397=""),"",IF(OR(AD2397&lt;&gt;"",O2397="*CANCELADO"),"",NETWORKDAYS(AC2397,TODAY(),#REF!)))</f>
        <v/>
      </c>
      <c r="AF2397" s="619"/>
    </row>
    <row r="2398" spans="1:32" ht="14.25" customHeight="1">
      <c r="A2398" s="176"/>
      <c r="B2398" s="176"/>
      <c r="C2398" s="177"/>
      <c r="D2398" s="176"/>
      <c r="E2398" s="176"/>
      <c r="F2398" s="259"/>
      <c r="G2398" s="176"/>
      <c r="H2398" s="178"/>
      <c r="I2398" s="592">
        <f t="shared" si="90"/>
        <v>0</v>
      </c>
      <c r="J2398" s="178"/>
      <c r="K2398" s="178"/>
      <c r="L2398" s="275" t="str">
        <f>IF(H:H=0,"",IF(ISERROR(VLOOKUP(H:H,produtos_escape2!$A$2:$B$2794,2,FALSE)),"Código não cadastrado",(VLOOKUP(H:H,produtos_escape2!$A$2:$B$2794,2,FALSE))))</f>
        <v/>
      </c>
      <c r="M2398" s="593" t="str">
        <f>IF(H:H=0,"",IF(ISERROR(VLOOKUP(H:H,produtos_escape2!$A$2:$D$2794,2,FALSE)),"Código não cadastrado",(VLOOKUP(H:H,produtos_escape2!$A$2:$D$2794,4,FALSE))))</f>
        <v/>
      </c>
      <c r="N2398" s="486"/>
      <c r="O2398" s="176"/>
      <c r="P2398" s="486"/>
      <c r="Q2398" s="247"/>
      <c r="R2398" s="246">
        <f t="shared" si="89"/>
        <v>0</v>
      </c>
      <c r="S2398" s="177"/>
      <c r="T2398" s="182"/>
      <c r="U2398" s="177"/>
      <c r="V2398" s="177"/>
      <c r="W2398" s="177"/>
      <c r="X2398" s="176"/>
      <c r="Y2398" s="177"/>
      <c r="Z2398" s="415"/>
      <c r="AA2398" s="488"/>
      <c r="AB2398" s="594"/>
      <c r="AC2398" s="595"/>
      <c r="AD2398" s="596" t="str">
        <f>IF(AND(AC2398&lt;&gt;"",S2398&lt;&gt;""),NETWORKDAYS(AC2398,S2398,#REF!),"")</f>
        <v/>
      </c>
      <c r="AE2398" s="596" t="str">
        <f ca="1">IF(AND(AD2398="",AC2398=""),"",IF(OR(AD2398&lt;&gt;"",O2398="*CANCELADO"),"",NETWORKDAYS(AC2398,TODAY(),#REF!)))</f>
        <v/>
      </c>
      <c r="AF2398" s="619"/>
    </row>
    <row r="2399" spans="1:32" ht="14.25" customHeight="1">
      <c r="A2399" s="176"/>
      <c r="B2399" s="176"/>
      <c r="C2399" s="177"/>
      <c r="D2399" s="176"/>
      <c r="E2399" s="176"/>
      <c r="F2399" s="259"/>
      <c r="G2399" s="176"/>
      <c r="H2399" s="178"/>
      <c r="I2399" s="592">
        <f t="shared" si="90"/>
        <v>0</v>
      </c>
      <c r="J2399" s="178"/>
      <c r="K2399" s="178"/>
      <c r="L2399" s="275" t="str">
        <f>IF(H:H=0,"",IF(ISERROR(VLOOKUP(H:H,produtos_escape2!$A$2:$B$2794,2,FALSE)),"Código não cadastrado",(VLOOKUP(H:H,produtos_escape2!$A$2:$B$2794,2,FALSE))))</f>
        <v/>
      </c>
      <c r="M2399" s="593" t="str">
        <f>IF(H:H=0,"",IF(ISERROR(VLOOKUP(H:H,produtos_escape2!$A$2:$D$2794,2,FALSE)),"Código não cadastrado",(VLOOKUP(H:H,produtos_escape2!$A$2:$D$2794,4,FALSE))))</f>
        <v/>
      </c>
      <c r="N2399" s="486"/>
      <c r="O2399" s="176"/>
      <c r="P2399" s="486"/>
      <c r="Q2399" s="247"/>
      <c r="R2399" s="246">
        <f t="shared" si="89"/>
        <v>0</v>
      </c>
      <c r="S2399" s="177"/>
      <c r="T2399" s="182"/>
      <c r="U2399" s="177"/>
      <c r="V2399" s="177"/>
      <c r="W2399" s="177"/>
      <c r="X2399" s="176"/>
      <c r="Y2399" s="177"/>
      <c r="Z2399" s="415"/>
      <c r="AA2399" s="488"/>
      <c r="AB2399" s="594"/>
      <c r="AC2399" s="595"/>
      <c r="AD2399" s="596" t="str">
        <f>IF(AND(AC2399&lt;&gt;"",S2399&lt;&gt;""),NETWORKDAYS(AC2399,S2399,#REF!),"")</f>
        <v/>
      </c>
      <c r="AE2399" s="596" t="str">
        <f ca="1">IF(AND(AD2399="",AC2399=""),"",IF(OR(AD2399&lt;&gt;"",O2399="*CANCELADO"),"",NETWORKDAYS(AC2399,TODAY(),#REF!)))</f>
        <v/>
      </c>
      <c r="AF2399" s="619"/>
    </row>
    <row r="2400" spans="1:32" ht="14.25" customHeight="1">
      <c r="A2400" s="176"/>
      <c r="B2400" s="176"/>
      <c r="C2400" s="177"/>
      <c r="D2400" s="176"/>
      <c r="E2400" s="176"/>
      <c r="F2400" s="259"/>
      <c r="G2400" s="176"/>
      <c r="H2400" s="178"/>
      <c r="I2400" s="592">
        <f t="shared" si="90"/>
        <v>0</v>
      </c>
      <c r="J2400" s="178"/>
      <c r="K2400" s="178"/>
      <c r="L2400" s="275" t="str">
        <f>IF(H:H=0,"",IF(ISERROR(VLOOKUP(H:H,produtos_escape2!$A$2:$B$2794,2,FALSE)),"Código não cadastrado",(VLOOKUP(H:H,produtos_escape2!$A$2:$B$2794,2,FALSE))))</f>
        <v/>
      </c>
      <c r="M2400" s="593" t="str">
        <f>IF(H:H=0,"",IF(ISERROR(VLOOKUP(H:H,produtos_escape2!$A$2:$D$2794,2,FALSE)),"Código não cadastrado",(VLOOKUP(H:H,produtos_escape2!$A$2:$D$2794,4,FALSE))))</f>
        <v/>
      </c>
      <c r="N2400" s="486"/>
      <c r="O2400" s="176"/>
      <c r="P2400" s="486"/>
      <c r="Q2400" s="247"/>
      <c r="R2400" s="246">
        <f t="shared" si="89"/>
        <v>0</v>
      </c>
      <c r="S2400" s="177"/>
      <c r="T2400" s="182"/>
      <c r="U2400" s="177"/>
      <c r="V2400" s="177"/>
      <c r="W2400" s="177"/>
      <c r="X2400" s="176"/>
      <c r="Y2400" s="177"/>
      <c r="Z2400" s="415"/>
      <c r="AA2400" s="488"/>
      <c r="AB2400" s="594"/>
      <c r="AC2400" s="595"/>
      <c r="AD2400" s="596" t="str">
        <f>IF(AND(AC2400&lt;&gt;"",S2400&lt;&gt;""),NETWORKDAYS(AC2400,S2400,#REF!),"")</f>
        <v/>
      </c>
      <c r="AE2400" s="596" t="str">
        <f ca="1">IF(AND(AD2400="",AC2400=""),"",IF(OR(AD2400&lt;&gt;"",O2400="*CANCELADO"),"",NETWORKDAYS(AC2400,TODAY(),#REF!)))</f>
        <v/>
      </c>
      <c r="AF2400" s="619"/>
    </row>
    <row r="2401" spans="1:32" ht="14.25" customHeight="1">
      <c r="A2401" s="176"/>
      <c r="B2401" s="176"/>
      <c r="C2401" s="177"/>
      <c r="D2401" s="176"/>
      <c r="E2401" s="176"/>
      <c r="F2401" s="259"/>
      <c r="G2401" s="176"/>
      <c r="H2401" s="178"/>
      <c r="I2401" s="592">
        <f t="shared" si="90"/>
        <v>0</v>
      </c>
      <c r="J2401" s="178"/>
      <c r="K2401" s="178"/>
      <c r="L2401" s="275" t="str">
        <f>IF(H:H=0,"",IF(ISERROR(VLOOKUP(H:H,produtos_escape2!$A$2:$B$2794,2,FALSE)),"Código não cadastrado",(VLOOKUP(H:H,produtos_escape2!$A$2:$B$2794,2,FALSE))))</f>
        <v/>
      </c>
      <c r="M2401" s="593" t="str">
        <f>IF(H:H=0,"",IF(ISERROR(VLOOKUP(H:H,produtos_escape2!$A$2:$D$2794,2,FALSE)),"Código não cadastrado",(VLOOKUP(H:H,produtos_escape2!$A$2:$D$2794,4,FALSE))))</f>
        <v/>
      </c>
      <c r="N2401" s="486"/>
      <c r="O2401" s="176"/>
      <c r="P2401" s="486"/>
      <c r="Q2401" s="247"/>
      <c r="R2401" s="246">
        <f t="shared" si="89"/>
        <v>0</v>
      </c>
      <c r="S2401" s="177"/>
      <c r="T2401" s="182"/>
      <c r="U2401" s="177"/>
      <c r="V2401" s="177"/>
      <c r="W2401" s="177"/>
      <c r="X2401" s="176"/>
      <c r="Y2401" s="177"/>
      <c r="Z2401" s="415"/>
      <c r="AA2401" s="488"/>
      <c r="AB2401" s="594"/>
      <c r="AC2401" s="595"/>
      <c r="AD2401" s="596" t="str">
        <f>IF(AND(AC2401&lt;&gt;"",S2401&lt;&gt;""),NETWORKDAYS(AC2401,S2401,#REF!),"")</f>
        <v/>
      </c>
      <c r="AE2401" s="596" t="str">
        <f ca="1">IF(AND(AD2401="",AC2401=""),"",IF(OR(AD2401&lt;&gt;"",O2401="*CANCELADO"),"",NETWORKDAYS(AC2401,TODAY(),#REF!)))</f>
        <v/>
      </c>
      <c r="AF2401" s="619"/>
    </row>
    <row r="2402" spans="1:32" ht="14.25" customHeight="1">
      <c r="A2402" s="176"/>
      <c r="B2402" s="176"/>
      <c r="C2402" s="177"/>
      <c r="D2402" s="176"/>
      <c r="E2402" s="176"/>
      <c r="F2402" s="259"/>
      <c r="G2402" s="176"/>
      <c r="H2402" s="178"/>
      <c r="I2402" s="592">
        <f t="shared" si="90"/>
        <v>0</v>
      </c>
      <c r="J2402" s="178"/>
      <c r="K2402" s="178"/>
      <c r="L2402" s="275" t="str">
        <f>IF(H:H=0,"",IF(ISERROR(VLOOKUP(H:H,produtos_escape2!$A$2:$B$2794,2,FALSE)),"Código não cadastrado",(VLOOKUP(H:H,produtos_escape2!$A$2:$B$2794,2,FALSE))))</f>
        <v/>
      </c>
      <c r="M2402" s="593" t="str">
        <f>IF(H:H=0,"",IF(ISERROR(VLOOKUP(H:H,produtos_escape2!$A$2:$D$2794,2,FALSE)),"Código não cadastrado",(VLOOKUP(H:H,produtos_escape2!$A$2:$D$2794,4,FALSE))))</f>
        <v/>
      </c>
      <c r="N2402" s="486"/>
      <c r="O2402" s="176"/>
      <c r="P2402" s="486"/>
      <c r="Q2402" s="247"/>
      <c r="R2402" s="246">
        <f t="shared" si="89"/>
        <v>0</v>
      </c>
      <c r="S2402" s="177"/>
      <c r="T2402" s="182"/>
      <c r="U2402" s="177"/>
      <c r="V2402" s="177"/>
      <c r="W2402" s="177"/>
      <c r="X2402" s="176"/>
      <c r="Y2402" s="177"/>
      <c r="Z2402" s="415"/>
      <c r="AA2402" s="488"/>
      <c r="AB2402" s="594"/>
      <c r="AC2402" s="595"/>
      <c r="AD2402" s="596" t="str">
        <f>IF(AND(AC2402&lt;&gt;"",S2402&lt;&gt;""),NETWORKDAYS(AC2402,S2402,#REF!),"")</f>
        <v/>
      </c>
      <c r="AE2402" s="596" t="str">
        <f ca="1">IF(AND(AD2402="",AC2402=""),"",IF(OR(AD2402&lt;&gt;"",O2402="*CANCELADO"),"",NETWORKDAYS(AC2402,TODAY(),#REF!)))</f>
        <v/>
      </c>
      <c r="AF2402" s="619"/>
    </row>
    <row r="2403" spans="1:32" ht="14.25" customHeight="1">
      <c r="A2403" s="176"/>
      <c r="B2403" s="176"/>
      <c r="C2403" s="177"/>
      <c r="D2403" s="176"/>
      <c r="E2403" s="176"/>
      <c r="F2403" s="259"/>
      <c r="G2403" s="176"/>
      <c r="H2403" s="178"/>
      <c r="I2403" s="592">
        <f t="shared" si="90"/>
        <v>0</v>
      </c>
      <c r="J2403" s="178"/>
      <c r="K2403" s="178"/>
      <c r="L2403" s="275" t="str">
        <f>IF(H:H=0,"",IF(ISERROR(VLOOKUP(H:H,produtos_escape2!$A$2:$B$2794,2,FALSE)),"Código não cadastrado",(VLOOKUP(H:H,produtos_escape2!$A$2:$B$2794,2,FALSE))))</f>
        <v/>
      </c>
      <c r="M2403" s="593" t="str">
        <f>IF(H:H=0,"",IF(ISERROR(VLOOKUP(H:H,produtos_escape2!$A$2:$D$2794,2,FALSE)),"Código não cadastrado",(VLOOKUP(H:H,produtos_escape2!$A$2:$D$2794,4,FALSE))))</f>
        <v/>
      </c>
      <c r="N2403" s="486"/>
      <c r="O2403" s="176"/>
      <c r="P2403" s="486"/>
      <c r="Q2403" s="247"/>
      <c r="R2403" s="246">
        <f t="shared" si="89"/>
        <v>0</v>
      </c>
      <c r="S2403" s="177"/>
      <c r="T2403" s="182"/>
      <c r="U2403" s="177"/>
      <c r="V2403" s="177"/>
      <c r="W2403" s="177"/>
      <c r="X2403" s="176"/>
      <c r="Y2403" s="177"/>
      <c r="Z2403" s="415"/>
      <c r="AA2403" s="488"/>
      <c r="AB2403" s="594"/>
      <c r="AC2403" s="595"/>
      <c r="AD2403" s="596" t="str">
        <f>IF(AND(AC2403&lt;&gt;"",S2403&lt;&gt;""),NETWORKDAYS(AC2403,S2403,#REF!),"")</f>
        <v/>
      </c>
      <c r="AE2403" s="596" t="str">
        <f ca="1">IF(AND(AD2403="",AC2403=""),"",IF(OR(AD2403&lt;&gt;"",O2403="*CANCELADO"),"",NETWORKDAYS(AC2403,TODAY(),#REF!)))</f>
        <v/>
      </c>
      <c r="AF2403" s="619"/>
    </row>
    <row r="2404" spans="1:32" ht="14.25" customHeight="1">
      <c r="A2404" s="176"/>
      <c r="B2404" s="176"/>
      <c r="C2404" s="177"/>
      <c r="D2404" s="176"/>
      <c r="E2404" s="176"/>
      <c r="F2404" s="259"/>
      <c r="G2404" s="176"/>
      <c r="H2404" s="178"/>
      <c r="I2404" s="592">
        <f t="shared" si="90"/>
        <v>0</v>
      </c>
      <c r="J2404" s="178"/>
      <c r="K2404" s="178"/>
      <c r="L2404" s="275" t="str">
        <f>IF(H:H=0,"",IF(ISERROR(VLOOKUP(H:H,produtos_escape2!$A$2:$B$2794,2,FALSE)),"Código não cadastrado",(VLOOKUP(H:H,produtos_escape2!$A$2:$B$2794,2,FALSE))))</f>
        <v/>
      </c>
      <c r="M2404" s="593" t="str">
        <f>IF(H:H=0,"",IF(ISERROR(VLOOKUP(H:H,produtos_escape2!$A$2:$D$2794,2,FALSE)),"Código não cadastrado",(VLOOKUP(H:H,produtos_escape2!$A$2:$D$2794,4,FALSE))))</f>
        <v/>
      </c>
      <c r="N2404" s="486"/>
      <c r="O2404" s="176"/>
      <c r="P2404" s="486"/>
      <c r="Q2404" s="247"/>
      <c r="R2404" s="246">
        <f t="shared" si="89"/>
        <v>0</v>
      </c>
      <c r="S2404" s="177"/>
      <c r="T2404" s="182"/>
      <c r="U2404" s="177"/>
      <c r="V2404" s="177"/>
      <c r="W2404" s="177"/>
      <c r="X2404" s="176"/>
      <c r="Y2404" s="177"/>
      <c r="Z2404" s="415"/>
      <c r="AA2404" s="488"/>
      <c r="AB2404" s="594"/>
      <c r="AC2404" s="595"/>
      <c r="AD2404" s="596" t="str">
        <f>IF(AND(AC2404&lt;&gt;"",S2404&lt;&gt;""),NETWORKDAYS(AC2404,S2404,#REF!),"")</f>
        <v/>
      </c>
      <c r="AE2404" s="596" t="str">
        <f ca="1">IF(AND(AD2404="",AC2404=""),"",IF(OR(AD2404&lt;&gt;"",O2404="*CANCELADO"),"",NETWORKDAYS(AC2404,TODAY(),#REF!)))</f>
        <v/>
      </c>
      <c r="AF2404" s="619"/>
    </row>
    <row r="2405" spans="1:32" ht="14.25" customHeight="1">
      <c r="A2405" s="176"/>
      <c r="B2405" s="176"/>
      <c r="C2405" s="177"/>
      <c r="D2405" s="176"/>
      <c r="E2405" s="176"/>
      <c r="F2405" s="259"/>
      <c r="G2405" s="176"/>
      <c r="H2405" s="178"/>
      <c r="I2405" s="592">
        <f t="shared" si="90"/>
        <v>0</v>
      </c>
      <c r="J2405" s="178"/>
      <c r="K2405" s="178"/>
      <c r="L2405" s="275" t="str">
        <f>IF(H:H=0,"",IF(ISERROR(VLOOKUP(H:H,produtos_escape2!$A$2:$B$2794,2,FALSE)),"Código não cadastrado",(VLOOKUP(H:H,produtos_escape2!$A$2:$B$2794,2,FALSE))))</f>
        <v/>
      </c>
      <c r="M2405" s="593" t="str">
        <f>IF(H:H=0,"",IF(ISERROR(VLOOKUP(H:H,produtos_escape2!$A$2:$D$2794,2,FALSE)),"Código não cadastrado",(VLOOKUP(H:H,produtos_escape2!$A$2:$D$2794,4,FALSE))))</f>
        <v/>
      </c>
      <c r="N2405" s="486"/>
      <c r="O2405" s="176"/>
      <c r="P2405" s="486"/>
      <c r="Q2405" s="247"/>
      <c r="R2405" s="246">
        <f t="shared" si="89"/>
        <v>0</v>
      </c>
      <c r="S2405" s="177"/>
      <c r="T2405" s="182"/>
      <c r="U2405" s="177"/>
      <c r="V2405" s="177"/>
      <c r="W2405" s="177"/>
      <c r="X2405" s="176"/>
      <c r="Y2405" s="177"/>
      <c r="Z2405" s="415"/>
      <c r="AA2405" s="488"/>
      <c r="AB2405" s="594"/>
      <c r="AC2405" s="595"/>
      <c r="AD2405" s="596" t="str">
        <f>IF(AND(AC2405&lt;&gt;"",S2405&lt;&gt;""),NETWORKDAYS(AC2405,S2405,#REF!),"")</f>
        <v/>
      </c>
      <c r="AE2405" s="596" t="str">
        <f ca="1">IF(AND(AD2405="",AC2405=""),"",IF(OR(AD2405&lt;&gt;"",O2405="*CANCELADO"),"",NETWORKDAYS(AC2405,TODAY(),#REF!)))</f>
        <v/>
      </c>
      <c r="AF2405" s="619"/>
    </row>
    <row r="2406" spans="1:32" ht="14.25" customHeight="1">
      <c r="A2406" s="176"/>
      <c r="B2406" s="176"/>
      <c r="C2406" s="177"/>
      <c r="D2406" s="176"/>
      <c r="E2406" s="176"/>
      <c r="F2406" s="259"/>
      <c r="G2406" s="176"/>
      <c r="H2406" s="178"/>
      <c r="I2406" s="592">
        <f t="shared" si="90"/>
        <v>0</v>
      </c>
      <c r="J2406" s="178"/>
      <c r="K2406" s="178"/>
      <c r="L2406" s="275" t="str">
        <f>IF(H:H=0,"",IF(ISERROR(VLOOKUP(H:H,produtos_escape2!$A$2:$B$2794,2,FALSE)),"Código não cadastrado",(VLOOKUP(H:H,produtos_escape2!$A$2:$B$2794,2,FALSE))))</f>
        <v/>
      </c>
      <c r="M2406" s="593" t="str">
        <f>IF(H:H=0,"",IF(ISERROR(VLOOKUP(H:H,produtos_escape2!$A$2:$D$2794,2,FALSE)),"Código não cadastrado",(VLOOKUP(H:H,produtos_escape2!$A$2:$D$2794,4,FALSE))))</f>
        <v/>
      </c>
      <c r="N2406" s="486"/>
      <c r="O2406" s="176"/>
      <c r="P2406" s="486"/>
      <c r="Q2406" s="247"/>
      <c r="R2406" s="246">
        <f t="shared" si="89"/>
        <v>0</v>
      </c>
      <c r="S2406" s="177"/>
      <c r="T2406" s="182"/>
      <c r="U2406" s="177"/>
      <c r="V2406" s="177"/>
      <c r="W2406" s="177"/>
      <c r="X2406" s="176"/>
      <c r="Y2406" s="177"/>
      <c r="Z2406" s="415"/>
      <c r="AA2406" s="488"/>
      <c r="AB2406" s="594"/>
      <c r="AC2406" s="595"/>
      <c r="AD2406" s="596" t="str">
        <f>IF(AND(AC2406&lt;&gt;"",S2406&lt;&gt;""),NETWORKDAYS(AC2406,S2406,#REF!),"")</f>
        <v/>
      </c>
      <c r="AE2406" s="596" t="str">
        <f ca="1">IF(AND(AD2406="",AC2406=""),"",IF(OR(AD2406&lt;&gt;"",O2406="*CANCELADO"),"",NETWORKDAYS(AC2406,TODAY(),#REF!)))</f>
        <v/>
      </c>
      <c r="AF2406" s="619"/>
    </row>
    <row r="2407" spans="1:32" ht="14.25" customHeight="1">
      <c r="A2407" s="176"/>
      <c r="B2407" s="176"/>
      <c r="C2407" s="177"/>
      <c r="D2407" s="176"/>
      <c r="E2407" s="176"/>
      <c r="F2407" s="259"/>
      <c r="G2407" s="176"/>
      <c r="H2407" s="178"/>
      <c r="I2407" s="592">
        <f t="shared" si="90"/>
        <v>0</v>
      </c>
      <c r="J2407" s="178"/>
      <c r="K2407" s="178"/>
      <c r="L2407" s="275" t="str">
        <f>IF(H:H=0,"",IF(ISERROR(VLOOKUP(H:H,produtos_escape2!$A$2:$B$2794,2,FALSE)),"Código não cadastrado",(VLOOKUP(H:H,produtos_escape2!$A$2:$B$2794,2,FALSE))))</f>
        <v/>
      </c>
      <c r="M2407" s="593" t="str">
        <f>IF(H:H=0,"",IF(ISERROR(VLOOKUP(H:H,produtos_escape2!$A$2:$D$2794,2,FALSE)),"Código não cadastrado",(VLOOKUP(H:H,produtos_escape2!$A$2:$D$2794,4,FALSE))))</f>
        <v/>
      </c>
      <c r="N2407" s="486"/>
      <c r="O2407" s="176"/>
      <c r="P2407" s="486"/>
      <c r="Q2407" s="247"/>
      <c r="R2407" s="246">
        <f t="shared" si="89"/>
        <v>0</v>
      </c>
      <c r="S2407" s="177"/>
      <c r="T2407" s="182"/>
      <c r="U2407" s="177"/>
      <c r="V2407" s="177"/>
      <c r="W2407" s="177"/>
      <c r="X2407" s="176"/>
      <c r="Y2407" s="177"/>
      <c r="Z2407" s="415"/>
      <c r="AA2407" s="488"/>
      <c r="AB2407" s="594"/>
      <c r="AC2407" s="595"/>
      <c r="AD2407" s="596" t="str">
        <f>IF(AND(AC2407&lt;&gt;"",S2407&lt;&gt;""),NETWORKDAYS(AC2407,S2407,#REF!),"")</f>
        <v/>
      </c>
      <c r="AE2407" s="596" t="str">
        <f ca="1">IF(AND(AD2407="",AC2407=""),"",IF(OR(AD2407&lt;&gt;"",O2407="*CANCELADO"),"",NETWORKDAYS(AC2407,TODAY(),#REF!)))</f>
        <v/>
      </c>
      <c r="AF2407" s="619"/>
    </row>
    <row r="2408" spans="1:32" ht="14.25" customHeight="1">
      <c r="A2408" s="176"/>
      <c r="B2408" s="176"/>
      <c r="C2408" s="177"/>
      <c r="D2408" s="176"/>
      <c r="E2408" s="176"/>
      <c r="F2408" s="259"/>
      <c r="G2408" s="176"/>
      <c r="H2408" s="178"/>
      <c r="I2408" s="592">
        <f t="shared" si="90"/>
        <v>0</v>
      </c>
      <c r="J2408" s="178"/>
      <c r="K2408" s="178"/>
      <c r="L2408" s="275" t="str">
        <f>IF(H:H=0,"",IF(ISERROR(VLOOKUP(H:H,produtos_escape2!$A$2:$B$2794,2,FALSE)),"Código não cadastrado",(VLOOKUP(H:H,produtos_escape2!$A$2:$B$2794,2,FALSE))))</f>
        <v/>
      </c>
      <c r="M2408" s="593" t="str">
        <f>IF(H:H=0,"",IF(ISERROR(VLOOKUP(H:H,produtos_escape2!$A$2:$D$2794,2,FALSE)),"Código não cadastrado",(VLOOKUP(H:H,produtos_escape2!$A$2:$D$2794,4,FALSE))))</f>
        <v/>
      </c>
      <c r="N2408" s="486"/>
      <c r="O2408" s="176"/>
      <c r="P2408" s="486"/>
      <c r="Q2408" s="247"/>
      <c r="R2408" s="246">
        <f t="shared" si="89"/>
        <v>0</v>
      </c>
      <c r="S2408" s="177"/>
      <c r="T2408" s="182"/>
      <c r="U2408" s="177"/>
      <c r="V2408" s="177"/>
      <c r="W2408" s="177"/>
      <c r="X2408" s="176"/>
      <c r="Y2408" s="177"/>
      <c r="Z2408" s="415"/>
      <c r="AA2408" s="488"/>
      <c r="AB2408" s="594"/>
      <c r="AC2408" s="595"/>
      <c r="AD2408" s="596" t="str">
        <f>IF(AND(AC2408&lt;&gt;"",S2408&lt;&gt;""),NETWORKDAYS(AC2408,S2408,#REF!),"")</f>
        <v/>
      </c>
      <c r="AE2408" s="596" t="str">
        <f ca="1">IF(AND(AD2408="",AC2408=""),"",IF(OR(AD2408&lt;&gt;"",O2408="*CANCELADO"),"",NETWORKDAYS(AC2408,TODAY(),#REF!)))</f>
        <v/>
      </c>
      <c r="AF2408" s="619"/>
    </row>
    <row r="2409" spans="1:32" ht="14.25" customHeight="1">
      <c r="A2409" s="176"/>
      <c r="B2409" s="176"/>
      <c r="C2409" s="177"/>
      <c r="D2409" s="176"/>
      <c r="E2409" s="176"/>
      <c r="F2409" s="259"/>
      <c r="G2409" s="176"/>
      <c r="H2409" s="178"/>
      <c r="I2409" s="592">
        <f t="shared" si="90"/>
        <v>0</v>
      </c>
      <c r="J2409" s="178"/>
      <c r="K2409" s="178"/>
      <c r="L2409" s="275" t="str">
        <f>IF(H:H=0,"",IF(ISERROR(VLOOKUP(H:H,produtos_escape2!$A$2:$B$2794,2,FALSE)),"Código não cadastrado",(VLOOKUP(H:H,produtos_escape2!$A$2:$B$2794,2,FALSE))))</f>
        <v/>
      </c>
      <c r="M2409" s="593" t="str">
        <f>IF(H:H=0,"",IF(ISERROR(VLOOKUP(H:H,produtos_escape2!$A$2:$D$2794,2,FALSE)),"Código não cadastrado",(VLOOKUP(H:H,produtos_escape2!$A$2:$D$2794,4,FALSE))))</f>
        <v/>
      </c>
      <c r="N2409" s="486"/>
      <c r="O2409" s="176"/>
      <c r="P2409" s="486"/>
      <c r="Q2409" s="247"/>
      <c r="R2409" s="246">
        <f t="shared" si="89"/>
        <v>0</v>
      </c>
      <c r="S2409" s="177"/>
      <c r="T2409" s="182"/>
      <c r="U2409" s="177"/>
      <c r="V2409" s="177"/>
      <c r="W2409" s="177"/>
      <c r="X2409" s="176"/>
      <c r="Y2409" s="177"/>
      <c r="Z2409" s="415"/>
      <c r="AA2409" s="488"/>
      <c r="AB2409" s="594"/>
      <c r="AC2409" s="595"/>
      <c r="AD2409" s="596" t="str">
        <f>IF(AND(AC2409&lt;&gt;"",S2409&lt;&gt;""),NETWORKDAYS(AC2409,S2409,#REF!),"")</f>
        <v/>
      </c>
      <c r="AE2409" s="596" t="str">
        <f ca="1">IF(AND(AD2409="",AC2409=""),"",IF(OR(AD2409&lt;&gt;"",O2409="*CANCELADO"),"",NETWORKDAYS(AC2409,TODAY(),#REF!)))</f>
        <v/>
      </c>
      <c r="AF2409" s="619"/>
    </row>
    <row r="2410" spans="1:32" ht="14.25" customHeight="1">
      <c r="A2410" s="176"/>
      <c r="B2410" s="176"/>
      <c r="C2410" s="177"/>
      <c r="D2410" s="176"/>
      <c r="E2410" s="176"/>
      <c r="F2410" s="259"/>
      <c r="G2410" s="176"/>
      <c r="H2410" s="178"/>
      <c r="I2410" s="592">
        <f t="shared" si="90"/>
        <v>0</v>
      </c>
      <c r="J2410" s="178"/>
      <c r="K2410" s="178"/>
      <c r="L2410" s="275" t="str">
        <f>IF(H:H=0,"",IF(ISERROR(VLOOKUP(H:H,produtos_escape2!$A$2:$B$2794,2,FALSE)),"Código não cadastrado",(VLOOKUP(H:H,produtos_escape2!$A$2:$B$2794,2,FALSE))))</f>
        <v/>
      </c>
      <c r="M2410" s="593" t="str">
        <f>IF(H:H=0,"",IF(ISERROR(VLOOKUP(H:H,produtos_escape2!$A$2:$D$2794,2,FALSE)),"Código não cadastrado",(VLOOKUP(H:H,produtos_escape2!$A$2:$D$2794,4,FALSE))))</f>
        <v/>
      </c>
      <c r="N2410" s="486"/>
      <c r="O2410" s="176"/>
      <c r="P2410" s="486"/>
      <c r="Q2410" s="247"/>
      <c r="R2410" s="246">
        <f t="shared" si="89"/>
        <v>0</v>
      </c>
      <c r="S2410" s="177"/>
      <c r="T2410" s="182"/>
      <c r="U2410" s="177"/>
      <c r="V2410" s="177"/>
      <c r="W2410" s="177"/>
      <c r="X2410" s="176"/>
      <c r="Y2410" s="177"/>
      <c r="Z2410" s="415"/>
      <c r="AA2410" s="488"/>
      <c r="AB2410" s="594"/>
      <c r="AC2410" s="595"/>
      <c r="AD2410" s="596" t="str">
        <f>IF(AND(AC2410&lt;&gt;"",S2410&lt;&gt;""),NETWORKDAYS(AC2410,S2410,#REF!),"")</f>
        <v/>
      </c>
      <c r="AE2410" s="596" t="str">
        <f ca="1">IF(AND(AD2410="",AC2410=""),"",IF(OR(AD2410&lt;&gt;"",O2410="*CANCELADO"),"",NETWORKDAYS(AC2410,TODAY(),#REF!)))</f>
        <v/>
      </c>
      <c r="AF2410" s="619"/>
    </row>
    <row r="2411" spans="1:32" ht="14.25" customHeight="1">
      <c r="A2411" s="176"/>
      <c r="B2411" s="176"/>
      <c r="C2411" s="177"/>
      <c r="D2411" s="176"/>
      <c r="E2411" s="176"/>
      <c r="F2411" s="259"/>
      <c r="G2411" s="176"/>
      <c r="H2411" s="178"/>
      <c r="I2411" s="592">
        <f t="shared" si="90"/>
        <v>0</v>
      </c>
      <c r="J2411" s="178"/>
      <c r="K2411" s="178"/>
      <c r="L2411" s="275" t="str">
        <f>IF(H:H=0,"",IF(ISERROR(VLOOKUP(H:H,produtos_escape2!$A$2:$B$2794,2,FALSE)),"Código não cadastrado",(VLOOKUP(H:H,produtos_escape2!$A$2:$B$2794,2,FALSE))))</f>
        <v/>
      </c>
      <c r="M2411" s="593" t="str">
        <f>IF(H:H=0,"",IF(ISERROR(VLOOKUP(H:H,produtos_escape2!$A$2:$D$2794,2,FALSE)),"Código não cadastrado",(VLOOKUP(H:H,produtos_escape2!$A$2:$D$2794,4,FALSE))))</f>
        <v/>
      </c>
      <c r="N2411" s="486"/>
      <c r="O2411" s="176"/>
      <c r="P2411" s="486"/>
      <c r="Q2411" s="247"/>
      <c r="R2411" s="246">
        <f t="shared" si="89"/>
        <v>0</v>
      </c>
      <c r="S2411" s="177"/>
      <c r="T2411" s="182"/>
      <c r="U2411" s="177"/>
      <c r="V2411" s="177"/>
      <c r="W2411" s="177"/>
      <c r="X2411" s="176"/>
      <c r="Y2411" s="177"/>
      <c r="Z2411" s="415"/>
      <c r="AA2411" s="488"/>
      <c r="AB2411" s="594"/>
      <c r="AC2411" s="595"/>
      <c r="AD2411" s="596" t="str">
        <f>IF(AND(AC2411&lt;&gt;"",S2411&lt;&gt;""),NETWORKDAYS(AC2411,S2411,#REF!),"")</f>
        <v/>
      </c>
      <c r="AE2411" s="596" t="str">
        <f ca="1">IF(AND(AD2411="",AC2411=""),"",IF(OR(AD2411&lt;&gt;"",O2411="*CANCELADO"),"",NETWORKDAYS(AC2411,TODAY(),#REF!)))</f>
        <v/>
      </c>
      <c r="AF2411" s="619"/>
    </row>
    <row r="2412" spans="1:32" ht="14.25" customHeight="1">
      <c r="A2412" s="176"/>
      <c r="B2412" s="176"/>
      <c r="C2412" s="177"/>
      <c r="D2412" s="176"/>
      <c r="E2412" s="176"/>
      <c r="F2412" s="259"/>
      <c r="G2412" s="176"/>
      <c r="H2412" s="178"/>
      <c r="I2412" s="592">
        <f t="shared" si="90"/>
        <v>0</v>
      </c>
      <c r="J2412" s="178"/>
      <c r="K2412" s="178"/>
      <c r="L2412" s="275" t="str">
        <f>IF(H:H=0,"",IF(ISERROR(VLOOKUP(H:H,produtos_escape2!$A$2:$B$2794,2,FALSE)),"Código não cadastrado",(VLOOKUP(H:H,produtos_escape2!$A$2:$B$2794,2,FALSE))))</f>
        <v/>
      </c>
      <c r="M2412" s="593" t="str">
        <f>IF(H:H=0,"",IF(ISERROR(VLOOKUP(H:H,produtos_escape2!$A$2:$D$2794,2,FALSE)),"Código não cadastrado",(VLOOKUP(H:H,produtos_escape2!$A$2:$D$2794,4,FALSE))))</f>
        <v/>
      </c>
      <c r="N2412" s="486"/>
      <c r="O2412" s="176"/>
      <c r="P2412" s="486"/>
      <c r="Q2412" s="247"/>
      <c r="R2412" s="246">
        <f t="shared" si="89"/>
        <v>0</v>
      </c>
      <c r="S2412" s="177"/>
      <c r="T2412" s="182"/>
      <c r="U2412" s="177"/>
      <c r="V2412" s="177"/>
      <c r="W2412" s="177"/>
      <c r="X2412" s="176"/>
      <c r="Y2412" s="177"/>
      <c r="Z2412" s="415"/>
      <c r="AA2412" s="488"/>
      <c r="AB2412" s="594"/>
      <c r="AC2412" s="595"/>
      <c r="AD2412" s="596" t="str">
        <f>IF(AND(AC2412&lt;&gt;"",S2412&lt;&gt;""),NETWORKDAYS(AC2412,S2412,#REF!),"")</f>
        <v/>
      </c>
      <c r="AE2412" s="596" t="str">
        <f ca="1">IF(AND(AD2412="",AC2412=""),"",IF(OR(AD2412&lt;&gt;"",O2412="*CANCELADO"),"",NETWORKDAYS(AC2412,TODAY(),#REF!)))</f>
        <v/>
      </c>
      <c r="AF2412" s="619"/>
    </row>
    <row r="2413" spans="1:32" ht="14.25" customHeight="1">
      <c r="A2413" s="176"/>
      <c r="B2413" s="176"/>
      <c r="C2413" s="177"/>
      <c r="D2413" s="176"/>
      <c r="E2413" s="176"/>
      <c r="F2413" s="259"/>
      <c r="G2413" s="176"/>
      <c r="H2413" s="178"/>
      <c r="I2413" s="592">
        <f t="shared" si="90"/>
        <v>0</v>
      </c>
      <c r="J2413" s="178"/>
      <c r="K2413" s="178"/>
      <c r="L2413" s="275" t="str">
        <f>IF(H:H=0,"",IF(ISERROR(VLOOKUP(H:H,produtos_escape2!$A$2:$B$2794,2,FALSE)),"Código não cadastrado",(VLOOKUP(H:H,produtos_escape2!$A$2:$B$2794,2,FALSE))))</f>
        <v/>
      </c>
      <c r="M2413" s="593" t="str">
        <f>IF(H:H=0,"",IF(ISERROR(VLOOKUP(H:H,produtos_escape2!$A$2:$D$2794,2,FALSE)),"Código não cadastrado",(VLOOKUP(H:H,produtos_escape2!$A$2:$D$2794,4,FALSE))))</f>
        <v/>
      </c>
      <c r="N2413" s="486"/>
      <c r="O2413" s="176"/>
      <c r="P2413" s="486"/>
      <c r="Q2413" s="247"/>
      <c r="R2413" s="246">
        <f t="shared" ref="R2413:R2476" si="91">P2413*Q2413</f>
        <v>0</v>
      </c>
      <c r="S2413" s="177"/>
      <c r="T2413" s="182"/>
      <c r="U2413" s="177"/>
      <c r="V2413" s="177"/>
      <c r="W2413" s="177"/>
      <c r="X2413" s="176"/>
      <c r="Y2413" s="177"/>
      <c r="Z2413" s="415"/>
      <c r="AA2413" s="488"/>
      <c r="AB2413" s="594"/>
      <c r="AC2413" s="595"/>
      <c r="AD2413" s="596" t="str">
        <f>IF(AND(AC2413&lt;&gt;"",S2413&lt;&gt;""),NETWORKDAYS(AC2413,S2413,#REF!),"")</f>
        <v/>
      </c>
      <c r="AE2413" s="596" t="str">
        <f ca="1">IF(AND(AD2413="",AC2413=""),"",IF(OR(AD2413&lt;&gt;"",O2413="*CANCELADO"),"",NETWORKDAYS(AC2413,TODAY(),#REF!)))</f>
        <v/>
      </c>
      <c r="AF2413" s="619"/>
    </row>
    <row r="2414" spans="1:32" ht="14.25" customHeight="1">
      <c r="A2414" s="176"/>
      <c r="B2414" s="176"/>
      <c r="C2414" s="177"/>
      <c r="D2414" s="176"/>
      <c r="E2414" s="176"/>
      <c r="F2414" s="259"/>
      <c r="G2414" s="176"/>
      <c r="H2414" s="178"/>
      <c r="I2414" s="592">
        <f t="shared" si="90"/>
        <v>0</v>
      </c>
      <c r="J2414" s="178"/>
      <c r="K2414" s="178"/>
      <c r="L2414" s="275" t="str">
        <f>IF(H:H=0,"",IF(ISERROR(VLOOKUP(H:H,produtos_escape2!$A$2:$B$2794,2,FALSE)),"Código não cadastrado",(VLOOKUP(H:H,produtos_escape2!$A$2:$B$2794,2,FALSE))))</f>
        <v/>
      </c>
      <c r="M2414" s="593" t="str">
        <f>IF(H:H=0,"",IF(ISERROR(VLOOKUP(H:H,produtos_escape2!$A$2:$D$2794,2,FALSE)),"Código não cadastrado",(VLOOKUP(H:H,produtos_escape2!$A$2:$D$2794,4,FALSE))))</f>
        <v/>
      </c>
      <c r="N2414" s="486"/>
      <c r="O2414" s="176"/>
      <c r="P2414" s="486"/>
      <c r="Q2414" s="247"/>
      <c r="R2414" s="246">
        <f t="shared" si="91"/>
        <v>0</v>
      </c>
      <c r="S2414" s="177"/>
      <c r="T2414" s="182"/>
      <c r="U2414" s="177"/>
      <c r="V2414" s="177"/>
      <c r="W2414" s="177"/>
      <c r="X2414" s="176"/>
      <c r="Y2414" s="177"/>
      <c r="Z2414" s="415"/>
      <c r="AA2414" s="488"/>
      <c r="AB2414" s="594"/>
      <c r="AC2414" s="595"/>
      <c r="AD2414" s="596" t="str">
        <f>IF(AND(AC2414&lt;&gt;"",S2414&lt;&gt;""),NETWORKDAYS(AC2414,S2414,#REF!),"")</f>
        <v/>
      </c>
      <c r="AE2414" s="596" t="str">
        <f ca="1">IF(AND(AD2414="",AC2414=""),"",IF(OR(AD2414&lt;&gt;"",O2414="*CANCELADO"),"",NETWORKDAYS(AC2414,TODAY(),#REF!)))</f>
        <v/>
      </c>
      <c r="AF2414" s="619"/>
    </row>
    <row r="2415" spans="1:32" ht="14.25" customHeight="1">
      <c r="A2415" s="176"/>
      <c r="B2415" s="176"/>
      <c r="C2415" s="177"/>
      <c r="D2415" s="176"/>
      <c r="E2415" s="176"/>
      <c r="F2415" s="259"/>
      <c r="G2415" s="176"/>
      <c r="H2415" s="178"/>
      <c r="I2415" s="592">
        <f t="shared" si="90"/>
        <v>0</v>
      </c>
      <c r="J2415" s="178"/>
      <c r="K2415" s="178"/>
      <c r="L2415" s="275" t="str">
        <f>IF(H:H=0,"",IF(ISERROR(VLOOKUP(H:H,produtos_escape2!$A$2:$B$2794,2,FALSE)),"Código não cadastrado",(VLOOKUP(H:H,produtos_escape2!$A$2:$B$2794,2,FALSE))))</f>
        <v/>
      </c>
      <c r="M2415" s="593" t="str">
        <f>IF(H:H=0,"",IF(ISERROR(VLOOKUP(H:H,produtos_escape2!$A$2:$D$2794,2,FALSE)),"Código não cadastrado",(VLOOKUP(H:H,produtos_escape2!$A$2:$D$2794,4,FALSE))))</f>
        <v/>
      </c>
      <c r="N2415" s="486"/>
      <c r="O2415" s="176"/>
      <c r="P2415" s="486"/>
      <c r="Q2415" s="247"/>
      <c r="R2415" s="246">
        <f t="shared" si="91"/>
        <v>0</v>
      </c>
      <c r="S2415" s="177"/>
      <c r="T2415" s="182"/>
      <c r="U2415" s="177"/>
      <c r="V2415" s="177"/>
      <c r="W2415" s="177"/>
      <c r="X2415" s="176"/>
      <c r="Y2415" s="177"/>
      <c r="Z2415" s="415"/>
      <c r="AA2415" s="488"/>
      <c r="AB2415" s="594"/>
      <c r="AC2415" s="595"/>
      <c r="AD2415" s="596" t="str">
        <f>IF(AND(AC2415&lt;&gt;"",S2415&lt;&gt;""),NETWORKDAYS(AC2415,S2415,#REF!),"")</f>
        <v/>
      </c>
      <c r="AE2415" s="596" t="str">
        <f ca="1">IF(AND(AD2415="",AC2415=""),"",IF(OR(AD2415&lt;&gt;"",O2415="*CANCELADO"),"",NETWORKDAYS(AC2415,TODAY(),#REF!)))</f>
        <v/>
      </c>
      <c r="AF2415" s="619"/>
    </row>
    <row r="2416" spans="1:32" ht="14.25" customHeight="1">
      <c r="A2416" s="176"/>
      <c r="B2416" s="176"/>
      <c r="C2416" s="177"/>
      <c r="D2416" s="176"/>
      <c r="E2416" s="176"/>
      <c r="F2416" s="259"/>
      <c r="G2416" s="176"/>
      <c r="H2416" s="178"/>
      <c r="I2416" s="592">
        <f t="shared" si="90"/>
        <v>0</v>
      </c>
      <c r="J2416" s="178"/>
      <c r="K2416" s="178"/>
      <c r="L2416" s="275" t="str">
        <f>IF(H:H=0,"",IF(ISERROR(VLOOKUP(H:H,produtos_escape2!$A$2:$B$2794,2,FALSE)),"Código não cadastrado",(VLOOKUP(H:H,produtos_escape2!$A$2:$B$2794,2,FALSE))))</f>
        <v/>
      </c>
      <c r="M2416" s="593" t="str">
        <f>IF(H:H=0,"",IF(ISERROR(VLOOKUP(H:H,produtos_escape2!$A$2:$D$2794,2,FALSE)),"Código não cadastrado",(VLOOKUP(H:H,produtos_escape2!$A$2:$D$2794,4,FALSE))))</f>
        <v/>
      </c>
      <c r="N2416" s="486"/>
      <c r="O2416" s="176"/>
      <c r="P2416" s="486"/>
      <c r="Q2416" s="247"/>
      <c r="R2416" s="246">
        <f t="shared" si="91"/>
        <v>0</v>
      </c>
      <c r="S2416" s="177"/>
      <c r="T2416" s="182"/>
      <c r="U2416" s="177"/>
      <c r="V2416" s="177"/>
      <c r="W2416" s="177"/>
      <c r="X2416" s="176"/>
      <c r="Y2416" s="177"/>
      <c r="Z2416" s="415"/>
      <c r="AA2416" s="488"/>
      <c r="AB2416" s="594"/>
      <c r="AC2416" s="595"/>
      <c r="AD2416" s="596" t="str">
        <f>IF(AND(AC2416&lt;&gt;"",S2416&lt;&gt;""),NETWORKDAYS(AC2416,S2416,#REF!),"")</f>
        <v/>
      </c>
      <c r="AE2416" s="596" t="str">
        <f ca="1">IF(AND(AD2416="",AC2416=""),"",IF(OR(AD2416&lt;&gt;"",O2416="*CANCELADO"),"",NETWORKDAYS(AC2416,TODAY(),#REF!)))</f>
        <v/>
      </c>
      <c r="AF2416" s="619"/>
    </row>
    <row r="2417" spans="1:32" ht="14.25" customHeight="1">
      <c r="A2417" s="176"/>
      <c r="B2417" s="176"/>
      <c r="C2417" s="177"/>
      <c r="D2417" s="176"/>
      <c r="E2417" s="176"/>
      <c r="F2417" s="259"/>
      <c r="G2417" s="176"/>
      <c r="H2417" s="178"/>
      <c r="I2417" s="592">
        <f t="shared" si="90"/>
        <v>0</v>
      </c>
      <c r="J2417" s="178"/>
      <c r="K2417" s="178"/>
      <c r="L2417" s="275" t="str">
        <f>IF(H:H=0,"",IF(ISERROR(VLOOKUP(H:H,produtos_escape2!$A$2:$B$2794,2,FALSE)),"Código não cadastrado",(VLOOKUP(H:H,produtos_escape2!$A$2:$B$2794,2,FALSE))))</f>
        <v/>
      </c>
      <c r="M2417" s="593" t="str">
        <f>IF(H:H=0,"",IF(ISERROR(VLOOKUP(H:H,produtos_escape2!$A$2:$D$2794,2,FALSE)),"Código não cadastrado",(VLOOKUP(H:H,produtos_escape2!$A$2:$D$2794,4,FALSE))))</f>
        <v/>
      </c>
      <c r="N2417" s="486"/>
      <c r="O2417" s="176"/>
      <c r="P2417" s="486"/>
      <c r="Q2417" s="247"/>
      <c r="R2417" s="246">
        <f t="shared" si="91"/>
        <v>0</v>
      </c>
      <c r="S2417" s="177"/>
      <c r="T2417" s="182"/>
      <c r="U2417" s="177"/>
      <c r="V2417" s="177"/>
      <c r="W2417" s="177"/>
      <c r="X2417" s="176"/>
      <c r="Y2417" s="177"/>
      <c r="Z2417" s="415"/>
      <c r="AA2417" s="488"/>
      <c r="AB2417" s="594"/>
      <c r="AC2417" s="595"/>
      <c r="AD2417" s="596" t="str">
        <f>IF(AND(AC2417&lt;&gt;"",S2417&lt;&gt;""),NETWORKDAYS(AC2417,S2417,#REF!),"")</f>
        <v/>
      </c>
      <c r="AE2417" s="596" t="str">
        <f ca="1">IF(AND(AD2417="",AC2417=""),"",IF(OR(AD2417&lt;&gt;"",O2417="*CANCELADO"),"",NETWORKDAYS(AC2417,TODAY(),#REF!)))</f>
        <v/>
      </c>
      <c r="AF2417" s="619"/>
    </row>
    <row r="2418" spans="1:32" ht="14.25" customHeight="1">
      <c r="A2418" s="176"/>
      <c r="B2418" s="176"/>
      <c r="C2418" s="177"/>
      <c r="D2418" s="176"/>
      <c r="E2418" s="176"/>
      <c r="F2418" s="259"/>
      <c r="G2418" s="176"/>
      <c r="H2418" s="178"/>
      <c r="I2418" s="592">
        <f t="shared" si="90"/>
        <v>0</v>
      </c>
      <c r="J2418" s="178"/>
      <c r="K2418" s="178"/>
      <c r="L2418" s="275" t="str">
        <f>IF(H:H=0,"",IF(ISERROR(VLOOKUP(H:H,produtos_escape2!$A$2:$B$2794,2,FALSE)),"Código não cadastrado",(VLOOKUP(H:H,produtos_escape2!$A$2:$B$2794,2,FALSE))))</f>
        <v/>
      </c>
      <c r="M2418" s="593" t="str">
        <f>IF(H:H=0,"",IF(ISERROR(VLOOKUP(H:H,produtos_escape2!$A$2:$D$2794,2,FALSE)),"Código não cadastrado",(VLOOKUP(H:H,produtos_escape2!$A$2:$D$2794,4,FALSE))))</f>
        <v/>
      </c>
      <c r="N2418" s="486"/>
      <c r="O2418" s="176"/>
      <c r="P2418" s="486"/>
      <c r="Q2418" s="247"/>
      <c r="R2418" s="246">
        <f t="shared" si="91"/>
        <v>0</v>
      </c>
      <c r="S2418" s="177"/>
      <c r="T2418" s="182"/>
      <c r="U2418" s="177"/>
      <c r="V2418" s="177"/>
      <c r="W2418" s="177"/>
      <c r="X2418" s="176"/>
      <c r="Y2418" s="177"/>
      <c r="Z2418" s="415"/>
      <c r="AA2418" s="488"/>
      <c r="AB2418" s="594"/>
      <c r="AC2418" s="595"/>
      <c r="AD2418" s="596" t="str">
        <f>IF(AND(AC2418&lt;&gt;"",S2418&lt;&gt;""),NETWORKDAYS(AC2418,S2418,#REF!),"")</f>
        <v/>
      </c>
      <c r="AE2418" s="596" t="str">
        <f ca="1">IF(AND(AD2418="",AC2418=""),"",IF(OR(AD2418&lt;&gt;"",O2418="*CANCELADO"),"",NETWORKDAYS(AC2418,TODAY(),#REF!)))</f>
        <v/>
      </c>
      <c r="AF2418" s="619"/>
    </row>
    <row r="2419" spans="1:32" ht="14.25" customHeight="1">
      <c r="A2419" s="176"/>
      <c r="B2419" s="176"/>
      <c r="C2419" s="177"/>
      <c r="D2419" s="176"/>
      <c r="E2419" s="176"/>
      <c r="F2419" s="259"/>
      <c r="G2419" s="176"/>
      <c r="H2419" s="178"/>
      <c r="I2419" s="592">
        <f t="shared" si="90"/>
        <v>0</v>
      </c>
      <c r="J2419" s="178"/>
      <c r="K2419" s="178"/>
      <c r="L2419" s="275" t="str">
        <f>IF(H:H=0,"",IF(ISERROR(VLOOKUP(H:H,produtos_escape2!$A$2:$B$2794,2,FALSE)),"Código não cadastrado",(VLOOKUP(H:H,produtos_escape2!$A$2:$B$2794,2,FALSE))))</f>
        <v/>
      </c>
      <c r="M2419" s="593" t="str">
        <f>IF(H:H=0,"",IF(ISERROR(VLOOKUP(H:H,produtos_escape2!$A$2:$D$2794,2,FALSE)),"Código não cadastrado",(VLOOKUP(H:H,produtos_escape2!$A$2:$D$2794,4,FALSE))))</f>
        <v/>
      </c>
      <c r="N2419" s="486"/>
      <c r="O2419" s="176"/>
      <c r="P2419" s="486"/>
      <c r="Q2419" s="247"/>
      <c r="R2419" s="246">
        <f t="shared" si="91"/>
        <v>0</v>
      </c>
      <c r="S2419" s="177"/>
      <c r="T2419" s="182"/>
      <c r="U2419" s="177"/>
      <c r="V2419" s="177"/>
      <c r="W2419" s="177"/>
      <c r="X2419" s="176"/>
      <c r="Y2419" s="177"/>
      <c r="Z2419" s="415"/>
      <c r="AA2419" s="488"/>
      <c r="AB2419" s="594"/>
      <c r="AC2419" s="595"/>
      <c r="AD2419" s="596" t="str">
        <f>IF(AND(AC2419&lt;&gt;"",S2419&lt;&gt;""),NETWORKDAYS(AC2419,S2419,#REF!),"")</f>
        <v/>
      </c>
      <c r="AE2419" s="596" t="str">
        <f ca="1">IF(AND(AD2419="",AC2419=""),"",IF(OR(AD2419&lt;&gt;"",O2419="*CANCELADO"),"",NETWORKDAYS(AC2419,TODAY(),#REF!)))</f>
        <v/>
      </c>
      <c r="AF2419" s="619"/>
    </row>
    <row r="2420" spans="1:32" ht="14.25" customHeight="1">
      <c r="A2420" s="176"/>
      <c r="B2420" s="176"/>
      <c r="C2420" s="177"/>
      <c r="D2420" s="176"/>
      <c r="E2420" s="176"/>
      <c r="F2420" s="259"/>
      <c r="G2420" s="176"/>
      <c r="H2420" s="178"/>
      <c r="I2420" s="592">
        <f t="shared" si="90"/>
        <v>0</v>
      </c>
      <c r="J2420" s="178"/>
      <c r="K2420" s="178"/>
      <c r="L2420" s="275" t="str">
        <f>IF(H:H=0,"",IF(ISERROR(VLOOKUP(H:H,produtos_escape2!$A$2:$B$2794,2,FALSE)),"Código não cadastrado",(VLOOKUP(H:H,produtos_escape2!$A$2:$B$2794,2,FALSE))))</f>
        <v/>
      </c>
      <c r="M2420" s="593" t="str">
        <f>IF(H:H=0,"",IF(ISERROR(VLOOKUP(H:H,produtos_escape2!$A$2:$D$2794,2,FALSE)),"Código não cadastrado",(VLOOKUP(H:H,produtos_escape2!$A$2:$D$2794,4,FALSE))))</f>
        <v/>
      </c>
      <c r="N2420" s="486"/>
      <c r="O2420" s="176"/>
      <c r="P2420" s="486"/>
      <c r="Q2420" s="247"/>
      <c r="R2420" s="246">
        <f t="shared" si="91"/>
        <v>0</v>
      </c>
      <c r="S2420" s="177"/>
      <c r="T2420" s="182"/>
      <c r="U2420" s="177"/>
      <c r="V2420" s="177"/>
      <c r="W2420" s="177"/>
      <c r="X2420" s="176"/>
      <c r="Y2420" s="177"/>
      <c r="Z2420" s="415"/>
      <c r="AA2420" s="488"/>
      <c r="AB2420" s="594"/>
      <c r="AC2420" s="595"/>
      <c r="AD2420" s="596" t="str">
        <f>IF(AND(AC2420&lt;&gt;"",S2420&lt;&gt;""),NETWORKDAYS(AC2420,S2420,#REF!),"")</f>
        <v/>
      </c>
      <c r="AE2420" s="596" t="str">
        <f ca="1">IF(AND(AD2420="",AC2420=""),"",IF(OR(AD2420&lt;&gt;"",O2420="*CANCELADO"),"",NETWORKDAYS(AC2420,TODAY(),#REF!)))</f>
        <v/>
      </c>
      <c r="AF2420" s="619"/>
    </row>
    <row r="2421" spans="1:32" ht="14.25" customHeight="1">
      <c r="A2421" s="176"/>
      <c r="B2421" s="176"/>
      <c r="C2421" s="177"/>
      <c r="D2421" s="176"/>
      <c r="E2421" s="176"/>
      <c r="F2421" s="259"/>
      <c r="G2421" s="176"/>
      <c r="H2421" s="178"/>
      <c r="I2421" s="592">
        <f t="shared" si="90"/>
        <v>0</v>
      </c>
      <c r="J2421" s="178"/>
      <c r="K2421" s="178"/>
      <c r="L2421" s="275" t="str">
        <f>IF(H:H=0,"",IF(ISERROR(VLOOKUP(H:H,produtos_escape2!$A$2:$B$2794,2,FALSE)),"Código não cadastrado",(VLOOKUP(H:H,produtos_escape2!$A$2:$B$2794,2,FALSE))))</f>
        <v/>
      </c>
      <c r="M2421" s="593" t="str">
        <f>IF(H:H=0,"",IF(ISERROR(VLOOKUP(H:H,produtos_escape2!$A$2:$D$2794,2,FALSE)),"Código não cadastrado",(VLOOKUP(H:H,produtos_escape2!$A$2:$D$2794,4,FALSE))))</f>
        <v/>
      </c>
      <c r="N2421" s="486"/>
      <c r="O2421" s="176"/>
      <c r="P2421" s="486"/>
      <c r="Q2421" s="247"/>
      <c r="R2421" s="246">
        <f t="shared" si="91"/>
        <v>0</v>
      </c>
      <c r="S2421" s="177"/>
      <c r="T2421" s="182"/>
      <c r="U2421" s="177"/>
      <c r="V2421" s="177"/>
      <c r="W2421" s="177"/>
      <c r="X2421" s="176"/>
      <c r="Y2421" s="177"/>
      <c r="Z2421" s="415"/>
      <c r="AA2421" s="488"/>
      <c r="AB2421" s="594"/>
      <c r="AC2421" s="595"/>
      <c r="AD2421" s="596" t="str">
        <f>IF(AND(AC2421&lt;&gt;"",S2421&lt;&gt;""),NETWORKDAYS(AC2421,S2421,#REF!),"")</f>
        <v/>
      </c>
      <c r="AE2421" s="596" t="str">
        <f ca="1">IF(AND(AD2421="",AC2421=""),"",IF(OR(AD2421&lt;&gt;"",O2421="*CANCELADO"),"",NETWORKDAYS(AC2421,TODAY(),#REF!)))</f>
        <v/>
      </c>
      <c r="AF2421" s="619"/>
    </row>
    <row r="2422" spans="1:32" ht="14.25" customHeight="1">
      <c r="A2422" s="176"/>
      <c r="B2422" s="176"/>
      <c r="C2422" s="177"/>
      <c r="D2422" s="176"/>
      <c r="E2422" s="176"/>
      <c r="F2422" s="259"/>
      <c r="G2422" s="176"/>
      <c r="H2422" s="178"/>
      <c r="I2422" s="592">
        <f t="shared" ref="I2422:I2485" si="92">COUNTIF($H$3:$H$3041,H2422)</f>
        <v>0</v>
      </c>
      <c r="J2422" s="178"/>
      <c r="K2422" s="178"/>
      <c r="L2422" s="275" t="str">
        <f>IF(H:H=0,"",IF(ISERROR(VLOOKUP(H:H,produtos_escape2!$A$2:$B$2794,2,FALSE)),"Código não cadastrado",(VLOOKUP(H:H,produtos_escape2!$A$2:$B$2794,2,FALSE))))</f>
        <v/>
      </c>
      <c r="M2422" s="593" t="str">
        <f>IF(H:H=0,"",IF(ISERROR(VLOOKUP(H:H,produtos_escape2!$A$2:$D$2794,2,FALSE)),"Código não cadastrado",(VLOOKUP(H:H,produtos_escape2!$A$2:$D$2794,4,FALSE))))</f>
        <v/>
      </c>
      <c r="N2422" s="486"/>
      <c r="O2422" s="176"/>
      <c r="P2422" s="486"/>
      <c r="Q2422" s="247"/>
      <c r="R2422" s="246">
        <f t="shared" si="91"/>
        <v>0</v>
      </c>
      <c r="S2422" s="177"/>
      <c r="T2422" s="182"/>
      <c r="U2422" s="177"/>
      <c r="V2422" s="177"/>
      <c r="W2422" s="177"/>
      <c r="X2422" s="176"/>
      <c r="Y2422" s="177"/>
      <c r="Z2422" s="415"/>
      <c r="AA2422" s="488"/>
      <c r="AB2422" s="594"/>
      <c r="AC2422" s="595"/>
      <c r="AD2422" s="596" t="str">
        <f>IF(AND(AC2422&lt;&gt;"",S2422&lt;&gt;""),NETWORKDAYS(AC2422,S2422,#REF!),"")</f>
        <v/>
      </c>
      <c r="AE2422" s="596" t="str">
        <f ca="1">IF(AND(AD2422="",AC2422=""),"",IF(OR(AD2422&lt;&gt;"",O2422="*CANCELADO"),"",NETWORKDAYS(AC2422,TODAY(),#REF!)))</f>
        <v/>
      </c>
      <c r="AF2422" s="619"/>
    </row>
    <row r="2423" spans="1:32" ht="14.25" customHeight="1">
      <c r="A2423" s="176"/>
      <c r="B2423" s="176"/>
      <c r="C2423" s="177"/>
      <c r="D2423" s="176"/>
      <c r="E2423" s="176"/>
      <c r="F2423" s="259"/>
      <c r="G2423" s="176"/>
      <c r="H2423" s="178"/>
      <c r="I2423" s="592">
        <f t="shared" si="92"/>
        <v>0</v>
      </c>
      <c r="J2423" s="178"/>
      <c r="K2423" s="178"/>
      <c r="L2423" s="275" t="str">
        <f>IF(H:H=0,"",IF(ISERROR(VLOOKUP(H:H,produtos_escape2!$A$2:$B$2794,2,FALSE)),"Código não cadastrado",(VLOOKUP(H:H,produtos_escape2!$A$2:$B$2794,2,FALSE))))</f>
        <v/>
      </c>
      <c r="M2423" s="593" t="str">
        <f>IF(H:H=0,"",IF(ISERROR(VLOOKUP(H:H,produtos_escape2!$A$2:$D$2794,2,FALSE)),"Código não cadastrado",(VLOOKUP(H:H,produtos_escape2!$A$2:$D$2794,4,FALSE))))</f>
        <v/>
      </c>
      <c r="N2423" s="486"/>
      <c r="O2423" s="176"/>
      <c r="P2423" s="486"/>
      <c r="Q2423" s="247"/>
      <c r="R2423" s="246">
        <f t="shared" si="91"/>
        <v>0</v>
      </c>
      <c r="S2423" s="177"/>
      <c r="T2423" s="182"/>
      <c r="U2423" s="177"/>
      <c r="V2423" s="177"/>
      <c r="W2423" s="177"/>
      <c r="X2423" s="176"/>
      <c r="Y2423" s="177"/>
      <c r="Z2423" s="415"/>
      <c r="AA2423" s="488"/>
      <c r="AB2423" s="594"/>
      <c r="AC2423" s="595"/>
      <c r="AD2423" s="596" t="str">
        <f>IF(AND(AC2423&lt;&gt;"",S2423&lt;&gt;""),NETWORKDAYS(AC2423,S2423,#REF!),"")</f>
        <v/>
      </c>
      <c r="AE2423" s="596" t="str">
        <f ca="1">IF(AND(AD2423="",AC2423=""),"",IF(OR(AD2423&lt;&gt;"",O2423="*CANCELADO"),"",NETWORKDAYS(AC2423,TODAY(),#REF!)))</f>
        <v/>
      </c>
      <c r="AF2423" s="619"/>
    </row>
    <row r="2424" spans="1:32" ht="14.25" customHeight="1">
      <c r="A2424" s="176"/>
      <c r="B2424" s="176"/>
      <c r="C2424" s="177"/>
      <c r="D2424" s="176"/>
      <c r="E2424" s="176"/>
      <c r="F2424" s="259"/>
      <c r="G2424" s="176"/>
      <c r="H2424" s="178"/>
      <c r="I2424" s="592">
        <f t="shared" si="92"/>
        <v>0</v>
      </c>
      <c r="J2424" s="178"/>
      <c r="K2424" s="178"/>
      <c r="L2424" s="275" t="str">
        <f>IF(H:H=0,"",IF(ISERROR(VLOOKUP(H:H,produtos_escape2!$A$2:$B$2794,2,FALSE)),"Código não cadastrado",(VLOOKUP(H:H,produtos_escape2!$A$2:$B$2794,2,FALSE))))</f>
        <v/>
      </c>
      <c r="M2424" s="593" t="str">
        <f>IF(H:H=0,"",IF(ISERROR(VLOOKUP(H:H,produtos_escape2!$A$2:$D$2794,2,FALSE)),"Código não cadastrado",(VLOOKUP(H:H,produtos_escape2!$A$2:$D$2794,4,FALSE))))</f>
        <v/>
      </c>
      <c r="N2424" s="486"/>
      <c r="O2424" s="176"/>
      <c r="P2424" s="486"/>
      <c r="Q2424" s="247"/>
      <c r="R2424" s="246">
        <f t="shared" si="91"/>
        <v>0</v>
      </c>
      <c r="S2424" s="177"/>
      <c r="T2424" s="182"/>
      <c r="U2424" s="177"/>
      <c r="V2424" s="177"/>
      <c r="W2424" s="177"/>
      <c r="X2424" s="176"/>
      <c r="Y2424" s="177"/>
      <c r="Z2424" s="415"/>
      <c r="AA2424" s="488"/>
      <c r="AB2424" s="594"/>
      <c r="AC2424" s="595"/>
      <c r="AD2424" s="596" t="str">
        <f>IF(AND(AC2424&lt;&gt;"",S2424&lt;&gt;""),NETWORKDAYS(AC2424,S2424,#REF!),"")</f>
        <v/>
      </c>
      <c r="AE2424" s="596" t="str">
        <f ca="1">IF(AND(AD2424="",AC2424=""),"",IF(OR(AD2424&lt;&gt;"",O2424="*CANCELADO"),"",NETWORKDAYS(AC2424,TODAY(),#REF!)))</f>
        <v/>
      </c>
      <c r="AF2424" s="619"/>
    </row>
    <row r="2425" spans="1:32" ht="14.25" customHeight="1">
      <c r="A2425" s="176"/>
      <c r="B2425" s="176"/>
      <c r="C2425" s="177"/>
      <c r="D2425" s="176"/>
      <c r="E2425" s="176"/>
      <c r="F2425" s="259"/>
      <c r="G2425" s="176"/>
      <c r="H2425" s="178"/>
      <c r="I2425" s="592">
        <f t="shared" si="92"/>
        <v>0</v>
      </c>
      <c r="J2425" s="178"/>
      <c r="K2425" s="178"/>
      <c r="L2425" s="275" t="str">
        <f>IF(H:H=0,"",IF(ISERROR(VLOOKUP(H:H,produtos_escape2!$A$2:$B$2794,2,FALSE)),"Código não cadastrado",(VLOOKUP(H:H,produtos_escape2!$A$2:$B$2794,2,FALSE))))</f>
        <v/>
      </c>
      <c r="M2425" s="593" t="str">
        <f>IF(H:H=0,"",IF(ISERROR(VLOOKUP(H:H,produtos_escape2!$A$2:$D$2794,2,FALSE)),"Código não cadastrado",(VLOOKUP(H:H,produtos_escape2!$A$2:$D$2794,4,FALSE))))</f>
        <v/>
      </c>
      <c r="N2425" s="486"/>
      <c r="O2425" s="176"/>
      <c r="P2425" s="486"/>
      <c r="Q2425" s="247"/>
      <c r="R2425" s="246">
        <f t="shared" si="91"/>
        <v>0</v>
      </c>
      <c r="S2425" s="177"/>
      <c r="T2425" s="182"/>
      <c r="U2425" s="177"/>
      <c r="V2425" s="177"/>
      <c r="W2425" s="177"/>
      <c r="X2425" s="176"/>
      <c r="Y2425" s="177"/>
      <c r="Z2425" s="415"/>
      <c r="AA2425" s="488"/>
      <c r="AB2425" s="594"/>
      <c r="AC2425" s="595"/>
      <c r="AD2425" s="596" t="str">
        <f>IF(AND(AC2425&lt;&gt;"",S2425&lt;&gt;""),NETWORKDAYS(AC2425,S2425,#REF!),"")</f>
        <v/>
      </c>
      <c r="AE2425" s="596" t="str">
        <f ca="1">IF(AND(AD2425="",AC2425=""),"",IF(OR(AD2425&lt;&gt;"",O2425="*CANCELADO"),"",NETWORKDAYS(AC2425,TODAY(),#REF!)))</f>
        <v/>
      </c>
      <c r="AF2425" s="619"/>
    </row>
    <row r="2426" spans="1:32" ht="14.25" customHeight="1">
      <c r="A2426" s="176"/>
      <c r="B2426" s="176"/>
      <c r="C2426" s="177"/>
      <c r="D2426" s="176"/>
      <c r="E2426" s="176"/>
      <c r="F2426" s="259"/>
      <c r="G2426" s="176"/>
      <c r="H2426" s="178"/>
      <c r="I2426" s="592">
        <f t="shared" si="92"/>
        <v>0</v>
      </c>
      <c r="J2426" s="178"/>
      <c r="K2426" s="178"/>
      <c r="L2426" s="275" t="str">
        <f>IF(H:H=0,"",IF(ISERROR(VLOOKUP(H:H,produtos_escape2!$A$2:$B$2794,2,FALSE)),"Código não cadastrado",(VLOOKUP(H:H,produtos_escape2!$A$2:$B$2794,2,FALSE))))</f>
        <v/>
      </c>
      <c r="M2426" s="593" t="str">
        <f>IF(H:H=0,"",IF(ISERROR(VLOOKUP(H:H,produtos_escape2!$A$2:$D$2794,2,FALSE)),"Código não cadastrado",(VLOOKUP(H:H,produtos_escape2!$A$2:$D$2794,4,FALSE))))</f>
        <v/>
      </c>
      <c r="N2426" s="486"/>
      <c r="O2426" s="176"/>
      <c r="P2426" s="486"/>
      <c r="Q2426" s="247"/>
      <c r="R2426" s="246">
        <f t="shared" si="91"/>
        <v>0</v>
      </c>
      <c r="S2426" s="177"/>
      <c r="T2426" s="182"/>
      <c r="U2426" s="177"/>
      <c r="V2426" s="177"/>
      <c r="W2426" s="177"/>
      <c r="X2426" s="176"/>
      <c r="Y2426" s="177"/>
      <c r="Z2426" s="415"/>
      <c r="AA2426" s="488"/>
      <c r="AB2426" s="594"/>
      <c r="AC2426" s="595"/>
      <c r="AD2426" s="596" t="str">
        <f>IF(AND(AC2426&lt;&gt;"",S2426&lt;&gt;""),NETWORKDAYS(AC2426,S2426,#REF!),"")</f>
        <v/>
      </c>
      <c r="AE2426" s="596" t="str">
        <f ca="1">IF(AND(AD2426="",AC2426=""),"",IF(OR(AD2426&lt;&gt;"",O2426="*CANCELADO"),"",NETWORKDAYS(AC2426,TODAY(),#REF!)))</f>
        <v/>
      </c>
      <c r="AF2426" s="619"/>
    </row>
    <row r="2427" spans="1:32" ht="14.25" customHeight="1">
      <c r="A2427" s="176"/>
      <c r="B2427" s="176"/>
      <c r="C2427" s="177"/>
      <c r="D2427" s="176"/>
      <c r="E2427" s="176"/>
      <c r="F2427" s="259"/>
      <c r="G2427" s="176"/>
      <c r="H2427" s="178"/>
      <c r="I2427" s="592">
        <f t="shared" si="92"/>
        <v>0</v>
      </c>
      <c r="J2427" s="178"/>
      <c r="K2427" s="178"/>
      <c r="L2427" s="275" t="str">
        <f>IF(H:H=0,"",IF(ISERROR(VLOOKUP(H:H,produtos_escape2!$A$2:$B$2794,2,FALSE)),"Código não cadastrado",(VLOOKUP(H:H,produtos_escape2!$A$2:$B$2794,2,FALSE))))</f>
        <v/>
      </c>
      <c r="M2427" s="593" t="str">
        <f>IF(H:H=0,"",IF(ISERROR(VLOOKUP(H:H,produtos_escape2!$A$2:$D$2794,2,FALSE)),"Código não cadastrado",(VLOOKUP(H:H,produtos_escape2!$A$2:$D$2794,4,FALSE))))</f>
        <v/>
      </c>
      <c r="N2427" s="486"/>
      <c r="O2427" s="176"/>
      <c r="P2427" s="486"/>
      <c r="Q2427" s="247"/>
      <c r="R2427" s="246">
        <f t="shared" si="91"/>
        <v>0</v>
      </c>
      <c r="S2427" s="177"/>
      <c r="T2427" s="182"/>
      <c r="U2427" s="177"/>
      <c r="V2427" s="177"/>
      <c r="W2427" s="177"/>
      <c r="X2427" s="176"/>
      <c r="Y2427" s="177"/>
      <c r="Z2427" s="415"/>
      <c r="AA2427" s="488"/>
      <c r="AB2427" s="594"/>
      <c r="AC2427" s="595"/>
      <c r="AD2427" s="596" t="str">
        <f>IF(AND(AC2427&lt;&gt;"",S2427&lt;&gt;""),NETWORKDAYS(AC2427,S2427,#REF!),"")</f>
        <v/>
      </c>
      <c r="AE2427" s="596" t="str">
        <f ca="1">IF(AND(AD2427="",AC2427=""),"",IF(OR(AD2427&lt;&gt;"",O2427="*CANCELADO"),"",NETWORKDAYS(AC2427,TODAY(),#REF!)))</f>
        <v/>
      </c>
      <c r="AF2427" s="619"/>
    </row>
    <row r="2428" spans="1:32" ht="14.25" customHeight="1">
      <c r="A2428" s="176"/>
      <c r="B2428" s="176"/>
      <c r="C2428" s="177"/>
      <c r="D2428" s="176"/>
      <c r="E2428" s="176"/>
      <c r="F2428" s="259"/>
      <c r="G2428" s="176"/>
      <c r="H2428" s="178"/>
      <c r="I2428" s="592">
        <f t="shared" si="92"/>
        <v>0</v>
      </c>
      <c r="J2428" s="178"/>
      <c r="K2428" s="178"/>
      <c r="L2428" s="275" t="str">
        <f>IF(H:H=0,"",IF(ISERROR(VLOOKUP(H:H,produtos_escape2!$A$2:$B$2794,2,FALSE)),"Código não cadastrado",(VLOOKUP(H:H,produtos_escape2!$A$2:$B$2794,2,FALSE))))</f>
        <v/>
      </c>
      <c r="M2428" s="593" t="str">
        <f>IF(H:H=0,"",IF(ISERROR(VLOOKUP(H:H,produtos_escape2!$A$2:$D$2794,2,FALSE)),"Código não cadastrado",(VLOOKUP(H:H,produtos_escape2!$A$2:$D$2794,4,FALSE))))</f>
        <v/>
      </c>
      <c r="N2428" s="486"/>
      <c r="O2428" s="176"/>
      <c r="P2428" s="486"/>
      <c r="Q2428" s="247"/>
      <c r="R2428" s="246">
        <f t="shared" si="91"/>
        <v>0</v>
      </c>
      <c r="S2428" s="177"/>
      <c r="T2428" s="182"/>
      <c r="U2428" s="177"/>
      <c r="V2428" s="177"/>
      <c r="W2428" s="177"/>
      <c r="X2428" s="176"/>
      <c r="Y2428" s="177"/>
      <c r="Z2428" s="415"/>
      <c r="AA2428" s="488"/>
      <c r="AB2428" s="594"/>
      <c r="AC2428" s="595"/>
      <c r="AD2428" s="596" t="str">
        <f>IF(AND(AC2428&lt;&gt;"",S2428&lt;&gt;""),NETWORKDAYS(AC2428,S2428,#REF!),"")</f>
        <v/>
      </c>
      <c r="AE2428" s="596" t="str">
        <f ca="1">IF(AND(AD2428="",AC2428=""),"",IF(OR(AD2428&lt;&gt;"",O2428="*CANCELADO"),"",NETWORKDAYS(AC2428,TODAY(),#REF!)))</f>
        <v/>
      </c>
      <c r="AF2428" s="619"/>
    </row>
    <row r="2429" spans="1:32" ht="14.25" customHeight="1">
      <c r="A2429" s="176"/>
      <c r="B2429" s="176"/>
      <c r="C2429" s="177"/>
      <c r="D2429" s="176"/>
      <c r="E2429" s="176"/>
      <c r="F2429" s="259"/>
      <c r="G2429" s="176"/>
      <c r="H2429" s="178"/>
      <c r="I2429" s="592">
        <f t="shared" si="92"/>
        <v>0</v>
      </c>
      <c r="J2429" s="178"/>
      <c r="K2429" s="178"/>
      <c r="L2429" s="275" t="str">
        <f>IF(H:H=0,"",IF(ISERROR(VLOOKUP(H:H,produtos_escape2!$A$2:$B$2794,2,FALSE)),"Código não cadastrado",(VLOOKUP(H:H,produtos_escape2!$A$2:$B$2794,2,FALSE))))</f>
        <v/>
      </c>
      <c r="M2429" s="593" t="str">
        <f>IF(H:H=0,"",IF(ISERROR(VLOOKUP(H:H,produtos_escape2!$A$2:$D$2794,2,FALSE)),"Código não cadastrado",(VLOOKUP(H:H,produtos_escape2!$A$2:$D$2794,4,FALSE))))</f>
        <v/>
      </c>
      <c r="N2429" s="486"/>
      <c r="O2429" s="176"/>
      <c r="P2429" s="486"/>
      <c r="Q2429" s="247"/>
      <c r="R2429" s="246">
        <f t="shared" si="91"/>
        <v>0</v>
      </c>
      <c r="S2429" s="177"/>
      <c r="T2429" s="182"/>
      <c r="U2429" s="177"/>
      <c r="V2429" s="177"/>
      <c r="W2429" s="177"/>
      <c r="X2429" s="176"/>
      <c r="Y2429" s="177"/>
      <c r="Z2429" s="415"/>
      <c r="AA2429" s="488"/>
      <c r="AB2429" s="594"/>
      <c r="AC2429" s="595"/>
      <c r="AD2429" s="596" t="str">
        <f>IF(AND(AC2429&lt;&gt;"",S2429&lt;&gt;""),NETWORKDAYS(AC2429,S2429,#REF!),"")</f>
        <v/>
      </c>
      <c r="AE2429" s="596" t="str">
        <f ca="1">IF(AND(AD2429="",AC2429=""),"",IF(OR(AD2429&lt;&gt;"",O2429="*CANCELADO"),"",NETWORKDAYS(AC2429,TODAY(),#REF!)))</f>
        <v/>
      </c>
      <c r="AF2429" s="619"/>
    </row>
    <row r="2430" spans="1:32" ht="14.25" customHeight="1">
      <c r="A2430" s="176"/>
      <c r="B2430" s="176"/>
      <c r="C2430" s="177"/>
      <c r="D2430" s="176"/>
      <c r="E2430" s="176"/>
      <c r="F2430" s="259"/>
      <c r="G2430" s="176"/>
      <c r="H2430" s="178"/>
      <c r="I2430" s="592">
        <f t="shared" si="92"/>
        <v>0</v>
      </c>
      <c r="J2430" s="178"/>
      <c r="K2430" s="178"/>
      <c r="L2430" s="275" t="str">
        <f>IF(H:H=0,"",IF(ISERROR(VLOOKUP(H:H,produtos_escape2!$A$2:$B$2794,2,FALSE)),"Código não cadastrado",(VLOOKUP(H:H,produtos_escape2!$A$2:$B$2794,2,FALSE))))</f>
        <v/>
      </c>
      <c r="M2430" s="593" t="str">
        <f>IF(H:H=0,"",IF(ISERROR(VLOOKUP(H:H,produtos_escape2!$A$2:$D$2794,2,FALSE)),"Código não cadastrado",(VLOOKUP(H:H,produtos_escape2!$A$2:$D$2794,4,FALSE))))</f>
        <v/>
      </c>
      <c r="N2430" s="486"/>
      <c r="O2430" s="176"/>
      <c r="P2430" s="486"/>
      <c r="Q2430" s="247"/>
      <c r="R2430" s="246">
        <f t="shared" si="91"/>
        <v>0</v>
      </c>
      <c r="S2430" s="177"/>
      <c r="T2430" s="182"/>
      <c r="U2430" s="177"/>
      <c r="V2430" s="177"/>
      <c r="W2430" s="177"/>
      <c r="X2430" s="176"/>
      <c r="Y2430" s="177"/>
      <c r="Z2430" s="415"/>
      <c r="AA2430" s="488"/>
      <c r="AB2430" s="594"/>
      <c r="AC2430" s="595"/>
      <c r="AD2430" s="596" t="str">
        <f>IF(AND(AC2430&lt;&gt;"",S2430&lt;&gt;""),NETWORKDAYS(AC2430,S2430,#REF!),"")</f>
        <v/>
      </c>
      <c r="AE2430" s="596" t="str">
        <f ca="1">IF(AND(AD2430="",AC2430=""),"",IF(OR(AD2430&lt;&gt;"",O2430="*CANCELADO"),"",NETWORKDAYS(AC2430,TODAY(),#REF!)))</f>
        <v/>
      </c>
      <c r="AF2430" s="619"/>
    </row>
    <row r="2431" spans="1:32" ht="14.25" customHeight="1">
      <c r="A2431" s="176"/>
      <c r="B2431" s="176"/>
      <c r="C2431" s="177"/>
      <c r="D2431" s="176"/>
      <c r="E2431" s="176"/>
      <c r="F2431" s="259"/>
      <c r="G2431" s="176"/>
      <c r="H2431" s="178"/>
      <c r="I2431" s="592">
        <f t="shared" si="92"/>
        <v>0</v>
      </c>
      <c r="J2431" s="178"/>
      <c r="K2431" s="178"/>
      <c r="L2431" s="275" t="str">
        <f>IF(H:H=0,"",IF(ISERROR(VLOOKUP(H:H,produtos_escape2!$A$2:$B$2794,2,FALSE)),"Código não cadastrado",(VLOOKUP(H:H,produtos_escape2!$A$2:$B$2794,2,FALSE))))</f>
        <v/>
      </c>
      <c r="M2431" s="593" t="str">
        <f>IF(H:H=0,"",IF(ISERROR(VLOOKUP(H:H,produtos_escape2!$A$2:$D$2794,2,FALSE)),"Código não cadastrado",(VLOOKUP(H:H,produtos_escape2!$A$2:$D$2794,4,FALSE))))</f>
        <v/>
      </c>
      <c r="N2431" s="486"/>
      <c r="O2431" s="176"/>
      <c r="P2431" s="486"/>
      <c r="Q2431" s="247"/>
      <c r="R2431" s="246">
        <f t="shared" si="91"/>
        <v>0</v>
      </c>
      <c r="S2431" s="177"/>
      <c r="T2431" s="182"/>
      <c r="U2431" s="177"/>
      <c r="V2431" s="177"/>
      <c r="W2431" s="177"/>
      <c r="X2431" s="176"/>
      <c r="Y2431" s="177"/>
      <c r="Z2431" s="415"/>
      <c r="AA2431" s="488"/>
      <c r="AB2431" s="594"/>
      <c r="AC2431" s="595"/>
      <c r="AD2431" s="596" t="str">
        <f>IF(AND(AC2431&lt;&gt;"",S2431&lt;&gt;""),NETWORKDAYS(AC2431,S2431,#REF!),"")</f>
        <v/>
      </c>
      <c r="AE2431" s="596" t="str">
        <f ca="1">IF(AND(AD2431="",AC2431=""),"",IF(OR(AD2431&lt;&gt;"",O2431="*CANCELADO"),"",NETWORKDAYS(AC2431,TODAY(),#REF!)))</f>
        <v/>
      </c>
      <c r="AF2431" s="619"/>
    </row>
    <row r="2432" spans="1:32" ht="14.25" customHeight="1">
      <c r="A2432" s="176"/>
      <c r="B2432" s="176"/>
      <c r="C2432" s="177"/>
      <c r="D2432" s="176"/>
      <c r="E2432" s="176"/>
      <c r="F2432" s="259"/>
      <c r="G2432" s="176"/>
      <c r="H2432" s="178"/>
      <c r="I2432" s="592">
        <f t="shared" si="92"/>
        <v>0</v>
      </c>
      <c r="J2432" s="178"/>
      <c r="K2432" s="178"/>
      <c r="L2432" s="275" t="str">
        <f>IF(H:H=0,"",IF(ISERROR(VLOOKUP(H:H,produtos_escape2!$A$2:$B$2794,2,FALSE)),"Código não cadastrado",(VLOOKUP(H:H,produtos_escape2!$A$2:$B$2794,2,FALSE))))</f>
        <v/>
      </c>
      <c r="M2432" s="593" t="str">
        <f>IF(H:H=0,"",IF(ISERROR(VLOOKUP(H:H,produtos_escape2!$A$2:$D$2794,2,FALSE)),"Código não cadastrado",(VLOOKUP(H:H,produtos_escape2!$A$2:$D$2794,4,FALSE))))</f>
        <v/>
      </c>
      <c r="N2432" s="486"/>
      <c r="O2432" s="176"/>
      <c r="P2432" s="486"/>
      <c r="Q2432" s="247"/>
      <c r="R2432" s="246">
        <f t="shared" si="91"/>
        <v>0</v>
      </c>
      <c r="S2432" s="177"/>
      <c r="T2432" s="182"/>
      <c r="U2432" s="177"/>
      <c r="V2432" s="177"/>
      <c r="W2432" s="177"/>
      <c r="X2432" s="176"/>
      <c r="Y2432" s="177"/>
      <c r="Z2432" s="415"/>
      <c r="AA2432" s="488"/>
      <c r="AB2432" s="594"/>
      <c r="AC2432" s="595"/>
      <c r="AD2432" s="596" t="str">
        <f>IF(AND(AC2432&lt;&gt;"",S2432&lt;&gt;""),NETWORKDAYS(AC2432,S2432,#REF!),"")</f>
        <v/>
      </c>
      <c r="AE2432" s="596" t="str">
        <f ca="1">IF(AND(AD2432="",AC2432=""),"",IF(OR(AD2432&lt;&gt;"",O2432="*CANCELADO"),"",NETWORKDAYS(AC2432,TODAY(),#REF!)))</f>
        <v/>
      </c>
      <c r="AF2432" s="619"/>
    </row>
    <row r="2433" spans="1:32" ht="14.25" customHeight="1">
      <c r="A2433" s="176"/>
      <c r="B2433" s="176"/>
      <c r="C2433" s="177"/>
      <c r="D2433" s="176"/>
      <c r="E2433" s="176"/>
      <c r="F2433" s="259"/>
      <c r="G2433" s="176"/>
      <c r="H2433" s="178"/>
      <c r="I2433" s="592">
        <f t="shared" si="92"/>
        <v>0</v>
      </c>
      <c r="J2433" s="178"/>
      <c r="K2433" s="178"/>
      <c r="L2433" s="275" t="str">
        <f>IF(H:H=0,"",IF(ISERROR(VLOOKUP(H:H,produtos_escape2!$A$2:$B$2794,2,FALSE)),"Código não cadastrado",(VLOOKUP(H:H,produtos_escape2!$A$2:$B$2794,2,FALSE))))</f>
        <v/>
      </c>
      <c r="M2433" s="593" t="str">
        <f>IF(H:H=0,"",IF(ISERROR(VLOOKUP(H:H,produtos_escape2!$A$2:$D$2794,2,FALSE)),"Código não cadastrado",(VLOOKUP(H:H,produtos_escape2!$A$2:$D$2794,4,FALSE))))</f>
        <v/>
      </c>
      <c r="N2433" s="486"/>
      <c r="O2433" s="176"/>
      <c r="P2433" s="486"/>
      <c r="Q2433" s="247"/>
      <c r="R2433" s="246">
        <f t="shared" si="91"/>
        <v>0</v>
      </c>
      <c r="S2433" s="177"/>
      <c r="T2433" s="182"/>
      <c r="U2433" s="177"/>
      <c r="V2433" s="177"/>
      <c r="W2433" s="177"/>
      <c r="X2433" s="176"/>
      <c r="Y2433" s="177"/>
      <c r="Z2433" s="415"/>
      <c r="AA2433" s="488"/>
      <c r="AB2433" s="594"/>
      <c r="AC2433" s="595"/>
      <c r="AD2433" s="596" t="str">
        <f>IF(AND(AC2433&lt;&gt;"",S2433&lt;&gt;""),NETWORKDAYS(AC2433,S2433,#REF!),"")</f>
        <v/>
      </c>
      <c r="AE2433" s="596" t="str">
        <f ca="1">IF(AND(AD2433="",AC2433=""),"",IF(OR(AD2433&lt;&gt;"",O2433="*CANCELADO"),"",NETWORKDAYS(AC2433,TODAY(),#REF!)))</f>
        <v/>
      </c>
      <c r="AF2433" s="619"/>
    </row>
    <row r="2434" spans="1:32" ht="14.25" customHeight="1">
      <c r="A2434" s="176"/>
      <c r="B2434" s="176"/>
      <c r="C2434" s="177"/>
      <c r="D2434" s="176"/>
      <c r="E2434" s="176"/>
      <c r="F2434" s="259"/>
      <c r="G2434" s="176"/>
      <c r="H2434" s="178"/>
      <c r="I2434" s="592">
        <f t="shared" si="92"/>
        <v>0</v>
      </c>
      <c r="J2434" s="178"/>
      <c r="K2434" s="178"/>
      <c r="L2434" s="275" t="str">
        <f>IF(H:H=0,"",IF(ISERROR(VLOOKUP(H:H,produtos_escape2!$A$2:$B$2794,2,FALSE)),"Código não cadastrado",(VLOOKUP(H:H,produtos_escape2!$A$2:$B$2794,2,FALSE))))</f>
        <v/>
      </c>
      <c r="M2434" s="593" t="str">
        <f>IF(H:H=0,"",IF(ISERROR(VLOOKUP(H:H,produtos_escape2!$A$2:$D$2794,2,FALSE)),"Código não cadastrado",(VLOOKUP(H:H,produtos_escape2!$A$2:$D$2794,4,FALSE))))</f>
        <v/>
      </c>
      <c r="N2434" s="486"/>
      <c r="O2434" s="176"/>
      <c r="P2434" s="486"/>
      <c r="Q2434" s="247"/>
      <c r="R2434" s="246">
        <f t="shared" si="91"/>
        <v>0</v>
      </c>
      <c r="S2434" s="177"/>
      <c r="T2434" s="182"/>
      <c r="U2434" s="177"/>
      <c r="V2434" s="177"/>
      <c r="W2434" s="177"/>
      <c r="X2434" s="176"/>
      <c r="Y2434" s="177"/>
      <c r="Z2434" s="415"/>
      <c r="AA2434" s="488"/>
      <c r="AB2434" s="594"/>
      <c r="AC2434" s="595"/>
      <c r="AD2434" s="596" t="str">
        <f>IF(AND(AC2434&lt;&gt;"",S2434&lt;&gt;""),NETWORKDAYS(AC2434,S2434,#REF!),"")</f>
        <v/>
      </c>
      <c r="AE2434" s="596" t="str">
        <f ca="1">IF(AND(AD2434="",AC2434=""),"",IF(OR(AD2434&lt;&gt;"",O2434="*CANCELADO"),"",NETWORKDAYS(AC2434,TODAY(),#REF!)))</f>
        <v/>
      </c>
      <c r="AF2434" s="619"/>
    </row>
    <row r="2435" spans="1:32" ht="14.25" customHeight="1">
      <c r="A2435" s="176"/>
      <c r="B2435" s="176"/>
      <c r="C2435" s="177"/>
      <c r="D2435" s="176"/>
      <c r="E2435" s="176"/>
      <c r="F2435" s="259"/>
      <c r="G2435" s="176"/>
      <c r="H2435" s="178"/>
      <c r="I2435" s="592">
        <f t="shared" si="92"/>
        <v>0</v>
      </c>
      <c r="J2435" s="178"/>
      <c r="K2435" s="178"/>
      <c r="L2435" s="275" t="str">
        <f>IF(H:H=0,"",IF(ISERROR(VLOOKUP(H:H,produtos_escape2!$A$2:$B$2794,2,FALSE)),"Código não cadastrado",(VLOOKUP(H:H,produtos_escape2!$A$2:$B$2794,2,FALSE))))</f>
        <v/>
      </c>
      <c r="M2435" s="593" t="str">
        <f>IF(H:H=0,"",IF(ISERROR(VLOOKUP(H:H,produtos_escape2!$A$2:$D$2794,2,FALSE)),"Código não cadastrado",(VLOOKUP(H:H,produtos_escape2!$A$2:$D$2794,4,FALSE))))</f>
        <v/>
      </c>
      <c r="N2435" s="486"/>
      <c r="O2435" s="176"/>
      <c r="P2435" s="486"/>
      <c r="Q2435" s="247"/>
      <c r="R2435" s="246">
        <f t="shared" si="91"/>
        <v>0</v>
      </c>
      <c r="S2435" s="177"/>
      <c r="T2435" s="182"/>
      <c r="U2435" s="177"/>
      <c r="V2435" s="177"/>
      <c r="W2435" s="177"/>
      <c r="X2435" s="176"/>
      <c r="Y2435" s="177"/>
      <c r="Z2435" s="415"/>
      <c r="AA2435" s="488"/>
      <c r="AB2435" s="594"/>
      <c r="AC2435" s="595"/>
      <c r="AD2435" s="596" t="str">
        <f>IF(AND(AC2435&lt;&gt;"",S2435&lt;&gt;""),NETWORKDAYS(AC2435,S2435,#REF!),"")</f>
        <v/>
      </c>
      <c r="AE2435" s="596" t="str">
        <f ca="1">IF(AND(AD2435="",AC2435=""),"",IF(OR(AD2435&lt;&gt;"",O2435="*CANCELADO"),"",NETWORKDAYS(AC2435,TODAY(),#REF!)))</f>
        <v/>
      </c>
      <c r="AF2435" s="619"/>
    </row>
    <row r="2436" spans="1:32" ht="14.25" customHeight="1">
      <c r="A2436" s="176"/>
      <c r="B2436" s="176"/>
      <c r="C2436" s="177"/>
      <c r="D2436" s="176"/>
      <c r="E2436" s="176"/>
      <c r="F2436" s="259"/>
      <c r="G2436" s="176"/>
      <c r="H2436" s="178"/>
      <c r="I2436" s="592">
        <f t="shared" si="92"/>
        <v>0</v>
      </c>
      <c r="J2436" s="178"/>
      <c r="K2436" s="178"/>
      <c r="L2436" s="275" t="str">
        <f>IF(H:H=0,"",IF(ISERROR(VLOOKUP(H:H,produtos_escape2!$A$2:$B$2794,2,FALSE)),"Código não cadastrado",(VLOOKUP(H:H,produtos_escape2!$A$2:$B$2794,2,FALSE))))</f>
        <v/>
      </c>
      <c r="M2436" s="593" t="str">
        <f>IF(H:H=0,"",IF(ISERROR(VLOOKUP(H:H,produtos_escape2!$A$2:$D$2794,2,FALSE)),"Código não cadastrado",(VLOOKUP(H:H,produtos_escape2!$A$2:$D$2794,4,FALSE))))</f>
        <v/>
      </c>
      <c r="N2436" s="486"/>
      <c r="O2436" s="176"/>
      <c r="P2436" s="486"/>
      <c r="Q2436" s="247"/>
      <c r="R2436" s="246">
        <f t="shared" si="91"/>
        <v>0</v>
      </c>
      <c r="S2436" s="177"/>
      <c r="T2436" s="182"/>
      <c r="U2436" s="177"/>
      <c r="V2436" s="177"/>
      <c r="W2436" s="177"/>
      <c r="X2436" s="176"/>
      <c r="Y2436" s="177"/>
      <c r="Z2436" s="415"/>
      <c r="AA2436" s="488"/>
      <c r="AB2436" s="594"/>
      <c r="AC2436" s="595"/>
      <c r="AD2436" s="596" t="str">
        <f>IF(AND(AC2436&lt;&gt;"",S2436&lt;&gt;""),NETWORKDAYS(AC2436,S2436,#REF!),"")</f>
        <v/>
      </c>
      <c r="AE2436" s="596" t="str">
        <f ca="1">IF(AND(AD2436="",AC2436=""),"",IF(OR(AD2436&lt;&gt;"",O2436="*CANCELADO"),"",NETWORKDAYS(AC2436,TODAY(),#REF!)))</f>
        <v/>
      </c>
      <c r="AF2436" s="619"/>
    </row>
    <row r="2437" spans="1:32" ht="14.25" customHeight="1">
      <c r="A2437" s="176"/>
      <c r="B2437" s="176"/>
      <c r="C2437" s="177"/>
      <c r="D2437" s="176"/>
      <c r="E2437" s="176"/>
      <c r="F2437" s="259"/>
      <c r="G2437" s="176"/>
      <c r="H2437" s="178"/>
      <c r="I2437" s="592">
        <f t="shared" si="92"/>
        <v>0</v>
      </c>
      <c r="J2437" s="178"/>
      <c r="K2437" s="178"/>
      <c r="L2437" s="275" t="str">
        <f>IF(H:H=0,"",IF(ISERROR(VLOOKUP(H:H,produtos_escape2!$A$2:$B$2794,2,FALSE)),"Código não cadastrado",(VLOOKUP(H:H,produtos_escape2!$A$2:$B$2794,2,FALSE))))</f>
        <v/>
      </c>
      <c r="M2437" s="593" t="str">
        <f>IF(H:H=0,"",IF(ISERROR(VLOOKUP(H:H,produtos_escape2!$A$2:$D$2794,2,FALSE)),"Código não cadastrado",(VLOOKUP(H:H,produtos_escape2!$A$2:$D$2794,4,FALSE))))</f>
        <v/>
      </c>
      <c r="N2437" s="486"/>
      <c r="O2437" s="176"/>
      <c r="P2437" s="486"/>
      <c r="Q2437" s="247"/>
      <c r="R2437" s="246">
        <f t="shared" si="91"/>
        <v>0</v>
      </c>
      <c r="S2437" s="177"/>
      <c r="T2437" s="182"/>
      <c r="U2437" s="177"/>
      <c r="V2437" s="177"/>
      <c r="W2437" s="177"/>
      <c r="X2437" s="176"/>
      <c r="Y2437" s="177"/>
      <c r="Z2437" s="415"/>
      <c r="AA2437" s="488"/>
      <c r="AB2437" s="594"/>
      <c r="AC2437" s="595"/>
      <c r="AD2437" s="596" t="str">
        <f>IF(AND(AC2437&lt;&gt;"",S2437&lt;&gt;""),NETWORKDAYS(AC2437,S2437,#REF!),"")</f>
        <v/>
      </c>
      <c r="AE2437" s="596" t="str">
        <f ca="1">IF(AND(AD2437="",AC2437=""),"",IF(OR(AD2437&lt;&gt;"",O2437="*CANCELADO"),"",NETWORKDAYS(AC2437,TODAY(),#REF!)))</f>
        <v/>
      </c>
      <c r="AF2437" s="619"/>
    </row>
    <row r="2438" spans="1:32" ht="14.25" customHeight="1">
      <c r="A2438" s="176"/>
      <c r="B2438" s="176"/>
      <c r="C2438" s="177"/>
      <c r="D2438" s="176"/>
      <c r="E2438" s="176"/>
      <c r="F2438" s="259"/>
      <c r="G2438" s="176"/>
      <c r="H2438" s="178"/>
      <c r="I2438" s="592">
        <f t="shared" si="92"/>
        <v>0</v>
      </c>
      <c r="J2438" s="178"/>
      <c r="K2438" s="178"/>
      <c r="L2438" s="275" t="str">
        <f>IF(H:H=0,"",IF(ISERROR(VLOOKUP(H:H,produtos_escape2!$A$2:$B$2794,2,FALSE)),"Código não cadastrado",(VLOOKUP(H:H,produtos_escape2!$A$2:$B$2794,2,FALSE))))</f>
        <v/>
      </c>
      <c r="M2438" s="593" t="str">
        <f>IF(H:H=0,"",IF(ISERROR(VLOOKUP(H:H,produtos_escape2!$A$2:$D$2794,2,FALSE)),"Código não cadastrado",(VLOOKUP(H:H,produtos_escape2!$A$2:$D$2794,4,FALSE))))</f>
        <v/>
      </c>
      <c r="N2438" s="486"/>
      <c r="O2438" s="176"/>
      <c r="P2438" s="486"/>
      <c r="Q2438" s="247"/>
      <c r="R2438" s="246">
        <f t="shared" si="91"/>
        <v>0</v>
      </c>
      <c r="S2438" s="177"/>
      <c r="T2438" s="182"/>
      <c r="U2438" s="177"/>
      <c r="V2438" s="177"/>
      <c r="W2438" s="177"/>
      <c r="X2438" s="176"/>
      <c r="Y2438" s="177"/>
      <c r="Z2438" s="415"/>
      <c r="AA2438" s="488"/>
      <c r="AB2438" s="594"/>
      <c r="AC2438" s="595"/>
      <c r="AD2438" s="596" t="str">
        <f>IF(AND(AC2438&lt;&gt;"",S2438&lt;&gt;""),NETWORKDAYS(AC2438,S2438,#REF!),"")</f>
        <v/>
      </c>
      <c r="AE2438" s="596" t="str">
        <f ca="1">IF(AND(AD2438="",AC2438=""),"",IF(OR(AD2438&lt;&gt;"",O2438="*CANCELADO"),"",NETWORKDAYS(AC2438,TODAY(),#REF!)))</f>
        <v/>
      </c>
      <c r="AF2438" s="619"/>
    </row>
    <row r="2439" spans="1:32" ht="14.25" customHeight="1">
      <c r="A2439" s="176"/>
      <c r="B2439" s="176"/>
      <c r="C2439" s="177"/>
      <c r="D2439" s="176"/>
      <c r="E2439" s="176"/>
      <c r="F2439" s="259"/>
      <c r="G2439" s="176"/>
      <c r="H2439" s="178"/>
      <c r="I2439" s="592">
        <f t="shared" si="92"/>
        <v>0</v>
      </c>
      <c r="J2439" s="178"/>
      <c r="K2439" s="178"/>
      <c r="L2439" s="275" t="str">
        <f>IF(H:H=0,"",IF(ISERROR(VLOOKUP(H:H,produtos_escape2!$A$2:$B$2794,2,FALSE)),"Código não cadastrado",(VLOOKUP(H:H,produtos_escape2!$A$2:$B$2794,2,FALSE))))</f>
        <v/>
      </c>
      <c r="M2439" s="593" t="str">
        <f>IF(H:H=0,"",IF(ISERROR(VLOOKUP(H:H,produtos_escape2!$A$2:$D$2794,2,FALSE)),"Código não cadastrado",(VLOOKUP(H:H,produtos_escape2!$A$2:$D$2794,4,FALSE))))</f>
        <v/>
      </c>
      <c r="N2439" s="486"/>
      <c r="O2439" s="176"/>
      <c r="P2439" s="486"/>
      <c r="Q2439" s="247"/>
      <c r="R2439" s="246">
        <f t="shared" si="91"/>
        <v>0</v>
      </c>
      <c r="S2439" s="177"/>
      <c r="T2439" s="182"/>
      <c r="U2439" s="177"/>
      <c r="V2439" s="177"/>
      <c r="W2439" s="177"/>
      <c r="X2439" s="176"/>
      <c r="Y2439" s="177"/>
      <c r="Z2439" s="415"/>
      <c r="AA2439" s="488"/>
      <c r="AB2439" s="594"/>
      <c r="AC2439" s="595"/>
      <c r="AD2439" s="596" t="str">
        <f>IF(AND(AC2439&lt;&gt;"",S2439&lt;&gt;""),NETWORKDAYS(AC2439,S2439,#REF!),"")</f>
        <v/>
      </c>
      <c r="AE2439" s="596" t="str">
        <f ca="1">IF(AND(AD2439="",AC2439=""),"",IF(OR(AD2439&lt;&gt;"",O2439="*CANCELADO"),"",NETWORKDAYS(AC2439,TODAY(),#REF!)))</f>
        <v/>
      </c>
      <c r="AF2439" s="619"/>
    </row>
    <row r="2440" spans="1:32" ht="14.25" customHeight="1">
      <c r="A2440" s="176"/>
      <c r="B2440" s="176"/>
      <c r="C2440" s="177"/>
      <c r="D2440" s="176"/>
      <c r="E2440" s="176"/>
      <c r="F2440" s="259"/>
      <c r="G2440" s="176"/>
      <c r="H2440" s="178"/>
      <c r="I2440" s="592">
        <f t="shared" si="92"/>
        <v>0</v>
      </c>
      <c r="J2440" s="178"/>
      <c r="K2440" s="178"/>
      <c r="L2440" s="275" t="str">
        <f>IF(H:H=0,"",IF(ISERROR(VLOOKUP(H:H,produtos_escape2!$A$2:$B$2794,2,FALSE)),"Código não cadastrado",(VLOOKUP(H:H,produtos_escape2!$A$2:$B$2794,2,FALSE))))</f>
        <v/>
      </c>
      <c r="M2440" s="593" t="str">
        <f>IF(H:H=0,"",IF(ISERROR(VLOOKUP(H:H,produtos_escape2!$A$2:$D$2794,2,FALSE)),"Código não cadastrado",(VLOOKUP(H:H,produtos_escape2!$A$2:$D$2794,4,FALSE))))</f>
        <v/>
      </c>
      <c r="N2440" s="486"/>
      <c r="O2440" s="176"/>
      <c r="P2440" s="486"/>
      <c r="Q2440" s="247"/>
      <c r="R2440" s="246">
        <f t="shared" si="91"/>
        <v>0</v>
      </c>
      <c r="S2440" s="177"/>
      <c r="T2440" s="182"/>
      <c r="U2440" s="177"/>
      <c r="V2440" s="177"/>
      <c r="W2440" s="177"/>
      <c r="X2440" s="176"/>
      <c r="Y2440" s="177"/>
      <c r="Z2440" s="415"/>
      <c r="AA2440" s="488"/>
      <c r="AB2440" s="594"/>
      <c r="AC2440" s="595"/>
      <c r="AD2440" s="596" t="str">
        <f>IF(AND(AC2440&lt;&gt;"",S2440&lt;&gt;""),NETWORKDAYS(AC2440,S2440,#REF!),"")</f>
        <v/>
      </c>
      <c r="AE2440" s="596" t="str">
        <f ca="1">IF(AND(AD2440="",AC2440=""),"",IF(OR(AD2440&lt;&gt;"",O2440="*CANCELADO"),"",NETWORKDAYS(AC2440,TODAY(),#REF!)))</f>
        <v/>
      </c>
      <c r="AF2440" s="619"/>
    </row>
    <row r="2441" spans="1:32" ht="14.25" customHeight="1">
      <c r="A2441" s="176"/>
      <c r="B2441" s="176"/>
      <c r="C2441" s="177"/>
      <c r="D2441" s="176"/>
      <c r="E2441" s="176"/>
      <c r="F2441" s="259"/>
      <c r="G2441" s="176"/>
      <c r="H2441" s="178"/>
      <c r="I2441" s="592">
        <f t="shared" si="92"/>
        <v>0</v>
      </c>
      <c r="J2441" s="178"/>
      <c r="K2441" s="178"/>
      <c r="L2441" s="275" t="str">
        <f>IF(H:H=0,"",IF(ISERROR(VLOOKUP(H:H,produtos_escape2!$A$2:$B$2794,2,FALSE)),"Código não cadastrado",(VLOOKUP(H:H,produtos_escape2!$A$2:$B$2794,2,FALSE))))</f>
        <v/>
      </c>
      <c r="M2441" s="593" t="str">
        <f>IF(H:H=0,"",IF(ISERROR(VLOOKUP(H:H,produtos_escape2!$A$2:$D$2794,2,FALSE)),"Código não cadastrado",(VLOOKUP(H:H,produtos_escape2!$A$2:$D$2794,4,FALSE))))</f>
        <v/>
      </c>
      <c r="N2441" s="486"/>
      <c r="O2441" s="176"/>
      <c r="P2441" s="486"/>
      <c r="Q2441" s="247"/>
      <c r="R2441" s="246">
        <f t="shared" si="91"/>
        <v>0</v>
      </c>
      <c r="S2441" s="177"/>
      <c r="T2441" s="182"/>
      <c r="U2441" s="177"/>
      <c r="V2441" s="177"/>
      <c r="W2441" s="177"/>
      <c r="X2441" s="176"/>
      <c r="Y2441" s="177"/>
      <c r="Z2441" s="415"/>
      <c r="AA2441" s="488"/>
      <c r="AB2441" s="594"/>
      <c r="AC2441" s="595"/>
      <c r="AD2441" s="596" t="str">
        <f>IF(AND(AC2441&lt;&gt;"",S2441&lt;&gt;""),NETWORKDAYS(AC2441,S2441,#REF!),"")</f>
        <v/>
      </c>
      <c r="AE2441" s="596" t="str">
        <f ca="1">IF(AND(AD2441="",AC2441=""),"",IF(OR(AD2441&lt;&gt;"",O2441="*CANCELADO"),"",NETWORKDAYS(AC2441,TODAY(),#REF!)))</f>
        <v/>
      </c>
      <c r="AF2441" s="619"/>
    </row>
    <row r="2442" spans="1:32" ht="14.25" customHeight="1">
      <c r="A2442" s="176"/>
      <c r="B2442" s="176"/>
      <c r="C2442" s="177"/>
      <c r="D2442" s="176"/>
      <c r="E2442" s="176"/>
      <c r="F2442" s="259"/>
      <c r="G2442" s="176"/>
      <c r="H2442" s="178"/>
      <c r="I2442" s="592">
        <f t="shared" si="92"/>
        <v>0</v>
      </c>
      <c r="J2442" s="178"/>
      <c r="K2442" s="178"/>
      <c r="L2442" s="275" t="str">
        <f>IF(H:H=0,"",IF(ISERROR(VLOOKUP(H:H,produtos_escape2!$A$2:$B$2794,2,FALSE)),"Código não cadastrado",(VLOOKUP(H:H,produtos_escape2!$A$2:$B$2794,2,FALSE))))</f>
        <v/>
      </c>
      <c r="M2442" s="593" t="str">
        <f>IF(H:H=0,"",IF(ISERROR(VLOOKUP(H:H,produtos_escape2!$A$2:$D$2794,2,FALSE)),"Código não cadastrado",(VLOOKUP(H:H,produtos_escape2!$A$2:$D$2794,4,FALSE))))</f>
        <v/>
      </c>
      <c r="N2442" s="486"/>
      <c r="O2442" s="176"/>
      <c r="P2442" s="486"/>
      <c r="Q2442" s="247"/>
      <c r="R2442" s="246">
        <f t="shared" si="91"/>
        <v>0</v>
      </c>
      <c r="S2442" s="177"/>
      <c r="T2442" s="182"/>
      <c r="U2442" s="177"/>
      <c r="V2442" s="177"/>
      <c r="W2442" s="177"/>
      <c r="X2442" s="176"/>
      <c r="Y2442" s="177"/>
      <c r="Z2442" s="415"/>
      <c r="AA2442" s="488"/>
      <c r="AB2442" s="594"/>
      <c r="AC2442" s="595"/>
      <c r="AD2442" s="596" t="str">
        <f>IF(AND(AC2442&lt;&gt;"",S2442&lt;&gt;""),NETWORKDAYS(AC2442,S2442,#REF!),"")</f>
        <v/>
      </c>
      <c r="AE2442" s="596" t="str">
        <f ca="1">IF(AND(AD2442="",AC2442=""),"",IF(OR(AD2442&lt;&gt;"",O2442="*CANCELADO"),"",NETWORKDAYS(AC2442,TODAY(),#REF!)))</f>
        <v/>
      </c>
      <c r="AF2442" s="619"/>
    </row>
    <row r="2443" spans="1:32" ht="14.25" customHeight="1">
      <c r="A2443" s="176"/>
      <c r="B2443" s="176"/>
      <c r="C2443" s="177"/>
      <c r="D2443" s="176"/>
      <c r="E2443" s="176"/>
      <c r="F2443" s="259"/>
      <c r="G2443" s="176"/>
      <c r="H2443" s="178"/>
      <c r="I2443" s="592">
        <f t="shared" si="92"/>
        <v>0</v>
      </c>
      <c r="J2443" s="178"/>
      <c r="K2443" s="178"/>
      <c r="L2443" s="275" t="str">
        <f>IF(H:H=0,"",IF(ISERROR(VLOOKUP(H:H,produtos_escape2!$A$2:$B$2794,2,FALSE)),"Código não cadastrado",(VLOOKUP(H:H,produtos_escape2!$A$2:$B$2794,2,FALSE))))</f>
        <v/>
      </c>
      <c r="M2443" s="593" t="str">
        <f>IF(H:H=0,"",IF(ISERROR(VLOOKUP(H:H,produtos_escape2!$A$2:$D$2794,2,FALSE)),"Código não cadastrado",(VLOOKUP(H:H,produtos_escape2!$A$2:$D$2794,4,FALSE))))</f>
        <v/>
      </c>
      <c r="N2443" s="486"/>
      <c r="O2443" s="176"/>
      <c r="P2443" s="486"/>
      <c r="Q2443" s="247"/>
      <c r="R2443" s="246">
        <f t="shared" si="91"/>
        <v>0</v>
      </c>
      <c r="S2443" s="177"/>
      <c r="T2443" s="182"/>
      <c r="U2443" s="177"/>
      <c r="V2443" s="177"/>
      <c r="W2443" s="177"/>
      <c r="X2443" s="176"/>
      <c r="Y2443" s="177"/>
      <c r="Z2443" s="415"/>
      <c r="AA2443" s="488"/>
      <c r="AB2443" s="594"/>
      <c r="AC2443" s="595"/>
      <c r="AD2443" s="596" t="str">
        <f>IF(AND(AC2443&lt;&gt;"",S2443&lt;&gt;""),NETWORKDAYS(AC2443,S2443,#REF!),"")</f>
        <v/>
      </c>
      <c r="AE2443" s="596" t="str">
        <f ca="1">IF(AND(AD2443="",AC2443=""),"",IF(OR(AD2443&lt;&gt;"",O2443="*CANCELADO"),"",NETWORKDAYS(AC2443,TODAY(),#REF!)))</f>
        <v/>
      </c>
      <c r="AF2443" s="619"/>
    </row>
    <row r="2444" spans="1:32" ht="14.25" customHeight="1">
      <c r="A2444" s="176"/>
      <c r="B2444" s="176"/>
      <c r="C2444" s="177"/>
      <c r="D2444" s="176"/>
      <c r="E2444" s="176"/>
      <c r="F2444" s="259"/>
      <c r="G2444" s="176"/>
      <c r="H2444" s="178"/>
      <c r="I2444" s="592">
        <f t="shared" si="92"/>
        <v>0</v>
      </c>
      <c r="J2444" s="178"/>
      <c r="K2444" s="178"/>
      <c r="L2444" s="275" t="str">
        <f>IF(H:H=0,"",IF(ISERROR(VLOOKUP(H:H,produtos_escape2!$A$2:$B$2794,2,FALSE)),"Código não cadastrado",(VLOOKUP(H:H,produtos_escape2!$A$2:$B$2794,2,FALSE))))</f>
        <v/>
      </c>
      <c r="M2444" s="593" t="str">
        <f>IF(H:H=0,"",IF(ISERROR(VLOOKUP(H:H,produtos_escape2!$A$2:$D$2794,2,FALSE)),"Código não cadastrado",(VLOOKUP(H:H,produtos_escape2!$A$2:$D$2794,4,FALSE))))</f>
        <v/>
      </c>
      <c r="N2444" s="486"/>
      <c r="O2444" s="176"/>
      <c r="P2444" s="486"/>
      <c r="Q2444" s="247"/>
      <c r="R2444" s="246">
        <f t="shared" si="91"/>
        <v>0</v>
      </c>
      <c r="S2444" s="177"/>
      <c r="T2444" s="182"/>
      <c r="U2444" s="177"/>
      <c r="V2444" s="177"/>
      <c r="W2444" s="177"/>
      <c r="X2444" s="176"/>
      <c r="Y2444" s="177"/>
      <c r="Z2444" s="415"/>
      <c r="AA2444" s="488"/>
      <c r="AB2444" s="594"/>
      <c r="AC2444" s="595"/>
      <c r="AD2444" s="596" t="str">
        <f>IF(AND(AC2444&lt;&gt;"",S2444&lt;&gt;""),NETWORKDAYS(AC2444,S2444,#REF!),"")</f>
        <v/>
      </c>
      <c r="AE2444" s="596" t="str">
        <f ca="1">IF(AND(AD2444="",AC2444=""),"",IF(OR(AD2444&lt;&gt;"",O2444="*CANCELADO"),"",NETWORKDAYS(AC2444,TODAY(),#REF!)))</f>
        <v/>
      </c>
      <c r="AF2444" s="619"/>
    </row>
    <row r="2445" spans="1:32" ht="14.25" customHeight="1">
      <c r="A2445" s="176"/>
      <c r="B2445" s="176"/>
      <c r="C2445" s="177"/>
      <c r="D2445" s="176"/>
      <c r="E2445" s="176"/>
      <c r="F2445" s="259"/>
      <c r="G2445" s="176"/>
      <c r="H2445" s="178"/>
      <c r="I2445" s="592">
        <f t="shared" si="92"/>
        <v>0</v>
      </c>
      <c r="J2445" s="178"/>
      <c r="K2445" s="178"/>
      <c r="L2445" s="275" t="str">
        <f>IF(H:H=0,"",IF(ISERROR(VLOOKUP(H:H,produtos_escape2!$A$2:$B$2794,2,FALSE)),"Código não cadastrado",(VLOOKUP(H:H,produtos_escape2!$A$2:$B$2794,2,FALSE))))</f>
        <v/>
      </c>
      <c r="M2445" s="593" t="str">
        <f>IF(H:H=0,"",IF(ISERROR(VLOOKUP(H:H,produtos_escape2!$A$2:$D$2794,2,FALSE)),"Código não cadastrado",(VLOOKUP(H:H,produtos_escape2!$A$2:$D$2794,4,FALSE))))</f>
        <v/>
      </c>
      <c r="N2445" s="486"/>
      <c r="O2445" s="176"/>
      <c r="P2445" s="486"/>
      <c r="Q2445" s="247"/>
      <c r="R2445" s="246">
        <f t="shared" si="91"/>
        <v>0</v>
      </c>
      <c r="S2445" s="177"/>
      <c r="T2445" s="182"/>
      <c r="U2445" s="177"/>
      <c r="V2445" s="177"/>
      <c r="W2445" s="177"/>
      <c r="X2445" s="176"/>
      <c r="Y2445" s="177"/>
      <c r="Z2445" s="415"/>
      <c r="AA2445" s="488"/>
      <c r="AB2445" s="594"/>
      <c r="AC2445" s="595"/>
      <c r="AD2445" s="596" t="str">
        <f>IF(AND(AC2445&lt;&gt;"",S2445&lt;&gt;""),NETWORKDAYS(AC2445,S2445,#REF!),"")</f>
        <v/>
      </c>
      <c r="AE2445" s="596" t="str">
        <f ca="1">IF(AND(AD2445="",AC2445=""),"",IF(OR(AD2445&lt;&gt;"",O2445="*CANCELADO"),"",NETWORKDAYS(AC2445,TODAY(),#REF!)))</f>
        <v/>
      </c>
      <c r="AF2445" s="619"/>
    </row>
    <row r="2446" spans="1:32" ht="14.25" customHeight="1">
      <c r="A2446" s="176"/>
      <c r="B2446" s="176"/>
      <c r="C2446" s="177"/>
      <c r="D2446" s="176"/>
      <c r="E2446" s="176"/>
      <c r="F2446" s="259"/>
      <c r="G2446" s="176"/>
      <c r="H2446" s="178"/>
      <c r="I2446" s="592">
        <f t="shared" si="92"/>
        <v>0</v>
      </c>
      <c r="J2446" s="178"/>
      <c r="K2446" s="178"/>
      <c r="L2446" s="275" t="str">
        <f>IF(H:H=0,"",IF(ISERROR(VLOOKUP(H:H,produtos_escape2!$A$2:$B$2794,2,FALSE)),"Código não cadastrado",(VLOOKUP(H:H,produtos_escape2!$A$2:$B$2794,2,FALSE))))</f>
        <v/>
      </c>
      <c r="M2446" s="593" t="str">
        <f>IF(H:H=0,"",IF(ISERROR(VLOOKUP(H:H,produtos_escape2!$A$2:$D$2794,2,FALSE)),"Código não cadastrado",(VLOOKUP(H:H,produtos_escape2!$A$2:$D$2794,4,FALSE))))</f>
        <v/>
      </c>
      <c r="N2446" s="486"/>
      <c r="O2446" s="176"/>
      <c r="P2446" s="486"/>
      <c r="Q2446" s="247"/>
      <c r="R2446" s="246">
        <f t="shared" si="91"/>
        <v>0</v>
      </c>
      <c r="S2446" s="177"/>
      <c r="T2446" s="182"/>
      <c r="U2446" s="177"/>
      <c r="V2446" s="177"/>
      <c r="W2446" s="177"/>
      <c r="X2446" s="176"/>
      <c r="Y2446" s="177"/>
      <c r="Z2446" s="415"/>
      <c r="AA2446" s="488"/>
      <c r="AB2446" s="594"/>
      <c r="AC2446" s="595"/>
      <c r="AD2446" s="596" t="str">
        <f>IF(AND(AC2446&lt;&gt;"",S2446&lt;&gt;""),NETWORKDAYS(AC2446,S2446,#REF!),"")</f>
        <v/>
      </c>
      <c r="AE2446" s="596" t="str">
        <f ca="1">IF(AND(AD2446="",AC2446=""),"",IF(OR(AD2446&lt;&gt;"",O2446="*CANCELADO"),"",NETWORKDAYS(AC2446,TODAY(),#REF!)))</f>
        <v/>
      </c>
      <c r="AF2446" s="619"/>
    </row>
    <row r="2447" spans="1:32" ht="14.25" customHeight="1">
      <c r="A2447" s="176"/>
      <c r="B2447" s="176"/>
      <c r="C2447" s="177"/>
      <c r="D2447" s="176"/>
      <c r="E2447" s="176"/>
      <c r="F2447" s="259"/>
      <c r="G2447" s="176"/>
      <c r="H2447" s="178"/>
      <c r="I2447" s="592">
        <f t="shared" si="92"/>
        <v>0</v>
      </c>
      <c r="J2447" s="178"/>
      <c r="K2447" s="178"/>
      <c r="L2447" s="275" t="str">
        <f>IF(H:H=0,"",IF(ISERROR(VLOOKUP(H:H,produtos_escape2!$A$2:$B$2794,2,FALSE)),"Código não cadastrado",(VLOOKUP(H:H,produtos_escape2!$A$2:$B$2794,2,FALSE))))</f>
        <v/>
      </c>
      <c r="M2447" s="593" t="str">
        <f>IF(H:H=0,"",IF(ISERROR(VLOOKUP(H:H,produtos_escape2!$A$2:$D$2794,2,FALSE)),"Código não cadastrado",(VLOOKUP(H:H,produtos_escape2!$A$2:$D$2794,4,FALSE))))</f>
        <v/>
      </c>
      <c r="N2447" s="486"/>
      <c r="O2447" s="176"/>
      <c r="P2447" s="486"/>
      <c r="Q2447" s="247"/>
      <c r="R2447" s="246">
        <f t="shared" si="91"/>
        <v>0</v>
      </c>
      <c r="S2447" s="177"/>
      <c r="T2447" s="182"/>
      <c r="U2447" s="177"/>
      <c r="V2447" s="177"/>
      <c r="W2447" s="177"/>
      <c r="X2447" s="176"/>
      <c r="Y2447" s="177"/>
      <c r="Z2447" s="415"/>
      <c r="AA2447" s="488"/>
      <c r="AB2447" s="594"/>
      <c r="AC2447" s="595"/>
      <c r="AD2447" s="596" t="str">
        <f>IF(AND(AC2447&lt;&gt;"",S2447&lt;&gt;""),NETWORKDAYS(AC2447,S2447,#REF!),"")</f>
        <v/>
      </c>
      <c r="AE2447" s="596" t="str">
        <f ca="1">IF(AND(AD2447="",AC2447=""),"",IF(OR(AD2447&lt;&gt;"",O2447="*CANCELADO"),"",NETWORKDAYS(AC2447,TODAY(),#REF!)))</f>
        <v/>
      </c>
      <c r="AF2447" s="619"/>
    </row>
    <row r="2448" spans="1:32" ht="14.25" customHeight="1">
      <c r="A2448" s="176"/>
      <c r="B2448" s="176"/>
      <c r="C2448" s="177"/>
      <c r="D2448" s="176"/>
      <c r="E2448" s="176"/>
      <c r="F2448" s="259"/>
      <c r="G2448" s="176"/>
      <c r="H2448" s="178"/>
      <c r="I2448" s="592">
        <f t="shared" si="92"/>
        <v>0</v>
      </c>
      <c r="J2448" s="178"/>
      <c r="K2448" s="178"/>
      <c r="L2448" s="275" t="str">
        <f>IF(H:H=0,"",IF(ISERROR(VLOOKUP(H:H,produtos_escape2!$A$2:$B$2794,2,FALSE)),"Código não cadastrado",(VLOOKUP(H:H,produtos_escape2!$A$2:$B$2794,2,FALSE))))</f>
        <v/>
      </c>
      <c r="M2448" s="593" t="str">
        <f>IF(H:H=0,"",IF(ISERROR(VLOOKUP(H:H,produtos_escape2!$A$2:$D$2794,2,FALSE)),"Código não cadastrado",(VLOOKUP(H:H,produtos_escape2!$A$2:$D$2794,4,FALSE))))</f>
        <v/>
      </c>
      <c r="N2448" s="486"/>
      <c r="O2448" s="176"/>
      <c r="P2448" s="486"/>
      <c r="Q2448" s="247"/>
      <c r="R2448" s="246">
        <f t="shared" si="91"/>
        <v>0</v>
      </c>
      <c r="S2448" s="177"/>
      <c r="T2448" s="182"/>
      <c r="U2448" s="177"/>
      <c r="V2448" s="177"/>
      <c r="W2448" s="177"/>
      <c r="X2448" s="176"/>
      <c r="Y2448" s="177"/>
      <c r="Z2448" s="415"/>
      <c r="AA2448" s="488"/>
      <c r="AB2448" s="594"/>
      <c r="AC2448" s="595"/>
      <c r="AD2448" s="596" t="str">
        <f>IF(AND(AC2448&lt;&gt;"",S2448&lt;&gt;""),NETWORKDAYS(AC2448,S2448,#REF!),"")</f>
        <v/>
      </c>
      <c r="AE2448" s="596" t="str">
        <f ca="1">IF(AND(AD2448="",AC2448=""),"",IF(OR(AD2448&lt;&gt;"",O2448="*CANCELADO"),"",NETWORKDAYS(AC2448,TODAY(),#REF!)))</f>
        <v/>
      </c>
      <c r="AF2448" s="619"/>
    </row>
    <row r="2449" spans="1:32" ht="14.25" customHeight="1">
      <c r="A2449" s="176"/>
      <c r="B2449" s="176"/>
      <c r="C2449" s="177"/>
      <c r="D2449" s="176"/>
      <c r="E2449" s="176"/>
      <c r="F2449" s="259"/>
      <c r="G2449" s="176"/>
      <c r="H2449" s="178"/>
      <c r="I2449" s="592">
        <f t="shared" si="92"/>
        <v>0</v>
      </c>
      <c r="J2449" s="178"/>
      <c r="K2449" s="178"/>
      <c r="L2449" s="275" t="str">
        <f>IF(H:H=0,"",IF(ISERROR(VLOOKUP(H:H,produtos_escape2!$A$2:$B$2794,2,FALSE)),"Código não cadastrado",(VLOOKUP(H:H,produtos_escape2!$A$2:$B$2794,2,FALSE))))</f>
        <v/>
      </c>
      <c r="M2449" s="593" t="str">
        <f>IF(H:H=0,"",IF(ISERROR(VLOOKUP(H:H,produtos_escape2!$A$2:$D$2794,2,FALSE)),"Código não cadastrado",(VLOOKUP(H:H,produtos_escape2!$A$2:$D$2794,4,FALSE))))</f>
        <v/>
      </c>
      <c r="N2449" s="486"/>
      <c r="O2449" s="176"/>
      <c r="P2449" s="486"/>
      <c r="Q2449" s="247"/>
      <c r="R2449" s="246">
        <f t="shared" si="91"/>
        <v>0</v>
      </c>
      <c r="S2449" s="177"/>
      <c r="T2449" s="182"/>
      <c r="U2449" s="177"/>
      <c r="V2449" s="177"/>
      <c r="W2449" s="177"/>
      <c r="X2449" s="176"/>
      <c r="Y2449" s="177"/>
      <c r="Z2449" s="415"/>
      <c r="AA2449" s="488"/>
      <c r="AB2449" s="594"/>
      <c r="AC2449" s="595"/>
      <c r="AD2449" s="596" t="str">
        <f>IF(AND(AC2449&lt;&gt;"",S2449&lt;&gt;""),NETWORKDAYS(AC2449,S2449,#REF!),"")</f>
        <v/>
      </c>
      <c r="AE2449" s="596" t="str">
        <f ca="1">IF(AND(AD2449="",AC2449=""),"",IF(OR(AD2449&lt;&gt;"",O2449="*CANCELADO"),"",NETWORKDAYS(AC2449,TODAY(),#REF!)))</f>
        <v/>
      </c>
      <c r="AF2449" s="619"/>
    </row>
    <row r="2450" spans="1:32" ht="14.25" customHeight="1">
      <c r="A2450" s="176"/>
      <c r="B2450" s="176"/>
      <c r="C2450" s="177"/>
      <c r="D2450" s="176"/>
      <c r="E2450" s="176"/>
      <c r="F2450" s="259"/>
      <c r="G2450" s="176"/>
      <c r="H2450" s="178"/>
      <c r="I2450" s="592">
        <f t="shared" si="92"/>
        <v>0</v>
      </c>
      <c r="J2450" s="178"/>
      <c r="K2450" s="178"/>
      <c r="L2450" s="275" t="str">
        <f>IF(H:H=0,"",IF(ISERROR(VLOOKUP(H:H,produtos_escape2!$A$2:$B$2794,2,FALSE)),"Código não cadastrado",(VLOOKUP(H:H,produtos_escape2!$A$2:$B$2794,2,FALSE))))</f>
        <v/>
      </c>
      <c r="M2450" s="593" t="str">
        <f>IF(H:H=0,"",IF(ISERROR(VLOOKUP(H:H,produtos_escape2!$A$2:$D$2794,2,FALSE)),"Código não cadastrado",(VLOOKUP(H:H,produtos_escape2!$A$2:$D$2794,4,FALSE))))</f>
        <v/>
      </c>
      <c r="N2450" s="486"/>
      <c r="O2450" s="176"/>
      <c r="P2450" s="486"/>
      <c r="Q2450" s="247"/>
      <c r="R2450" s="246">
        <f t="shared" si="91"/>
        <v>0</v>
      </c>
      <c r="S2450" s="177"/>
      <c r="T2450" s="182"/>
      <c r="U2450" s="177"/>
      <c r="V2450" s="177"/>
      <c r="W2450" s="177"/>
      <c r="X2450" s="176"/>
      <c r="Y2450" s="177"/>
      <c r="Z2450" s="415"/>
      <c r="AA2450" s="488"/>
      <c r="AB2450" s="594"/>
      <c r="AC2450" s="595"/>
      <c r="AD2450" s="596" t="str">
        <f>IF(AND(AC2450&lt;&gt;"",S2450&lt;&gt;""),NETWORKDAYS(AC2450,S2450,#REF!),"")</f>
        <v/>
      </c>
      <c r="AE2450" s="596" t="str">
        <f ca="1">IF(AND(AD2450="",AC2450=""),"",IF(OR(AD2450&lt;&gt;"",O2450="*CANCELADO"),"",NETWORKDAYS(AC2450,TODAY(),#REF!)))</f>
        <v/>
      </c>
      <c r="AF2450" s="619"/>
    </row>
    <row r="2451" spans="1:32" ht="14.25" customHeight="1">
      <c r="A2451" s="176"/>
      <c r="B2451" s="176"/>
      <c r="C2451" s="177"/>
      <c r="D2451" s="176"/>
      <c r="E2451" s="176"/>
      <c r="F2451" s="259"/>
      <c r="G2451" s="176"/>
      <c r="H2451" s="178"/>
      <c r="I2451" s="592">
        <f t="shared" si="92"/>
        <v>0</v>
      </c>
      <c r="J2451" s="178"/>
      <c r="K2451" s="178"/>
      <c r="L2451" s="275" t="str">
        <f>IF(H:H=0,"",IF(ISERROR(VLOOKUP(H:H,produtos_escape2!$A$2:$B$2794,2,FALSE)),"Código não cadastrado",(VLOOKUP(H:H,produtos_escape2!$A$2:$B$2794,2,FALSE))))</f>
        <v/>
      </c>
      <c r="M2451" s="593" t="str">
        <f>IF(H:H=0,"",IF(ISERROR(VLOOKUP(H:H,produtos_escape2!$A$2:$D$2794,2,FALSE)),"Código não cadastrado",(VLOOKUP(H:H,produtos_escape2!$A$2:$D$2794,4,FALSE))))</f>
        <v/>
      </c>
      <c r="N2451" s="486"/>
      <c r="O2451" s="176"/>
      <c r="P2451" s="486"/>
      <c r="Q2451" s="247"/>
      <c r="R2451" s="246">
        <f t="shared" si="91"/>
        <v>0</v>
      </c>
      <c r="S2451" s="177"/>
      <c r="T2451" s="182"/>
      <c r="U2451" s="177"/>
      <c r="V2451" s="177"/>
      <c r="W2451" s="177"/>
      <c r="X2451" s="176"/>
      <c r="Y2451" s="177"/>
      <c r="Z2451" s="415"/>
      <c r="AA2451" s="488"/>
      <c r="AB2451" s="594"/>
      <c r="AC2451" s="595"/>
      <c r="AD2451" s="596" t="str">
        <f>IF(AND(AC2451&lt;&gt;"",S2451&lt;&gt;""),NETWORKDAYS(AC2451,S2451,#REF!),"")</f>
        <v/>
      </c>
      <c r="AE2451" s="596" t="str">
        <f ca="1">IF(AND(AD2451="",AC2451=""),"",IF(OR(AD2451&lt;&gt;"",O2451="*CANCELADO"),"",NETWORKDAYS(AC2451,TODAY(),#REF!)))</f>
        <v/>
      </c>
      <c r="AF2451" s="619"/>
    </row>
    <row r="2452" spans="1:32" ht="14.25" customHeight="1">
      <c r="A2452" s="176"/>
      <c r="B2452" s="176"/>
      <c r="C2452" s="177"/>
      <c r="D2452" s="176"/>
      <c r="E2452" s="176"/>
      <c r="F2452" s="259"/>
      <c r="G2452" s="176"/>
      <c r="H2452" s="178"/>
      <c r="I2452" s="592">
        <f t="shared" si="92"/>
        <v>0</v>
      </c>
      <c r="J2452" s="178"/>
      <c r="K2452" s="178"/>
      <c r="L2452" s="275" t="str">
        <f>IF(H:H=0,"",IF(ISERROR(VLOOKUP(H:H,produtos_escape2!$A$2:$B$2794,2,FALSE)),"Código não cadastrado",(VLOOKUP(H:H,produtos_escape2!$A$2:$B$2794,2,FALSE))))</f>
        <v/>
      </c>
      <c r="M2452" s="593" t="str">
        <f>IF(H:H=0,"",IF(ISERROR(VLOOKUP(H:H,produtos_escape2!$A$2:$D$2794,2,FALSE)),"Código não cadastrado",(VLOOKUP(H:H,produtos_escape2!$A$2:$D$2794,4,FALSE))))</f>
        <v/>
      </c>
      <c r="N2452" s="486"/>
      <c r="O2452" s="176"/>
      <c r="P2452" s="486"/>
      <c r="Q2452" s="247"/>
      <c r="R2452" s="246">
        <f t="shared" si="91"/>
        <v>0</v>
      </c>
      <c r="S2452" s="177"/>
      <c r="T2452" s="182"/>
      <c r="U2452" s="177"/>
      <c r="V2452" s="177"/>
      <c r="W2452" s="177"/>
      <c r="X2452" s="176"/>
      <c r="Y2452" s="177"/>
      <c r="Z2452" s="415"/>
      <c r="AA2452" s="488"/>
      <c r="AB2452" s="594"/>
      <c r="AC2452" s="595"/>
      <c r="AD2452" s="596" t="str">
        <f>IF(AND(AC2452&lt;&gt;"",S2452&lt;&gt;""),NETWORKDAYS(AC2452,S2452,#REF!),"")</f>
        <v/>
      </c>
      <c r="AE2452" s="596" t="str">
        <f ca="1">IF(AND(AD2452="",AC2452=""),"",IF(OR(AD2452&lt;&gt;"",O2452="*CANCELADO"),"",NETWORKDAYS(AC2452,TODAY(),#REF!)))</f>
        <v/>
      </c>
      <c r="AF2452" s="619"/>
    </row>
    <row r="2453" spans="1:32" ht="14.25" customHeight="1">
      <c r="A2453" s="176"/>
      <c r="B2453" s="176"/>
      <c r="C2453" s="177"/>
      <c r="D2453" s="176"/>
      <c r="E2453" s="176"/>
      <c r="F2453" s="259"/>
      <c r="G2453" s="176"/>
      <c r="H2453" s="178"/>
      <c r="I2453" s="592">
        <f t="shared" si="92"/>
        <v>0</v>
      </c>
      <c r="J2453" s="178"/>
      <c r="K2453" s="178"/>
      <c r="L2453" s="275" t="str">
        <f>IF(H:H=0,"",IF(ISERROR(VLOOKUP(H:H,produtos_escape2!$A$2:$B$2794,2,FALSE)),"Código não cadastrado",(VLOOKUP(H:H,produtos_escape2!$A$2:$B$2794,2,FALSE))))</f>
        <v/>
      </c>
      <c r="M2453" s="593" t="str">
        <f>IF(H:H=0,"",IF(ISERROR(VLOOKUP(H:H,produtos_escape2!$A$2:$D$2794,2,FALSE)),"Código não cadastrado",(VLOOKUP(H:H,produtos_escape2!$A$2:$D$2794,4,FALSE))))</f>
        <v/>
      </c>
      <c r="N2453" s="486"/>
      <c r="O2453" s="176"/>
      <c r="P2453" s="486"/>
      <c r="Q2453" s="247"/>
      <c r="R2453" s="246">
        <f t="shared" si="91"/>
        <v>0</v>
      </c>
      <c r="S2453" s="177"/>
      <c r="T2453" s="182"/>
      <c r="U2453" s="177"/>
      <c r="V2453" s="177"/>
      <c r="W2453" s="177"/>
      <c r="X2453" s="176"/>
      <c r="Y2453" s="177"/>
      <c r="Z2453" s="415"/>
      <c r="AA2453" s="488"/>
      <c r="AB2453" s="594"/>
      <c r="AC2453" s="595"/>
      <c r="AD2453" s="596" t="str">
        <f>IF(AND(AC2453&lt;&gt;"",S2453&lt;&gt;""),NETWORKDAYS(AC2453,S2453,#REF!),"")</f>
        <v/>
      </c>
      <c r="AE2453" s="596" t="str">
        <f ca="1">IF(AND(AD2453="",AC2453=""),"",IF(OR(AD2453&lt;&gt;"",O2453="*CANCELADO"),"",NETWORKDAYS(AC2453,TODAY(),#REF!)))</f>
        <v/>
      </c>
      <c r="AF2453" s="619"/>
    </row>
    <row r="2454" spans="1:32" ht="14.25" customHeight="1">
      <c r="A2454" s="176"/>
      <c r="B2454" s="176"/>
      <c r="C2454" s="177"/>
      <c r="D2454" s="176"/>
      <c r="E2454" s="176"/>
      <c r="F2454" s="259"/>
      <c r="G2454" s="176"/>
      <c r="H2454" s="178"/>
      <c r="I2454" s="592">
        <f t="shared" si="92"/>
        <v>0</v>
      </c>
      <c r="J2454" s="178"/>
      <c r="K2454" s="178"/>
      <c r="L2454" s="275" t="str">
        <f>IF(H:H=0,"",IF(ISERROR(VLOOKUP(H:H,produtos_escape2!$A$2:$B$2794,2,FALSE)),"Código não cadastrado",(VLOOKUP(H:H,produtos_escape2!$A$2:$B$2794,2,FALSE))))</f>
        <v/>
      </c>
      <c r="M2454" s="593" t="str">
        <f>IF(H:H=0,"",IF(ISERROR(VLOOKUP(H:H,produtos_escape2!$A$2:$D$2794,2,FALSE)),"Código não cadastrado",(VLOOKUP(H:H,produtos_escape2!$A$2:$D$2794,4,FALSE))))</f>
        <v/>
      </c>
      <c r="N2454" s="486"/>
      <c r="O2454" s="176"/>
      <c r="P2454" s="486"/>
      <c r="Q2454" s="247"/>
      <c r="R2454" s="246">
        <f t="shared" si="91"/>
        <v>0</v>
      </c>
      <c r="S2454" s="177"/>
      <c r="T2454" s="182"/>
      <c r="U2454" s="177"/>
      <c r="V2454" s="177"/>
      <c r="W2454" s="177"/>
      <c r="X2454" s="176"/>
      <c r="Y2454" s="177"/>
      <c r="Z2454" s="415"/>
      <c r="AA2454" s="488"/>
      <c r="AB2454" s="594"/>
      <c r="AC2454" s="595"/>
      <c r="AD2454" s="596" t="str">
        <f>IF(AND(AC2454&lt;&gt;"",S2454&lt;&gt;""),NETWORKDAYS(AC2454,S2454,#REF!),"")</f>
        <v/>
      </c>
      <c r="AE2454" s="596" t="str">
        <f ca="1">IF(AND(AD2454="",AC2454=""),"",IF(OR(AD2454&lt;&gt;"",O2454="*CANCELADO"),"",NETWORKDAYS(AC2454,TODAY(),#REF!)))</f>
        <v/>
      </c>
      <c r="AF2454" s="619"/>
    </row>
    <row r="2455" spans="1:32" ht="14.25" customHeight="1">
      <c r="A2455" s="176"/>
      <c r="B2455" s="176"/>
      <c r="C2455" s="177"/>
      <c r="D2455" s="176"/>
      <c r="E2455" s="176"/>
      <c r="F2455" s="259"/>
      <c r="G2455" s="176"/>
      <c r="H2455" s="178"/>
      <c r="I2455" s="592">
        <f t="shared" si="92"/>
        <v>0</v>
      </c>
      <c r="J2455" s="178"/>
      <c r="K2455" s="178"/>
      <c r="L2455" s="275" t="str">
        <f>IF(H:H=0,"",IF(ISERROR(VLOOKUP(H:H,produtos_escape2!$A$2:$B$2794,2,FALSE)),"Código não cadastrado",(VLOOKUP(H:H,produtos_escape2!$A$2:$B$2794,2,FALSE))))</f>
        <v/>
      </c>
      <c r="M2455" s="593" t="str">
        <f>IF(H:H=0,"",IF(ISERROR(VLOOKUP(H:H,produtos_escape2!$A$2:$D$2794,2,FALSE)),"Código não cadastrado",(VLOOKUP(H:H,produtos_escape2!$A$2:$D$2794,4,FALSE))))</f>
        <v/>
      </c>
      <c r="N2455" s="486"/>
      <c r="O2455" s="176"/>
      <c r="P2455" s="486"/>
      <c r="Q2455" s="247"/>
      <c r="R2455" s="246">
        <f t="shared" si="91"/>
        <v>0</v>
      </c>
      <c r="S2455" s="177"/>
      <c r="T2455" s="182"/>
      <c r="U2455" s="177"/>
      <c r="V2455" s="177"/>
      <c r="W2455" s="177"/>
      <c r="X2455" s="176"/>
      <c r="Y2455" s="177"/>
      <c r="Z2455" s="415"/>
      <c r="AA2455" s="488"/>
      <c r="AB2455" s="594"/>
      <c r="AC2455" s="595"/>
      <c r="AD2455" s="596" t="str">
        <f>IF(AND(AC2455&lt;&gt;"",S2455&lt;&gt;""),NETWORKDAYS(AC2455,S2455,#REF!),"")</f>
        <v/>
      </c>
      <c r="AE2455" s="596" t="str">
        <f ca="1">IF(AND(AD2455="",AC2455=""),"",IF(OR(AD2455&lt;&gt;"",O2455="*CANCELADO"),"",NETWORKDAYS(AC2455,TODAY(),#REF!)))</f>
        <v/>
      </c>
      <c r="AF2455" s="619"/>
    </row>
    <row r="2456" spans="1:32" ht="14.25" customHeight="1">
      <c r="A2456" s="176"/>
      <c r="B2456" s="176"/>
      <c r="C2456" s="177"/>
      <c r="D2456" s="176"/>
      <c r="E2456" s="176"/>
      <c r="F2456" s="259"/>
      <c r="G2456" s="176"/>
      <c r="H2456" s="178"/>
      <c r="I2456" s="592">
        <f t="shared" si="92"/>
        <v>0</v>
      </c>
      <c r="J2456" s="178"/>
      <c r="K2456" s="178"/>
      <c r="L2456" s="275" t="str">
        <f>IF(H:H=0,"",IF(ISERROR(VLOOKUP(H:H,produtos_escape2!$A$2:$B$2794,2,FALSE)),"Código não cadastrado",(VLOOKUP(H:H,produtos_escape2!$A$2:$B$2794,2,FALSE))))</f>
        <v/>
      </c>
      <c r="M2456" s="593" t="str">
        <f>IF(H:H=0,"",IF(ISERROR(VLOOKUP(H:H,produtos_escape2!$A$2:$D$2794,2,FALSE)),"Código não cadastrado",(VLOOKUP(H:H,produtos_escape2!$A$2:$D$2794,4,FALSE))))</f>
        <v/>
      </c>
      <c r="N2456" s="486"/>
      <c r="O2456" s="176"/>
      <c r="P2456" s="486"/>
      <c r="Q2456" s="247"/>
      <c r="R2456" s="246">
        <f t="shared" si="91"/>
        <v>0</v>
      </c>
      <c r="S2456" s="177"/>
      <c r="T2456" s="182"/>
      <c r="U2456" s="177"/>
      <c r="V2456" s="177"/>
      <c r="W2456" s="177"/>
      <c r="X2456" s="176"/>
      <c r="Y2456" s="177"/>
      <c r="Z2456" s="415"/>
      <c r="AA2456" s="488"/>
      <c r="AB2456" s="594"/>
      <c r="AC2456" s="595"/>
      <c r="AD2456" s="596" t="str">
        <f>IF(AND(AC2456&lt;&gt;"",S2456&lt;&gt;""),NETWORKDAYS(AC2456,S2456,#REF!),"")</f>
        <v/>
      </c>
      <c r="AE2456" s="596" t="str">
        <f ca="1">IF(AND(AD2456="",AC2456=""),"",IF(OR(AD2456&lt;&gt;"",O2456="*CANCELADO"),"",NETWORKDAYS(AC2456,TODAY(),#REF!)))</f>
        <v/>
      </c>
      <c r="AF2456" s="619"/>
    </row>
    <row r="2457" spans="1:32" ht="14.25" customHeight="1">
      <c r="A2457" s="176"/>
      <c r="B2457" s="176"/>
      <c r="C2457" s="177"/>
      <c r="D2457" s="176"/>
      <c r="E2457" s="176"/>
      <c r="F2457" s="259"/>
      <c r="G2457" s="176"/>
      <c r="H2457" s="178"/>
      <c r="I2457" s="592">
        <f t="shared" si="92"/>
        <v>0</v>
      </c>
      <c r="J2457" s="178"/>
      <c r="K2457" s="178"/>
      <c r="L2457" s="275" t="str">
        <f>IF(H:H=0,"",IF(ISERROR(VLOOKUP(H:H,produtos_escape2!$A$2:$B$2794,2,FALSE)),"Código não cadastrado",(VLOOKUP(H:H,produtos_escape2!$A$2:$B$2794,2,FALSE))))</f>
        <v/>
      </c>
      <c r="M2457" s="593" t="str">
        <f>IF(H:H=0,"",IF(ISERROR(VLOOKUP(H:H,produtos_escape2!$A$2:$D$2794,2,FALSE)),"Código não cadastrado",(VLOOKUP(H:H,produtos_escape2!$A$2:$D$2794,4,FALSE))))</f>
        <v/>
      </c>
      <c r="N2457" s="486"/>
      <c r="O2457" s="176"/>
      <c r="P2457" s="486"/>
      <c r="Q2457" s="247"/>
      <c r="R2457" s="246">
        <f t="shared" si="91"/>
        <v>0</v>
      </c>
      <c r="S2457" s="177"/>
      <c r="T2457" s="182"/>
      <c r="U2457" s="177"/>
      <c r="V2457" s="177"/>
      <c r="W2457" s="177"/>
      <c r="X2457" s="176"/>
      <c r="Y2457" s="177"/>
      <c r="Z2457" s="415"/>
      <c r="AA2457" s="488"/>
      <c r="AB2457" s="594"/>
      <c r="AC2457" s="595"/>
      <c r="AD2457" s="596" t="str">
        <f>IF(AND(AC2457&lt;&gt;"",S2457&lt;&gt;""),NETWORKDAYS(AC2457,S2457,#REF!),"")</f>
        <v/>
      </c>
      <c r="AE2457" s="596" t="str">
        <f ca="1">IF(AND(AD2457="",AC2457=""),"",IF(OR(AD2457&lt;&gt;"",O2457="*CANCELADO"),"",NETWORKDAYS(AC2457,TODAY(),#REF!)))</f>
        <v/>
      </c>
      <c r="AF2457" s="619"/>
    </row>
    <row r="2458" spans="1:32" ht="14.25" customHeight="1">
      <c r="A2458" s="176"/>
      <c r="B2458" s="176"/>
      <c r="C2458" s="177"/>
      <c r="D2458" s="176"/>
      <c r="E2458" s="176"/>
      <c r="F2458" s="259"/>
      <c r="G2458" s="176"/>
      <c r="H2458" s="178"/>
      <c r="I2458" s="592">
        <f t="shared" si="92"/>
        <v>0</v>
      </c>
      <c r="J2458" s="178"/>
      <c r="K2458" s="178"/>
      <c r="L2458" s="275" t="str">
        <f>IF(H:H=0,"",IF(ISERROR(VLOOKUP(H:H,produtos_escape2!$A$2:$B$2794,2,FALSE)),"Código não cadastrado",(VLOOKUP(H:H,produtos_escape2!$A$2:$B$2794,2,FALSE))))</f>
        <v/>
      </c>
      <c r="M2458" s="593" t="str">
        <f>IF(H:H=0,"",IF(ISERROR(VLOOKUP(H:H,produtos_escape2!$A$2:$D$2794,2,FALSE)),"Código não cadastrado",(VLOOKUP(H:H,produtos_escape2!$A$2:$D$2794,4,FALSE))))</f>
        <v/>
      </c>
      <c r="N2458" s="486"/>
      <c r="O2458" s="176"/>
      <c r="P2458" s="486"/>
      <c r="Q2458" s="247"/>
      <c r="R2458" s="246">
        <f t="shared" si="91"/>
        <v>0</v>
      </c>
      <c r="S2458" s="177"/>
      <c r="T2458" s="182"/>
      <c r="U2458" s="177"/>
      <c r="V2458" s="177"/>
      <c r="W2458" s="177"/>
      <c r="X2458" s="176"/>
      <c r="Y2458" s="177"/>
      <c r="Z2458" s="415"/>
      <c r="AA2458" s="488"/>
      <c r="AB2458" s="594"/>
      <c r="AC2458" s="595"/>
      <c r="AD2458" s="596" t="str">
        <f>IF(AND(AC2458&lt;&gt;"",S2458&lt;&gt;""),NETWORKDAYS(AC2458,S2458,#REF!),"")</f>
        <v/>
      </c>
      <c r="AE2458" s="596" t="str">
        <f ca="1">IF(AND(AD2458="",AC2458=""),"",IF(OR(AD2458&lt;&gt;"",O2458="*CANCELADO"),"",NETWORKDAYS(AC2458,TODAY(),#REF!)))</f>
        <v/>
      </c>
      <c r="AF2458" s="619"/>
    </row>
    <row r="2459" spans="1:32" ht="14.25" customHeight="1">
      <c r="A2459" s="176"/>
      <c r="B2459" s="176"/>
      <c r="C2459" s="177"/>
      <c r="D2459" s="176"/>
      <c r="E2459" s="176"/>
      <c r="F2459" s="259"/>
      <c r="G2459" s="176"/>
      <c r="H2459" s="178"/>
      <c r="I2459" s="592">
        <f t="shared" si="92"/>
        <v>0</v>
      </c>
      <c r="J2459" s="178"/>
      <c r="K2459" s="178"/>
      <c r="L2459" s="275" t="str">
        <f>IF(H:H=0,"",IF(ISERROR(VLOOKUP(H:H,produtos_escape2!$A$2:$B$2794,2,FALSE)),"Código não cadastrado",(VLOOKUP(H:H,produtos_escape2!$A$2:$B$2794,2,FALSE))))</f>
        <v/>
      </c>
      <c r="M2459" s="593" t="str">
        <f>IF(H:H=0,"",IF(ISERROR(VLOOKUP(H:H,produtos_escape2!$A$2:$D$2794,2,FALSE)),"Código não cadastrado",(VLOOKUP(H:H,produtos_escape2!$A$2:$D$2794,4,FALSE))))</f>
        <v/>
      </c>
      <c r="N2459" s="486"/>
      <c r="O2459" s="176"/>
      <c r="P2459" s="486"/>
      <c r="Q2459" s="247"/>
      <c r="R2459" s="246">
        <f t="shared" si="91"/>
        <v>0</v>
      </c>
      <c r="S2459" s="177"/>
      <c r="T2459" s="182"/>
      <c r="U2459" s="177"/>
      <c r="V2459" s="177"/>
      <c r="W2459" s="177"/>
      <c r="X2459" s="176"/>
      <c r="Y2459" s="177"/>
      <c r="Z2459" s="415"/>
      <c r="AA2459" s="488"/>
      <c r="AB2459" s="594"/>
      <c r="AC2459" s="595"/>
      <c r="AD2459" s="596" t="str">
        <f>IF(AND(AC2459&lt;&gt;"",S2459&lt;&gt;""),NETWORKDAYS(AC2459,S2459,#REF!),"")</f>
        <v/>
      </c>
      <c r="AE2459" s="596" t="str">
        <f ca="1">IF(AND(AD2459="",AC2459=""),"",IF(OR(AD2459&lt;&gt;"",O2459="*CANCELADO"),"",NETWORKDAYS(AC2459,TODAY(),#REF!)))</f>
        <v/>
      </c>
      <c r="AF2459" s="619"/>
    </row>
    <row r="2460" spans="1:32" ht="14.25" customHeight="1">
      <c r="A2460" s="176"/>
      <c r="B2460" s="176"/>
      <c r="C2460" s="177"/>
      <c r="D2460" s="176"/>
      <c r="E2460" s="176"/>
      <c r="F2460" s="259"/>
      <c r="G2460" s="176"/>
      <c r="H2460" s="178"/>
      <c r="I2460" s="592">
        <f t="shared" si="92"/>
        <v>0</v>
      </c>
      <c r="J2460" s="178"/>
      <c r="K2460" s="178"/>
      <c r="L2460" s="275" t="str">
        <f>IF(H:H=0,"",IF(ISERROR(VLOOKUP(H:H,produtos_escape2!$A$2:$B$2794,2,FALSE)),"Código não cadastrado",(VLOOKUP(H:H,produtos_escape2!$A$2:$B$2794,2,FALSE))))</f>
        <v/>
      </c>
      <c r="M2460" s="593" t="str">
        <f>IF(H:H=0,"",IF(ISERROR(VLOOKUP(H:H,produtos_escape2!$A$2:$D$2794,2,FALSE)),"Código não cadastrado",(VLOOKUP(H:H,produtos_escape2!$A$2:$D$2794,4,FALSE))))</f>
        <v/>
      </c>
      <c r="N2460" s="486"/>
      <c r="O2460" s="176"/>
      <c r="P2460" s="486"/>
      <c r="Q2460" s="247"/>
      <c r="R2460" s="246">
        <f t="shared" si="91"/>
        <v>0</v>
      </c>
      <c r="S2460" s="177"/>
      <c r="T2460" s="182"/>
      <c r="U2460" s="177"/>
      <c r="V2460" s="177"/>
      <c r="W2460" s="177"/>
      <c r="X2460" s="176"/>
      <c r="Y2460" s="177"/>
      <c r="Z2460" s="415"/>
      <c r="AA2460" s="488"/>
      <c r="AB2460" s="594"/>
      <c r="AC2460" s="595"/>
      <c r="AD2460" s="596" t="str">
        <f>IF(AND(AC2460&lt;&gt;"",S2460&lt;&gt;""),NETWORKDAYS(AC2460,S2460,#REF!),"")</f>
        <v/>
      </c>
      <c r="AE2460" s="596" t="str">
        <f ca="1">IF(AND(AD2460="",AC2460=""),"",IF(OR(AD2460&lt;&gt;"",O2460="*CANCELADO"),"",NETWORKDAYS(AC2460,TODAY(),#REF!)))</f>
        <v/>
      </c>
      <c r="AF2460" s="619"/>
    </row>
    <row r="2461" spans="1:32" ht="14.25" customHeight="1">
      <c r="A2461" s="176"/>
      <c r="B2461" s="176"/>
      <c r="C2461" s="177"/>
      <c r="D2461" s="176"/>
      <c r="E2461" s="176"/>
      <c r="F2461" s="259"/>
      <c r="G2461" s="176"/>
      <c r="H2461" s="178"/>
      <c r="I2461" s="592">
        <f t="shared" si="92"/>
        <v>0</v>
      </c>
      <c r="J2461" s="178"/>
      <c r="K2461" s="178"/>
      <c r="L2461" s="275" t="str">
        <f>IF(H:H=0,"",IF(ISERROR(VLOOKUP(H:H,produtos_escape2!$A$2:$B$2794,2,FALSE)),"Código não cadastrado",(VLOOKUP(H:H,produtos_escape2!$A$2:$B$2794,2,FALSE))))</f>
        <v/>
      </c>
      <c r="M2461" s="593" t="str">
        <f>IF(H:H=0,"",IF(ISERROR(VLOOKUP(H:H,produtos_escape2!$A$2:$D$2794,2,FALSE)),"Código não cadastrado",(VLOOKUP(H:H,produtos_escape2!$A$2:$D$2794,4,FALSE))))</f>
        <v/>
      </c>
      <c r="N2461" s="486"/>
      <c r="O2461" s="176"/>
      <c r="P2461" s="486"/>
      <c r="Q2461" s="247"/>
      <c r="R2461" s="246">
        <f t="shared" si="91"/>
        <v>0</v>
      </c>
      <c r="S2461" s="177"/>
      <c r="T2461" s="182"/>
      <c r="U2461" s="177"/>
      <c r="V2461" s="177"/>
      <c r="W2461" s="177"/>
      <c r="X2461" s="176"/>
      <c r="Y2461" s="177"/>
      <c r="Z2461" s="415"/>
      <c r="AA2461" s="488"/>
      <c r="AB2461" s="594"/>
      <c r="AC2461" s="595"/>
      <c r="AD2461" s="596" t="str">
        <f>IF(AND(AC2461&lt;&gt;"",S2461&lt;&gt;""),NETWORKDAYS(AC2461,S2461,#REF!),"")</f>
        <v/>
      </c>
      <c r="AE2461" s="596" t="str">
        <f ca="1">IF(AND(AD2461="",AC2461=""),"",IF(OR(AD2461&lt;&gt;"",O2461="*CANCELADO"),"",NETWORKDAYS(AC2461,TODAY(),#REF!)))</f>
        <v/>
      </c>
      <c r="AF2461" s="619"/>
    </row>
    <row r="2462" spans="1:32" ht="14.25" customHeight="1">
      <c r="A2462" s="176"/>
      <c r="B2462" s="176"/>
      <c r="C2462" s="177"/>
      <c r="D2462" s="176"/>
      <c r="E2462" s="176"/>
      <c r="F2462" s="259"/>
      <c r="G2462" s="176"/>
      <c r="H2462" s="178"/>
      <c r="I2462" s="592">
        <f t="shared" si="92"/>
        <v>0</v>
      </c>
      <c r="J2462" s="178"/>
      <c r="K2462" s="178"/>
      <c r="L2462" s="275" t="str">
        <f>IF(H:H=0,"",IF(ISERROR(VLOOKUP(H:H,produtos_escape2!$A$2:$B$2794,2,FALSE)),"Código não cadastrado",(VLOOKUP(H:H,produtos_escape2!$A$2:$B$2794,2,FALSE))))</f>
        <v/>
      </c>
      <c r="M2462" s="593" t="str">
        <f>IF(H:H=0,"",IF(ISERROR(VLOOKUP(H:H,produtos_escape2!$A$2:$D$2794,2,FALSE)),"Código não cadastrado",(VLOOKUP(H:H,produtos_escape2!$A$2:$D$2794,4,FALSE))))</f>
        <v/>
      </c>
      <c r="N2462" s="486"/>
      <c r="O2462" s="176"/>
      <c r="P2462" s="486"/>
      <c r="Q2462" s="247"/>
      <c r="R2462" s="246">
        <f t="shared" si="91"/>
        <v>0</v>
      </c>
      <c r="S2462" s="177"/>
      <c r="T2462" s="182"/>
      <c r="U2462" s="177"/>
      <c r="V2462" s="177"/>
      <c r="W2462" s="177"/>
      <c r="X2462" s="176"/>
      <c r="Y2462" s="177"/>
      <c r="Z2462" s="415"/>
      <c r="AA2462" s="488"/>
      <c r="AB2462" s="594"/>
      <c r="AC2462" s="595"/>
      <c r="AD2462" s="596" t="str">
        <f>IF(AND(AC2462&lt;&gt;"",S2462&lt;&gt;""),NETWORKDAYS(AC2462,S2462,#REF!),"")</f>
        <v/>
      </c>
      <c r="AE2462" s="596" t="str">
        <f ca="1">IF(AND(AD2462="",AC2462=""),"",IF(OR(AD2462&lt;&gt;"",O2462="*CANCELADO"),"",NETWORKDAYS(AC2462,TODAY(),#REF!)))</f>
        <v/>
      </c>
      <c r="AF2462" s="619"/>
    </row>
    <row r="2463" spans="1:32" ht="14.25" customHeight="1">
      <c r="A2463" s="176"/>
      <c r="B2463" s="176"/>
      <c r="C2463" s="177"/>
      <c r="D2463" s="176"/>
      <c r="E2463" s="176"/>
      <c r="F2463" s="259"/>
      <c r="G2463" s="176"/>
      <c r="H2463" s="178"/>
      <c r="I2463" s="592">
        <f t="shared" si="92"/>
        <v>0</v>
      </c>
      <c r="J2463" s="178"/>
      <c r="K2463" s="178"/>
      <c r="L2463" s="275" t="str">
        <f>IF(H:H=0,"",IF(ISERROR(VLOOKUP(H:H,produtos_escape2!$A$2:$B$2794,2,FALSE)),"Código não cadastrado",(VLOOKUP(H:H,produtos_escape2!$A$2:$B$2794,2,FALSE))))</f>
        <v/>
      </c>
      <c r="M2463" s="593" t="str">
        <f>IF(H:H=0,"",IF(ISERROR(VLOOKUP(H:H,produtos_escape2!$A$2:$D$2794,2,FALSE)),"Código não cadastrado",(VLOOKUP(H:H,produtos_escape2!$A$2:$D$2794,4,FALSE))))</f>
        <v/>
      </c>
      <c r="N2463" s="486"/>
      <c r="O2463" s="176"/>
      <c r="P2463" s="486"/>
      <c r="Q2463" s="247"/>
      <c r="R2463" s="246">
        <f t="shared" si="91"/>
        <v>0</v>
      </c>
      <c r="S2463" s="177"/>
      <c r="T2463" s="182"/>
      <c r="U2463" s="177"/>
      <c r="V2463" s="177"/>
      <c r="W2463" s="177"/>
      <c r="X2463" s="176"/>
      <c r="Y2463" s="177"/>
      <c r="Z2463" s="415"/>
      <c r="AA2463" s="488"/>
      <c r="AB2463" s="594"/>
      <c r="AC2463" s="595"/>
      <c r="AD2463" s="596" t="str">
        <f>IF(AND(AC2463&lt;&gt;"",S2463&lt;&gt;""),NETWORKDAYS(AC2463,S2463,#REF!),"")</f>
        <v/>
      </c>
      <c r="AE2463" s="596" t="str">
        <f ca="1">IF(AND(AD2463="",AC2463=""),"",IF(OR(AD2463&lt;&gt;"",O2463="*CANCELADO"),"",NETWORKDAYS(AC2463,TODAY(),#REF!)))</f>
        <v/>
      </c>
      <c r="AF2463" s="619"/>
    </row>
    <row r="2464" spans="1:32" ht="14.25" customHeight="1">
      <c r="A2464" s="176"/>
      <c r="B2464" s="176"/>
      <c r="C2464" s="177"/>
      <c r="D2464" s="176"/>
      <c r="E2464" s="176"/>
      <c r="F2464" s="259"/>
      <c r="G2464" s="176"/>
      <c r="H2464" s="178"/>
      <c r="I2464" s="592">
        <f t="shared" si="92"/>
        <v>0</v>
      </c>
      <c r="J2464" s="178"/>
      <c r="K2464" s="178"/>
      <c r="L2464" s="275" t="str">
        <f>IF(H:H=0,"",IF(ISERROR(VLOOKUP(H:H,produtos_escape2!$A$2:$B$2794,2,FALSE)),"Código não cadastrado",(VLOOKUP(H:H,produtos_escape2!$A$2:$B$2794,2,FALSE))))</f>
        <v/>
      </c>
      <c r="M2464" s="593" t="str">
        <f>IF(H:H=0,"",IF(ISERROR(VLOOKUP(H:H,produtos_escape2!$A$2:$D$2794,2,FALSE)),"Código não cadastrado",(VLOOKUP(H:H,produtos_escape2!$A$2:$D$2794,4,FALSE))))</f>
        <v/>
      </c>
      <c r="N2464" s="486"/>
      <c r="O2464" s="176"/>
      <c r="P2464" s="486"/>
      <c r="Q2464" s="247"/>
      <c r="R2464" s="246">
        <f t="shared" si="91"/>
        <v>0</v>
      </c>
      <c r="S2464" s="177"/>
      <c r="T2464" s="182"/>
      <c r="U2464" s="177"/>
      <c r="V2464" s="177"/>
      <c r="W2464" s="177"/>
      <c r="X2464" s="176"/>
      <c r="Y2464" s="177"/>
      <c r="Z2464" s="415"/>
      <c r="AA2464" s="488"/>
      <c r="AB2464" s="594"/>
      <c r="AC2464" s="595"/>
      <c r="AD2464" s="596" t="str">
        <f>IF(AND(AC2464&lt;&gt;"",S2464&lt;&gt;""),NETWORKDAYS(AC2464,S2464,#REF!),"")</f>
        <v/>
      </c>
      <c r="AE2464" s="596" t="str">
        <f ca="1">IF(AND(AD2464="",AC2464=""),"",IF(OR(AD2464&lt;&gt;"",O2464="*CANCELADO"),"",NETWORKDAYS(AC2464,TODAY(),#REF!)))</f>
        <v/>
      </c>
      <c r="AF2464" s="619"/>
    </row>
    <row r="2465" spans="1:32" ht="14.25" customHeight="1">
      <c r="A2465" s="176"/>
      <c r="B2465" s="176"/>
      <c r="C2465" s="177"/>
      <c r="D2465" s="176"/>
      <c r="E2465" s="176"/>
      <c r="F2465" s="259"/>
      <c r="G2465" s="176"/>
      <c r="H2465" s="178"/>
      <c r="I2465" s="592">
        <f t="shared" si="92"/>
        <v>0</v>
      </c>
      <c r="J2465" s="178"/>
      <c r="K2465" s="178"/>
      <c r="L2465" s="275" t="str">
        <f>IF(H:H=0,"",IF(ISERROR(VLOOKUP(H:H,produtos_escape2!$A$2:$B$2794,2,FALSE)),"Código não cadastrado",(VLOOKUP(H:H,produtos_escape2!$A$2:$B$2794,2,FALSE))))</f>
        <v/>
      </c>
      <c r="M2465" s="593" t="str">
        <f>IF(H:H=0,"",IF(ISERROR(VLOOKUP(H:H,produtos_escape2!$A$2:$D$2794,2,FALSE)),"Código não cadastrado",(VLOOKUP(H:H,produtos_escape2!$A$2:$D$2794,4,FALSE))))</f>
        <v/>
      </c>
      <c r="N2465" s="486"/>
      <c r="O2465" s="176"/>
      <c r="P2465" s="486"/>
      <c r="Q2465" s="247"/>
      <c r="R2465" s="246">
        <f t="shared" si="91"/>
        <v>0</v>
      </c>
      <c r="S2465" s="177"/>
      <c r="T2465" s="182"/>
      <c r="U2465" s="177"/>
      <c r="V2465" s="177"/>
      <c r="W2465" s="177"/>
      <c r="X2465" s="176"/>
      <c r="Y2465" s="177"/>
      <c r="Z2465" s="415"/>
      <c r="AA2465" s="488"/>
      <c r="AB2465" s="594"/>
      <c r="AC2465" s="595"/>
      <c r="AD2465" s="596" t="str">
        <f>IF(AND(AC2465&lt;&gt;"",S2465&lt;&gt;""),NETWORKDAYS(AC2465,S2465,#REF!),"")</f>
        <v/>
      </c>
      <c r="AE2465" s="596" t="str">
        <f ca="1">IF(AND(AD2465="",AC2465=""),"",IF(OR(AD2465&lt;&gt;"",O2465="*CANCELADO"),"",NETWORKDAYS(AC2465,TODAY(),#REF!)))</f>
        <v/>
      </c>
      <c r="AF2465" s="619"/>
    </row>
    <row r="2466" spans="1:32" ht="14.25" customHeight="1">
      <c r="A2466" s="176"/>
      <c r="B2466" s="176"/>
      <c r="C2466" s="177"/>
      <c r="D2466" s="176"/>
      <c r="E2466" s="176"/>
      <c r="F2466" s="259"/>
      <c r="G2466" s="176"/>
      <c r="H2466" s="178"/>
      <c r="I2466" s="592">
        <f t="shared" si="92"/>
        <v>0</v>
      </c>
      <c r="J2466" s="178"/>
      <c r="K2466" s="178"/>
      <c r="L2466" s="275" t="str">
        <f>IF(H:H=0,"",IF(ISERROR(VLOOKUP(H:H,produtos_escape2!$A$2:$B$2794,2,FALSE)),"Código não cadastrado",(VLOOKUP(H:H,produtos_escape2!$A$2:$B$2794,2,FALSE))))</f>
        <v/>
      </c>
      <c r="M2466" s="593" t="str">
        <f>IF(H:H=0,"",IF(ISERROR(VLOOKUP(H:H,produtos_escape2!$A$2:$D$2794,2,FALSE)),"Código não cadastrado",(VLOOKUP(H:H,produtos_escape2!$A$2:$D$2794,4,FALSE))))</f>
        <v/>
      </c>
      <c r="N2466" s="486"/>
      <c r="O2466" s="176"/>
      <c r="P2466" s="486"/>
      <c r="Q2466" s="247"/>
      <c r="R2466" s="246">
        <f t="shared" si="91"/>
        <v>0</v>
      </c>
      <c r="S2466" s="177"/>
      <c r="T2466" s="182"/>
      <c r="U2466" s="177"/>
      <c r="V2466" s="177"/>
      <c r="W2466" s="177"/>
      <c r="X2466" s="176"/>
      <c r="Y2466" s="177"/>
      <c r="Z2466" s="415"/>
      <c r="AA2466" s="488"/>
      <c r="AB2466" s="594"/>
      <c r="AC2466" s="595"/>
      <c r="AD2466" s="596" t="str">
        <f>IF(AND(AC2466&lt;&gt;"",S2466&lt;&gt;""),NETWORKDAYS(AC2466,S2466,#REF!),"")</f>
        <v/>
      </c>
      <c r="AE2466" s="596" t="str">
        <f ca="1">IF(AND(AD2466="",AC2466=""),"",IF(OR(AD2466&lt;&gt;"",O2466="*CANCELADO"),"",NETWORKDAYS(AC2466,TODAY(),#REF!)))</f>
        <v/>
      </c>
      <c r="AF2466" s="619"/>
    </row>
    <row r="2467" spans="1:32" ht="14.25" customHeight="1">
      <c r="A2467" s="176"/>
      <c r="B2467" s="176"/>
      <c r="C2467" s="177"/>
      <c r="D2467" s="176"/>
      <c r="E2467" s="176"/>
      <c r="F2467" s="259"/>
      <c r="G2467" s="176"/>
      <c r="H2467" s="178"/>
      <c r="I2467" s="592">
        <f t="shared" si="92"/>
        <v>0</v>
      </c>
      <c r="J2467" s="178"/>
      <c r="K2467" s="178"/>
      <c r="L2467" s="275" t="str">
        <f>IF(H:H=0,"",IF(ISERROR(VLOOKUP(H:H,produtos_escape2!$A$2:$B$2794,2,FALSE)),"Código não cadastrado",(VLOOKUP(H:H,produtos_escape2!$A$2:$B$2794,2,FALSE))))</f>
        <v/>
      </c>
      <c r="M2467" s="593" t="str">
        <f>IF(H:H=0,"",IF(ISERROR(VLOOKUP(H:H,produtos_escape2!$A$2:$D$2794,2,FALSE)),"Código não cadastrado",(VLOOKUP(H:H,produtos_escape2!$A$2:$D$2794,4,FALSE))))</f>
        <v/>
      </c>
      <c r="N2467" s="486"/>
      <c r="O2467" s="176"/>
      <c r="P2467" s="486"/>
      <c r="Q2467" s="247"/>
      <c r="R2467" s="246">
        <f t="shared" si="91"/>
        <v>0</v>
      </c>
      <c r="S2467" s="177"/>
      <c r="T2467" s="182"/>
      <c r="U2467" s="177"/>
      <c r="V2467" s="177"/>
      <c r="W2467" s="177"/>
      <c r="X2467" s="176"/>
      <c r="Y2467" s="177"/>
      <c r="Z2467" s="415"/>
      <c r="AA2467" s="488"/>
      <c r="AB2467" s="594"/>
      <c r="AC2467" s="595"/>
      <c r="AD2467" s="596" t="str">
        <f>IF(AND(AC2467&lt;&gt;"",S2467&lt;&gt;""),NETWORKDAYS(AC2467,S2467,#REF!),"")</f>
        <v/>
      </c>
      <c r="AE2467" s="596" t="str">
        <f ca="1">IF(AND(AD2467="",AC2467=""),"",IF(OR(AD2467&lt;&gt;"",O2467="*CANCELADO"),"",NETWORKDAYS(AC2467,TODAY(),#REF!)))</f>
        <v/>
      </c>
      <c r="AF2467" s="619"/>
    </row>
    <row r="2468" spans="1:32" ht="14.25" customHeight="1">
      <c r="A2468" s="176"/>
      <c r="B2468" s="176"/>
      <c r="C2468" s="177"/>
      <c r="D2468" s="176"/>
      <c r="E2468" s="176"/>
      <c r="F2468" s="259"/>
      <c r="G2468" s="176"/>
      <c r="H2468" s="178"/>
      <c r="I2468" s="592">
        <f t="shared" si="92"/>
        <v>0</v>
      </c>
      <c r="J2468" s="178"/>
      <c r="K2468" s="178"/>
      <c r="L2468" s="275" t="str">
        <f>IF(H:H=0,"",IF(ISERROR(VLOOKUP(H:H,produtos_escape2!$A$2:$B$2794,2,FALSE)),"Código não cadastrado",(VLOOKUP(H:H,produtos_escape2!$A$2:$B$2794,2,FALSE))))</f>
        <v/>
      </c>
      <c r="M2468" s="593" t="str">
        <f>IF(H:H=0,"",IF(ISERROR(VLOOKUP(H:H,produtos_escape2!$A$2:$D$2794,2,FALSE)),"Código não cadastrado",(VLOOKUP(H:H,produtos_escape2!$A$2:$D$2794,4,FALSE))))</f>
        <v/>
      </c>
      <c r="N2468" s="486"/>
      <c r="O2468" s="176"/>
      <c r="P2468" s="486"/>
      <c r="Q2468" s="247"/>
      <c r="R2468" s="246">
        <f t="shared" si="91"/>
        <v>0</v>
      </c>
      <c r="S2468" s="177"/>
      <c r="T2468" s="182"/>
      <c r="U2468" s="177"/>
      <c r="V2468" s="177"/>
      <c r="W2468" s="177"/>
      <c r="X2468" s="176"/>
      <c r="Y2468" s="177"/>
      <c r="Z2468" s="415"/>
      <c r="AA2468" s="488"/>
      <c r="AB2468" s="594"/>
      <c r="AC2468" s="595"/>
      <c r="AD2468" s="596" t="str">
        <f>IF(AND(AC2468&lt;&gt;"",S2468&lt;&gt;""),NETWORKDAYS(AC2468,S2468,#REF!),"")</f>
        <v/>
      </c>
      <c r="AE2468" s="596" t="str">
        <f ca="1">IF(AND(AD2468="",AC2468=""),"",IF(OR(AD2468&lt;&gt;"",O2468="*CANCELADO"),"",NETWORKDAYS(AC2468,TODAY(),#REF!)))</f>
        <v/>
      </c>
      <c r="AF2468" s="619"/>
    </row>
    <row r="2469" spans="1:32" ht="14.25" customHeight="1">
      <c r="A2469" s="176"/>
      <c r="B2469" s="176"/>
      <c r="C2469" s="177"/>
      <c r="D2469" s="176"/>
      <c r="E2469" s="176"/>
      <c r="F2469" s="259"/>
      <c r="G2469" s="176"/>
      <c r="H2469" s="178"/>
      <c r="I2469" s="592">
        <f t="shared" si="92"/>
        <v>0</v>
      </c>
      <c r="J2469" s="178"/>
      <c r="K2469" s="178"/>
      <c r="L2469" s="275" t="str">
        <f>IF(H:H=0,"",IF(ISERROR(VLOOKUP(H:H,produtos_escape2!$A$2:$B$2794,2,FALSE)),"Código não cadastrado",(VLOOKUP(H:H,produtos_escape2!$A$2:$B$2794,2,FALSE))))</f>
        <v/>
      </c>
      <c r="M2469" s="593" t="str">
        <f>IF(H:H=0,"",IF(ISERROR(VLOOKUP(H:H,produtos_escape2!$A$2:$D$2794,2,FALSE)),"Código não cadastrado",(VLOOKUP(H:H,produtos_escape2!$A$2:$D$2794,4,FALSE))))</f>
        <v/>
      </c>
      <c r="N2469" s="486"/>
      <c r="O2469" s="176"/>
      <c r="P2469" s="486"/>
      <c r="Q2469" s="247"/>
      <c r="R2469" s="246">
        <f t="shared" si="91"/>
        <v>0</v>
      </c>
      <c r="S2469" s="177"/>
      <c r="T2469" s="182"/>
      <c r="U2469" s="177"/>
      <c r="V2469" s="177"/>
      <c r="W2469" s="177"/>
      <c r="X2469" s="176"/>
      <c r="Y2469" s="177"/>
      <c r="Z2469" s="415"/>
      <c r="AA2469" s="488"/>
      <c r="AB2469" s="594"/>
      <c r="AC2469" s="595"/>
      <c r="AD2469" s="596" t="str">
        <f>IF(AND(AC2469&lt;&gt;"",S2469&lt;&gt;""),NETWORKDAYS(AC2469,S2469,#REF!),"")</f>
        <v/>
      </c>
      <c r="AE2469" s="596" t="str">
        <f ca="1">IF(AND(AD2469="",AC2469=""),"",IF(OR(AD2469&lt;&gt;"",O2469="*CANCELADO"),"",NETWORKDAYS(AC2469,TODAY(),#REF!)))</f>
        <v/>
      </c>
      <c r="AF2469" s="619"/>
    </row>
    <row r="2470" spans="1:32" ht="14.25" customHeight="1">
      <c r="A2470" s="176"/>
      <c r="B2470" s="176"/>
      <c r="C2470" s="177"/>
      <c r="D2470" s="176"/>
      <c r="E2470" s="176"/>
      <c r="F2470" s="259"/>
      <c r="G2470" s="176"/>
      <c r="H2470" s="178"/>
      <c r="I2470" s="592">
        <f t="shared" si="92"/>
        <v>0</v>
      </c>
      <c r="J2470" s="178"/>
      <c r="K2470" s="178"/>
      <c r="L2470" s="275" t="str">
        <f>IF(H:H=0,"",IF(ISERROR(VLOOKUP(H:H,produtos_escape2!$A$2:$B$2794,2,FALSE)),"Código não cadastrado",(VLOOKUP(H:H,produtos_escape2!$A$2:$B$2794,2,FALSE))))</f>
        <v/>
      </c>
      <c r="M2470" s="593" t="str">
        <f>IF(H:H=0,"",IF(ISERROR(VLOOKUP(H:H,produtos_escape2!$A$2:$D$2794,2,FALSE)),"Código não cadastrado",(VLOOKUP(H:H,produtos_escape2!$A$2:$D$2794,4,FALSE))))</f>
        <v/>
      </c>
      <c r="N2470" s="486"/>
      <c r="O2470" s="176"/>
      <c r="P2470" s="486"/>
      <c r="Q2470" s="247"/>
      <c r="R2470" s="246">
        <f t="shared" si="91"/>
        <v>0</v>
      </c>
      <c r="S2470" s="177"/>
      <c r="T2470" s="182"/>
      <c r="U2470" s="177"/>
      <c r="V2470" s="177"/>
      <c r="W2470" s="177"/>
      <c r="X2470" s="176"/>
      <c r="Y2470" s="177"/>
      <c r="Z2470" s="415"/>
      <c r="AA2470" s="488"/>
      <c r="AB2470" s="594"/>
      <c r="AC2470" s="595"/>
      <c r="AD2470" s="596" t="str">
        <f>IF(AND(AC2470&lt;&gt;"",S2470&lt;&gt;""),NETWORKDAYS(AC2470,S2470,#REF!),"")</f>
        <v/>
      </c>
      <c r="AE2470" s="596" t="str">
        <f ca="1">IF(AND(AD2470="",AC2470=""),"",IF(OR(AD2470&lt;&gt;"",O2470="*CANCELADO"),"",NETWORKDAYS(AC2470,TODAY(),#REF!)))</f>
        <v/>
      </c>
      <c r="AF2470" s="619"/>
    </row>
    <row r="2471" spans="1:32" ht="14.25" customHeight="1">
      <c r="A2471" s="176"/>
      <c r="B2471" s="176"/>
      <c r="C2471" s="177"/>
      <c r="D2471" s="176"/>
      <c r="E2471" s="176"/>
      <c r="F2471" s="259"/>
      <c r="G2471" s="176"/>
      <c r="H2471" s="178"/>
      <c r="I2471" s="592">
        <f t="shared" si="92"/>
        <v>0</v>
      </c>
      <c r="J2471" s="178"/>
      <c r="K2471" s="178"/>
      <c r="L2471" s="275" t="str">
        <f>IF(H:H=0,"",IF(ISERROR(VLOOKUP(H:H,produtos_escape2!$A$2:$B$2794,2,FALSE)),"Código não cadastrado",(VLOOKUP(H:H,produtos_escape2!$A$2:$B$2794,2,FALSE))))</f>
        <v/>
      </c>
      <c r="M2471" s="593" t="str">
        <f>IF(H:H=0,"",IF(ISERROR(VLOOKUP(H:H,produtos_escape2!$A$2:$D$2794,2,FALSE)),"Código não cadastrado",(VLOOKUP(H:H,produtos_escape2!$A$2:$D$2794,4,FALSE))))</f>
        <v/>
      </c>
      <c r="N2471" s="486"/>
      <c r="O2471" s="176"/>
      <c r="P2471" s="486"/>
      <c r="Q2471" s="247"/>
      <c r="R2471" s="246">
        <f t="shared" si="91"/>
        <v>0</v>
      </c>
      <c r="S2471" s="177"/>
      <c r="T2471" s="182"/>
      <c r="U2471" s="177"/>
      <c r="V2471" s="177"/>
      <c r="W2471" s="177"/>
      <c r="X2471" s="176"/>
      <c r="Y2471" s="177"/>
      <c r="Z2471" s="415"/>
      <c r="AA2471" s="488"/>
      <c r="AB2471" s="594"/>
      <c r="AC2471" s="595"/>
      <c r="AD2471" s="596" t="str">
        <f>IF(AND(AC2471&lt;&gt;"",S2471&lt;&gt;""),NETWORKDAYS(AC2471,S2471,#REF!),"")</f>
        <v/>
      </c>
      <c r="AE2471" s="596" t="str">
        <f ca="1">IF(AND(AD2471="",AC2471=""),"",IF(OR(AD2471&lt;&gt;"",O2471="*CANCELADO"),"",NETWORKDAYS(AC2471,TODAY(),#REF!)))</f>
        <v/>
      </c>
      <c r="AF2471" s="619"/>
    </row>
    <row r="2472" spans="1:32" ht="14.25" customHeight="1">
      <c r="A2472" s="176"/>
      <c r="B2472" s="176"/>
      <c r="C2472" s="177"/>
      <c r="D2472" s="176"/>
      <c r="E2472" s="176"/>
      <c r="F2472" s="259"/>
      <c r="G2472" s="176"/>
      <c r="H2472" s="178"/>
      <c r="I2472" s="592">
        <f t="shared" si="92"/>
        <v>0</v>
      </c>
      <c r="J2472" s="178"/>
      <c r="K2472" s="178"/>
      <c r="L2472" s="275" t="str">
        <f>IF(H:H=0,"",IF(ISERROR(VLOOKUP(H:H,produtos_escape2!$A$2:$B$2794,2,FALSE)),"Código não cadastrado",(VLOOKUP(H:H,produtos_escape2!$A$2:$B$2794,2,FALSE))))</f>
        <v/>
      </c>
      <c r="M2472" s="593" t="str">
        <f>IF(H:H=0,"",IF(ISERROR(VLOOKUP(H:H,produtos_escape2!$A$2:$D$2794,2,FALSE)),"Código não cadastrado",(VLOOKUP(H:H,produtos_escape2!$A$2:$D$2794,4,FALSE))))</f>
        <v/>
      </c>
      <c r="N2472" s="486"/>
      <c r="O2472" s="176"/>
      <c r="P2472" s="486"/>
      <c r="Q2472" s="247"/>
      <c r="R2472" s="246">
        <f t="shared" si="91"/>
        <v>0</v>
      </c>
      <c r="S2472" s="177"/>
      <c r="T2472" s="182"/>
      <c r="U2472" s="177"/>
      <c r="V2472" s="177"/>
      <c r="W2472" s="177"/>
      <c r="X2472" s="176"/>
      <c r="Y2472" s="177"/>
      <c r="Z2472" s="415"/>
      <c r="AA2472" s="488"/>
      <c r="AB2472" s="594"/>
      <c r="AC2472" s="595"/>
      <c r="AD2472" s="596" t="str">
        <f>IF(AND(AC2472&lt;&gt;"",S2472&lt;&gt;""),NETWORKDAYS(AC2472,S2472,#REF!),"")</f>
        <v/>
      </c>
      <c r="AE2472" s="596" t="str">
        <f ca="1">IF(AND(AD2472="",AC2472=""),"",IF(OR(AD2472&lt;&gt;"",O2472="*CANCELADO"),"",NETWORKDAYS(AC2472,TODAY(),#REF!)))</f>
        <v/>
      </c>
      <c r="AF2472" s="619"/>
    </row>
    <row r="2473" spans="1:32" ht="14.25" customHeight="1">
      <c r="A2473" s="176"/>
      <c r="B2473" s="176"/>
      <c r="C2473" s="177"/>
      <c r="D2473" s="176"/>
      <c r="E2473" s="176"/>
      <c r="F2473" s="259"/>
      <c r="G2473" s="176"/>
      <c r="H2473" s="178"/>
      <c r="I2473" s="592">
        <f t="shared" si="92"/>
        <v>0</v>
      </c>
      <c r="J2473" s="178"/>
      <c r="K2473" s="178"/>
      <c r="L2473" s="275" t="str">
        <f>IF(H:H=0,"",IF(ISERROR(VLOOKUP(H:H,produtos_escape2!$A$2:$B$2794,2,FALSE)),"Código não cadastrado",(VLOOKUP(H:H,produtos_escape2!$A$2:$B$2794,2,FALSE))))</f>
        <v/>
      </c>
      <c r="M2473" s="593" t="str">
        <f>IF(H:H=0,"",IF(ISERROR(VLOOKUP(H:H,produtos_escape2!$A$2:$D$2794,2,FALSE)),"Código não cadastrado",(VLOOKUP(H:H,produtos_escape2!$A$2:$D$2794,4,FALSE))))</f>
        <v/>
      </c>
      <c r="N2473" s="486"/>
      <c r="O2473" s="176"/>
      <c r="P2473" s="486"/>
      <c r="Q2473" s="247"/>
      <c r="R2473" s="246">
        <f t="shared" si="91"/>
        <v>0</v>
      </c>
      <c r="S2473" s="177"/>
      <c r="T2473" s="182"/>
      <c r="U2473" s="177"/>
      <c r="V2473" s="177"/>
      <c r="W2473" s="177"/>
      <c r="X2473" s="176"/>
      <c r="Y2473" s="177"/>
      <c r="Z2473" s="415"/>
      <c r="AA2473" s="488"/>
      <c r="AB2473" s="594"/>
      <c r="AC2473" s="595"/>
      <c r="AD2473" s="596" t="str">
        <f>IF(AND(AC2473&lt;&gt;"",S2473&lt;&gt;""),NETWORKDAYS(AC2473,S2473,#REF!),"")</f>
        <v/>
      </c>
      <c r="AE2473" s="596" t="str">
        <f ca="1">IF(AND(AD2473="",AC2473=""),"",IF(OR(AD2473&lt;&gt;"",O2473="*CANCELADO"),"",NETWORKDAYS(AC2473,TODAY(),#REF!)))</f>
        <v/>
      </c>
      <c r="AF2473" s="619"/>
    </row>
    <row r="2474" spans="1:32" ht="14.25" customHeight="1">
      <c r="A2474" s="176"/>
      <c r="B2474" s="176"/>
      <c r="C2474" s="177"/>
      <c r="D2474" s="176"/>
      <c r="E2474" s="176"/>
      <c r="F2474" s="259"/>
      <c r="G2474" s="176"/>
      <c r="H2474" s="178"/>
      <c r="I2474" s="592">
        <f t="shared" si="92"/>
        <v>0</v>
      </c>
      <c r="J2474" s="178"/>
      <c r="K2474" s="178"/>
      <c r="L2474" s="275" t="str">
        <f>IF(H:H=0,"",IF(ISERROR(VLOOKUP(H:H,produtos_escape2!$A$2:$B$2794,2,FALSE)),"Código não cadastrado",(VLOOKUP(H:H,produtos_escape2!$A$2:$B$2794,2,FALSE))))</f>
        <v/>
      </c>
      <c r="M2474" s="593" t="str">
        <f>IF(H:H=0,"",IF(ISERROR(VLOOKUP(H:H,produtos_escape2!$A$2:$D$2794,2,FALSE)),"Código não cadastrado",(VLOOKUP(H:H,produtos_escape2!$A$2:$D$2794,4,FALSE))))</f>
        <v/>
      </c>
      <c r="N2474" s="486"/>
      <c r="O2474" s="176"/>
      <c r="P2474" s="486"/>
      <c r="Q2474" s="247"/>
      <c r="R2474" s="246">
        <f t="shared" si="91"/>
        <v>0</v>
      </c>
      <c r="S2474" s="177"/>
      <c r="T2474" s="182"/>
      <c r="U2474" s="177"/>
      <c r="V2474" s="177"/>
      <c r="W2474" s="177"/>
      <c r="X2474" s="176"/>
      <c r="Y2474" s="177"/>
      <c r="Z2474" s="415"/>
      <c r="AA2474" s="488"/>
      <c r="AB2474" s="594"/>
      <c r="AC2474" s="595"/>
      <c r="AD2474" s="596" t="str">
        <f>IF(AND(AC2474&lt;&gt;"",S2474&lt;&gt;""),NETWORKDAYS(AC2474,S2474,#REF!),"")</f>
        <v/>
      </c>
      <c r="AE2474" s="596" t="str">
        <f ca="1">IF(AND(AD2474="",AC2474=""),"",IF(OR(AD2474&lt;&gt;"",O2474="*CANCELADO"),"",NETWORKDAYS(AC2474,TODAY(),#REF!)))</f>
        <v/>
      </c>
      <c r="AF2474" s="619"/>
    </row>
    <row r="2475" spans="1:32" ht="14.25" customHeight="1">
      <c r="A2475" s="176"/>
      <c r="B2475" s="176"/>
      <c r="C2475" s="177"/>
      <c r="D2475" s="176"/>
      <c r="E2475" s="176"/>
      <c r="F2475" s="259"/>
      <c r="G2475" s="176"/>
      <c r="H2475" s="178"/>
      <c r="I2475" s="592">
        <f t="shared" si="92"/>
        <v>0</v>
      </c>
      <c r="J2475" s="178"/>
      <c r="K2475" s="178"/>
      <c r="L2475" s="275" t="str">
        <f>IF(H:H=0,"",IF(ISERROR(VLOOKUP(H:H,produtos_escape2!$A$2:$B$2794,2,FALSE)),"Código não cadastrado",(VLOOKUP(H:H,produtos_escape2!$A$2:$B$2794,2,FALSE))))</f>
        <v/>
      </c>
      <c r="M2475" s="593" t="str">
        <f>IF(H:H=0,"",IF(ISERROR(VLOOKUP(H:H,produtos_escape2!$A$2:$D$2794,2,FALSE)),"Código não cadastrado",(VLOOKUP(H:H,produtos_escape2!$A$2:$D$2794,4,FALSE))))</f>
        <v/>
      </c>
      <c r="N2475" s="486"/>
      <c r="O2475" s="176"/>
      <c r="P2475" s="486"/>
      <c r="Q2475" s="247"/>
      <c r="R2475" s="246">
        <f t="shared" si="91"/>
        <v>0</v>
      </c>
      <c r="S2475" s="177"/>
      <c r="T2475" s="182"/>
      <c r="U2475" s="177"/>
      <c r="V2475" s="177"/>
      <c r="W2475" s="177"/>
      <c r="X2475" s="176"/>
      <c r="Y2475" s="177"/>
      <c r="Z2475" s="415"/>
      <c r="AA2475" s="488"/>
      <c r="AB2475" s="594"/>
      <c r="AC2475" s="595"/>
      <c r="AD2475" s="596" t="str">
        <f>IF(AND(AC2475&lt;&gt;"",S2475&lt;&gt;""),NETWORKDAYS(AC2475,S2475,#REF!),"")</f>
        <v/>
      </c>
      <c r="AE2475" s="596" t="str">
        <f ca="1">IF(AND(AD2475="",AC2475=""),"",IF(OR(AD2475&lt;&gt;"",O2475="*CANCELADO"),"",NETWORKDAYS(AC2475,TODAY(),#REF!)))</f>
        <v/>
      </c>
      <c r="AF2475" s="619"/>
    </row>
    <row r="2476" spans="1:32" ht="14.25" customHeight="1">
      <c r="A2476" s="176"/>
      <c r="B2476" s="176"/>
      <c r="C2476" s="177"/>
      <c r="D2476" s="176"/>
      <c r="E2476" s="176"/>
      <c r="F2476" s="259"/>
      <c r="G2476" s="176"/>
      <c r="H2476" s="178"/>
      <c r="I2476" s="592">
        <f t="shared" si="92"/>
        <v>0</v>
      </c>
      <c r="J2476" s="178"/>
      <c r="K2476" s="178"/>
      <c r="L2476" s="275" t="str">
        <f>IF(H:H=0,"",IF(ISERROR(VLOOKUP(H:H,produtos_escape2!$A$2:$B$2794,2,FALSE)),"Código não cadastrado",(VLOOKUP(H:H,produtos_escape2!$A$2:$B$2794,2,FALSE))))</f>
        <v/>
      </c>
      <c r="M2476" s="593" t="str">
        <f>IF(H:H=0,"",IF(ISERROR(VLOOKUP(H:H,produtos_escape2!$A$2:$D$2794,2,FALSE)),"Código não cadastrado",(VLOOKUP(H:H,produtos_escape2!$A$2:$D$2794,4,FALSE))))</f>
        <v/>
      </c>
      <c r="N2476" s="486"/>
      <c r="O2476" s="176"/>
      <c r="P2476" s="486"/>
      <c r="Q2476" s="247"/>
      <c r="R2476" s="246">
        <f t="shared" si="91"/>
        <v>0</v>
      </c>
      <c r="S2476" s="177"/>
      <c r="T2476" s="182"/>
      <c r="U2476" s="177"/>
      <c r="V2476" s="177"/>
      <c r="W2476" s="177"/>
      <c r="X2476" s="176"/>
      <c r="Y2476" s="177"/>
      <c r="Z2476" s="415"/>
      <c r="AA2476" s="488"/>
      <c r="AB2476" s="594"/>
      <c r="AC2476" s="595"/>
      <c r="AD2476" s="596" t="str">
        <f>IF(AND(AC2476&lt;&gt;"",S2476&lt;&gt;""),NETWORKDAYS(AC2476,S2476,#REF!),"")</f>
        <v/>
      </c>
      <c r="AE2476" s="596" t="str">
        <f ca="1">IF(AND(AD2476="",AC2476=""),"",IF(OR(AD2476&lt;&gt;"",O2476="*CANCELADO"),"",NETWORKDAYS(AC2476,TODAY(),#REF!)))</f>
        <v/>
      </c>
      <c r="AF2476" s="619"/>
    </row>
    <row r="2477" spans="1:32" ht="14.25" customHeight="1">
      <c r="A2477" s="176"/>
      <c r="B2477" s="176"/>
      <c r="C2477" s="177"/>
      <c r="D2477" s="176"/>
      <c r="E2477" s="176"/>
      <c r="F2477" s="259"/>
      <c r="G2477" s="176"/>
      <c r="H2477" s="178"/>
      <c r="I2477" s="592">
        <f t="shared" si="92"/>
        <v>0</v>
      </c>
      <c r="J2477" s="178"/>
      <c r="K2477" s="178"/>
      <c r="L2477" s="275" t="str">
        <f>IF(H:H=0,"",IF(ISERROR(VLOOKUP(H:H,produtos_escape2!$A$2:$B$2794,2,FALSE)),"Código não cadastrado",(VLOOKUP(H:H,produtos_escape2!$A$2:$B$2794,2,FALSE))))</f>
        <v/>
      </c>
      <c r="M2477" s="593" t="str">
        <f>IF(H:H=0,"",IF(ISERROR(VLOOKUP(H:H,produtos_escape2!$A$2:$D$2794,2,FALSE)),"Código não cadastrado",(VLOOKUP(H:H,produtos_escape2!$A$2:$D$2794,4,FALSE))))</f>
        <v/>
      </c>
      <c r="N2477" s="486"/>
      <c r="O2477" s="176"/>
      <c r="P2477" s="486"/>
      <c r="Q2477" s="247"/>
      <c r="R2477" s="246">
        <f t="shared" ref="R2477:R2540" si="93">P2477*Q2477</f>
        <v>0</v>
      </c>
      <c r="S2477" s="177"/>
      <c r="T2477" s="182"/>
      <c r="U2477" s="177"/>
      <c r="V2477" s="177"/>
      <c r="W2477" s="177"/>
      <c r="X2477" s="176"/>
      <c r="Y2477" s="177"/>
      <c r="Z2477" s="415"/>
      <c r="AA2477" s="488"/>
      <c r="AB2477" s="594"/>
      <c r="AC2477" s="595"/>
      <c r="AD2477" s="596" t="str">
        <f>IF(AND(AC2477&lt;&gt;"",S2477&lt;&gt;""),NETWORKDAYS(AC2477,S2477,#REF!),"")</f>
        <v/>
      </c>
      <c r="AE2477" s="596" t="str">
        <f ca="1">IF(AND(AD2477="",AC2477=""),"",IF(OR(AD2477&lt;&gt;"",O2477="*CANCELADO"),"",NETWORKDAYS(AC2477,TODAY(),#REF!)))</f>
        <v/>
      </c>
      <c r="AF2477" s="619"/>
    </row>
    <row r="2478" spans="1:32" ht="14.25" customHeight="1">
      <c r="A2478" s="176"/>
      <c r="B2478" s="176"/>
      <c r="C2478" s="177"/>
      <c r="D2478" s="176"/>
      <c r="E2478" s="176"/>
      <c r="F2478" s="259"/>
      <c r="G2478" s="176"/>
      <c r="H2478" s="178"/>
      <c r="I2478" s="592">
        <f t="shared" si="92"/>
        <v>0</v>
      </c>
      <c r="J2478" s="178"/>
      <c r="K2478" s="178"/>
      <c r="L2478" s="275" t="str">
        <f>IF(H:H=0,"",IF(ISERROR(VLOOKUP(H:H,produtos_escape2!$A$2:$B$2794,2,FALSE)),"Código não cadastrado",(VLOOKUP(H:H,produtos_escape2!$A$2:$B$2794,2,FALSE))))</f>
        <v/>
      </c>
      <c r="M2478" s="593" t="str">
        <f>IF(H:H=0,"",IF(ISERROR(VLOOKUP(H:H,produtos_escape2!$A$2:$D$2794,2,FALSE)),"Código não cadastrado",(VLOOKUP(H:H,produtos_escape2!$A$2:$D$2794,4,FALSE))))</f>
        <v/>
      </c>
      <c r="N2478" s="486"/>
      <c r="O2478" s="176"/>
      <c r="P2478" s="486"/>
      <c r="Q2478" s="247"/>
      <c r="R2478" s="246">
        <f t="shared" si="93"/>
        <v>0</v>
      </c>
      <c r="S2478" s="177"/>
      <c r="T2478" s="182"/>
      <c r="U2478" s="177"/>
      <c r="V2478" s="177"/>
      <c r="W2478" s="177"/>
      <c r="X2478" s="176"/>
      <c r="Y2478" s="177"/>
      <c r="Z2478" s="415"/>
      <c r="AA2478" s="488"/>
      <c r="AB2478" s="594"/>
      <c r="AC2478" s="595"/>
      <c r="AD2478" s="596" t="str">
        <f>IF(AND(AC2478&lt;&gt;"",S2478&lt;&gt;""),NETWORKDAYS(AC2478,S2478,#REF!),"")</f>
        <v/>
      </c>
      <c r="AE2478" s="596" t="str">
        <f ca="1">IF(AND(AD2478="",AC2478=""),"",IF(OR(AD2478&lt;&gt;"",O2478="*CANCELADO"),"",NETWORKDAYS(AC2478,TODAY(),#REF!)))</f>
        <v/>
      </c>
      <c r="AF2478" s="619"/>
    </row>
    <row r="2479" spans="1:32" ht="14.25" customHeight="1">
      <c r="A2479" s="176"/>
      <c r="B2479" s="176"/>
      <c r="C2479" s="177"/>
      <c r="D2479" s="176"/>
      <c r="E2479" s="176"/>
      <c r="F2479" s="259"/>
      <c r="G2479" s="176"/>
      <c r="H2479" s="178"/>
      <c r="I2479" s="592">
        <f t="shared" si="92"/>
        <v>0</v>
      </c>
      <c r="J2479" s="178"/>
      <c r="K2479" s="178"/>
      <c r="L2479" s="275" t="str">
        <f>IF(H:H=0,"",IF(ISERROR(VLOOKUP(H:H,produtos_escape2!$A$2:$B$2794,2,FALSE)),"Código não cadastrado",(VLOOKUP(H:H,produtos_escape2!$A$2:$B$2794,2,FALSE))))</f>
        <v/>
      </c>
      <c r="M2479" s="593" t="str">
        <f>IF(H:H=0,"",IF(ISERROR(VLOOKUP(H:H,produtos_escape2!$A$2:$D$2794,2,FALSE)),"Código não cadastrado",(VLOOKUP(H:H,produtos_escape2!$A$2:$D$2794,4,FALSE))))</f>
        <v/>
      </c>
      <c r="N2479" s="486"/>
      <c r="O2479" s="176"/>
      <c r="P2479" s="486"/>
      <c r="Q2479" s="247"/>
      <c r="R2479" s="246">
        <f t="shared" si="93"/>
        <v>0</v>
      </c>
      <c r="S2479" s="177"/>
      <c r="T2479" s="182"/>
      <c r="U2479" s="177"/>
      <c r="V2479" s="177"/>
      <c r="W2479" s="177"/>
      <c r="X2479" s="176"/>
      <c r="Y2479" s="177"/>
      <c r="Z2479" s="415"/>
      <c r="AA2479" s="488"/>
      <c r="AB2479" s="594"/>
      <c r="AC2479" s="595"/>
      <c r="AD2479" s="596" t="str">
        <f>IF(AND(AC2479&lt;&gt;"",S2479&lt;&gt;""),NETWORKDAYS(AC2479,S2479,#REF!),"")</f>
        <v/>
      </c>
      <c r="AE2479" s="596" t="str">
        <f ca="1">IF(AND(AD2479="",AC2479=""),"",IF(OR(AD2479&lt;&gt;"",O2479="*CANCELADO"),"",NETWORKDAYS(AC2479,TODAY(),#REF!)))</f>
        <v/>
      </c>
      <c r="AF2479" s="619"/>
    </row>
    <row r="2480" spans="1:32" ht="14.25" customHeight="1">
      <c r="A2480" s="176"/>
      <c r="B2480" s="176"/>
      <c r="C2480" s="177"/>
      <c r="D2480" s="176"/>
      <c r="E2480" s="176"/>
      <c r="F2480" s="259"/>
      <c r="G2480" s="176"/>
      <c r="H2480" s="178"/>
      <c r="I2480" s="592">
        <f t="shared" si="92"/>
        <v>0</v>
      </c>
      <c r="J2480" s="178"/>
      <c r="K2480" s="178"/>
      <c r="L2480" s="275" t="str">
        <f>IF(H:H=0,"",IF(ISERROR(VLOOKUP(H:H,produtos_escape2!$A$2:$B$2794,2,FALSE)),"Código não cadastrado",(VLOOKUP(H:H,produtos_escape2!$A$2:$B$2794,2,FALSE))))</f>
        <v/>
      </c>
      <c r="M2480" s="593" t="str">
        <f>IF(H:H=0,"",IF(ISERROR(VLOOKUP(H:H,produtos_escape2!$A$2:$D$2794,2,FALSE)),"Código não cadastrado",(VLOOKUP(H:H,produtos_escape2!$A$2:$D$2794,4,FALSE))))</f>
        <v/>
      </c>
      <c r="N2480" s="486"/>
      <c r="O2480" s="176"/>
      <c r="P2480" s="486"/>
      <c r="Q2480" s="247"/>
      <c r="R2480" s="246">
        <f t="shared" si="93"/>
        <v>0</v>
      </c>
      <c r="S2480" s="177"/>
      <c r="T2480" s="182"/>
      <c r="U2480" s="177"/>
      <c r="V2480" s="177"/>
      <c r="W2480" s="177"/>
      <c r="X2480" s="176"/>
      <c r="Y2480" s="177"/>
      <c r="Z2480" s="415"/>
      <c r="AA2480" s="488"/>
      <c r="AB2480" s="594"/>
      <c r="AC2480" s="595"/>
      <c r="AD2480" s="596" t="str">
        <f>IF(AND(AC2480&lt;&gt;"",S2480&lt;&gt;""),NETWORKDAYS(AC2480,S2480,#REF!),"")</f>
        <v/>
      </c>
      <c r="AE2480" s="596" t="str">
        <f ca="1">IF(AND(AD2480="",AC2480=""),"",IF(OR(AD2480&lt;&gt;"",O2480="*CANCELADO"),"",NETWORKDAYS(AC2480,TODAY(),#REF!)))</f>
        <v/>
      </c>
      <c r="AF2480" s="619"/>
    </row>
    <row r="2481" spans="1:32" ht="14.25" customHeight="1">
      <c r="A2481" s="176"/>
      <c r="B2481" s="176"/>
      <c r="C2481" s="177"/>
      <c r="D2481" s="176"/>
      <c r="E2481" s="176"/>
      <c r="F2481" s="259"/>
      <c r="G2481" s="176"/>
      <c r="H2481" s="178"/>
      <c r="I2481" s="592">
        <f t="shared" si="92"/>
        <v>0</v>
      </c>
      <c r="J2481" s="178"/>
      <c r="K2481" s="178"/>
      <c r="L2481" s="275" t="str">
        <f>IF(H:H=0,"",IF(ISERROR(VLOOKUP(H:H,produtos_escape2!$A$2:$B$2794,2,FALSE)),"Código não cadastrado",(VLOOKUP(H:H,produtos_escape2!$A$2:$B$2794,2,FALSE))))</f>
        <v/>
      </c>
      <c r="M2481" s="593" t="str">
        <f>IF(H:H=0,"",IF(ISERROR(VLOOKUP(H:H,produtos_escape2!$A$2:$D$2794,2,FALSE)),"Código não cadastrado",(VLOOKUP(H:H,produtos_escape2!$A$2:$D$2794,4,FALSE))))</f>
        <v/>
      </c>
      <c r="N2481" s="486"/>
      <c r="O2481" s="176"/>
      <c r="P2481" s="486"/>
      <c r="Q2481" s="247"/>
      <c r="R2481" s="246">
        <f t="shared" si="93"/>
        <v>0</v>
      </c>
      <c r="S2481" s="177"/>
      <c r="T2481" s="182"/>
      <c r="U2481" s="177"/>
      <c r="V2481" s="177"/>
      <c r="W2481" s="177"/>
      <c r="X2481" s="176"/>
      <c r="Y2481" s="177"/>
      <c r="Z2481" s="415"/>
      <c r="AA2481" s="488"/>
      <c r="AB2481" s="594"/>
      <c r="AC2481" s="595"/>
      <c r="AD2481" s="596" t="str">
        <f>IF(AND(AC2481&lt;&gt;"",S2481&lt;&gt;""),NETWORKDAYS(AC2481,S2481,#REF!),"")</f>
        <v/>
      </c>
      <c r="AE2481" s="596" t="str">
        <f ca="1">IF(AND(AD2481="",AC2481=""),"",IF(OR(AD2481&lt;&gt;"",O2481="*CANCELADO"),"",NETWORKDAYS(AC2481,TODAY(),#REF!)))</f>
        <v/>
      </c>
      <c r="AF2481" s="619"/>
    </row>
    <row r="2482" spans="1:32" ht="14.25" customHeight="1">
      <c r="A2482" s="176"/>
      <c r="B2482" s="176"/>
      <c r="C2482" s="177"/>
      <c r="D2482" s="176"/>
      <c r="E2482" s="176"/>
      <c r="F2482" s="259"/>
      <c r="G2482" s="176"/>
      <c r="H2482" s="178"/>
      <c r="I2482" s="592">
        <f t="shared" si="92"/>
        <v>0</v>
      </c>
      <c r="J2482" s="178"/>
      <c r="K2482" s="178"/>
      <c r="L2482" s="275" t="str">
        <f>IF(H:H=0,"",IF(ISERROR(VLOOKUP(H:H,produtos_escape2!$A$2:$B$2794,2,FALSE)),"Código não cadastrado",(VLOOKUP(H:H,produtos_escape2!$A$2:$B$2794,2,FALSE))))</f>
        <v/>
      </c>
      <c r="M2482" s="593" t="str">
        <f>IF(H:H=0,"",IF(ISERROR(VLOOKUP(H:H,produtos_escape2!$A$2:$D$2794,2,FALSE)),"Código não cadastrado",(VLOOKUP(H:H,produtos_escape2!$A$2:$D$2794,4,FALSE))))</f>
        <v/>
      </c>
      <c r="N2482" s="486"/>
      <c r="O2482" s="176"/>
      <c r="P2482" s="486"/>
      <c r="Q2482" s="247"/>
      <c r="R2482" s="246">
        <f t="shared" si="93"/>
        <v>0</v>
      </c>
      <c r="S2482" s="177"/>
      <c r="T2482" s="182"/>
      <c r="U2482" s="177"/>
      <c r="V2482" s="177"/>
      <c r="W2482" s="177"/>
      <c r="X2482" s="176"/>
      <c r="Y2482" s="177"/>
      <c r="Z2482" s="415"/>
      <c r="AA2482" s="488"/>
      <c r="AB2482" s="594"/>
      <c r="AC2482" s="595"/>
      <c r="AD2482" s="596" t="str">
        <f>IF(AND(AC2482&lt;&gt;"",S2482&lt;&gt;""),NETWORKDAYS(AC2482,S2482,#REF!),"")</f>
        <v/>
      </c>
      <c r="AE2482" s="596" t="str">
        <f ca="1">IF(AND(AD2482="",AC2482=""),"",IF(OR(AD2482&lt;&gt;"",O2482="*CANCELADO"),"",NETWORKDAYS(AC2482,TODAY(),#REF!)))</f>
        <v/>
      </c>
      <c r="AF2482" s="619"/>
    </row>
    <row r="2483" spans="1:32" ht="14.25" customHeight="1">
      <c r="A2483" s="176"/>
      <c r="B2483" s="176"/>
      <c r="C2483" s="177"/>
      <c r="D2483" s="176"/>
      <c r="E2483" s="176"/>
      <c r="F2483" s="259"/>
      <c r="G2483" s="176"/>
      <c r="H2483" s="178"/>
      <c r="I2483" s="592">
        <f t="shared" si="92"/>
        <v>0</v>
      </c>
      <c r="J2483" s="178"/>
      <c r="K2483" s="178"/>
      <c r="L2483" s="275" t="str">
        <f>IF(H:H=0,"",IF(ISERROR(VLOOKUP(H:H,produtos_escape2!$A$2:$B$2794,2,FALSE)),"Código não cadastrado",(VLOOKUP(H:H,produtos_escape2!$A$2:$B$2794,2,FALSE))))</f>
        <v/>
      </c>
      <c r="M2483" s="593" t="str">
        <f>IF(H:H=0,"",IF(ISERROR(VLOOKUP(H:H,produtos_escape2!$A$2:$D$2794,2,FALSE)),"Código não cadastrado",(VLOOKUP(H:H,produtos_escape2!$A$2:$D$2794,4,FALSE))))</f>
        <v/>
      </c>
      <c r="N2483" s="486"/>
      <c r="O2483" s="176"/>
      <c r="P2483" s="486"/>
      <c r="Q2483" s="247"/>
      <c r="R2483" s="246">
        <f t="shared" si="93"/>
        <v>0</v>
      </c>
      <c r="S2483" s="177"/>
      <c r="T2483" s="182"/>
      <c r="U2483" s="177"/>
      <c r="V2483" s="177"/>
      <c r="W2483" s="177"/>
      <c r="X2483" s="176"/>
      <c r="Y2483" s="177"/>
      <c r="Z2483" s="415"/>
      <c r="AA2483" s="488"/>
      <c r="AB2483" s="594"/>
      <c r="AC2483" s="595"/>
      <c r="AD2483" s="596" t="str">
        <f>IF(AND(AC2483&lt;&gt;"",S2483&lt;&gt;""),NETWORKDAYS(AC2483,S2483,#REF!),"")</f>
        <v/>
      </c>
      <c r="AE2483" s="596" t="str">
        <f ca="1">IF(AND(AD2483="",AC2483=""),"",IF(OR(AD2483&lt;&gt;"",O2483="*CANCELADO"),"",NETWORKDAYS(AC2483,TODAY(),#REF!)))</f>
        <v/>
      </c>
      <c r="AF2483" s="619"/>
    </row>
    <row r="2484" spans="1:32" ht="14.25" customHeight="1">
      <c r="A2484" s="176"/>
      <c r="B2484" s="176"/>
      <c r="C2484" s="177"/>
      <c r="D2484" s="176"/>
      <c r="E2484" s="176"/>
      <c r="F2484" s="259"/>
      <c r="G2484" s="176"/>
      <c r="H2484" s="178"/>
      <c r="I2484" s="592">
        <f t="shared" si="92"/>
        <v>0</v>
      </c>
      <c r="J2484" s="178"/>
      <c r="K2484" s="178"/>
      <c r="L2484" s="275" t="str">
        <f>IF(H:H=0,"",IF(ISERROR(VLOOKUP(H:H,produtos_escape2!$A$2:$B$2794,2,FALSE)),"Código não cadastrado",(VLOOKUP(H:H,produtos_escape2!$A$2:$B$2794,2,FALSE))))</f>
        <v/>
      </c>
      <c r="M2484" s="593" t="str">
        <f>IF(H:H=0,"",IF(ISERROR(VLOOKUP(H:H,produtos_escape2!$A$2:$D$2794,2,FALSE)),"Código não cadastrado",(VLOOKUP(H:H,produtos_escape2!$A$2:$D$2794,4,FALSE))))</f>
        <v/>
      </c>
      <c r="N2484" s="486"/>
      <c r="O2484" s="176"/>
      <c r="P2484" s="486"/>
      <c r="Q2484" s="247"/>
      <c r="R2484" s="246">
        <f t="shared" si="93"/>
        <v>0</v>
      </c>
      <c r="S2484" s="177"/>
      <c r="T2484" s="182"/>
      <c r="U2484" s="177"/>
      <c r="V2484" s="177"/>
      <c r="W2484" s="177"/>
      <c r="X2484" s="176"/>
      <c r="Y2484" s="177"/>
      <c r="Z2484" s="415"/>
      <c r="AA2484" s="488"/>
      <c r="AB2484" s="594"/>
      <c r="AC2484" s="595"/>
      <c r="AD2484" s="596" t="str">
        <f>IF(AND(AC2484&lt;&gt;"",S2484&lt;&gt;""),NETWORKDAYS(AC2484,S2484,#REF!),"")</f>
        <v/>
      </c>
      <c r="AE2484" s="596" t="str">
        <f ca="1">IF(AND(AD2484="",AC2484=""),"",IF(OR(AD2484&lt;&gt;"",O2484="*CANCELADO"),"",NETWORKDAYS(AC2484,TODAY(),#REF!)))</f>
        <v/>
      </c>
      <c r="AF2484" s="619"/>
    </row>
    <row r="2485" spans="1:32" ht="14.25" customHeight="1">
      <c r="A2485" s="176"/>
      <c r="B2485" s="176"/>
      <c r="C2485" s="177"/>
      <c r="D2485" s="176"/>
      <c r="E2485" s="176"/>
      <c r="F2485" s="259"/>
      <c r="G2485" s="176"/>
      <c r="H2485" s="178"/>
      <c r="I2485" s="592">
        <f t="shared" si="92"/>
        <v>0</v>
      </c>
      <c r="J2485" s="178"/>
      <c r="K2485" s="178"/>
      <c r="L2485" s="275" t="str">
        <f>IF(H:H=0,"",IF(ISERROR(VLOOKUP(H:H,produtos_escape2!$A$2:$B$2794,2,FALSE)),"Código não cadastrado",(VLOOKUP(H:H,produtos_escape2!$A$2:$B$2794,2,FALSE))))</f>
        <v/>
      </c>
      <c r="M2485" s="593" t="str">
        <f>IF(H:H=0,"",IF(ISERROR(VLOOKUP(H:H,produtos_escape2!$A$2:$D$2794,2,FALSE)),"Código não cadastrado",(VLOOKUP(H:H,produtos_escape2!$A$2:$D$2794,4,FALSE))))</f>
        <v/>
      </c>
      <c r="N2485" s="486"/>
      <c r="O2485" s="176"/>
      <c r="P2485" s="486"/>
      <c r="Q2485" s="247"/>
      <c r="R2485" s="246">
        <f t="shared" si="93"/>
        <v>0</v>
      </c>
      <c r="S2485" s="177"/>
      <c r="T2485" s="182"/>
      <c r="U2485" s="177"/>
      <c r="V2485" s="177"/>
      <c r="W2485" s="177"/>
      <c r="X2485" s="176"/>
      <c r="Y2485" s="177"/>
      <c r="Z2485" s="415"/>
      <c r="AA2485" s="488"/>
      <c r="AB2485" s="594"/>
      <c r="AC2485" s="595"/>
      <c r="AD2485" s="596" t="str">
        <f>IF(AND(AC2485&lt;&gt;"",S2485&lt;&gt;""),NETWORKDAYS(AC2485,S2485,#REF!),"")</f>
        <v/>
      </c>
      <c r="AE2485" s="596" t="str">
        <f ca="1">IF(AND(AD2485="",AC2485=""),"",IF(OR(AD2485&lt;&gt;"",O2485="*CANCELADO"),"",NETWORKDAYS(AC2485,TODAY(),#REF!)))</f>
        <v/>
      </c>
      <c r="AF2485" s="619"/>
    </row>
    <row r="2486" spans="1:32" ht="14.25" customHeight="1">
      <c r="A2486" s="176"/>
      <c r="B2486" s="176"/>
      <c r="C2486" s="177"/>
      <c r="D2486" s="176"/>
      <c r="E2486" s="176"/>
      <c r="F2486" s="259"/>
      <c r="G2486" s="176"/>
      <c r="H2486" s="178"/>
      <c r="I2486" s="592">
        <f t="shared" ref="I2486:I2549" si="94">COUNTIF($H$3:$H$3041,H2486)</f>
        <v>0</v>
      </c>
      <c r="J2486" s="178"/>
      <c r="K2486" s="178"/>
      <c r="L2486" s="275" t="str">
        <f>IF(H:H=0,"",IF(ISERROR(VLOOKUP(H:H,produtos_escape2!$A$2:$B$2794,2,FALSE)),"Código não cadastrado",(VLOOKUP(H:H,produtos_escape2!$A$2:$B$2794,2,FALSE))))</f>
        <v/>
      </c>
      <c r="M2486" s="593" t="str">
        <f>IF(H:H=0,"",IF(ISERROR(VLOOKUP(H:H,produtos_escape2!$A$2:$D$2794,2,FALSE)),"Código não cadastrado",(VLOOKUP(H:H,produtos_escape2!$A$2:$D$2794,4,FALSE))))</f>
        <v/>
      </c>
      <c r="N2486" s="486"/>
      <c r="O2486" s="176"/>
      <c r="P2486" s="486"/>
      <c r="Q2486" s="247"/>
      <c r="R2486" s="246">
        <f t="shared" si="93"/>
        <v>0</v>
      </c>
      <c r="S2486" s="177"/>
      <c r="T2486" s="182"/>
      <c r="U2486" s="177"/>
      <c r="V2486" s="177"/>
      <c r="W2486" s="177"/>
      <c r="X2486" s="176"/>
      <c r="Y2486" s="177"/>
      <c r="Z2486" s="415"/>
      <c r="AA2486" s="488"/>
      <c r="AB2486" s="594"/>
      <c r="AC2486" s="595"/>
      <c r="AD2486" s="596" t="str">
        <f>IF(AND(AC2486&lt;&gt;"",S2486&lt;&gt;""),NETWORKDAYS(AC2486,S2486,#REF!),"")</f>
        <v/>
      </c>
      <c r="AE2486" s="596" t="str">
        <f ca="1">IF(AND(AD2486="",AC2486=""),"",IF(OR(AD2486&lt;&gt;"",O2486="*CANCELADO"),"",NETWORKDAYS(AC2486,TODAY(),#REF!)))</f>
        <v/>
      </c>
      <c r="AF2486" s="619"/>
    </row>
    <row r="2487" spans="1:32" ht="14.25" customHeight="1">
      <c r="A2487" s="176"/>
      <c r="B2487" s="176"/>
      <c r="C2487" s="177"/>
      <c r="D2487" s="176"/>
      <c r="E2487" s="176"/>
      <c r="F2487" s="259"/>
      <c r="G2487" s="176"/>
      <c r="H2487" s="178"/>
      <c r="I2487" s="592">
        <f t="shared" si="94"/>
        <v>0</v>
      </c>
      <c r="J2487" s="178"/>
      <c r="K2487" s="178"/>
      <c r="L2487" s="275" t="str">
        <f>IF(H:H=0,"",IF(ISERROR(VLOOKUP(H:H,produtos_escape2!$A$2:$B$2794,2,FALSE)),"Código não cadastrado",(VLOOKUP(H:H,produtos_escape2!$A$2:$B$2794,2,FALSE))))</f>
        <v/>
      </c>
      <c r="M2487" s="593" t="str">
        <f>IF(H:H=0,"",IF(ISERROR(VLOOKUP(H:H,produtos_escape2!$A$2:$D$2794,2,FALSE)),"Código não cadastrado",(VLOOKUP(H:H,produtos_escape2!$A$2:$D$2794,4,FALSE))))</f>
        <v/>
      </c>
      <c r="N2487" s="486"/>
      <c r="O2487" s="176"/>
      <c r="P2487" s="486"/>
      <c r="Q2487" s="247"/>
      <c r="R2487" s="246">
        <f t="shared" si="93"/>
        <v>0</v>
      </c>
      <c r="S2487" s="177"/>
      <c r="T2487" s="182"/>
      <c r="U2487" s="177"/>
      <c r="V2487" s="177"/>
      <c r="W2487" s="177"/>
      <c r="X2487" s="176"/>
      <c r="Y2487" s="177"/>
      <c r="Z2487" s="415"/>
      <c r="AA2487" s="488"/>
      <c r="AB2487" s="594"/>
      <c r="AC2487" s="595"/>
      <c r="AD2487" s="596" t="str">
        <f>IF(AND(AC2487&lt;&gt;"",S2487&lt;&gt;""),NETWORKDAYS(AC2487,S2487,#REF!),"")</f>
        <v/>
      </c>
      <c r="AE2487" s="596" t="str">
        <f ca="1">IF(AND(AD2487="",AC2487=""),"",IF(OR(AD2487&lt;&gt;"",O2487="*CANCELADO"),"",NETWORKDAYS(AC2487,TODAY(),#REF!)))</f>
        <v/>
      </c>
      <c r="AF2487" s="619"/>
    </row>
    <row r="2488" spans="1:32" ht="14.25" customHeight="1">
      <c r="A2488" s="176"/>
      <c r="B2488" s="176"/>
      <c r="C2488" s="177"/>
      <c r="D2488" s="176"/>
      <c r="E2488" s="176"/>
      <c r="F2488" s="259"/>
      <c r="G2488" s="176"/>
      <c r="H2488" s="178"/>
      <c r="I2488" s="592">
        <f t="shared" si="94"/>
        <v>0</v>
      </c>
      <c r="J2488" s="178"/>
      <c r="K2488" s="178"/>
      <c r="L2488" s="275" t="str">
        <f>IF(H:H=0,"",IF(ISERROR(VLOOKUP(H:H,produtos_escape2!$A$2:$B$2794,2,FALSE)),"Código não cadastrado",(VLOOKUP(H:H,produtos_escape2!$A$2:$B$2794,2,FALSE))))</f>
        <v/>
      </c>
      <c r="M2488" s="593" t="str">
        <f>IF(H:H=0,"",IF(ISERROR(VLOOKUP(H:H,produtos_escape2!$A$2:$D$2794,2,FALSE)),"Código não cadastrado",(VLOOKUP(H:H,produtos_escape2!$A$2:$D$2794,4,FALSE))))</f>
        <v/>
      </c>
      <c r="N2488" s="486"/>
      <c r="O2488" s="176"/>
      <c r="P2488" s="486"/>
      <c r="Q2488" s="247"/>
      <c r="R2488" s="246">
        <f t="shared" si="93"/>
        <v>0</v>
      </c>
      <c r="S2488" s="177"/>
      <c r="T2488" s="182"/>
      <c r="U2488" s="177"/>
      <c r="V2488" s="177"/>
      <c r="W2488" s="177"/>
      <c r="X2488" s="176"/>
      <c r="Y2488" s="177"/>
      <c r="Z2488" s="415"/>
      <c r="AA2488" s="488"/>
      <c r="AB2488" s="594"/>
      <c r="AC2488" s="595"/>
      <c r="AD2488" s="596" t="str">
        <f>IF(AND(AC2488&lt;&gt;"",S2488&lt;&gt;""),NETWORKDAYS(AC2488,S2488,#REF!),"")</f>
        <v/>
      </c>
      <c r="AE2488" s="596" t="str">
        <f ca="1">IF(AND(AD2488="",AC2488=""),"",IF(OR(AD2488&lt;&gt;"",O2488="*CANCELADO"),"",NETWORKDAYS(AC2488,TODAY(),#REF!)))</f>
        <v/>
      </c>
      <c r="AF2488" s="619"/>
    </row>
    <row r="2489" spans="1:32" ht="14.25" customHeight="1">
      <c r="A2489" s="176"/>
      <c r="B2489" s="176"/>
      <c r="C2489" s="177"/>
      <c r="D2489" s="176"/>
      <c r="E2489" s="176"/>
      <c r="F2489" s="259"/>
      <c r="G2489" s="176"/>
      <c r="H2489" s="178"/>
      <c r="I2489" s="592">
        <f t="shared" si="94"/>
        <v>0</v>
      </c>
      <c r="J2489" s="178"/>
      <c r="K2489" s="178"/>
      <c r="L2489" s="275" t="str">
        <f>IF(H:H=0,"",IF(ISERROR(VLOOKUP(H:H,produtos_escape2!$A$2:$B$2794,2,FALSE)),"Código não cadastrado",(VLOOKUP(H:H,produtos_escape2!$A$2:$B$2794,2,FALSE))))</f>
        <v/>
      </c>
      <c r="M2489" s="593" t="str">
        <f>IF(H:H=0,"",IF(ISERROR(VLOOKUP(H:H,produtos_escape2!$A$2:$D$2794,2,FALSE)),"Código não cadastrado",(VLOOKUP(H:H,produtos_escape2!$A$2:$D$2794,4,FALSE))))</f>
        <v/>
      </c>
      <c r="N2489" s="486"/>
      <c r="O2489" s="176"/>
      <c r="P2489" s="486"/>
      <c r="Q2489" s="247"/>
      <c r="R2489" s="246">
        <f t="shared" si="93"/>
        <v>0</v>
      </c>
      <c r="S2489" s="177"/>
      <c r="T2489" s="182"/>
      <c r="U2489" s="177"/>
      <c r="V2489" s="177"/>
      <c r="W2489" s="177"/>
      <c r="X2489" s="176"/>
      <c r="Y2489" s="177"/>
      <c r="Z2489" s="415"/>
      <c r="AA2489" s="488"/>
      <c r="AB2489" s="594"/>
      <c r="AC2489" s="595"/>
      <c r="AD2489" s="596" t="str">
        <f>IF(AND(AC2489&lt;&gt;"",S2489&lt;&gt;""),NETWORKDAYS(AC2489,S2489,#REF!),"")</f>
        <v/>
      </c>
      <c r="AE2489" s="596" t="str">
        <f ca="1">IF(AND(AD2489="",AC2489=""),"",IF(OR(AD2489&lt;&gt;"",O2489="*CANCELADO"),"",NETWORKDAYS(AC2489,TODAY(),#REF!)))</f>
        <v/>
      </c>
      <c r="AF2489" s="619"/>
    </row>
    <row r="2490" spans="1:32" ht="14.25" customHeight="1">
      <c r="A2490" s="176"/>
      <c r="B2490" s="176"/>
      <c r="C2490" s="177"/>
      <c r="D2490" s="176"/>
      <c r="E2490" s="176"/>
      <c r="F2490" s="259"/>
      <c r="G2490" s="176"/>
      <c r="H2490" s="178"/>
      <c r="I2490" s="592">
        <f t="shared" si="94"/>
        <v>0</v>
      </c>
      <c r="J2490" s="178"/>
      <c r="K2490" s="178"/>
      <c r="L2490" s="275" t="str">
        <f>IF(H:H=0,"",IF(ISERROR(VLOOKUP(H:H,produtos_escape2!$A$2:$B$2794,2,FALSE)),"Código não cadastrado",(VLOOKUP(H:H,produtos_escape2!$A$2:$B$2794,2,FALSE))))</f>
        <v/>
      </c>
      <c r="M2490" s="593" t="str">
        <f>IF(H:H=0,"",IF(ISERROR(VLOOKUP(H:H,produtos_escape2!$A$2:$D$2794,2,FALSE)),"Código não cadastrado",(VLOOKUP(H:H,produtos_escape2!$A$2:$D$2794,4,FALSE))))</f>
        <v/>
      </c>
      <c r="N2490" s="486"/>
      <c r="O2490" s="176"/>
      <c r="P2490" s="486"/>
      <c r="Q2490" s="247"/>
      <c r="R2490" s="246">
        <f t="shared" si="93"/>
        <v>0</v>
      </c>
      <c r="S2490" s="177"/>
      <c r="T2490" s="182"/>
      <c r="U2490" s="177"/>
      <c r="V2490" s="177"/>
      <c r="W2490" s="177"/>
      <c r="X2490" s="176"/>
      <c r="Y2490" s="177"/>
      <c r="Z2490" s="415"/>
      <c r="AA2490" s="488"/>
      <c r="AB2490" s="594"/>
      <c r="AC2490" s="595"/>
      <c r="AD2490" s="596" t="str">
        <f>IF(AND(AC2490&lt;&gt;"",S2490&lt;&gt;""),NETWORKDAYS(AC2490,S2490,#REF!),"")</f>
        <v/>
      </c>
      <c r="AE2490" s="596" t="str">
        <f ca="1">IF(AND(AD2490="",AC2490=""),"",IF(OR(AD2490&lt;&gt;"",O2490="*CANCELADO"),"",NETWORKDAYS(AC2490,TODAY(),#REF!)))</f>
        <v/>
      </c>
      <c r="AF2490" s="619"/>
    </row>
    <row r="2491" spans="1:32" ht="14.25" customHeight="1">
      <c r="A2491" s="176"/>
      <c r="B2491" s="176"/>
      <c r="C2491" s="177"/>
      <c r="D2491" s="176"/>
      <c r="E2491" s="176"/>
      <c r="F2491" s="259"/>
      <c r="G2491" s="176"/>
      <c r="H2491" s="178"/>
      <c r="I2491" s="592">
        <f t="shared" si="94"/>
        <v>0</v>
      </c>
      <c r="J2491" s="178"/>
      <c r="K2491" s="178"/>
      <c r="L2491" s="275" t="str">
        <f>IF(H:H=0,"",IF(ISERROR(VLOOKUP(H:H,produtos_escape2!$A$2:$B$2794,2,FALSE)),"Código não cadastrado",(VLOOKUP(H:H,produtos_escape2!$A$2:$B$2794,2,FALSE))))</f>
        <v/>
      </c>
      <c r="M2491" s="593" t="str">
        <f>IF(H:H=0,"",IF(ISERROR(VLOOKUP(H:H,produtos_escape2!$A$2:$D$2794,2,FALSE)),"Código não cadastrado",(VLOOKUP(H:H,produtos_escape2!$A$2:$D$2794,4,FALSE))))</f>
        <v/>
      </c>
      <c r="N2491" s="486"/>
      <c r="O2491" s="176"/>
      <c r="P2491" s="486"/>
      <c r="Q2491" s="247"/>
      <c r="R2491" s="246">
        <f t="shared" si="93"/>
        <v>0</v>
      </c>
      <c r="S2491" s="177"/>
      <c r="T2491" s="182"/>
      <c r="U2491" s="177"/>
      <c r="V2491" s="177"/>
      <c r="W2491" s="177"/>
      <c r="X2491" s="176"/>
      <c r="Y2491" s="177"/>
      <c r="Z2491" s="415"/>
      <c r="AA2491" s="488"/>
      <c r="AB2491" s="594"/>
      <c r="AC2491" s="595"/>
      <c r="AD2491" s="596" t="str">
        <f>IF(AND(AC2491&lt;&gt;"",S2491&lt;&gt;""),NETWORKDAYS(AC2491,S2491,#REF!),"")</f>
        <v/>
      </c>
      <c r="AE2491" s="596" t="str">
        <f ca="1">IF(AND(AD2491="",AC2491=""),"",IF(OR(AD2491&lt;&gt;"",O2491="*CANCELADO"),"",NETWORKDAYS(AC2491,TODAY(),#REF!)))</f>
        <v/>
      </c>
      <c r="AF2491" s="619"/>
    </row>
    <row r="2492" spans="1:32" ht="14.25" customHeight="1">
      <c r="A2492" s="176"/>
      <c r="B2492" s="176"/>
      <c r="C2492" s="177"/>
      <c r="D2492" s="176"/>
      <c r="E2492" s="176"/>
      <c r="F2492" s="259"/>
      <c r="G2492" s="176"/>
      <c r="H2492" s="178"/>
      <c r="I2492" s="592">
        <f t="shared" si="94"/>
        <v>0</v>
      </c>
      <c r="J2492" s="178"/>
      <c r="K2492" s="178"/>
      <c r="L2492" s="275" t="str">
        <f>IF(H:H=0,"",IF(ISERROR(VLOOKUP(H:H,produtos_escape2!$A$2:$B$2794,2,FALSE)),"Código não cadastrado",(VLOOKUP(H:H,produtos_escape2!$A$2:$B$2794,2,FALSE))))</f>
        <v/>
      </c>
      <c r="M2492" s="593" t="str">
        <f>IF(H:H=0,"",IF(ISERROR(VLOOKUP(H:H,produtos_escape2!$A$2:$D$2794,2,FALSE)),"Código não cadastrado",(VLOOKUP(H:H,produtos_escape2!$A$2:$D$2794,4,FALSE))))</f>
        <v/>
      </c>
      <c r="N2492" s="486"/>
      <c r="O2492" s="176"/>
      <c r="P2492" s="486"/>
      <c r="Q2492" s="247"/>
      <c r="R2492" s="246">
        <f t="shared" si="93"/>
        <v>0</v>
      </c>
      <c r="S2492" s="177"/>
      <c r="T2492" s="182"/>
      <c r="U2492" s="177"/>
      <c r="V2492" s="177"/>
      <c r="W2492" s="177"/>
      <c r="X2492" s="176"/>
      <c r="Y2492" s="177"/>
      <c r="Z2492" s="415"/>
      <c r="AA2492" s="488"/>
      <c r="AB2492" s="594"/>
      <c r="AC2492" s="595"/>
      <c r="AD2492" s="596" t="str">
        <f>IF(AND(AC2492&lt;&gt;"",S2492&lt;&gt;""),NETWORKDAYS(AC2492,S2492,#REF!),"")</f>
        <v/>
      </c>
      <c r="AE2492" s="596" t="str">
        <f ca="1">IF(AND(AD2492="",AC2492=""),"",IF(OR(AD2492&lt;&gt;"",O2492="*CANCELADO"),"",NETWORKDAYS(AC2492,TODAY(),#REF!)))</f>
        <v/>
      </c>
      <c r="AF2492" s="619"/>
    </row>
    <row r="2493" spans="1:32" ht="14.25" customHeight="1">
      <c r="A2493" s="176"/>
      <c r="B2493" s="176"/>
      <c r="C2493" s="177"/>
      <c r="D2493" s="176"/>
      <c r="E2493" s="176"/>
      <c r="F2493" s="259"/>
      <c r="G2493" s="176"/>
      <c r="H2493" s="178"/>
      <c r="I2493" s="592">
        <f t="shared" si="94"/>
        <v>0</v>
      </c>
      <c r="J2493" s="178"/>
      <c r="K2493" s="178"/>
      <c r="L2493" s="275" t="str">
        <f>IF(H:H=0,"",IF(ISERROR(VLOOKUP(H:H,produtos_escape2!$A$2:$B$2794,2,FALSE)),"Código não cadastrado",(VLOOKUP(H:H,produtos_escape2!$A$2:$B$2794,2,FALSE))))</f>
        <v/>
      </c>
      <c r="M2493" s="593" t="str">
        <f>IF(H:H=0,"",IF(ISERROR(VLOOKUP(H:H,produtos_escape2!$A$2:$D$2794,2,FALSE)),"Código não cadastrado",(VLOOKUP(H:H,produtos_escape2!$A$2:$D$2794,4,FALSE))))</f>
        <v/>
      </c>
      <c r="N2493" s="486"/>
      <c r="O2493" s="176"/>
      <c r="P2493" s="486"/>
      <c r="Q2493" s="247"/>
      <c r="R2493" s="246">
        <f t="shared" si="93"/>
        <v>0</v>
      </c>
      <c r="S2493" s="177"/>
      <c r="T2493" s="182"/>
      <c r="U2493" s="177"/>
      <c r="V2493" s="177"/>
      <c r="W2493" s="177"/>
      <c r="X2493" s="176"/>
      <c r="Y2493" s="177"/>
      <c r="Z2493" s="415"/>
      <c r="AA2493" s="488"/>
      <c r="AB2493" s="594"/>
      <c r="AC2493" s="595"/>
      <c r="AD2493" s="596" t="str">
        <f>IF(AND(AC2493&lt;&gt;"",S2493&lt;&gt;""),NETWORKDAYS(AC2493,S2493,#REF!),"")</f>
        <v/>
      </c>
      <c r="AE2493" s="596" t="str">
        <f ca="1">IF(AND(AD2493="",AC2493=""),"",IF(OR(AD2493&lt;&gt;"",O2493="*CANCELADO"),"",NETWORKDAYS(AC2493,TODAY(),#REF!)))</f>
        <v/>
      </c>
      <c r="AF2493" s="619"/>
    </row>
    <row r="2494" spans="1:32" ht="14.25" customHeight="1">
      <c r="A2494" s="176"/>
      <c r="B2494" s="176"/>
      <c r="C2494" s="177"/>
      <c r="D2494" s="176"/>
      <c r="E2494" s="176"/>
      <c r="F2494" s="259"/>
      <c r="G2494" s="176"/>
      <c r="H2494" s="178"/>
      <c r="I2494" s="592">
        <f t="shared" si="94"/>
        <v>0</v>
      </c>
      <c r="J2494" s="178"/>
      <c r="K2494" s="178"/>
      <c r="L2494" s="275" t="str">
        <f>IF(H:H=0,"",IF(ISERROR(VLOOKUP(H:H,produtos_escape2!$A$2:$B$2794,2,FALSE)),"Código não cadastrado",(VLOOKUP(H:H,produtos_escape2!$A$2:$B$2794,2,FALSE))))</f>
        <v/>
      </c>
      <c r="M2494" s="593" t="str">
        <f>IF(H:H=0,"",IF(ISERROR(VLOOKUP(H:H,produtos_escape2!$A$2:$D$2794,2,FALSE)),"Código não cadastrado",(VLOOKUP(H:H,produtos_escape2!$A$2:$D$2794,4,FALSE))))</f>
        <v/>
      </c>
      <c r="N2494" s="486"/>
      <c r="O2494" s="176"/>
      <c r="P2494" s="486"/>
      <c r="Q2494" s="247"/>
      <c r="R2494" s="246">
        <f t="shared" si="93"/>
        <v>0</v>
      </c>
      <c r="S2494" s="177"/>
      <c r="T2494" s="182"/>
      <c r="U2494" s="177"/>
      <c r="V2494" s="177"/>
      <c r="W2494" s="177"/>
      <c r="X2494" s="176"/>
      <c r="Y2494" s="177"/>
      <c r="Z2494" s="415"/>
      <c r="AA2494" s="488"/>
      <c r="AB2494" s="594"/>
      <c r="AC2494" s="595"/>
      <c r="AD2494" s="596" t="str">
        <f>IF(AND(AC2494&lt;&gt;"",S2494&lt;&gt;""),NETWORKDAYS(AC2494,S2494,#REF!),"")</f>
        <v/>
      </c>
      <c r="AE2494" s="596" t="str">
        <f ca="1">IF(AND(AD2494="",AC2494=""),"",IF(OR(AD2494&lt;&gt;"",O2494="*CANCELADO"),"",NETWORKDAYS(AC2494,TODAY(),#REF!)))</f>
        <v/>
      </c>
      <c r="AF2494" s="619"/>
    </row>
    <row r="2495" spans="1:32" ht="14.25" customHeight="1">
      <c r="A2495" s="176"/>
      <c r="B2495" s="176"/>
      <c r="C2495" s="177"/>
      <c r="D2495" s="176"/>
      <c r="E2495" s="176"/>
      <c r="F2495" s="259"/>
      <c r="G2495" s="176"/>
      <c r="H2495" s="178"/>
      <c r="I2495" s="592">
        <f t="shared" si="94"/>
        <v>0</v>
      </c>
      <c r="J2495" s="178"/>
      <c r="K2495" s="178"/>
      <c r="L2495" s="275" t="str">
        <f>IF(H:H=0,"",IF(ISERROR(VLOOKUP(H:H,produtos_escape2!$A$2:$B$2794,2,FALSE)),"Código não cadastrado",(VLOOKUP(H:H,produtos_escape2!$A$2:$B$2794,2,FALSE))))</f>
        <v/>
      </c>
      <c r="M2495" s="593" t="str">
        <f>IF(H:H=0,"",IF(ISERROR(VLOOKUP(H:H,produtos_escape2!$A$2:$D$2794,2,FALSE)),"Código não cadastrado",(VLOOKUP(H:H,produtos_escape2!$A$2:$D$2794,4,FALSE))))</f>
        <v/>
      </c>
      <c r="N2495" s="486"/>
      <c r="O2495" s="176"/>
      <c r="P2495" s="486"/>
      <c r="Q2495" s="247"/>
      <c r="R2495" s="246">
        <f t="shared" si="93"/>
        <v>0</v>
      </c>
      <c r="S2495" s="177"/>
      <c r="T2495" s="182"/>
      <c r="U2495" s="177"/>
      <c r="V2495" s="177"/>
      <c r="W2495" s="177"/>
      <c r="X2495" s="176"/>
      <c r="Y2495" s="177"/>
      <c r="Z2495" s="415"/>
      <c r="AA2495" s="488"/>
      <c r="AB2495" s="594"/>
      <c r="AC2495" s="595"/>
      <c r="AD2495" s="596" t="str">
        <f>IF(AND(AC2495&lt;&gt;"",S2495&lt;&gt;""),NETWORKDAYS(AC2495,S2495,#REF!),"")</f>
        <v/>
      </c>
      <c r="AE2495" s="596" t="str">
        <f ca="1">IF(AND(AD2495="",AC2495=""),"",IF(OR(AD2495&lt;&gt;"",O2495="*CANCELADO"),"",NETWORKDAYS(AC2495,TODAY(),#REF!)))</f>
        <v/>
      </c>
      <c r="AF2495" s="619"/>
    </row>
    <row r="2496" spans="1:32" ht="14.25" customHeight="1">
      <c r="A2496" s="176"/>
      <c r="B2496" s="176"/>
      <c r="C2496" s="177"/>
      <c r="D2496" s="176"/>
      <c r="E2496" s="176"/>
      <c r="F2496" s="259"/>
      <c r="G2496" s="176"/>
      <c r="H2496" s="178"/>
      <c r="I2496" s="592">
        <f t="shared" si="94"/>
        <v>0</v>
      </c>
      <c r="J2496" s="178"/>
      <c r="K2496" s="178"/>
      <c r="L2496" s="275" t="str">
        <f>IF(H:H=0,"",IF(ISERROR(VLOOKUP(H:H,produtos_escape2!$A$2:$B$2794,2,FALSE)),"Código não cadastrado",(VLOOKUP(H:H,produtos_escape2!$A$2:$B$2794,2,FALSE))))</f>
        <v/>
      </c>
      <c r="M2496" s="593" t="str">
        <f>IF(H:H=0,"",IF(ISERROR(VLOOKUP(H:H,produtos_escape2!$A$2:$D$2794,2,FALSE)),"Código não cadastrado",(VLOOKUP(H:H,produtos_escape2!$A$2:$D$2794,4,FALSE))))</f>
        <v/>
      </c>
      <c r="N2496" s="486"/>
      <c r="O2496" s="176"/>
      <c r="P2496" s="486"/>
      <c r="Q2496" s="247"/>
      <c r="R2496" s="246">
        <f t="shared" si="93"/>
        <v>0</v>
      </c>
      <c r="S2496" s="177"/>
      <c r="T2496" s="182"/>
      <c r="U2496" s="177"/>
      <c r="V2496" s="177"/>
      <c r="W2496" s="177"/>
      <c r="X2496" s="176"/>
      <c r="Y2496" s="177"/>
      <c r="Z2496" s="415"/>
      <c r="AA2496" s="488"/>
      <c r="AB2496" s="594"/>
      <c r="AC2496" s="595"/>
      <c r="AD2496" s="596" t="str">
        <f>IF(AND(AC2496&lt;&gt;"",S2496&lt;&gt;""),NETWORKDAYS(AC2496,S2496,#REF!),"")</f>
        <v/>
      </c>
      <c r="AE2496" s="596" t="str">
        <f ca="1">IF(AND(AD2496="",AC2496=""),"",IF(OR(AD2496&lt;&gt;"",O2496="*CANCELADO"),"",NETWORKDAYS(AC2496,TODAY(),#REF!)))</f>
        <v/>
      </c>
      <c r="AF2496" s="619"/>
    </row>
    <row r="2497" spans="1:32" ht="14.25" customHeight="1">
      <c r="A2497" s="176"/>
      <c r="B2497" s="176"/>
      <c r="C2497" s="177"/>
      <c r="D2497" s="176"/>
      <c r="E2497" s="176"/>
      <c r="F2497" s="259"/>
      <c r="G2497" s="176"/>
      <c r="H2497" s="178"/>
      <c r="I2497" s="592">
        <f t="shared" si="94"/>
        <v>0</v>
      </c>
      <c r="J2497" s="178"/>
      <c r="K2497" s="178"/>
      <c r="L2497" s="275" t="str">
        <f>IF(H:H=0,"",IF(ISERROR(VLOOKUP(H:H,produtos_escape2!$A$2:$B$2794,2,FALSE)),"Código não cadastrado",(VLOOKUP(H:H,produtos_escape2!$A$2:$B$2794,2,FALSE))))</f>
        <v/>
      </c>
      <c r="M2497" s="593" t="str">
        <f>IF(H:H=0,"",IF(ISERROR(VLOOKUP(H:H,produtos_escape2!$A$2:$D$2794,2,FALSE)),"Código não cadastrado",(VLOOKUP(H:H,produtos_escape2!$A$2:$D$2794,4,FALSE))))</f>
        <v/>
      </c>
      <c r="N2497" s="486"/>
      <c r="O2497" s="176"/>
      <c r="P2497" s="486"/>
      <c r="Q2497" s="247"/>
      <c r="R2497" s="246">
        <f t="shared" si="93"/>
        <v>0</v>
      </c>
      <c r="S2497" s="177"/>
      <c r="T2497" s="182"/>
      <c r="U2497" s="177"/>
      <c r="V2497" s="177"/>
      <c r="W2497" s="177"/>
      <c r="X2497" s="176"/>
      <c r="Y2497" s="177"/>
      <c r="Z2497" s="415"/>
      <c r="AA2497" s="488"/>
      <c r="AB2497" s="594"/>
      <c r="AC2497" s="595"/>
      <c r="AD2497" s="596" t="str">
        <f>IF(AND(AC2497&lt;&gt;"",S2497&lt;&gt;""),NETWORKDAYS(AC2497,S2497,#REF!),"")</f>
        <v/>
      </c>
      <c r="AE2497" s="596" t="str">
        <f ca="1">IF(AND(AD2497="",AC2497=""),"",IF(OR(AD2497&lt;&gt;"",O2497="*CANCELADO"),"",NETWORKDAYS(AC2497,TODAY(),#REF!)))</f>
        <v/>
      </c>
      <c r="AF2497" s="619"/>
    </row>
    <row r="2498" spans="1:32" ht="14.25" customHeight="1">
      <c r="A2498" s="176"/>
      <c r="B2498" s="176"/>
      <c r="C2498" s="177"/>
      <c r="D2498" s="176"/>
      <c r="E2498" s="176"/>
      <c r="F2498" s="259"/>
      <c r="G2498" s="176"/>
      <c r="H2498" s="178"/>
      <c r="I2498" s="592">
        <f t="shared" si="94"/>
        <v>0</v>
      </c>
      <c r="J2498" s="178"/>
      <c r="K2498" s="178"/>
      <c r="L2498" s="275" t="str">
        <f>IF(H:H=0,"",IF(ISERROR(VLOOKUP(H:H,produtos_escape2!$A$2:$B$2794,2,FALSE)),"Código não cadastrado",(VLOOKUP(H:H,produtos_escape2!$A$2:$B$2794,2,FALSE))))</f>
        <v/>
      </c>
      <c r="M2498" s="593" t="str">
        <f>IF(H:H=0,"",IF(ISERROR(VLOOKUP(H:H,produtos_escape2!$A$2:$D$2794,2,FALSE)),"Código não cadastrado",(VLOOKUP(H:H,produtos_escape2!$A$2:$D$2794,4,FALSE))))</f>
        <v/>
      </c>
      <c r="N2498" s="486"/>
      <c r="O2498" s="176"/>
      <c r="P2498" s="486"/>
      <c r="Q2498" s="247"/>
      <c r="R2498" s="246">
        <f t="shared" si="93"/>
        <v>0</v>
      </c>
      <c r="S2498" s="177"/>
      <c r="T2498" s="182"/>
      <c r="U2498" s="177"/>
      <c r="V2498" s="177"/>
      <c r="W2498" s="177"/>
      <c r="X2498" s="176"/>
      <c r="Y2498" s="177"/>
      <c r="Z2498" s="415"/>
      <c r="AA2498" s="488"/>
      <c r="AB2498" s="594"/>
      <c r="AC2498" s="595"/>
      <c r="AD2498" s="596" t="str">
        <f>IF(AND(AC2498&lt;&gt;"",S2498&lt;&gt;""),NETWORKDAYS(AC2498,S2498,#REF!),"")</f>
        <v/>
      </c>
      <c r="AE2498" s="596" t="str">
        <f ca="1">IF(AND(AD2498="",AC2498=""),"",IF(OR(AD2498&lt;&gt;"",O2498="*CANCELADO"),"",NETWORKDAYS(AC2498,TODAY(),#REF!)))</f>
        <v/>
      </c>
      <c r="AF2498" s="619"/>
    </row>
    <row r="2499" spans="1:32" ht="14.25" customHeight="1">
      <c r="A2499" s="176"/>
      <c r="B2499" s="176"/>
      <c r="C2499" s="177"/>
      <c r="D2499" s="176"/>
      <c r="E2499" s="176"/>
      <c r="F2499" s="259"/>
      <c r="G2499" s="176"/>
      <c r="H2499" s="178"/>
      <c r="I2499" s="592">
        <f t="shared" si="94"/>
        <v>0</v>
      </c>
      <c r="J2499" s="178"/>
      <c r="K2499" s="178"/>
      <c r="L2499" s="275" t="str">
        <f>IF(H:H=0,"",IF(ISERROR(VLOOKUP(H:H,produtos_escape2!$A$2:$B$2794,2,FALSE)),"Código não cadastrado",(VLOOKUP(H:H,produtos_escape2!$A$2:$B$2794,2,FALSE))))</f>
        <v/>
      </c>
      <c r="M2499" s="593" t="str">
        <f>IF(H:H=0,"",IF(ISERROR(VLOOKUP(H:H,produtos_escape2!$A$2:$D$2794,2,FALSE)),"Código não cadastrado",(VLOOKUP(H:H,produtos_escape2!$A$2:$D$2794,4,FALSE))))</f>
        <v/>
      </c>
      <c r="N2499" s="486"/>
      <c r="O2499" s="176"/>
      <c r="P2499" s="486"/>
      <c r="Q2499" s="247"/>
      <c r="R2499" s="246">
        <f t="shared" si="93"/>
        <v>0</v>
      </c>
      <c r="S2499" s="177"/>
      <c r="T2499" s="182"/>
      <c r="U2499" s="177"/>
      <c r="V2499" s="177"/>
      <c r="W2499" s="177"/>
      <c r="X2499" s="176"/>
      <c r="Y2499" s="177"/>
      <c r="Z2499" s="415"/>
      <c r="AA2499" s="488"/>
      <c r="AB2499" s="594"/>
      <c r="AC2499" s="595"/>
      <c r="AD2499" s="596" t="str">
        <f>IF(AND(AC2499&lt;&gt;"",S2499&lt;&gt;""),NETWORKDAYS(AC2499,S2499,#REF!),"")</f>
        <v/>
      </c>
      <c r="AE2499" s="596" t="str">
        <f ca="1">IF(AND(AD2499="",AC2499=""),"",IF(OR(AD2499&lt;&gt;"",O2499="*CANCELADO"),"",NETWORKDAYS(AC2499,TODAY(),#REF!)))</f>
        <v/>
      </c>
      <c r="AF2499" s="619"/>
    </row>
    <row r="2500" spans="1:32" ht="14.25" customHeight="1">
      <c r="A2500" s="176"/>
      <c r="B2500" s="176"/>
      <c r="C2500" s="177"/>
      <c r="D2500" s="176"/>
      <c r="E2500" s="176"/>
      <c r="F2500" s="259"/>
      <c r="G2500" s="176"/>
      <c r="H2500" s="178"/>
      <c r="I2500" s="592">
        <f t="shared" si="94"/>
        <v>0</v>
      </c>
      <c r="J2500" s="178"/>
      <c r="K2500" s="178"/>
      <c r="L2500" s="275" t="str">
        <f>IF(H:H=0,"",IF(ISERROR(VLOOKUP(H:H,produtos_escape2!$A$2:$B$2794,2,FALSE)),"Código não cadastrado",(VLOOKUP(H:H,produtos_escape2!$A$2:$B$2794,2,FALSE))))</f>
        <v/>
      </c>
      <c r="M2500" s="593" t="str">
        <f>IF(H:H=0,"",IF(ISERROR(VLOOKUP(H:H,produtos_escape2!$A$2:$D$2794,2,FALSE)),"Código não cadastrado",(VLOOKUP(H:H,produtos_escape2!$A$2:$D$2794,4,FALSE))))</f>
        <v/>
      </c>
      <c r="N2500" s="486"/>
      <c r="O2500" s="176"/>
      <c r="P2500" s="486"/>
      <c r="Q2500" s="247"/>
      <c r="R2500" s="246">
        <f t="shared" si="93"/>
        <v>0</v>
      </c>
      <c r="S2500" s="177"/>
      <c r="T2500" s="182"/>
      <c r="U2500" s="177"/>
      <c r="V2500" s="177"/>
      <c r="W2500" s="177"/>
      <c r="X2500" s="176"/>
      <c r="Y2500" s="177"/>
      <c r="Z2500" s="415"/>
      <c r="AA2500" s="488"/>
      <c r="AB2500" s="594"/>
      <c r="AC2500" s="595"/>
      <c r="AD2500" s="596" t="str">
        <f>IF(AND(AC2500&lt;&gt;"",S2500&lt;&gt;""),NETWORKDAYS(AC2500,S2500,#REF!),"")</f>
        <v/>
      </c>
      <c r="AE2500" s="596" t="str">
        <f ca="1">IF(AND(AD2500="",AC2500=""),"",IF(OR(AD2500&lt;&gt;"",O2500="*CANCELADO"),"",NETWORKDAYS(AC2500,TODAY(),#REF!)))</f>
        <v/>
      </c>
      <c r="AF2500" s="619"/>
    </row>
    <row r="2501" spans="1:32" ht="14.25" customHeight="1">
      <c r="A2501" s="176"/>
      <c r="B2501" s="176"/>
      <c r="C2501" s="177"/>
      <c r="D2501" s="176"/>
      <c r="E2501" s="176"/>
      <c r="F2501" s="259"/>
      <c r="G2501" s="176"/>
      <c r="H2501" s="178"/>
      <c r="I2501" s="592">
        <f t="shared" si="94"/>
        <v>0</v>
      </c>
      <c r="J2501" s="178"/>
      <c r="K2501" s="178"/>
      <c r="L2501" s="275" t="str">
        <f>IF(H:H=0,"",IF(ISERROR(VLOOKUP(H:H,produtos_escape2!$A$2:$B$2794,2,FALSE)),"Código não cadastrado",(VLOOKUP(H:H,produtos_escape2!$A$2:$B$2794,2,FALSE))))</f>
        <v/>
      </c>
      <c r="M2501" s="593" t="str">
        <f>IF(H:H=0,"",IF(ISERROR(VLOOKUP(H:H,produtos_escape2!$A$2:$D$2794,2,FALSE)),"Código não cadastrado",(VLOOKUP(H:H,produtos_escape2!$A$2:$D$2794,4,FALSE))))</f>
        <v/>
      </c>
      <c r="N2501" s="486"/>
      <c r="O2501" s="176"/>
      <c r="P2501" s="486"/>
      <c r="Q2501" s="247"/>
      <c r="R2501" s="246">
        <f t="shared" si="93"/>
        <v>0</v>
      </c>
      <c r="S2501" s="177"/>
      <c r="T2501" s="182"/>
      <c r="U2501" s="177"/>
      <c r="V2501" s="177"/>
      <c r="W2501" s="177"/>
      <c r="X2501" s="176"/>
      <c r="Y2501" s="177"/>
      <c r="Z2501" s="415"/>
      <c r="AA2501" s="488"/>
      <c r="AB2501" s="594"/>
      <c r="AC2501" s="595"/>
      <c r="AD2501" s="596" t="str">
        <f>IF(AND(AC2501&lt;&gt;"",S2501&lt;&gt;""),NETWORKDAYS(AC2501,S2501,#REF!),"")</f>
        <v/>
      </c>
      <c r="AE2501" s="596" t="str">
        <f ca="1">IF(AND(AD2501="",AC2501=""),"",IF(OR(AD2501&lt;&gt;"",O2501="*CANCELADO"),"",NETWORKDAYS(AC2501,TODAY(),#REF!)))</f>
        <v/>
      </c>
      <c r="AF2501" s="619"/>
    </row>
    <row r="2502" spans="1:32" ht="14.25" customHeight="1">
      <c r="A2502" s="176"/>
      <c r="B2502" s="176"/>
      <c r="C2502" s="177"/>
      <c r="D2502" s="176"/>
      <c r="E2502" s="176"/>
      <c r="F2502" s="259"/>
      <c r="G2502" s="176"/>
      <c r="H2502" s="178"/>
      <c r="I2502" s="592">
        <f t="shared" si="94"/>
        <v>0</v>
      </c>
      <c r="J2502" s="178"/>
      <c r="K2502" s="178"/>
      <c r="L2502" s="275" t="str">
        <f>IF(H:H=0,"",IF(ISERROR(VLOOKUP(H:H,produtos_escape2!$A$2:$B$2794,2,FALSE)),"Código não cadastrado",(VLOOKUP(H:H,produtos_escape2!$A$2:$B$2794,2,FALSE))))</f>
        <v/>
      </c>
      <c r="M2502" s="593" t="str">
        <f>IF(H:H=0,"",IF(ISERROR(VLOOKUP(H:H,produtos_escape2!$A$2:$D$2794,2,FALSE)),"Código não cadastrado",(VLOOKUP(H:H,produtos_escape2!$A$2:$D$2794,4,FALSE))))</f>
        <v/>
      </c>
      <c r="N2502" s="486"/>
      <c r="O2502" s="176"/>
      <c r="P2502" s="486"/>
      <c r="Q2502" s="247"/>
      <c r="R2502" s="246">
        <f t="shared" si="93"/>
        <v>0</v>
      </c>
      <c r="S2502" s="177"/>
      <c r="T2502" s="182"/>
      <c r="U2502" s="177"/>
      <c r="V2502" s="177"/>
      <c r="W2502" s="177"/>
      <c r="X2502" s="176"/>
      <c r="Y2502" s="177"/>
      <c r="Z2502" s="415"/>
      <c r="AA2502" s="488"/>
      <c r="AB2502" s="594"/>
      <c r="AC2502" s="595"/>
      <c r="AD2502" s="596" t="str">
        <f>IF(AND(AC2502&lt;&gt;"",S2502&lt;&gt;""),NETWORKDAYS(AC2502,S2502,#REF!),"")</f>
        <v/>
      </c>
      <c r="AE2502" s="596" t="str">
        <f ca="1">IF(AND(AD2502="",AC2502=""),"",IF(OR(AD2502&lt;&gt;"",O2502="*CANCELADO"),"",NETWORKDAYS(AC2502,TODAY(),#REF!)))</f>
        <v/>
      </c>
      <c r="AF2502" s="619"/>
    </row>
    <row r="2503" spans="1:32" ht="14.25" customHeight="1">
      <c r="A2503" s="176"/>
      <c r="B2503" s="176"/>
      <c r="C2503" s="177"/>
      <c r="D2503" s="176"/>
      <c r="E2503" s="176"/>
      <c r="F2503" s="259"/>
      <c r="G2503" s="176"/>
      <c r="H2503" s="178"/>
      <c r="I2503" s="592">
        <f t="shared" si="94"/>
        <v>0</v>
      </c>
      <c r="J2503" s="178"/>
      <c r="K2503" s="178"/>
      <c r="L2503" s="275" t="str">
        <f>IF(H:H=0,"",IF(ISERROR(VLOOKUP(H:H,produtos_escape2!$A$2:$B$2794,2,FALSE)),"Código não cadastrado",(VLOOKUP(H:H,produtos_escape2!$A$2:$B$2794,2,FALSE))))</f>
        <v/>
      </c>
      <c r="M2503" s="593" t="str">
        <f>IF(H:H=0,"",IF(ISERROR(VLOOKUP(H:H,produtos_escape2!$A$2:$D$2794,2,FALSE)),"Código não cadastrado",(VLOOKUP(H:H,produtos_escape2!$A$2:$D$2794,4,FALSE))))</f>
        <v/>
      </c>
      <c r="N2503" s="486"/>
      <c r="O2503" s="176"/>
      <c r="P2503" s="486"/>
      <c r="Q2503" s="247"/>
      <c r="R2503" s="246">
        <f t="shared" si="93"/>
        <v>0</v>
      </c>
      <c r="S2503" s="177"/>
      <c r="T2503" s="182"/>
      <c r="U2503" s="177"/>
      <c r="V2503" s="177"/>
      <c r="W2503" s="177"/>
      <c r="X2503" s="176"/>
      <c r="Y2503" s="177"/>
      <c r="Z2503" s="415"/>
      <c r="AA2503" s="488"/>
      <c r="AB2503" s="594"/>
      <c r="AC2503" s="595"/>
      <c r="AD2503" s="596" t="str">
        <f>IF(AND(AC2503&lt;&gt;"",S2503&lt;&gt;""),NETWORKDAYS(AC2503,S2503,#REF!),"")</f>
        <v/>
      </c>
      <c r="AE2503" s="596" t="str">
        <f ca="1">IF(AND(AD2503="",AC2503=""),"",IF(OR(AD2503&lt;&gt;"",O2503="*CANCELADO"),"",NETWORKDAYS(AC2503,TODAY(),#REF!)))</f>
        <v/>
      </c>
      <c r="AF2503" s="619"/>
    </row>
    <row r="2504" spans="1:32" ht="14.25" customHeight="1">
      <c r="A2504" s="176"/>
      <c r="B2504" s="176"/>
      <c r="C2504" s="177"/>
      <c r="D2504" s="176"/>
      <c r="E2504" s="176"/>
      <c r="F2504" s="259"/>
      <c r="G2504" s="176"/>
      <c r="H2504" s="178"/>
      <c r="I2504" s="592">
        <f t="shared" si="94"/>
        <v>0</v>
      </c>
      <c r="J2504" s="178"/>
      <c r="K2504" s="178"/>
      <c r="L2504" s="275" t="str">
        <f>IF(H:H=0,"",IF(ISERROR(VLOOKUP(H:H,produtos_escape2!$A$2:$B$2794,2,FALSE)),"Código não cadastrado",(VLOOKUP(H:H,produtos_escape2!$A$2:$B$2794,2,FALSE))))</f>
        <v/>
      </c>
      <c r="M2504" s="593" t="str">
        <f>IF(H:H=0,"",IF(ISERROR(VLOOKUP(H:H,produtos_escape2!$A$2:$D$2794,2,FALSE)),"Código não cadastrado",(VLOOKUP(H:H,produtos_escape2!$A$2:$D$2794,4,FALSE))))</f>
        <v/>
      </c>
      <c r="N2504" s="486"/>
      <c r="O2504" s="176"/>
      <c r="P2504" s="486"/>
      <c r="Q2504" s="247"/>
      <c r="R2504" s="246">
        <f t="shared" si="93"/>
        <v>0</v>
      </c>
      <c r="S2504" s="177"/>
      <c r="T2504" s="182"/>
      <c r="U2504" s="177"/>
      <c r="V2504" s="177"/>
      <c r="W2504" s="177"/>
      <c r="X2504" s="176"/>
      <c r="Y2504" s="177"/>
      <c r="Z2504" s="415"/>
      <c r="AA2504" s="488"/>
      <c r="AB2504" s="594"/>
      <c r="AC2504" s="595"/>
      <c r="AD2504" s="596" t="str">
        <f>IF(AND(AC2504&lt;&gt;"",S2504&lt;&gt;""),NETWORKDAYS(AC2504,S2504,#REF!),"")</f>
        <v/>
      </c>
      <c r="AE2504" s="596" t="str">
        <f ca="1">IF(AND(AD2504="",AC2504=""),"",IF(OR(AD2504&lt;&gt;"",O2504="*CANCELADO"),"",NETWORKDAYS(AC2504,TODAY(),#REF!)))</f>
        <v/>
      </c>
      <c r="AF2504" s="619"/>
    </row>
    <row r="2505" spans="1:32" ht="14.25" customHeight="1">
      <c r="A2505" s="176"/>
      <c r="B2505" s="176"/>
      <c r="C2505" s="177"/>
      <c r="D2505" s="176"/>
      <c r="E2505" s="176"/>
      <c r="F2505" s="259"/>
      <c r="G2505" s="176"/>
      <c r="H2505" s="178"/>
      <c r="I2505" s="592">
        <f t="shared" si="94"/>
        <v>0</v>
      </c>
      <c r="J2505" s="178"/>
      <c r="K2505" s="178"/>
      <c r="L2505" s="275" t="str">
        <f>IF(H:H=0,"",IF(ISERROR(VLOOKUP(H:H,produtos_escape2!$A$2:$B$2794,2,FALSE)),"Código não cadastrado",(VLOOKUP(H:H,produtos_escape2!$A$2:$B$2794,2,FALSE))))</f>
        <v/>
      </c>
      <c r="M2505" s="593" t="str">
        <f>IF(H:H=0,"",IF(ISERROR(VLOOKUP(H:H,produtos_escape2!$A$2:$D$2794,2,FALSE)),"Código não cadastrado",(VLOOKUP(H:H,produtos_escape2!$A$2:$D$2794,4,FALSE))))</f>
        <v/>
      </c>
      <c r="N2505" s="486"/>
      <c r="O2505" s="176"/>
      <c r="P2505" s="486"/>
      <c r="Q2505" s="247"/>
      <c r="R2505" s="246">
        <f t="shared" si="93"/>
        <v>0</v>
      </c>
      <c r="S2505" s="177"/>
      <c r="T2505" s="182"/>
      <c r="U2505" s="177"/>
      <c r="V2505" s="177"/>
      <c r="W2505" s="177"/>
      <c r="X2505" s="176"/>
      <c r="Y2505" s="177"/>
      <c r="Z2505" s="415"/>
      <c r="AA2505" s="488"/>
      <c r="AB2505" s="594"/>
      <c r="AC2505" s="595"/>
      <c r="AD2505" s="596" t="str">
        <f>IF(AND(AC2505&lt;&gt;"",S2505&lt;&gt;""),NETWORKDAYS(AC2505,S2505,#REF!),"")</f>
        <v/>
      </c>
      <c r="AE2505" s="596" t="str">
        <f ca="1">IF(AND(AD2505="",AC2505=""),"",IF(OR(AD2505&lt;&gt;"",O2505="*CANCELADO"),"",NETWORKDAYS(AC2505,TODAY(),#REF!)))</f>
        <v/>
      </c>
      <c r="AF2505" s="619"/>
    </row>
    <row r="2506" spans="1:32" ht="14.25" customHeight="1">
      <c r="A2506" s="176"/>
      <c r="B2506" s="176"/>
      <c r="C2506" s="177"/>
      <c r="D2506" s="176"/>
      <c r="E2506" s="176"/>
      <c r="F2506" s="259"/>
      <c r="G2506" s="176"/>
      <c r="H2506" s="178"/>
      <c r="I2506" s="592">
        <f t="shared" si="94"/>
        <v>0</v>
      </c>
      <c r="J2506" s="178"/>
      <c r="K2506" s="178"/>
      <c r="L2506" s="275" t="str">
        <f>IF(H:H=0,"",IF(ISERROR(VLOOKUP(H:H,produtos_escape2!$A$2:$B$2794,2,FALSE)),"Código não cadastrado",(VLOOKUP(H:H,produtos_escape2!$A$2:$B$2794,2,FALSE))))</f>
        <v/>
      </c>
      <c r="M2506" s="593" t="str">
        <f>IF(H:H=0,"",IF(ISERROR(VLOOKUP(H:H,produtos_escape2!$A$2:$D$2794,2,FALSE)),"Código não cadastrado",(VLOOKUP(H:H,produtos_escape2!$A$2:$D$2794,4,FALSE))))</f>
        <v/>
      </c>
      <c r="N2506" s="486"/>
      <c r="O2506" s="176"/>
      <c r="P2506" s="486"/>
      <c r="Q2506" s="247"/>
      <c r="R2506" s="246">
        <f t="shared" si="93"/>
        <v>0</v>
      </c>
      <c r="S2506" s="177"/>
      <c r="T2506" s="182"/>
      <c r="U2506" s="177"/>
      <c r="V2506" s="177"/>
      <c r="W2506" s="177"/>
      <c r="X2506" s="176"/>
      <c r="Y2506" s="177"/>
      <c r="Z2506" s="415"/>
      <c r="AA2506" s="488"/>
      <c r="AB2506" s="594"/>
      <c r="AC2506" s="595"/>
      <c r="AD2506" s="596" t="str">
        <f>IF(AND(AC2506&lt;&gt;"",S2506&lt;&gt;""),NETWORKDAYS(AC2506,S2506,#REF!),"")</f>
        <v/>
      </c>
      <c r="AE2506" s="596" t="str">
        <f ca="1">IF(AND(AD2506="",AC2506=""),"",IF(OR(AD2506&lt;&gt;"",O2506="*CANCELADO"),"",NETWORKDAYS(AC2506,TODAY(),#REF!)))</f>
        <v/>
      </c>
      <c r="AF2506" s="619"/>
    </row>
    <row r="2507" spans="1:32" ht="14.25" customHeight="1">
      <c r="A2507" s="176"/>
      <c r="B2507" s="176"/>
      <c r="C2507" s="177"/>
      <c r="D2507" s="176"/>
      <c r="E2507" s="176"/>
      <c r="F2507" s="259"/>
      <c r="G2507" s="176"/>
      <c r="H2507" s="178"/>
      <c r="I2507" s="592">
        <f t="shared" si="94"/>
        <v>0</v>
      </c>
      <c r="J2507" s="178"/>
      <c r="K2507" s="178"/>
      <c r="L2507" s="275" t="str">
        <f>IF(H:H=0,"",IF(ISERROR(VLOOKUP(H:H,produtos_escape2!$A$2:$B$2794,2,FALSE)),"Código não cadastrado",(VLOOKUP(H:H,produtos_escape2!$A$2:$B$2794,2,FALSE))))</f>
        <v/>
      </c>
      <c r="M2507" s="593" t="str">
        <f>IF(H:H=0,"",IF(ISERROR(VLOOKUP(H:H,produtos_escape2!$A$2:$D$2794,2,FALSE)),"Código não cadastrado",(VLOOKUP(H:H,produtos_escape2!$A$2:$D$2794,4,FALSE))))</f>
        <v/>
      </c>
      <c r="N2507" s="486"/>
      <c r="O2507" s="176"/>
      <c r="P2507" s="486"/>
      <c r="Q2507" s="247"/>
      <c r="R2507" s="246">
        <f t="shared" si="93"/>
        <v>0</v>
      </c>
      <c r="S2507" s="177"/>
      <c r="T2507" s="182"/>
      <c r="U2507" s="177"/>
      <c r="V2507" s="177"/>
      <c r="W2507" s="177"/>
      <c r="X2507" s="176"/>
      <c r="Y2507" s="177"/>
      <c r="Z2507" s="415"/>
      <c r="AA2507" s="488"/>
      <c r="AB2507" s="594"/>
      <c r="AC2507" s="595"/>
      <c r="AD2507" s="596" t="str">
        <f>IF(AND(AC2507&lt;&gt;"",S2507&lt;&gt;""),NETWORKDAYS(AC2507,S2507,#REF!),"")</f>
        <v/>
      </c>
      <c r="AE2507" s="596" t="str">
        <f ca="1">IF(AND(AD2507="",AC2507=""),"",IF(OR(AD2507&lt;&gt;"",O2507="*CANCELADO"),"",NETWORKDAYS(AC2507,TODAY(),#REF!)))</f>
        <v/>
      </c>
      <c r="AF2507" s="619"/>
    </row>
    <row r="2508" spans="1:32" ht="14.25" customHeight="1">
      <c r="A2508" s="176"/>
      <c r="B2508" s="176"/>
      <c r="C2508" s="177"/>
      <c r="D2508" s="176"/>
      <c r="E2508" s="176"/>
      <c r="F2508" s="259"/>
      <c r="G2508" s="176"/>
      <c r="H2508" s="178"/>
      <c r="I2508" s="592">
        <f t="shared" si="94"/>
        <v>0</v>
      </c>
      <c r="J2508" s="178"/>
      <c r="K2508" s="178"/>
      <c r="L2508" s="275" t="str">
        <f>IF(H:H=0,"",IF(ISERROR(VLOOKUP(H:H,produtos_escape2!$A$2:$B$2794,2,FALSE)),"Código não cadastrado",(VLOOKUP(H:H,produtos_escape2!$A$2:$B$2794,2,FALSE))))</f>
        <v/>
      </c>
      <c r="M2508" s="593" t="str">
        <f>IF(H:H=0,"",IF(ISERROR(VLOOKUP(H:H,produtos_escape2!$A$2:$D$2794,2,FALSE)),"Código não cadastrado",(VLOOKUP(H:H,produtos_escape2!$A$2:$D$2794,4,FALSE))))</f>
        <v/>
      </c>
      <c r="N2508" s="486"/>
      <c r="O2508" s="176"/>
      <c r="P2508" s="486"/>
      <c r="Q2508" s="247"/>
      <c r="R2508" s="246">
        <f t="shared" si="93"/>
        <v>0</v>
      </c>
      <c r="S2508" s="177"/>
      <c r="T2508" s="182"/>
      <c r="U2508" s="177"/>
      <c r="V2508" s="177"/>
      <c r="W2508" s="177"/>
      <c r="X2508" s="176"/>
      <c r="Y2508" s="177"/>
      <c r="Z2508" s="415"/>
      <c r="AA2508" s="488"/>
      <c r="AB2508" s="594"/>
      <c r="AC2508" s="595"/>
      <c r="AD2508" s="596" t="str">
        <f>IF(AND(AC2508&lt;&gt;"",S2508&lt;&gt;""),NETWORKDAYS(AC2508,S2508,#REF!),"")</f>
        <v/>
      </c>
      <c r="AE2508" s="596" t="str">
        <f ca="1">IF(AND(AD2508="",AC2508=""),"",IF(OR(AD2508&lt;&gt;"",O2508="*CANCELADO"),"",NETWORKDAYS(AC2508,TODAY(),#REF!)))</f>
        <v/>
      </c>
      <c r="AF2508" s="619"/>
    </row>
    <row r="2509" spans="1:32" ht="14.25" customHeight="1">
      <c r="A2509" s="176"/>
      <c r="B2509" s="176"/>
      <c r="C2509" s="177"/>
      <c r="D2509" s="176"/>
      <c r="E2509" s="176"/>
      <c r="F2509" s="259"/>
      <c r="G2509" s="176"/>
      <c r="H2509" s="178"/>
      <c r="I2509" s="592">
        <f t="shared" si="94"/>
        <v>0</v>
      </c>
      <c r="J2509" s="178"/>
      <c r="K2509" s="178"/>
      <c r="L2509" s="275" t="str">
        <f>IF(H:H=0,"",IF(ISERROR(VLOOKUP(H:H,produtos_escape2!$A$2:$B$2794,2,FALSE)),"Código não cadastrado",(VLOOKUP(H:H,produtos_escape2!$A$2:$B$2794,2,FALSE))))</f>
        <v/>
      </c>
      <c r="M2509" s="593" t="str">
        <f>IF(H:H=0,"",IF(ISERROR(VLOOKUP(H:H,produtos_escape2!$A$2:$D$2794,2,FALSE)),"Código não cadastrado",(VLOOKUP(H:H,produtos_escape2!$A$2:$D$2794,4,FALSE))))</f>
        <v/>
      </c>
      <c r="N2509" s="486"/>
      <c r="O2509" s="176"/>
      <c r="P2509" s="486"/>
      <c r="Q2509" s="247"/>
      <c r="R2509" s="246">
        <f t="shared" si="93"/>
        <v>0</v>
      </c>
      <c r="S2509" s="177"/>
      <c r="T2509" s="182"/>
      <c r="U2509" s="177"/>
      <c r="V2509" s="177"/>
      <c r="W2509" s="177"/>
      <c r="X2509" s="176"/>
      <c r="Y2509" s="177"/>
      <c r="Z2509" s="415"/>
      <c r="AA2509" s="488"/>
      <c r="AB2509" s="594"/>
      <c r="AC2509" s="595"/>
      <c r="AD2509" s="596" t="str">
        <f>IF(AND(AC2509&lt;&gt;"",S2509&lt;&gt;""),NETWORKDAYS(AC2509,S2509,#REF!),"")</f>
        <v/>
      </c>
      <c r="AE2509" s="596" t="str">
        <f ca="1">IF(AND(AD2509="",AC2509=""),"",IF(OR(AD2509&lt;&gt;"",O2509="*CANCELADO"),"",NETWORKDAYS(AC2509,TODAY(),#REF!)))</f>
        <v/>
      </c>
      <c r="AF2509" s="619"/>
    </row>
    <row r="2510" spans="1:32" ht="14.25" customHeight="1">
      <c r="A2510" s="176"/>
      <c r="B2510" s="176"/>
      <c r="C2510" s="177"/>
      <c r="D2510" s="176"/>
      <c r="E2510" s="176"/>
      <c r="F2510" s="259"/>
      <c r="G2510" s="176"/>
      <c r="H2510" s="178"/>
      <c r="I2510" s="592">
        <f t="shared" si="94"/>
        <v>0</v>
      </c>
      <c r="J2510" s="178"/>
      <c r="K2510" s="178"/>
      <c r="L2510" s="275" t="str">
        <f>IF(H:H=0,"",IF(ISERROR(VLOOKUP(H:H,produtos_escape2!$A$2:$B$2794,2,FALSE)),"Código não cadastrado",(VLOOKUP(H:H,produtos_escape2!$A$2:$B$2794,2,FALSE))))</f>
        <v/>
      </c>
      <c r="M2510" s="593" t="str">
        <f>IF(H:H=0,"",IF(ISERROR(VLOOKUP(H:H,produtos_escape2!$A$2:$D$2794,2,FALSE)),"Código não cadastrado",(VLOOKUP(H:H,produtos_escape2!$A$2:$D$2794,4,FALSE))))</f>
        <v/>
      </c>
      <c r="N2510" s="486"/>
      <c r="O2510" s="176"/>
      <c r="P2510" s="486"/>
      <c r="Q2510" s="247"/>
      <c r="R2510" s="246">
        <f t="shared" si="93"/>
        <v>0</v>
      </c>
      <c r="S2510" s="177"/>
      <c r="T2510" s="182"/>
      <c r="U2510" s="177"/>
      <c r="V2510" s="177"/>
      <c r="W2510" s="177"/>
      <c r="X2510" s="176"/>
      <c r="Y2510" s="177"/>
      <c r="Z2510" s="415"/>
      <c r="AA2510" s="488"/>
      <c r="AB2510" s="594"/>
      <c r="AC2510" s="595"/>
      <c r="AD2510" s="596" t="str">
        <f>IF(AND(AC2510&lt;&gt;"",S2510&lt;&gt;""),NETWORKDAYS(AC2510,S2510,#REF!),"")</f>
        <v/>
      </c>
      <c r="AE2510" s="596" t="str">
        <f ca="1">IF(AND(AD2510="",AC2510=""),"",IF(OR(AD2510&lt;&gt;"",O2510="*CANCELADO"),"",NETWORKDAYS(AC2510,TODAY(),#REF!)))</f>
        <v/>
      </c>
      <c r="AF2510" s="619"/>
    </row>
    <row r="2511" spans="1:32" ht="14.25" customHeight="1">
      <c r="A2511" s="176"/>
      <c r="B2511" s="176"/>
      <c r="C2511" s="177"/>
      <c r="D2511" s="176"/>
      <c r="E2511" s="176"/>
      <c r="F2511" s="259"/>
      <c r="G2511" s="176"/>
      <c r="H2511" s="178"/>
      <c r="I2511" s="592">
        <f t="shared" si="94"/>
        <v>0</v>
      </c>
      <c r="J2511" s="178"/>
      <c r="K2511" s="178"/>
      <c r="L2511" s="275" t="str">
        <f>IF(H:H=0,"",IF(ISERROR(VLOOKUP(H:H,produtos_escape2!$A$2:$B$2794,2,FALSE)),"Código não cadastrado",(VLOOKUP(H:H,produtos_escape2!$A$2:$B$2794,2,FALSE))))</f>
        <v/>
      </c>
      <c r="M2511" s="593" t="str">
        <f>IF(H:H=0,"",IF(ISERROR(VLOOKUP(H:H,produtos_escape2!$A$2:$D$2794,2,FALSE)),"Código não cadastrado",(VLOOKUP(H:H,produtos_escape2!$A$2:$D$2794,4,FALSE))))</f>
        <v/>
      </c>
      <c r="N2511" s="486"/>
      <c r="O2511" s="176"/>
      <c r="P2511" s="486"/>
      <c r="Q2511" s="247"/>
      <c r="R2511" s="246">
        <f t="shared" si="93"/>
        <v>0</v>
      </c>
      <c r="S2511" s="177"/>
      <c r="T2511" s="182"/>
      <c r="U2511" s="177"/>
      <c r="V2511" s="177"/>
      <c r="W2511" s="177"/>
      <c r="X2511" s="176"/>
      <c r="Y2511" s="177"/>
      <c r="Z2511" s="415"/>
      <c r="AA2511" s="488"/>
      <c r="AB2511" s="594"/>
      <c r="AC2511" s="595"/>
      <c r="AD2511" s="596" t="str">
        <f>IF(AND(AC2511&lt;&gt;"",S2511&lt;&gt;""),NETWORKDAYS(AC2511,S2511,#REF!),"")</f>
        <v/>
      </c>
      <c r="AE2511" s="596" t="str">
        <f ca="1">IF(AND(AD2511="",AC2511=""),"",IF(OR(AD2511&lt;&gt;"",O2511="*CANCELADO"),"",NETWORKDAYS(AC2511,TODAY(),#REF!)))</f>
        <v/>
      </c>
      <c r="AF2511" s="619"/>
    </row>
    <row r="2512" spans="1:32" ht="14.25" customHeight="1">
      <c r="A2512" s="176"/>
      <c r="B2512" s="176"/>
      <c r="C2512" s="177"/>
      <c r="D2512" s="176"/>
      <c r="E2512" s="176"/>
      <c r="F2512" s="259"/>
      <c r="G2512" s="176"/>
      <c r="H2512" s="178"/>
      <c r="I2512" s="592">
        <f t="shared" si="94"/>
        <v>0</v>
      </c>
      <c r="J2512" s="178"/>
      <c r="K2512" s="178"/>
      <c r="L2512" s="275" t="str">
        <f>IF(H:H=0,"",IF(ISERROR(VLOOKUP(H:H,produtos_escape2!$A$2:$B$2794,2,FALSE)),"Código não cadastrado",(VLOOKUP(H:H,produtos_escape2!$A$2:$B$2794,2,FALSE))))</f>
        <v/>
      </c>
      <c r="M2512" s="593" t="str">
        <f>IF(H:H=0,"",IF(ISERROR(VLOOKUP(H:H,produtos_escape2!$A$2:$D$2794,2,FALSE)),"Código não cadastrado",(VLOOKUP(H:H,produtos_escape2!$A$2:$D$2794,4,FALSE))))</f>
        <v/>
      </c>
      <c r="N2512" s="486"/>
      <c r="O2512" s="176"/>
      <c r="P2512" s="486"/>
      <c r="Q2512" s="247"/>
      <c r="R2512" s="246">
        <f t="shared" si="93"/>
        <v>0</v>
      </c>
      <c r="S2512" s="177"/>
      <c r="T2512" s="182"/>
      <c r="U2512" s="177"/>
      <c r="V2512" s="177"/>
      <c r="W2512" s="177"/>
      <c r="X2512" s="176"/>
      <c r="Y2512" s="177"/>
      <c r="Z2512" s="415"/>
      <c r="AA2512" s="488"/>
      <c r="AB2512" s="594"/>
      <c r="AC2512" s="595"/>
      <c r="AD2512" s="596" t="str">
        <f>IF(AND(AC2512&lt;&gt;"",S2512&lt;&gt;""),NETWORKDAYS(AC2512,S2512,#REF!),"")</f>
        <v/>
      </c>
      <c r="AE2512" s="596" t="str">
        <f ca="1">IF(AND(AD2512="",AC2512=""),"",IF(OR(AD2512&lt;&gt;"",O2512="*CANCELADO"),"",NETWORKDAYS(AC2512,TODAY(),#REF!)))</f>
        <v/>
      </c>
      <c r="AF2512" s="619"/>
    </row>
    <row r="2513" spans="1:32" ht="14.25" customHeight="1">
      <c r="A2513" s="176"/>
      <c r="B2513" s="176"/>
      <c r="C2513" s="177"/>
      <c r="D2513" s="176"/>
      <c r="E2513" s="176"/>
      <c r="F2513" s="259"/>
      <c r="G2513" s="176"/>
      <c r="H2513" s="178"/>
      <c r="I2513" s="592">
        <f t="shared" si="94"/>
        <v>0</v>
      </c>
      <c r="J2513" s="178"/>
      <c r="K2513" s="178"/>
      <c r="L2513" s="275" t="str">
        <f>IF(H:H=0,"",IF(ISERROR(VLOOKUP(H:H,produtos_escape2!$A$2:$B$2794,2,FALSE)),"Código não cadastrado",(VLOOKUP(H:H,produtos_escape2!$A$2:$B$2794,2,FALSE))))</f>
        <v/>
      </c>
      <c r="M2513" s="593" t="str">
        <f>IF(H:H=0,"",IF(ISERROR(VLOOKUP(H:H,produtos_escape2!$A$2:$D$2794,2,FALSE)),"Código não cadastrado",(VLOOKUP(H:H,produtos_escape2!$A$2:$D$2794,4,FALSE))))</f>
        <v/>
      </c>
      <c r="N2513" s="486"/>
      <c r="O2513" s="176"/>
      <c r="P2513" s="486"/>
      <c r="Q2513" s="247"/>
      <c r="R2513" s="246">
        <f t="shared" si="93"/>
        <v>0</v>
      </c>
      <c r="S2513" s="177"/>
      <c r="T2513" s="182"/>
      <c r="U2513" s="177"/>
      <c r="V2513" s="177"/>
      <c r="W2513" s="177"/>
      <c r="X2513" s="176"/>
      <c r="Y2513" s="177"/>
      <c r="Z2513" s="415"/>
      <c r="AA2513" s="488"/>
      <c r="AB2513" s="594"/>
      <c r="AC2513" s="595"/>
      <c r="AD2513" s="596" t="str">
        <f>IF(AND(AC2513&lt;&gt;"",S2513&lt;&gt;""),NETWORKDAYS(AC2513,S2513,#REF!),"")</f>
        <v/>
      </c>
      <c r="AE2513" s="596" t="str">
        <f ca="1">IF(AND(AD2513="",AC2513=""),"",IF(OR(AD2513&lt;&gt;"",O2513="*CANCELADO"),"",NETWORKDAYS(AC2513,TODAY(),#REF!)))</f>
        <v/>
      </c>
      <c r="AF2513" s="619"/>
    </row>
    <row r="2514" spans="1:32" ht="14.25" customHeight="1">
      <c r="A2514" s="176"/>
      <c r="B2514" s="176"/>
      <c r="C2514" s="177"/>
      <c r="D2514" s="176"/>
      <c r="E2514" s="176"/>
      <c r="F2514" s="259"/>
      <c r="G2514" s="176"/>
      <c r="H2514" s="178"/>
      <c r="I2514" s="592">
        <f t="shared" si="94"/>
        <v>0</v>
      </c>
      <c r="J2514" s="178"/>
      <c r="K2514" s="178"/>
      <c r="L2514" s="275" t="str">
        <f>IF(H:H=0,"",IF(ISERROR(VLOOKUP(H:H,produtos_escape2!$A$2:$B$2794,2,FALSE)),"Código não cadastrado",(VLOOKUP(H:H,produtos_escape2!$A$2:$B$2794,2,FALSE))))</f>
        <v/>
      </c>
      <c r="M2514" s="593" t="str">
        <f>IF(H:H=0,"",IF(ISERROR(VLOOKUP(H:H,produtos_escape2!$A$2:$D$2794,2,FALSE)),"Código não cadastrado",(VLOOKUP(H:H,produtos_escape2!$A$2:$D$2794,4,FALSE))))</f>
        <v/>
      </c>
      <c r="N2514" s="486"/>
      <c r="O2514" s="176"/>
      <c r="P2514" s="486"/>
      <c r="Q2514" s="247"/>
      <c r="R2514" s="246">
        <f t="shared" si="93"/>
        <v>0</v>
      </c>
      <c r="S2514" s="177"/>
      <c r="T2514" s="182"/>
      <c r="U2514" s="177"/>
      <c r="V2514" s="177"/>
      <c r="W2514" s="177"/>
      <c r="X2514" s="176"/>
      <c r="Y2514" s="177"/>
      <c r="Z2514" s="415"/>
      <c r="AA2514" s="488"/>
      <c r="AB2514" s="594"/>
      <c r="AC2514" s="595"/>
      <c r="AD2514" s="596" t="str">
        <f>IF(AND(AC2514&lt;&gt;"",S2514&lt;&gt;""),NETWORKDAYS(AC2514,S2514,#REF!),"")</f>
        <v/>
      </c>
      <c r="AE2514" s="596" t="str">
        <f ca="1">IF(AND(AD2514="",AC2514=""),"",IF(OR(AD2514&lt;&gt;"",O2514="*CANCELADO"),"",NETWORKDAYS(AC2514,TODAY(),#REF!)))</f>
        <v/>
      </c>
      <c r="AF2514" s="619"/>
    </row>
    <row r="2515" spans="1:32" ht="14.25" customHeight="1">
      <c r="A2515" s="176"/>
      <c r="B2515" s="176"/>
      <c r="C2515" s="177"/>
      <c r="D2515" s="176"/>
      <c r="E2515" s="176"/>
      <c r="F2515" s="259"/>
      <c r="G2515" s="176"/>
      <c r="H2515" s="178"/>
      <c r="I2515" s="592">
        <f t="shared" si="94"/>
        <v>0</v>
      </c>
      <c r="J2515" s="178"/>
      <c r="K2515" s="178"/>
      <c r="L2515" s="275" t="str">
        <f>IF(H:H=0,"",IF(ISERROR(VLOOKUP(H:H,produtos_escape2!$A$2:$B$2794,2,FALSE)),"Código não cadastrado",(VLOOKUP(H:H,produtos_escape2!$A$2:$B$2794,2,FALSE))))</f>
        <v/>
      </c>
      <c r="M2515" s="593" t="str">
        <f>IF(H:H=0,"",IF(ISERROR(VLOOKUP(H:H,produtos_escape2!$A$2:$D$2794,2,FALSE)),"Código não cadastrado",(VLOOKUP(H:H,produtos_escape2!$A$2:$D$2794,4,FALSE))))</f>
        <v/>
      </c>
      <c r="N2515" s="486"/>
      <c r="O2515" s="176"/>
      <c r="P2515" s="486"/>
      <c r="Q2515" s="247"/>
      <c r="R2515" s="246">
        <f t="shared" si="93"/>
        <v>0</v>
      </c>
      <c r="S2515" s="177"/>
      <c r="T2515" s="182"/>
      <c r="U2515" s="177"/>
      <c r="V2515" s="177"/>
      <c r="W2515" s="177"/>
      <c r="X2515" s="176"/>
      <c r="Y2515" s="177"/>
      <c r="Z2515" s="415"/>
      <c r="AA2515" s="488"/>
      <c r="AB2515" s="594"/>
      <c r="AC2515" s="595"/>
      <c r="AD2515" s="596" t="str">
        <f>IF(AND(AC2515&lt;&gt;"",S2515&lt;&gt;""),NETWORKDAYS(AC2515,S2515,#REF!),"")</f>
        <v/>
      </c>
      <c r="AE2515" s="596" t="str">
        <f ca="1">IF(AND(AD2515="",AC2515=""),"",IF(OR(AD2515&lt;&gt;"",O2515="*CANCELADO"),"",NETWORKDAYS(AC2515,TODAY(),#REF!)))</f>
        <v/>
      </c>
      <c r="AF2515" s="619"/>
    </row>
    <row r="2516" spans="1:32" ht="14.25" customHeight="1">
      <c r="A2516" s="176"/>
      <c r="B2516" s="176"/>
      <c r="C2516" s="177"/>
      <c r="D2516" s="176"/>
      <c r="E2516" s="176"/>
      <c r="F2516" s="259"/>
      <c r="G2516" s="176"/>
      <c r="H2516" s="178"/>
      <c r="I2516" s="592">
        <f t="shared" si="94"/>
        <v>0</v>
      </c>
      <c r="J2516" s="178"/>
      <c r="K2516" s="178"/>
      <c r="L2516" s="275" t="str">
        <f>IF(H:H=0,"",IF(ISERROR(VLOOKUP(H:H,produtos_escape2!$A$2:$B$2794,2,FALSE)),"Código não cadastrado",(VLOOKUP(H:H,produtos_escape2!$A$2:$B$2794,2,FALSE))))</f>
        <v/>
      </c>
      <c r="M2516" s="593" t="str">
        <f>IF(H:H=0,"",IF(ISERROR(VLOOKUP(H:H,produtos_escape2!$A$2:$D$2794,2,FALSE)),"Código não cadastrado",(VLOOKUP(H:H,produtos_escape2!$A$2:$D$2794,4,FALSE))))</f>
        <v/>
      </c>
      <c r="N2516" s="486"/>
      <c r="O2516" s="176"/>
      <c r="P2516" s="486"/>
      <c r="Q2516" s="247"/>
      <c r="R2516" s="246">
        <f t="shared" si="93"/>
        <v>0</v>
      </c>
      <c r="S2516" s="177"/>
      <c r="T2516" s="182"/>
      <c r="U2516" s="177"/>
      <c r="V2516" s="177"/>
      <c r="W2516" s="177"/>
      <c r="X2516" s="176"/>
      <c r="Y2516" s="177"/>
      <c r="Z2516" s="415"/>
      <c r="AA2516" s="488"/>
      <c r="AB2516" s="594"/>
      <c r="AC2516" s="595"/>
      <c r="AD2516" s="596" t="str">
        <f>IF(AND(AC2516&lt;&gt;"",S2516&lt;&gt;""),NETWORKDAYS(AC2516,S2516,#REF!),"")</f>
        <v/>
      </c>
      <c r="AE2516" s="596" t="str">
        <f ca="1">IF(AND(AD2516="",AC2516=""),"",IF(OR(AD2516&lt;&gt;"",O2516="*CANCELADO"),"",NETWORKDAYS(AC2516,TODAY(),#REF!)))</f>
        <v/>
      </c>
      <c r="AF2516" s="619"/>
    </row>
    <row r="2517" spans="1:32" ht="14.25" customHeight="1">
      <c r="A2517" s="176"/>
      <c r="B2517" s="176"/>
      <c r="C2517" s="177"/>
      <c r="D2517" s="176"/>
      <c r="E2517" s="176"/>
      <c r="F2517" s="259"/>
      <c r="G2517" s="176"/>
      <c r="H2517" s="178"/>
      <c r="I2517" s="592">
        <f t="shared" si="94"/>
        <v>0</v>
      </c>
      <c r="J2517" s="178"/>
      <c r="K2517" s="178"/>
      <c r="L2517" s="275" t="str">
        <f>IF(H:H=0,"",IF(ISERROR(VLOOKUP(H:H,produtos_escape2!$A$2:$B$2794,2,FALSE)),"Código não cadastrado",(VLOOKUP(H:H,produtos_escape2!$A$2:$B$2794,2,FALSE))))</f>
        <v/>
      </c>
      <c r="M2517" s="593" t="str">
        <f>IF(H:H=0,"",IF(ISERROR(VLOOKUP(H:H,produtos_escape2!$A$2:$D$2794,2,FALSE)),"Código não cadastrado",(VLOOKUP(H:H,produtos_escape2!$A$2:$D$2794,4,FALSE))))</f>
        <v/>
      </c>
      <c r="N2517" s="486"/>
      <c r="O2517" s="176"/>
      <c r="P2517" s="486"/>
      <c r="Q2517" s="247"/>
      <c r="R2517" s="246">
        <f t="shared" si="93"/>
        <v>0</v>
      </c>
      <c r="S2517" s="177"/>
      <c r="T2517" s="182"/>
      <c r="U2517" s="177"/>
      <c r="V2517" s="177"/>
      <c r="W2517" s="177"/>
      <c r="X2517" s="176"/>
      <c r="Y2517" s="177"/>
      <c r="Z2517" s="415"/>
      <c r="AA2517" s="488"/>
      <c r="AB2517" s="594"/>
      <c r="AC2517" s="595"/>
      <c r="AD2517" s="596" t="str">
        <f>IF(AND(AC2517&lt;&gt;"",S2517&lt;&gt;""),NETWORKDAYS(AC2517,S2517,#REF!),"")</f>
        <v/>
      </c>
      <c r="AE2517" s="596" t="str">
        <f ca="1">IF(AND(AD2517="",AC2517=""),"",IF(OR(AD2517&lt;&gt;"",O2517="*CANCELADO"),"",NETWORKDAYS(AC2517,TODAY(),#REF!)))</f>
        <v/>
      </c>
      <c r="AF2517" s="619"/>
    </row>
    <row r="2518" spans="1:32" ht="14.25" customHeight="1">
      <c r="A2518" s="176"/>
      <c r="B2518" s="176"/>
      <c r="C2518" s="177"/>
      <c r="D2518" s="176"/>
      <c r="E2518" s="176"/>
      <c r="F2518" s="259"/>
      <c r="G2518" s="176"/>
      <c r="H2518" s="178"/>
      <c r="I2518" s="592">
        <f t="shared" si="94"/>
        <v>0</v>
      </c>
      <c r="J2518" s="178"/>
      <c r="K2518" s="178"/>
      <c r="L2518" s="275" t="str">
        <f>IF(H:H=0,"",IF(ISERROR(VLOOKUP(H:H,produtos_escape2!$A$2:$B$2794,2,FALSE)),"Código não cadastrado",(VLOOKUP(H:H,produtos_escape2!$A$2:$B$2794,2,FALSE))))</f>
        <v/>
      </c>
      <c r="M2518" s="593" t="str">
        <f>IF(H:H=0,"",IF(ISERROR(VLOOKUP(H:H,produtos_escape2!$A$2:$D$2794,2,FALSE)),"Código não cadastrado",(VLOOKUP(H:H,produtos_escape2!$A$2:$D$2794,4,FALSE))))</f>
        <v/>
      </c>
      <c r="N2518" s="486"/>
      <c r="O2518" s="176"/>
      <c r="P2518" s="486"/>
      <c r="Q2518" s="247"/>
      <c r="R2518" s="246">
        <f t="shared" si="93"/>
        <v>0</v>
      </c>
      <c r="S2518" s="177"/>
      <c r="T2518" s="182"/>
      <c r="U2518" s="177"/>
      <c r="V2518" s="177"/>
      <c r="W2518" s="177"/>
      <c r="X2518" s="176"/>
      <c r="Y2518" s="177"/>
      <c r="Z2518" s="415"/>
      <c r="AA2518" s="488"/>
      <c r="AB2518" s="594"/>
      <c r="AC2518" s="595"/>
      <c r="AD2518" s="596" t="str">
        <f>IF(AND(AC2518&lt;&gt;"",S2518&lt;&gt;""),NETWORKDAYS(AC2518,S2518,#REF!),"")</f>
        <v/>
      </c>
      <c r="AE2518" s="596" t="str">
        <f ca="1">IF(AND(AD2518="",AC2518=""),"",IF(OR(AD2518&lt;&gt;"",O2518="*CANCELADO"),"",NETWORKDAYS(AC2518,TODAY(),#REF!)))</f>
        <v/>
      </c>
      <c r="AF2518" s="619"/>
    </row>
    <row r="2519" spans="1:32" ht="14.25" customHeight="1">
      <c r="A2519" s="176"/>
      <c r="B2519" s="176"/>
      <c r="C2519" s="177"/>
      <c r="D2519" s="176"/>
      <c r="E2519" s="176"/>
      <c r="F2519" s="259"/>
      <c r="G2519" s="176"/>
      <c r="H2519" s="178"/>
      <c r="I2519" s="592">
        <f t="shared" si="94"/>
        <v>0</v>
      </c>
      <c r="J2519" s="178"/>
      <c r="K2519" s="178"/>
      <c r="L2519" s="275" t="str">
        <f>IF(H:H=0,"",IF(ISERROR(VLOOKUP(H:H,produtos_escape2!$A$2:$B$2794,2,FALSE)),"Código não cadastrado",(VLOOKUP(H:H,produtos_escape2!$A$2:$B$2794,2,FALSE))))</f>
        <v/>
      </c>
      <c r="M2519" s="593" t="str">
        <f>IF(H:H=0,"",IF(ISERROR(VLOOKUP(H:H,produtos_escape2!$A$2:$D$2794,2,FALSE)),"Código não cadastrado",(VLOOKUP(H:H,produtos_escape2!$A$2:$D$2794,4,FALSE))))</f>
        <v/>
      </c>
      <c r="N2519" s="486"/>
      <c r="O2519" s="176"/>
      <c r="P2519" s="486"/>
      <c r="Q2519" s="247"/>
      <c r="R2519" s="246">
        <f t="shared" si="93"/>
        <v>0</v>
      </c>
      <c r="S2519" s="177"/>
      <c r="T2519" s="182"/>
      <c r="U2519" s="177"/>
      <c r="V2519" s="177"/>
      <c r="W2519" s="177"/>
      <c r="X2519" s="176"/>
      <c r="Y2519" s="177"/>
      <c r="Z2519" s="415"/>
      <c r="AA2519" s="488"/>
      <c r="AB2519" s="594"/>
      <c r="AC2519" s="595"/>
      <c r="AD2519" s="596" t="str">
        <f>IF(AND(AC2519&lt;&gt;"",S2519&lt;&gt;""),NETWORKDAYS(AC2519,S2519,#REF!),"")</f>
        <v/>
      </c>
      <c r="AE2519" s="596" t="str">
        <f ca="1">IF(AND(AD2519="",AC2519=""),"",IF(OR(AD2519&lt;&gt;"",O2519="*CANCELADO"),"",NETWORKDAYS(AC2519,TODAY(),#REF!)))</f>
        <v/>
      </c>
      <c r="AF2519" s="619"/>
    </row>
    <row r="2520" spans="1:32" ht="14.25" customHeight="1">
      <c r="A2520" s="176"/>
      <c r="B2520" s="176"/>
      <c r="C2520" s="177"/>
      <c r="D2520" s="176"/>
      <c r="E2520" s="176"/>
      <c r="F2520" s="259"/>
      <c r="G2520" s="176"/>
      <c r="H2520" s="178"/>
      <c r="I2520" s="592">
        <f t="shared" si="94"/>
        <v>0</v>
      </c>
      <c r="J2520" s="178"/>
      <c r="K2520" s="178"/>
      <c r="L2520" s="275" t="str">
        <f>IF(H:H=0,"",IF(ISERROR(VLOOKUP(H:H,produtos_escape2!$A$2:$B$2794,2,FALSE)),"Código não cadastrado",(VLOOKUP(H:H,produtos_escape2!$A$2:$B$2794,2,FALSE))))</f>
        <v/>
      </c>
      <c r="M2520" s="593" t="str">
        <f>IF(H:H=0,"",IF(ISERROR(VLOOKUP(H:H,produtos_escape2!$A$2:$D$2794,2,FALSE)),"Código não cadastrado",(VLOOKUP(H:H,produtos_escape2!$A$2:$D$2794,4,FALSE))))</f>
        <v/>
      </c>
      <c r="N2520" s="486"/>
      <c r="O2520" s="176"/>
      <c r="P2520" s="486"/>
      <c r="Q2520" s="247"/>
      <c r="R2520" s="246">
        <f t="shared" si="93"/>
        <v>0</v>
      </c>
      <c r="S2520" s="177"/>
      <c r="T2520" s="182"/>
      <c r="U2520" s="177"/>
      <c r="V2520" s="177"/>
      <c r="W2520" s="177"/>
      <c r="X2520" s="176"/>
      <c r="Y2520" s="177"/>
      <c r="Z2520" s="415"/>
      <c r="AA2520" s="488"/>
      <c r="AB2520" s="594"/>
      <c r="AC2520" s="595"/>
      <c r="AD2520" s="596" t="str">
        <f>IF(AND(AC2520&lt;&gt;"",S2520&lt;&gt;""),NETWORKDAYS(AC2520,S2520,#REF!),"")</f>
        <v/>
      </c>
      <c r="AE2520" s="596" t="str">
        <f ca="1">IF(AND(AD2520="",AC2520=""),"",IF(OR(AD2520&lt;&gt;"",O2520="*CANCELADO"),"",NETWORKDAYS(AC2520,TODAY(),#REF!)))</f>
        <v/>
      </c>
      <c r="AF2520" s="619"/>
    </row>
    <row r="2521" spans="1:32" ht="14.25" customHeight="1">
      <c r="A2521" s="176"/>
      <c r="B2521" s="176"/>
      <c r="C2521" s="177"/>
      <c r="D2521" s="176"/>
      <c r="E2521" s="176"/>
      <c r="F2521" s="259"/>
      <c r="G2521" s="176"/>
      <c r="H2521" s="178"/>
      <c r="I2521" s="592">
        <f t="shared" si="94"/>
        <v>0</v>
      </c>
      <c r="J2521" s="178"/>
      <c r="K2521" s="178"/>
      <c r="L2521" s="275" t="str">
        <f>IF(H:H=0,"",IF(ISERROR(VLOOKUP(H:H,produtos_escape2!$A$2:$B$2794,2,FALSE)),"Código não cadastrado",(VLOOKUP(H:H,produtos_escape2!$A$2:$B$2794,2,FALSE))))</f>
        <v/>
      </c>
      <c r="M2521" s="593" t="str">
        <f>IF(H:H=0,"",IF(ISERROR(VLOOKUP(H:H,produtos_escape2!$A$2:$D$2794,2,FALSE)),"Código não cadastrado",(VLOOKUP(H:H,produtos_escape2!$A$2:$D$2794,4,FALSE))))</f>
        <v/>
      </c>
      <c r="N2521" s="486"/>
      <c r="O2521" s="176"/>
      <c r="P2521" s="486"/>
      <c r="Q2521" s="247"/>
      <c r="R2521" s="246">
        <f t="shared" si="93"/>
        <v>0</v>
      </c>
      <c r="S2521" s="177"/>
      <c r="T2521" s="182"/>
      <c r="U2521" s="177"/>
      <c r="V2521" s="177"/>
      <c r="W2521" s="177"/>
      <c r="X2521" s="176"/>
      <c r="Y2521" s="177"/>
      <c r="Z2521" s="415"/>
      <c r="AA2521" s="488"/>
      <c r="AB2521" s="594"/>
      <c r="AC2521" s="595"/>
      <c r="AD2521" s="596" t="str">
        <f>IF(AND(AC2521&lt;&gt;"",S2521&lt;&gt;""),NETWORKDAYS(AC2521,S2521,#REF!),"")</f>
        <v/>
      </c>
      <c r="AE2521" s="596" t="str">
        <f ca="1">IF(AND(AD2521="",AC2521=""),"",IF(OR(AD2521&lt;&gt;"",O2521="*CANCELADO"),"",NETWORKDAYS(AC2521,TODAY(),#REF!)))</f>
        <v/>
      </c>
      <c r="AF2521" s="619"/>
    </row>
    <row r="2522" spans="1:32" ht="14.25" customHeight="1">
      <c r="A2522" s="176"/>
      <c r="B2522" s="176"/>
      <c r="C2522" s="177"/>
      <c r="D2522" s="176"/>
      <c r="E2522" s="176"/>
      <c r="F2522" s="259"/>
      <c r="G2522" s="176"/>
      <c r="H2522" s="178"/>
      <c r="I2522" s="592">
        <f t="shared" si="94"/>
        <v>0</v>
      </c>
      <c r="J2522" s="178"/>
      <c r="K2522" s="178"/>
      <c r="L2522" s="275" t="str">
        <f>IF(H:H=0,"",IF(ISERROR(VLOOKUP(H:H,produtos_escape2!$A$2:$B$2794,2,FALSE)),"Código não cadastrado",(VLOOKUP(H:H,produtos_escape2!$A$2:$B$2794,2,FALSE))))</f>
        <v/>
      </c>
      <c r="M2522" s="593" t="str">
        <f>IF(H:H=0,"",IF(ISERROR(VLOOKUP(H:H,produtos_escape2!$A$2:$D$2794,2,FALSE)),"Código não cadastrado",(VLOOKUP(H:H,produtos_escape2!$A$2:$D$2794,4,FALSE))))</f>
        <v/>
      </c>
      <c r="N2522" s="486"/>
      <c r="O2522" s="176"/>
      <c r="P2522" s="486"/>
      <c r="Q2522" s="247"/>
      <c r="R2522" s="246">
        <f t="shared" si="93"/>
        <v>0</v>
      </c>
      <c r="S2522" s="177"/>
      <c r="T2522" s="182"/>
      <c r="U2522" s="177"/>
      <c r="V2522" s="177"/>
      <c r="W2522" s="177"/>
      <c r="X2522" s="176"/>
      <c r="Y2522" s="177"/>
      <c r="Z2522" s="415"/>
      <c r="AA2522" s="488"/>
      <c r="AB2522" s="594"/>
      <c r="AC2522" s="595"/>
      <c r="AD2522" s="596" t="str">
        <f>IF(AND(AC2522&lt;&gt;"",S2522&lt;&gt;""),NETWORKDAYS(AC2522,S2522,#REF!),"")</f>
        <v/>
      </c>
      <c r="AE2522" s="596" t="str">
        <f ca="1">IF(AND(AD2522="",AC2522=""),"",IF(OR(AD2522&lt;&gt;"",O2522="*CANCELADO"),"",NETWORKDAYS(AC2522,TODAY(),#REF!)))</f>
        <v/>
      </c>
      <c r="AF2522" s="619"/>
    </row>
    <row r="2523" spans="1:32" ht="14.25" customHeight="1">
      <c r="A2523" s="176"/>
      <c r="B2523" s="176"/>
      <c r="C2523" s="177"/>
      <c r="D2523" s="176"/>
      <c r="E2523" s="176"/>
      <c r="F2523" s="259"/>
      <c r="G2523" s="176"/>
      <c r="H2523" s="178"/>
      <c r="I2523" s="592">
        <f t="shared" si="94"/>
        <v>0</v>
      </c>
      <c r="J2523" s="178"/>
      <c r="K2523" s="178"/>
      <c r="L2523" s="275" t="str">
        <f>IF(H:H=0,"",IF(ISERROR(VLOOKUP(H:H,produtos_escape2!$A$2:$B$2794,2,FALSE)),"Código não cadastrado",(VLOOKUP(H:H,produtos_escape2!$A$2:$B$2794,2,FALSE))))</f>
        <v/>
      </c>
      <c r="M2523" s="593" t="str">
        <f>IF(H:H=0,"",IF(ISERROR(VLOOKUP(H:H,produtos_escape2!$A$2:$D$2794,2,FALSE)),"Código não cadastrado",(VLOOKUP(H:H,produtos_escape2!$A$2:$D$2794,4,FALSE))))</f>
        <v/>
      </c>
      <c r="N2523" s="486"/>
      <c r="O2523" s="176"/>
      <c r="P2523" s="486"/>
      <c r="Q2523" s="247"/>
      <c r="R2523" s="246">
        <f t="shared" si="93"/>
        <v>0</v>
      </c>
      <c r="S2523" s="177"/>
      <c r="T2523" s="182"/>
      <c r="U2523" s="177"/>
      <c r="V2523" s="177"/>
      <c r="W2523" s="177"/>
      <c r="X2523" s="176"/>
      <c r="Y2523" s="177"/>
      <c r="Z2523" s="415"/>
      <c r="AA2523" s="488"/>
      <c r="AB2523" s="594"/>
      <c r="AC2523" s="595"/>
      <c r="AD2523" s="596" t="str">
        <f>IF(AND(AC2523&lt;&gt;"",S2523&lt;&gt;""),NETWORKDAYS(AC2523,S2523,#REF!),"")</f>
        <v/>
      </c>
      <c r="AE2523" s="596" t="str">
        <f ca="1">IF(AND(AD2523="",AC2523=""),"",IF(OR(AD2523&lt;&gt;"",O2523="*CANCELADO"),"",NETWORKDAYS(AC2523,TODAY(),#REF!)))</f>
        <v/>
      </c>
      <c r="AF2523" s="619"/>
    </row>
    <row r="2524" spans="1:32" ht="14.25" customHeight="1">
      <c r="A2524" s="176"/>
      <c r="B2524" s="176"/>
      <c r="C2524" s="177"/>
      <c r="D2524" s="176"/>
      <c r="E2524" s="176"/>
      <c r="F2524" s="259"/>
      <c r="G2524" s="176"/>
      <c r="H2524" s="178"/>
      <c r="I2524" s="592">
        <f t="shared" si="94"/>
        <v>0</v>
      </c>
      <c r="J2524" s="178"/>
      <c r="K2524" s="178"/>
      <c r="L2524" s="275" t="str">
        <f>IF(H:H=0,"",IF(ISERROR(VLOOKUP(H:H,produtos_escape2!$A$2:$B$2794,2,FALSE)),"Código não cadastrado",(VLOOKUP(H:H,produtos_escape2!$A$2:$B$2794,2,FALSE))))</f>
        <v/>
      </c>
      <c r="M2524" s="593" t="str">
        <f>IF(H:H=0,"",IF(ISERROR(VLOOKUP(H:H,produtos_escape2!$A$2:$D$2794,2,FALSE)),"Código não cadastrado",(VLOOKUP(H:H,produtos_escape2!$A$2:$D$2794,4,FALSE))))</f>
        <v/>
      </c>
      <c r="N2524" s="486"/>
      <c r="O2524" s="176"/>
      <c r="P2524" s="486"/>
      <c r="Q2524" s="247"/>
      <c r="R2524" s="246">
        <f t="shared" si="93"/>
        <v>0</v>
      </c>
      <c r="S2524" s="177"/>
      <c r="T2524" s="182"/>
      <c r="U2524" s="177"/>
      <c r="V2524" s="177"/>
      <c r="W2524" s="177"/>
      <c r="X2524" s="176"/>
      <c r="Y2524" s="177"/>
      <c r="Z2524" s="415"/>
      <c r="AA2524" s="488"/>
      <c r="AB2524" s="594"/>
      <c r="AC2524" s="595"/>
      <c r="AD2524" s="596" t="str">
        <f>IF(AND(AC2524&lt;&gt;"",S2524&lt;&gt;""),NETWORKDAYS(AC2524,S2524,#REF!),"")</f>
        <v/>
      </c>
      <c r="AE2524" s="596" t="str">
        <f ca="1">IF(AND(AD2524="",AC2524=""),"",IF(OR(AD2524&lt;&gt;"",O2524="*CANCELADO"),"",NETWORKDAYS(AC2524,TODAY(),#REF!)))</f>
        <v/>
      </c>
      <c r="AF2524" s="619"/>
    </row>
    <row r="2525" spans="1:32" ht="14.25" customHeight="1">
      <c r="A2525" s="176"/>
      <c r="B2525" s="176"/>
      <c r="C2525" s="177"/>
      <c r="D2525" s="176"/>
      <c r="E2525" s="176"/>
      <c r="F2525" s="259"/>
      <c r="G2525" s="176"/>
      <c r="H2525" s="178"/>
      <c r="I2525" s="592">
        <f t="shared" si="94"/>
        <v>0</v>
      </c>
      <c r="J2525" s="178"/>
      <c r="K2525" s="178"/>
      <c r="L2525" s="275" t="str">
        <f>IF(H:H=0,"",IF(ISERROR(VLOOKUP(H:H,produtos_escape2!$A$2:$B$2794,2,FALSE)),"Código não cadastrado",(VLOOKUP(H:H,produtos_escape2!$A$2:$B$2794,2,FALSE))))</f>
        <v/>
      </c>
      <c r="M2525" s="593" t="str">
        <f>IF(H:H=0,"",IF(ISERROR(VLOOKUP(H:H,produtos_escape2!$A$2:$D$2794,2,FALSE)),"Código não cadastrado",(VLOOKUP(H:H,produtos_escape2!$A$2:$D$2794,4,FALSE))))</f>
        <v/>
      </c>
      <c r="N2525" s="486"/>
      <c r="O2525" s="176"/>
      <c r="P2525" s="486"/>
      <c r="Q2525" s="247"/>
      <c r="R2525" s="246">
        <f t="shared" si="93"/>
        <v>0</v>
      </c>
      <c r="S2525" s="177"/>
      <c r="T2525" s="182"/>
      <c r="U2525" s="177"/>
      <c r="V2525" s="177"/>
      <c r="W2525" s="177"/>
      <c r="X2525" s="176"/>
      <c r="Y2525" s="177"/>
      <c r="Z2525" s="415"/>
      <c r="AA2525" s="488"/>
      <c r="AB2525" s="594"/>
      <c r="AC2525" s="595"/>
      <c r="AD2525" s="596" t="str">
        <f>IF(AND(AC2525&lt;&gt;"",S2525&lt;&gt;""),NETWORKDAYS(AC2525,S2525,#REF!),"")</f>
        <v/>
      </c>
      <c r="AE2525" s="596" t="str">
        <f ca="1">IF(AND(AD2525="",AC2525=""),"",IF(OR(AD2525&lt;&gt;"",O2525="*CANCELADO"),"",NETWORKDAYS(AC2525,TODAY(),#REF!)))</f>
        <v/>
      </c>
      <c r="AF2525" s="619"/>
    </row>
    <row r="2526" spans="1:32" ht="14.25" customHeight="1">
      <c r="A2526" s="176"/>
      <c r="B2526" s="176"/>
      <c r="C2526" s="177"/>
      <c r="D2526" s="176"/>
      <c r="E2526" s="176"/>
      <c r="F2526" s="259"/>
      <c r="G2526" s="176"/>
      <c r="H2526" s="178"/>
      <c r="I2526" s="592">
        <f t="shared" si="94"/>
        <v>0</v>
      </c>
      <c r="J2526" s="178"/>
      <c r="K2526" s="178"/>
      <c r="L2526" s="275" t="str">
        <f>IF(H:H=0,"",IF(ISERROR(VLOOKUP(H:H,produtos_escape2!$A$2:$B$2794,2,FALSE)),"Código não cadastrado",(VLOOKUP(H:H,produtos_escape2!$A$2:$B$2794,2,FALSE))))</f>
        <v/>
      </c>
      <c r="M2526" s="593" t="str">
        <f>IF(H:H=0,"",IF(ISERROR(VLOOKUP(H:H,produtos_escape2!$A$2:$D$2794,2,FALSE)),"Código não cadastrado",(VLOOKUP(H:H,produtos_escape2!$A$2:$D$2794,4,FALSE))))</f>
        <v/>
      </c>
      <c r="N2526" s="486"/>
      <c r="O2526" s="176"/>
      <c r="P2526" s="486"/>
      <c r="Q2526" s="247"/>
      <c r="R2526" s="246">
        <f t="shared" si="93"/>
        <v>0</v>
      </c>
      <c r="S2526" s="177"/>
      <c r="T2526" s="182"/>
      <c r="U2526" s="177"/>
      <c r="V2526" s="177"/>
      <c r="W2526" s="177"/>
      <c r="X2526" s="176"/>
      <c r="Y2526" s="177"/>
      <c r="Z2526" s="415"/>
      <c r="AA2526" s="488"/>
      <c r="AB2526" s="594"/>
      <c r="AC2526" s="595"/>
      <c r="AD2526" s="596" t="str">
        <f>IF(AND(AC2526&lt;&gt;"",S2526&lt;&gt;""),NETWORKDAYS(AC2526,S2526,#REF!),"")</f>
        <v/>
      </c>
      <c r="AE2526" s="596" t="str">
        <f ca="1">IF(AND(AD2526="",AC2526=""),"",IF(OR(AD2526&lt;&gt;"",O2526="*CANCELADO"),"",NETWORKDAYS(AC2526,TODAY(),#REF!)))</f>
        <v/>
      </c>
      <c r="AF2526" s="619"/>
    </row>
    <row r="2527" spans="1:32" ht="14.25" customHeight="1">
      <c r="A2527" s="176"/>
      <c r="B2527" s="176"/>
      <c r="C2527" s="177"/>
      <c r="D2527" s="176"/>
      <c r="E2527" s="176"/>
      <c r="F2527" s="259"/>
      <c r="G2527" s="176"/>
      <c r="H2527" s="178"/>
      <c r="I2527" s="592">
        <f t="shared" si="94"/>
        <v>0</v>
      </c>
      <c r="J2527" s="178"/>
      <c r="K2527" s="178"/>
      <c r="L2527" s="275" t="str">
        <f>IF(H:H=0,"",IF(ISERROR(VLOOKUP(H:H,produtos_escape2!$A$2:$B$2794,2,FALSE)),"Código não cadastrado",(VLOOKUP(H:H,produtos_escape2!$A$2:$B$2794,2,FALSE))))</f>
        <v/>
      </c>
      <c r="M2527" s="593" t="str">
        <f>IF(H:H=0,"",IF(ISERROR(VLOOKUP(H:H,produtos_escape2!$A$2:$D$2794,2,FALSE)),"Código não cadastrado",(VLOOKUP(H:H,produtos_escape2!$A$2:$D$2794,4,FALSE))))</f>
        <v/>
      </c>
      <c r="N2527" s="486"/>
      <c r="O2527" s="176"/>
      <c r="P2527" s="486"/>
      <c r="Q2527" s="247"/>
      <c r="R2527" s="246">
        <f t="shared" si="93"/>
        <v>0</v>
      </c>
      <c r="S2527" s="177"/>
      <c r="T2527" s="182"/>
      <c r="U2527" s="177"/>
      <c r="V2527" s="177"/>
      <c r="W2527" s="177"/>
      <c r="X2527" s="176"/>
      <c r="Y2527" s="177"/>
      <c r="Z2527" s="415"/>
      <c r="AA2527" s="488"/>
      <c r="AB2527" s="594"/>
      <c r="AC2527" s="595"/>
      <c r="AD2527" s="596" t="str">
        <f>IF(AND(AC2527&lt;&gt;"",S2527&lt;&gt;""),NETWORKDAYS(AC2527,S2527,#REF!),"")</f>
        <v/>
      </c>
      <c r="AE2527" s="596" t="str">
        <f ca="1">IF(AND(AD2527="",AC2527=""),"",IF(OR(AD2527&lt;&gt;"",O2527="*CANCELADO"),"",NETWORKDAYS(AC2527,TODAY(),#REF!)))</f>
        <v/>
      </c>
      <c r="AF2527" s="619"/>
    </row>
    <row r="2528" spans="1:32" ht="14.25" customHeight="1">
      <c r="A2528" s="176"/>
      <c r="B2528" s="176"/>
      <c r="C2528" s="177"/>
      <c r="D2528" s="176"/>
      <c r="E2528" s="176"/>
      <c r="F2528" s="259"/>
      <c r="G2528" s="176"/>
      <c r="H2528" s="178"/>
      <c r="I2528" s="592">
        <f t="shared" si="94"/>
        <v>0</v>
      </c>
      <c r="J2528" s="178"/>
      <c r="K2528" s="178"/>
      <c r="L2528" s="275" t="str">
        <f>IF(H:H=0,"",IF(ISERROR(VLOOKUP(H:H,produtos_escape2!$A$2:$B$2794,2,FALSE)),"Código não cadastrado",(VLOOKUP(H:H,produtos_escape2!$A$2:$B$2794,2,FALSE))))</f>
        <v/>
      </c>
      <c r="M2528" s="593" t="str">
        <f>IF(H:H=0,"",IF(ISERROR(VLOOKUP(H:H,produtos_escape2!$A$2:$D$2794,2,FALSE)),"Código não cadastrado",(VLOOKUP(H:H,produtos_escape2!$A$2:$D$2794,4,FALSE))))</f>
        <v/>
      </c>
      <c r="N2528" s="486"/>
      <c r="O2528" s="176"/>
      <c r="P2528" s="486"/>
      <c r="Q2528" s="247"/>
      <c r="R2528" s="246">
        <f t="shared" si="93"/>
        <v>0</v>
      </c>
      <c r="S2528" s="177"/>
      <c r="T2528" s="182"/>
      <c r="U2528" s="177"/>
      <c r="V2528" s="177"/>
      <c r="W2528" s="177"/>
      <c r="X2528" s="176"/>
      <c r="Y2528" s="177"/>
      <c r="Z2528" s="415"/>
      <c r="AA2528" s="488"/>
      <c r="AB2528" s="594"/>
      <c r="AC2528" s="595"/>
      <c r="AD2528" s="596" t="str">
        <f>IF(AND(AC2528&lt;&gt;"",S2528&lt;&gt;""),NETWORKDAYS(AC2528,S2528,#REF!),"")</f>
        <v/>
      </c>
      <c r="AE2528" s="596" t="str">
        <f ca="1">IF(AND(AD2528="",AC2528=""),"",IF(OR(AD2528&lt;&gt;"",O2528="*CANCELADO"),"",NETWORKDAYS(AC2528,TODAY(),#REF!)))</f>
        <v/>
      </c>
      <c r="AF2528" s="619"/>
    </row>
    <row r="2529" spans="1:32" ht="14.25" customHeight="1">
      <c r="A2529" s="176"/>
      <c r="B2529" s="176"/>
      <c r="C2529" s="177"/>
      <c r="D2529" s="176"/>
      <c r="E2529" s="176"/>
      <c r="F2529" s="259"/>
      <c r="G2529" s="176"/>
      <c r="H2529" s="178"/>
      <c r="I2529" s="592">
        <f t="shared" si="94"/>
        <v>0</v>
      </c>
      <c r="J2529" s="178"/>
      <c r="K2529" s="178"/>
      <c r="L2529" s="275" t="str">
        <f>IF(H:H=0,"",IF(ISERROR(VLOOKUP(H:H,produtos_escape2!$A$2:$B$2794,2,FALSE)),"Código não cadastrado",(VLOOKUP(H:H,produtos_escape2!$A$2:$B$2794,2,FALSE))))</f>
        <v/>
      </c>
      <c r="M2529" s="593" t="str">
        <f>IF(H:H=0,"",IF(ISERROR(VLOOKUP(H:H,produtos_escape2!$A$2:$D$2794,2,FALSE)),"Código não cadastrado",(VLOOKUP(H:H,produtos_escape2!$A$2:$D$2794,4,FALSE))))</f>
        <v/>
      </c>
      <c r="N2529" s="486"/>
      <c r="O2529" s="176"/>
      <c r="P2529" s="486"/>
      <c r="Q2529" s="247"/>
      <c r="R2529" s="246">
        <f t="shared" si="93"/>
        <v>0</v>
      </c>
      <c r="S2529" s="177"/>
      <c r="T2529" s="182"/>
      <c r="U2529" s="177"/>
      <c r="V2529" s="177"/>
      <c r="W2529" s="177"/>
      <c r="X2529" s="176"/>
      <c r="Y2529" s="177"/>
      <c r="Z2529" s="415"/>
      <c r="AA2529" s="488"/>
      <c r="AB2529" s="594"/>
      <c r="AC2529" s="595"/>
      <c r="AD2529" s="596" t="str">
        <f>IF(AND(AC2529&lt;&gt;"",S2529&lt;&gt;""),NETWORKDAYS(AC2529,S2529,#REF!),"")</f>
        <v/>
      </c>
      <c r="AE2529" s="596" t="str">
        <f ca="1">IF(AND(AD2529="",AC2529=""),"",IF(OR(AD2529&lt;&gt;"",O2529="*CANCELADO"),"",NETWORKDAYS(AC2529,TODAY(),#REF!)))</f>
        <v/>
      </c>
      <c r="AF2529" s="619"/>
    </row>
    <row r="2530" spans="1:32" ht="14.25" customHeight="1">
      <c r="A2530" s="176"/>
      <c r="B2530" s="176"/>
      <c r="C2530" s="177"/>
      <c r="D2530" s="176"/>
      <c r="E2530" s="176"/>
      <c r="F2530" s="259"/>
      <c r="G2530" s="176"/>
      <c r="H2530" s="178"/>
      <c r="I2530" s="592">
        <f t="shared" si="94"/>
        <v>0</v>
      </c>
      <c r="J2530" s="178"/>
      <c r="K2530" s="178"/>
      <c r="L2530" s="275" t="str">
        <f>IF(H:H=0,"",IF(ISERROR(VLOOKUP(H:H,produtos_escape2!$A$2:$B$2794,2,FALSE)),"Código não cadastrado",(VLOOKUP(H:H,produtos_escape2!$A$2:$B$2794,2,FALSE))))</f>
        <v/>
      </c>
      <c r="M2530" s="593" t="str">
        <f>IF(H:H=0,"",IF(ISERROR(VLOOKUP(H:H,produtos_escape2!$A$2:$D$2794,2,FALSE)),"Código não cadastrado",(VLOOKUP(H:H,produtos_escape2!$A$2:$D$2794,4,FALSE))))</f>
        <v/>
      </c>
      <c r="N2530" s="486"/>
      <c r="O2530" s="176"/>
      <c r="P2530" s="486"/>
      <c r="Q2530" s="247"/>
      <c r="R2530" s="246">
        <f t="shared" si="93"/>
        <v>0</v>
      </c>
      <c r="S2530" s="177"/>
      <c r="T2530" s="182"/>
      <c r="U2530" s="177"/>
      <c r="V2530" s="177"/>
      <c r="W2530" s="177"/>
      <c r="X2530" s="176"/>
      <c r="Y2530" s="177"/>
      <c r="Z2530" s="415"/>
      <c r="AA2530" s="488"/>
      <c r="AB2530" s="594"/>
      <c r="AC2530" s="595"/>
      <c r="AD2530" s="596" t="str">
        <f>IF(AND(AC2530&lt;&gt;"",S2530&lt;&gt;""),NETWORKDAYS(AC2530,S2530,#REF!),"")</f>
        <v/>
      </c>
      <c r="AE2530" s="596" t="str">
        <f ca="1">IF(AND(AD2530="",AC2530=""),"",IF(OR(AD2530&lt;&gt;"",O2530="*CANCELADO"),"",NETWORKDAYS(AC2530,TODAY(),#REF!)))</f>
        <v/>
      </c>
      <c r="AF2530" s="619"/>
    </row>
    <row r="2531" spans="1:32" ht="14.25" customHeight="1">
      <c r="A2531" s="176"/>
      <c r="B2531" s="176"/>
      <c r="C2531" s="177"/>
      <c r="D2531" s="176"/>
      <c r="E2531" s="176"/>
      <c r="F2531" s="259"/>
      <c r="G2531" s="176"/>
      <c r="H2531" s="178"/>
      <c r="I2531" s="592">
        <f t="shared" si="94"/>
        <v>0</v>
      </c>
      <c r="J2531" s="178"/>
      <c r="K2531" s="178"/>
      <c r="L2531" s="275" t="str">
        <f>IF(H:H=0,"",IF(ISERROR(VLOOKUP(H:H,produtos_escape2!$A$2:$B$2794,2,FALSE)),"Código não cadastrado",(VLOOKUP(H:H,produtos_escape2!$A$2:$B$2794,2,FALSE))))</f>
        <v/>
      </c>
      <c r="M2531" s="593" t="str">
        <f>IF(H:H=0,"",IF(ISERROR(VLOOKUP(H:H,produtos_escape2!$A$2:$D$2794,2,FALSE)),"Código não cadastrado",(VLOOKUP(H:H,produtos_escape2!$A$2:$D$2794,4,FALSE))))</f>
        <v/>
      </c>
      <c r="N2531" s="486"/>
      <c r="O2531" s="176"/>
      <c r="P2531" s="486"/>
      <c r="Q2531" s="247"/>
      <c r="R2531" s="246">
        <f t="shared" si="93"/>
        <v>0</v>
      </c>
      <c r="S2531" s="177"/>
      <c r="T2531" s="182"/>
      <c r="U2531" s="177"/>
      <c r="V2531" s="177"/>
      <c r="W2531" s="177"/>
      <c r="X2531" s="176"/>
      <c r="Y2531" s="177"/>
      <c r="Z2531" s="415"/>
      <c r="AA2531" s="488"/>
      <c r="AB2531" s="594"/>
      <c r="AC2531" s="595"/>
      <c r="AD2531" s="596" t="str">
        <f>IF(AND(AC2531&lt;&gt;"",S2531&lt;&gt;""),NETWORKDAYS(AC2531,S2531,#REF!),"")</f>
        <v/>
      </c>
      <c r="AE2531" s="596" t="str">
        <f ca="1">IF(AND(AD2531="",AC2531=""),"",IF(OR(AD2531&lt;&gt;"",O2531="*CANCELADO"),"",NETWORKDAYS(AC2531,TODAY(),#REF!)))</f>
        <v/>
      </c>
      <c r="AF2531" s="619"/>
    </row>
    <row r="2532" spans="1:32" ht="14.25" customHeight="1">
      <c r="A2532" s="176"/>
      <c r="B2532" s="176"/>
      <c r="C2532" s="177"/>
      <c r="D2532" s="176"/>
      <c r="E2532" s="176"/>
      <c r="F2532" s="259"/>
      <c r="G2532" s="176"/>
      <c r="H2532" s="178"/>
      <c r="I2532" s="592">
        <f t="shared" si="94"/>
        <v>0</v>
      </c>
      <c r="J2532" s="178"/>
      <c r="K2532" s="178"/>
      <c r="L2532" s="275" t="str">
        <f>IF(H:H=0,"",IF(ISERROR(VLOOKUP(H:H,produtos_escape2!$A$2:$B$2794,2,FALSE)),"Código não cadastrado",(VLOOKUP(H:H,produtos_escape2!$A$2:$B$2794,2,FALSE))))</f>
        <v/>
      </c>
      <c r="M2532" s="593" t="str">
        <f>IF(H:H=0,"",IF(ISERROR(VLOOKUP(H:H,produtos_escape2!$A$2:$D$2794,2,FALSE)),"Código não cadastrado",(VLOOKUP(H:H,produtos_escape2!$A$2:$D$2794,4,FALSE))))</f>
        <v/>
      </c>
      <c r="N2532" s="486"/>
      <c r="O2532" s="176"/>
      <c r="P2532" s="486"/>
      <c r="Q2532" s="247"/>
      <c r="R2532" s="246">
        <f t="shared" si="93"/>
        <v>0</v>
      </c>
      <c r="S2532" s="177"/>
      <c r="T2532" s="182"/>
      <c r="U2532" s="177"/>
      <c r="V2532" s="177"/>
      <c r="W2532" s="177"/>
      <c r="X2532" s="176"/>
      <c r="Y2532" s="177"/>
      <c r="Z2532" s="415"/>
      <c r="AA2532" s="488"/>
      <c r="AB2532" s="594"/>
      <c r="AC2532" s="595"/>
      <c r="AD2532" s="596" t="str">
        <f>IF(AND(AC2532&lt;&gt;"",S2532&lt;&gt;""),NETWORKDAYS(AC2532,S2532,#REF!),"")</f>
        <v/>
      </c>
      <c r="AE2532" s="596" t="str">
        <f ca="1">IF(AND(AD2532="",AC2532=""),"",IF(OR(AD2532&lt;&gt;"",O2532="*CANCELADO"),"",NETWORKDAYS(AC2532,TODAY(),#REF!)))</f>
        <v/>
      </c>
      <c r="AF2532" s="619"/>
    </row>
    <row r="2533" spans="1:32" ht="14.25" customHeight="1">
      <c r="A2533" s="176"/>
      <c r="B2533" s="176"/>
      <c r="C2533" s="177"/>
      <c r="D2533" s="176"/>
      <c r="E2533" s="176"/>
      <c r="F2533" s="259"/>
      <c r="G2533" s="176"/>
      <c r="H2533" s="178"/>
      <c r="I2533" s="592">
        <f t="shared" si="94"/>
        <v>0</v>
      </c>
      <c r="J2533" s="178"/>
      <c r="K2533" s="178"/>
      <c r="L2533" s="275" t="str">
        <f>IF(H:H=0,"",IF(ISERROR(VLOOKUP(H:H,produtos_escape2!$A$2:$B$2794,2,FALSE)),"Código não cadastrado",(VLOOKUP(H:H,produtos_escape2!$A$2:$B$2794,2,FALSE))))</f>
        <v/>
      </c>
      <c r="M2533" s="593" t="str">
        <f>IF(H:H=0,"",IF(ISERROR(VLOOKUP(H:H,produtos_escape2!$A$2:$D$2794,2,FALSE)),"Código não cadastrado",(VLOOKUP(H:H,produtos_escape2!$A$2:$D$2794,4,FALSE))))</f>
        <v/>
      </c>
      <c r="N2533" s="486"/>
      <c r="O2533" s="176"/>
      <c r="P2533" s="486"/>
      <c r="Q2533" s="247"/>
      <c r="R2533" s="246">
        <f t="shared" si="93"/>
        <v>0</v>
      </c>
      <c r="S2533" s="177"/>
      <c r="T2533" s="182"/>
      <c r="U2533" s="177"/>
      <c r="V2533" s="177"/>
      <c r="W2533" s="177"/>
      <c r="X2533" s="176"/>
      <c r="Y2533" s="177"/>
      <c r="Z2533" s="415"/>
      <c r="AA2533" s="488"/>
      <c r="AB2533" s="594"/>
      <c r="AC2533" s="595"/>
      <c r="AD2533" s="596" t="str">
        <f>IF(AND(AC2533&lt;&gt;"",S2533&lt;&gt;""),NETWORKDAYS(AC2533,S2533,#REF!),"")</f>
        <v/>
      </c>
      <c r="AE2533" s="596" t="str">
        <f ca="1">IF(AND(AD2533="",AC2533=""),"",IF(OR(AD2533&lt;&gt;"",O2533="*CANCELADO"),"",NETWORKDAYS(AC2533,TODAY(),#REF!)))</f>
        <v/>
      </c>
      <c r="AF2533" s="619"/>
    </row>
    <row r="2534" spans="1:32" ht="14.25" customHeight="1">
      <c r="A2534" s="176"/>
      <c r="B2534" s="176"/>
      <c r="C2534" s="177"/>
      <c r="D2534" s="176"/>
      <c r="E2534" s="176"/>
      <c r="F2534" s="259"/>
      <c r="G2534" s="176"/>
      <c r="H2534" s="178"/>
      <c r="I2534" s="592">
        <f t="shared" si="94"/>
        <v>0</v>
      </c>
      <c r="J2534" s="178"/>
      <c r="K2534" s="178"/>
      <c r="L2534" s="275" t="str">
        <f>IF(H:H=0,"",IF(ISERROR(VLOOKUP(H:H,produtos_escape2!$A$2:$B$2794,2,FALSE)),"Código não cadastrado",(VLOOKUP(H:H,produtos_escape2!$A$2:$B$2794,2,FALSE))))</f>
        <v/>
      </c>
      <c r="M2534" s="593" t="str">
        <f>IF(H:H=0,"",IF(ISERROR(VLOOKUP(H:H,produtos_escape2!$A$2:$D$2794,2,FALSE)),"Código não cadastrado",(VLOOKUP(H:H,produtos_escape2!$A$2:$D$2794,4,FALSE))))</f>
        <v/>
      </c>
      <c r="N2534" s="486"/>
      <c r="O2534" s="176"/>
      <c r="P2534" s="486"/>
      <c r="Q2534" s="247"/>
      <c r="R2534" s="246">
        <f t="shared" si="93"/>
        <v>0</v>
      </c>
      <c r="S2534" s="177"/>
      <c r="T2534" s="182"/>
      <c r="U2534" s="177"/>
      <c r="V2534" s="177"/>
      <c r="W2534" s="177"/>
      <c r="X2534" s="176"/>
      <c r="Y2534" s="177"/>
      <c r="Z2534" s="415"/>
      <c r="AA2534" s="488"/>
      <c r="AB2534" s="594"/>
      <c r="AC2534" s="595"/>
      <c r="AD2534" s="596" t="str">
        <f>IF(AND(AC2534&lt;&gt;"",S2534&lt;&gt;""),NETWORKDAYS(AC2534,S2534,#REF!),"")</f>
        <v/>
      </c>
      <c r="AE2534" s="596" t="str">
        <f ca="1">IF(AND(AD2534="",AC2534=""),"",IF(OR(AD2534&lt;&gt;"",O2534="*CANCELADO"),"",NETWORKDAYS(AC2534,TODAY(),#REF!)))</f>
        <v/>
      </c>
      <c r="AF2534" s="619"/>
    </row>
    <row r="2535" spans="1:32" ht="14.25" customHeight="1">
      <c r="A2535" s="176"/>
      <c r="B2535" s="176"/>
      <c r="C2535" s="177"/>
      <c r="D2535" s="176"/>
      <c r="E2535" s="176"/>
      <c r="F2535" s="259"/>
      <c r="G2535" s="176"/>
      <c r="H2535" s="178"/>
      <c r="I2535" s="592">
        <f t="shared" si="94"/>
        <v>0</v>
      </c>
      <c r="J2535" s="178"/>
      <c r="K2535" s="178"/>
      <c r="L2535" s="275" t="str">
        <f>IF(H:H=0,"",IF(ISERROR(VLOOKUP(H:H,produtos_escape2!$A$2:$B$2794,2,FALSE)),"Código não cadastrado",(VLOOKUP(H:H,produtos_escape2!$A$2:$B$2794,2,FALSE))))</f>
        <v/>
      </c>
      <c r="M2535" s="593" t="str">
        <f>IF(H:H=0,"",IF(ISERROR(VLOOKUP(H:H,produtos_escape2!$A$2:$D$2794,2,FALSE)),"Código não cadastrado",(VLOOKUP(H:H,produtos_escape2!$A$2:$D$2794,4,FALSE))))</f>
        <v/>
      </c>
      <c r="N2535" s="486"/>
      <c r="O2535" s="176"/>
      <c r="P2535" s="486"/>
      <c r="Q2535" s="247"/>
      <c r="R2535" s="246">
        <f t="shared" si="93"/>
        <v>0</v>
      </c>
      <c r="S2535" s="177"/>
      <c r="T2535" s="182"/>
      <c r="U2535" s="177"/>
      <c r="V2535" s="177"/>
      <c r="W2535" s="177"/>
      <c r="X2535" s="176"/>
      <c r="Y2535" s="177"/>
      <c r="Z2535" s="415"/>
      <c r="AA2535" s="488"/>
      <c r="AB2535" s="594"/>
      <c r="AC2535" s="595"/>
      <c r="AD2535" s="596" t="str">
        <f>IF(AND(AC2535&lt;&gt;"",S2535&lt;&gt;""),NETWORKDAYS(AC2535,S2535,#REF!),"")</f>
        <v/>
      </c>
      <c r="AE2535" s="596" t="str">
        <f ca="1">IF(AND(AD2535="",AC2535=""),"",IF(OR(AD2535&lt;&gt;"",O2535="*CANCELADO"),"",NETWORKDAYS(AC2535,TODAY(),#REF!)))</f>
        <v/>
      </c>
      <c r="AF2535" s="619"/>
    </row>
    <row r="2536" spans="1:32" ht="14.25" customHeight="1">
      <c r="A2536" s="176"/>
      <c r="B2536" s="176"/>
      <c r="C2536" s="177"/>
      <c r="D2536" s="176"/>
      <c r="E2536" s="176"/>
      <c r="F2536" s="259"/>
      <c r="G2536" s="176"/>
      <c r="H2536" s="178"/>
      <c r="I2536" s="592">
        <f t="shared" si="94"/>
        <v>0</v>
      </c>
      <c r="J2536" s="178"/>
      <c r="K2536" s="178"/>
      <c r="L2536" s="275" t="str">
        <f>IF(H:H=0,"",IF(ISERROR(VLOOKUP(H:H,produtos_escape2!$A$2:$B$2794,2,FALSE)),"Código não cadastrado",(VLOOKUP(H:H,produtos_escape2!$A$2:$B$2794,2,FALSE))))</f>
        <v/>
      </c>
      <c r="M2536" s="593" t="str">
        <f>IF(H:H=0,"",IF(ISERROR(VLOOKUP(H:H,produtos_escape2!$A$2:$D$2794,2,FALSE)),"Código não cadastrado",(VLOOKUP(H:H,produtos_escape2!$A$2:$D$2794,4,FALSE))))</f>
        <v/>
      </c>
      <c r="N2536" s="486"/>
      <c r="O2536" s="176"/>
      <c r="P2536" s="486"/>
      <c r="Q2536" s="247"/>
      <c r="R2536" s="246">
        <f t="shared" si="93"/>
        <v>0</v>
      </c>
      <c r="S2536" s="177"/>
      <c r="T2536" s="182"/>
      <c r="U2536" s="177"/>
      <c r="V2536" s="177"/>
      <c r="W2536" s="177"/>
      <c r="X2536" s="176"/>
      <c r="Y2536" s="177"/>
      <c r="Z2536" s="415"/>
      <c r="AA2536" s="488"/>
      <c r="AB2536" s="594"/>
      <c r="AC2536" s="595"/>
      <c r="AD2536" s="596" t="str">
        <f>IF(AND(AC2536&lt;&gt;"",S2536&lt;&gt;""),NETWORKDAYS(AC2536,S2536,#REF!),"")</f>
        <v/>
      </c>
      <c r="AE2536" s="596" t="str">
        <f ca="1">IF(AND(AD2536="",AC2536=""),"",IF(OR(AD2536&lt;&gt;"",O2536="*CANCELADO"),"",NETWORKDAYS(AC2536,TODAY(),#REF!)))</f>
        <v/>
      </c>
      <c r="AF2536" s="619"/>
    </row>
    <row r="2537" spans="1:32" ht="14.25" customHeight="1">
      <c r="A2537" s="176"/>
      <c r="B2537" s="176"/>
      <c r="C2537" s="177"/>
      <c r="D2537" s="176"/>
      <c r="E2537" s="176"/>
      <c r="F2537" s="259"/>
      <c r="G2537" s="176"/>
      <c r="H2537" s="178"/>
      <c r="I2537" s="592">
        <f t="shared" si="94"/>
        <v>0</v>
      </c>
      <c r="J2537" s="178"/>
      <c r="K2537" s="178"/>
      <c r="L2537" s="275" t="str">
        <f>IF(H:H=0,"",IF(ISERROR(VLOOKUP(H:H,produtos_escape2!$A$2:$B$2794,2,FALSE)),"Código não cadastrado",(VLOOKUP(H:H,produtos_escape2!$A$2:$B$2794,2,FALSE))))</f>
        <v/>
      </c>
      <c r="M2537" s="593" t="str">
        <f>IF(H:H=0,"",IF(ISERROR(VLOOKUP(H:H,produtos_escape2!$A$2:$D$2794,2,FALSE)),"Código não cadastrado",(VLOOKUP(H:H,produtos_escape2!$A$2:$D$2794,4,FALSE))))</f>
        <v/>
      </c>
      <c r="N2537" s="486"/>
      <c r="O2537" s="176"/>
      <c r="P2537" s="486"/>
      <c r="Q2537" s="247"/>
      <c r="R2537" s="246">
        <f t="shared" si="93"/>
        <v>0</v>
      </c>
      <c r="S2537" s="177"/>
      <c r="T2537" s="182"/>
      <c r="U2537" s="177"/>
      <c r="V2537" s="177"/>
      <c r="W2537" s="177"/>
      <c r="X2537" s="176"/>
      <c r="Y2537" s="177"/>
      <c r="Z2537" s="415"/>
      <c r="AA2537" s="488"/>
      <c r="AB2537" s="594"/>
      <c r="AC2537" s="595"/>
      <c r="AD2537" s="596" t="str">
        <f>IF(AND(AC2537&lt;&gt;"",S2537&lt;&gt;""),NETWORKDAYS(AC2537,S2537,#REF!),"")</f>
        <v/>
      </c>
      <c r="AE2537" s="596" t="str">
        <f ca="1">IF(AND(AD2537="",AC2537=""),"",IF(OR(AD2537&lt;&gt;"",O2537="*CANCELADO"),"",NETWORKDAYS(AC2537,TODAY(),#REF!)))</f>
        <v/>
      </c>
      <c r="AF2537" s="619"/>
    </row>
    <row r="2538" spans="1:32" ht="14.25" customHeight="1">
      <c r="A2538" s="176"/>
      <c r="B2538" s="176"/>
      <c r="C2538" s="177"/>
      <c r="D2538" s="176"/>
      <c r="E2538" s="176"/>
      <c r="F2538" s="259"/>
      <c r="G2538" s="176"/>
      <c r="H2538" s="178"/>
      <c r="I2538" s="592">
        <f t="shared" si="94"/>
        <v>0</v>
      </c>
      <c r="J2538" s="178"/>
      <c r="K2538" s="178"/>
      <c r="L2538" s="275" t="str">
        <f>IF(H:H=0,"",IF(ISERROR(VLOOKUP(H:H,produtos_escape2!$A$2:$B$2794,2,FALSE)),"Código não cadastrado",(VLOOKUP(H:H,produtos_escape2!$A$2:$B$2794,2,FALSE))))</f>
        <v/>
      </c>
      <c r="M2538" s="593" t="str">
        <f>IF(H:H=0,"",IF(ISERROR(VLOOKUP(H:H,produtos_escape2!$A$2:$D$2794,2,FALSE)),"Código não cadastrado",(VLOOKUP(H:H,produtos_escape2!$A$2:$D$2794,4,FALSE))))</f>
        <v/>
      </c>
      <c r="N2538" s="486"/>
      <c r="O2538" s="176"/>
      <c r="P2538" s="486"/>
      <c r="Q2538" s="247"/>
      <c r="R2538" s="246">
        <f t="shared" si="93"/>
        <v>0</v>
      </c>
      <c r="S2538" s="177"/>
      <c r="T2538" s="182"/>
      <c r="U2538" s="177"/>
      <c r="V2538" s="177"/>
      <c r="W2538" s="177"/>
      <c r="X2538" s="176"/>
      <c r="Y2538" s="177"/>
      <c r="Z2538" s="415"/>
      <c r="AA2538" s="488"/>
      <c r="AB2538" s="594"/>
      <c r="AC2538" s="595"/>
      <c r="AD2538" s="596" t="str">
        <f>IF(AND(AC2538&lt;&gt;"",S2538&lt;&gt;""),NETWORKDAYS(AC2538,S2538,#REF!),"")</f>
        <v/>
      </c>
      <c r="AE2538" s="596" t="str">
        <f ca="1">IF(AND(AD2538="",AC2538=""),"",IF(OR(AD2538&lt;&gt;"",O2538="*CANCELADO"),"",NETWORKDAYS(AC2538,TODAY(),#REF!)))</f>
        <v/>
      </c>
      <c r="AF2538" s="619"/>
    </row>
    <row r="2539" spans="1:32" ht="14.25" customHeight="1">
      <c r="A2539" s="176"/>
      <c r="B2539" s="176"/>
      <c r="C2539" s="177"/>
      <c r="D2539" s="176"/>
      <c r="E2539" s="176"/>
      <c r="F2539" s="259"/>
      <c r="G2539" s="176"/>
      <c r="H2539" s="178"/>
      <c r="I2539" s="592">
        <f t="shared" si="94"/>
        <v>0</v>
      </c>
      <c r="J2539" s="178"/>
      <c r="K2539" s="178"/>
      <c r="L2539" s="275" t="str">
        <f>IF(H:H=0,"",IF(ISERROR(VLOOKUP(H:H,produtos_escape2!$A$2:$B$2794,2,FALSE)),"Código não cadastrado",(VLOOKUP(H:H,produtos_escape2!$A$2:$B$2794,2,FALSE))))</f>
        <v/>
      </c>
      <c r="M2539" s="593" t="str">
        <f>IF(H:H=0,"",IF(ISERROR(VLOOKUP(H:H,produtos_escape2!$A$2:$D$2794,2,FALSE)),"Código não cadastrado",(VLOOKUP(H:H,produtos_escape2!$A$2:$D$2794,4,FALSE))))</f>
        <v/>
      </c>
      <c r="N2539" s="486"/>
      <c r="O2539" s="176"/>
      <c r="P2539" s="486"/>
      <c r="Q2539" s="247"/>
      <c r="R2539" s="246">
        <f t="shared" si="93"/>
        <v>0</v>
      </c>
      <c r="S2539" s="177"/>
      <c r="T2539" s="182"/>
      <c r="U2539" s="177"/>
      <c r="V2539" s="177"/>
      <c r="W2539" s="177"/>
      <c r="X2539" s="176"/>
      <c r="Y2539" s="177"/>
      <c r="Z2539" s="415"/>
      <c r="AA2539" s="488"/>
      <c r="AB2539" s="594"/>
      <c r="AC2539" s="595"/>
      <c r="AD2539" s="596" t="str">
        <f>IF(AND(AC2539&lt;&gt;"",S2539&lt;&gt;""),NETWORKDAYS(AC2539,S2539,#REF!),"")</f>
        <v/>
      </c>
      <c r="AE2539" s="596" t="str">
        <f ca="1">IF(AND(AD2539="",AC2539=""),"",IF(OR(AD2539&lt;&gt;"",O2539="*CANCELADO"),"",NETWORKDAYS(AC2539,TODAY(),#REF!)))</f>
        <v/>
      </c>
      <c r="AF2539" s="619"/>
    </row>
    <row r="2540" spans="1:32" ht="14.25" customHeight="1">
      <c r="A2540" s="176"/>
      <c r="B2540" s="176"/>
      <c r="C2540" s="177"/>
      <c r="D2540" s="176"/>
      <c r="E2540" s="176"/>
      <c r="F2540" s="259"/>
      <c r="G2540" s="176"/>
      <c r="H2540" s="178"/>
      <c r="I2540" s="592">
        <f t="shared" si="94"/>
        <v>0</v>
      </c>
      <c r="J2540" s="178"/>
      <c r="K2540" s="178"/>
      <c r="L2540" s="275" t="str">
        <f>IF(H:H=0,"",IF(ISERROR(VLOOKUP(H:H,produtos_escape2!$A$2:$B$2794,2,FALSE)),"Código não cadastrado",(VLOOKUP(H:H,produtos_escape2!$A$2:$B$2794,2,FALSE))))</f>
        <v/>
      </c>
      <c r="M2540" s="593" t="str">
        <f>IF(H:H=0,"",IF(ISERROR(VLOOKUP(H:H,produtos_escape2!$A$2:$D$2794,2,FALSE)),"Código não cadastrado",(VLOOKUP(H:H,produtos_escape2!$A$2:$D$2794,4,FALSE))))</f>
        <v/>
      </c>
      <c r="N2540" s="486"/>
      <c r="O2540" s="176"/>
      <c r="P2540" s="486"/>
      <c r="Q2540" s="247"/>
      <c r="R2540" s="246">
        <f t="shared" si="93"/>
        <v>0</v>
      </c>
      <c r="S2540" s="177"/>
      <c r="T2540" s="182"/>
      <c r="U2540" s="177"/>
      <c r="V2540" s="177"/>
      <c r="W2540" s="177"/>
      <c r="X2540" s="176"/>
      <c r="Y2540" s="177"/>
      <c r="Z2540" s="415"/>
      <c r="AA2540" s="488"/>
      <c r="AB2540" s="594"/>
      <c r="AC2540" s="595"/>
      <c r="AD2540" s="596" t="str">
        <f>IF(AND(AC2540&lt;&gt;"",S2540&lt;&gt;""),NETWORKDAYS(AC2540,S2540,#REF!),"")</f>
        <v/>
      </c>
      <c r="AE2540" s="596" t="str">
        <f ca="1">IF(AND(AD2540="",AC2540=""),"",IF(OR(AD2540&lt;&gt;"",O2540="*CANCELADO"),"",NETWORKDAYS(AC2540,TODAY(),#REF!)))</f>
        <v/>
      </c>
      <c r="AF2540" s="619"/>
    </row>
    <row r="2541" spans="1:32" ht="14.25" customHeight="1">
      <c r="A2541" s="176"/>
      <c r="B2541" s="176"/>
      <c r="C2541" s="177"/>
      <c r="D2541" s="176"/>
      <c r="E2541" s="176"/>
      <c r="F2541" s="259"/>
      <c r="G2541" s="176"/>
      <c r="H2541" s="178"/>
      <c r="I2541" s="592">
        <f t="shared" si="94"/>
        <v>0</v>
      </c>
      <c r="J2541" s="178"/>
      <c r="K2541" s="178"/>
      <c r="L2541" s="275" t="str">
        <f>IF(H:H=0,"",IF(ISERROR(VLOOKUP(H:H,produtos_escape2!$A$2:$B$2794,2,FALSE)),"Código não cadastrado",(VLOOKUP(H:H,produtos_escape2!$A$2:$B$2794,2,FALSE))))</f>
        <v/>
      </c>
      <c r="M2541" s="593" t="str">
        <f>IF(H:H=0,"",IF(ISERROR(VLOOKUP(H:H,produtos_escape2!$A$2:$D$2794,2,FALSE)),"Código não cadastrado",(VLOOKUP(H:H,produtos_escape2!$A$2:$D$2794,4,FALSE))))</f>
        <v/>
      </c>
      <c r="N2541" s="486"/>
      <c r="O2541" s="176"/>
      <c r="P2541" s="486"/>
      <c r="Q2541" s="247"/>
      <c r="R2541" s="246">
        <f t="shared" ref="R2541:R2604" si="95">P2541*Q2541</f>
        <v>0</v>
      </c>
      <c r="S2541" s="177"/>
      <c r="T2541" s="182"/>
      <c r="U2541" s="177"/>
      <c r="V2541" s="177"/>
      <c r="W2541" s="177"/>
      <c r="X2541" s="176"/>
      <c r="Y2541" s="177"/>
      <c r="Z2541" s="415"/>
      <c r="AA2541" s="488"/>
      <c r="AB2541" s="594"/>
      <c r="AC2541" s="595"/>
      <c r="AD2541" s="596" t="str">
        <f>IF(AND(AC2541&lt;&gt;"",S2541&lt;&gt;""),NETWORKDAYS(AC2541,S2541,#REF!),"")</f>
        <v/>
      </c>
      <c r="AE2541" s="596" t="str">
        <f ca="1">IF(AND(AD2541="",AC2541=""),"",IF(OR(AD2541&lt;&gt;"",O2541="*CANCELADO"),"",NETWORKDAYS(AC2541,TODAY(),#REF!)))</f>
        <v/>
      </c>
      <c r="AF2541" s="619"/>
    </row>
    <row r="2542" spans="1:32" ht="14.25" customHeight="1">
      <c r="A2542" s="176"/>
      <c r="B2542" s="176"/>
      <c r="C2542" s="177"/>
      <c r="D2542" s="176"/>
      <c r="E2542" s="176"/>
      <c r="F2542" s="259"/>
      <c r="G2542" s="176"/>
      <c r="H2542" s="178"/>
      <c r="I2542" s="592">
        <f t="shared" si="94"/>
        <v>0</v>
      </c>
      <c r="J2542" s="178"/>
      <c r="K2542" s="178"/>
      <c r="L2542" s="275" t="str">
        <f>IF(H:H=0,"",IF(ISERROR(VLOOKUP(H:H,produtos_escape2!$A$2:$B$2794,2,FALSE)),"Código não cadastrado",(VLOOKUP(H:H,produtos_escape2!$A$2:$B$2794,2,FALSE))))</f>
        <v/>
      </c>
      <c r="M2542" s="593" t="str">
        <f>IF(H:H=0,"",IF(ISERROR(VLOOKUP(H:H,produtos_escape2!$A$2:$D$2794,2,FALSE)),"Código não cadastrado",(VLOOKUP(H:H,produtos_escape2!$A$2:$D$2794,4,FALSE))))</f>
        <v/>
      </c>
      <c r="N2542" s="486"/>
      <c r="O2542" s="176"/>
      <c r="P2542" s="486"/>
      <c r="Q2542" s="247"/>
      <c r="R2542" s="246">
        <f t="shared" si="95"/>
        <v>0</v>
      </c>
      <c r="S2542" s="177"/>
      <c r="T2542" s="182"/>
      <c r="U2542" s="177"/>
      <c r="V2542" s="177"/>
      <c r="W2542" s="177"/>
      <c r="X2542" s="176"/>
      <c r="Y2542" s="177"/>
      <c r="Z2542" s="415"/>
      <c r="AA2542" s="488"/>
      <c r="AB2542" s="594"/>
      <c r="AC2542" s="595"/>
      <c r="AD2542" s="596" t="str">
        <f>IF(AND(AC2542&lt;&gt;"",S2542&lt;&gt;""),NETWORKDAYS(AC2542,S2542,#REF!),"")</f>
        <v/>
      </c>
      <c r="AE2542" s="596" t="str">
        <f ca="1">IF(AND(AD2542="",AC2542=""),"",IF(OR(AD2542&lt;&gt;"",O2542="*CANCELADO"),"",NETWORKDAYS(AC2542,TODAY(),#REF!)))</f>
        <v/>
      </c>
      <c r="AF2542" s="619"/>
    </row>
    <row r="2543" spans="1:32" ht="14.25" customHeight="1">
      <c r="A2543" s="176"/>
      <c r="B2543" s="176"/>
      <c r="C2543" s="177"/>
      <c r="D2543" s="176"/>
      <c r="E2543" s="176"/>
      <c r="F2543" s="259"/>
      <c r="G2543" s="176"/>
      <c r="H2543" s="178"/>
      <c r="I2543" s="592">
        <f t="shared" si="94"/>
        <v>0</v>
      </c>
      <c r="J2543" s="178"/>
      <c r="K2543" s="178"/>
      <c r="L2543" s="275" t="str">
        <f>IF(H:H=0,"",IF(ISERROR(VLOOKUP(H:H,produtos_escape2!$A$2:$B$2794,2,FALSE)),"Código não cadastrado",(VLOOKUP(H:H,produtos_escape2!$A$2:$B$2794,2,FALSE))))</f>
        <v/>
      </c>
      <c r="M2543" s="593" t="str">
        <f>IF(H:H=0,"",IF(ISERROR(VLOOKUP(H:H,produtos_escape2!$A$2:$D$2794,2,FALSE)),"Código não cadastrado",(VLOOKUP(H:H,produtos_escape2!$A$2:$D$2794,4,FALSE))))</f>
        <v/>
      </c>
      <c r="N2543" s="486"/>
      <c r="O2543" s="176"/>
      <c r="P2543" s="486"/>
      <c r="Q2543" s="247"/>
      <c r="R2543" s="246">
        <f t="shared" si="95"/>
        <v>0</v>
      </c>
      <c r="S2543" s="177"/>
      <c r="T2543" s="182"/>
      <c r="U2543" s="177"/>
      <c r="V2543" s="177"/>
      <c r="W2543" s="177"/>
      <c r="X2543" s="176"/>
      <c r="Y2543" s="177"/>
      <c r="Z2543" s="415"/>
      <c r="AA2543" s="488"/>
      <c r="AB2543" s="594"/>
      <c r="AC2543" s="595"/>
      <c r="AD2543" s="596" t="str">
        <f>IF(AND(AC2543&lt;&gt;"",S2543&lt;&gt;""),NETWORKDAYS(AC2543,S2543,#REF!),"")</f>
        <v/>
      </c>
      <c r="AE2543" s="596" t="str">
        <f ca="1">IF(AND(AD2543="",AC2543=""),"",IF(OR(AD2543&lt;&gt;"",O2543="*CANCELADO"),"",NETWORKDAYS(AC2543,TODAY(),#REF!)))</f>
        <v/>
      </c>
      <c r="AF2543" s="619"/>
    </row>
    <row r="2544" spans="1:32" ht="14.25" customHeight="1">
      <c r="A2544" s="176"/>
      <c r="B2544" s="176"/>
      <c r="C2544" s="177"/>
      <c r="D2544" s="176"/>
      <c r="E2544" s="176"/>
      <c r="F2544" s="259"/>
      <c r="G2544" s="176"/>
      <c r="H2544" s="178"/>
      <c r="I2544" s="592">
        <f t="shared" si="94"/>
        <v>0</v>
      </c>
      <c r="J2544" s="178"/>
      <c r="K2544" s="178"/>
      <c r="L2544" s="275" t="str">
        <f>IF(H:H=0,"",IF(ISERROR(VLOOKUP(H:H,produtos_escape2!$A$2:$B$2794,2,FALSE)),"Código não cadastrado",(VLOOKUP(H:H,produtos_escape2!$A$2:$B$2794,2,FALSE))))</f>
        <v/>
      </c>
      <c r="M2544" s="593" t="str">
        <f>IF(H:H=0,"",IF(ISERROR(VLOOKUP(H:H,produtos_escape2!$A$2:$D$2794,2,FALSE)),"Código não cadastrado",(VLOOKUP(H:H,produtos_escape2!$A$2:$D$2794,4,FALSE))))</f>
        <v/>
      </c>
      <c r="N2544" s="486"/>
      <c r="O2544" s="176"/>
      <c r="P2544" s="486"/>
      <c r="Q2544" s="247"/>
      <c r="R2544" s="246">
        <f t="shared" si="95"/>
        <v>0</v>
      </c>
      <c r="S2544" s="177"/>
      <c r="T2544" s="182"/>
      <c r="U2544" s="177"/>
      <c r="V2544" s="177"/>
      <c r="W2544" s="177"/>
      <c r="X2544" s="176"/>
      <c r="Y2544" s="177"/>
      <c r="Z2544" s="415"/>
      <c r="AA2544" s="488"/>
      <c r="AB2544" s="594"/>
      <c r="AC2544" s="595"/>
      <c r="AD2544" s="596" t="str">
        <f>IF(AND(AC2544&lt;&gt;"",S2544&lt;&gt;""),NETWORKDAYS(AC2544,S2544,#REF!),"")</f>
        <v/>
      </c>
      <c r="AE2544" s="596" t="str">
        <f ca="1">IF(AND(AD2544="",AC2544=""),"",IF(OR(AD2544&lt;&gt;"",O2544="*CANCELADO"),"",NETWORKDAYS(AC2544,TODAY(),#REF!)))</f>
        <v/>
      </c>
      <c r="AF2544" s="619"/>
    </row>
    <row r="2545" spans="1:32" ht="14.25" customHeight="1">
      <c r="A2545" s="176"/>
      <c r="B2545" s="176"/>
      <c r="C2545" s="177"/>
      <c r="D2545" s="176"/>
      <c r="E2545" s="176"/>
      <c r="F2545" s="259"/>
      <c r="G2545" s="176"/>
      <c r="H2545" s="178"/>
      <c r="I2545" s="592">
        <f t="shared" si="94"/>
        <v>0</v>
      </c>
      <c r="J2545" s="178"/>
      <c r="K2545" s="178"/>
      <c r="L2545" s="275" t="str">
        <f>IF(H:H=0,"",IF(ISERROR(VLOOKUP(H:H,produtos_escape2!$A$2:$B$2794,2,FALSE)),"Código não cadastrado",(VLOOKUP(H:H,produtos_escape2!$A$2:$B$2794,2,FALSE))))</f>
        <v/>
      </c>
      <c r="M2545" s="593" t="str">
        <f>IF(H:H=0,"",IF(ISERROR(VLOOKUP(H:H,produtos_escape2!$A$2:$D$2794,2,FALSE)),"Código não cadastrado",(VLOOKUP(H:H,produtos_escape2!$A$2:$D$2794,4,FALSE))))</f>
        <v/>
      </c>
      <c r="N2545" s="486"/>
      <c r="O2545" s="176"/>
      <c r="P2545" s="486"/>
      <c r="Q2545" s="247"/>
      <c r="R2545" s="246">
        <f t="shared" si="95"/>
        <v>0</v>
      </c>
      <c r="S2545" s="177"/>
      <c r="T2545" s="182"/>
      <c r="U2545" s="177"/>
      <c r="V2545" s="177"/>
      <c r="W2545" s="177"/>
      <c r="X2545" s="176"/>
      <c r="Y2545" s="177"/>
      <c r="Z2545" s="415"/>
      <c r="AA2545" s="488"/>
      <c r="AB2545" s="594"/>
      <c r="AC2545" s="595"/>
      <c r="AD2545" s="596" t="str">
        <f>IF(AND(AC2545&lt;&gt;"",S2545&lt;&gt;""),NETWORKDAYS(AC2545,S2545,#REF!),"")</f>
        <v/>
      </c>
      <c r="AE2545" s="596" t="str">
        <f ca="1">IF(AND(AD2545="",AC2545=""),"",IF(OR(AD2545&lt;&gt;"",O2545="*CANCELADO"),"",NETWORKDAYS(AC2545,TODAY(),#REF!)))</f>
        <v/>
      </c>
      <c r="AF2545" s="619"/>
    </row>
    <row r="2546" spans="1:32" ht="14.25" customHeight="1">
      <c r="A2546" s="176"/>
      <c r="B2546" s="176"/>
      <c r="C2546" s="177"/>
      <c r="D2546" s="176"/>
      <c r="E2546" s="176"/>
      <c r="F2546" s="259"/>
      <c r="G2546" s="176"/>
      <c r="H2546" s="178"/>
      <c r="I2546" s="592">
        <f t="shared" si="94"/>
        <v>0</v>
      </c>
      <c r="J2546" s="178"/>
      <c r="K2546" s="178"/>
      <c r="L2546" s="275" t="str">
        <f>IF(H:H=0,"",IF(ISERROR(VLOOKUP(H:H,produtos_escape2!$A$2:$B$2794,2,FALSE)),"Código não cadastrado",(VLOOKUP(H:H,produtos_escape2!$A$2:$B$2794,2,FALSE))))</f>
        <v/>
      </c>
      <c r="M2546" s="593" t="str">
        <f>IF(H:H=0,"",IF(ISERROR(VLOOKUP(H:H,produtos_escape2!$A$2:$D$2794,2,FALSE)),"Código não cadastrado",(VLOOKUP(H:H,produtos_escape2!$A$2:$D$2794,4,FALSE))))</f>
        <v/>
      </c>
      <c r="N2546" s="486"/>
      <c r="O2546" s="176"/>
      <c r="P2546" s="486"/>
      <c r="Q2546" s="247"/>
      <c r="R2546" s="246">
        <f t="shared" si="95"/>
        <v>0</v>
      </c>
      <c r="S2546" s="177"/>
      <c r="T2546" s="182"/>
      <c r="U2546" s="177"/>
      <c r="V2546" s="177"/>
      <c r="W2546" s="177"/>
      <c r="X2546" s="176"/>
      <c r="Y2546" s="177"/>
      <c r="Z2546" s="415"/>
      <c r="AA2546" s="488"/>
      <c r="AB2546" s="594"/>
      <c r="AC2546" s="595"/>
      <c r="AD2546" s="596" t="str">
        <f>IF(AND(AC2546&lt;&gt;"",S2546&lt;&gt;""),NETWORKDAYS(AC2546,S2546,#REF!),"")</f>
        <v/>
      </c>
      <c r="AE2546" s="596" t="str">
        <f ca="1">IF(AND(AD2546="",AC2546=""),"",IF(OR(AD2546&lt;&gt;"",O2546="*CANCELADO"),"",NETWORKDAYS(AC2546,TODAY(),#REF!)))</f>
        <v/>
      </c>
      <c r="AF2546" s="619"/>
    </row>
    <row r="2547" spans="1:32" ht="14.25" customHeight="1">
      <c r="A2547" s="176"/>
      <c r="B2547" s="176"/>
      <c r="C2547" s="177"/>
      <c r="D2547" s="176"/>
      <c r="E2547" s="176"/>
      <c r="F2547" s="259"/>
      <c r="G2547" s="176"/>
      <c r="H2547" s="178"/>
      <c r="I2547" s="592">
        <f t="shared" si="94"/>
        <v>0</v>
      </c>
      <c r="J2547" s="178"/>
      <c r="K2547" s="178"/>
      <c r="L2547" s="275" t="str">
        <f>IF(H:H=0,"",IF(ISERROR(VLOOKUP(H:H,produtos_escape2!$A$2:$B$2794,2,FALSE)),"Código não cadastrado",(VLOOKUP(H:H,produtos_escape2!$A$2:$B$2794,2,FALSE))))</f>
        <v/>
      </c>
      <c r="M2547" s="593" t="str">
        <f>IF(H:H=0,"",IF(ISERROR(VLOOKUP(H:H,produtos_escape2!$A$2:$D$2794,2,FALSE)),"Código não cadastrado",(VLOOKUP(H:H,produtos_escape2!$A$2:$D$2794,4,FALSE))))</f>
        <v/>
      </c>
      <c r="N2547" s="486"/>
      <c r="O2547" s="176"/>
      <c r="P2547" s="486"/>
      <c r="Q2547" s="247"/>
      <c r="R2547" s="246">
        <f t="shared" si="95"/>
        <v>0</v>
      </c>
      <c r="S2547" s="177"/>
      <c r="T2547" s="182"/>
      <c r="U2547" s="177"/>
      <c r="V2547" s="177"/>
      <c r="W2547" s="177"/>
      <c r="X2547" s="176"/>
      <c r="Y2547" s="177"/>
      <c r="Z2547" s="415"/>
      <c r="AA2547" s="488"/>
      <c r="AB2547" s="594"/>
      <c r="AC2547" s="595"/>
      <c r="AD2547" s="596" t="str">
        <f>IF(AND(AC2547&lt;&gt;"",S2547&lt;&gt;""),NETWORKDAYS(AC2547,S2547,#REF!),"")</f>
        <v/>
      </c>
      <c r="AE2547" s="596" t="str">
        <f ca="1">IF(AND(AD2547="",AC2547=""),"",IF(OR(AD2547&lt;&gt;"",O2547="*CANCELADO"),"",NETWORKDAYS(AC2547,TODAY(),#REF!)))</f>
        <v/>
      </c>
      <c r="AF2547" s="619"/>
    </row>
    <row r="2548" spans="1:32" ht="14.25" customHeight="1">
      <c r="A2548" s="176"/>
      <c r="B2548" s="176"/>
      <c r="C2548" s="177"/>
      <c r="D2548" s="176"/>
      <c r="E2548" s="176"/>
      <c r="F2548" s="259"/>
      <c r="G2548" s="176"/>
      <c r="H2548" s="178"/>
      <c r="I2548" s="592">
        <f t="shared" si="94"/>
        <v>0</v>
      </c>
      <c r="J2548" s="178"/>
      <c r="K2548" s="178"/>
      <c r="L2548" s="275" t="str">
        <f>IF(H:H=0,"",IF(ISERROR(VLOOKUP(H:H,produtos_escape2!$A$2:$B$2794,2,FALSE)),"Código não cadastrado",(VLOOKUP(H:H,produtos_escape2!$A$2:$B$2794,2,FALSE))))</f>
        <v/>
      </c>
      <c r="M2548" s="593" t="str">
        <f>IF(H:H=0,"",IF(ISERROR(VLOOKUP(H:H,produtos_escape2!$A$2:$D$2794,2,FALSE)),"Código não cadastrado",(VLOOKUP(H:H,produtos_escape2!$A$2:$D$2794,4,FALSE))))</f>
        <v/>
      </c>
      <c r="N2548" s="486"/>
      <c r="O2548" s="176"/>
      <c r="P2548" s="486"/>
      <c r="Q2548" s="247"/>
      <c r="R2548" s="246">
        <f t="shared" si="95"/>
        <v>0</v>
      </c>
      <c r="S2548" s="177"/>
      <c r="T2548" s="182"/>
      <c r="U2548" s="177"/>
      <c r="V2548" s="177"/>
      <c r="W2548" s="177"/>
      <c r="X2548" s="176"/>
      <c r="Y2548" s="177"/>
      <c r="Z2548" s="415"/>
      <c r="AA2548" s="488"/>
      <c r="AB2548" s="594"/>
      <c r="AC2548" s="595"/>
      <c r="AD2548" s="596" t="str">
        <f>IF(AND(AC2548&lt;&gt;"",S2548&lt;&gt;""),NETWORKDAYS(AC2548,S2548,#REF!),"")</f>
        <v/>
      </c>
      <c r="AE2548" s="596" t="str">
        <f ca="1">IF(AND(AD2548="",AC2548=""),"",IF(OR(AD2548&lt;&gt;"",O2548="*CANCELADO"),"",NETWORKDAYS(AC2548,TODAY(),#REF!)))</f>
        <v/>
      </c>
      <c r="AF2548" s="619"/>
    </row>
    <row r="2549" spans="1:32" ht="14.25" customHeight="1">
      <c r="A2549" s="176"/>
      <c r="B2549" s="176"/>
      <c r="C2549" s="177"/>
      <c r="D2549" s="176"/>
      <c r="E2549" s="176"/>
      <c r="F2549" s="259"/>
      <c r="G2549" s="176"/>
      <c r="H2549" s="178"/>
      <c r="I2549" s="592">
        <f t="shared" si="94"/>
        <v>0</v>
      </c>
      <c r="J2549" s="178"/>
      <c r="K2549" s="178"/>
      <c r="L2549" s="275" t="str">
        <f>IF(H:H=0,"",IF(ISERROR(VLOOKUP(H:H,produtos_escape2!$A$2:$B$2794,2,FALSE)),"Código não cadastrado",(VLOOKUP(H:H,produtos_escape2!$A$2:$B$2794,2,FALSE))))</f>
        <v/>
      </c>
      <c r="M2549" s="593" t="str">
        <f>IF(H:H=0,"",IF(ISERROR(VLOOKUP(H:H,produtos_escape2!$A$2:$D$2794,2,FALSE)),"Código não cadastrado",(VLOOKUP(H:H,produtos_escape2!$A$2:$D$2794,4,FALSE))))</f>
        <v/>
      </c>
      <c r="N2549" s="486"/>
      <c r="O2549" s="176"/>
      <c r="P2549" s="486"/>
      <c r="Q2549" s="247"/>
      <c r="R2549" s="246">
        <f t="shared" si="95"/>
        <v>0</v>
      </c>
      <c r="S2549" s="177"/>
      <c r="T2549" s="182"/>
      <c r="U2549" s="177"/>
      <c r="V2549" s="177"/>
      <c r="W2549" s="177"/>
      <c r="X2549" s="176"/>
      <c r="Y2549" s="177"/>
      <c r="Z2549" s="415"/>
      <c r="AA2549" s="488"/>
      <c r="AB2549" s="594"/>
      <c r="AC2549" s="595"/>
      <c r="AD2549" s="596" t="str">
        <f>IF(AND(AC2549&lt;&gt;"",S2549&lt;&gt;""),NETWORKDAYS(AC2549,S2549,#REF!),"")</f>
        <v/>
      </c>
      <c r="AE2549" s="596" t="str">
        <f ca="1">IF(AND(AD2549="",AC2549=""),"",IF(OR(AD2549&lt;&gt;"",O2549="*CANCELADO"),"",NETWORKDAYS(AC2549,TODAY(),#REF!)))</f>
        <v/>
      </c>
      <c r="AF2549" s="619"/>
    </row>
    <row r="2550" spans="1:32" ht="14.25" customHeight="1">
      <c r="A2550" s="176"/>
      <c r="B2550" s="176"/>
      <c r="C2550" s="177"/>
      <c r="D2550" s="176"/>
      <c r="E2550" s="176"/>
      <c r="F2550" s="259"/>
      <c r="G2550" s="176"/>
      <c r="H2550" s="178"/>
      <c r="I2550" s="592">
        <f t="shared" ref="I2550:I2613" si="96">COUNTIF($H$3:$H$3041,H2550)</f>
        <v>0</v>
      </c>
      <c r="J2550" s="178"/>
      <c r="K2550" s="178"/>
      <c r="L2550" s="275" t="str">
        <f>IF(H:H=0,"",IF(ISERROR(VLOOKUP(H:H,produtos_escape2!$A$2:$B$2794,2,FALSE)),"Código não cadastrado",(VLOOKUP(H:H,produtos_escape2!$A$2:$B$2794,2,FALSE))))</f>
        <v/>
      </c>
      <c r="M2550" s="593" t="str">
        <f>IF(H:H=0,"",IF(ISERROR(VLOOKUP(H:H,produtos_escape2!$A$2:$D$2794,2,FALSE)),"Código não cadastrado",(VLOOKUP(H:H,produtos_escape2!$A$2:$D$2794,4,FALSE))))</f>
        <v/>
      </c>
      <c r="N2550" s="486"/>
      <c r="O2550" s="176"/>
      <c r="P2550" s="486"/>
      <c r="Q2550" s="247"/>
      <c r="R2550" s="246">
        <f t="shared" si="95"/>
        <v>0</v>
      </c>
      <c r="S2550" s="177"/>
      <c r="T2550" s="182"/>
      <c r="U2550" s="177"/>
      <c r="V2550" s="177"/>
      <c r="W2550" s="177"/>
      <c r="X2550" s="176"/>
      <c r="Y2550" s="177"/>
      <c r="Z2550" s="415"/>
      <c r="AA2550" s="488"/>
      <c r="AB2550" s="594"/>
      <c r="AC2550" s="595"/>
      <c r="AD2550" s="596" t="str">
        <f>IF(AND(AC2550&lt;&gt;"",S2550&lt;&gt;""),NETWORKDAYS(AC2550,S2550,#REF!),"")</f>
        <v/>
      </c>
      <c r="AE2550" s="596" t="str">
        <f ca="1">IF(AND(AD2550="",AC2550=""),"",IF(OR(AD2550&lt;&gt;"",O2550="*CANCELADO"),"",NETWORKDAYS(AC2550,TODAY(),#REF!)))</f>
        <v/>
      </c>
      <c r="AF2550" s="619"/>
    </row>
    <row r="2551" spans="1:32" ht="14.25" customHeight="1">
      <c r="A2551" s="176"/>
      <c r="B2551" s="176"/>
      <c r="C2551" s="177"/>
      <c r="D2551" s="176"/>
      <c r="E2551" s="176"/>
      <c r="F2551" s="259"/>
      <c r="G2551" s="176"/>
      <c r="H2551" s="178"/>
      <c r="I2551" s="592">
        <f t="shared" si="96"/>
        <v>0</v>
      </c>
      <c r="J2551" s="178"/>
      <c r="K2551" s="178"/>
      <c r="L2551" s="275" t="str">
        <f>IF(H:H=0,"",IF(ISERROR(VLOOKUP(H:H,produtos_escape2!$A$2:$B$2794,2,FALSE)),"Código não cadastrado",(VLOOKUP(H:H,produtos_escape2!$A$2:$B$2794,2,FALSE))))</f>
        <v/>
      </c>
      <c r="M2551" s="593" t="str">
        <f>IF(H:H=0,"",IF(ISERROR(VLOOKUP(H:H,produtos_escape2!$A$2:$D$2794,2,FALSE)),"Código não cadastrado",(VLOOKUP(H:H,produtos_escape2!$A$2:$D$2794,4,FALSE))))</f>
        <v/>
      </c>
      <c r="N2551" s="486"/>
      <c r="O2551" s="176"/>
      <c r="P2551" s="486"/>
      <c r="Q2551" s="247"/>
      <c r="R2551" s="246">
        <f t="shared" si="95"/>
        <v>0</v>
      </c>
      <c r="S2551" s="177"/>
      <c r="T2551" s="182"/>
      <c r="U2551" s="177"/>
      <c r="V2551" s="177"/>
      <c r="W2551" s="177"/>
      <c r="X2551" s="176"/>
      <c r="Y2551" s="177"/>
      <c r="Z2551" s="415"/>
      <c r="AA2551" s="488"/>
      <c r="AB2551" s="594"/>
      <c r="AC2551" s="595"/>
      <c r="AD2551" s="596" t="str">
        <f>IF(AND(AC2551&lt;&gt;"",S2551&lt;&gt;""),NETWORKDAYS(AC2551,S2551,#REF!),"")</f>
        <v/>
      </c>
      <c r="AE2551" s="596" t="str">
        <f ca="1">IF(AND(AD2551="",AC2551=""),"",IF(OR(AD2551&lt;&gt;"",O2551="*CANCELADO"),"",NETWORKDAYS(AC2551,TODAY(),#REF!)))</f>
        <v/>
      </c>
      <c r="AF2551" s="619"/>
    </row>
    <row r="2552" spans="1:32" ht="14.25" customHeight="1">
      <c r="A2552" s="176"/>
      <c r="B2552" s="176"/>
      <c r="C2552" s="177"/>
      <c r="D2552" s="176"/>
      <c r="E2552" s="176"/>
      <c r="F2552" s="259"/>
      <c r="G2552" s="176"/>
      <c r="H2552" s="178"/>
      <c r="I2552" s="592">
        <f t="shared" si="96"/>
        <v>0</v>
      </c>
      <c r="J2552" s="178"/>
      <c r="K2552" s="178"/>
      <c r="L2552" s="275" t="str">
        <f>IF(H:H=0,"",IF(ISERROR(VLOOKUP(H:H,produtos_escape2!$A$2:$B$2794,2,FALSE)),"Código não cadastrado",(VLOOKUP(H:H,produtos_escape2!$A$2:$B$2794,2,FALSE))))</f>
        <v/>
      </c>
      <c r="M2552" s="593" t="str">
        <f>IF(H:H=0,"",IF(ISERROR(VLOOKUP(H:H,produtos_escape2!$A$2:$D$2794,2,FALSE)),"Código não cadastrado",(VLOOKUP(H:H,produtos_escape2!$A$2:$D$2794,4,FALSE))))</f>
        <v/>
      </c>
      <c r="N2552" s="486"/>
      <c r="O2552" s="176"/>
      <c r="P2552" s="486"/>
      <c r="Q2552" s="247"/>
      <c r="R2552" s="246">
        <f t="shared" si="95"/>
        <v>0</v>
      </c>
      <c r="S2552" s="177"/>
      <c r="T2552" s="182"/>
      <c r="U2552" s="177"/>
      <c r="V2552" s="177"/>
      <c r="W2552" s="177"/>
      <c r="X2552" s="176"/>
      <c r="Y2552" s="177"/>
      <c r="Z2552" s="415"/>
      <c r="AA2552" s="488"/>
      <c r="AB2552" s="594"/>
      <c r="AC2552" s="595"/>
      <c r="AD2552" s="596" t="str">
        <f>IF(AND(AC2552&lt;&gt;"",S2552&lt;&gt;""),NETWORKDAYS(AC2552,S2552,#REF!),"")</f>
        <v/>
      </c>
      <c r="AE2552" s="596" t="str">
        <f ca="1">IF(AND(AD2552="",AC2552=""),"",IF(OR(AD2552&lt;&gt;"",O2552="*CANCELADO"),"",NETWORKDAYS(AC2552,TODAY(),#REF!)))</f>
        <v/>
      </c>
      <c r="AF2552" s="619"/>
    </row>
    <row r="2553" spans="1:32" ht="14.25" customHeight="1">
      <c r="A2553" s="176"/>
      <c r="B2553" s="176"/>
      <c r="C2553" s="177"/>
      <c r="D2553" s="176"/>
      <c r="E2553" s="176"/>
      <c r="F2553" s="259"/>
      <c r="G2553" s="176"/>
      <c r="H2553" s="178"/>
      <c r="I2553" s="592">
        <f t="shared" si="96"/>
        <v>0</v>
      </c>
      <c r="J2553" s="178"/>
      <c r="K2553" s="178"/>
      <c r="L2553" s="275" t="str">
        <f>IF(H:H=0,"",IF(ISERROR(VLOOKUP(H:H,produtos_escape2!$A$2:$B$2794,2,FALSE)),"Código não cadastrado",(VLOOKUP(H:H,produtos_escape2!$A$2:$B$2794,2,FALSE))))</f>
        <v/>
      </c>
      <c r="M2553" s="593" t="str">
        <f>IF(H:H=0,"",IF(ISERROR(VLOOKUP(H:H,produtos_escape2!$A$2:$D$2794,2,FALSE)),"Código não cadastrado",(VLOOKUP(H:H,produtos_escape2!$A$2:$D$2794,4,FALSE))))</f>
        <v/>
      </c>
      <c r="N2553" s="486"/>
      <c r="O2553" s="176"/>
      <c r="P2553" s="486"/>
      <c r="Q2553" s="247"/>
      <c r="R2553" s="246">
        <f t="shared" si="95"/>
        <v>0</v>
      </c>
      <c r="S2553" s="177"/>
      <c r="T2553" s="182"/>
      <c r="U2553" s="177"/>
      <c r="V2553" s="177"/>
      <c r="W2553" s="177"/>
      <c r="X2553" s="176"/>
      <c r="Y2553" s="177"/>
      <c r="Z2553" s="415"/>
      <c r="AA2553" s="488"/>
      <c r="AB2553" s="594"/>
      <c r="AC2553" s="595"/>
      <c r="AD2553" s="596" t="str">
        <f>IF(AND(AC2553&lt;&gt;"",S2553&lt;&gt;""),NETWORKDAYS(AC2553,S2553,#REF!),"")</f>
        <v/>
      </c>
      <c r="AE2553" s="596" t="str">
        <f ca="1">IF(AND(AD2553="",AC2553=""),"",IF(OR(AD2553&lt;&gt;"",O2553="*CANCELADO"),"",NETWORKDAYS(AC2553,TODAY(),#REF!)))</f>
        <v/>
      </c>
      <c r="AF2553" s="619"/>
    </row>
    <row r="2554" spans="1:32" ht="14.25" customHeight="1">
      <c r="A2554" s="176"/>
      <c r="B2554" s="176"/>
      <c r="C2554" s="177"/>
      <c r="D2554" s="176"/>
      <c r="E2554" s="176"/>
      <c r="F2554" s="259"/>
      <c r="G2554" s="176"/>
      <c r="H2554" s="178"/>
      <c r="I2554" s="592">
        <f t="shared" si="96"/>
        <v>0</v>
      </c>
      <c r="J2554" s="178"/>
      <c r="K2554" s="178"/>
      <c r="L2554" s="275" t="str">
        <f>IF(H:H=0,"",IF(ISERROR(VLOOKUP(H:H,produtos_escape2!$A$2:$B$2794,2,FALSE)),"Código não cadastrado",(VLOOKUP(H:H,produtos_escape2!$A$2:$B$2794,2,FALSE))))</f>
        <v/>
      </c>
      <c r="M2554" s="593" t="str">
        <f>IF(H:H=0,"",IF(ISERROR(VLOOKUP(H:H,produtos_escape2!$A$2:$D$2794,2,FALSE)),"Código não cadastrado",(VLOOKUP(H:H,produtos_escape2!$A$2:$D$2794,4,FALSE))))</f>
        <v/>
      </c>
      <c r="N2554" s="486"/>
      <c r="O2554" s="176"/>
      <c r="P2554" s="486"/>
      <c r="Q2554" s="247"/>
      <c r="R2554" s="246">
        <f t="shared" si="95"/>
        <v>0</v>
      </c>
      <c r="S2554" s="177"/>
      <c r="T2554" s="182"/>
      <c r="U2554" s="177"/>
      <c r="V2554" s="177"/>
      <c r="W2554" s="177"/>
      <c r="X2554" s="176"/>
      <c r="Y2554" s="177"/>
      <c r="Z2554" s="415"/>
      <c r="AA2554" s="488"/>
      <c r="AB2554" s="594"/>
      <c r="AC2554" s="595"/>
      <c r="AD2554" s="596" t="str">
        <f>IF(AND(AC2554&lt;&gt;"",S2554&lt;&gt;""),NETWORKDAYS(AC2554,S2554,#REF!),"")</f>
        <v/>
      </c>
      <c r="AE2554" s="596" t="str">
        <f ca="1">IF(AND(AD2554="",AC2554=""),"",IF(OR(AD2554&lt;&gt;"",O2554="*CANCELADO"),"",NETWORKDAYS(AC2554,TODAY(),#REF!)))</f>
        <v/>
      </c>
      <c r="AF2554" s="619"/>
    </row>
    <row r="2555" spans="1:32" ht="14.25" customHeight="1">
      <c r="A2555" s="176"/>
      <c r="B2555" s="176"/>
      <c r="C2555" s="177"/>
      <c r="D2555" s="176"/>
      <c r="E2555" s="176"/>
      <c r="F2555" s="259"/>
      <c r="G2555" s="176"/>
      <c r="H2555" s="178"/>
      <c r="I2555" s="592">
        <f t="shared" si="96"/>
        <v>0</v>
      </c>
      <c r="J2555" s="178"/>
      <c r="K2555" s="178"/>
      <c r="L2555" s="275" t="str">
        <f>IF(H:H=0,"",IF(ISERROR(VLOOKUP(H:H,produtos_escape2!$A$2:$B$2794,2,FALSE)),"Código não cadastrado",(VLOOKUP(H:H,produtos_escape2!$A$2:$B$2794,2,FALSE))))</f>
        <v/>
      </c>
      <c r="M2555" s="593" t="str">
        <f>IF(H:H=0,"",IF(ISERROR(VLOOKUP(H:H,produtos_escape2!$A$2:$D$2794,2,FALSE)),"Código não cadastrado",(VLOOKUP(H:H,produtos_escape2!$A$2:$D$2794,4,FALSE))))</f>
        <v/>
      </c>
      <c r="N2555" s="486"/>
      <c r="O2555" s="176"/>
      <c r="P2555" s="486"/>
      <c r="Q2555" s="247"/>
      <c r="R2555" s="246">
        <f t="shared" si="95"/>
        <v>0</v>
      </c>
      <c r="S2555" s="177"/>
      <c r="T2555" s="182"/>
      <c r="U2555" s="177"/>
      <c r="V2555" s="177"/>
      <c r="W2555" s="177"/>
      <c r="X2555" s="176"/>
      <c r="Y2555" s="177"/>
      <c r="Z2555" s="415"/>
      <c r="AA2555" s="488"/>
      <c r="AB2555" s="594"/>
      <c r="AC2555" s="595"/>
      <c r="AD2555" s="596" t="str">
        <f>IF(AND(AC2555&lt;&gt;"",S2555&lt;&gt;""),NETWORKDAYS(AC2555,S2555,#REF!),"")</f>
        <v/>
      </c>
      <c r="AE2555" s="596" t="str">
        <f ca="1">IF(AND(AD2555="",AC2555=""),"",IF(OR(AD2555&lt;&gt;"",O2555="*CANCELADO"),"",NETWORKDAYS(AC2555,TODAY(),#REF!)))</f>
        <v/>
      </c>
      <c r="AF2555" s="619"/>
    </row>
    <row r="2556" spans="1:32" ht="14.25" customHeight="1">
      <c r="A2556" s="176"/>
      <c r="B2556" s="176"/>
      <c r="C2556" s="177"/>
      <c r="D2556" s="176"/>
      <c r="E2556" s="176"/>
      <c r="F2556" s="259"/>
      <c r="G2556" s="176"/>
      <c r="H2556" s="178"/>
      <c r="I2556" s="592">
        <f t="shared" si="96"/>
        <v>0</v>
      </c>
      <c r="J2556" s="178"/>
      <c r="K2556" s="178"/>
      <c r="L2556" s="275" t="str">
        <f>IF(H:H=0,"",IF(ISERROR(VLOOKUP(H:H,produtos_escape2!$A$2:$B$2794,2,FALSE)),"Código não cadastrado",(VLOOKUP(H:H,produtos_escape2!$A$2:$B$2794,2,FALSE))))</f>
        <v/>
      </c>
      <c r="M2556" s="593" t="str">
        <f>IF(H:H=0,"",IF(ISERROR(VLOOKUP(H:H,produtos_escape2!$A$2:$D$2794,2,FALSE)),"Código não cadastrado",(VLOOKUP(H:H,produtos_escape2!$A$2:$D$2794,4,FALSE))))</f>
        <v/>
      </c>
      <c r="N2556" s="486"/>
      <c r="O2556" s="176"/>
      <c r="P2556" s="486"/>
      <c r="Q2556" s="247"/>
      <c r="R2556" s="246">
        <f t="shared" si="95"/>
        <v>0</v>
      </c>
      <c r="S2556" s="177"/>
      <c r="T2556" s="182"/>
      <c r="U2556" s="177"/>
      <c r="V2556" s="177"/>
      <c r="W2556" s="177"/>
      <c r="X2556" s="176"/>
      <c r="Y2556" s="177"/>
      <c r="Z2556" s="415"/>
      <c r="AA2556" s="488"/>
      <c r="AB2556" s="594"/>
      <c r="AC2556" s="595"/>
      <c r="AD2556" s="596" t="str">
        <f>IF(AND(AC2556&lt;&gt;"",S2556&lt;&gt;""),NETWORKDAYS(AC2556,S2556,#REF!),"")</f>
        <v/>
      </c>
      <c r="AE2556" s="596" t="str">
        <f ca="1">IF(AND(AD2556="",AC2556=""),"",IF(OR(AD2556&lt;&gt;"",O2556="*CANCELADO"),"",NETWORKDAYS(AC2556,TODAY(),#REF!)))</f>
        <v/>
      </c>
      <c r="AF2556" s="619"/>
    </row>
    <row r="2557" spans="1:32" ht="14.25" customHeight="1">
      <c r="A2557" s="176"/>
      <c r="B2557" s="176"/>
      <c r="C2557" s="177"/>
      <c r="D2557" s="176"/>
      <c r="E2557" s="176"/>
      <c r="F2557" s="259"/>
      <c r="G2557" s="176"/>
      <c r="H2557" s="178"/>
      <c r="I2557" s="592">
        <f t="shared" si="96"/>
        <v>0</v>
      </c>
      <c r="J2557" s="178"/>
      <c r="K2557" s="178"/>
      <c r="L2557" s="275" t="str">
        <f>IF(H:H=0,"",IF(ISERROR(VLOOKUP(H:H,produtos_escape2!$A$2:$B$2794,2,FALSE)),"Código não cadastrado",(VLOOKUP(H:H,produtos_escape2!$A$2:$B$2794,2,FALSE))))</f>
        <v/>
      </c>
      <c r="M2557" s="593" t="str">
        <f>IF(H:H=0,"",IF(ISERROR(VLOOKUP(H:H,produtos_escape2!$A$2:$D$2794,2,FALSE)),"Código não cadastrado",(VLOOKUP(H:H,produtos_escape2!$A$2:$D$2794,4,FALSE))))</f>
        <v/>
      </c>
      <c r="N2557" s="486"/>
      <c r="O2557" s="176"/>
      <c r="P2557" s="486"/>
      <c r="Q2557" s="247"/>
      <c r="R2557" s="246">
        <f t="shared" si="95"/>
        <v>0</v>
      </c>
      <c r="S2557" s="177"/>
      <c r="T2557" s="182"/>
      <c r="U2557" s="177"/>
      <c r="V2557" s="177"/>
      <c r="W2557" s="177"/>
      <c r="X2557" s="176"/>
      <c r="Y2557" s="177"/>
      <c r="Z2557" s="415"/>
      <c r="AA2557" s="488"/>
      <c r="AB2557" s="594"/>
      <c r="AC2557" s="595"/>
      <c r="AD2557" s="596" t="str">
        <f>IF(AND(AC2557&lt;&gt;"",S2557&lt;&gt;""),NETWORKDAYS(AC2557,S2557,#REF!),"")</f>
        <v/>
      </c>
      <c r="AE2557" s="596" t="str">
        <f ca="1">IF(AND(AD2557="",AC2557=""),"",IF(OR(AD2557&lt;&gt;"",O2557="*CANCELADO"),"",NETWORKDAYS(AC2557,TODAY(),#REF!)))</f>
        <v/>
      </c>
      <c r="AF2557" s="619"/>
    </row>
    <row r="2558" spans="1:32" ht="14.25" customHeight="1">
      <c r="A2558" s="176"/>
      <c r="B2558" s="176"/>
      <c r="C2558" s="177"/>
      <c r="D2558" s="176"/>
      <c r="E2558" s="176"/>
      <c r="F2558" s="259"/>
      <c r="G2558" s="176"/>
      <c r="H2558" s="178"/>
      <c r="I2558" s="592">
        <f t="shared" si="96"/>
        <v>0</v>
      </c>
      <c r="J2558" s="178"/>
      <c r="K2558" s="178"/>
      <c r="L2558" s="275" t="str">
        <f>IF(H:H=0,"",IF(ISERROR(VLOOKUP(H:H,produtos_escape2!$A$2:$B$2794,2,FALSE)),"Código não cadastrado",(VLOOKUP(H:H,produtos_escape2!$A$2:$B$2794,2,FALSE))))</f>
        <v/>
      </c>
      <c r="M2558" s="593" t="str">
        <f>IF(H:H=0,"",IF(ISERROR(VLOOKUP(H:H,produtos_escape2!$A$2:$D$2794,2,FALSE)),"Código não cadastrado",(VLOOKUP(H:H,produtos_escape2!$A$2:$D$2794,4,FALSE))))</f>
        <v/>
      </c>
      <c r="N2558" s="486"/>
      <c r="O2558" s="176"/>
      <c r="P2558" s="486"/>
      <c r="Q2558" s="247"/>
      <c r="R2558" s="246">
        <f t="shared" si="95"/>
        <v>0</v>
      </c>
      <c r="S2558" s="177"/>
      <c r="T2558" s="182"/>
      <c r="U2558" s="177"/>
      <c r="V2558" s="177"/>
      <c r="W2558" s="177"/>
      <c r="X2558" s="176"/>
      <c r="Y2558" s="177"/>
      <c r="Z2558" s="415"/>
      <c r="AA2558" s="488"/>
      <c r="AB2558" s="594"/>
      <c r="AC2558" s="595"/>
      <c r="AD2558" s="596" t="str">
        <f>IF(AND(AC2558&lt;&gt;"",S2558&lt;&gt;""),NETWORKDAYS(AC2558,S2558,#REF!),"")</f>
        <v/>
      </c>
      <c r="AE2558" s="596" t="str">
        <f ca="1">IF(AND(AD2558="",AC2558=""),"",IF(OR(AD2558&lt;&gt;"",O2558="*CANCELADO"),"",NETWORKDAYS(AC2558,TODAY(),#REF!)))</f>
        <v/>
      </c>
      <c r="AF2558" s="619"/>
    </row>
    <row r="2559" spans="1:32" ht="14.25" customHeight="1">
      <c r="A2559" s="176"/>
      <c r="B2559" s="176"/>
      <c r="C2559" s="177"/>
      <c r="D2559" s="176"/>
      <c r="E2559" s="176"/>
      <c r="F2559" s="259"/>
      <c r="G2559" s="176"/>
      <c r="H2559" s="178"/>
      <c r="I2559" s="592">
        <f t="shared" si="96"/>
        <v>0</v>
      </c>
      <c r="J2559" s="178"/>
      <c r="K2559" s="178"/>
      <c r="L2559" s="275" t="str">
        <f>IF(H:H=0,"",IF(ISERROR(VLOOKUP(H:H,produtos_escape2!$A$2:$B$2794,2,FALSE)),"Código não cadastrado",(VLOOKUP(H:H,produtos_escape2!$A$2:$B$2794,2,FALSE))))</f>
        <v/>
      </c>
      <c r="M2559" s="593" t="str">
        <f>IF(H:H=0,"",IF(ISERROR(VLOOKUP(H:H,produtos_escape2!$A$2:$D$2794,2,FALSE)),"Código não cadastrado",(VLOOKUP(H:H,produtos_escape2!$A$2:$D$2794,4,FALSE))))</f>
        <v/>
      </c>
      <c r="N2559" s="486"/>
      <c r="O2559" s="176"/>
      <c r="P2559" s="486"/>
      <c r="Q2559" s="247"/>
      <c r="R2559" s="246">
        <f t="shared" si="95"/>
        <v>0</v>
      </c>
      <c r="S2559" s="177"/>
      <c r="T2559" s="182"/>
      <c r="U2559" s="177"/>
      <c r="V2559" s="177"/>
      <c r="W2559" s="177"/>
      <c r="X2559" s="176"/>
      <c r="Y2559" s="177"/>
      <c r="Z2559" s="415"/>
      <c r="AA2559" s="488"/>
      <c r="AB2559" s="594"/>
      <c r="AC2559" s="595"/>
      <c r="AD2559" s="596" t="str">
        <f>IF(AND(AC2559&lt;&gt;"",S2559&lt;&gt;""),NETWORKDAYS(AC2559,S2559,#REF!),"")</f>
        <v/>
      </c>
      <c r="AE2559" s="596" t="str">
        <f ca="1">IF(AND(AD2559="",AC2559=""),"",IF(OR(AD2559&lt;&gt;"",O2559="*CANCELADO"),"",NETWORKDAYS(AC2559,TODAY(),#REF!)))</f>
        <v/>
      </c>
      <c r="AF2559" s="619"/>
    </row>
    <row r="2560" spans="1:32" ht="14.25" customHeight="1">
      <c r="A2560" s="176"/>
      <c r="B2560" s="176"/>
      <c r="C2560" s="177"/>
      <c r="D2560" s="176"/>
      <c r="E2560" s="176"/>
      <c r="F2560" s="259"/>
      <c r="G2560" s="176"/>
      <c r="H2560" s="178"/>
      <c r="I2560" s="592">
        <f t="shared" si="96"/>
        <v>0</v>
      </c>
      <c r="J2560" s="178"/>
      <c r="K2560" s="178"/>
      <c r="L2560" s="275" t="str">
        <f>IF(H:H=0,"",IF(ISERROR(VLOOKUP(H:H,produtos_escape2!$A$2:$B$2794,2,FALSE)),"Código não cadastrado",(VLOOKUP(H:H,produtos_escape2!$A$2:$B$2794,2,FALSE))))</f>
        <v/>
      </c>
      <c r="M2560" s="593" t="str">
        <f>IF(H:H=0,"",IF(ISERROR(VLOOKUP(H:H,produtos_escape2!$A$2:$D$2794,2,FALSE)),"Código não cadastrado",(VLOOKUP(H:H,produtos_escape2!$A$2:$D$2794,4,FALSE))))</f>
        <v/>
      </c>
      <c r="N2560" s="486"/>
      <c r="O2560" s="176"/>
      <c r="P2560" s="486"/>
      <c r="Q2560" s="247"/>
      <c r="R2560" s="246">
        <f t="shared" si="95"/>
        <v>0</v>
      </c>
      <c r="S2560" s="177"/>
      <c r="T2560" s="182"/>
      <c r="U2560" s="177"/>
      <c r="V2560" s="177"/>
      <c r="W2560" s="177"/>
      <c r="X2560" s="176"/>
      <c r="Y2560" s="177"/>
      <c r="Z2560" s="415"/>
      <c r="AA2560" s="488"/>
      <c r="AB2560" s="594"/>
      <c r="AC2560" s="595"/>
      <c r="AD2560" s="596" t="str">
        <f>IF(AND(AC2560&lt;&gt;"",S2560&lt;&gt;""),NETWORKDAYS(AC2560,S2560,#REF!),"")</f>
        <v/>
      </c>
      <c r="AE2560" s="596" t="str">
        <f ca="1">IF(AND(AD2560="",AC2560=""),"",IF(OR(AD2560&lt;&gt;"",O2560="*CANCELADO"),"",NETWORKDAYS(AC2560,TODAY(),#REF!)))</f>
        <v/>
      </c>
      <c r="AF2560" s="619"/>
    </row>
    <row r="2561" spans="1:32" ht="14.25" customHeight="1">
      <c r="A2561" s="176"/>
      <c r="B2561" s="176"/>
      <c r="C2561" s="177"/>
      <c r="D2561" s="176"/>
      <c r="E2561" s="176"/>
      <c r="F2561" s="259"/>
      <c r="G2561" s="176"/>
      <c r="H2561" s="178"/>
      <c r="I2561" s="592">
        <f t="shared" si="96"/>
        <v>0</v>
      </c>
      <c r="J2561" s="178"/>
      <c r="K2561" s="178"/>
      <c r="L2561" s="275" t="str">
        <f>IF(H:H=0,"",IF(ISERROR(VLOOKUP(H:H,produtos_escape2!$A$2:$B$2794,2,FALSE)),"Código não cadastrado",(VLOOKUP(H:H,produtos_escape2!$A$2:$B$2794,2,FALSE))))</f>
        <v/>
      </c>
      <c r="M2561" s="593" t="str">
        <f>IF(H:H=0,"",IF(ISERROR(VLOOKUP(H:H,produtos_escape2!$A$2:$D$2794,2,FALSE)),"Código não cadastrado",(VLOOKUP(H:H,produtos_escape2!$A$2:$D$2794,4,FALSE))))</f>
        <v/>
      </c>
      <c r="N2561" s="486"/>
      <c r="O2561" s="176"/>
      <c r="P2561" s="486"/>
      <c r="Q2561" s="247"/>
      <c r="R2561" s="246">
        <f t="shared" si="95"/>
        <v>0</v>
      </c>
      <c r="S2561" s="177"/>
      <c r="T2561" s="182"/>
      <c r="U2561" s="177"/>
      <c r="V2561" s="177"/>
      <c r="W2561" s="177"/>
      <c r="X2561" s="176"/>
      <c r="Y2561" s="177"/>
      <c r="Z2561" s="415"/>
      <c r="AA2561" s="488"/>
      <c r="AB2561" s="594"/>
      <c r="AC2561" s="595"/>
      <c r="AD2561" s="596" t="str">
        <f>IF(AND(AC2561&lt;&gt;"",S2561&lt;&gt;""),NETWORKDAYS(AC2561,S2561,#REF!),"")</f>
        <v/>
      </c>
      <c r="AE2561" s="596" t="str">
        <f ca="1">IF(AND(AD2561="",AC2561=""),"",IF(OR(AD2561&lt;&gt;"",O2561="*CANCELADO"),"",NETWORKDAYS(AC2561,TODAY(),#REF!)))</f>
        <v/>
      </c>
      <c r="AF2561" s="619"/>
    </row>
    <row r="2562" spans="1:32" ht="14.25" customHeight="1">
      <c r="A2562" s="176"/>
      <c r="B2562" s="176"/>
      <c r="C2562" s="177"/>
      <c r="D2562" s="176"/>
      <c r="E2562" s="176"/>
      <c r="F2562" s="259"/>
      <c r="G2562" s="176"/>
      <c r="H2562" s="178"/>
      <c r="I2562" s="592">
        <f t="shared" si="96"/>
        <v>0</v>
      </c>
      <c r="J2562" s="178"/>
      <c r="K2562" s="178"/>
      <c r="L2562" s="275" t="str">
        <f>IF(H:H=0,"",IF(ISERROR(VLOOKUP(H:H,produtos_escape2!$A$2:$B$2794,2,FALSE)),"Código não cadastrado",(VLOOKUP(H:H,produtos_escape2!$A$2:$B$2794,2,FALSE))))</f>
        <v/>
      </c>
      <c r="M2562" s="593" t="str">
        <f>IF(H:H=0,"",IF(ISERROR(VLOOKUP(H:H,produtos_escape2!$A$2:$D$2794,2,FALSE)),"Código não cadastrado",(VLOOKUP(H:H,produtos_escape2!$A$2:$D$2794,4,FALSE))))</f>
        <v/>
      </c>
      <c r="N2562" s="486"/>
      <c r="O2562" s="176"/>
      <c r="P2562" s="486"/>
      <c r="Q2562" s="247"/>
      <c r="R2562" s="246">
        <f t="shared" si="95"/>
        <v>0</v>
      </c>
      <c r="S2562" s="177"/>
      <c r="T2562" s="182"/>
      <c r="U2562" s="177"/>
      <c r="V2562" s="177"/>
      <c r="W2562" s="177"/>
      <c r="X2562" s="176"/>
      <c r="Y2562" s="177"/>
      <c r="Z2562" s="415"/>
      <c r="AA2562" s="488"/>
      <c r="AB2562" s="594"/>
      <c r="AC2562" s="595"/>
      <c r="AD2562" s="596" t="str">
        <f>IF(AND(AC2562&lt;&gt;"",S2562&lt;&gt;""),NETWORKDAYS(AC2562,S2562,#REF!),"")</f>
        <v/>
      </c>
      <c r="AE2562" s="596" t="str">
        <f ca="1">IF(AND(AD2562="",AC2562=""),"",IF(OR(AD2562&lt;&gt;"",O2562="*CANCELADO"),"",NETWORKDAYS(AC2562,TODAY(),#REF!)))</f>
        <v/>
      </c>
      <c r="AF2562" s="619"/>
    </row>
    <row r="2563" spans="1:32" ht="14.25" customHeight="1">
      <c r="A2563" s="176"/>
      <c r="B2563" s="176"/>
      <c r="C2563" s="177"/>
      <c r="D2563" s="176"/>
      <c r="E2563" s="176"/>
      <c r="F2563" s="259"/>
      <c r="G2563" s="176"/>
      <c r="H2563" s="178"/>
      <c r="I2563" s="592">
        <f t="shared" si="96"/>
        <v>0</v>
      </c>
      <c r="J2563" s="178"/>
      <c r="K2563" s="178"/>
      <c r="L2563" s="275" t="str">
        <f>IF(H:H=0,"",IF(ISERROR(VLOOKUP(H:H,produtos_escape2!$A$2:$B$2794,2,FALSE)),"Código não cadastrado",(VLOOKUP(H:H,produtos_escape2!$A$2:$B$2794,2,FALSE))))</f>
        <v/>
      </c>
      <c r="M2563" s="593" t="str">
        <f>IF(H:H=0,"",IF(ISERROR(VLOOKUP(H:H,produtos_escape2!$A$2:$D$2794,2,FALSE)),"Código não cadastrado",(VLOOKUP(H:H,produtos_escape2!$A$2:$D$2794,4,FALSE))))</f>
        <v/>
      </c>
      <c r="N2563" s="486"/>
      <c r="O2563" s="176"/>
      <c r="P2563" s="486"/>
      <c r="Q2563" s="247"/>
      <c r="R2563" s="246">
        <f t="shared" si="95"/>
        <v>0</v>
      </c>
      <c r="S2563" s="177"/>
      <c r="T2563" s="182"/>
      <c r="U2563" s="177"/>
      <c r="V2563" s="177"/>
      <c r="W2563" s="177"/>
      <c r="X2563" s="176"/>
      <c r="Y2563" s="177"/>
      <c r="Z2563" s="415"/>
      <c r="AA2563" s="488"/>
      <c r="AB2563" s="594"/>
      <c r="AC2563" s="595"/>
      <c r="AD2563" s="596" t="str">
        <f>IF(AND(AC2563&lt;&gt;"",S2563&lt;&gt;""),NETWORKDAYS(AC2563,S2563,#REF!),"")</f>
        <v/>
      </c>
      <c r="AE2563" s="596" t="str">
        <f ca="1">IF(AND(AD2563="",AC2563=""),"",IF(OR(AD2563&lt;&gt;"",O2563="*CANCELADO"),"",NETWORKDAYS(AC2563,TODAY(),#REF!)))</f>
        <v/>
      </c>
      <c r="AF2563" s="619"/>
    </row>
    <row r="2564" spans="1:32" ht="14.25" customHeight="1">
      <c r="A2564" s="176"/>
      <c r="B2564" s="176"/>
      <c r="C2564" s="177"/>
      <c r="D2564" s="176"/>
      <c r="E2564" s="176"/>
      <c r="F2564" s="259"/>
      <c r="G2564" s="176"/>
      <c r="H2564" s="178"/>
      <c r="I2564" s="592">
        <f t="shared" si="96"/>
        <v>0</v>
      </c>
      <c r="J2564" s="178"/>
      <c r="K2564" s="178"/>
      <c r="L2564" s="275" t="str">
        <f>IF(H:H=0,"",IF(ISERROR(VLOOKUP(H:H,produtos_escape2!$A$2:$B$2794,2,FALSE)),"Código não cadastrado",(VLOOKUP(H:H,produtos_escape2!$A$2:$B$2794,2,FALSE))))</f>
        <v/>
      </c>
      <c r="M2564" s="593" t="str">
        <f>IF(H:H=0,"",IF(ISERROR(VLOOKUP(H:H,produtos_escape2!$A$2:$D$2794,2,FALSE)),"Código não cadastrado",(VLOOKUP(H:H,produtos_escape2!$A$2:$D$2794,4,FALSE))))</f>
        <v/>
      </c>
      <c r="N2564" s="486"/>
      <c r="O2564" s="176"/>
      <c r="P2564" s="486"/>
      <c r="Q2564" s="247"/>
      <c r="R2564" s="246">
        <f t="shared" si="95"/>
        <v>0</v>
      </c>
      <c r="S2564" s="177"/>
      <c r="T2564" s="182"/>
      <c r="U2564" s="177"/>
      <c r="V2564" s="177"/>
      <c r="W2564" s="177"/>
      <c r="X2564" s="176"/>
      <c r="Y2564" s="177"/>
      <c r="Z2564" s="415"/>
      <c r="AA2564" s="488"/>
      <c r="AB2564" s="594"/>
      <c r="AC2564" s="595"/>
      <c r="AD2564" s="596" t="str">
        <f>IF(AND(AC2564&lt;&gt;"",S2564&lt;&gt;""),NETWORKDAYS(AC2564,S2564,#REF!),"")</f>
        <v/>
      </c>
      <c r="AE2564" s="596" t="str">
        <f ca="1">IF(AND(AD2564="",AC2564=""),"",IF(OR(AD2564&lt;&gt;"",O2564="*CANCELADO"),"",NETWORKDAYS(AC2564,TODAY(),#REF!)))</f>
        <v/>
      </c>
      <c r="AF2564" s="619"/>
    </row>
    <row r="2565" spans="1:32" ht="14.25" customHeight="1">
      <c r="A2565" s="176"/>
      <c r="B2565" s="176"/>
      <c r="C2565" s="177"/>
      <c r="D2565" s="176"/>
      <c r="E2565" s="176"/>
      <c r="F2565" s="259"/>
      <c r="G2565" s="176"/>
      <c r="H2565" s="178"/>
      <c r="I2565" s="592">
        <f t="shared" si="96"/>
        <v>0</v>
      </c>
      <c r="J2565" s="178"/>
      <c r="K2565" s="178"/>
      <c r="L2565" s="275" t="str">
        <f>IF(H:H=0,"",IF(ISERROR(VLOOKUP(H:H,produtos_escape2!$A$2:$B$2794,2,FALSE)),"Código não cadastrado",(VLOOKUP(H:H,produtos_escape2!$A$2:$B$2794,2,FALSE))))</f>
        <v/>
      </c>
      <c r="M2565" s="593" t="str">
        <f>IF(H:H=0,"",IF(ISERROR(VLOOKUP(H:H,produtos_escape2!$A$2:$D$2794,2,FALSE)),"Código não cadastrado",(VLOOKUP(H:H,produtos_escape2!$A$2:$D$2794,4,FALSE))))</f>
        <v/>
      </c>
      <c r="N2565" s="486"/>
      <c r="O2565" s="176"/>
      <c r="P2565" s="486"/>
      <c r="Q2565" s="247"/>
      <c r="R2565" s="246">
        <f t="shared" si="95"/>
        <v>0</v>
      </c>
      <c r="S2565" s="177"/>
      <c r="T2565" s="182"/>
      <c r="U2565" s="177"/>
      <c r="V2565" s="177"/>
      <c r="W2565" s="177"/>
      <c r="X2565" s="176"/>
      <c r="Y2565" s="177"/>
      <c r="Z2565" s="415"/>
      <c r="AA2565" s="488"/>
      <c r="AB2565" s="594"/>
      <c r="AC2565" s="595"/>
      <c r="AD2565" s="596" t="str">
        <f>IF(AND(AC2565&lt;&gt;"",S2565&lt;&gt;""),NETWORKDAYS(AC2565,S2565,#REF!),"")</f>
        <v/>
      </c>
      <c r="AE2565" s="596" t="str">
        <f ca="1">IF(AND(AD2565="",AC2565=""),"",IF(OR(AD2565&lt;&gt;"",O2565="*CANCELADO"),"",NETWORKDAYS(AC2565,TODAY(),#REF!)))</f>
        <v/>
      </c>
      <c r="AF2565" s="619"/>
    </row>
    <row r="2566" spans="1:32" ht="14.25" customHeight="1">
      <c r="A2566" s="176"/>
      <c r="B2566" s="176"/>
      <c r="C2566" s="177"/>
      <c r="D2566" s="176"/>
      <c r="E2566" s="176"/>
      <c r="F2566" s="259"/>
      <c r="G2566" s="176"/>
      <c r="H2566" s="178"/>
      <c r="I2566" s="592">
        <f t="shared" si="96"/>
        <v>0</v>
      </c>
      <c r="J2566" s="178"/>
      <c r="K2566" s="178"/>
      <c r="L2566" s="275" t="str">
        <f>IF(H:H=0,"",IF(ISERROR(VLOOKUP(H:H,produtos_escape2!$A$2:$B$2794,2,FALSE)),"Código não cadastrado",(VLOOKUP(H:H,produtos_escape2!$A$2:$B$2794,2,FALSE))))</f>
        <v/>
      </c>
      <c r="M2566" s="593" t="str">
        <f>IF(H:H=0,"",IF(ISERROR(VLOOKUP(H:H,produtos_escape2!$A$2:$D$2794,2,FALSE)),"Código não cadastrado",(VLOOKUP(H:H,produtos_escape2!$A$2:$D$2794,4,FALSE))))</f>
        <v/>
      </c>
      <c r="N2566" s="486"/>
      <c r="O2566" s="176"/>
      <c r="P2566" s="486"/>
      <c r="Q2566" s="247"/>
      <c r="R2566" s="246">
        <f t="shared" si="95"/>
        <v>0</v>
      </c>
      <c r="S2566" s="177"/>
      <c r="T2566" s="182"/>
      <c r="U2566" s="177"/>
      <c r="V2566" s="177"/>
      <c r="W2566" s="177"/>
      <c r="X2566" s="176"/>
      <c r="Y2566" s="177"/>
      <c r="Z2566" s="415"/>
      <c r="AA2566" s="488"/>
      <c r="AB2566" s="594"/>
      <c r="AC2566" s="595"/>
      <c r="AD2566" s="596" t="str">
        <f>IF(AND(AC2566&lt;&gt;"",S2566&lt;&gt;""),NETWORKDAYS(AC2566,S2566,#REF!),"")</f>
        <v/>
      </c>
      <c r="AE2566" s="596" t="str">
        <f ca="1">IF(AND(AD2566="",AC2566=""),"",IF(OR(AD2566&lt;&gt;"",O2566="*CANCELADO"),"",NETWORKDAYS(AC2566,TODAY(),#REF!)))</f>
        <v/>
      </c>
      <c r="AF2566" s="619"/>
    </row>
    <row r="2567" spans="1:32" ht="14.25" customHeight="1">
      <c r="A2567" s="176"/>
      <c r="B2567" s="176"/>
      <c r="C2567" s="177"/>
      <c r="D2567" s="176"/>
      <c r="E2567" s="176"/>
      <c r="F2567" s="259"/>
      <c r="G2567" s="176"/>
      <c r="H2567" s="178"/>
      <c r="I2567" s="592">
        <f t="shared" si="96"/>
        <v>0</v>
      </c>
      <c r="J2567" s="178"/>
      <c r="K2567" s="178"/>
      <c r="L2567" s="275" t="str">
        <f>IF(H:H=0,"",IF(ISERROR(VLOOKUP(H:H,produtos_escape2!$A$2:$B$2794,2,FALSE)),"Código não cadastrado",(VLOOKUP(H:H,produtos_escape2!$A$2:$B$2794,2,FALSE))))</f>
        <v/>
      </c>
      <c r="M2567" s="593" t="str">
        <f>IF(H:H=0,"",IF(ISERROR(VLOOKUP(H:H,produtos_escape2!$A$2:$D$2794,2,FALSE)),"Código não cadastrado",(VLOOKUP(H:H,produtos_escape2!$A$2:$D$2794,4,FALSE))))</f>
        <v/>
      </c>
      <c r="N2567" s="486"/>
      <c r="O2567" s="176"/>
      <c r="P2567" s="486"/>
      <c r="Q2567" s="247"/>
      <c r="R2567" s="246">
        <f t="shared" si="95"/>
        <v>0</v>
      </c>
      <c r="S2567" s="177"/>
      <c r="T2567" s="182"/>
      <c r="U2567" s="177"/>
      <c r="V2567" s="177"/>
      <c r="W2567" s="177"/>
      <c r="X2567" s="176"/>
      <c r="Y2567" s="177"/>
      <c r="Z2567" s="415"/>
      <c r="AA2567" s="488"/>
      <c r="AB2567" s="594"/>
      <c r="AC2567" s="595"/>
      <c r="AD2567" s="596" t="str">
        <f>IF(AND(AC2567&lt;&gt;"",S2567&lt;&gt;""),NETWORKDAYS(AC2567,S2567,#REF!),"")</f>
        <v/>
      </c>
      <c r="AE2567" s="596" t="str">
        <f ca="1">IF(AND(AD2567="",AC2567=""),"",IF(OR(AD2567&lt;&gt;"",O2567="*CANCELADO"),"",NETWORKDAYS(AC2567,TODAY(),#REF!)))</f>
        <v/>
      </c>
      <c r="AF2567" s="619"/>
    </row>
    <row r="2568" spans="1:32" ht="14.25" customHeight="1">
      <c r="A2568" s="176"/>
      <c r="B2568" s="176"/>
      <c r="C2568" s="177"/>
      <c r="D2568" s="176"/>
      <c r="E2568" s="176"/>
      <c r="F2568" s="259"/>
      <c r="G2568" s="176"/>
      <c r="H2568" s="178"/>
      <c r="I2568" s="592">
        <f t="shared" si="96"/>
        <v>0</v>
      </c>
      <c r="J2568" s="178"/>
      <c r="K2568" s="178"/>
      <c r="L2568" s="275" t="str">
        <f>IF(H:H=0,"",IF(ISERROR(VLOOKUP(H:H,produtos_escape2!$A$2:$B$2794,2,FALSE)),"Código não cadastrado",(VLOOKUP(H:H,produtos_escape2!$A$2:$B$2794,2,FALSE))))</f>
        <v/>
      </c>
      <c r="M2568" s="593" t="str">
        <f>IF(H:H=0,"",IF(ISERROR(VLOOKUP(H:H,produtos_escape2!$A$2:$D$2794,2,FALSE)),"Código não cadastrado",(VLOOKUP(H:H,produtos_escape2!$A$2:$D$2794,4,FALSE))))</f>
        <v/>
      </c>
      <c r="N2568" s="486"/>
      <c r="O2568" s="176"/>
      <c r="P2568" s="486"/>
      <c r="Q2568" s="247"/>
      <c r="R2568" s="246">
        <f t="shared" si="95"/>
        <v>0</v>
      </c>
      <c r="S2568" s="177"/>
      <c r="T2568" s="182"/>
      <c r="U2568" s="177"/>
      <c r="V2568" s="177"/>
      <c r="W2568" s="177"/>
      <c r="X2568" s="176"/>
      <c r="Y2568" s="177"/>
      <c r="Z2568" s="415"/>
      <c r="AA2568" s="488"/>
      <c r="AB2568" s="594"/>
      <c r="AC2568" s="595"/>
      <c r="AD2568" s="596" t="str">
        <f>IF(AND(AC2568&lt;&gt;"",S2568&lt;&gt;""),NETWORKDAYS(AC2568,S2568,#REF!),"")</f>
        <v/>
      </c>
      <c r="AE2568" s="596" t="str">
        <f ca="1">IF(AND(AD2568="",AC2568=""),"",IF(OR(AD2568&lt;&gt;"",O2568="*CANCELADO"),"",NETWORKDAYS(AC2568,TODAY(),#REF!)))</f>
        <v/>
      </c>
      <c r="AF2568" s="619"/>
    </row>
    <row r="2569" spans="1:32" ht="14.25" customHeight="1">
      <c r="A2569" s="176"/>
      <c r="B2569" s="176"/>
      <c r="C2569" s="177"/>
      <c r="D2569" s="176"/>
      <c r="E2569" s="176"/>
      <c r="F2569" s="259"/>
      <c r="G2569" s="176"/>
      <c r="H2569" s="178"/>
      <c r="I2569" s="592">
        <f t="shared" si="96"/>
        <v>0</v>
      </c>
      <c r="J2569" s="178"/>
      <c r="K2569" s="178"/>
      <c r="L2569" s="275" t="str">
        <f>IF(H:H=0,"",IF(ISERROR(VLOOKUP(H:H,produtos_escape2!$A$2:$B$2794,2,FALSE)),"Código não cadastrado",(VLOOKUP(H:H,produtos_escape2!$A$2:$B$2794,2,FALSE))))</f>
        <v/>
      </c>
      <c r="M2569" s="593" t="str">
        <f>IF(H:H=0,"",IF(ISERROR(VLOOKUP(H:H,produtos_escape2!$A$2:$D$2794,2,FALSE)),"Código não cadastrado",(VLOOKUP(H:H,produtos_escape2!$A$2:$D$2794,4,FALSE))))</f>
        <v/>
      </c>
      <c r="N2569" s="486"/>
      <c r="O2569" s="176"/>
      <c r="P2569" s="486"/>
      <c r="Q2569" s="247"/>
      <c r="R2569" s="246">
        <f t="shared" si="95"/>
        <v>0</v>
      </c>
      <c r="S2569" s="177"/>
      <c r="T2569" s="182"/>
      <c r="U2569" s="177"/>
      <c r="V2569" s="177"/>
      <c r="W2569" s="177"/>
      <c r="X2569" s="176"/>
      <c r="Y2569" s="177"/>
      <c r="Z2569" s="415"/>
      <c r="AA2569" s="488"/>
      <c r="AB2569" s="594"/>
      <c r="AC2569" s="595"/>
      <c r="AD2569" s="596" t="str">
        <f>IF(AND(AC2569&lt;&gt;"",S2569&lt;&gt;""),NETWORKDAYS(AC2569,S2569,#REF!),"")</f>
        <v/>
      </c>
      <c r="AE2569" s="596" t="str">
        <f ca="1">IF(AND(AD2569="",AC2569=""),"",IF(OR(AD2569&lt;&gt;"",O2569="*CANCELADO"),"",NETWORKDAYS(AC2569,TODAY(),#REF!)))</f>
        <v/>
      </c>
      <c r="AF2569" s="619"/>
    </row>
    <row r="2570" spans="1:32" ht="14.25" customHeight="1">
      <c r="A2570" s="176"/>
      <c r="B2570" s="176"/>
      <c r="C2570" s="177"/>
      <c r="D2570" s="176"/>
      <c r="E2570" s="176"/>
      <c r="F2570" s="259"/>
      <c r="G2570" s="176"/>
      <c r="H2570" s="178"/>
      <c r="I2570" s="592">
        <f t="shared" si="96"/>
        <v>0</v>
      </c>
      <c r="J2570" s="178"/>
      <c r="K2570" s="178"/>
      <c r="L2570" s="275" t="str">
        <f>IF(H:H=0,"",IF(ISERROR(VLOOKUP(H:H,produtos_escape2!$A$2:$B$2794,2,FALSE)),"Código não cadastrado",(VLOOKUP(H:H,produtos_escape2!$A$2:$B$2794,2,FALSE))))</f>
        <v/>
      </c>
      <c r="M2570" s="593" t="str">
        <f>IF(H:H=0,"",IF(ISERROR(VLOOKUP(H:H,produtos_escape2!$A$2:$D$2794,2,FALSE)),"Código não cadastrado",(VLOOKUP(H:H,produtos_escape2!$A$2:$D$2794,4,FALSE))))</f>
        <v/>
      </c>
      <c r="N2570" s="486"/>
      <c r="O2570" s="176"/>
      <c r="P2570" s="486"/>
      <c r="Q2570" s="247"/>
      <c r="R2570" s="246">
        <f t="shared" si="95"/>
        <v>0</v>
      </c>
      <c r="S2570" s="177"/>
      <c r="T2570" s="182"/>
      <c r="U2570" s="177"/>
      <c r="V2570" s="177"/>
      <c r="W2570" s="177"/>
      <c r="X2570" s="176"/>
      <c r="Y2570" s="177"/>
      <c r="Z2570" s="415"/>
      <c r="AA2570" s="488"/>
      <c r="AB2570" s="594"/>
      <c r="AC2570" s="595"/>
      <c r="AD2570" s="596" t="str">
        <f>IF(AND(AC2570&lt;&gt;"",S2570&lt;&gt;""),NETWORKDAYS(AC2570,S2570,#REF!),"")</f>
        <v/>
      </c>
      <c r="AE2570" s="596" t="str">
        <f ca="1">IF(AND(AD2570="",AC2570=""),"",IF(OR(AD2570&lt;&gt;"",O2570="*CANCELADO"),"",NETWORKDAYS(AC2570,TODAY(),#REF!)))</f>
        <v/>
      </c>
      <c r="AF2570" s="619"/>
    </row>
    <row r="2571" spans="1:32" ht="14.25" customHeight="1">
      <c r="A2571" s="176"/>
      <c r="B2571" s="176"/>
      <c r="C2571" s="177"/>
      <c r="D2571" s="176"/>
      <c r="E2571" s="176"/>
      <c r="F2571" s="259"/>
      <c r="G2571" s="176"/>
      <c r="H2571" s="178"/>
      <c r="I2571" s="592">
        <f t="shared" si="96"/>
        <v>0</v>
      </c>
      <c r="J2571" s="178"/>
      <c r="K2571" s="178"/>
      <c r="L2571" s="275" t="str">
        <f>IF(H:H=0,"",IF(ISERROR(VLOOKUP(H:H,produtos_escape2!$A$2:$B$2794,2,FALSE)),"Código não cadastrado",(VLOOKUP(H:H,produtos_escape2!$A$2:$B$2794,2,FALSE))))</f>
        <v/>
      </c>
      <c r="M2571" s="593" t="str">
        <f>IF(H:H=0,"",IF(ISERROR(VLOOKUP(H:H,produtos_escape2!$A$2:$D$2794,2,FALSE)),"Código não cadastrado",(VLOOKUP(H:H,produtos_escape2!$A$2:$D$2794,4,FALSE))))</f>
        <v/>
      </c>
      <c r="N2571" s="486"/>
      <c r="O2571" s="176"/>
      <c r="P2571" s="486"/>
      <c r="Q2571" s="247"/>
      <c r="R2571" s="246">
        <f t="shared" si="95"/>
        <v>0</v>
      </c>
      <c r="S2571" s="177"/>
      <c r="T2571" s="182"/>
      <c r="U2571" s="177"/>
      <c r="V2571" s="177"/>
      <c r="W2571" s="177"/>
      <c r="X2571" s="176"/>
      <c r="Y2571" s="177"/>
      <c r="Z2571" s="415"/>
      <c r="AA2571" s="488"/>
      <c r="AB2571" s="594"/>
      <c r="AC2571" s="595"/>
      <c r="AD2571" s="596" t="str">
        <f>IF(AND(AC2571&lt;&gt;"",S2571&lt;&gt;""),NETWORKDAYS(AC2571,S2571,#REF!),"")</f>
        <v/>
      </c>
      <c r="AE2571" s="596" t="str">
        <f ca="1">IF(AND(AD2571="",AC2571=""),"",IF(OR(AD2571&lt;&gt;"",O2571="*CANCELADO"),"",NETWORKDAYS(AC2571,TODAY(),#REF!)))</f>
        <v/>
      </c>
      <c r="AF2571" s="619"/>
    </row>
    <row r="2572" spans="1:32" ht="14.25" customHeight="1">
      <c r="A2572" s="176"/>
      <c r="B2572" s="176"/>
      <c r="C2572" s="177"/>
      <c r="D2572" s="176"/>
      <c r="E2572" s="176"/>
      <c r="F2572" s="259"/>
      <c r="G2572" s="176"/>
      <c r="H2572" s="178"/>
      <c r="I2572" s="592">
        <f t="shared" si="96"/>
        <v>0</v>
      </c>
      <c r="J2572" s="178"/>
      <c r="K2572" s="178"/>
      <c r="L2572" s="275" t="str">
        <f>IF(H:H=0,"",IF(ISERROR(VLOOKUP(H:H,produtos_escape2!$A$2:$B$2794,2,FALSE)),"Código não cadastrado",(VLOOKUP(H:H,produtos_escape2!$A$2:$B$2794,2,FALSE))))</f>
        <v/>
      </c>
      <c r="M2572" s="593" t="str">
        <f>IF(H:H=0,"",IF(ISERROR(VLOOKUP(H:H,produtos_escape2!$A$2:$D$2794,2,FALSE)),"Código não cadastrado",(VLOOKUP(H:H,produtos_escape2!$A$2:$D$2794,4,FALSE))))</f>
        <v/>
      </c>
      <c r="N2572" s="486"/>
      <c r="O2572" s="176"/>
      <c r="P2572" s="486"/>
      <c r="Q2572" s="247"/>
      <c r="R2572" s="246">
        <f t="shared" si="95"/>
        <v>0</v>
      </c>
      <c r="S2572" s="177"/>
      <c r="T2572" s="182"/>
      <c r="U2572" s="177"/>
      <c r="V2572" s="177"/>
      <c r="W2572" s="177"/>
      <c r="X2572" s="176"/>
      <c r="Y2572" s="177"/>
      <c r="Z2572" s="415"/>
      <c r="AA2572" s="488"/>
      <c r="AB2572" s="594"/>
      <c r="AC2572" s="595"/>
      <c r="AD2572" s="596" t="str">
        <f>IF(AND(AC2572&lt;&gt;"",S2572&lt;&gt;""),NETWORKDAYS(AC2572,S2572,#REF!),"")</f>
        <v/>
      </c>
      <c r="AE2572" s="596" t="str">
        <f ca="1">IF(AND(AD2572="",AC2572=""),"",IF(OR(AD2572&lt;&gt;"",O2572="*CANCELADO"),"",NETWORKDAYS(AC2572,TODAY(),#REF!)))</f>
        <v/>
      </c>
      <c r="AF2572" s="619"/>
    </row>
    <row r="2573" spans="1:32" ht="14.25" customHeight="1">
      <c r="A2573" s="176"/>
      <c r="B2573" s="176"/>
      <c r="C2573" s="177"/>
      <c r="D2573" s="176"/>
      <c r="E2573" s="176"/>
      <c r="F2573" s="259"/>
      <c r="G2573" s="176"/>
      <c r="H2573" s="178"/>
      <c r="I2573" s="592">
        <f t="shared" si="96"/>
        <v>0</v>
      </c>
      <c r="J2573" s="178"/>
      <c r="K2573" s="178"/>
      <c r="L2573" s="275" t="str">
        <f>IF(H:H=0,"",IF(ISERROR(VLOOKUP(H:H,produtos_escape2!$A$2:$B$2794,2,FALSE)),"Código não cadastrado",(VLOOKUP(H:H,produtos_escape2!$A$2:$B$2794,2,FALSE))))</f>
        <v/>
      </c>
      <c r="M2573" s="593" t="str">
        <f>IF(H:H=0,"",IF(ISERROR(VLOOKUP(H:H,produtos_escape2!$A$2:$D$2794,2,FALSE)),"Código não cadastrado",(VLOOKUP(H:H,produtos_escape2!$A$2:$D$2794,4,FALSE))))</f>
        <v/>
      </c>
      <c r="N2573" s="486"/>
      <c r="O2573" s="176"/>
      <c r="P2573" s="486"/>
      <c r="Q2573" s="247"/>
      <c r="R2573" s="246">
        <f t="shared" si="95"/>
        <v>0</v>
      </c>
      <c r="S2573" s="177"/>
      <c r="T2573" s="182"/>
      <c r="U2573" s="177"/>
      <c r="V2573" s="177"/>
      <c r="W2573" s="177"/>
      <c r="X2573" s="176"/>
      <c r="Y2573" s="177"/>
      <c r="Z2573" s="415"/>
      <c r="AA2573" s="488"/>
      <c r="AB2573" s="594"/>
      <c r="AC2573" s="595"/>
      <c r="AD2573" s="596" t="str">
        <f>IF(AND(AC2573&lt;&gt;"",S2573&lt;&gt;""),NETWORKDAYS(AC2573,S2573,#REF!),"")</f>
        <v/>
      </c>
      <c r="AE2573" s="596" t="str">
        <f ca="1">IF(AND(AD2573="",AC2573=""),"",IF(OR(AD2573&lt;&gt;"",O2573="*CANCELADO"),"",NETWORKDAYS(AC2573,TODAY(),#REF!)))</f>
        <v/>
      </c>
      <c r="AF2573" s="619"/>
    </row>
    <row r="2574" spans="1:32" ht="14.25" customHeight="1">
      <c r="A2574" s="176"/>
      <c r="B2574" s="176"/>
      <c r="C2574" s="177"/>
      <c r="D2574" s="176"/>
      <c r="E2574" s="176"/>
      <c r="F2574" s="259"/>
      <c r="G2574" s="176"/>
      <c r="H2574" s="178"/>
      <c r="I2574" s="592">
        <f t="shared" si="96"/>
        <v>0</v>
      </c>
      <c r="J2574" s="178"/>
      <c r="K2574" s="178"/>
      <c r="L2574" s="275" t="str">
        <f>IF(H:H=0,"",IF(ISERROR(VLOOKUP(H:H,produtos_escape2!$A$2:$B$2794,2,FALSE)),"Código não cadastrado",(VLOOKUP(H:H,produtos_escape2!$A$2:$B$2794,2,FALSE))))</f>
        <v/>
      </c>
      <c r="M2574" s="593" t="str">
        <f>IF(H:H=0,"",IF(ISERROR(VLOOKUP(H:H,produtos_escape2!$A$2:$D$2794,2,FALSE)),"Código não cadastrado",(VLOOKUP(H:H,produtos_escape2!$A$2:$D$2794,4,FALSE))))</f>
        <v/>
      </c>
      <c r="N2574" s="486"/>
      <c r="O2574" s="176"/>
      <c r="P2574" s="486"/>
      <c r="Q2574" s="247"/>
      <c r="R2574" s="246">
        <f t="shared" si="95"/>
        <v>0</v>
      </c>
      <c r="S2574" s="177"/>
      <c r="T2574" s="182"/>
      <c r="U2574" s="177"/>
      <c r="V2574" s="177"/>
      <c r="W2574" s="177"/>
      <c r="X2574" s="176"/>
      <c r="Y2574" s="177"/>
      <c r="Z2574" s="415"/>
      <c r="AA2574" s="488"/>
      <c r="AB2574" s="594"/>
      <c r="AC2574" s="595"/>
      <c r="AD2574" s="596" t="str">
        <f>IF(AND(AC2574&lt;&gt;"",S2574&lt;&gt;""),NETWORKDAYS(AC2574,S2574,#REF!),"")</f>
        <v/>
      </c>
      <c r="AE2574" s="596" t="str">
        <f ca="1">IF(AND(AD2574="",AC2574=""),"",IF(OR(AD2574&lt;&gt;"",O2574="*CANCELADO"),"",NETWORKDAYS(AC2574,TODAY(),#REF!)))</f>
        <v/>
      </c>
      <c r="AF2574" s="619"/>
    </row>
    <row r="2575" spans="1:32" ht="14.25" customHeight="1">
      <c r="A2575" s="176"/>
      <c r="B2575" s="176"/>
      <c r="C2575" s="177"/>
      <c r="D2575" s="176"/>
      <c r="E2575" s="176"/>
      <c r="F2575" s="259"/>
      <c r="G2575" s="176"/>
      <c r="H2575" s="178"/>
      <c r="I2575" s="592">
        <f t="shared" si="96"/>
        <v>0</v>
      </c>
      <c r="J2575" s="178"/>
      <c r="K2575" s="178"/>
      <c r="L2575" s="275" t="str">
        <f>IF(H:H=0,"",IF(ISERROR(VLOOKUP(H:H,produtos_escape2!$A$2:$B$2794,2,FALSE)),"Código não cadastrado",(VLOOKUP(H:H,produtos_escape2!$A$2:$B$2794,2,FALSE))))</f>
        <v/>
      </c>
      <c r="M2575" s="593" t="str">
        <f>IF(H:H=0,"",IF(ISERROR(VLOOKUP(H:H,produtos_escape2!$A$2:$D$2794,2,FALSE)),"Código não cadastrado",(VLOOKUP(H:H,produtos_escape2!$A$2:$D$2794,4,FALSE))))</f>
        <v/>
      </c>
      <c r="N2575" s="486"/>
      <c r="O2575" s="176"/>
      <c r="P2575" s="486"/>
      <c r="Q2575" s="247"/>
      <c r="R2575" s="246">
        <f t="shared" si="95"/>
        <v>0</v>
      </c>
      <c r="S2575" s="177"/>
      <c r="T2575" s="182"/>
      <c r="U2575" s="177"/>
      <c r="V2575" s="177"/>
      <c r="W2575" s="177"/>
      <c r="X2575" s="176"/>
      <c r="Y2575" s="177"/>
      <c r="Z2575" s="415"/>
      <c r="AA2575" s="488"/>
      <c r="AB2575" s="594"/>
      <c r="AC2575" s="595"/>
      <c r="AD2575" s="596" t="str">
        <f>IF(AND(AC2575&lt;&gt;"",S2575&lt;&gt;""),NETWORKDAYS(AC2575,S2575,#REF!),"")</f>
        <v/>
      </c>
      <c r="AE2575" s="596" t="str">
        <f ca="1">IF(AND(AD2575="",AC2575=""),"",IF(OR(AD2575&lt;&gt;"",O2575="*CANCELADO"),"",NETWORKDAYS(AC2575,TODAY(),#REF!)))</f>
        <v/>
      </c>
      <c r="AF2575" s="619"/>
    </row>
    <row r="2576" spans="1:32" ht="14.25" customHeight="1">
      <c r="A2576" s="176"/>
      <c r="B2576" s="176"/>
      <c r="C2576" s="177"/>
      <c r="D2576" s="176"/>
      <c r="E2576" s="176"/>
      <c r="F2576" s="259"/>
      <c r="G2576" s="176"/>
      <c r="H2576" s="178"/>
      <c r="I2576" s="592">
        <f t="shared" si="96"/>
        <v>0</v>
      </c>
      <c r="J2576" s="178"/>
      <c r="K2576" s="178"/>
      <c r="L2576" s="275" t="str">
        <f>IF(H:H=0,"",IF(ISERROR(VLOOKUP(H:H,produtos_escape2!$A$2:$B$2794,2,FALSE)),"Código não cadastrado",(VLOOKUP(H:H,produtos_escape2!$A$2:$B$2794,2,FALSE))))</f>
        <v/>
      </c>
      <c r="M2576" s="593" t="str">
        <f>IF(H:H=0,"",IF(ISERROR(VLOOKUP(H:H,produtos_escape2!$A$2:$D$2794,2,FALSE)),"Código não cadastrado",(VLOOKUP(H:H,produtos_escape2!$A$2:$D$2794,4,FALSE))))</f>
        <v/>
      </c>
      <c r="N2576" s="486"/>
      <c r="O2576" s="176"/>
      <c r="P2576" s="486"/>
      <c r="Q2576" s="247"/>
      <c r="R2576" s="246">
        <f t="shared" si="95"/>
        <v>0</v>
      </c>
      <c r="S2576" s="177"/>
      <c r="T2576" s="182"/>
      <c r="U2576" s="177"/>
      <c r="V2576" s="177"/>
      <c r="W2576" s="177"/>
      <c r="X2576" s="176"/>
      <c r="Y2576" s="177"/>
      <c r="Z2576" s="415"/>
      <c r="AA2576" s="488"/>
      <c r="AB2576" s="594"/>
      <c r="AC2576" s="595"/>
      <c r="AD2576" s="596" t="str">
        <f>IF(AND(AC2576&lt;&gt;"",S2576&lt;&gt;""),NETWORKDAYS(AC2576,S2576,#REF!),"")</f>
        <v/>
      </c>
      <c r="AE2576" s="596" t="str">
        <f ca="1">IF(AND(AD2576="",AC2576=""),"",IF(OR(AD2576&lt;&gt;"",O2576="*CANCELADO"),"",NETWORKDAYS(AC2576,TODAY(),#REF!)))</f>
        <v/>
      </c>
      <c r="AF2576" s="619"/>
    </row>
    <row r="2577" spans="1:32" ht="14.25" customHeight="1">
      <c r="A2577" s="176"/>
      <c r="B2577" s="176"/>
      <c r="C2577" s="177"/>
      <c r="D2577" s="176"/>
      <c r="E2577" s="176"/>
      <c r="F2577" s="259"/>
      <c r="G2577" s="176"/>
      <c r="H2577" s="178"/>
      <c r="I2577" s="592">
        <f t="shared" si="96"/>
        <v>0</v>
      </c>
      <c r="J2577" s="178"/>
      <c r="K2577" s="178"/>
      <c r="L2577" s="275" t="str">
        <f>IF(H:H=0,"",IF(ISERROR(VLOOKUP(H:H,produtos_escape2!$A$2:$B$2794,2,FALSE)),"Código não cadastrado",(VLOOKUP(H:H,produtos_escape2!$A$2:$B$2794,2,FALSE))))</f>
        <v/>
      </c>
      <c r="M2577" s="593" t="str">
        <f>IF(H:H=0,"",IF(ISERROR(VLOOKUP(H:H,produtos_escape2!$A$2:$D$2794,2,FALSE)),"Código não cadastrado",(VLOOKUP(H:H,produtos_escape2!$A$2:$D$2794,4,FALSE))))</f>
        <v/>
      </c>
      <c r="N2577" s="486"/>
      <c r="O2577" s="176"/>
      <c r="P2577" s="486"/>
      <c r="Q2577" s="247"/>
      <c r="R2577" s="246">
        <f t="shared" si="95"/>
        <v>0</v>
      </c>
      <c r="S2577" s="177"/>
      <c r="T2577" s="182"/>
      <c r="U2577" s="177"/>
      <c r="V2577" s="177"/>
      <c r="W2577" s="177"/>
      <c r="X2577" s="176"/>
      <c r="Y2577" s="177"/>
      <c r="Z2577" s="415"/>
      <c r="AA2577" s="488"/>
      <c r="AB2577" s="594"/>
      <c r="AC2577" s="595"/>
      <c r="AD2577" s="596" t="str">
        <f>IF(AND(AC2577&lt;&gt;"",S2577&lt;&gt;""),NETWORKDAYS(AC2577,S2577,#REF!),"")</f>
        <v/>
      </c>
      <c r="AE2577" s="596" t="str">
        <f ca="1">IF(AND(AD2577="",AC2577=""),"",IF(OR(AD2577&lt;&gt;"",O2577="*CANCELADO"),"",NETWORKDAYS(AC2577,TODAY(),#REF!)))</f>
        <v/>
      </c>
      <c r="AF2577" s="619"/>
    </row>
    <row r="2578" spans="1:32" ht="14.25" customHeight="1">
      <c r="A2578" s="176"/>
      <c r="B2578" s="176"/>
      <c r="C2578" s="177"/>
      <c r="D2578" s="176"/>
      <c r="E2578" s="176"/>
      <c r="F2578" s="259"/>
      <c r="G2578" s="176"/>
      <c r="H2578" s="178"/>
      <c r="I2578" s="592">
        <f t="shared" si="96"/>
        <v>0</v>
      </c>
      <c r="J2578" s="178"/>
      <c r="K2578" s="178"/>
      <c r="L2578" s="275" t="str">
        <f>IF(H:H=0,"",IF(ISERROR(VLOOKUP(H:H,produtos_escape2!$A$2:$B$2794,2,FALSE)),"Código não cadastrado",(VLOOKUP(H:H,produtos_escape2!$A$2:$B$2794,2,FALSE))))</f>
        <v/>
      </c>
      <c r="M2578" s="593" t="str">
        <f>IF(H:H=0,"",IF(ISERROR(VLOOKUP(H:H,produtos_escape2!$A$2:$D$2794,2,FALSE)),"Código não cadastrado",(VLOOKUP(H:H,produtos_escape2!$A$2:$D$2794,4,FALSE))))</f>
        <v/>
      </c>
      <c r="N2578" s="486"/>
      <c r="O2578" s="176"/>
      <c r="P2578" s="486"/>
      <c r="Q2578" s="247"/>
      <c r="R2578" s="246">
        <f t="shared" si="95"/>
        <v>0</v>
      </c>
      <c r="S2578" s="177"/>
      <c r="T2578" s="182"/>
      <c r="U2578" s="177"/>
      <c r="V2578" s="177"/>
      <c r="W2578" s="177"/>
      <c r="X2578" s="176"/>
      <c r="Y2578" s="177"/>
      <c r="Z2578" s="415"/>
      <c r="AA2578" s="488"/>
      <c r="AB2578" s="594"/>
      <c r="AC2578" s="595"/>
      <c r="AD2578" s="596" t="str">
        <f>IF(AND(AC2578&lt;&gt;"",S2578&lt;&gt;""),NETWORKDAYS(AC2578,S2578,#REF!),"")</f>
        <v/>
      </c>
      <c r="AE2578" s="596" t="str">
        <f ca="1">IF(AND(AD2578="",AC2578=""),"",IF(OR(AD2578&lt;&gt;"",O2578="*CANCELADO"),"",NETWORKDAYS(AC2578,TODAY(),#REF!)))</f>
        <v/>
      </c>
      <c r="AF2578" s="619"/>
    </row>
    <row r="2579" spans="1:32" ht="14.25" customHeight="1">
      <c r="A2579" s="176"/>
      <c r="B2579" s="176"/>
      <c r="C2579" s="177"/>
      <c r="D2579" s="176"/>
      <c r="E2579" s="176"/>
      <c r="F2579" s="259"/>
      <c r="G2579" s="176"/>
      <c r="H2579" s="178"/>
      <c r="I2579" s="592">
        <f t="shared" si="96"/>
        <v>0</v>
      </c>
      <c r="J2579" s="178"/>
      <c r="K2579" s="178"/>
      <c r="L2579" s="275" t="str">
        <f>IF(H:H=0,"",IF(ISERROR(VLOOKUP(H:H,produtos_escape2!$A$2:$B$2794,2,FALSE)),"Código não cadastrado",(VLOOKUP(H:H,produtos_escape2!$A$2:$B$2794,2,FALSE))))</f>
        <v/>
      </c>
      <c r="M2579" s="593" t="str">
        <f>IF(H:H=0,"",IF(ISERROR(VLOOKUP(H:H,produtos_escape2!$A$2:$D$2794,2,FALSE)),"Código não cadastrado",(VLOOKUP(H:H,produtos_escape2!$A$2:$D$2794,4,FALSE))))</f>
        <v/>
      </c>
      <c r="N2579" s="486"/>
      <c r="O2579" s="176"/>
      <c r="P2579" s="486"/>
      <c r="Q2579" s="247"/>
      <c r="R2579" s="246">
        <f t="shared" si="95"/>
        <v>0</v>
      </c>
      <c r="S2579" s="177"/>
      <c r="T2579" s="182"/>
      <c r="U2579" s="177"/>
      <c r="V2579" s="177"/>
      <c r="W2579" s="177"/>
      <c r="X2579" s="176"/>
      <c r="Y2579" s="177"/>
      <c r="Z2579" s="415"/>
      <c r="AA2579" s="488"/>
      <c r="AB2579" s="594"/>
      <c r="AC2579" s="595"/>
      <c r="AD2579" s="596" t="str">
        <f>IF(AND(AC2579&lt;&gt;"",S2579&lt;&gt;""),NETWORKDAYS(AC2579,S2579,#REF!),"")</f>
        <v/>
      </c>
      <c r="AE2579" s="596" t="str">
        <f ca="1">IF(AND(AD2579="",AC2579=""),"",IF(OR(AD2579&lt;&gt;"",O2579="*CANCELADO"),"",NETWORKDAYS(AC2579,TODAY(),#REF!)))</f>
        <v/>
      </c>
      <c r="AF2579" s="619"/>
    </row>
    <row r="2580" spans="1:32" ht="14.25" customHeight="1">
      <c r="A2580" s="176"/>
      <c r="B2580" s="176"/>
      <c r="C2580" s="177"/>
      <c r="D2580" s="176"/>
      <c r="E2580" s="176"/>
      <c r="F2580" s="259"/>
      <c r="G2580" s="176"/>
      <c r="H2580" s="178"/>
      <c r="I2580" s="592">
        <f t="shared" si="96"/>
        <v>0</v>
      </c>
      <c r="J2580" s="178"/>
      <c r="K2580" s="178"/>
      <c r="L2580" s="275" t="str">
        <f>IF(H:H=0,"",IF(ISERROR(VLOOKUP(H:H,produtos_escape2!$A$2:$B$2794,2,FALSE)),"Código não cadastrado",(VLOOKUP(H:H,produtos_escape2!$A$2:$B$2794,2,FALSE))))</f>
        <v/>
      </c>
      <c r="M2580" s="593" t="str">
        <f>IF(H:H=0,"",IF(ISERROR(VLOOKUP(H:H,produtos_escape2!$A$2:$D$2794,2,FALSE)),"Código não cadastrado",(VLOOKUP(H:H,produtos_escape2!$A$2:$D$2794,4,FALSE))))</f>
        <v/>
      </c>
      <c r="N2580" s="486"/>
      <c r="O2580" s="176"/>
      <c r="P2580" s="486"/>
      <c r="Q2580" s="247"/>
      <c r="R2580" s="246">
        <f t="shared" si="95"/>
        <v>0</v>
      </c>
      <c r="S2580" s="177"/>
      <c r="T2580" s="182"/>
      <c r="U2580" s="177"/>
      <c r="V2580" s="177"/>
      <c r="W2580" s="177"/>
      <c r="X2580" s="176"/>
      <c r="Y2580" s="177"/>
      <c r="Z2580" s="415"/>
      <c r="AA2580" s="488"/>
      <c r="AB2580" s="594"/>
      <c r="AC2580" s="595"/>
      <c r="AD2580" s="596" t="str">
        <f>IF(AND(AC2580&lt;&gt;"",S2580&lt;&gt;""),NETWORKDAYS(AC2580,S2580,#REF!),"")</f>
        <v/>
      </c>
      <c r="AE2580" s="596" t="str">
        <f ca="1">IF(AND(AD2580="",AC2580=""),"",IF(OR(AD2580&lt;&gt;"",O2580="*CANCELADO"),"",NETWORKDAYS(AC2580,TODAY(),#REF!)))</f>
        <v/>
      </c>
      <c r="AF2580" s="619"/>
    </row>
    <row r="2581" spans="1:32" ht="14.25" customHeight="1">
      <c r="A2581" s="176"/>
      <c r="B2581" s="176"/>
      <c r="C2581" s="177"/>
      <c r="D2581" s="176"/>
      <c r="E2581" s="176"/>
      <c r="F2581" s="259"/>
      <c r="G2581" s="176"/>
      <c r="H2581" s="178"/>
      <c r="I2581" s="592">
        <f t="shared" si="96"/>
        <v>0</v>
      </c>
      <c r="J2581" s="178"/>
      <c r="K2581" s="178"/>
      <c r="L2581" s="275" t="str">
        <f>IF(H:H=0,"",IF(ISERROR(VLOOKUP(H:H,produtos_escape2!$A$2:$B$2794,2,FALSE)),"Código não cadastrado",(VLOOKUP(H:H,produtos_escape2!$A$2:$B$2794,2,FALSE))))</f>
        <v/>
      </c>
      <c r="M2581" s="593" t="str">
        <f>IF(H:H=0,"",IF(ISERROR(VLOOKUP(H:H,produtos_escape2!$A$2:$D$2794,2,FALSE)),"Código não cadastrado",(VLOOKUP(H:H,produtos_escape2!$A$2:$D$2794,4,FALSE))))</f>
        <v/>
      </c>
      <c r="N2581" s="486"/>
      <c r="O2581" s="176"/>
      <c r="P2581" s="486"/>
      <c r="Q2581" s="247"/>
      <c r="R2581" s="246">
        <f t="shared" si="95"/>
        <v>0</v>
      </c>
      <c r="S2581" s="177"/>
      <c r="T2581" s="182"/>
      <c r="U2581" s="177"/>
      <c r="V2581" s="177"/>
      <c r="W2581" s="177"/>
      <c r="X2581" s="176"/>
      <c r="Y2581" s="177"/>
      <c r="Z2581" s="415"/>
      <c r="AA2581" s="488"/>
      <c r="AB2581" s="594"/>
      <c r="AC2581" s="595"/>
      <c r="AD2581" s="596" t="str">
        <f>IF(AND(AC2581&lt;&gt;"",S2581&lt;&gt;""),NETWORKDAYS(AC2581,S2581,#REF!),"")</f>
        <v/>
      </c>
      <c r="AE2581" s="596" t="str">
        <f ca="1">IF(AND(AD2581="",AC2581=""),"",IF(OR(AD2581&lt;&gt;"",O2581="*CANCELADO"),"",NETWORKDAYS(AC2581,TODAY(),#REF!)))</f>
        <v/>
      </c>
      <c r="AF2581" s="619"/>
    </row>
    <row r="2582" spans="1:32" ht="14.25" customHeight="1">
      <c r="A2582" s="176"/>
      <c r="B2582" s="176"/>
      <c r="C2582" s="177"/>
      <c r="D2582" s="176"/>
      <c r="E2582" s="176"/>
      <c r="F2582" s="259"/>
      <c r="G2582" s="176"/>
      <c r="H2582" s="178"/>
      <c r="I2582" s="592">
        <f t="shared" si="96"/>
        <v>0</v>
      </c>
      <c r="J2582" s="178"/>
      <c r="K2582" s="178"/>
      <c r="L2582" s="275" t="str">
        <f>IF(H:H=0,"",IF(ISERROR(VLOOKUP(H:H,produtos_escape2!$A$2:$B$2794,2,FALSE)),"Código não cadastrado",(VLOOKUP(H:H,produtos_escape2!$A$2:$B$2794,2,FALSE))))</f>
        <v/>
      </c>
      <c r="M2582" s="593" t="str">
        <f>IF(H:H=0,"",IF(ISERROR(VLOOKUP(H:H,produtos_escape2!$A$2:$D$2794,2,FALSE)),"Código não cadastrado",(VLOOKUP(H:H,produtos_escape2!$A$2:$D$2794,4,FALSE))))</f>
        <v/>
      </c>
      <c r="N2582" s="486"/>
      <c r="O2582" s="176"/>
      <c r="P2582" s="486"/>
      <c r="Q2582" s="247"/>
      <c r="R2582" s="246">
        <f t="shared" si="95"/>
        <v>0</v>
      </c>
      <c r="S2582" s="177"/>
      <c r="T2582" s="182"/>
      <c r="U2582" s="177"/>
      <c r="V2582" s="177"/>
      <c r="W2582" s="177"/>
      <c r="X2582" s="176"/>
      <c r="Y2582" s="177"/>
      <c r="Z2582" s="415"/>
      <c r="AA2582" s="488"/>
      <c r="AB2582" s="594"/>
      <c r="AC2582" s="595"/>
      <c r="AD2582" s="596" t="str">
        <f>IF(AND(AC2582&lt;&gt;"",S2582&lt;&gt;""),NETWORKDAYS(AC2582,S2582,#REF!),"")</f>
        <v/>
      </c>
      <c r="AE2582" s="596" t="str">
        <f ca="1">IF(AND(AD2582="",AC2582=""),"",IF(OR(AD2582&lt;&gt;"",O2582="*CANCELADO"),"",NETWORKDAYS(AC2582,TODAY(),#REF!)))</f>
        <v/>
      </c>
      <c r="AF2582" s="619"/>
    </row>
    <row r="2583" spans="1:32" ht="14.25" customHeight="1">
      <c r="A2583" s="176"/>
      <c r="B2583" s="176"/>
      <c r="C2583" s="177"/>
      <c r="D2583" s="176"/>
      <c r="E2583" s="176"/>
      <c r="F2583" s="259"/>
      <c r="G2583" s="176"/>
      <c r="H2583" s="178"/>
      <c r="I2583" s="592">
        <f t="shared" si="96"/>
        <v>0</v>
      </c>
      <c r="J2583" s="178"/>
      <c r="K2583" s="178"/>
      <c r="L2583" s="275" t="str">
        <f>IF(H:H=0,"",IF(ISERROR(VLOOKUP(H:H,produtos_escape2!$A$2:$B$2794,2,FALSE)),"Código não cadastrado",(VLOOKUP(H:H,produtos_escape2!$A$2:$B$2794,2,FALSE))))</f>
        <v/>
      </c>
      <c r="M2583" s="593" t="str">
        <f>IF(H:H=0,"",IF(ISERROR(VLOOKUP(H:H,produtos_escape2!$A$2:$D$2794,2,FALSE)),"Código não cadastrado",(VLOOKUP(H:H,produtos_escape2!$A$2:$D$2794,4,FALSE))))</f>
        <v/>
      </c>
      <c r="N2583" s="486"/>
      <c r="O2583" s="176"/>
      <c r="P2583" s="486"/>
      <c r="Q2583" s="247"/>
      <c r="R2583" s="246">
        <f t="shared" si="95"/>
        <v>0</v>
      </c>
      <c r="S2583" s="177"/>
      <c r="T2583" s="182"/>
      <c r="U2583" s="177"/>
      <c r="V2583" s="177"/>
      <c r="W2583" s="177"/>
      <c r="X2583" s="176"/>
      <c r="Y2583" s="177"/>
      <c r="Z2583" s="415"/>
      <c r="AA2583" s="488"/>
      <c r="AB2583" s="594"/>
      <c r="AC2583" s="595"/>
      <c r="AD2583" s="596" t="str">
        <f>IF(AND(AC2583&lt;&gt;"",S2583&lt;&gt;""),NETWORKDAYS(AC2583,S2583,#REF!),"")</f>
        <v/>
      </c>
      <c r="AE2583" s="596" t="str">
        <f ca="1">IF(AND(AD2583="",AC2583=""),"",IF(OR(AD2583&lt;&gt;"",O2583="*CANCELADO"),"",NETWORKDAYS(AC2583,TODAY(),#REF!)))</f>
        <v/>
      </c>
      <c r="AF2583" s="619"/>
    </row>
    <row r="2584" spans="1:32" ht="14.25" customHeight="1">
      <c r="A2584" s="176"/>
      <c r="B2584" s="176"/>
      <c r="C2584" s="177"/>
      <c r="D2584" s="176"/>
      <c r="E2584" s="176"/>
      <c r="F2584" s="259"/>
      <c r="G2584" s="176"/>
      <c r="H2584" s="178"/>
      <c r="I2584" s="592">
        <f t="shared" si="96"/>
        <v>0</v>
      </c>
      <c r="J2584" s="178"/>
      <c r="K2584" s="178"/>
      <c r="L2584" s="275" t="str">
        <f>IF(H:H=0,"",IF(ISERROR(VLOOKUP(H:H,produtos_escape2!$A$2:$B$2794,2,FALSE)),"Código não cadastrado",(VLOOKUP(H:H,produtos_escape2!$A$2:$B$2794,2,FALSE))))</f>
        <v/>
      </c>
      <c r="M2584" s="593" t="str">
        <f>IF(H:H=0,"",IF(ISERROR(VLOOKUP(H:H,produtos_escape2!$A$2:$D$2794,2,FALSE)),"Código não cadastrado",(VLOOKUP(H:H,produtos_escape2!$A$2:$D$2794,4,FALSE))))</f>
        <v/>
      </c>
      <c r="N2584" s="486"/>
      <c r="O2584" s="176"/>
      <c r="P2584" s="486"/>
      <c r="Q2584" s="247"/>
      <c r="R2584" s="246">
        <f t="shared" si="95"/>
        <v>0</v>
      </c>
      <c r="S2584" s="177"/>
      <c r="T2584" s="182"/>
      <c r="U2584" s="177"/>
      <c r="V2584" s="177"/>
      <c r="W2584" s="177"/>
      <c r="X2584" s="176"/>
      <c r="Y2584" s="177"/>
      <c r="Z2584" s="415"/>
      <c r="AA2584" s="488"/>
      <c r="AB2584" s="594"/>
      <c r="AC2584" s="595"/>
      <c r="AD2584" s="596" t="str">
        <f>IF(AND(AC2584&lt;&gt;"",S2584&lt;&gt;""),NETWORKDAYS(AC2584,S2584,#REF!),"")</f>
        <v/>
      </c>
      <c r="AE2584" s="596" t="str">
        <f ca="1">IF(AND(AD2584="",AC2584=""),"",IF(OR(AD2584&lt;&gt;"",O2584="*CANCELADO"),"",NETWORKDAYS(AC2584,TODAY(),#REF!)))</f>
        <v/>
      </c>
      <c r="AF2584" s="619"/>
    </row>
    <row r="2585" spans="1:32" ht="14.25" customHeight="1">
      <c r="A2585" s="176"/>
      <c r="B2585" s="176"/>
      <c r="C2585" s="177"/>
      <c r="D2585" s="176"/>
      <c r="E2585" s="176"/>
      <c r="F2585" s="259"/>
      <c r="G2585" s="176"/>
      <c r="H2585" s="178"/>
      <c r="I2585" s="592">
        <f t="shared" si="96"/>
        <v>0</v>
      </c>
      <c r="J2585" s="178"/>
      <c r="K2585" s="178"/>
      <c r="L2585" s="275" t="str">
        <f>IF(H:H=0,"",IF(ISERROR(VLOOKUP(H:H,produtos_escape2!$A$2:$B$2794,2,FALSE)),"Código não cadastrado",(VLOOKUP(H:H,produtos_escape2!$A$2:$B$2794,2,FALSE))))</f>
        <v/>
      </c>
      <c r="M2585" s="593" t="str">
        <f>IF(H:H=0,"",IF(ISERROR(VLOOKUP(H:H,produtos_escape2!$A$2:$D$2794,2,FALSE)),"Código não cadastrado",(VLOOKUP(H:H,produtos_escape2!$A$2:$D$2794,4,FALSE))))</f>
        <v/>
      </c>
      <c r="N2585" s="486"/>
      <c r="O2585" s="176"/>
      <c r="P2585" s="486"/>
      <c r="Q2585" s="247"/>
      <c r="R2585" s="246">
        <f t="shared" si="95"/>
        <v>0</v>
      </c>
      <c r="S2585" s="177"/>
      <c r="T2585" s="182"/>
      <c r="U2585" s="177"/>
      <c r="V2585" s="177"/>
      <c r="W2585" s="177"/>
      <c r="X2585" s="176"/>
      <c r="Y2585" s="177"/>
      <c r="Z2585" s="415"/>
      <c r="AA2585" s="488"/>
      <c r="AB2585" s="594"/>
      <c r="AC2585" s="595"/>
      <c r="AD2585" s="596" t="str">
        <f>IF(AND(AC2585&lt;&gt;"",S2585&lt;&gt;""),NETWORKDAYS(AC2585,S2585,#REF!),"")</f>
        <v/>
      </c>
      <c r="AE2585" s="596" t="str">
        <f ca="1">IF(AND(AD2585="",AC2585=""),"",IF(OR(AD2585&lt;&gt;"",O2585="*CANCELADO"),"",NETWORKDAYS(AC2585,TODAY(),#REF!)))</f>
        <v/>
      </c>
      <c r="AF2585" s="619"/>
    </row>
    <row r="2586" spans="1:32" ht="14.25" customHeight="1">
      <c r="A2586" s="176"/>
      <c r="B2586" s="176"/>
      <c r="C2586" s="177"/>
      <c r="D2586" s="176"/>
      <c r="E2586" s="176"/>
      <c r="F2586" s="259"/>
      <c r="G2586" s="176"/>
      <c r="H2586" s="178"/>
      <c r="I2586" s="592">
        <f t="shared" si="96"/>
        <v>0</v>
      </c>
      <c r="J2586" s="178"/>
      <c r="K2586" s="178"/>
      <c r="L2586" s="275" t="str">
        <f>IF(H:H=0,"",IF(ISERROR(VLOOKUP(H:H,produtos_escape2!$A$2:$B$2794,2,FALSE)),"Código não cadastrado",(VLOOKUP(H:H,produtos_escape2!$A$2:$B$2794,2,FALSE))))</f>
        <v/>
      </c>
      <c r="M2586" s="593" t="str">
        <f>IF(H:H=0,"",IF(ISERROR(VLOOKUP(H:H,produtos_escape2!$A$2:$D$2794,2,FALSE)),"Código não cadastrado",(VLOOKUP(H:H,produtos_escape2!$A$2:$D$2794,4,FALSE))))</f>
        <v/>
      </c>
      <c r="N2586" s="486"/>
      <c r="O2586" s="176"/>
      <c r="P2586" s="486"/>
      <c r="Q2586" s="247"/>
      <c r="R2586" s="246">
        <f t="shared" si="95"/>
        <v>0</v>
      </c>
      <c r="S2586" s="177"/>
      <c r="T2586" s="182"/>
      <c r="U2586" s="177"/>
      <c r="V2586" s="177"/>
      <c r="W2586" s="177"/>
      <c r="X2586" s="176"/>
      <c r="Y2586" s="177"/>
      <c r="Z2586" s="415"/>
      <c r="AA2586" s="488"/>
      <c r="AB2586" s="594"/>
      <c r="AC2586" s="595"/>
      <c r="AD2586" s="596" t="str">
        <f>IF(AND(AC2586&lt;&gt;"",S2586&lt;&gt;""),NETWORKDAYS(AC2586,S2586,#REF!),"")</f>
        <v/>
      </c>
      <c r="AE2586" s="596" t="str">
        <f ca="1">IF(AND(AD2586="",AC2586=""),"",IF(OR(AD2586&lt;&gt;"",O2586="*CANCELADO"),"",NETWORKDAYS(AC2586,TODAY(),#REF!)))</f>
        <v/>
      </c>
      <c r="AF2586" s="619"/>
    </row>
    <row r="2587" spans="1:32" ht="14.25" customHeight="1">
      <c r="A2587" s="176"/>
      <c r="B2587" s="176"/>
      <c r="C2587" s="177"/>
      <c r="D2587" s="176"/>
      <c r="E2587" s="176"/>
      <c r="F2587" s="259"/>
      <c r="G2587" s="176"/>
      <c r="H2587" s="178"/>
      <c r="I2587" s="592">
        <f t="shared" si="96"/>
        <v>0</v>
      </c>
      <c r="J2587" s="178"/>
      <c r="K2587" s="178"/>
      <c r="L2587" s="275" t="str">
        <f>IF(H:H=0,"",IF(ISERROR(VLOOKUP(H:H,produtos_escape2!$A$2:$B$2794,2,FALSE)),"Código não cadastrado",(VLOOKUP(H:H,produtos_escape2!$A$2:$B$2794,2,FALSE))))</f>
        <v/>
      </c>
      <c r="M2587" s="593" t="str">
        <f>IF(H:H=0,"",IF(ISERROR(VLOOKUP(H:H,produtos_escape2!$A$2:$D$2794,2,FALSE)),"Código não cadastrado",(VLOOKUP(H:H,produtos_escape2!$A$2:$D$2794,4,FALSE))))</f>
        <v/>
      </c>
      <c r="N2587" s="486"/>
      <c r="O2587" s="176"/>
      <c r="P2587" s="486"/>
      <c r="Q2587" s="247"/>
      <c r="R2587" s="246">
        <f t="shared" si="95"/>
        <v>0</v>
      </c>
      <c r="S2587" s="177"/>
      <c r="T2587" s="182"/>
      <c r="U2587" s="177"/>
      <c r="V2587" s="177"/>
      <c r="W2587" s="177"/>
      <c r="X2587" s="176"/>
      <c r="Y2587" s="177"/>
      <c r="Z2587" s="415"/>
      <c r="AA2587" s="488"/>
      <c r="AB2587" s="594"/>
      <c r="AC2587" s="595"/>
      <c r="AD2587" s="596" t="str">
        <f>IF(AND(AC2587&lt;&gt;"",S2587&lt;&gt;""),NETWORKDAYS(AC2587,S2587,#REF!),"")</f>
        <v/>
      </c>
      <c r="AE2587" s="596" t="str">
        <f ca="1">IF(AND(AD2587="",AC2587=""),"",IF(OR(AD2587&lt;&gt;"",O2587="*CANCELADO"),"",NETWORKDAYS(AC2587,TODAY(),#REF!)))</f>
        <v/>
      </c>
      <c r="AF2587" s="619"/>
    </row>
    <row r="2588" spans="1:32" ht="14.25" customHeight="1">
      <c r="A2588" s="176"/>
      <c r="B2588" s="176"/>
      <c r="C2588" s="177"/>
      <c r="D2588" s="176"/>
      <c r="E2588" s="176"/>
      <c r="F2588" s="259"/>
      <c r="G2588" s="176"/>
      <c r="H2588" s="178"/>
      <c r="I2588" s="592">
        <f t="shared" si="96"/>
        <v>0</v>
      </c>
      <c r="J2588" s="178"/>
      <c r="K2588" s="178"/>
      <c r="L2588" s="275" t="str">
        <f>IF(H:H=0,"",IF(ISERROR(VLOOKUP(H:H,produtos_escape2!$A$2:$B$2794,2,FALSE)),"Código não cadastrado",(VLOOKUP(H:H,produtos_escape2!$A$2:$B$2794,2,FALSE))))</f>
        <v/>
      </c>
      <c r="M2588" s="593" t="str">
        <f>IF(H:H=0,"",IF(ISERROR(VLOOKUP(H:H,produtos_escape2!$A$2:$D$2794,2,FALSE)),"Código não cadastrado",(VLOOKUP(H:H,produtos_escape2!$A$2:$D$2794,4,FALSE))))</f>
        <v/>
      </c>
      <c r="N2588" s="486"/>
      <c r="O2588" s="176"/>
      <c r="P2588" s="486"/>
      <c r="Q2588" s="247"/>
      <c r="R2588" s="246">
        <f t="shared" si="95"/>
        <v>0</v>
      </c>
      <c r="S2588" s="177"/>
      <c r="T2588" s="182"/>
      <c r="U2588" s="177"/>
      <c r="V2588" s="177"/>
      <c r="W2588" s="177"/>
      <c r="X2588" s="176"/>
      <c r="Y2588" s="177"/>
      <c r="Z2588" s="415"/>
      <c r="AA2588" s="488"/>
      <c r="AB2588" s="594"/>
      <c r="AC2588" s="595"/>
      <c r="AD2588" s="596" t="str">
        <f>IF(AND(AC2588&lt;&gt;"",S2588&lt;&gt;""),NETWORKDAYS(AC2588,S2588,#REF!),"")</f>
        <v/>
      </c>
      <c r="AE2588" s="596" t="str">
        <f ca="1">IF(AND(AD2588="",AC2588=""),"",IF(OR(AD2588&lt;&gt;"",O2588="*CANCELADO"),"",NETWORKDAYS(AC2588,TODAY(),#REF!)))</f>
        <v/>
      </c>
      <c r="AF2588" s="619"/>
    </row>
    <row r="2589" spans="1:32" ht="14.25" customHeight="1">
      <c r="A2589" s="176"/>
      <c r="B2589" s="176"/>
      <c r="C2589" s="177"/>
      <c r="D2589" s="176"/>
      <c r="E2589" s="176"/>
      <c r="F2589" s="259"/>
      <c r="G2589" s="176"/>
      <c r="H2589" s="178"/>
      <c r="I2589" s="592">
        <f t="shared" si="96"/>
        <v>0</v>
      </c>
      <c r="J2589" s="178"/>
      <c r="K2589" s="178"/>
      <c r="L2589" s="275" t="str">
        <f>IF(H:H=0,"",IF(ISERROR(VLOOKUP(H:H,produtos_escape2!$A$2:$B$2794,2,FALSE)),"Código não cadastrado",(VLOOKUP(H:H,produtos_escape2!$A$2:$B$2794,2,FALSE))))</f>
        <v/>
      </c>
      <c r="M2589" s="593" t="str">
        <f>IF(H:H=0,"",IF(ISERROR(VLOOKUP(H:H,produtos_escape2!$A$2:$D$2794,2,FALSE)),"Código não cadastrado",(VLOOKUP(H:H,produtos_escape2!$A$2:$D$2794,4,FALSE))))</f>
        <v/>
      </c>
      <c r="N2589" s="486"/>
      <c r="O2589" s="176"/>
      <c r="P2589" s="486"/>
      <c r="Q2589" s="247"/>
      <c r="R2589" s="246">
        <f t="shared" si="95"/>
        <v>0</v>
      </c>
      <c r="S2589" s="177"/>
      <c r="T2589" s="182"/>
      <c r="U2589" s="177"/>
      <c r="V2589" s="177"/>
      <c r="W2589" s="177"/>
      <c r="X2589" s="176"/>
      <c r="Y2589" s="177"/>
      <c r="Z2589" s="415"/>
      <c r="AA2589" s="488"/>
      <c r="AB2589" s="594"/>
      <c r="AC2589" s="595"/>
      <c r="AD2589" s="596" t="str">
        <f>IF(AND(AC2589&lt;&gt;"",S2589&lt;&gt;""),NETWORKDAYS(AC2589,S2589,#REF!),"")</f>
        <v/>
      </c>
      <c r="AE2589" s="596" t="str">
        <f ca="1">IF(AND(AD2589="",AC2589=""),"",IF(OR(AD2589&lt;&gt;"",O2589="*CANCELADO"),"",NETWORKDAYS(AC2589,TODAY(),#REF!)))</f>
        <v/>
      </c>
      <c r="AF2589" s="619"/>
    </row>
    <row r="2590" spans="1:32" ht="14.25" customHeight="1">
      <c r="A2590" s="176"/>
      <c r="B2590" s="176"/>
      <c r="C2590" s="177"/>
      <c r="D2590" s="176"/>
      <c r="E2590" s="176"/>
      <c r="F2590" s="259"/>
      <c r="G2590" s="176"/>
      <c r="H2590" s="178"/>
      <c r="I2590" s="592">
        <f t="shared" si="96"/>
        <v>0</v>
      </c>
      <c r="J2590" s="178"/>
      <c r="K2590" s="178"/>
      <c r="L2590" s="275" t="str">
        <f>IF(H:H=0,"",IF(ISERROR(VLOOKUP(H:H,produtos_escape2!$A$2:$B$2794,2,FALSE)),"Código não cadastrado",(VLOOKUP(H:H,produtos_escape2!$A$2:$B$2794,2,FALSE))))</f>
        <v/>
      </c>
      <c r="M2590" s="593" t="str">
        <f>IF(H:H=0,"",IF(ISERROR(VLOOKUP(H:H,produtos_escape2!$A$2:$D$2794,2,FALSE)),"Código não cadastrado",(VLOOKUP(H:H,produtos_escape2!$A$2:$D$2794,4,FALSE))))</f>
        <v/>
      </c>
      <c r="N2590" s="486"/>
      <c r="O2590" s="176"/>
      <c r="P2590" s="486"/>
      <c r="Q2590" s="247"/>
      <c r="R2590" s="246">
        <f t="shared" si="95"/>
        <v>0</v>
      </c>
      <c r="S2590" s="177"/>
      <c r="T2590" s="182"/>
      <c r="U2590" s="177"/>
      <c r="V2590" s="177"/>
      <c r="W2590" s="177"/>
      <c r="X2590" s="176"/>
      <c r="Y2590" s="177"/>
      <c r="Z2590" s="415"/>
      <c r="AA2590" s="488"/>
      <c r="AB2590" s="594"/>
      <c r="AC2590" s="595"/>
      <c r="AD2590" s="596" t="str">
        <f>IF(AND(AC2590&lt;&gt;"",S2590&lt;&gt;""),NETWORKDAYS(AC2590,S2590,#REF!),"")</f>
        <v/>
      </c>
      <c r="AE2590" s="596" t="str">
        <f ca="1">IF(AND(AD2590="",AC2590=""),"",IF(OR(AD2590&lt;&gt;"",O2590="*CANCELADO"),"",NETWORKDAYS(AC2590,TODAY(),#REF!)))</f>
        <v/>
      </c>
      <c r="AF2590" s="619"/>
    </row>
    <row r="2591" spans="1:32" ht="14.25" customHeight="1">
      <c r="A2591" s="176"/>
      <c r="B2591" s="176"/>
      <c r="C2591" s="177"/>
      <c r="D2591" s="176"/>
      <c r="E2591" s="176"/>
      <c r="F2591" s="259"/>
      <c r="G2591" s="176"/>
      <c r="H2591" s="178"/>
      <c r="I2591" s="592">
        <f t="shared" si="96"/>
        <v>0</v>
      </c>
      <c r="J2591" s="178"/>
      <c r="K2591" s="178"/>
      <c r="L2591" s="275" t="str">
        <f>IF(H:H=0,"",IF(ISERROR(VLOOKUP(H:H,produtos_escape2!$A$2:$B$2794,2,FALSE)),"Código não cadastrado",(VLOOKUP(H:H,produtos_escape2!$A$2:$B$2794,2,FALSE))))</f>
        <v/>
      </c>
      <c r="M2591" s="593" t="str">
        <f>IF(H:H=0,"",IF(ISERROR(VLOOKUP(H:H,produtos_escape2!$A$2:$D$2794,2,FALSE)),"Código não cadastrado",(VLOOKUP(H:H,produtos_escape2!$A$2:$D$2794,4,FALSE))))</f>
        <v/>
      </c>
      <c r="N2591" s="486"/>
      <c r="O2591" s="176"/>
      <c r="P2591" s="486"/>
      <c r="Q2591" s="247"/>
      <c r="R2591" s="246">
        <f t="shared" si="95"/>
        <v>0</v>
      </c>
      <c r="S2591" s="177"/>
      <c r="T2591" s="182"/>
      <c r="U2591" s="177"/>
      <c r="V2591" s="177"/>
      <c r="W2591" s="177"/>
      <c r="X2591" s="176"/>
      <c r="Y2591" s="177"/>
      <c r="Z2591" s="415"/>
      <c r="AA2591" s="488"/>
      <c r="AB2591" s="594"/>
      <c r="AC2591" s="595"/>
      <c r="AD2591" s="596" t="str">
        <f>IF(AND(AC2591&lt;&gt;"",S2591&lt;&gt;""),NETWORKDAYS(AC2591,S2591,#REF!),"")</f>
        <v/>
      </c>
      <c r="AE2591" s="596" t="str">
        <f ca="1">IF(AND(AD2591="",AC2591=""),"",IF(OR(AD2591&lt;&gt;"",O2591="*CANCELADO"),"",NETWORKDAYS(AC2591,TODAY(),#REF!)))</f>
        <v/>
      </c>
      <c r="AF2591" s="619"/>
    </row>
    <row r="2592" spans="1:32" ht="14.25" customHeight="1">
      <c r="A2592" s="176"/>
      <c r="B2592" s="176"/>
      <c r="C2592" s="177"/>
      <c r="D2592" s="176"/>
      <c r="E2592" s="176"/>
      <c r="F2592" s="259"/>
      <c r="G2592" s="176"/>
      <c r="H2592" s="178"/>
      <c r="I2592" s="592">
        <f t="shared" si="96"/>
        <v>0</v>
      </c>
      <c r="J2592" s="178"/>
      <c r="K2592" s="178"/>
      <c r="L2592" s="275" t="str">
        <f>IF(H:H=0,"",IF(ISERROR(VLOOKUP(H:H,produtos_escape2!$A$2:$B$2794,2,FALSE)),"Código não cadastrado",(VLOOKUP(H:H,produtos_escape2!$A$2:$B$2794,2,FALSE))))</f>
        <v/>
      </c>
      <c r="M2592" s="593" t="str">
        <f>IF(H:H=0,"",IF(ISERROR(VLOOKUP(H:H,produtos_escape2!$A$2:$D$2794,2,FALSE)),"Código não cadastrado",(VLOOKUP(H:H,produtos_escape2!$A$2:$D$2794,4,FALSE))))</f>
        <v/>
      </c>
      <c r="N2592" s="486"/>
      <c r="O2592" s="176"/>
      <c r="P2592" s="486"/>
      <c r="Q2592" s="247"/>
      <c r="R2592" s="246">
        <f t="shared" si="95"/>
        <v>0</v>
      </c>
      <c r="S2592" s="177"/>
      <c r="T2592" s="182"/>
      <c r="U2592" s="177"/>
      <c r="V2592" s="177"/>
      <c r="W2592" s="177"/>
      <c r="X2592" s="176"/>
      <c r="Y2592" s="177"/>
      <c r="Z2592" s="415"/>
      <c r="AA2592" s="488"/>
      <c r="AB2592" s="594"/>
      <c r="AC2592" s="595"/>
      <c r="AD2592" s="596" t="str">
        <f>IF(AND(AC2592&lt;&gt;"",S2592&lt;&gt;""),NETWORKDAYS(AC2592,S2592,#REF!),"")</f>
        <v/>
      </c>
      <c r="AE2592" s="596" t="str">
        <f ca="1">IF(AND(AD2592="",AC2592=""),"",IF(OR(AD2592&lt;&gt;"",O2592="*CANCELADO"),"",NETWORKDAYS(AC2592,TODAY(),#REF!)))</f>
        <v/>
      </c>
      <c r="AF2592" s="619"/>
    </row>
    <row r="2593" spans="1:32" ht="14.25" customHeight="1">
      <c r="A2593" s="176"/>
      <c r="B2593" s="176"/>
      <c r="C2593" s="177"/>
      <c r="D2593" s="176"/>
      <c r="E2593" s="176"/>
      <c r="F2593" s="259"/>
      <c r="G2593" s="176"/>
      <c r="H2593" s="178"/>
      <c r="I2593" s="592">
        <f t="shared" si="96"/>
        <v>0</v>
      </c>
      <c r="J2593" s="178"/>
      <c r="K2593" s="178"/>
      <c r="L2593" s="275" t="str">
        <f>IF(H:H=0,"",IF(ISERROR(VLOOKUP(H:H,produtos_escape2!$A$2:$B$2794,2,FALSE)),"Código não cadastrado",(VLOOKUP(H:H,produtos_escape2!$A$2:$B$2794,2,FALSE))))</f>
        <v/>
      </c>
      <c r="M2593" s="593" t="str">
        <f>IF(H:H=0,"",IF(ISERROR(VLOOKUP(H:H,produtos_escape2!$A$2:$D$2794,2,FALSE)),"Código não cadastrado",(VLOOKUP(H:H,produtos_escape2!$A$2:$D$2794,4,FALSE))))</f>
        <v/>
      </c>
      <c r="N2593" s="486"/>
      <c r="O2593" s="176"/>
      <c r="P2593" s="486"/>
      <c r="Q2593" s="247"/>
      <c r="R2593" s="246">
        <f t="shared" si="95"/>
        <v>0</v>
      </c>
      <c r="S2593" s="177"/>
      <c r="T2593" s="182"/>
      <c r="U2593" s="177"/>
      <c r="V2593" s="177"/>
      <c r="W2593" s="177"/>
      <c r="X2593" s="176"/>
      <c r="Y2593" s="177"/>
      <c r="Z2593" s="415"/>
      <c r="AA2593" s="488"/>
      <c r="AB2593" s="594"/>
      <c r="AC2593" s="595"/>
      <c r="AD2593" s="596" t="str">
        <f>IF(AND(AC2593&lt;&gt;"",S2593&lt;&gt;""),NETWORKDAYS(AC2593,S2593,#REF!),"")</f>
        <v/>
      </c>
      <c r="AE2593" s="596" t="str">
        <f ca="1">IF(AND(AD2593="",AC2593=""),"",IF(OR(AD2593&lt;&gt;"",O2593="*CANCELADO"),"",NETWORKDAYS(AC2593,TODAY(),#REF!)))</f>
        <v/>
      </c>
      <c r="AF2593" s="619"/>
    </row>
    <row r="2594" spans="1:32" ht="14.25" customHeight="1">
      <c r="A2594" s="176"/>
      <c r="B2594" s="176"/>
      <c r="C2594" s="177"/>
      <c r="D2594" s="176"/>
      <c r="E2594" s="176"/>
      <c r="F2594" s="259"/>
      <c r="G2594" s="176"/>
      <c r="H2594" s="178"/>
      <c r="I2594" s="592">
        <f t="shared" si="96"/>
        <v>0</v>
      </c>
      <c r="J2594" s="178"/>
      <c r="K2594" s="178"/>
      <c r="L2594" s="275" t="str">
        <f>IF(H:H=0,"",IF(ISERROR(VLOOKUP(H:H,produtos_escape2!$A$2:$B$2794,2,FALSE)),"Código não cadastrado",(VLOOKUP(H:H,produtos_escape2!$A$2:$B$2794,2,FALSE))))</f>
        <v/>
      </c>
      <c r="M2594" s="593" t="str">
        <f>IF(H:H=0,"",IF(ISERROR(VLOOKUP(H:H,produtos_escape2!$A$2:$D$2794,2,FALSE)),"Código não cadastrado",(VLOOKUP(H:H,produtos_escape2!$A$2:$D$2794,4,FALSE))))</f>
        <v/>
      </c>
      <c r="N2594" s="486"/>
      <c r="O2594" s="176"/>
      <c r="P2594" s="486"/>
      <c r="Q2594" s="247"/>
      <c r="R2594" s="246">
        <f t="shared" si="95"/>
        <v>0</v>
      </c>
      <c r="S2594" s="177"/>
      <c r="T2594" s="182"/>
      <c r="U2594" s="177"/>
      <c r="V2594" s="177"/>
      <c r="W2594" s="177"/>
      <c r="X2594" s="176"/>
      <c r="Y2594" s="177"/>
      <c r="Z2594" s="415"/>
      <c r="AA2594" s="488"/>
      <c r="AB2594" s="594"/>
      <c r="AC2594" s="595"/>
      <c r="AD2594" s="596" t="str">
        <f>IF(AND(AC2594&lt;&gt;"",S2594&lt;&gt;""),NETWORKDAYS(AC2594,S2594,#REF!),"")</f>
        <v/>
      </c>
      <c r="AE2594" s="596" t="str">
        <f ca="1">IF(AND(AD2594="",AC2594=""),"",IF(OR(AD2594&lt;&gt;"",O2594="*CANCELADO"),"",NETWORKDAYS(AC2594,TODAY(),#REF!)))</f>
        <v/>
      </c>
      <c r="AF2594" s="619"/>
    </row>
    <row r="2595" spans="1:32" ht="14.25" customHeight="1">
      <c r="A2595" s="176"/>
      <c r="B2595" s="176"/>
      <c r="C2595" s="177"/>
      <c r="D2595" s="176"/>
      <c r="E2595" s="176"/>
      <c r="F2595" s="259"/>
      <c r="G2595" s="176"/>
      <c r="H2595" s="178"/>
      <c r="I2595" s="592">
        <f t="shared" si="96"/>
        <v>0</v>
      </c>
      <c r="J2595" s="178"/>
      <c r="K2595" s="178"/>
      <c r="L2595" s="275" t="str">
        <f>IF(H:H=0,"",IF(ISERROR(VLOOKUP(H:H,produtos_escape2!$A$2:$B$2794,2,FALSE)),"Código não cadastrado",(VLOOKUP(H:H,produtos_escape2!$A$2:$B$2794,2,FALSE))))</f>
        <v/>
      </c>
      <c r="M2595" s="593" t="str">
        <f>IF(H:H=0,"",IF(ISERROR(VLOOKUP(H:H,produtos_escape2!$A$2:$D$2794,2,FALSE)),"Código não cadastrado",(VLOOKUP(H:H,produtos_escape2!$A$2:$D$2794,4,FALSE))))</f>
        <v/>
      </c>
      <c r="N2595" s="486"/>
      <c r="O2595" s="176"/>
      <c r="P2595" s="486"/>
      <c r="Q2595" s="247"/>
      <c r="R2595" s="246">
        <f t="shared" si="95"/>
        <v>0</v>
      </c>
      <c r="S2595" s="177"/>
      <c r="T2595" s="182"/>
      <c r="U2595" s="177"/>
      <c r="V2595" s="177"/>
      <c r="W2595" s="177"/>
      <c r="X2595" s="176"/>
      <c r="Y2595" s="177"/>
      <c r="Z2595" s="415"/>
      <c r="AA2595" s="488"/>
      <c r="AB2595" s="594"/>
      <c r="AC2595" s="595"/>
      <c r="AD2595" s="596" t="str">
        <f>IF(AND(AC2595&lt;&gt;"",S2595&lt;&gt;""),NETWORKDAYS(AC2595,S2595,#REF!),"")</f>
        <v/>
      </c>
      <c r="AE2595" s="596" t="str">
        <f ca="1">IF(AND(AD2595="",AC2595=""),"",IF(OR(AD2595&lt;&gt;"",O2595="*CANCELADO"),"",NETWORKDAYS(AC2595,TODAY(),#REF!)))</f>
        <v/>
      </c>
      <c r="AF2595" s="619"/>
    </row>
    <row r="2596" spans="1:32" ht="14.25" customHeight="1">
      <c r="A2596" s="176"/>
      <c r="B2596" s="176"/>
      <c r="C2596" s="177"/>
      <c r="D2596" s="176"/>
      <c r="E2596" s="176"/>
      <c r="F2596" s="259"/>
      <c r="G2596" s="176"/>
      <c r="H2596" s="178"/>
      <c r="I2596" s="592">
        <f t="shared" si="96"/>
        <v>0</v>
      </c>
      <c r="J2596" s="178"/>
      <c r="K2596" s="178"/>
      <c r="L2596" s="275" t="str">
        <f>IF(H:H=0,"",IF(ISERROR(VLOOKUP(H:H,produtos_escape2!$A$2:$B$2794,2,FALSE)),"Código não cadastrado",(VLOOKUP(H:H,produtos_escape2!$A$2:$B$2794,2,FALSE))))</f>
        <v/>
      </c>
      <c r="M2596" s="593" t="str">
        <f>IF(H:H=0,"",IF(ISERROR(VLOOKUP(H:H,produtos_escape2!$A$2:$D$2794,2,FALSE)),"Código não cadastrado",(VLOOKUP(H:H,produtos_escape2!$A$2:$D$2794,4,FALSE))))</f>
        <v/>
      </c>
      <c r="N2596" s="486"/>
      <c r="O2596" s="176"/>
      <c r="P2596" s="486"/>
      <c r="Q2596" s="247"/>
      <c r="R2596" s="246">
        <f t="shared" si="95"/>
        <v>0</v>
      </c>
      <c r="S2596" s="177"/>
      <c r="T2596" s="182"/>
      <c r="U2596" s="177"/>
      <c r="V2596" s="177"/>
      <c r="W2596" s="177"/>
      <c r="X2596" s="176"/>
      <c r="Y2596" s="177"/>
      <c r="Z2596" s="415"/>
      <c r="AA2596" s="488"/>
      <c r="AB2596" s="594"/>
      <c r="AC2596" s="595"/>
      <c r="AD2596" s="596" t="str">
        <f>IF(AND(AC2596&lt;&gt;"",S2596&lt;&gt;""),NETWORKDAYS(AC2596,S2596,#REF!),"")</f>
        <v/>
      </c>
      <c r="AE2596" s="596" t="str">
        <f ca="1">IF(AND(AD2596="",AC2596=""),"",IF(OR(AD2596&lt;&gt;"",O2596="*CANCELADO"),"",NETWORKDAYS(AC2596,TODAY(),#REF!)))</f>
        <v/>
      </c>
      <c r="AF2596" s="619"/>
    </row>
    <row r="2597" spans="1:32" ht="14.25" customHeight="1">
      <c r="A2597" s="176"/>
      <c r="B2597" s="176"/>
      <c r="C2597" s="177"/>
      <c r="D2597" s="176"/>
      <c r="E2597" s="176"/>
      <c r="F2597" s="259"/>
      <c r="G2597" s="176"/>
      <c r="H2597" s="178"/>
      <c r="I2597" s="592">
        <f t="shared" si="96"/>
        <v>0</v>
      </c>
      <c r="J2597" s="178"/>
      <c r="K2597" s="178"/>
      <c r="L2597" s="275" t="str">
        <f>IF(H:H=0,"",IF(ISERROR(VLOOKUP(H:H,produtos_escape2!$A$2:$B$2794,2,FALSE)),"Código não cadastrado",(VLOOKUP(H:H,produtos_escape2!$A$2:$B$2794,2,FALSE))))</f>
        <v/>
      </c>
      <c r="M2597" s="593" t="str">
        <f>IF(H:H=0,"",IF(ISERROR(VLOOKUP(H:H,produtos_escape2!$A$2:$D$2794,2,FALSE)),"Código não cadastrado",(VLOOKUP(H:H,produtos_escape2!$A$2:$D$2794,4,FALSE))))</f>
        <v/>
      </c>
      <c r="N2597" s="486"/>
      <c r="O2597" s="176"/>
      <c r="P2597" s="486"/>
      <c r="Q2597" s="247"/>
      <c r="R2597" s="246">
        <f t="shared" si="95"/>
        <v>0</v>
      </c>
      <c r="S2597" s="177"/>
      <c r="T2597" s="182"/>
      <c r="U2597" s="177"/>
      <c r="V2597" s="177"/>
      <c r="W2597" s="177"/>
      <c r="X2597" s="176"/>
      <c r="Y2597" s="177"/>
      <c r="Z2597" s="415"/>
      <c r="AA2597" s="488"/>
      <c r="AB2597" s="594"/>
      <c r="AC2597" s="595"/>
      <c r="AD2597" s="596" t="str">
        <f>IF(AND(AC2597&lt;&gt;"",S2597&lt;&gt;""),NETWORKDAYS(AC2597,S2597,#REF!),"")</f>
        <v/>
      </c>
      <c r="AE2597" s="596" t="str">
        <f ca="1">IF(AND(AD2597="",AC2597=""),"",IF(OR(AD2597&lt;&gt;"",O2597="*CANCELADO"),"",NETWORKDAYS(AC2597,TODAY(),#REF!)))</f>
        <v/>
      </c>
      <c r="AF2597" s="619"/>
    </row>
    <row r="2598" spans="1:32" ht="14.25" customHeight="1">
      <c r="A2598" s="176"/>
      <c r="B2598" s="176"/>
      <c r="C2598" s="177"/>
      <c r="D2598" s="176"/>
      <c r="E2598" s="176"/>
      <c r="F2598" s="259"/>
      <c r="G2598" s="176"/>
      <c r="H2598" s="178"/>
      <c r="I2598" s="592">
        <f t="shared" si="96"/>
        <v>0</v>
      </c>
      <c r="J2598" s="178"/>
      <c r="K2598" s="178"/>
      <c r="L2598" s="275" t="str">
        <f>IF(H:H=0,"",IF(ISERROR(VLOOKUP(H:H,produtos_escape2!$A$2:$B$2794,2,FALSE)),"Código não cadastrado",(VLOOKUP(H:H,produtos_escape2!$A$2:$B$2794,2,FALSE))))</f>
        <v/>
      </c>
      <c r="M2598" s="593" t="str">
        <f>IF(H:H=0,"",IF(ISERROR(VLOOKUP(H:H,produtos_escape2!$A$2:$D$2794,2,FALSE)),"Código não cadastrado",(VLOOKUP(H:H,produtos_escape2!$A$2:$D$2794,4,FALSE))))</f>
        <v/>
      </c>
      <c r="N2598" s="486"/>
      <c r="O2598" s="176"/>
      <c r="P2598" s="486"/>
      <c r="Q2598" s="247"/>
      <c r="R2598" s="246">
        <f t="shared" si="95"/>
        <v>0</v>
      </c>
      <c r="S2598" s="177"/>
      <c r="T2598" s="182"/>
      <c r="U2598" s="177"/>
      <c r="V2598" s="177"/>
      <c r="W2598" s="177"/>
      <c r="X2598" s="176"/>
      <c r="Y2598" s="177"/>
      <c r="Z2598" s="415"/>
      <c r="AA2598" s="488"/>
      <c r="AB2598" s="594"/>
      <c r="AC2598" s="595"/>
      <c r="AD2598" s="596" t="str">
        <f>IF(AND(AC2598&lt;&gt;"",S2598&lt;&gt;""),NETWORKDAYS(AC2598,S2598,#REF!),"")</f>
        <v/>
      </c>
      <c r="AE2598" s="596" t="str">
        <f ca="1">IF(AND(AD2598="",AC2598=""),"",IF(OR(AD2598&lt;&gt;"",O2598="*CANCELADO"),"",NETWORKDAYS(AC2598,TODAY(),#REF!)))</f>
        <v/>
      </c>
      <c r="AF2598" s="619"/>
    </row>
    <row r="2599" spans="1:32" ht="14.25" customHeight="1">
      <c r="A2599" s="176"/>
      <c r="B2599" s="176"/>
      <c r="C2599" s="177"/>
      <c r="D2599" s="176"/>
      <c r="E2599" s="176"/>
      <c r="F2599" s="259"/>
      <c r="G2599" s="176"/>
      <c r="H2599" s="178"/>
      <c r="I2599" s="592">
        <f t="shared" si="96"/>
        <v>0</v>
      </c>
      <c r="J2599" s="178"/>
      <c r="K2599" s="178"/>
      <c r="L2599" s="275" t="str">
        <f>IF(H:H=0,"",IF(ISERROR(VLOOKUP(H:H,produtos_escape2!$A$2:$B$2794,2,FALSE)),"Código não cadastrado",(VLOOKUP(H:H,produtos_escape2!$A$2:$B$2794,2,FALSE))))</f>
        <v/>
      </c>
      <c r="M2599" s="593" t="str">
        <f>IF(H:H=0,"",IF(ISERROR(VLOOKUP(H:H,produtos_escape2!$A$2:$D$2794,2,FALSE)),"Código não cadastrado",(VLOOKUP(H:H,produtos_escape2!$A$2:$D$2794,4,FALSE))))</f>
        <v/>
      </c>
      <c r="N2599" s="486"/>
      <c r="O2599" s="176"/>
      <c r="P2599" s="486"/>
      <c r="Q2599" s="247"/>
      <c r="R2599" s="246">
        <f t="shared" si="95"/>
        <v>0</v>
      </c>
      <c r="S2599" s="177"/>
      <c r="T2599" s="182"/>
      <c r="U2599" s="177"/>
      <c r="V2599" s="177"/>
      <c r="W2599" s="177"/>
      <c r="X2599" s="176"/>
      <c r="Y2599" s="177"/>
      <c r="Z2599" s="415"/>
      <c r="AA2599" s="488"/>
      <c r="AB2599" s="594"/>
      <c r="AC2599" s="595"/>
      <c r="AD2599" s="596" t="str">
        <f>IF(AND(AC2599&lt;&gt;"",S2599&lt;&gt;""),NETWORKDAYS(AC2599,S2599,#REF!),"")</f>
        <v/>
      </c>
      <c r="AE2599" s="596" t="str">
        <f ca="1">IF(AND(AD2599="",AC2599=""),"",IF(OR(AD2599&lt;&gt;"",O2599="*CANCELADO"),"",NETWORKDAYS(AC2599,TODAY(),#REF!)))</f>
        <v/>
      </c>
      <c r="AF2599" s="619"/>
    </row>
    <row r="2600" spans="1:32" ht="14.25" customHeight="1">
      <c r="A2600" s="176"/>
      <c r="B2600" s="176"/>
      <c r="C2600" s="177"/>
      <c r="D2600" s="176"/>
      <c r="E2600" s="176"/>
      <c r="F2600" s="259"/>
      <c r="G2600" s="176"/>
      <c r="H2600" s="178"/>
      <c r="I2600" s="592">
        <f t="shared" si="96"/>
        <v>0</v>
      </c>
      <c r="J2600" s="178"/>
      <c r="K2600" s="178"/>
      <c r="L2600" s="275" t="str">
        <f>IF(H:H=0,"",IF(ISERROR(VLOOKUP(H:H,produtos_escape2!$A$2:$B$2794,2,FALSE)),"Código não cadastrado",(VLOOKUP(H:H,produtos_escape2!$A$2:$B$2794,2,FALSE))))</f>
        <v/>
      </c>
      <c r="M2600" s="593" t="str">
        <f>IF(H:H=0,"",IF(ISERROR(VLOOKUP(H:H,produtos_escape2!$A$2:$D$2794,2,FALSE)),"Código não cadastrado",(VLOOKUP(H:H,produtos_escape2!$A$2:$D$2794,4,FALSE))))</f>
        <v/>
      </c>
      <c r="N2600" s="486"/>
      <c r="O2600" s="176"/>
      <c r="P2600" s="486"/>
      <c r="Q2600" s="247"/>
      <c r="R2600" s="246">
        <f t="shared" si="95"/>
        <v>0</v>
      </c>
      <c r="S2600" s="177"/>
      <c r="T2600" s="182"/>
      <c r="U2600" s="177"/>
      <c r="V2600" s="177"/>
      <c r="W2600" s="177"/>
      <c r="X2600" s="176"/>
      <c r="Y2600" s="177"/>
      <c r="Z2600" s="415"/>
      <c r="AA2600" s="488"/>
      <c r="AB2600" s="594"/>
      <c r="AC2600" s="595"/>
      <c r="AD2600" s="596" t="str">
        <f>IF(AND(AC2600&lt;&gt;"",S2600&lt;&gt;""),NETWORKDAYS(AC2600,S2600,#REF!),"")</f>
        <v/>
      </c>
      <c r="AE2600" s="596" t="str">
        <f ca="1">IF(AND(AD2600="",AC2600=""),"",IF(OR(AD2600&lt;&gt;"",O2600="*CANCELADO"),"",NETWORKDAYS(AC2600,TODAY(),#REF!)))</f>
        <v/>
      </c>
      <c r="AF2600" s="619"/>
    </row>
    <row r="2601" spans="1:32" ht="14.25" customHeight="1">
      <c r="A2601" s="176"/>
      <c r="B2601" s="176"/>
      <c r="C2601" s="177"/>
      <c r="D2601" s="176"/>
      <c r="E2601" s="176"/>
      <c r="F2601" s="259"/>
      <c r="G2601" s="176"/>
      <c r="H2601" s="178"/>
      <c r="I2601" s="592">
        <f t="shared" si="96"/>
        <v>0</v>
      </c>
      <c r="J2601" s="178"/>
      <c r="K2601" s="178"/>
      <c r="L2601" s="275" t="str">
        <f>IF(H:H=0,"",IF(ISERROR(VLOOKUP(H:H,produtos_escape2!$A$2:$B$2794,2,FALSE)),"Código não cadastrado",(VLOOKUP(H:H,produtos_escape2!$A$2:$B$2794,2,FALSE))))</f>
        <v/>
      </c>
      <c r="M2601" s="593" t="str">
        <f>IF(H:H=0,"",IF(ISERROR(VLOOKUP(H:H,produtos_escape2!$A$2:$D$2794,2,FALSE)),"Código não cadastrado",(VLOOKUP(H:H,produtos_escape2!$A$2:$D$2794,4,FALSE))))</f>
        <v/>
      </c>
      <c r="N2601" s="486"/>
      <c r="O2601" s="176"/>
      <c r="P2601" s="486"/>
      <c r="Q2601" s="247"/>
      <c r="R2601" s="246">
        <f t="shared" si="95"/>
        <v>0</v>
      </c>
      <c r="S2601" s="177"/>
      <c r="T2601" s="182"/>
      <c r="U2601" s="177"/>
      <c r="V2601" s="177"/>
      <c r="W2601" s="177"/>
      <c r="X2601" s="176"/>
      <c r="Y2601" s="177"/>
      <c r="Z2601" s="415"/>
      <c r="AA2601" s="488"/>
      <c r="AB2601" s="594"/>
      <c r="AC2601" s="595"/>
      <c r="AD2601" s="596" t="str">
        <f>IF(AND(AC2601&lt;&gt;"",S2601&lt;&gt;""),NETWORKDAYS(AC2601,S2601,#REF!),"")</f>
        <v/>
      </c>
      <c r="AE2601" s="596" t="str">
        <f ca="1">IF(AND(AD2601="",AC2601=""),"",IF(OR(AD2601&lt;&gt;"",O2601="*CANCELADO"),"",NETWORKDAYS(AC2601,TODAY(),#REF!)))</f>
        <v/>
      </c>
      <c r="AF2601" s="619"/>
    </row>
    <row r="2602" spans="1:32" ht="14.25" customHeight="1">
      <c r="A2602" s="176"/>
      <c r="B2602" s="176"/>
      <c r="C2602" s="177"/>
      <c r="D2602" s="176"/>
      <c r="E2602" s="176"/>
      <c r="F2602" s="259"/>
      <c r="G2602" s="176"/>
      <c r="H2602" s="178"/>
      <c r="I2602" s="592">
        <f t="shared" si="96"/>
        <v>0</v>
      </c>
      <c r="J2602" s="178"/>
      <c r="K2602" s="178"/>
      <c r="L2602" s="275" t="str">
        <f>IF(H:H=0,"",IF(ISERROR(VLOOKUP(H:H,produtos_escape2!$A$2:$B$2794,2,FALSE)),"Código não cadastrado",(VLOOKUP(H:H,produtos_escape2!$A$2:$B$2794,2,FALSE))))</f>
        <v/>
      </c>
      <c r="M2602" s="593" t="str">
        <f>IF(H:H=0,"",IF(ISERROR(VLOOKUP(H:H,produtos_escape2!$A$2:$D$2794,2,FALSE)),"Código não cadastrado",(VLOOKUP(H:H,produtos_escape2!$A$2:$D$2794,4,FALSE))))</f>
        <v/>
      </c>
      <c r="N2602" s="486"/>
      <c r="O2602" s="176"/>
      <c r="P2602" s="486"/>
      <c r="Q2602" s="247"/>
      <c r="R2602" s="246">
        <f t="shared" si="95"/>
        <v>0</v>
      </c>
      <c r="S2602" s="177"/>
      <c r="T2602" s="182"/>
      <c r="U2602" s="177"/>
      <c r="V2602" s="177"/>
      <c r="W2602" s="177"/>
      <c r="X2602" s="176"/>
      <c r="Y2602" s="177"/>
      <c r="Z2602" s="415"/>
      <c r="AA2602" s="488"/>
      <c r="AB2602" s="594"/>
      <c r="AC2602" s="595"/>
      <c r="AD2602" s="596" t="str">
        <f>IF(AND(AC2602&lt;&gt;"",S2602&lt;&gt;""),NETWORKDAYS(AC2602,S2602,#REF!),"")</f>
        <v/>
      </c>
      <c r="AE2602" s="596" t="str">
        <f ca="1">IF(AND(AD2602="",AC2602=""),"",IF(OR(AD2602&lt;&gt;"",O2602="*CANCELADO"),"",NETWORKDAYS(AC2602,TODAY(),#REF!)))</f>
        <v/>
      </c>
      <c r="AF2602" s="619"/>
    </row>
    <row r="2603" spans="1:32" ht="14.25" customHeight="1">
      <c r="A2603" s="176"/>
      <c r="B2603" s="176"/>
      <c r="C2603" s="177"/>
      <c r="D2603" s="176"/>
      <c r="E2603" s="176"/>
      <c r="F2603" s="259"/>
      <c r="G2603" s="176"/>
      <c r="H2603" s="178"/>
      <c r="I2603" s="592">
        <f t="shared" si="96"/>
        <v>0</v>
      </c>
      <c r="J2603" s="178"/>
      <c r="K2603" s="178"/>
      <c r="L2603" s="275" t="str">
        <f>IF(H:H=0,"",IF(ISERROR(VLOOKUP(H:H,produtos_escape2!$A$2:$B$2794,2,FALSE)),"Código não cadastrado",(VLOOKUP(H:H,produtos_escape2!$A$2:$B$2794,2,FALSE))))</f>
        <v/>
      </c>
      <c r="M2603" s="593" t="str">
        <f>IF(H:H=0,"",IF(ISERROR(VLOOKUP(H:H,produtos_escape2!$A$2:$D$2794,2,FALSE)),"Código não cadastrado",(VLOOKUP(H:H,produtos_escape2!$A$2:$D$2794,4,FALSE))))</f>
        <v/>
      </c>
      <c r="N2603" s="486"/>
      <c r="O2603" s="176"/>
      <c r="P2603" s="486"/>
      <c r="Q2603" s="247"/>
      <c r="R2603" s="246">
        <f t="shared" si="95"/>
        <v>0</v>
      </c>
      <c r="S2603" s="177"/>
      <c r="T2603" s="182"/>
      <c r="U2603" s="177"/>
      <c r="V2603" s="177"/>
      <c r="W2603" s="177"/>
      <c r="X2603" s="176"/>
      <c r="Y2603" s="177"/>
      <c r="Z2603" s="415"/>
      <c r="AA2603" s="488"/>
      <c r="AB2603" s="594"/>
      <c r="AC2603" s="595"/>
      <c r="AD2603" s="596" t="str">
        <f>IF(AND(AC2603&lt;&gt;"",S2603&lt;&gt;""),NETWORKDAYS(AC2603,S2603,#REF!),"")</f>
        <v/>
      </c>
      <c r="AE2603" s="596" t="str">
        <f ca="1">IF(AND(AD2603="",AC2603=""),"",IF(OR(AD2603&lt;&gt;"",O2603="*CANCELADO"),"",NETWORKDAYS(AC2603,TODAY(),#REF!)))</f>
        <v/>
      </c>
      <c r="AF2603" s="619"/>
    </row>
    <row r="2604" spans="1:32" ht="14.25" customHeight="1">
      <c r="A2604" s="176"/>
      <c r="B2604" s="176"/>
      <c r="C2604" s="177"/>
      <c r="D2604" s="176"/>
      <c r="E2604" s="176"/>
      <c r="F2604" s="259"/>
      <c r="G2604" s="176"/>
      <c r="H2604" s="178"/>
      <c r="I2604" s="592">
        <f t="shared" si="96"/>
        <v>0</v>
      </c>
      <c r="J2604" s="178"/>
      <c r="K2604" s="178"/>
      <c r="L2604" s="275" t="str">
        <f>IF(H:H=0,"",IF(ISERROR(VLOOKUP(H:H,produtos_escape2!$A$2:$B$2794,2,FALSE)),"Código não cadastrado",(VLOOKUP(H:H,produtos_escape2!$A$2:$B$2794,2,FALSE))))</f>
        <v/>
      </c>
      <c r="M2604" s="593" t="str">
        <f>IF(H:H=0,"",IF(ISERROR(VLOOKUP(H:H,produtos_escape2!$A$2:$D$2794,2,FALSE)),"Código não cadastrado",(VLOOKUP(H:H,produtos_escape2!$A$2:$D$2794,4,FALSE))))</f>
        <v/>
      </c>
      <c r="N2604" s="486"/>
      <c r="O2604" s="176"/>
      <c r="P2604" s="486"/>
      <c r="Q2604" s="247"/>
      <c r="R2604" s="246">
        <f t="shared" si="95"/>
        <v>0</v>
      </c>
      <c r="S2604" s="177"/>
      <c r="T2604" s="182"/>
      <c r="U2604" s="177"/>
      <c r="V2604" s="177"/>
      <c r="W2604" s="177"/>
      <c r="X2604" s="176"/>
      <c r="Y2604" s="177"/>
      <c r="Z2604" s="415"/>
      <c r="AA2604" s="488"/>
      <c r="AB2604" s="594"/>
      <c r="AC2604" s="595"/>
      <c r="AD2604" s="596" t="str">
        <f>IF(AND(AC2604&lt;&gt;"",S2604&lt;&gt;""),NETWORKDAYS(AC2604,S2604,#REF!),"")</f>
        <v/>
      </c>
      <c r="AE2604" s="596" t="str">
        <f ca="1">IF(AND(AD2604="",AC2604=""),"",IF(OR(AD2604&lt;&gt;"",O2604="*CANCELADO"),"",NETWORKDAYS(AC2604,TODAY(),#REF!)))</f>
        <v/>
      </c>
      <c r="AF2604" s="619"/>
    </row>
    <row r="2605" spans="1:32" ht="14.25" customHeight="1">
      <c r="A2605" s="176"/>
      <c r="B2605" s="176"/>
      <c r="C2605" s="177"/>
      <c r="D2605" s="176"/>
      <c r="E2605" s="176"/>
      <c r="F2605" s="259"/>
      <c r="G2605" s="176"/>
      <c r="H2605" s="178"/>
      <c r="I2605" s="592">
        <f t="shared" si="96"/>
        <v>0</v>
      </c>
      <c r="J2605" s="178"/>
      <c r="K2605" s="178"/>
      <c r="L2605" s="275" t="str">
        <f>IF(H:H=0,"",IF(ISERROR(VLOOKUP(H:H,produtos_escape2!$A$2:$B$2794,2,FALSE)),"Código não cadastrado",(VLOOKUP(H:H,produtos_escape2!$A$2:$B$2794,2,FALSE))))</f>
        <v/>
      </c>
      <c r="M2605" s="593" t="str">
        <f>IF(H:H=0,"",IF(ISERROR(VLOOKUP(H:H,produtos_escape2!$A$2:$D$2794,2,FALSE)),"Código não cadastrado",(VLOOKUP(H:H,produtos_escape2!$A$2:$D$2794,4,FALSE))))</f>
        <v/>
      </c>
      <c r="N2605" s="486"/>
      <c r="O2605" s="176"/>
      <c r="P2605" s="486"/>
      <c r="Q2605" s="247"/>
      <c r="R2605" s="246">
        <f t="shared" ref="R2605:R2668" si="97">P2605*Q2605</f>
        <v>0</v>
      </c>
      <c r="S2605" s="177"/>
      <c r="T2605" s="182"/>
      <c r="U2605" s="177"/>
      <c r="V2605" s="177"/>
      <c r="W2605" s="177"/>
      <c r="X2605" s="176"/>
      <c r="Y2605" s="177"/>
      <c r="Z2605" s="415"/>
      <c r="AA2605" s="488"/>
      <c r="AB2605" s="594"/>
      <c r="AC2605" s="595"/>
      <c r="AD2605" s="596" t="str">
        <f>IF(AND(AC2605&lt;&gt;"",S2605&lt;&gt;""),NETWORKDAYS(AC2605,S2605,#REF!),"")</f>
        <v/>
      </c>
      <c r="AE2605" s="596" t="str">
        <f ca="1">IF(AND(AD2605="",AC2605=""),"",IF(OR(AD2605&lt;&gt;"",O2605="*CANCELADO"),"",NETWORKDAYS(AC2605,TODAY(),#REF!)))</f>
        <v/>
      </c>
      <c r="AF2605" s="619"/>
    </row>
    <row r="2606" spans="1:32" ht="14.25" customHeight="1">
      <c r="A2606" s="176"/>
      <c r="B2606" s="176"/>
      <c r="C2606" s="177"/>
      <c r="D2606" s="176"/>
      <c r="E2606" s="176"/>
      <c r="F2606" s="259"/>
      <c r="G2606" s="176"/>
      <c r="H2606" s="178"/>
      <c r="I2606" s="592">
        <f t="shared" si="96"/>
        <v>0</v>
      </c>
      <c r="J2606" s="178"/>
      <c r="K2606" s="178"/>
      <c r="L2606" s="275" t="str">
        <f>IF(H:H=0,"",IF(ISERROR(VLOOKUP(H:H,produtos_escape2!$A$2:$B$2794,2,FALSE)),"Código não cadastrado",(VLOOKUP(H:H,produtos_escape2!$A$2:$B$2794,2,FALSE))))</f>
        <v/>
      </c>
      <c r="M2606" s="593" t="str">
        <f>IF(H:H=0,"",IF(ISERROR(VLOOKUP(H:H,produtos_escape2!$A$2:$D$2794,2,FALSE)),"Código não cadastrado",(VLOOKUP(H:H,produtos_escape2!$A$2:$D$2794,4,FALSE))))</f>
        <v/>
      </c>
      <c r="N2606" s="486"/>
      <c r="O2606" s="176"/>
      <c r="P2606" s="486"/>
      <c r="Q2606" s="247"/>
      <c r="R2606" s="246">
        <f t="shared" si="97"/>
        <v>0</v>
      </c>
      <c r="S2606" s="177"/>
      <c r="T2606" s="182"/>
      <c r="U2606" s="177"/>
      <c r="V2606" s="177"/>
      <c r="W2606" s="177"/>
      <c r="X2606" s="176"/>
      <c r="Y2606" s="177"/>
      <c r="Z2606" s="415"/>
      <c r="AA2606" s="488"/>
      <c r="AB2606" s="594"/>
      <c r="AC2606" s="595"/>
      <c r="AD2606" s="596" t="str">
        <f>IF(AND(AC2606&lt;&gt;"",S2606&lt;&gt;""),NETWORKDAYS(AC2606,S2606,#REF!),"")</f>
        <v/>
      </c>
      <c r="AE2606" s="596" t="str">
        <f ca="1">IF(AND(AD2606="",AC2606=""),"",IF(OR(AD2606&lt;&gt;"",O2606="*CANCELADO"),"",NETWORKDAYS(AC2606,TODAY(),#REF!)))</f>
        <v/>
      </c>
      <c r="AF2606" s="619"/>
    </row>
    <row r="2607" spans="1:32" ht="14.25" customHeight="1">
      <c r="A2607" s="176"/>
      <c r="B2607" s="176"/>
      <c r="C2607" s="177"/>
      <c r="D2607" s="176"/>
      <c r="E2607" s="176"/>
      <c r="F2607" s="259"/>
      <c r="G2607" s="176"/>
      <c r="H2607" s="178"/>
      <c r="I2607" s="592">
        <f t="shared" si="96"/>
        <v>0</v>
      </c>
      <c r="J2607" s="178"/>
      <c r="K2607" s="178"/>
      <c r="L2607" s="275" t="str">
        <f>IF(H:H=0,"",IF(ISERROR(VLOOKUP(H:H,produtos_escape2!$A$2:$B$2794,2,FALSE)),"Código não cadastrado",(VLOOKUP(H:H,produtos_escape2!$A$2:$B$2794,2,FALSE))))</f>
        <v/>
      </c>
      <c r="M2607" s="593" t="str">
        <f>IF(H:H=0,"",IF(ISERROR(VLOOKUP(H:H,produtos_escape2!$A$2:$D$2794,2,FALSE)),"Código não cadastrado",(VLOOKUP(H:H,produtos_escape2!$A$2:$D$2794,4,FALSE))))</f>
        <v/>
      </c>
      <c r="N2607" s="486"/>
      <c r="O2607" s="176"/>
      <c r="P2607" s="486"/>
      <c r="Q2607" s="247"/>
      <c r="R2607" s="246">
        <f t="shared" si="97"/>
        <v>0</v>
      </c>
      <c r="S2607" s="177"/>
      <c r="T2607" s="182"/>
      <c r="U2607" s="177"/>
      <c r="V2607" s="177"/>
      <c r="W2607" s="177"/>
      <c r="X2607" s="176"/>
      <c r="Y2607" s="177"/>
      <c r="Z2607" s="415"/>
      <c r="AA2607" s="488"/>
      <c r="AB2607" s="594"/>
      <c r="AC2607" s="595"/>
      <c r="AD2607" s="596" t="str">
        <f>IF(AND(AC2607&lt;&gt;"",S2607&lt;&gt;""),NETWORKDAYS(AC2607,S2607,#REF!),"")</f>
        <v/>
      </c>
      <c r="AE2607" s="596" t="str">
        <f ca="1">IF(AND(AD2607="",AC2607=""),"",IF(OR(AD2607&lt;&gt;"",O2607="*CANCELADO"),"",NETWORKDAYS(AC2607,TODAY(),#REF!)))</f>
        <v/>
      </c>
      <c r="AF2607" s="619"/>
    </row>
    <row r="2608" spans="1:32" ht="14.25" customHeight="1">
      <c r="A2608" s="176"/>
      <c r="B2608" s="176"/>
      <c r="C2608" s="177"/>
      <c r="D2608" s="176"/>
      <c r="E2608" s="176"/>
      <c r="F2608" s="259"/>
      <c r="G2608" s="176"/>
      <c r="H2608" s="178"/>
      <c r="I2608" s="592">
        <f t="shared" si="96"/>
        <v>0</v>
      </c>
      <c r="J2608" s="178"/>
      <c r="K2608" s="178"/>
      <c r="L2608" s="275" t="str">
        <f>IF(H:H=0,"",IF(ISERROR(VLOOKUP(H:H,produtos_escape2!$A$2:$B$2794,2,FALSE)),"Código não cadastrado",(VLOOKUP(H:H,produtos_escape2!$A$2:$B$2794,2,FALSE))))</f>
        <v/>
      </c>
      <c r="M2608" s="593" t="str">
        <f>IF(H:H=0,"",IF(ISERROR(VLOOKUP(H:H,produtos_escape2!$A$2:$D$2794,2,FALSE)),"Código não cadastrado",(VLOOKUP(H:H,produtos_escape2!$A$2:$D$2794,4,FALSE))))</f>
        <v/>
      </c>
      <c r="N2608" s="486"/>
      <c r="O2608" s="176"/>
      <c r="P2608" s="486"/>
      <c r="Q2608" s="247"/>
      <c r="R2608" s="246">
        <f t="shared" si="97"/>
        <v>0</v>
      </c>
      <c r="S2608" s="177"/>
      <c r="T2608" s="182"/>
      <c r="U2608" s="177"/>
      <c r="V2608" s="177"/>
      <c r="W2608" s="177"/>
      <c r="X2608" s="176"/>
      <c r="Y2608" s="177"/>
      <c r="Z2608" s="415"/>
      <c r="AA2608" s="488"/>
      <c r="AB2608" s="594"/>
      <c r="AC2608" s="595"/>
      <c r="AD2608" s="596" t="str">
        <f>IF(AND(AC2608&lt;&gt;"",S2608&lt;&gt;""),NETWORKDAYS(AC2608,S2608,#REF!),"")</f>
        <v/>
      </c>
      <c r="AE2608" s="596" t="str">
        <f ca="1">IF(AND(AD2608="",AC2608=""),"",IF(OR(AD2608&lt;&gt;"",O2608="*CANCELADO"),"",NETWORKDAYS(AC2608,TODAY(),#REF!)))</f>
        <v/>
      </c>
      <c r="AF2608" s="619"/>
    </row>
    <row r="2609" spans="1:32" ht="14.25" customHeight="1">
      <c r="A2609" s="176"/>
      <c r="B2609" s="176"/>
      <c r="C2609" s="177"/>
      <c r="D2609" s="176"/>
      <c r="E2609" s="176"/>
      <c r="F2609" s="259"/>
      <c r="G2609" s="176"/>
      <c r="H2609" s="178"/>
      <c r="I2609" s="592">
        <f t="shared" si="96"/>
        <v>0</v>
      </c>
      <c r="J2609" s="178"/>
      <c r="K2609" s="178"/>
      <c r="L2609" s="275" t="str">
        <f>IF(H:H=0,"",IF(ISERROR(VLOOKUP(H:H,produtos_escape2!$A$2:$B$2794,2,FALSE)),"Código não cadastrado",(VLOOKUP(H:H,produtos_escape2!$A$2:$B$2794,2,FALSE))))</f>
        <v/>
      </c>
      <c r="M2609" s="593" t="str">
        <f>IF(H:H=0,"",IF(ISERROR(VLOOKUP(H:H,produtos_escape2!$A$2:$D$2794,2,FALSE)),"Código não cadastrado",(VLOOKUP(H:H,produtos_escape2!$A$2:$D$2794,4,FALSE))))</f>
        <v/>
      </c>
      <c r="N2609" s="486"/>
      <c r="O2609" s="176"/>
      <c r="P2609" s="486"/>
      <c r="Q2609" s="247"/>
      <c r="R2609" s="246">
        <f t="shared" si="97"/>
        <v>0</v>
      </c>
      <c r="S2609" s="177"/>
      <c r="T2609" s="182"/>
      <c r="U2609" s="177"/>
      <c r="V2609" s="177"/>
      <c r="W2609" s="177"/>
      <c r="X2609" s="176"/>
      <c r="Y2609" s="177"/>
      <c r="Z2609" s="415"/>
      <c r="AA2609" s="488"/>
      <c r="AB2609" s="594"/>
      <c r="AC2609" s="595"/>
      <c r="AD2609" s="596" t="str">
        <f>IF(AND(AC2609&lt;&gt;"",S2609&lt;&gt;""),NETWORKDAYS(AC2609,S2609,#REF!),"")</f>
        <v/>
      </c>
      <c r="AE2609" s="596" t="str">
        <f ca="1">IF(AND(AD2609="",AC2609=""),"",IF(OR(AD2609&lt;&gt;"",O2609="*CANCELADO"),"",NETWORKDAYS(AC2609,TODAY(),#REF!)))</f>
        <v/>
      </c>
      <c r="AF2609" s="619"/>
    </row>
    <row r="2610" spans="1:32" ht="14.25" customHeight="1">
      <c r="A2610" s="176"/>
      <c r="B2610" s="176"/>
      <c r="C2610" s="177"/>
      <c r="D2610" s="176"/>
      <c r="E2610" s="176"/>
      <c r="F2610" s="259"/>
      <c r="G2610" s="176"/>
      <c r="H2610" s="178"/>
      <c r="I2610" s="592">
        <f t="shared" si="96"/>
        <v>0</v>
      </c>
      <c r="J2610" s="178"/>
      <c r="K2610" s="178"/>
      <c r="L2610" s="275" t="str">
        <f>IF(H:H=0,"",IF(ISERROR(VLOOKUP(H:H,produtos_escape2!$A$2:$B$2794,2,FALSE)),"Código não cadastrado",(VLOOKUP(H:H,produtos_escape2!$A$2:$B$2794,2,FALSE))))</f>
        <v/>
      </c>
      <c r="M2610" s="593" t="str">
        <f>IF(H:H=0,"",IF(ISERROR(VLOOKUP(H:H,produtos_escape2!$A$2:$D$2794,2,FALSE)),"Código não cadastrado",(VLOOKUP(H:H,produtos_escape2!$A$2:$D$2794,4,FALSE))))</f>
        <v/>
      </c>
      <c r="N2610" s="486"/>
      <c r="O2610" s="176"/>
      <c r="P2610" s="486"/>
      <c r="Q2610" s="247"/>
      <c r="R2610" s="246">
        <f t="shared" si="97"/>
        <v>0</v>
      </c>
      <c r="S2610" s="177"/>
      <c r="T2610" s="182"/>
      <c r="U2610" s="177"/>
      <c r="V2610" s="177"/>
      <c r="W2610" s="177"/>
      <c r="X2610" s="176"/>
      <c r="Y2610" s="177"/>
      <c r="Z2610" s="415"/>
      <c r="AA2610" s="488"/>
      <c r="AB2610" s="594"/>
      <c r="AC2610" s="595"/>
      <c r="AD2610" s="596" t="str">
        <f>IF(AND(AC2610&lt;&gt;"",S2610&lt;&gt;""),NETWORKDAYS(AC2610,S2610,#REF!),"")</f>
        <v/>
      </c>
      <c r="AE2610" s="596" t="str">
        <f ca="1">IF(AND(AD2610="",AC2610=""),"",IF(OR(AD2610&lt;&gt;"",O2610="*CANCELADO"),"",NETWORKDAYS(AC2610,TODAY(),#REF!)))</f>
        <v/>
      </c>
      <c r="AF2610" s="619"/>
    </row>
    <row r="2611" spans="1:32" ht="14.25" customHeight="1">
      <c r="A2611" s="176"/>
      <c r="B2611" s="176"/>
      <c r="C2611" s="177"/>
      <c r="D2611" s="176"/>
      <c r="E2611" s="176"/>
      <c r="F2611" s="259"/>
      <c r="G2611" s="176"/>
      <c r="H2611" s="178"/>
      <c r="I2611" s="592">
        <f t="shared" si="96"/>
        <v>0</v>
      </c>
      <c r="J2611" s="178"/>
      <c r="K2611" s="178"/>
      <c r="L2611" s="275" t="str">
        <f>IF(H:H=0,"",IF(ISERROR(VLOOKUP(H:H,produtos_escape2!$A$2:$B$2794,2,FALSE)),"Código não cadastrado",(VLOOKUP(H:H,produtos_escape2!$A$2:$B$2794,2,FALSE))))</f>
        <v/>
      </c>
      <c r="M2611" s="593" t="str">
        <f>IF(H:H=0,"",IF(ISERROR(VLOOKUP(H:H,produtos_escape2!$A$2:$D$2794,2,FALSE)),"Código não cadastrado",(VLOOKUP(H:H,produtos_escape2!$A$2:$D$2794,4,FALSE))))</f>
        <v/>
      </c>
      <c r="N2611" s="486"/>
      <c r="O2611" s="176"/>
      <c r="P2611" s="486"/>
      <c r="Q2611" s="247"/>
      <c r="R2611" s="246">
        <f t="shared" si="97"/>
        <v>0</v>
      </c>
      <c r="S2611" s="177"/>
      <c r="T2611" s="182"/>
      <c r="U2611" s="177"/>
      <c r="V2611" s="177"/>
      <c r="W2611" s="177"/>
      <c r="X2611" s="176"/>
      <c r="Y2611" s="177"/>
      <c r="Z2611" s="415"/>
      <c r="AA2611" s="488"/>
      <c r="AB2611" s="594"/>
      <c r="AC2611" s="595"/>
      <c r="AD2611" s="596" t="str">
        <f>IF(AND(AC2611&lt;&gt;"",S2611&lt;&gt;""),NETWORKDAYS(AC2611,S2611,#REF!),"")</f>
        <v/>
      </c>
      <c r="AE2611" s="596" t="str">
        <f ca="1">IF(AND(AD2611="",AC2611=""),"",IF(OR(AD2611&lt;&gt;"",O2611="*CANCELADO"),"",NETWORKDAYS(AC2611,TODAY(),#REF!)))</f>
        <v/>
      </c>
      <c r="AF2611" s="619"/>
    </row>
    <row r="2612" spans="1:32" ht="14.25" customHeight="1">
      <c r="A2612" s="176"/>
      <c r="B2612" s="176"/>
      <c r="C2612" s="177"/>
      <c r="D2612" s="176"/>
      <c r="E2612" s="176"/>
      <c r="F2612" s="259"/>
      <c r="G2612" s="176"/>
      <c r="H2612" s="178"/>
      <c r="I2612" s="592">
        <f t="shared" si="96"/>
        <v>0</v>
      </c>
      <c r="J2612" s="178"/>
      <c r="K2612" s="178"/>
      <c r="L2612" s="275" t="str">
        <f>IF(H:H=0,"",IF(ISERROR(VLOOKUP(H:H,produtos_escape2!$A$2:$B$2794,2,FALSE)),"Código não cadastrado",(VLOOKUP(H:H,produtos_escape2!$A$2:$B$2794,2,FALSE))))</f>
        <v/>
      </c>
      <c r="M2612" s="593" t="str">
        <f>IF(H:H=0,"",IF(ISERROR(VLOOKUP(H:H,produtos_escape2!$A$2:$D$2794,2,FALSE)),"Código não cadastrado",(VLOOKUP(H:H,produtos_escape2!$A$2:$D$2794,4,FALSE))))</f>
        <v/>
      </c>
      <c r="N2612" s="486"/>
      <c r="O2612" s="176"/>
      <c r="P2612" s="486"/>
      <c r="Q2612" s="247"/>
      <c r="R2612" s="246">
        <f t="shared" si="97"/>
        <v>0</v>
      </c>
      <c r="S2612" s="177"/>
      <c r="T2612" s="182"/>
      <c r="U2612" s="177"/>
      <c r="V2612" s="177"/>
      <c r="W2612" s="177"/>
      <c r="X2612" s="176"/>
      <c r="Y2612" s="177"/>
      <c r="Z2612" s="415"/>
      <c r="AA2612" s="488"/>
      <c r="AB2612" s="594"/>
      <c r="AC2612" s="595"/>
      <c r="AD2612" s="596" t="str">
        <f>IF(AND(AC2612&lt;&gt;"",S2612&lt;&gt;""),NETWORKDAYS(AC2612,S2612,#REF!),"")</f>
        <v/>
      </c>
      <c r="AE2612" s="596" t="str">
        <f ca="1">IF(AND(AD2612="",AC2612=""),"",IF(OR(AD2612&lt;&gt;"",O2612="*CANCELADO"),"",NETWORKDAYS(AC2612,TODAY(),#REF!)))</f>
        <v/>
      </c>
      <c r="AF2612" s="619"/>
    </row>
    <row r="2613" spans="1:32" ht="14.25" customHeight="1">
      <c r="A2613" s="176"/>
      <c r="B2613" s="176"/>
      <c r="C2613" s="177"/>
      <c r="D2613" s="176"/>
      <c r="E2613" s="176"/>
      <c r="F2613" s="259"/>
      <c r="G2613" s="176"/>
      <c r="H2613" s="178"/>
      <c r="I2613" s="592">
        <f t="shared" si="96"/>
        <v>0</v>
      </c>
      <c r="J2613" s="178"/>
      <c r="K2613" s="178"/>
      <c r="L2613" s="275" t="str">
        <f>IF(H:H=0,"",IF(ISERROR(VLOOKUP(H:H,produtos_escape2!$A$2:$B$2794,2,FALSE)),"Código não cadastrado",(VLOOKUP(H:H,produtos_escape2!$A$2:$B$2794,2,FALSE))))</f>
        <v/>
      </c>
      <c r="M2613" s="593" t="str">
        <f>IF(H:H=0,"",IF(ISERROR(VLOOKUP(H:H,produtos_escape2!$A$2:$D$2794,2,FALSE)),"Código não cadastrado",(VLOOKUP(H:H,produtos_escape2!$A$2:$D$2794,4,FALSE))))</f>
        <v/>
      </c>
      <c r="N2613" s="486"/>
      <c r="O2613" s="176"/>
      <c r="P2613" s="486"/>
      <c r="Q2613" s="247"/>
      <c r="R2613" s="246">
        <f t="shared" si="97"/>
        <v>0</v>
      </c>
      <c r="S2613" s="177"/>
      <c r="T2613" s="182"/>
      <c r="U2613" s="177"/>
      <c r="V2613" s="177"/>
      <c r="W2613" s="177"/>
      <c r="X2613" s="176"/>
      <c r="Y2613" s="177"/>
      <c r="Z2613" s="415"/>
      <c r="AA2613" s="488"/>
      <c r="AB2613" s="594"/>
      <c r="AC2613" s="595"/>
      <c r="AD2613" s="596" t="str">
        <f>IF(AND(AC2613&lt;&gt;"",S2613&lt;&gt;""),NETWORKDAYS(AC2613,S2613,#REF!),"")</f>
        <v/>
      </c>
      <c r="AE2613" s="596" t="str">
        <f ca="1">IF(AND(AD2613="",AC2613=""),"",IF(OR(AD2613&lt;&gt;"",O2613="*CANCELADO"),"",NETWORKDAYS(AC2613,TODAY(),#REF!)))</f>
        <v/>
      </c>
      <c r="AF2613" s="619"/>
    </row>
    <row r="2614" spans="1:32" ht="14.25" customHeight="1">
      <c r="A2614" s="176"/>
      <c r="B2614" s="176"/>
      <c r="C2614" s="177"/>
      <c r="D2614" s="176"/>
      <c r="E2614" s="176"/>
      <c r="F2614" s="259"/>
      <c r="G2614" s="176"/>
      <c r="H2614" s="178"/>
      <c r="I2614" s="592">
        <f t="shared" ref="I2614:I2677" si="98">COUNTIF($H$3:$H$3041,H2614)</f>
        <v>0</v>
      </c>
      <c r="J2614" s="178"/>
      <c r="K2614" s="178"/>
      <c r="L2614" s="275" t="str">
        <f>IF(H:H=0,"",IF(ISERROR(VLOOKUP(H:H,produtos_escape2!$A$2:$B$2794,2,FALSE)),"Código não cadastrado",(VLOOKUP(H:H,produtos_escape2!$A$2:$B$2794,2,FALSE))))</f>
        <v/>
      </c>
      <c r="M2614" s="593" t="str">
        <f>IF(H:H=0,"",IF(ISERROR(VLOOKUP(H:H,produtos_escape2!$A$2:$D$2794,2,FALSE)),"Código não cadastrado",(VLOOKUP(H:H,produtos_escape2!$A$2:$D$2794,4,FALSE))))</f>
        <v/>
      </c>
      <c r="N2614" s="486"/>
      <c r="O2614" s="176"/>
      <c r="P2614" s="486"/>
      <c r="Q2614" s="247"/>
      <c r="R2614" s="246">
        <f t="shared" si="97"/>
        <v>0</v>
      </c>
      <c r="S2614" s="177"/>
      <c r="T2614" s="182"/>
      <c r="U2614" s="177"/>
      <c r="V2614" s="177"/>
      <c r="W2614" s="177"/>
      <c r="X2614" s="176"/>
      <c r="Y2614" s="177"/>
      <c r="Z2614" s="415"/>
      <c r="AA2614" s="488"/>
      <c r="AB2614" s="594"/>
      <c r="AC2614" s="595"/>
      <c r="AD2614" s="596" t="str">
        <f>IF(AND(AC2614&lt;&gt;"",S2614&lt;&gt;""),NETWORKDAYS(AC2614,S2614,#REF!),"")</f>
        <v/>
      </c>
      <c r="AE2614" s="596" t="str">
        <f ca="1">IF(AND(AD2614="",AC2614=""),"",IF(OR(AD2614&lt;&gt;"",O2614="*CANCELADO"),"",NETWORKDAYS(AC2614,TODAY(),#REF!)))</f>
        <v/>
      </c>
      <c r="AF2614" s="619"/>
    </row>
    <row r="2615" spans="1:32" ht="14.25" customHeight="1">
      <c r="A2615" s="176"/>
      <c r="B2615" s="176"/>
      <c r="C2615" s="177"/>
      <c r="D2615" s="176"/>
      <c r="E2615" s="176"/>
      <c r="F2615" s="259"/>
      <c r="G2615" s="176"/>
      <c r="H2615" s="178"/>
      <c r="I2615" s="592">
        <f t="shared" si="98"/>
        <v>0</v>
      </c>
      <c r="J2615" s="178"/>
      <c r="K2615" s="178"/>
      <c r="L2615" s="275" t="str">
        <f>IF(H:H=0,"",IF(ISERROR(VLOOKUP(H:H,produtos_escape2!$A$2:$B$2794,2,FALSE)),"Código não cadastrado",(VLOOKUP(H:H,produtos_escape2!$A$2:$B$2794,2,FALSE))))</f>
        <v/>
      </c>
      <c r="M2615" s="593" t="str">
        <f>IF(H:H=0,"",IF(ISERROR(VLOOKUP(H:H,produtos_escape2!$A$2:$D$2794,2,FALSE)),"Código não cadastrado",(VLOOKUP(H:H,produtos_escape2!$A$2:$D$2794,4,FALSE))))</f>
        <v/>
      </c>
      <c r="N2615" s="486"/>
      <c r="O2615" s="176"/>
      <c r="P2615" s="486"/>
      <c r="Q2615" s="247"/>
      <c r="R2615" s="246">
        <f t="shared" si="97"/>
        <v>0</v>
      </c>
      <c r="S2615" s="177"/>
      <c r="T2615" s="182"/>
      <c r="U2615" s="177"/>
      <c r="V2615" s="177"/>
      <c r="W2615" s="177"/>
      <c r="X2615" s="176"/>
      <c r="Y2615" s="177"/>
      <c r="Z2615" s="415"/>
      <c r="AA2615" s="488"/>
      <c r="AB2615" s="594"/>
      <c r="AC2615" s="595"/>
      <c r="AD2615" s="596" t="str">
        <f>IF(AND(AC2615&lt;&gt;"",S2615&lt;&gt;""),NETWORKDAYS(AC2615,S2615,#REF!),"")</f>
        <v/>
      </c>
      <c r="AE2615" s="596" t="str">
        <f ca="1">IF(AND(AD2615="",AC2615=""),"",IF(OR(AD2615&lt;&gt;"",O2615="*CANCELADO"),"",NETWORKDAYS(AC2615,TODAY(),#REF!)))</f>
        <v/>
      </c>
      <c r="AF2615" s="619"/>
    </row>
    <row r="2616" spans="1:32" ht="14.25" customHeight="1">
      <c r="A2616" s="176"/>
      <c r="B2616" s="176"/>
      <c r="C2616" s="177"/>
      <c r="D2616" s="176"/>
      <c r="E2616" s="176"/>
      <c r="F2616" s="259"/>
      <c r="G2616" s="176"/>
      <c r="H2616" s="178"/>
      <c r="I2616" s="592">
        <f t="shared" si="98"/>
        <v>0</v>
      </c>
      <c r="J2616" s="178"/>
      <c r="K2616" s="178"/>
      <c r="L2616" s="275" t="str">
        <f>IF(H:H=0,"",IF(ISERROR(VLOOKUP(H:H,produtos_escape2!$A$2:$B$2794,2,FALSE)),"Código não cadastrado",(VLOOKUP(H:H,produtos_escape2!$A$2:$B$2794,2,FALSE))))</f>
        <v/>
      </c>
      <c r="M2616" s="593" t="str">
        <f>IF(H:H=0,"",IF(ISERROR(VLOOKUP(H:H,produtos_escape2!$A$2:$D$2794,2,FALSE)),"Código não cadastrado",(VLOOKUP(H:H,produtos_escape2!$A$2:$D$2794,4,FALSE))))</f>
        <v/>
      </c>
      <c r="N2616" s="486"/>
      <c r="O2616" s="176"/>
      <c r="P2616" s="486"/>
      <c r="Q2616" s="247"/>
      <c r="R2616" s="246">
        <f t="shared" si="97"/>
        <v>0</v>
      </c>
      <c r="S2616" s="177"/>
      <c r="T2616" s="182"/>
      <c r="U2616" s="177"/>
      <c r="V2616" s="177"/>
      <c r="W2616" s="177"/>
      <c r="X2616" s="176"/>
      <c r="Y2616" s="177"/>
      <c r="Z2616" s="415"/>
      <c r="AA2616" s="488"/>
      <c r="AB2616" s="594"/>
      <c r="AC2616" s="595"/>
      <c r="AD2616" s="596" t="str">
        <f>IF(AND(AC2616&lt;&gt;"",S2616&lt;&gt;""),NETWORKDAYS(AC2616,S2616,#REF!),"")</f>
        <v/>
      </c>
      <c r="AE2616" s="596" t="str">
        <f ca="1">IF(AND(AD2616="",AC2616=""),"",IF(OR(AD2616&lt;&gt;"",O2616="*CANCELADO"),"",NETWORKDAYS(AC2616,TODAY(),#REF!)))</f>
        <v/>
      </c>
      <c r="AF2616" s="619"/>
    </row>
    <row r="2617" spans="1:32" ht="14.25" customHeight="1">
      <c r="A2617" s="176"/>
      <c r="B2617" s="176"/>
      <c r="C2617" s="177"/>
      <c r="D2617" s="176"/>
      <c r="E2617" s="176"/>
      <c r="F2617" s="259"/>
      <c r="G2617" s="176"/>
      <c r="H2617" s="178"/>
      <c r="I2617" s="592">
        <f t="shared" si="98"/>
        <v>0</v>
      </c>
      <c r="J2617" s="178"/>
      <c r="K2617" s="178"/>
      <c r="L2617" s="275" t="str">
        <f>IF(H:H=0,"",IF(ISERROR(VLOOKUP(H:H,produtos_escape2!$A$2:$B$2794,2,FALSE)),"Código não cadastrado",(VLOOKUP(H:H,produtos_escape2!$A$2:$B$2794,2,FALSE))))</f>
        <v/>
      </c>
      <c r="M2617" s="593" t="str">
        <f>IF(H:H=0,"",IF(ISERROR(VLOOKUP(H:H,produtos_escape2!$A$2:$D$2794,2,FALSE)),"Código não cadastrado",(VLOOKUP(H:H,produtos_escape2!$A$2:$D$2794,4,FALSE))))</f>
        <v/>
      </c>
      <c r="N2617" s="486"/>
      <c r="O2617" s="176"/>
      <c r="P2617" s="486"/>
      <c r="Q2617" s="247"/>
      <c r="R2617" s="246">
        <f t="shared" si="97"/>
        <v>0</v>
      </c>
      <c r="S2617" s="177"/>
      <c r="T2617" s="182"/>
      <c r="U2617" s="177"/>
      <c r="V2617" s="177"/>
      <c r="W2617" s="177"/>
      <c r="X2617" s="176"/>
      <c r="Y2617" s="177"/>
      <c r="Z2617" s="415"/>
      <c r="AA2617" s="488"/>
      <c r="AB2617" s="594"/>
      <c r="AC2617" s="595"/>
      <c r="AD2617" s="596" t="str">
        <f>IF(AND(AC2617&lt;&gt;"",S2617&lt;&gt;""),NETWORKDAYS(AC2617,S2617,#REF!),"")</f>
        <v/>
      </c>
      <c r="AE2617" s="596" t="str">
        <f ca="1">IF(AND(AD2617="",AC2617=""),"",IF(OR(AD2617&lt;&gt;"",O2617="*CANCELADO"),"",NETWORKDAYS(AC2617,TODAY(),#REF!)))</f>
        <v/>
      </c>
      <c r="AF2617" s="619"/>
    </row>
    <row r="2618" spans="1:32" ht="14.25" customHeight="1">
      <c r="A2618" s="176"/>
      <c r="B2618" s="176"/>
      <c r="C2618" s="177"/>
      <c r="D2618" s="176"/>
      <c r="E2618" s="176"/>
      <c r="F2618" s="259"/>
      <c r="G2618" s="176"/>
      <c r="H2618" s="178"/>
      <c r="I2618" s="592">
        <f t="shared" si="98"/>
        <v>0</v>
      </c>
      <c r="J2618" s="178"/>
      <c r="K2618" s="178"/>
      <c r="L2618" s="275" t="str">
        <f>IF(H:H=0,"",IF(ISERROR(VLOOKUP(H:H,produtos_escape2!$A$2:$B$2794,2,FALSE)),"Código não cadastrado",(VLOOKUP(H:H,produtos_escape2!$A$2:$B$2794,2,FALSE))))</f>
        <v/>
      </c>
      <c r="M2618" s="593" t="str">
        <f>IF(H:H=0,"",IF(ISERROR(VLOOKUP(H:H,produtos_escape2!$A$2:$D$2794,2,FALSE)),"Código não cadastrado",(VLOOKUP(H:H,produtos_escape2!$A$2:$D$2794,4,FALSE))))</f>
        <v/>
      </c>
      <c r="N2618" s="486"/>
      <c r="O2618" s="176"/>
      <c r="P2618" s="486"/>
      <c r="Q2618" s="247"/>
      <c r="R2618" s="246">
        <f t="shared" si="97"/>
        <v>0</v>
      </c>
      <c r="S2618" s="177"/>
      <c r="T2618" s="182"/>
      <c r="U2618" s="177"/>
      <c r="V2618" s="177"/>
      <c r="W2618" s="177"/>
      <c r="X2618" s="176"/>
      <c r="Y2618" s="177"/>
      <c r="Z2618" s="415"/>
      <c r="AA2618" s="488"/>
      <c r="AB2618" s="594"/>
      <c r="AC2618" s="595"/>
      <c r="AD2618" s="596" t="str">
        <f>IF(AND(AC2618&lt;&gt;"",S2618&lt;&gt;""),NETWORKDAYS(AC2618,S2618,#REF!),"")</f>
        <v/>
      </c>
      <c r="AE2618" s="596" t="str">
        <f ca="1">IF(AND(AD2618="",AC2618=""),"",IF(OR(AD2618&lt;&gt;"",O2618="*CANCELADO"),"",NETWORKDAYS(AC2618,TODAY(),#REF!)))</f>
        <v/>
      </c>
      <c r="AF2618" s="619"/>
    </row>
    <row r="2619" spans="1:32" ht="14.25" customHeight="1">
      <c r="A2619" s="176"/>
      <c r="B2619" s="176"/>
      <c r="C2619" s="177"/>
      <c r="D2619" s="176"/>
      <c r="E2619" s="176"/>
      <c r="F2619" s="259"/>
      <c r="G2619" s="176"/>
      <c r="H2619" s="178"/>
      <c r="I2619" s="592">
        <f t="shared" si="98"/>
        <v>0</v>
      </c>
      <c r="J2619" s="178"/>
      <c r="K2619" s="178"/>
      <c r="L2619" s="275" t="str">
        <f>IF(H:H=0,"",IF(ISERROR(VLOOKUP(H:H,produtos_escape2!$A$2:$B$2794,2,FALSE)),"Código não cadastrado",(VLOOKUP(H:H,produtos_escape2!$A$2:$B$2794,2,FALSE))))</f>
        <v/>
      </c>
      <c r="M2619" s="593" t="str">
        <f>IF(H:H=0,"",IF(ISERROR(VLOOKUP(H:H,produtos_escape2!$A$2:$D$2794,2,FALSE)),"Código não cadastrado",(VLOOKUP(H:H,produtos_escape2!$A$2:$D$2794,4,FALSE))))</f>
        <v/>
      </c>
      <c r="N2619" s="486"/>
      <c r="O2619" s="176"/>
      <c r="P2619" s="486"/>
      <c r="Q2619" s="247"/>
      <c r="R2619" s="246">
        <f t="shared" si="97"/>
        <v>0</v>
      </c>
      <c r="S2619" s="177"/>
      <c r="T2619" s="182"/>
      <c r="U2619" s="177"/>
      <c r="V2619" s="177"/>
      <c r="W2619" s="177"/>
      <c r="X2619" s="176"/>
      <c r="Y2619" s="177"/>
      <c r="Z2619" s="415"/>
      <c r="AA2619" s="488"/>
      <c r="AB2619" s="594"/>
      <c r="AC2619" s="595"/>
      <c r="AD2619" s="596" t="str">
        <f>IF(AND(AC2619&lt;&gt;"",S2619&lt;&gt;""),NETWORKDAYS(AC2619,S2619,#REF!),"")</f>
        <v/>
      </c>
      <c r="AE2619" s="596" t="str">
        <f ca="1">IF(AND(AD2619="",AC2619=""),"",IF(OR(AD2619&lt;&gt;"",O2619="*CANCELADO"),"",NETWORKDAYS(AC2619,TODAY(),#REF!)))</f>
        <v/>
      </c>
      <c r="AF2619" s="619"/>
    </row>
    <row r="2620" spans="1:32" ht="14.25" customHeight="1">
      <c r="A2620" s="176"/>
      <c r="B2620" s="176"/>
      <c r="C2620" s="177"/>
      <c r="D2620" s="176"/>
      <c r="E2620" s="176"/>
      <c r="F2620" s="259"/>
      <c r="G2620" s="176"/>
      <c r="H2620" s="178"/>
      <c r="I2620" s="592">
        <f t="shared" si="98"/>
        <v>0</v>
      </c>
      <c r="J2620" s="178"/>
      <c r="K2620" s="178"/>
      <c r="L2620" s="275" t="str">
        <f>IF(H:H=0,"",IF(ISERROR(VLOOKUP(H:H,produtos_escape2!$A$2:$B$2794,2,FALSE)),"Código não cadastrado",(VLOOKUP(H:H,produtos_escape2!$A$2:$B$2794,2,FALSE))))</f>
        <v/>
      </c>
      <c r="M2620" s="593" t="str">
        <f>IF(H:H=0,"",IF(ISERROR(VLOOKUP(H:H,produtos_escape2!$A$2:$D$2794,2,FALSE)),"Código não cadastrado",(VLOOKUP(H:H,produtos_escape2!$A$2:$D$2794,4,FALSE))))</f>
        <v/>
      </c>
      <c r="N2620" s="486"/>
      <c r="O2620" s="176"/>
      <c r="P2620" s="486"/>
      <c r="Q2620" s="247"/>
      <c r="R2620" s="246">
        <f t="shared" si="97"/>
        <v>0</v>
      </c>
      <c r="S2620" s="177"/>
      <c r="T2620" s="182"/>
      <c r="U2620" s="177"/>
      <c r="V2620" s="177"/>
      <c r="W2620" s="177"/>
      <c r="X2620" s="176"/>
      <c r="Y2620" s="177"/>
      <c r="Z2620" s="415"/>
      <c r="AA2620" s="488"/>
      <c r="AB2620" s="594"/>
      <c r="AC2620" s="595"/>
      <c r="AD2620" s="596" t="str">
        <f>IF(AND(AC2620&lt;&gt;"",S2620&lt;&gt;""),NETWORKDAYS(AC2620,S2620,#REF!),"")</f>
        <v/>
      </c>
      <c r="AE2620" s="596" t="str">
        <f ca="1">IF(AND(AD2620="",AC2620=""),"",IF(OR(AD2620&lt;&gt;"",O2620="*CANCELADO"),"",NETWORKDAYS(AC2620,TODAY(),#REF!)))</f>
        <v/>
      </c>
      <c r="AF2620" s="619"/>
    </row>
    <row r="2621" spans="1:32" ht="14.25" customHeight="1">
      <c r="A2621" s="176"/>
      <c r="B2621" s="176"/>
      <c r="C2621" s="177"/>
      <c r="D2621" s="176"/>
      <c r="E2621" s="176"/>
      <c r="F2621" s="259"/>
      <c r="G2621" s="176"/>
      <c r="H2621" s="178"/>
      <c r="I2621" s="592">
        <f t="shared" si="98"/>
        <v>0</v>
      </c>
      <c r="J2621" s="178"/>
      <c r="K2621" s="178"/>
      <c r="L2621" s="275" t="str">
        <f>IF(H:H=0,"",IF(ISERROR(VLOOKUP(H:H,produtos_escape2!$A$2:$B$2794,2,FALSE)),"Código não cadastrado",(VLOOKUP(H:H,produtos_escape2!$A$2:$B$2794,2,FALSE))))</f>
        <v/>
      </c>
      <c r="M2621" s="593" t="str">
        <f>IF(H:H=0,"",IF(ISERROR(VLOOKUP(H:H,produtos_escape2!$A$2:$D$2794,2,FALSE)),"Código não cadastrado",(VLOOKUP(H:H,produtos_escape2!$A$2:$D$2794,4,FALSE))))</f>
        <v/>
      </c>
      <c r="N2621" s="486"/>
      <c r="O2621" s="176"/>
      <c r="P2621" s="486"/>
      <c r="Q2621" s="247"/>
      <c r="R2621" s="246">
        <f t="shared" si="97"/>
        <v>0</v>
      </c>
      <c r="S2621" s="177"/>
      <c r="T2621" s="182"/>
      <c r="U2621" s="177"/>
      <c r="V2621" s="177"/>
      <c r="W2621" s="177"/>
      <c r="X2621" s="176"/>
      <c r="Y2621" s="177"/>
      <c r="Z2621" s="415"/>
      <c r="AA2621" s="488"/>
      <c r="AB2621" s="594"/>
      <c r="AC2621" s="595"/>
      <c r="AD2621" s="596" t="str">
        <f>IF(AND(AC2621&lt;&gt;"",S2621&lt;&gt;""),NETWORKDAYS(AC2621,S2621,#REF!),"")</f>
        <v/>
      </c>
      <c r="AE2621" s="596" t="str">
        <f ca="1">IF(AND(AD2621="",AC2621=""),"",IF(OR(AD2621&lt;&gt;"",O2621="*CANCELADO"),"",NETWORKDAYS(AC2621,TODAY(),#REF!)))</f>
        <v/>
      </c>
      <c r="AF2621" s="619"/>
    </row>
    <row r="2622" spans="1:32" ht="14.25" customHeight="1">
      <c r="A2622" s="176"/>
      <c r="B2622" s="176"/>
      <c r="C2622" s="177"/>
      <c r="D2622" s="176"/>
      <c r="E2622" s="176"/>
      <c r="F2622" s="259"/>
      <c r="G2622" s="176"/>
      <c r="H2622" s="178"/>
      <c r="I2622" s="592">
        <f t="shared" si="98"/>
        <v>0</v>
      </c>
      <c r="J2622" s="178"/>
      <c r="K2622" s="178"/>
      <c r="L2622" s="275" t="str">
        <f>IF(H:H=0,"",IF(ISERROR(VLOOKUP(H:H,produtos_escape2!$A$2:$B$2794,2,FALSE)),"Código não cadastrado",(VLOOKUP(H:H,produtos_escape2!$A$2:$B$2794,2,FALSE))))</f>
        <v/>
      </c>
      <c r="M2622" s="593" t="str">
        <f>IF(H:H=0,"",IF(ISERROR(VLOOKUP(H:H,produtos_escape2!$A$2:$D$2794,2,FALSE)),"Código não cadastrado",(VLOOKUP(H:H,produtos_escape2!$A$2:$D$2794,4,FALSE))))</f>
        <v/>
      </c>
      <c r="N2622" s="486"/>
      <c r="O2622" s="176"/>
      <c r="P2622" s="486"/>
      <c r="Q2622" s="247"/>
      <c r="R2622" s="246">
        <f t="shared" si="97"/>
        <v>0</v>
      </c>
      <c r="S2622" s="177"/>
      <c r="T2622" s="182"/>
      <c r="U2622" s="177"/>
      <c r="V2622" s="177"/>
      <c r="W2622" s="177"/>
      <c r="X2622" s="176"/>
      <c r="Y2622" s="177"/>
      <c r="Z2622" s="415"/>
      <c r="AA2622" s="488"/>
      <c r="AB2622" s="594"/>
      <c r="AC2622" s="595"/>
      <c r="AD2622" s="596" t="str">
        <f>IF(AND(AC2622&lt;&gt;"",S2622&lt;&gt;""),NETWORKDAYS(AC2622,S2622,#REF!),"")</f>
        <v/>
      </c>
      <c r="AE2622" s="596" t="str">
        <f ca="1">IF(AND(AD2622="",AC2622=""),"",IF(OR(AD2622&lt;&gt;"",O2622="*CANCELADO"),"",NETWORKDAYS(AC2622,TODAY(),#REF!)))</f>
        <v/>
      </c>
      <c r="AF2622" s="619"/>
    </row>
    <row r="2623" spans="1:32" ht="14.25" customHeight="1">
      <c r="A2623" s="176"/>
      <c r="B2623" s="176"/>
      <c r="C2623" s="177"/>
      <c r="D2623" s="176"/>
      <c r="E2623" s="176"/>
      <c r="F2623" s="259"/>
      <c r="G2623" s="176"/>
      <c r="H2623" s="178"/>
      <c r="I2623" s="592">
        <f t="shared" si="98"/>
        <v>0</v>
      </c>
      <c r="J2623" s="178"/>
      <c r="K2623" s="178"/>
      <c r="L2623" s="275" t="str">
        <f>IF(H:H=0,"",IF(ISERROR(VLOOKUP(H:H,produtos_escape2!$A$2:$B$2794,2,FALSE)),"Código não cadastrado",(VLOOKUP(H:H,produtos_escape2!$A$2:$B$2794,2,FALSE))))</f>
        <v/>
      </c>
      <c r="M2623" s="593" t="str">
        <f>IF(H:H=0,"",IF(ISERROR(VLOOKUP(H:H,produtos_escape2!$A$2:$D$2794,2,FALSE)),"Código não cadastrado",(VLOOKUP(H:H,produtos_escape2!$A$2:$D$2794,4,FALSE))))</f>
        <v/>
      </c>
      <c r="N2623" s="486"/>
      <c r="O2623" s="176"/>
      <c r="P2623" s="486"/>
      <c r="Q2623" s="247"/>
      <c r="R2623" s="246">
        <f t="shared" si="97"/>
        <v>0</v>
      </c>
      <c r="S2623" s="177"/>
      <c r="T2623" s="182"/>
      <c r="U2623" s="177"/>
      <c r="V2623" s="177"/>
      <c r="W2623" s="177"/>
      <c r="X2623" s="176"/>
      <c r="Y2623" s="177"/>
      <c r="Z2623" s="415"/>
      <c r="AA2623" s="488"/>
      <c r="AB2623" s="594"/>
      <c r="AC2623" s="595"/>
      <c r="AD2623" s="596" t="str">
        <f>IF(AND(AC2623&lt;&gt;"",S2623&lt;&gt;""),NETWORKDAYS(AC2623,S2623,#REF!),"")</f>
        <v/>
      </c>
      <c r="AE2623" s="596" t="str">
        <f ca="1">IF(AND(AD2623="",AC2623=""),"",IF(OR(AD2623&lt;&gt;"",O2623="*CANCELADO"),"",NETWORKDAYS(AC2623,TODAY(),#REF!)))</f>
        <v/>
      </c>
      <c r="AF2623" s="619"/>
    </row>
    <row r="2624" spans="1:32" ht="14.25" customHeight="1">
      <c r="A2624" s="176"/>
      <c r="B2624" s="176"/>
      <c r="C2624" s="177"/>
      <c r="D2624" s="176"/>
      <c r="E2624" s="176"/>
      <c r="F2624" s="259"/>
      <c r="G2624" s="176"/>
      <c r="H2624" s="178"/>
      <c r="I2624" s="592">
        <f t="shared" si="98"/>
        <v>0</v>
      </c>
      <c r="J2624" s="178"/>
      <c r="K2624" s="178"/>
      <c r="L2624" s="275" t="str">
        <f>IF(H:H=0,"",IF(ISERROR(VLOOKUP(H:H,produtos_escape2!$A$2:$B$2794,2,FALSE)),"Código não cadastrado",(VLOOKUP(H:H,produtos_escape2!$A$2:$B$2794,2,FALSE))))</f>
        <v/>
      </c>
      <c r="M2624" s="593" t="str">
        <f>IF(H:H=0,"",IF(ISERROR(VLOOKUP(H:H,produtos_escape2!$A$2:$D$2794,2,FALSE)),"Código não cadastrado",(VLOOKUP(H:H,produtos_escape2!$A$2:$D$2794,4,FALSE))))</f>
        <v/>
      </c>
      <c r="N2624" s="486"/>
      <c r="O2624" s="176"/>
      <c r="P2624" s="486"/>
      <c r="Q2624" s="247"/>
      <c r="R2624" s="246">
        <f t="shared" si="97"/>
        <v>0</v>
      </c>
      <c r="S2624" s="177"/>
      <c r="T2624" s="182"/>
      <c r="U2624" s="177"/>
      <c r="V2624" s="177"/>
      <c r="W2624" s="177"/>
      <c r="X2624" s="176"/>
      <c r="Y2624" s="177"/>
      <c r="Z2624" s="415"/>
      <c r="AA2624" s="488"/>
      <c r="AB2624" s="594"/>
      <c r="AC2624" s="595"/>
      <c r="AD2624" s="596" t="str">
        <f>IF(AND(AC2624&lt;&gt;"",S2624&lt;&gt;""),NETWORKDAYS(AC2624,S2624,#REF!),"")</f>
        <v/>
      </c>
      <c r="AE2624" s="596" t="str">
        <f ca="1">IF(AND(AD2624="",AC2624=""),"",IF(OR(AD2624&lt;&gt;"",O2624="*CANCELADO"),"",NETWORKDAYS(AC2624,TODAY(),#REF!)))</f>
        <v/>
      </c>
      <c r="AF2624" s="619"/>
    </row>
    <row r="2625" spans="1:32" ht="14.25" customHeight="1">
      <c r="A2625" s="176"/>
      <c r="B2625" s="176"/>
      <c r="C2625" s="177"/>
      <c r="D2625" s="176"/>
      <c r="E2625" s="176"/>
      <c r="F2625" s="259"/>
      <c r="G2625" s="176"/>
      <c r="H2625" s="178"/>
      <c r="I2625" s="592">
        <f t="shared" si="98"/>
        <v>0</v>
      </c>
      <c r="J2625" s="178"/>
      <c r="K2625" s="178"/>
      <c r="L2625" s="275" t="str">
        <f>IF(H:H=0,"",IF(ISERROR(VLOOKUP(H:H,produtos_escape2!$A$2:$B$2794,2,FALSE)),"Código não cadastrado",(VLOOKUP(H:H,produtos_escape2!$A$2:$B$2794,2,FALSE))))</f>
        <v/>
      </c>
      <c r="M2625" s="593" t="str">
        <f>IF(H:H=0,"",IF(ISERROR(VLOOKUP(H:H,produtos_escape2!$A$2:$D$2794,2,FALSE)),"Código não cadastrado",(VLOOKUP(H:H,produtos_escape2!$A$2:$D$2794,4,FALSE))))</f>
        <v/>
      </c>
      <c r="N2625" s="486"/>
      <c r="O2625" s="176"/>
      <c r="P2625" s="486"/>
      <c r="Q2625" s="247"/>
      <c r="R2625" s="246">
        <f t="shared" si="97"/>
        <v>0</v>
      </c>
      <c r="S2625" s="177"/>
      <c r="T2625" s="182"/>
      <c r="U2625" s="177"/>
      <c r="V2625" s="177"/>
      <c r="W2625" s="177"/>
      <c r="X2625" s="176"/>
      <c r="Y2625" s="177"/>
      <c r="Z2625" s="415"/>
      <c r="AA2625" s="488"/>
      <c r="AB2625" s="594"/>
      <c r="AC2625" s="595"/>
      <c r="AD2625" s="596" t="str">
        <f>IF(AND(AC2625&lt;&gt;"",S2625&lt;&gt;""),NETWORKDAYS(AC2625,S2625,#REF!),"")</f>
        <v/>
      </c>
      <c r="AE2625" s="596" t="str">
        <f ca="1">IF(AND(AD2625="",AC2625=""),"",IF(OR(AD2625&lt;&gt;"",O2625="*CANCELADO"),"",NETWORKDAYS(AC2625,TODAY(),#REF!)))</f>
        <v/>
      </c>
      <c r="AF2625" s="619"/>
    </row>
    <row r="2626" spans="1:32" ht="14.25" customHeight="1">
      <c r="A2626" s="176"/>
      <c r="B2626" s="176"/>
      <c r="C2626" s="177"/>
      <c r="D2626" s="176"/>
      <c r="E2626" s="176"/>
      <c r="F2626" s="259"/>
      <c r="G2626" s="176"/>
      <c r="H2626" s="178"/>
      <c r="I2626" s="592">
        <f t="shared" si="98"/>
        <v>0</v>
      </c>
      <c r="J2626" s="178"/>
      <c r="K2626" s="178"/>
      <c r="L2626" s="275" t="str">
        <f>IF(H:H=0,"",IF(ISERROR(VLOOKUP(H:H,produtos_escape2!$A$2:$B$2794,2,FALSE)),"Código não cadastrado",(VLOOKUP(H:H,produtos_escape2!$A$2:$B$2794,2,FALSE))))</f>
        <v/>
      </c>
      <c r="M2626" s="593" t="str">
        <f>IF(H:H=0,"",IF(ISERROR(VLOOKUP(H:H,produtos_escape2!$A$2:$D$2794,2,FALSE)),"Código não cadastrado",(VLOOKUP(H:H,produtos_escape2!$A$2:$D$2794,4,FALSE))))</f>
        <v/>
      </c>
      <c r="N2626" s="486"/>
      <c r="O2626" s="176"/>
      <c r="P2626" s="486"/>
      <c r="Q2626" s="247"/>
      <c r="R2626" s="246">
        <f t="shared" si="97"/>
        <v>0</v>
      </c>
      <c r="S2626" s="177"/>
      <c r="T2626" s="182"/>
      <c r="U2626" s="177"/>
      <c r="V2626" s="177"/>
      <c r="W2626" s="177"/>
      <c r="X2626" s="176"/>
      <c r="Y2626" s="177"/>
      <c r="Z2626" s="415"/>
      <c r="AA2626" s="488"/>
      <c r="AB2626" s="594"/>
      <c r="AC2626" s="595"/>
      <c r="AD2626" s="596" t="str">
        <f>IF(AND(AC2626&lt;&gt;"",S2626&lt;&gt;""),NETWORKDAYS(AC2626,S2626,#REF!),"")</f>
        <v/>
      </c>
      <c r="AE2626" s="596" t="str">
        <f ca="1">IF(AND(AD2626="",AC2626=""),"",IF(OR(AD2626&lt;&gt;"",O2626="*CANCELADO"),"",NETWORKDAYS(AC2626,TODAY(),#REF!)))</f>
        <v/>
      </c>
      <c r="AF2626" s="619"/>
    </row>
    <row r="2627" spans="1:32" ht="14.25" customHeight="1">
      <c r="A2627" s="176"/>
      <c r="B2627" s="176"/>
      <c r="C2627" s="177"/>
      <c r="D2627" s="176"/>
      <c r="E2627" s="176"/>
      <c r="F2627" s="259"/>
      <c r="G2627" s="176"/>
      <c r="H2627" s="178"/>
      <c r="I2627" s="592">
        <f t="shared" si="98"/>
        <v>0</v>
      </c>
      <c r="J2627" s="178"/>
      <c r="K2627" s="178"/>
      <c r="L2627" s="275" t="str">
        <f>IF(H:H=0,"",IF(ISERROR(VLOOKUP(H:H,produtos_escape2!$A$2:$B$2794,2,FALSE)),"Código não cadastrado",(VLOOKUP(H:H,produtos_escape2!$A$2:$B$2794,2,FALSE))))</f>
        <v/>
      </c>
      <c r="M2627" s="593" t="str">
        <f>IF(H:H=0,"",IF(ISERROR(VLOOKUP(H:H,produtos_escape2!$A$2:$D$2794,2,FALSE)),"Código não cadastrado",(VLOOKUP(H:H,produtos_escape2!$A$2:$D$2794,4,FALSE))))</f>
        <v/>
      </c>
      <c r="N2627" s="486"/>
      <c r="O2627" s="176"/>
      <c r="P2627" s="486"/>
      <c r="Q2627" s="247"/>
      <c r="R2627" s="246">
        <f t="shared" si="97"/>
        <v>0</v>
      </c>
      <c r="S2627" s="177"/>
      <c r="T2627" s="182"/>
      <c r="U2627" s="177"/>
      <c r="V2627" s="177"/>
      <c r="W2627" s="177"/>
      <c r="X2627" s="176"/>
      <c r="Y2627" s="177"/>
      <c r="Z2627" s="415"/>
      <c r="AA2627" s="488"/>
      <c r="AB2627" s="594"/>
      <c r="AC2627" s="595"/>
      <c r="AD2627" s="596" t="str">
        <f>IF(AND(AC2627&lt;&gt;"",S2627&lt;&gt;""),NETWORKDAYS(AC2627,S2627,#REF!),"")</f>
        <v/>
      </c>
      <c r="AE2627" s="596" t="str">
        <f ca="1">IF(AND(AD2627="",AC2627=""),"",IF(OR(AD2627&lt;&gt;"",O2627="*CANCELADO"),"",NETWORKDAYS(AC2627,TODAY(),#REF!)))</f>
        <v/>
      </c>
      <c r="AF2627" s="619"/>
    </row>
    <row r="2628" spans="1:32" ht="14.25" customHeight="1">
      <c r="A2628" s="176"/>
      <c r="B2628" s="176"/>
      <c r="C2628" s="177"/>
      <c r="D2628" s="176"/>
      <c r="E2628" s="176"/>
      <c r="F2628" s="259"/>
      <c r="G2628" s="176"/>
      <c r="H2628" s="178"/>
      <c r="I2628" s="592">
        <f t="shared" si="98"/>
        <v>0</v>
      </c>
      <c r="J2628" s="178"/>
      <c r="K2628" s="178"/>
      <c r="L2628" s="275" t="str">
        <f>IF(H:H=0,"",IF(ISERROR(VLOOKUP(H:H,produtos_escape2!$A$2:$B$2794,2,FALSE)),"Código não cadastrado",(VLOOKUP(H:H,produtos_escape2!$A$2:$B$2794,2,FALSE))))</f>
        <v/>
      </c>
      <c r="M2628" s="593" t="str">
        <f>IF(H:H=0,"",IF(ISERROR(VLOOKUP(H:H,produtos_escape2!$A$2:$D$2794,2,FALSE)),"Código não cadastrado",(VLOOKUP(H:H,produtos_escape2!$A$2:$D$2794,4,FALSE))))</f>
        <v/>
      </c>
      <c r="N2628" s="486"/>
      <c r="O2628" s="176"/>
      <c r="P2628" s="486"/>
      <c r="Q2628" s="247"/>
      <c r="R2628" s="246">
        <f t="shared" si="97"/>
        <v>0</v>
      </c>
      <c r="S2628" s="177"/>
      <c r="T2628" s="182"/>
      <c r="U2628" s="177"/>
      <c r="V2628" s="177"/>
      <c r="W2628" s="177"/>
      <c r="X2628" s="176"/>
      <c r="Y2628" s="177"/>
      <c r="Z2628" s="415"/>
      <c r="AA2628" s="488"/>
      <c r="AB2628" s="594"/>
      <c r="AC2628" s="595"/>
      <c r="AD2628" s="596" t="str">
        <f>IF(AND(AC2628&lt;&gt;"",S2628&lt;&gt;""),NETWORKDAYS(AC2628,S2628,#REF!),"")</f>
        <v/>
      </c>
      <c r="AE2628" s="596" t="str">
        <f ca="1">IF(AND(AD2628="",AC2628=""),"",IF(OR(AD2628&lt;&gt;"",O2628="*CANCELADO"),"",NETWORKDAYS(AC2628,TODAY(),#REF!)))</f>
        <v/>
      </c>
      <c r="AF2628" s="619"/>
    </row>
    <row r="2629" spans="1:32" ht="14.25" customHeight="1">
      <c r="A2629" s="176"/>
      <c r="B2629" s="176"/>
      <c r="C2629" s="177"/>
      <c r="D2629" s="176"/>
      <c r="E2629" s="176"/>
      <c r="F2629" s="259"/>
      <c r="G2629" s="176"/>
      <c r="H2629" s="178"/>
      <c r="I2629" s="592">
        <f t="shared" si="98"/>
        <v>0</v>
      </c>
      <c r="J2629" s="178"/>
      <c r="K2629" s="178"/>
      <c r="L2629" s="275" t="str">
        <f>IF(H:H=0,"",IF(ISERROR(VLOOKUP(H:H,produtos_escape2!$A$2:$B$2794,2,FALSE)),"Código não cadastrado",(VLOOKUP(H:H,produtos_escape2!$A$2:$B$2794,2,FALSE))))</f>
        <v/>
      </c>
      <c r="M2629" s="593" t="str">
        <f>IF(H:H=0,"",IF(ISERROR(VLOOKUP(H:H,produtos_escape2!$A$2:$D$2794,2,FALSE)),"Código não cadastrado",(VLOOKUP(H:H,produtos_escape2!$A$2:$D$2794,4,FALSE))))</f>
        <v/>
      </c>
      <c r="N2629" s="486"/>
      <c r="O2629" s="176"/>
      <c r="P2629" s="486"/>
      <c r="Q2629" s="247"/>
      <c r="R2629" s="246">
        <f t="shared" si="97"/>
        <v>0</v>
      </c>
      <c r="S2629" s="177"/>
      <c r="T2629" s="182"/>
      <c r="U2629" s="177"/>
      <c r="V2629" s="177"/>
      <c r="W2629" s="177"/>
      <c r="X2629" s="176"/>
      <c r="Y2629" s="177"/>
      <c r="Z2629" s="415"/>
      <c r="AA2629" s="488"/>
      <c r="AB2629" s="594"/>
      <c r="AC2629" s="595"/>
      <c r="AD2629" s="596" t="str">
        <f>IF(AND(AC2629&lt;&gt;"",S2629&lt;&gt;""),NETWORKDAYS(AC2629,S2629,#REF!),"")</f>
        <v/>
      </c>
      <c r="AE2629" s="596" t="str">
        <f ca="1">IF(AND(AD2629="",AC2629=""),"",IF(OR(AD2629&lt;&gt;"",O2629="*CANCELADO"),"",NETWORKDAYS(AC2629,TODAY(),#REF!)))</f>
        <v/>
      </c>
      <c r="AF2629" s="619"/>
    </row>
    <row r="2630" spans="1:32" ht="14.25" customHeight="1">
      <c r="A2630" s="176"/>
      <c r="B2630" s="176"/>
      <c r="C2630" s="177"/>
      <c r="D2630" s="176"/>
      <c r="E2630" s="176"/>
      <c r="F2630" s="259"/>
      <c r="G2630" s="176"/>
      <c r="H2630" s="178"/>
      <c r="I2630" s="592">
        <f t="shared" si="98"/>
        <v>0</v>
      </c>
      <c r="J2630" s="178"/>
      <c r="K2630" s="178"/>
      <c r="L2630" s="275" t="str">
        <f>IF(H:H=0,"",IF(ISERROR(VLOOKUP(H:H,produtos_escape2!$A$2:$B$2794,2,FALSE)),"Código não cadastrado",(VLOOKUP(H:H,produtos_escape2!$A$2:$B$2794,2,FALSE))))</f>
        <v/>
      </c>
      <c r="M2630" s="593" t="str">
        <f>IF(H:H=0,"",IF(ISERROR(VLOOKUP(H:H,produtos_escape2!$A$2:$D$2794,2,FALSE)),"Código não cadastrado",(VLOOKUP(H:H,produtos_escape2!$A$2:$D$2794,4,FALSE))))</f>
        <v/>
      </c>
      <c r="N2630" s="486"/>
      <c r="O2630" s="176"/>
      <c r="P2630" s="486"/>
      <c r="Q2630" s="247"/>
      <c r="R2630" s="246">
        <f t="shared" si="97"/>
        <v>0</v>
      </c>
      <c r="S2630" s="177"/>
      <c r="T2630" s="182"/>
      <c r="U2630" s="177"/>
      <c r="V2630" s="177"/>
      <c r="W2630" s="177"/>
      <c r="X2630" s="176"/>
      <c r="Y2630" s="177"/>
      <c r="Z2630" s="415"/>
      <c r="AA2630" s="488"/>
      <c r="AB2630" s="594"/>
      <c r="AC2630" s="595"/>
      <c r="AD2630" s="596" t="str">
        <f>IF(AND(AC2630&lt;&gt;"",S2630&lt;&gt;""),NETWORKDAYS(AC2630,S2630,#REF!),"")</f>
        <v/>
      </c>
      <c r="AE2630" s="596" t="str">
        <f ca="1">IF(AND(AD2630="",AC2630=""),"",IF(OR(AD2630&lt;&gt;"",O2630="*CANCELADO"),"",NETWORKDAYS(AC2630,TODAY(),#REF!)))</f>
        <v/>
      </c>
      <c r="AF2630" s="619"/>
    </row>
    <row r="2631" spans="1:32" ht="14.25" customHeight="1">
      <c r="A2631" s="176"/>
      <c r="B2631" s="176"/>
      <c r="C2631" s="177"/>
      <c r="D2631" s="176"/>
      <c r="E2631" s="176"/>
      <c r="F2631" s="259"/>
      <c r="G2631" s="176"/>
      <c r="H2631" s="178"/>
      <c r="I2631" s="592">
        <f t="shared" si="98"/>
        <v>0</v>
      </c>
      <c r="J2631" s="178"/>
      <c r="K2631" s="178"/>
      <c r="L2631" s="275" t="str">
        <f>IF(H:H=0,"",IF(ISERROR(VLOOKUP(H:H,produtos_escape2!$A$2:$B$2794,2,FALSE)),"Código não cadastrado",(VLOOKUP(H:H,produtos_escape2!$A$2:$B$2794,2,FALSE))))</f>
        <v/>
      </c>
      <c r="M2631" s="593" t="str">
        <f>IF(H:H=0,"",IF(ISERROR(VLOOKUP(H:H,produtos_escape2!$A$2:$D$2794,2,FALSE)),"Código não cadastrado",(VLOOKUP(H:H,produtos_escape2!$A$2:$D$2794,4,FALSE))))</f>
        <v/>
      </c>
      <c r="N2631" s="486"/>
      <c r="O2631" s="176"/>
      <c r="P2631" s="486"/>
      <c r="Q2631" s="247"/>
      <c r="R2631" s="246">
        <f t="shared" si="97"/>
        <v>0</v>
      </c>
      <c r="S2631" s="177"/>
      <c r="T2631" s="182"/>
      <c r="U2631" s="177"/>
      <c r="V2631" s="177"/>
      <c r="W2631" s="177"/>
      <c r="X2631" s="176"/>
      <c r="Y2631" s="177"/>
      <c r="Z2631" s="415"/>
      <c r="AA2631" s="488"/>
      <c r="AB2631" s="594"/>
      <c r="AC2631" s="595"/>
      <c r="AD2631" s="596" t="str">
        <f>IF(AND(AC2631&lt;&gt;"",S2631&lt;&gt;""),NETWORKDAYS(AC2631,S2631,#REF!),"")</f>
        <v/>
      </c>
      <c r="AE2631" s="596" t="str">
        <f ca="1">IF(AND(AD2631="",AC2631=""),"",IF(OR(AD2631&lt;&gt;"",O2631="*CANCELADO"),"",NETWORKDAYS(AC2631,TODAY(),#REF!)))</f>
        <v/>
      </c>
      <c r="AF2631" s="619"/>
    </row>
    <row r="2632" spans="1:32" ht="14.25" customHeight="1">
      <c r="A2632" s="176"/>
      <c r="B2632" s="176"/>
      <c r="C2632" s="177"/>
      <c r="D2632" s="176"/>
      <c r="E2632" s="176"/>
      <c r="F2632" s="259"/>
      <c r="G2632" s="176"/>
      <c r="H2632" s="178"/>
      <c r="I2632" s="592">
        <f t="shared" si="98"/>
        <v>0</v>
      </c>
      <c r="J2632" s="178"/>
      <c r="K2632" s="178"/>
      <c r="L2632" s="275" t="str">
        <f>IF(H:H=0,"",IF(ISERROR(VLOOKUP(H:H,produtos_escape2!$A$2:$B$2794,2,FALSE)),"Código não cadastrado",(VLOOKUP(H:H,produtos_escape2!$A$2:$B$2794,2,FALSE))))</f>
        <v/>
      </c>
      <c r="M2632" s="593" t="str">
        <f>IF(H:H=0,"",IF(ISERROR(VLOOKUP(H:H,produtos_escape2!$A$2:$D$2794,2,FALSE)),"Código não cadastrado",(VLOOKUP(H:H,produtos_escape2!$A$2:$D$2794,4,FALSE))))</f>
        <v/>
      </c>
      <c r="N2632" s="486"/>
      <c r="O2632" s="176"/>
      <c r="P2632" s="486"/>
      <c r="Q2632" s="247"/>
      <c r="R2632" s="246">
        <f t="shared" si="97"/>
        <v>0</v>
      </c>
      <c r="S2632" s="177"/>
      <c r="T2632" s="182"/>
      <c r="U2632" s="177"/>
      <c r="V2632" s="177"/>
      <c r="W2632" s="177"/>
      <c r="X2632" s="176"/>
      <c r="Y2632" s="177"/>
      <c r="Z2632" s="415"/>
      <c r="AA2632" s="488"/>
      <c r="AB2632" s="594"/>
      <c r="AC2632" s="595"/>
      <c r="AD2632" s="596" t="str">
        <f>IF(AND(AC2632&lt;&gt;"",S2632&lt;&gt;""),NETWORKDAYS(AC2632,S2632,#REF!),"")</f>
        <v/>
      </c>
      <c r="AE2632" s="596" t="str">
        <f ca="1">IF(AND(AD2632="",AC2632=""),"",IF(OR(AD2632&lt;&gt;"",O2632="*CANCELADO"),"",NETWORKDAYS(AC2632,TODAY(),#REF!)))</f>
        <v/>
      </c>
      <c r="AF2632" s="619"/>
    </row>
    <row r="2633" spans="1:32" ht="14.25" customHeight="1">
      <c r="A2633" s="176"/>
      <c r="B2633" s="176"/>
      <c r="C2633" s="177"/>
      <c r="D2633" s="176"/>
      <c r="E2633" s="176"/>
      <c r="F2633" s="259"/>
      <c r="G2633" s="176"/>
      <c r="H2633" s="178"/>
      <c r="I2633" s="592">
        <f t="shared" si="98"/>
        <v>0</v>
      </c>
      <c r="J2633" s="178"/>
      <c r="K2633" s="178"/>
      <c r="L2633" s="275" t="str">
        <f>IF(H:H=0,"",IF(ISERROR(VLOOKUP(H:H,produtos_escape2!$A$2:$B$2794,2,FALSE)),"Código não cadastrado",(VLOOKUP(H:H,produtos_escape2!$A$2:$B$2794,2,FALSE))))</f>
        <v/>
      </c>
      <c r="M2633" s="593" t="str">
        <f>IF(H:H=0,"",IF(ISERROR(VLOOKUP(H:H,produtos_escape2!$A$2:$D$2794,2,FALSE)),"Código não cadastrado",(VLOOKUP(H:H,produtos_escape2!$A$2:$D$2794,4,FALSE))))</f>
        <v/>
      </c>
      <c r="N2633" s="486"/>
      <c r="O2633" s="176"/>
      <c r="P2633" s="486"/>
      <c r="Q2633" s="247"/>
      <c r="R2633" s="246">
        <f t="shared" si="97"/>
        <v>0</v>
      </c>
      <c r="S2633" s="177"/>
      <c r="T2633" s="182"/>
      <c r="U2633" s="177"/>
      <c r="V2633" s="177"/>
      <c r="W2633" s="177"/>
      <c r="X2633" s="176"/>
      <c r="Y2633" s="177"/>
      <c r="Z2633" s="415"/>
      <c r="AA2633" s="488"/>
      <c r="AB2633" s="594"/>
      <c r="AC2633" s="595"/>
      <c r="AD2633" s="596" t="str">
        <f>IF(AND(AC2633&lt;&gt;"",S2633&lt;&gt;""),NETWORKDAYS(AC2633,S2633,#REF!),"")</f>
        <v/>
      </c>
      <c r="AE2633" s="596" t="str">
        <f ca="1">IF(AND(AD2633="",AC2633=""),"",IF(OR(AD2633&lt;&gt;"",O2633="*CANCELADO"),"",NETWORKDAYS(AC2633,TODAY(),#REF!)))</f>
        <v/>
      </c>
      <c r="AF2633" s="619"/>
    </row>
    <row r="2634" spans="1:32" ht="14.25" customHeight="1">
      <c r="A2634" s="176"/>
      <c r="B2634" s="176"/>
      <c r="C2634" s="177"/>
      <c r="D2634" s="176"/>
      <c r="E2634" s="176"/>
      <c r="F2634" s="259"/>
      <c r="G2634" s="176"/>
      <c r="H2634" s="178"/>
      <c r="I2634" s="592">
        <f t="shared" si="98"/>
        <v>0</v>
      </c>
      <c r="J2634" s="178"/>
      <c r="K2634" s="178"/>
      <c r="L2634" s="275" t="str">
        <f>IF(H:H=0,"",IF(ISERROR(VLOOKUP(H:H,produtos_escape2!$A$2:$B$2794,2,FALSE)),"Código não cadastrado",(VLOOKUP(H:H,produtos_escape2!$A$2:$B$2794,2,FALSE))))</f>
        <v/>
      </c>
      <c r="M2634" s="593" t="str">
        <f>IF(H:H=0,"",IF(ISERROR(VLOOKUP(H:H,produtos_escape2!$A$2:$D$2794,2,FALSE)),"Código não cadastrado",(VLOOKUP(H:H,produtos_escape2!$A$2:$D$2794,4,FALSE))))</f>
        <v/>
      </c>
      <c r="N2634" s="486"/>
      <c r="O2634" s="176"/>
      <c r="P2634" s="486"/>
      <c r="Q2634" s="247"/>
      <c r="R2634" s="246">
        <f t="shared" si="97"/>
        <v>0</v>
      </c>
      <c r="S2634" s="177"/>
      <c r="T2634" s="182"/>
      <c r="U2634" s="177"/>
      <c r="V2634" s="177"/>
      <c r="W2634" s="177"/>
      <c r="X2634" s="176"/>
      <c r="Y2634" s="177"/>
      <c r="Z2634" s="415"/>
      <c r="AA2634" s="488"/>
      <c r="AB2634" s="594"/>
      <c r="AC2634" s="595"/>
      <c r="AD2634" s="596" t="str">
        <f>IF(AND(AC2634&lt;&gt;"",S2634&lt;&gt;""),NETWORKDAYS(AC2634,S2634,#REF!),"")</f>
        <v/>
      </c>
      <c r="AE2634" s="596" t="str">
        <f ca="1">IF(AND(AD2634="",AC2634=""),"",IF(OR(AD2634&lt;&gt;"",O2634="*CANCELADO"),"",NETWORKDAYS(AC2634,TODAY(),#REF!)))</f>
        <v/>
      </c>
      <c r="AF2634" s="619"/>
    </row>
    <row r="2635" spans="1:32" ht="14.25" customHeight="1">
      <c r="A2635" s="176"/>
      <c r="B2635" s="176"/>
      <c r="C2635" s="177"/>
      <c r="D2635" s="176"/>
      <c r="E2635" s="176"/>
      <c r="F2635" s="259"/>
      <c r="G2635" s="176"/>
      <c r="H2635" s="178"/>
      <c r="I2635" s="592">
        <f t="shared" si="98"/>
        <v>0</v>
      </c>
      <c r="J2635" s="178"/>
      <c r="K2635" s="178"/>
      <c r="L2635" s="275" t="str">
        <f>IF(H:H=0,"",IF(ISERROR(VLOOKUP(H:H,produtos_escape2!$A$2:$B$2794,2,FALSE)),"Código não cadastrado",(VLOOKUP(H:H,produtos_escape2!$A$2:$B$2794,2,FALSE))))</f>
        <v/>
      </c>
      <c r="M2635" s="593" t="str">
        <f>IF(H:H=0,"",IF(ISERROR(VLOOKUP(H:H,produtos_escape2!$A$2:$D$2794,2,FALSE)),"Código não cadastrado",(VLOOKUP(H:H,produtos_escape2!$A$2:$D$2794,4,FALSE))))</f>
        <v/>
      </c>
      <c r="N2635" s="486"/>
      <c r="O2635" s="176"/>
      <c r="P2635" s="486"/>
      <c r="Q2635" s="247"/>
      <c r="R2635" s="246">
        <f t="shared" si="97"/>
        <v>0</v>
      </c>
      <c r="S2635" s="177"/>
      <c r="T2635" s="182"/>
      <c r="U2635" s="177"/>
      <c r="V2635" s="177"/>
      <c r="W2635" s="177"/>
      <c r="X2635" s="176"/>
      <c r="Y2635" s="177"/>
      <c r="Z2635" s="415"/>
      <c r="AA2635" s="488"/>
      <c r="AB2635" s="594"/>
      <c r="AC2635" s="595"/>
      <c r="AD2635" s="596" t="str">
        <f>IF(AND(AC2635&lt;&gt;"",S2635&lt;&gt;""),NETWORKDAYS(AC2635,S2635,#REF!),"")</f>
        <v/>
      </c>
      <c r="AE2635" s="596" t="str">
        <f ca="1">IF(AND(AD2635="",AC2635=""),"",IF(OR(AD2635&lt;&gt;"",O2635="*CANCELADO"),"",NETWORKDAYS(AC2635,TODAY(),#REF!)))</f>
        <v/>
      </c>
      <c r="AF2635" s="619"/>
    </row>
    <row r="2636" spans="1:32" ht="14.25" customHeight="1">
      <c r="A2636" s="176"/>
      <c r="B2636" s="176"/>
      <c r="C2636" s="177"/>
      <c r="D2636" s="176"/>
      <c r="E2636" s="176"/>
      <c r="F2636" s="259"/>
      <c r="G2636" s="176"/>
      <c r="H2636" s="178"/>
      <c r="I2636" s="592">
        <f t="shared" si="98"/>
        <v>0</v>
      </c>
      <c r="J2636" s="178"/>
      <c r="K2636" s="178"/>
      <c r="L2636" s="275" t="str">
        <f>IF(H:H=0,"",IF(ISERROR(VLOOKUP(H:H,produtos_escape2!$A$2:$B$2794,2,FALSE)),"Código não cadastrado",(VLOOKUP(H:H,produtos_escape2!$A$2:$B$2794,2,FALSE))))</f>
        <v/>
      </c>
      <c r="M2636" s="593" t="str">
        <f>IF(H:H=0,"",IF(ISERROR(VLOOKUP(H:H,produtos_escape2!$A$2:$D$2794,2,FALSE)),"Código não cadastrado",(VLOOKUP(H:H,produtos_escape2!$A$2:$D$2794,4,FALSE))))</f>
        <v/>
      </c>
      <c r="N2636" s="486"/>
      <c r="O2636" s="176"/>
      <c r="P2636" s="486"/>
      <c r="Q2636" s="247"/>
      <c r="R2636" s="246">
        <f t="shared" si="97"/>
        <v>0</v>
      </c>
      <c r="S2636" s="177"/>
      <c r="T2636" s="182"/>
      <c r="U2636" s="177"/>
      <c r="V2636" s="177"/>
      <c r="W2636" s="177"/>
      <c r="X2636" s="176"/>
      <c r="Y2636" s="177"/>
      <c r="Z2636" s="415"/>
      <c r="AA2636" s="488"/>
      <c r="AB2636" s="594"/>
      <c r="AC2636" s="595"/>
      <c r="AD2636" s="596" t="str">
        <f>IF(AND(AC2636&lt;&gt;"",S2636&lt;&gt;""),NETWORKDAYS(AC2636,S2636,#REF!),"")</f>
        <v/>
      </c>
      <c r="AE2636" s="596" t="str">
        <f ca="1">IF(AND(AD2636="",AC2636=""),"",IF(OR(AD2636&lt;&gt;"",O2636="*CANCELADO"),"",NETWORKDAYS(AC2636,TODAY(),#REF!)))</f>
        <v/>
      </c>
      <c r="AF2636" s="619"/>
    </row>
    <row r="2637" spans="1:32" ht="14.25" customHeight="1">
      <c r="A2637" s="176"/>
      <c r="B2637" s="176"/>
      <c r="C2637" s="177"/>
      <c r="D2637" s="176"/>
      <c r="E2637" s="176"/>
      <c r="F2637" s="259"/>
      <c r="G2637" s="176"/>
      <c r="H2637" s="178"/>
      <c r="I2637" s="592">
        <f t="shared" si="98"/>
        <v>0</v>
      </c>
      <c r="J2637" s="178"/>
      <c r="K2637" s="178"/>
      <c r="L2637" s="275" t="str">
        <f>IF(H:H=0,"",IF(ISERROR(VLOOKUP(H:H,produtos_escape2!$A$2:$B$2794,2,FALSE)),"Código não cadastrado",(VLOOKUP(H:H,produtos_escape2!$A$2:$B$2794,2,FALSE))))</f>
        <v/>
      </c>
      <c r="M2637" s="593" t="str">
        <f>IF(H:H=0,"",IF(ISERROR(VLOOKUP(H:H,produtos_escape2!$A$2:$D$2794,2,FALSE)),"Código não cadastrado",(VLOOKUP(H:H,produtos_escape2!$A$2:$D$2794,4,FALSE))))</f>
        <v/>
      </c>
      <c r="N2637" s="486"/>
      <c r="O2637" s="176"/>
      <c r="P2637" s="486"/>
      <c r="Q2637" s="247"/>
      <c r="R2637" s="246">
        <f t="shared" si="97"/>
        <v>0</v>
      </c>
      <c r="S2637" s="177"/>
      <c r="T2637" s="182"/>
      <c r="U2637" s="177"/>
      <c r="V2637" s="177"/>
      <c r="W2637" s="177"/>
      <c r="X2637" s="176"/>
      <c r="Y2637" s="177"/>
      <c r="Z2637" s="415"/>
      <c r="AA2637" s="488"/>
      <c r="AB2637" s="594"/>
      <c r="AC2637" s="595"/>
      <c r="AD2637" s="596" t="str">
        <f>IF(AND(AC2637&lt;&gt;"",S2637&lt;&gt;""),NETWORKDAYS(AC2637,S2637,#REF!),"")</f>
        <v/>
      </c>
      <c r="AE2637" s="596" t="str">
        <f ca="1">IF(AND(AD2637="",AC2637=""),"",IF(OR(AD2637&lt;&gt;"",O2637="*CANCELADO"),"",NETWORKDAYS(AC2637,TODAY(),#REF!)))</f>
        <v/>
      </c>
      <c r="AF2637" s="619"/>
    </row>
    <row r="2638" spans="1:32" ht="14.25" customHeight="1">
      <c r="A2638" s="176"/>
      <c r="B2638" s="176"/>
      <c r="C2638" s="177"/>
      <c r="D2638" s="176"/>
      <c r="E2638" s="176"/>
      <c r="F2638" s="259"/>
      <c r="G2638" s="176"/>
      <c r="H2638" s="178"/>
      <c r="I2638" s="592">
        <f t="shared" si="98"/>
        <v>0</v>
      </c>
      <c r="J2638" s="178"/>
      <c r="K2638" s="178"/>
      <c r="L2638" s="275" t="str">
        <f>IF(H:H=0,"",IF(ISERROR(VLOOKUP(H:H,produtos_escape2!$A$2:$B$2794,2,FALSE)),"Código não cadastrado",(VLOOKUP(H:H,produtos_escape2!$A$2:$B$2794,2,FALSE))))</f>
        <v/>
      </c>
      <c r="M2638" s="593" t="str">
        <f>IF(H:H=0,"",IF(ISERROR(VLOOKUP(H:H,produtos_escape2!$A$2:$D$2794,2,FALSE)),"Código não cadastrado",(VLOOKUP(H:H,produtos_escape2!$A$2:$D$2794,4,FALSE))))</f>
        <v/>
      </c>
      <c r="N2638" s="486"/>
      <c r="O2638" s="176"/>
      <c r="P2638" s="486"/>
      <c r="Q2638" s="247"/>
      <c r="R2638" s="246">
        <f t="shared" si="97"/>
        <v>0</v>
      </c>
      <c r="S2638" s="177"/>
      <c r="T2638" s="182"/>
      <c r="U2638" s="177"/>
      <c r="V2638" s="177"/>
      <c r="W2638" s="177"/>
      <c r="X2638" s="176"/>
      <c r="Y2638" s="177"/>
      <c r="Z2638" s="415"/>
      <c r="AA2638" s="488"/>
      <c r="AB2638" s="594"/>
      <c r="AC2638" s="595"/>
      <c r="AD2638" s="596" t="str">
        <f>IF(AND(AC2638&lt;&gt;"",S2638&lt;&gt;""),NETWORKDAYS(AC2638,S2638,#REF!),"")</f>
        <v/>
      </c>
      <c r="AE2638" s="596" t="str">
        <f ca="1">IF(AND(AD2638="",AC2638=""),"",IF(OR(AD2638&lt;&gt;"",O2638="*CANCELADO"),"",NETWORKDAYS(AC2638,TODAY(),#REF!)))</f>
        <v/>
      </c>
      <c r="AF2638" s="619"/>
    </row>
    <row r="2639" spans="1:32" ht="14.25" customHeight="1">
      <c r="A2639" s="176"/>
      <c r="B2639" s="176"/>
      <c r="C2639" s="177"/>
      <c r="D2639" s="176"/>
      <c r="E2639" s="176"/>
      <c r="F2639" s="259"/>
      <c r="G2639" s="176"/>
      <c r="H2639" s="178"/>
      <c r="I2639" s="592">
        <f t="shared" si="98"/>
        <v>0</v>
      </c>
      <c r="J2639" s="178"/>
      <c r="K2639" s="178"/>
      <c r="L2639" s="275" t="str">
        <f>IF(H:H=0,"",IF(ISERROR(VLOOKUP(H:H,produtos_escape2!$A$2:$B$2794,2,FALSE)),"Código não cadastrado",(VLOOKUP(H:H,produtos_escape2!$A$2:$B$2794,2,FALSE))))</f>
        <v/>
      </c>
      <c r="M2639" s="593" t="str">
        <f>IF(H:H=0,"",IF(ISERROR(VLOOKUP(H:H,produtos_escape2!$A$2:$D$2794,2,FALSE)),"Código não cadastrado",(VLOOKUP(H:H,produtos_escape2!$A$2:$D$2794,4,FALSE))))</f>
        <v/>
      </c>
      <c r="N2639" s="486"/>
      <c r="O2639" s="176"/>
      <c r="P2639" s="486"/>
      <c r="Q2639" s="247"/>
      <c r="R2639" s="246">
        <f t="shared" si="97"/>
        <v>0</v>
      </c>
      <c r="S2639" s="177"/>
      <c r="T2639" s="182"/>
      <c r="U2639" s="177"/>
      <c r="V2639" s="177"/>
      <c r="W2639" s="177"/>
      <c r="X2639" s="176"/>
      <c r="Y2639" s="177"/>
      <c r="Z2639" s="415"/>
      <c r="AA2639" s="488"/>
      <c r="AB2639" s="594"/>
      <c r="AC2639" s="595"/>
      <c r="AD2639" s="596" t="str">
        <f>IF(AND(AC2639&lt;&gt;"",S2639&lt;&gt;""),NETWORKDAYS(AC2639,S2639,#REF!),"")</f>
        <v/>
      </c>
      <c r="AE2639" s="596" t="str">
        <f ca="1">IF(AND(AD2639="",AC2639=""),"",IF(OR(AD2639&lt;&gt;"",O2639="*CANCELADO"),"",NETWORKDAYS(AC2639,TODAY(),#REF!)))</f>
        <v/>
      </c>
      <c r="AF2639" s="619"/>
    </row>
    <row r="2640" spans="1:32" ht="14.25" customHeight="1">
      <c r="A2640" s="176"/>
      <c r="B2640" s="176"/>
      <c r="C2640" s="177"/>
      <c r="D2640" s="176"/>
      <c r="E2640" s="176"/>
      <c r="F2640" s="259"/>
      <c r="G2640" s="176"/>
      <c r="H2640" s="178"/>
      <c r="I2640" s="592">
        <f t="shared" si="98"/>
        <v>0</v>
      </c>
      <c r="J2640" s="178"/>
      <c r="K2640" s="178"/>
      <c r="L2640" s="275" t="str">
        <f>IF(H:H=0,"",IF(ISERROR(VLOOKUP(H:H,produtos_escape2!$A$2:$B$2794,2,FALSE)),"Código não cadastrado",(VLOOKUP(H:H,produtos_escape2!$A$2:$B$2794,2,FALSE))))</f>
        <v/>
      </c>
      <c r="M2640" s="593" t="str">
        <f>IF(H:H=0,"",IF(ISERROR(VLOOKUP(H:H,produtos_escape2!$A$2:$D$2794,2,FALSE)),"Código não cadastrado",(VLOOKUP(H:H,produtos_escape2!$A$2:$D$2794,4,FALSE))))</f>
        <v/>
      </c>
      <c r="N2640" s="486"/>
      <c r="O2640" s="176"/>
      <c r="P2640" s="486"/>
      <c r="Q2640" s="247"/>
      <c r="R2640" s="246">
        <f t="shared" si="97"/>
        <v>0</v>
      </c>
      <c r="S2640" s="177"/>
      <c r="T2640" s="182"/>
      <c r="U2640" s="177"/>
      <c r="V2640" s="177"/>
      <c r="W2640" s="177"/>
      <c r="X2640" s="176"/>
      <c r="Y2640" s="177"/>
      <c r="Z2640" s="415"/>
      <c r="AA2640" s="488"/>
      <c r="AB2640" s="594"/>
      <c r="AC2640" s="595"/>
      <c r="AD2640" s="596" t="str">
        <f>IF(AND(AC2640&lt;&gt;"",S2640&lt;&gt;""),NETWORKDAYS(AC2640,S2640,#REF!),"")</f>
        <v/>
      </c>
      <c r="AE2640" s="596" t="str">
        <f ca="1">IF(AND(AD2640="",AC2640=""),"",IF(OR(AD2640&lt;&gt;"",O2640="*CANCELADO"),"",NETWORKDAYS(AC2640,TODAY(),#REF!)))</f>
        <v/>
      </c>
      <c r="AF2640" s="619"/>
    </row>
    <row r="2641" spans="1:32" ht="14.25" customHeight="1">
      <c r="A2641" s="176"/>
      <c r="B2641" s="176"/>
      <c r="C2641" s="177"/>
      <c r="D2641" s="176"/>
      <c r="E2641" s="176"/>
      <c r="F2641" s="259"/>
      <c r="G2641" s="176"/>
      <c r="H2641" s="178"/>
      <c r="I2641" s="592">
        <f t="shared" si="98"/>
        <v>0</v>
      </c>
      <c r="J2641" s="178"/>
      <c r="K2641" s="178"/>
      <c r="L2641" s="275" t="str">
        <f>IF(H:H=0,"",IF(ISERROR(VLOOKUP(H:H,produtos_escape2!$A$2:$B$2794,2,FALSE)),"Código não cadastrado",(VLOOKUP(H:H,produtos_escape2!$A$2:$B$2794,2,FALSE))))</f>
        <v/>
      </c>
      <c r="M2641" s="593" t="str">
        <f>IF(H:H=0,"",IF(ISERROR(VLOOKUP(H:H,produtos_escape2!$A$2:$D$2794,2,FALSE)),"Código não cadastrado",(VLOOKUP(H:H,produtos_escape2!$A$2:$D$2794,4,FALSE))))</f>
        <v/>
      </c>
      <c r="N2641" s="486"/>
      <c r="O2641" s="176"/>
      <c r="P2641" s="486"/>
      <c r="Q2641" s="247"/>
      <c r="R2641" s="246">
        <f t="shared" si="97"/>
        <v>0</v>
      </c>
      <c r="S2641" s="177"/>
      <c r="T2641" s="182"/>
      <c r="U2641" s="177"/>
      <c r="V2641" s="177"/>
      <c r="W2641" s="177"/>
      <c r="X2641" s="176"/>
      <c r="Y2641" s="177"/>
      <c r="Z2641" s="415"/>
      <c r="AA2641" s="488"/>
      <c r="AB2641" s="594"/>
      <c r="AC2641" s="595"/>
      <c r="AD2641" s="596" t="str">
        <f>IF(AND(AC2641&lt;&gt;"",S2641&lt;&gt;""),NETWORKDAYS(AC2641,S2641,#REF!),"")</f>
        <v/>
      </c>
      <c r="AE2641" s="596" t="str">
        <f ca="1">IF(AND(AD2641="",AC2641=""),"",IF(OR(AD2641&lt;&gt;"",O2641="*CANCELADO"),"",NETWORKDAYS(AC2641,TODAY(),#REF!)))</f>
        <v/>
      </c>
      <c r="AF2641" s="619"/>
    </row>
    <row r="2642" spans="1:32" ht="14.25" customHeight="1">
      <c r="A2642" s="176"/>
      <c r="B2642" s="176"/>
      <c r="C2642" s="177"/>
      <c r="D2642" s="176"/>
      <c r="E2642" s="176"/>
      <c r="F2642" s="259"/>
      <c r="G2642" s="176"/>
      <c r="H2642" s="178"/>
      <c r="I2642" s="592">
        <f t="shared" si="98"/>
        <v>0</v>
      </c>
      <c r="J2642" s="178"/>
      <c r="K2642" s="178"/>
      <c r="L2642" s="275" t="str">
        <f>IF(H:H=0,"",IF(ISERROR(VLOOKUP(H:H,produtos_escape2!$A$2:$B$2794,2,FALSE)),"Código não cadastrado",(VLOOKUP(H:H,produtos_escape2!$A$2:$B$2794,2,FALSE))))</f>
        <v/>
      </c>
      <c r="M2642" s="593" t="str">
        <f>IF(H:H=0,"",IF(ISERROR(VLOOKUP(H:H,produtos_escape2!$A$2:$D$2794,2,FALSE)),"Código não cadastrado",(VLOOKUP(H:H,produtos_escape2!$A$2:$D$2794,4,FALSE))))</f>
        <v/>
      </c>
      <c r="N2642" s="486"/>
      <c r="O2642" s="176"/>
      <c r="P2642" s="486"/>
      <c r="Q2642" s="247"/>
      <c r="R2642" s="246">
        <f t="shared" si="97"/>
        <v>0</v>
      </c>
      <c r="S2642" s="177"/>
      <c r="T2642" s="182"/>
      <c r="U2642" s="177"/>
      <c r="V2642" s="177"/>
      <c r="W2642" s="177"/>
      <c r="X2642" s="176"/>
      <c r="Y2642" s="177"/>
      <c r="Z2642" s="415"/>
      <c r="AA2642" s="488"/>
      <c r="AB2642" s="594"/>
      <c r="AC2642" s="595"/>
      <c r="AD2642" s="596" t="str">
        <f>IF(AND(AC2642&lt;&gt;"",S2642&lt;&gt;""),NETWORKDAYS(AC2642,S2642,#REF!),"")</f>
        <v/>
      </c>
      <c r="AE2642" s="596" t="str">
        <f ca="1">IF(AND(AD2642="",AC2642=""),"",IF(OR(AD2642&lt;&gt;"",O2642="*CANCELADO"),"",NETWORKDAYS(AC2642,TODAY(),#REF!)))</f>
        <v/>
      </c>
      <c r="AF2642" s="619"/>
    </row>
    <row r="2643" spans="1:32" ht="14.25" customHeight="1">
      <c r="A2643" s="176"/>
      <c r="B2643" s="176"/>
      <c r="C2643" s="177"/>
      <c r="D2643" s="176"/>
      <c r="E2643" s="176"/>
      <c r="F2643" s="259"/>
      <c r="G2643" s="176"/>
      <c r="H2643" s="178"/>
      <c r="I2643" s="592">
        <f t="shared" si="98"/>
        <v>0</v>
      </c>
      <c r="J2643" s="178"/>
      <c r="K2643" s="178"/>
      <c r="L2643" s="275" t="str">
        <f>IF(H:H=0,"",IF(ISERROR(VLOOKUP(H:H,produtos_escape2!$A$2:$B$2794,2,FALSE)),"Código não cadastrado",(VLOOKUP(H:H,produtos_escape2!$A$2:$B$2794,2,FALSE))))</f>
        <v/>
      </c>
      <c r="M2643" s="593" t="str">
        <f>IF(H:H=0,"",IF(ISERROR(VLOOKUP(H:H,produtos_escape2!$A$2:$D$2794,2,FALSE)),"Código não cadastrado",(VLOOKUP(H:H,produtos_escape2!$A$2:$D$2794,4,FALSE))))</f>
        <v/>
      </c>
      <c r="N2643" s="486"/>
      <c r="O2643" s="176"/>
      <c r="P2643" s="486"/>
      <c r="Q2643" s="247"/>
      <c r="R2643" s="246">
        <f t="shared" si="97"/>
        <v>0</v>
      </c>
      <c r="S2643" s="177"/>
      <c r="T2643" s="182"/>
      <c r="U2643" s="177"/>
      <c r="V2643" s="177"/>
      <c r="W2643" s="177"/>
      <c r="X2643" s="176"/>
      <c r="Y2643" s="177"/>
      <c r="Z2643" s="415"/>
      <c r="AA2643" s="488"/>
      <c r="AB2643" s="594"/>
      <c r="AC2643" s="595"/>
      <c r="AD2643" s="596" t="str">
        <f>IF(AND(AC2643&lt;&gt;"",S2643&lt;&gt;""),NETWORKDAYS(AC2643,S2643,#REF!),"")</f>
        <v/>
      </c>
      <c r="AE2643" s="596" t="str">
        <f ca="1">IF(AND(AD2643="",AC2643=""),"",IF(OR(AD2643&lt;&gt;"",O2643="*CANCELADO"),"",NETWORKDAYS(AC2643,TODAY(),#REF!)))</f>
        <v/>
      </c>
      <c r="AF2643" s="619"/>
    </row>
    <row r="2644" spans="1:32" ht="14.25" customHeight="1">
      <c r="A2644" s="176"/>
      <c r="B2644" s="176"/>
      <c r="C2644" s="177"/>
      <c r="D2644" s="176"/>
      <c r="E2644" s="176"/>
      <c r="F2644" s="259"/>
      <c r="G2644" s="176"/>
      <c r="H2644" s="178"/>
      <c r="I2644" s="592">
        <f t="shared" si="98"/>
        <v>0</v>
      </c>
      <c r="J2644" s="178"/>
      <c r="K2644" s="178"/>
      <c r="L2644" s="275" t="str">
        <f>IF(H:H=0,"",IF(ISERROR(VLOOKUP(H:H,produtos_escape2!$A$2:$B$2794,2,FALSE)),"Código não cadastrado",(VLOOKUP(H:H,produtos_escape2!$A$2:$B$2794,2,FALSE))))</f>
        <v/>
      </c>
      <c r="M2644" s="593" t="str">
        <f>IF(H:H=0,"",IF(ISERROR(VLOOKUP(H:H,produtos_escape2!$A$2:$D$2794,2,FALSE)),"Código não cadastrado",(VLOOKUP(H:H,produtos_escape2!$A$2:$D$2794,4,FALSE))))</f>
        <v/>
      </c>
      <c r="N2644" s="486"/>
      <c r="O2644" s="176"/>
      <c r="P2644" s="486"/>
      <c r="Q2644" s="247"/>
      <c r="R2644" s="246">
        <f t="shared" si="97"/>
        <v>0</v>
      </c>
      <c r="S2644" s="177"/>
      <c r="T2644" s="182"/>
      <c r="U2644" s="177"/>
      <c r="V2644" s="177"/>
      <c r="W2644" s="177"/>
      <c r="X2644" s="176"/>
      <c r="Y2644" s="177"/>
      <c r="Z2644" s="415"/>
      <c r="AA2644" s="488"/>
      <c r="AB2644" s="594"/>
      <c r="AC2644" s="595"/>
      <c r="AD2644" s="596" t="str">
        <f>IF(AND(AC2644&lt;&gt;"",S2644&lt;&gt;""),NETWORKDAYS(AC2644,S2644,#REF!),"")</f>
        <v/>
      </c>
      <c r="AE2644" s="596" t="str">
        <f ca="1">IF(AND(AD2644="",AC2644=""),"",IF(OR(AD2644&lt;&gt;"",O2644="*CANCELADO"),"",NETWORKDAYS(AC2644,TODAY(),#REF!)))</f>
        <v/>
      </c>
      <c r="AF2644" s="619"/>
    </row>
    <row r="2645" spans="1:32" ht="14.25" customHeight="1">
      <c r="A2645" s="176"/>
      <c r="B2645" s="176"/>
      <c r="C2645" s="177"/>
      <c r="D2645" s="176"/>
      <c r="E2645" s="176"/>
      <c r="F2645" s="259"/>
      <c r="G2645" s="176"/>
      <c r="H2645" s="178"/>
      <c r="I2645" s="592">
        <f t="shared" si="98"/>
        <v>0</v>
      </c>
      <c r="J2645" s="178"/>
      <c r="K2645" s="178"/>
      <c r="L2645" s="275" t="str">
        <f>IF(H:H=0,"",IF(ISERROR(VLOOKUP(H:H,produtos_escape2!$A$2:$B$2794,2,FALSE)),"Código não cadastrado",(VLOOKUP(H:H,produtos_escape2!$A$2:$B$2794,2,FALSE))))</f>
        <v/>
      </c>
      <c r="M2645" s="593" t="str">
        <f>IF(H:H=0,"",IF(ISERROR(VLOOKUP(H:H,produtos_escape2!$A$2:$D$2794,2,FALSE)),"Código não cadastrado",(VLOOKUP(H:H,produtos_escape2!$A$2:$D$2794,4,FALSE))))</f>
        <v/>
      </c>
      <c r="N2645" s="486"/>
      <c r="O2645" s="176"/>
      <c r="P2645" s="486"/>
      <c r="Q2645" s="247"/>
      <c r="R2645" s="246">
        <f t="shared" si="97"/>
        <v>0</v>
      </c>
      <c r="S2645" s="177"/>
      <c r="T2645" s="182"/>
      <c r="U2645" s="177"/>
      <c r="V2645" s="177"/>
      <c r="W2645" s="177"/>
      <c r="X2645" s="176"/>
      <c r="Y2645" s="177"/>
      <c r="Z2645" s="415"/>
      <c r="AA2645" s="488"/>
      <c r="AB2645" s="594"/>
      <c r="AC2645" s="595"/>
      <c r="AD2645" s="596" t="str">
        <f>IF(AND(AC2645&lt;&gt;"",S2645&lt;&gt;""),NETWORKDAYS(AC2645,S2645,#REF!),"")</f>
        <v/>
      </c>
      <c r="AE2645" s="596" t="str">
        <f ca="1">IF(AND(AD2645="",AC2645=""),"",IF(OR(AD2645&lt;&gt;"",O2645="*CANCELADO"),"",NETWORKDAYS(AC2645,TODAY(),#REF!)))</f>
        <v/>
      </c>
      <c r="AF2645" s="619"/>
    </row>
    <row r="2646" spans="1:32" ht="14.25" customHeight="1">
      <c r="A2646" s="176"/>
      <c r="B2646" s="176"/>
      <c r="C2646" s="177"/>
      <c r="D2646" s="176"/>
      <c r="E2646" s="176"/>
      <c r="F2646" s="259"/>
      <c r="G2646" s="176"/>
      <c r="H2646" s="178"/>
      <c r="I2646" s="592">
        <f t="shared" si="98"/>
        <v>0</v>
      </c>
      <c r="J2646" s="178"/>
      <c r="K2646" s="178"/>
      <c r="L2646" s="275" t="str">
        <f>IF(H:H=0,"",IF(ISERROR(VLOOKUP(H:H,produtos_escape2!$A$2:$B$2794,2,FALSE)),"Código não cadastrado",(VLOOKUP(H:H,produtos_escape2!$A$2:$B$2794,2,FALSE))))</f>
        <v/>
      </c>
      <c r="M2646" s="593" t="str">
        <f>IF(H:H=0,"",IF(ISERROR(VLOOKUP(H:H,produtos_escape2!$A$2:$D$2794,2,FALSE)),"Código não cadastrado",(VLOOKUP(H:H,produtos_escape2!$A$2:$D$2794,4,FALSE))))</f>
        <v/>
      </c>
      <c r="N2646" s="486"/>
      <c r="O2646" s="176"/>
      <c r="P2646" s="486"/>
      <c r="Q2646" s="247"/>
      <c r="R2646" s="246">
        <f t="shared" si="97"/>
        <v>0</v>
      </c>
      <c r="S2646" s="177"/>
      <c r="T2646" s="182"/>
      <c r="U2646" s="177"/>
      <c r="V2646" s="177"/>
      <c r="W2646" s="177"/>
      <c r="X2646" s="176"/>
      <c r="Y2646" s="177"/>
      <c r="Z2646" s="415"/>
      <c r="AA2646" s="488"/>
      <c r="AB2646" s="594"/>
      <c r="AC2646" s="595"/>
      <c r="AD2646" s="596" t="str">
        <f>IF(AND(AC2646&lt;&gt;"",S2646&lt;&gt;""),NETWORKDAYS(AC2646,S2646,#REF!),"")</f>
        <v/>
      </c>
      <c r="AE2646" s="596" t="str">
        <f ca="1">IF(AND(AD2646="",AC2646=""),"",IF(OR(AD2646&lt;&gt;"",O2646="*CANCELADO"),"",NETWORKDAYS(AC2646,TODAY(),#REF!)))</f>
        <v/>
      </c>
      <c r="AF2646" s="619"/>
    </row>
    <row r="2647" spans="1:32" ht="14.25" customHeight="1">
      <c r="A2647" s="176"/>
      <c r="B2647" s="176"/>
      <c r="C2647" s="177"/>
      <c r="D2647" s="176"/>
      <c r="E2647" s="176"/>
      <c r="F2647" s="259"/>
      <c r="G2647" s="176"/>
      <c r="H2647" s="178"/>
      <c r="I2647" s="592">
        <f t="shared" si="98"/>
        <v>0</v>
      </c>
      <c r="J2647" s="178"/>
      <c r="K2647" s="178"/>
      <c r="L2647" s="275" t="str">
        <f>IF(H:H=0,"",IF(ISERROR(VLOOKUP(H:H,produtos_escape2!$A$2:$B$2794,2,FALSE)),"Código não cadastrado",(VLOOKUP(H:H,produtos_escape2!$A$2:$B$2794,2,FALSE))))</f>
        <v/>
      </c>
      <c r="M2647" s="593" t="str">
        <f>IF(H:H=0,"",IF(ISERROR(VLOOKUP(H:H,produtos_escape2!$A$2:$D$2794,2,FALSE)),"Código não cadastrado",(VLOOKUP(H:H,produtos_escape2!$A$2:$D$2794,4,FALSE))))</f>
        <v/>
      </c>
      <c r="N2647" s="486"/>
      <c r="O2647" s="176"/>
      <c r="P2647" s="486"/>
      <c r="Q2647" s="247"/>
      <c r="R2647" s="246">
        <f t="shared" si="97"/>
        <v>0</v>
      </c>
      <c r="S2647" s="177"/>
      <c r="T2647" s="182"/>
      <c r="U2647" s="177"/>
      <c r="V2647" s="177"/>
      <c r="W2647" s="177"/>
      <c r="X2647" s="176"/>
      <c r="Y2647" s="177"/>
      <c r="Z2647" s="415"/>
      <c r="AA2647" s="488"/>
      <c r="AB2647" s="594"/>
      <c r="AC2647" s="595"/>
      <c r="AD2647" s="596" t="str">
        <f>IF(AND(AC2647&lt;&gt;"",S2647&lt;&gt;""),NETWORKDAYS(AC2647,S2647,#REF!),"")</f>
        <v/>
      </c>
      <c r="AE2647" s="596" t="str">
        <f ca="1">IF(AND(AD2647="",AC2647=""),"",IF(OR(AD2647&lt;&gt;"",O2647="*CANCELADO"),"",NETWORKDAYS(AC2647,TODAY(),#REF!)))</f>
        <v/>
      </c>
      <c r="AF2647" s="619"/>
    </row>
    <row r="2648" spans="1:32" ht="14.25" customHeight="1">
      <c r="A2648" s="176"/>
      <c r="B2648" s="176"/>
      <c r="C2648" s="177"/>
      <c r="D2648" s="176"/>
      <c r="E2648" s="176"/>
      <c r="F2648" s="259"/>
      <c r="G2648" s="176"/>
      <c r="H2648" s="178"/>
      <c r="I2648" s="592">
        <f t="shared" si="98"/>
        <v>0</v>
      </c>
      <c r="J2648" s="178"/>
      <c r="K2648" s="178"/>
      <c r="L2648" s="275" t="str">
        <f>IF(H:H=0,"",IF(ISERROR(VLOOKUP(H:H,produtos_escape2!$A$2:$B$2794,2,FALSE)),"Código não cadastrado",(VLOOKUP(H:H,produtos_escape2!$A$2:$B$2794,2,FALSE))))</f>
        <v/>
      </c>
      <c r="M2648" s="593" t="str">
        <f>IF(H:H=0,"",IF(ISERROR(VLOOKUP(H:H,produtos_escape2!$A$2:$D$2794,2,FALSE)),"Código não cadastrado",(VLOOKUP(H:H,produtos_escape2!$A$2:$D$2794,4,FALSE))))</f>
        <v/>
      </c>
      <c r="N2648" s="486"/>
      <c r="O2648" s="176"/>
      <c r="P2648" s="486"/>
      <c r="Q2648" s="247"/>
      <c r="R2648" s="246">
        <f t="shared" si="97"/>
        <v>0</v>
      </c>
      <c r="S2648" s="177"/>
      <c r="T2648" s="182"/>
      <c r="U2648" s="177"/>
      <c r="V2648" s="177"/>
      <c r="W2648" s="177"/>
      <c r="X2648" s="176"/>
      <c r="Y2648" s="177"/>
      <c r="Z2648" s="415"/>
      <c r="AA2648" s="488"/>
      <c r="AB2648" s="594"/>
      <c r="AC2648" s="595"/>
      <c r="AD2648" s="596" t="str">
        <f>IF(AND(AC2648&lt;&gt;"",S2648&lt;&gt;""),NETWORKDAYS(AC2648,S2648,#REF!),"")</f>
        <v/>
      </c>
      <c r="AE2648" s="596" t="str">
        <f ca="1">IF(AND(AD2648="",AC2648=""),"",IF(OR(AD2648&lt;&gt;"",O2648="*CANCELADO"),"",NETWORKDAYS(AC2648,TODAY(),#REF!)))</f>
        <v/>
      </c>
      <c r="AF2648" s="619"/>
    </row>
    <row r="2649" spans="1:32" ht="14.25" customHeight="1">
      <c r="A2649" s="176"/>
      <c r="B2649" s="176"/>
      <c r="C2649" s="177"/>
      <c r="D2649" s="176"/>
      <c r="E2649" s="176"/>
      <c r="F2649" s="259"/>
      <c r="G2649" s="176"/>
      <c r="H2649" s="178"/>
      <c r="I2649" s="592">
        <f t="shared" si="98"/>
        <v>0</v>
      </c>
      <c r="J2649" s="178"/>
      <c r="K2649" s="178"/>
      <c r="L2649" s="275" t="str">
        <f>IF(H:H=0,"",IF(ISERROR(VLOOKUP(H:H,produtos_escape2!$A$2:$B$2794,2,FALSE)),"Código não cadastrado",(VLOOKUP(H:H,produtos_escape2!$A$2:$B$2794,2,FALSE))))</f>
        <v/>
      </c>
      <c r="M2649" s="593" t="str">
        <f>IF(H:H=0,"",IF(ISERROR(VLOOKUP(H:H,produtos_escape2!$A$2:$D$2794,2,FALSE)),"Código não cadastrado",(VLOOKUP(H:H,produtos_escape2!$A$2:$D$2794,4,FALSE))))</f>
        <v/>
      </c>
      <c r="N2649" s="486"/>
      <c r="O2649" s="176"/>
      <c r="P2649" s="486"/>
      <c r="Q2649" s="247"/>
      <c r="R2649" s="246">
        <f t="shared" si="97"/>
        <v>0</v>
      </c>
      <c r="S2649" s="177"/>
      <c r="T2649" s="182"/>
      <c r="U2649" s="177"/>
      <c r="V2649" s="177"/>
      <c r="W2649" s="177"/>
      <c r="X2649" s="176"/>
      <c r="Y2649" s="177"/>
      <c r="Z2649" s="415"/>
      <c r="AA2649" s="488"/>
      <c r="AB2649" s="594"/>
      <c r="AC2649" s="595"/>
      <c r="AD2649" s="596" t="str">
        <f>IF(AND(AC2649&lt;&gt;"",S2649&lt;&gt;""),NETWORKDAYS(AC2649,S2649,#REF!),"")</f>
        <v/>
      </c>
      <c r="AE2649" s="596" t="str">
        <f ca="1">IF(AND(AD2649="",AC2649=""),"",IF(OR(AD2649&lt;&gt;"",O2649="*CANCELADO"),"",NETWORKDAYS(AC2649,TODAY(),#REF!)))</f>
        <v/>
      </c>
      <c r="AF2649" s="619"/>
    </row>
    <row r="2650" spans="1:32" ht="14.25" customHeight="1">
      <c r="A2650" s="176"/>
      <c r="B2650" s="176"/>
      <c r="C2650" s="177"/>
      <c r="D2650" s="176"/>
      <c r="E2650" s="176"/>
      <c r="F2650" s="259"/>
      <c r="G2650" s="176"/>
      <c r="H2650" s="178"/>
      <c r="I2650" s="592">
        <f t="shared" si="98"/>
        <v>0</v>
      </c>
      <c r="J2650" s="178"/>
      <c r="K2650" s="178"/>
      <c r="L2650" s="275" t="str">
        <f>IF(H:H=0,"",IF(ISERROR(VLOOKUP(H:H,produtos_escape2!$A$2:$B$2794,2,FALSE)),"Código não cadastrado",(VLOOKUP(H:H,produtos_escape2!$A$2:$B$2794,2,FALSE))))</f>
        <v/>
      </c>
      <c r="M2650" s="593" t="str">
        <f>IF(H:H=0,"",IF(ISERROR(VLOOKUP(H:H,produtos_escape2!$A$2:$D$2794,2,FALSE)),"Código não cadastrado",(VLOOKUP(H:H,produtos_escape2!$A$2:$D$2794,4,FALSE))))</f>
        <v/>
      </c>
      <c r="N2650" s="486"/>
      <c r="O2650" s="176"/>
      <c r="P2650" s="486"/>
      <c r="Q2650" s="247"/>
      <c r="R2650" s="246">
        <f t="shared" si="97"/>
        <v>0</v>
      </c>
      <c r="S2650" s="177"/>
      <c r="T2650" s="182"/>
      <c r="U2650" s="177"/>
      <c r="V2650" s="177"/>
      <c r="W2650" s="177"/>
      <c r="X2650" s="176"/>
      <c r="Y2650" s="177"/>
      <c r="Z2650" s="415"/>
      <c r="AA2650" s="488"/>
      <c r="AB2650" s="594"/>
      <c r="AC2650" s="595"/>
      <c r="AD2650" s="596" t="str">
        <f>IF(AND(AC2650&lt;&gt;"",S2650&lt;&gt;""),NETWORKDAYS(AC2650,S2650,#REF!),"")</f>
        <v/>
      </c>
      <c r="AE2650" s="596" t="str">
        <f ca="1">IF(AND(AD2650="",AC2650=""),"",IF(OR(AD2650&lt;&gt;"",O2650="*CANCELADO"),"",NETWORKDAYS(AC2650,TODAY(),#REF!)))</f>
        <v/>
      </c>
      <c r="AF2650" s="619"/>
    </row>
    <row r="2651" spans="1:32" ht="14.25" customHeight="1">
      <c r="A2651" s="176"/>
      <c r="B2651" s="176"/>
      <c r="C2651" s="177"/>
      <c r="D2651" s="176"/>
      <c r="E2651" s="176"/>
      <c r="F2651" s="259"/>
      <c r="G2651" s="176"/>
      <c r="H2651" s="178"/>
      <c r="I2651" s="592">
        <f t="shared" si="98"/>
        <v>0</v>
      </c>
      <c r="J2651" s="178"/>
      <c r="K2651" s="178"/>
      <c r="L2651" s="275" t="str">
        <f>IF(H:H=0,"",IF(ISERROR(VLOOKUP(H:H,produtos_escape2!$A$2:$B$2794,2,FALSE)),"Código não cadastrado",(VLOOKUP(H:H,produtos_escape2!$A$2:$B$2794,2,FALSE))))</f>
        <v/>
      </c>
      <c r="M2651" s="593" t="str">
        <f>IF(H:H=0,"",IF(ISERROR(VLOOKUP(H:H,produtos_escape2!$A$2:$D$2794,2,FALSE)),"Código não cadastrado",(VLOOKUP(H:H,produtos_escape2!$A$2:$D$2794,4,FALSE))))</f>
        <v/>
      </c>
      <c r="N2651" s="486"/>
      <c r="O2651" s="176"/>
      <c r="P2651" s="486"/>
      <c r="Q2651" s="247"/>
      <c r="R2651" s="246">
        <f t="shared" si="97"/>
        <v>0</v>
      </c>
      <c r="S2651" s="177"/>
      <c r="T2651" s="182"/>
      <c r="U2651" s="177"/>
      <c r="V2651" s="177"/>
      <c r="W2651" s="177"/>
      <c r="X2651" s="176"/>
      <c r="Y2651" s="177"/>
      <c r="Z2651" s="415"/>
      <c r="AA2651" s="488"/>
      <c r="AB2651" s="594"/>
      <c r="AC2651" s="595"/>
      <c r="AD2651" s="596" t="str">
        <f>IF(AND(AC2651&lt;&gt;"",S2651&lt;&gt;""),NETWORKDAYS(AC2651,S2651,#REF!),"")</f>
        <v/>
      </c>
      <c r="AE2651" s="596" t="str">
        <f ca="1">IF(AND(AD2651="",AC2651=""),"",IF(OR(AD2651&lt;&gt;"",O2651="*CANCELADO"),"",NETWORKDAYS(AC2651,TODAY(),#REF!)))</f>
        <v/>
      </c>
      <c r="AF2651" s="619"/>
    </row>
    <row r="2652" spans="1:32" ht="14.25" customHeight="1">
      <c r="A2652" s="176"/>
      <c r="B2652" s="176"/>
      <c r="C2652" s="177"/>
      <c r="D2652" s="176"/>
      <c r="E2652" s="176"/>
      <c r="F2652" s="259"/>
      <c r="G2652" s="176"/>
      <c r="H2652" s="178"/>
      <c r="I2652" s="592">
        <f t="shared" si="98"/>
        <v>0</v>
      </c>
      <c r="J2652" s="178"/>
      <c r="K2652" s="178"/>
      <c r="L2652" s="275" t="str">
        <f>IF(H:H=0,"",IF(ISERROR(VLOOKUP(H:H,produtos_escape2!$A$2:$B$2794,2,FALSE)),"Código não cadastrado",(VLOOKUP(H:H,produtos_escape2!$A$2:$B$2794,2,FALSE))))</f>
        <v/>
      </c>
      <c r="M2652" s="593" t="str">
        <f>IF(H:H=0,"",IF(ISERROR(VLOOKUP(H:H,produtos_escape2!$A$2:$D$2794,2,FALSE)),"Código não cadastrado",(VLOOKUP(H:H,produtos_escape2!$A$2:$D$2794,4,FALSE))))</f>
        <v/>
      </c>
      <c r="N2652" s="486"/>
      <c r="O2652" s="176"/>
      <c r="P2652" s="486"/>
      <c r="Q2652" s="247"/>
      <c r="R2652" s="246">
        <f t="shared" si="97"/>
        <v>0</v>
      </c>
      <c r="S2652" s="177"/>
      <c r="T2652" s="182"/>
      <c r="U2652" s="177"/>
      <c r="V2652" s="177"/>
      <c r="W2652" s="177"/>
      <c r="X2652" s="176"/>
      <c r="Y2652" s="177"/>
      <c r="Z2652" s="415"/>
      <c r="AA2652" s="488"/>
      <c r="AB2652" s="594"/>
      <c r="AC2652" s="595"/>
      <c r="AD2652" s="596" t="str">
        <f>IF(AND(AC2652&lt;&gt;"",S2652&lt;&gt;""),NETWORKDAYS(AC2652,S2652,#REF!),"")</f>
        <v/>
      </c>
      <c r="AE2652" s="596" t="str">
        <f ca="1">IF(AND(AD2652="",AC2652=""),"",IF(OR(AD2652&lt;&gt;"",O2652="*CANCELADO"),"",NETWORKDAYS(AC2652,TODAY(),#REF!)))</f>
        <v/>
      </c>
      <c r="AF2652" s="619"/>
    </row>
    <row r="2653" spans="1:32" ht="14.25" customHeight="1">
      <c r="A2653" s="176"/>
      <c r="B2653" s="176"/>
      <c r="C2653" s="177"/>
      <c r="D2653" s="176"/>
      <c r="E2653" s="176"/>
      <c r="F2653" s="259"/>
      <c r="G2653" s="176"/>
      <c r="H2653" s="178"/>
      <c r="I2653" s="592">
        <f t="shared" si="98"/>
        <v>0</v>
      </c>
      <c r="J2653" s="178"/>
      <c r="K2653" s="178"/>
      <c r="L2653" s="275" t="str">
        <f>IF(H:H=0,"",IF(ISERROR(VLOOKUP(H:H,produtos_escape2!$A$2:$B$2794,2,FALSE)),"Código não cadastrado",(VLOOKUP(H:H,produtos_escape2!$A$2:$B$2794,2,FALSE))))</f>
        <v/>
      </c>
      <c r="M2653" s="593" t="str">
        <f>IF(H:H=0,"",IF(ISERROR(VLOOKUP(H:H,produtos_escape2!$A$2:$D$2794,2,FALSE)),"Código não cadastrado",(VLOOKUP(H:H,produtos_escape2!$A$2:$D$2794,4,FALSE))))</f>
        <v/>
      </c>
      <c r="N2653" s="486"/>
      <c r="O2653" s="176"/>
      <c r="P2653" s="486"/>
      <c r="Q2653" s="247"/>
      <c r="R2653" s="246">
        <f t="shared" si="97"/>
        <v>0</v>
      </c>
      <c r="S2653" s="177"/>
      <c r="T2653" s="182"/>
      <c r="U2653" s="177"/>
      <c r="V2653" s="177"/>
      <c r="W2653" s="177"/>
      <c r="X2653" s="176"/>
      <c r="Y2653" s="177"/>
      <c r="Z2653" s="415"/>
      <c r="AA2653" s="488"/>
      <c r="AB2653" s="594"/>
      <c r="AC2653" s="595"/>
      <c r="AD2653" s="596" t="str">
        <f>IF(AND(AC2653&lt;&gt;"",S2653&lt;&gt;""),NETWORKDAYS(AC2653,S2653,#REF!),"")</f>
        <v/>
      </c>
      <c r="AE2653" s="596" t="str">
        <f ca="1">IF(AND(AD2653="",AC2653=""),"",IF(OR(AD2653&lt;&gt;"",O2653="*CANCELADO"),"",NETWORKDAYS(AC2653,TODAY(),#REF!)))</f>
        <v/>
      </c>
      <c r="AF2653" s="619"/>
    </row>
    <row r="2654" spans="1:32" ht="14.25" customHeight="1">
      <c r="A2654" s="176"/>
      <c r="B2654" s="176"/>
      <c r="C2654" s="177"/>
      <c r="D2654" s="176"/>
      <c r="E2654" s="176"/>
      <c r="F2654" s="259"/>
      <c r="G2654" s="176"/>
      <c r="H2654" s="178"/>
      <c r="I2654" s="592">
        <f t="shared" si="98"/>
        <v>0</v>
      </c>
      <c r="J2654" s="178"/>
      <c r="K2654" s="178"/>
      <c r="L2654" s="275" t="str">
        <f>IF(H:H=0,"",IF(ISERROR(VLOOKUP(H:H,produtos_escape2!$A$2:$B$2794,2,FALSE)),"Código não cadastrado",(VLOOKUP(H:H,produtos_escape2!$A$2:$B$2794,2,FALSE))))</f>
        <v/>
      </c>
      <c r="M2654" s="593" t="str">
        <f>IF(H:H=0,"",IF(ISERROR(VLOOKUP(H:H,produtos_escape2!$A$2:$D$2794,2,FALSE)),"Código não cadastrado",(VLOOKUP(H:H,produtos_escape2!$A$2:$D$2794,4,FALSE))))</f>
        <v/>
      </c>
      <c r="N2654" s="486"/>
      <c r="O2654" s="176"/>
      <c r="P2654" s="486"/>
      <c r="Q2654" s="247"/>
      <c r="R2654" s="246">
        <f t="shared" si="97"/>
        <v>0</v>
      </c>
      <c r="S2654" s="177"/>
      <c r="T2654" s="182"/>
      <c r="U2654" s="177"/>
      <c r="V2654" s="177"/>
      <c r="W2654" s="177"/>
      <c r="X2654" s="176"/>
      <c r="Y2654" s="177"/>
      <c r="Z2654" s="415"/>
      <c r="AA2654" s="488"/>
      <c r="AB2654" s="594"/>
      <c r="AC2654" s="595"/>
      <c r="AD2654" s="596" t="str">
        <f>IF(AND(AC2654&lt;&gt;"",S2654&lt;&gt;""),NETWORKDAYS(AC2654,S2654,#REF!),"")</f>
        <v/>
      </c>
      <c r="AE2654" s="596" t="str">
        <f ca="1">IF(AND(AD2654="",AC2654=""),"",IF(OR(AD2654&lt;&gt;"",O2654="*CANCELADO"),"",NETWORKDAYS(AC2654,TODAY(),#REF!)))</f>
        <v/>
      </c>
      <c r="AF2654" s="619"/>
    </row>
    <row r="2655" spans="1:32" ht="14.25" customHeight="1">
      <c r="A2655" s="176"/>
      <c r="B2655" s="176"/>
      <c r="C2655" s="177"/>
      <c r="D2655" s="176"/>
      <c r="E2655" s="176"/>
      <c r="F2655" s="259"/>
      <c r="G2655" s="176"/>
      <c r="H2655" s="178"/>
      <c r="I2655" s="592">
        <f t="shared" si="98"/>
        <v>0</v>
      </c>
      <c r="J2655" s="178"/>
      <c r="K2655" s="178"/>
      <c r="L2655" s="275" t="str">
        <f>IF(H:H=0,"",IF(ISERROR(VLOOKUP(H:H,produtos_escape2!$A$2:$B$2794,2,FALSE)),"Código não cadastrado",(VLOOKUP(H:H,produtos_escape2!$A$2:$B$2794,2,FALSE))))</f>
        <v/>
      </c>
      <c r="M2655" s="593" t="str">
        <f>IF(H:H=0,"",IF(ISERROR(VLOOKUP(H:H,produtos_escape2!$A$2:$D$2794,2,FALSE)),"Código não cadastrado",(VLOOKUP(H:H,produtos_escape2!$A$2:$D$2794,4,FALSE))))</f>
        <v/>
      </c>
      <c r="N2655" s="486"/>
      <c r="O2655" s="176"/>
      <c r="P2655" s="486"/>
      <c r="Q2655" s="247"/>
      <c r="R2655" s="246">
        <f t="shared" si="97"/>
        <v>0</v>
      </c>
      <c r="S2655" s="177"/>
      <c r="T2655" s="182"/>
      <c r="U2655" s="177"/>
      <c r="V2655" s="177"/>
      <c r="W2655" s="177"/>
      <c r="X2655" s="176"/>
      <c r="Y2655" s="177"/>
      <c r="Z2655" s="415"/>
      <c r="AA2655" s="488"/>
      <c r="AB2655" s="594"/>
      <c r="AC2655" s="595"/>
      <c r="AD2655" s="596" t="str">
        <f>IF(AND(AC2655&lt;&gt;"",S2655&lt;&gt;""),NETWORKDAYS(AC2655,S2655,#REF!),"")</f>
        <v/>
      </c>
      <c r="AE2655" s="596" t="str">
        <f ca="1">IF(AND(AD2655="",AC2655=""),"",IF(OR(AD2655&lt;&gt;"",O2655="*CANCELADO"),"",NETWORKDAYS(AC2655,TODAY(),#REF!)))</f>
        <v/>
      </c>
      <c r="AF2655" s="619"/>
    </row>
    <row r="2656" spans="1:32" ht="14.25" customHeight="1">
      <c r="A2656" s="176"/>
      <c r="B2656" s="176"/>
      <c r="C2656" s="177"/>
      <c r="D2656" s="176"/>
      <c r="E2656" s="176"/>
      <c r="F2656" s="259"/>
      <c r="G2656" s="176"/>
      <c r="H2656" s="178"/>
      <c r="I2656" s="592">
        <f t="shared" si="98"/>
        <v>0</v>
      </c>
      <c r="J2656" s="178"/>
      <c r="K2656" s="178"/>
      <c r="L2656" s="275" t="str">
        <f>IF(H:H=0,"",IF(ISERROR(VLOOKUP(H:H,produtos_escape2!$A$2:$B$2794,2,FALSE)),"Código não cadastrado",(VLOOKUP(H:H,produtos_escape2!$A$2:$B$2794,2,FALSE))))</f>
        <v/>
      </c>
      <c r="M2656" s="593" t="str">
        <f>IF(H:H=0,"",IF(ISERROR(VLOOKUP(H:H,produtos_escape2!$A$2:$D$2794,2,FALSE)),"Código não cadastrado",(VLOOKUP(H:H,produtos_escape2!$A$2:$D$2794,4,FALSE))))</f>
        <v/>
      </c>
      <c r="N2656" s="486"/>
      <c r="O2656" s="176"/>
      <c r="P2656" s="486"/>
      <c r="Q2656" s="247"/>
      <c r="R2656" s="246">
        <f t="shared" si="97"/>
        <v>0</v>
      </c>
      <c r="S2656" s="177"/>
      <c r="T2656" s="182"/>
      <c r="U2656" s="177"/>
      <c r="V2656" s="177"/>
      <c r="W2656" s="177"/>
      <c r="X2656" s="176"/>
      <c r="Y2656" s="177"/>
      <c r="Z2656" s="415"/>
      <c r="AA2656" s="488"/>
      <c r="AB2656" s="594"/>
      <c r="AC2656" s="595"/>
      <c r="AD2656" s="596" t="str">
        <f>IF(AND(AC2656&lt;&gt;"",S2656&lt;&gt;""),NETWORKDAYS(AC2656,S2656,#REF!),"")</f>
        <v/>
      </c>
      <c r="AE2656" s="596" t="str">
        <f ca="1">IF(AND(AD2656="",AC2656=""),"",IF(OR(AD2656&lt;&gt;"",O2656="*CANCELADO"),"",NETWORKDAYS(AC2656,TODAY(),#REF!)))</f>
        <v/>
      </c>
      <c r="AF2656" s="619"/>
    </row>
    <row r="2657" spans="1:32" ht="14.25" customHeight="1">
      <c r="A2657" s="176"/>
      <c r="B2657" s="176"/>
      <c r="C2657" s="177"/>
      <c r="D2657" s="176"/>
      <c r="E2657" s="176"/>
      <c r="F2657" s="259"/>
      <c r="G2657" s="176"/>
      <c r="H2657" s="178"/>
      <c r="I2657" s="592">
        <f t="shared" si="98"/>
        <v>0</v>
      </c>
      <c r="J2657" s="178"/>
      <c r="K2657" s="178"/>
      <c r="L2657" s="275" t="str">
        <f>IF(H:H=0,"",IF(ISERROR(VLOOKUP(H:H,produtos_escape2!$A$2:$B$2794,2,FALSE)),"Código não cadastrado",(VLOOKUP(H:H,produtos_escape2!$A$2:$B$2794,2,FALSE))))</f>
        <v/>
      </c>
      <c r="M2657" s="593" t="str">
        <f>IF(H:H=0,"",IF(ISERROR(VLOOKUP(H:H,produtos_escape2!$A$2:$D$2794,2,FALSE)),"Código não cadastrado",(VLOOKUP(H:H,produtos_escape2!$A$2:$D$2794,4,FALSE))))</f>
        <v/>
      </c>
      <c r="N2657" s="486"/>
      <c r="O2657" s="176"/>
      <c r="P2657" s="486"/>
      <c r="Q2657" s="247"/>
      <c r="R2657" s="246">
        <f t="shared" si="97"/>
        <v>0</v>
      </c>
      <c r="S2657" s="177"/>
      <c r="T2657" s="182"/>
      <c r="U2657" s="177"/>
      <c r="V2657" s="177"/>
      <c r="W2657" s="177"/>
      <c r="X2657" s="176"/>
      <c r="Y2657" s="177"/>
      <c r="Z2657" s="415"/>
      <c r="AA2657" s="488"/>
      <c r="AB2657" s="594"/>
      <c r="AC2657" s="595"/>
      <c r="AD2657" s="596" t="str">
        <f>IF(AND(AC2657&lt;&gt;"",S2657&lt;&gt;""),NETWORKDAYS(AC2657,S2657,#REF!),"")</f>
        <v/>
      </c>
      <c r="AE2657" s="596" t="str">
        <f ca="1">IF(AND(AD2657="",AC2657=""),"",IF(OR(AD2657&lt;&gt;"",O2657="*CANCELADO"),"",NETWORKDAYS(AC2657,TODAY(),#REF!)))</f>
        <v/>
      </c>
      <c r="AF2657" s="619"/>
    </row>
    <row r="2658" spans="1:32" ht="14.25" customHeight="1">
      <c r="A2658" s="176"/>
      <c r="B2658" s="176"/>
      <c r="C2658" s="177"/>
      <c r="D2658" s="176"/>
      <c r="E2658" s="176"/>
      <c r="F2658" s="259"/>
      <c r="G2658" s="176"/>
      <c r="H2658" s="178"/>
      <c r="I2658" s="592">
        <f t="shared" si="98"/>
        <v>0</v>
      </c>
      <c r="J2658" s="178"/>
      <c r="K2658" s="178"/>
      <c r="L2658" s="275" t="str">
        <f>IF(H:H=0,"",IF(ISERROR(VLOOKUP(H:H,produtos_escape2!$A$2:$B$2794,2,FALSE)),"Código não cadastrado",(VLOOKUP(H:H,produtos_escape2!$A$2:$B$2794,2,FALSE))))</f>
        <v/>
      </c>
      <c r="M2658" s="593" t="str">
        <f>IF(H:H=0,"",IF(ISERROR(VLOOKUP(H:H,produtos_escape2!$A$2:$D$2794,2,FALSE)),"Código não cadastrado",(VLOOKUP(H:H,produtos_escape2!$A$2:$D$2794,4,FALSE))))</f>
        <v/>
      </c>
      <c r="N2658" s="486"/>
      <c r="O2658" s="176"/>
      <c r="P2658" s="486"/>
      <c r="Q2658" s="247"/>
      <c r="R2658" s="246">
        <f t="shared" si="97"/>
        <v>0</v>
      </c>
      <c r="S2658" s="177"/>
      <c r="T2658" s="182"/>
      <c r="U2658" s="177"/>
      <c r="V2658" s="177"/>
      <c r="W2658" s="177"/>
      <c r="X2658" s="176"/>
      <c r="Y2658" s="177"/>
      <c r="Z2658" s="415"/>
      <c r="AA2658" s="488"/>
      <c r="AB2658" s="594"/>
      <c r="AC2658" s="595"/>
      <c r="AD2658" s="596" t="str">
        <f>IF(AND(AC2658&lt;&gt;"",S2658&lt;&gt;""),NETWORKDAYS(AC2658,S2658,#REF!),"")</f>
        <v/>
      </c>
      <c r="AE2658" s="596" t="str">
        <f ca="1">IF(AND(AD2658="",AC2658=""),"",IF(OR(AD2658&lt;&gt;"",O2658="*CANCELADO"),"",NETWORKDAYS(AC2658,TODAY(),#REF!)))</f>
        <v/>
      </c>
      <c r="AF2658" s="619"/>
    </row>
    <row r="2659" spans="1:32" ht="14.25" customHeight="1">
      <c r="A2659" s="176"/>
      <c r="B2659" s="176"/>
      <c r="C2659" s="177"/>
      <c r="D2659" s="176"/>
      <c r="E2659" s="176"/>
      <c r="F2659" s="259"/>
      <c r="G2659" s="176"/>
      <c r="H2659" s="178"/>
      <c r="I2659" s="592">
        <f t="shared" si="98"/>
        <v>0</v>
      </c>
      <c r="J2659" s="178"/>
      <c r="K2659" s="178"/>
      <c r="L2659" s="275" t="str">
        <f>IF(H:H=0,"",IF(ISERROR(VLOOKUP(H:H,produtos_escape2!$A$2:$B$2794,2,FALSE)),"Código não cadastrado",(VLOOKUP(H:H,produtos_escape2!$A$2:$B$2794,2,FALSE))))</f>
        <v/>
      </c>
      <c r="M2659" s="593" t="str">
        <f>IF(H:H=0,"",IF(ISERROR(VLOOKUP(H:H,produtos_escape2!$A$2:$D$2794,2,FALSE)),"Código não cadastrado",(VLOOKUP(H:H,produtos_escape2!$A$2:$D$2794,4,FALSE))))</f>
        <v/>
      </c>
      <c r="N2659" s="486"/>
      <c r="O2659" s="176"/>
      <c r="P2659" s="486"/>
      <c r="Q2659" s="247"/>
      <c r="R2659" s="246">
        <f t="shared" si="97"/>
        <v>0</v>
      </c>
      <c r="S2659" s="177"/>
      <c r="T2659" s="182"/>
      <c r="U2659" s="177"/>
      <c r="V2659" s="177"/>
      <c r="W2659" s="177"/>
      <c r="X2659" s="176"/>
      <c r="Y2659" s="177"/>
      <c r="Z2659" s="415"/>
      <c r="AA2659" s="488"/>
      <c r="AB2659" s="594"/>
      <c r="AC2659" s="595"/>
      <c r="AD2659" s="596" t="str">
        <f>IF(AND(AC2659&lt;&gt;"",S2659&lt;&gt;""),NETWORKDAYS(AC2659,S2659,#REF!),"")</f>
        <v/>
      </c>
      <c r="AE2659" s="596" t="str">
        <f ca="1">IF(AND(AD2659="",AC2659=""),"",IF(OR(AD2659&lt;&gt;"",O2659="*CANCELADO"),"",NETWORKDAYS(AC2659,TODAY(),#REF!)))</f>
        <v/>
      </c>
      <c r="AF2659" s="619"/>
    </row>
    <row r="2660" spans="1:32" ht="14.25" customHeight="1">
      <c r="A2660" s="176"/>
      <c r="B2660" s="176"/>
      <c r="C2660" s="177"/>
      <c r="D2660" s="176"/>
      <c r="E2660" s="176"/>
      <c r="F2660" s="259"/>
      <c r="G2660" s="176"/>
      <c r="H2660" s="178"/>
      <c r="I2660" s="592">
        <f t="shared" si="98"/>
        <v>0</v>
      </c>
      <c r="J2660" s="178"/>
      <c r="K2660" s="178"/>
      <c r="L2660" s="275" t="str">
        <f>IF(H:H=0,"",IF(ISERROR(VLOOKUP(H:H,produtos_escape2!$A$2:$B$2794,2,FALSE)),"Código não cadastrado",(VLOOKUP(H:H,produtos_escape2!$A$2:$B$2794,2,FALSE))))</f>
        <v/>
      </c>
      <c r="M2660" s="593" t="str">
        <f>IF(H:H=0,"",IF(ISERROR(VLOOKUP(H:H,produtos_escape2!$A$2:$D$2794,2,FALSE)),"Código não cadastrado",(VLOOKUP(H:H,produtos_escape2!$A$2:$D$2794,4,FALSE))))</f>
        <v/>
      </c>
      <c r="N2660" s="486"/>
      <c r="O2660" s="176"/>
      <c r="P2660" s="486"/>
      <c r="Q2660" s="247"/>
      <c r="R2660" s="246">
        <f t="shared" si="97"/>
        <v>0</v>
      </c>
      <c r="S2660" s="177"/>
      <c r="T2660" s="182"/>
      <c r="U2660" s="177"/>
      <c r="V2660" s="177"/>
      <c r="W2660" s="177"/>
      <c r="X2660" s="176"/>
      <c r="Y2660" s="177"/>
      <c r="Z2660" s="415"/>
      <c r="AA2660" s="488"/>
      <c r="AB2660" s="594"/>
      <c r="AC2660" s="595"/>
      <c r="AD2660" s="596" t="str">
        <f>IF(AND(AC2660&lt;&gt;"",S2660&lt;&gt;""),NETWORKDAYS(AC2660,S2660,#REF!),"")</f>
        <v/>
      </c>
      <c r="AE2660" s="596" t="str">
        <f ca="1">IF(AND(AD2660="",AC2660=""),"",IF(OR(AD2660&lt;&gt;"",O2660="*CANCELADO"),"",NETWORKDAYS(AC2660,TODAY(),#REF!)))</f>
        <v/>
      </c>
      <c r="AF2660" s="619"/>
    </row>
    <row r="2661" spans="1:32" ht="14.25" customHeight="1">
      <c r="A2661" s="176"/>
      <c r="B2661" s="176"/>
      <c r="C2661" s="177"/>
      <c r="D2661" s="176"/>
      <c r="E2661" s="176"/>
      <c r="F2661" s="259"/>
      <c r="G2661" s="176"/>
      <c r="H2661" s="178"/>
      <c r="I2661" s="592">
        <f t="shared" si="98"/>
        <v>0</v>
      </c>
      <c r="J2661" s="178"/>
      <c r="K2661" s="178"/>
      <c r="L2661" s="275" t="str">
        <f>IF(H:H=0,"",IF(ISERROR(VLOOKUP(H:H,produtos_escape2!$A$2:$B$2794,2,FALSE)),"Código não cadastrado",(VLOOKUP(H:H,produtos_escape2!$A$2:$B$2794,2,FALSE))))</f>
        <v/>
      </c>
      <c r="M2661" s="593" t="str">
        <f>IF(H:H=0,"",IF(ISERROR(VLOOKUP(H:H,produtos_escape2!$A$2:$D$2794,2,FALSE)),"Código não cadastrado",(VLOOKUP(H:H,produtos_escape2!$A$2:$D$2794,4,FALSE))))</f>
        <v/>
      </c>
      <c r="N2661" s="486"/>
      <c r="O2661" s="176"/>
      <c r="P2661" s="486"/>
      <c r="Q2661" s="247"/>
      <c r="R2661" s="246">
        <f t="shared" si="97"/>
        <v>0</v>
      </c>
      <c r="S2661" s="177"/>
      <c r="T2661" s="182"/>
      <c r="U2661" s="177"/>
      <c r="V2661" s="177"/>
      <c r="W2661" s="177"/>
      <c r="X2661" s="176"/>
      <c r="Y2661" s="177"/>
      <c r="Z2661" s="415"/>
      <c r="AA2661" s="488"/>
      <c r="AB2661" s="594"/>
      <c r="AC2661" s="595"/>
      <c r="AD2661" s="596" t="str">
        <f>IF(AND(AC2661&lt;&gt;"",S2661&lt;&gt;""),NETWORKDAYS(AC2661,S2661,#REF!),"")</f>
        <v/>
      </c>
      <c r="AE2661" s="596" t="str">
        <f ca="1">IF(AND(AD2661="",AC2661=""),"",IF(OR(AD2661&lt;&gt;"",O2661="*CANCELADO"),"",NETWORKDAYS(AC2661,TODAY(),#REF!)))</f>
        <v/>
      </c>
      <c r="AF2661" s="619"/>
    </row>
    <row r="2662" spans="1:32" ht="14.25" customHeight="1">
      <c r="A2662" s="176"/>
      <c r="B2662" s="176"/>
      <c r="C2662" s="177"/>
      <c r="D2662" s="176"/>
      <c r="E2662" s="176"/>
      <c r="F2662" s="259"/>
      <c r="G2662" s="176"/>
      <c r="H2662" s="178"/>
      <c r="I2662" s="592">
        <f t="shared" si="98"/>
        <v>0</v>
      </c>
      <c r="J2662" s="178"/>
      <c r="K2662" s="178"/>
      <c r="L2662" s="275" t="str">
        <f>IF(H:H=0,"",IF(ISERROR(VLOOKUP(H:H,produtos_escape2!$A$2:$B$2794,2,FALSE)),"Código não cadastrado",(VLOOKUP(H:H,produtos_escape2!$A$2:$B$2794,2,FALSE))))</f>
        <v/>
      </c>
      <c r="M2662" s="593" t="str">
        <f>IF(H:H=0,"",IF(ISERROR(VLOOKUP(H:H,produtos_escape2!$A$2:$D$2794,2,FALSE)),"Código não cadastrado",(VLOOKUP(H:H,produtos_escape2!$A$2:$D$2794,4,FALSE))))</f>
        <v/>
      </c>
      <c r="N2662" s="486"/>
      <c r="O2662" s="176"/>
      <c r="P2662" s="486"/>
      <c r="Q2662" s="247"/>
      <c r="R2662" s="246">
        <f t="shared" si="97"/>
        <v>0</v>
      </c>
      <c r="S2662" s="177"/>
      <c r="T2662" s="182"/>
      <c r="U2662" s="177"/>
      <c r="V2662" s="177"/>
      <c r="W2662" s="177"/>
      <c r="X2662" s="176"/>
      <c r="Y2662" s="177"/>
      <c r="Z2662" s="415"/>
      <c r="AA2662" s="488"/>
      <c r="AB2662" s="594"/>
      <c r="AC2662" s="595"/>
      <c r="AD2662" s="596" t="str">
        <f>IF(AND(AC2662&lt;&gt;"",S2662&lt;&gt;""),NETWORKDAYS(AC2662,S2662,#REF!),"")</f>
        <v/>
      </c>
      <c r="AE2662" s="596" t="str">
        <f ca="1">IF(AND(AD2662="",AC2662=""),"",IF(OR(AD2662&lt;&gt;"",O2662="*CANCELADO"),"",NETWORKDAYS(AC2662,TODAY(),#REF!)))</f>
        <v/>
      </c>
      <c r="AF2662" s="619"/>
    </row>
    <row r="2663" spans="1:32" ht="14.25" customHeight="1">
      <c r="A2663" s="176"/>
      <c r="B2663" s="176"/>
      <c r="C2663" s="177"/>
      <c r="D2663" s="176"/>
      <c r="E2663" s="176"/>
      <c r="F2663" s="259"/>
      <c r="G2663" s="176"/>
      <c r="H2663" s="178"/>
      <c r="I2663" s="592">
        <f t="shared" si="98"/>
        <v>0</v>
      </c>
      <c r="J2663" s="178"/>
      <c r="K2663" s="178"/>
      <c r="L2663" s="275" t="str">
        <f>IF(H:H=0,"",IF(ISERROR(VLOOKUP(H:H,produtos_escape2!$A$2:$B$2794,2,FALSE)),"Código não cadastrado",(VLOOKUP(H:H,produtos_escape2!$A$2:$B$2794,2,FALSE))))</f>
        <v/>
      </c>
      <c r="M2663" s="593" t="str">
        <f>IF(H:H=0,"",IF(ISERROR(VLOOKUP(H:H,produtos_escape2!$A$2:$D$2794,2,FALSE)),"Código não cadastrado",(VLOOKUP(H:H,produtos_escape2!$A$2:$D$2794,4,FALSE))))</f>
        <v/>
      </c>
      <c r="N2663" s="486"/>
      <c r="O2663" s="176"/>
      <c r="P2663" s="486"/>
      <c r="Q2663" s="247"/>
      <c r="R2663" s="246">
        <f t="shared" si="97"/>
        <v>0</v>
      </c>
      <c r="S2663" s="177"/>
      <c r="T2663" s="182"/>
      <c r="U2663" s="177"/>
      <c r="V2663" s="177"/>
      <c r="W2663" s="177"/>
      <c r="X2663" s="176"/>
      <c r="Y2663" s="177"/>
      <c r="Z2663" s="415"/>
      <c r="AA2663" s="488"/>
      <c r="AB2663" s="594"/>
      <c r="AC2663" s="595"/>
      <c r="AD2663" s="596" t="str">
        <f>IF(AND(AC2663&lt;&gt;"",S2663&lt;&gt;""),NETWORKDAYS(AC2663,S2663,#REF!),"")</f>
        <v/>
      </c>
      <c r="AE2663" s="596" t="str">
        <f ca="1">IF(AND(AD2663="",AC2663=""),"",IF(OR(AD2663&lt;&gt;"",O2663="*CANCELADO"),"",NETWORKDAYS(AC2663,TODAY(),#REF!)))</f>
        <v/>
      </c>
      <c r="AF2663" s="619"/>
    </row>
    <row r="2664" spans="1:32" ht="14.25" customHeight="1">
      <c r="A2664" s="176"/>
      <c r="B2664" s="176"/>
      <c r="C2664" s="177"/>
      <c r="D2664" s="176"/>
      <c r="E2664" s="176"/>
      <c r="F2664" s="259"/>
      <c r="G2664" s="176"/>
      <c r="H2664" s="178"/>
      <c r="I2664" s="592">
        <f t="shared" si="98"/>
        <v>0</v>
      </c>
      <c r="J2664" s="178"/>
      <c r="K2664" s="178"/>
      <c r="L2664" s="275" t="str">
        <f>IF(H:H=0,"",IF(ISERROR(VLOOKUP(H:H,produtos_escape2!$A$2:$B$2794,2,FALSE)),"Código não cadastrado",(VLOOKUP(H:H,produtos_escape2!$A$2:$B$2794,2,FALSE))))</f>
        <v/>
      </c>
      <c r="M2664" s="593" t="str">
        <f>IF(H:H=0,"",IF(ISERROR(VLOOKUP(H:H,produtos_escape2!$A$2:$D$2794,2,FALSE)),"Código não cadastrado",(VLOOKUP(H:H,produtos_escape2!$A$2:$D$2794,4,FALSE))))</f>
        <v/>
      </c>
      <c r="N2664" s="486"/>
      <c r="O2664" s="176"/>
      <c r="P2664" s="486"/>
      <c r="Q2664" s="247"/>
      <c r="R2664" s="246">
        <f t="shared" si="97"/>
        <v>0</v>
      </c>
      <c r="S2664" s="177"/>
      <c r="T2664" s="182"/>
      <c r="U2664" s="177"/>
      <c r="V2664" s="177"/>
      <c r="W2664" s="177"/>
      <c r="X2664" s="176"/>
      <c r="Y2664" s="177"/>
      <c r="Z2664" s="415"/>
      <c r="AA2664" s="488"/>
      <c r="AB2664" s="594"/>
      <c r="AC2664" s="595"/>
      <c r="AD2664" s="596" t="str">
        <f>IF(AND(AC2664&lt;&gt;"",S2664&lt;&gt;""),NETWORKDAYS(AC2664,S2664,#REF!),"")</f>
        <v/>
      </c>
      <c r="AE2664" s="596" t="str">
        <f ca="1">IF(AND(AD2664="",AC2664=""),"",IF(OR(AD2664&lt;&gt;"",O2664="*CANCELADO"),"",NETWORKDAYS(AC2664,TODAY(),#REF!)))</f>
        <v/>
      </c>
      <c r="AF2664" s="619"/>
    </row>
    <row r="2665" spans="1:32" ht="14.25" customHeight="1">
      <c r="A2665" s="176"/>
      <c r="B2665" s="176"/>
      <c r="C2665" s="177"/>
      <c r="D2665" s="176"/>
      <c r="E2665" s="176"/>
      <c r="F2665" s="259"/>
      <c r="G2665" s="176"/>
      <c r="H2665" s="178"/>
      <c r="I2665" s="592">
        <f t="shared" si="98"/>
        <v>0</v>
      </c>
      <c r="J2665" s="178"/>
      <c r="K2665" s="178"/>
      <c r="L2665" s="275" t="str">
        <f>IF(H:H=0,"",IF(ISERROR(VLOOKUP(H:H,produtos_escape2!$A$2:$B$2794,2,FALSE)),"Código não cadastrado",(VLOOKUP(H:H,produtos_escape2!$A$2:$B$2794,2,FALSE))))</f>
        <v/>
      </c>
      <c r="M2665" s="593" t="str">
        <f>IF(H:H=0,"",IF(ISERROR(VLOOKUP(H:H,produtos_escape2!$A$2:$D$2794,2,FALSE)),"Código não cadastrado",(VLOOKUP(H:H,produtos_escape2!$A$2:$D$2794,4,FALSE))))</f>
        <v/>
      </c>
      <c r="N2665" s="486"/>
      <c r="O2665" s="176"/>
      <c r="P2665" s="486"/>
      <c r="Q2665" s="247"/>
      <c r="R2665" s="246">
        <f t="shared" si="97"/>
        <v>0</v>
      </c>
      <c r="S2665" s="177"/>
      <c r="T2665" s="182"/>
      <c r="U2665" s="177"/>
      <c r="V2665" s="177"/>
      <c r="W2665" s="177"/>
      <c r="X2665" s="176"/>
      <c r="Y2665" s="177"/>
      <c r="Z2665" s="415"/>
      <c r="AA2665" s="488"/>
      <c r="AB2665" s="594"/>
      <c r="AC2665" s="595"/>
      <c r="AD2665" s="596" t="str">
        <f>IF(AND(AC2665&lt;&gt;"",S2665&lt;&gt;""),NETWORKDAYS(AC2665,S2665,#REF!),"")</f>
        <v/>
      </c>
      <c r="AE2665" s="596" t="str">
        <f ca="1">IF(AND(AD2665="",AC2665=""),"",IF(OR(AD2665&lt;&gt;"",O2665="*CANCELADO"),"",NETWORKDAYS(AC2665,TODAY(),#REF!)))</f>
        <v/>
      </c>
      <c r="AF2665" s="619"/>
    </row>
    <row r="2666" spans="1:32" ht="14.25" customHeight="1">
      <c r="A2666" s="176"/>
      <c r="B2666" s="176"/>
      <c r="C2666" s="177"/>
      <c r="D2666" s="176"/>
      <c r="E2666" s="176"/>
      <c r="F2666" s="259"/>
      <c r="G2666" s="176"/>
      <c r="H2666" s="178"/>
      <c r="I2666" s="592">
        <f t="shared" si="98"/>
        <v>0</v>
      </c>
      <c r="J2666" s="178"/>
      <c r="K2666" s="178"/>
      <c r="L2666" s="275" t="str">
        <f>IF(H:H=0,"",IF(ISERROR(VLOOKUP(H:H,produtos_escape2!$A$2:$B$2794,2,FALSE)),"Código não cadastrado",(VLOOKUP(H:H,produtos_escape2!$A$2:$B$2794,2,FALSE))))</f>
        <v/>
      </c>
      <c r="M2666" s="593" t="str">
        <f>IF(H:H=0,"",IF(ISERROR(VLOOKUP(H:H,produtos_escape2!$A$2:$D$2794,2,FALSE)),"Código não cadastrado",(VLOOKUP(H:H,produtos_escape2!$A$2:$D$2794,4,FALSE))))</f>
        <v/>
      </c>
      <c r="N2666" s="486"/>
      <c r="O2666" s="176"/>
      <c r="P2666" s="486"/>
      <c r="Q2666" s="247"/>
      <c r="R2666" s="246">
        <f t="shared" si="97"/>
        <v>0</v>
      </c>
      <c r="S2666" s="177"/>
      <c r="T2666" s="182"/>
      <c r="U2666" s="177"/>
      <c r="V2666" s="177"/>
      <c r="W2666" s="177"/>
      <c r="X2666" s="176"/>
      <c r="Y2666" s="177"/>
      <c r="Z2666" s="415"/>
      <c r="AA2666" s="488"/>
      <c r="AB2666" s="594"/>
      <c r="AC2666" s="595"/>
      <c r="AD2666" s="596" t="str">
        <f>IF(AND(AC2666&lt;&gt;"",S2666&lt;&gt;""),NETWORKDAYS(AC2666,S2666,#REF!),"")</f>
        <v/>
      </c>
      <c r="AE2666" s="596" t="str">
        <f ca="1">IF(AND(AD2666="",AC2666=""),"",IF(OR(AD2666&lt;&gt;"",O2666="*CANCELADO"),"",NETWORKDAYS(AC2666,TODAY(),#REF!)))</f>
        <v/>
      </c>
      <c r="AF2666" s="619"/>
    </row>
    <row r="2667" spans="1:32" ht="14.25" customHeight="1">
      <c r="A2667" s="176"/>
      <c r="B2667" s="176"/>
      <c r="C2667" s="177"/>
      <c r="D2667" s="176"/>
      <c r="E2667" s="176"/>
      <c r="F2667" s="259"/>
      <c r="G2667" s="176"/>
      <c r="H2667" s="178"/>
      <c r="I2667" s="592">
        <f t="shared" si="98"/>
        <v>0</v>
      </c>
      <c r="J2667" s="178"/>
      <c r="K2667" s="178"/>
      <c r="L2667" s="275" t="str">
        <f>IF(H:H=0,"",IF(ISERROR(VLOOKUP(H:H,produtos_escape2!$A$2:$B$2794,2,FALSE)),"Código não cadastrado",(VLOOKUP(H:H,produtos_escape2!$A$2:$B$2794,2,FALSE))))</f>
        <v/>
      </c>
      <c r="M2667" s="593" t="str">
        <f>IF(H:H=0,"",IF(ISERROR(VLOOKUP(H:H,produtos_escape2!$A$2:$D$2794,2,FALSE)),"Código não cadastrado",(VLOOKUP(H:H,produtos_escape2!$A$2:$D$2794,4,FALSE))))</f>
        <v/>
      </c>
      <c r="N2667" s="486"/>
      <c r="O2667" s="176"/>
      <c r="P2667" s="486"/>
      <c r="Q2667" s="247"/>
      <c r="R2667" s="246">
        <f t="shared" si="97"/>
        <v>0</v>
      </c>
      <c r="S2667" s="177"/>
      <c r="T2667" s="182"/>
      <c r="U2667" s="177"/>
      <c r="V2667" s="177"/>
      <c r="W2667" s="177"/>
      <c r="X2667" s="176"/>
      <c r="Y2667" s="177"/>
      <c r="Z2667" s="415"/>
      <c r="AA2667" s="488"/>
      <c r="AB2667" s="594"/>
      <c r="AC2667" s="595"/>
      <c r="AD2667" s="596" t="str">
        <f>IF(AND(AC2667&lt;&gt;"",S2667&lt;&gt;""),NETWORKDAYS(AC2667,S2667,#REF!),"")</f>
        <v/>
      </c>
      <c r="AE2667" s="596" t="str">
        <f ca="1">IF(AND(AD2667="",AC2667=""),"",IF(OR(AD2667&lt;&gt;"",O2667="*CANCELADO"),"",NETWORKDAYS(AC2667,TODAY(),#REF!)))</f>
        <v/>
      </c>
      <c r="AF2667" s="619"/>
    </row>
    <row r="2668" spans="1:32" ht="14.25" customHeight="1">
      <c r="A2668" s="176"/>
      <c r="B2668" s="176"/>
      <c r="C2668" s="177"/>
      <c r="D2668" s="176"/>
      <c r="E2668" s="176"/>
      <c r="F2668" s="259"/>
      <c r="G2668" s="176"/>
      <c r="H2668" s="178"/>
      <c r="I2668" s="592">
        <f t="shared" si="98"/>
        <v>0</v>
      </c>
      <c r="J2668" s="178"/>
      <c r="K2668" s="178"/>
      <c r="L2668" s="275" t="str">
        <f>IF(H:H=0,"",IF(ISERROR(VLOOKUP(H:H,produtos_escape2!$A$2:$B$2794,2,FALSE)),"Código não cadastrado",(VLOOKUP(H:H,produtos_escape2!$A$2:$B$2794,2,FALSE))))</f>
        <v/>
      </c>
      <c r="M2668" s="593" t="str">
        <f>IF(H:H=0,"",IF(ISERROR(VLOOKUP(H:H,produtos_escape2!$A$2:$D$2794,2,FALSE)),"Código não cadastrado",(VLOOKUP(H:H,produtos_escape2!$A$2:$D$2794,4,FALSE))))</f>
        <v/>
      </c>
      <c r="N2668" s="486"/>
      <c r="O2668" s="176"/>
      <c r="P2668" s="486"/>
      <c r="Q2668" s="247"/>
      <c r="R2668" s="246">
        <f t="shared" si="97"/>
        <v>0</v>
      </c>
      <c r="S2668" s="177"/>
      <c r="T2668" s="182"/>
      <c r="U2668" s="177"/>
      <c r="V2668" s="177"/>
      <c r="W2668" s="177"/>
      <c r="X2668" s="176"/>
      <c r="Y2668" s="177"/>
      <c r="Z2668" s="415"/>
      <c r="AA2668" s="488"/>
      <c r="AB2668" s="594"/>
      <c r="AC2668" s="595"/>
      <c r="AD2668" s="596" t="str">
        <f>IF(AND(AC2668&lt;&gt;"",S2668&lt;&gt;""),NETWORKDAYS(AC2668,S2668,#REF!),"")</f>
        <v/>
      </c>
      <c r="AE2668" s="596" t="str">
        <f ca="1">IF(AND(AD2668="",AC2668=""),"",IF(OR(AD2668&lt;&gt;"",O2668="*CANCELADO"),"",NETWORKDAYS(AC2668,TODAY(),#REF!)))</f>
        <v/>
      </c>
      <c r="AF2668" s="619"/>
    </row>
    <row r="2669" spans="1:32" ht="14.25" customHeight="1">
      <c r="A2669" s="176"/>
      <c r="B2669" s="176"/>
      <c r="C2669" s="177"/>
      <c r="D2669" s="176"/>
      <c r="E2669" s="176"/>
      <c r="F2669" s="259"/>
      <c r="G2669" s="176"/>
      <c r="H2669" s="178"/>
      <c r="I2669" s="592">
        <f t="shared" si="98"/>
        <v>0</v>
      </c>
      <c r="J2669" s="178"/>
      <c r="K2669" s="178"/>
      <c r="L2669" s="275" t="str">
        <f>IF(H:H=0,"",IF(ISERROR(VLOOKUP(H:H,produtos_escape2!$A$2:$B$2794,2,FALSE)),"Código não cadastrado",(VLOOKUP(H:H,produtos_escape2!$A$2:$B$2794,2,FALSE))))</f>
        <v/>
      </c>
      <c r="M2669" s="593" t="str">
        <f>IF(H:H=0,"",IF(ISERROR(VLOOKUP(H:H,produtos_escape2!$A$2:$D$2794,2,FALSE)),"Código não cadastrado",(VLOOKUP(H:H,produtos_escape2!$A$2:$D$2794,4,FALSE))))</f>
        <v/>
      </c>
      <c r="N2669" s="486"/>
      <c r="O2669" s="176"/>
      <c r="P2669" s="486"/>
      <c r="Q2669" s="247"/>
      <c r="R2669" s="246">
        <f t="shared" ref="R2669:R2732" si="99">P2669*Q2669</f>
        <v>0</v>
      </c>
      <c r="S2669" s="177"/>
      <c r="T2669" s="182"/>
      <c r="U2669" s="177"/>
      <c r="V2669" s="177"/>
      <c r="W2669" s="177"/>
      <c r="X2669" s="176"/>
      <c r="Y2669" s="177"/>
      <c r="Z2669" s="415"/>
      <c r="AA2669" s="488"/>
      <c r="AB2669" s="594"/>
      <c r="AC2669" s="595"/>
      <c r="AD2669" s="596" t="str">
        <f>IF(AND(AC2669&lt;&gt;"",S2669&lt;&gt;""),NETWORKDAYS(AC2669,S2669,#REF!),"")</f>
        <v/>
      </c>
      <c r="AE2669" s="596" t="str">
        <f ca="1">IF(AND(AD2669="",AC2669=""),"",IF(OR(AD2669&lt;&gt;"",O2669="*CANCELADO"),"",NETWORKDAYS(AC2669,TODAY(),#REF!)))</f>
        <v/>
      </c>
      <c r="AF2669" s="619"/>
    </row>
    <row r="2670" spans="1:32" ht="14.25" customHeight="1">
      <c r="A2670" s="176"/>
      <c r="B2670" s="176"/>
      <c r="C2670" s="177"/>
      <c r="D2670" s="176"/>
      <c r="E2670" s="176"/>
      <c r="F2670" s="259"/>
      <c r="G2670" s="176"/>
      <c r="H2670" s="178"/>
      <c r="I2670" s="592">
        <f t="shared" si="98"/>
        <v>0</v>
      </c>
      <c r="J2670" s="178"/>
      <c r="K2670" s="178"/>
      <c r="L2670" s="275" t="str">
        <f>IF(H:H=0,"",IF(ISERROR(VLOOKUP(H:H,produtos_escape2!$A$2:$B$2794,2,FALSE)),"Código não cadastrado",(VLOOKUP(H:H,produtos_escape2!$A$2:$B$2794,2,FALSE))))</f>
        <v/>
      </c>
      <c r="M2670" s="593" t="str">
        <f>IF(H:H=0,"",IF(ISERROR(VLOOKUP(H:H,produtos_escape2!$A$2:$D$2794,2,FALSE)),"Código não cadastrado",(VLOOKUP(H:H,produtos_escape2!$A$2:$D$2794,4,FALSE))))</f>
        <v/>
      </c>
      <c r="N2670" s="486"/>
      <c r="O2670" s="176"/>
      <c r="P2670" s="486"/>
      <c r="Q2670" s="247"/>
      <c r="R2670" s="246">
        <f t="shared" si="99"/>
        <v>0</v>
      </c>
      <c r="S2670" s="177"/>
      <c r="T2670" s="182"/>
      <c r="U2670" s="177"/>
      <c r="V2670" s="177"/>
      <c r="W2670" s="177"/>
      <c r="X2670" s="176"/>
      <c r="Y2670" s="177"/>
      <c r="Z2670" s="415"/>
      <c r="AA2670" s="488"/>
      <c r="AB2670" s="594"/>
      <c r="AC2670" s="595"/>
      <c r="AD2670" s="596" t="str">
        <f>IF(AND(AC2670&lt;&gt;"",S2670&lt;&gt;""),NETWORKDAYS(AC2670,S2670,#REF!),"")</f>
        <v/>
      </c>
      <c r="AE2670" s="596" t="str">
        <f ca="1">IF(AND(AD2670="",AC2670=""),"",IF(OR(AD2670&lt;&gt;"",O2670="*CANCELADO"),"",NETWORKDAYS(AC2670,TODAY(),#REF!)))</f>
        <v/>
      </c>
      <c r="AF2670" s="619"/>
    </row>
    <row r="2671" spans="1:32" ht="14.25" customHeight="1">
      <c r="A2671" s="176"/>
      <c r="B2671" s="176"/>
      <c r="C2671" s="177"/>
      <c r="D2671" s="176"/>
      <c r="E2671" s="176"/>
      <c r="F2671" s="259"/>
      <c r="G2671" s="176"/>
      <c r="H2671" s="178"/>
      <c r="I2671" s="592">
        <f t="shared" si="98"/>
        <v>0</v>
      </c>
      <c r="J2671" s="178"/>
      <c r="K2671" s="178"/>
      <c r="L2671" s="275" t="str">
        <f>IF(H:H=0,"",IF(ISERROR(VLOOKUP(H:H,produtos_escape2!$A$2:$B$2794,2,FALSE)),"Código não cadastrado",(VLOOKUP(H:H,produtos_escape2!$A$2:$B$2794,2,FALSE))))</f>
        <v/>
      </c>
      <c r="M2671" s="593" t="str">
        <f>IF(H:H=0,"",IF(ISERROR(VLOOKUP(H:H,produtos_escape2!$A$2:$D$2794,2,FALSE)),"Código não cadastrado",(VLOOKUP(H:H,produtos_escape2!$A$2:$D$2794,4,FALSE))))</f>
        <v/>
      </c>
      <c r="N2671" s="486"/>
      <c r="O2671" s="176"/>
      <c r="P2671" s="486"/>
      <c r="Q2671" s="247"/>
      <c r="R2671" s="246">
        <f t="shared" si="99"/>
        <v>0</v>
      </c>
      <c r="S2671" s="177"/>
      <c r="T2671" s="182"/>
      <c r="U2671" s="177"/>
      <c r="V2671" s="177"/>
      <c r="W2671" s="177"/>
      <c r="X2671" s="176"/>
      <c r="Y2671" s="177"/>
      <c r="Z2671" s="415"/>
      <c r="AA2671" s="488"/>
      <c r="AB2671" s="594"/>
      <c r="AC2671" s="595"/>
      <c r="AD2671" s="596" t="str">
        <f>IF(AND(AC2671&lt;&gt;"",S2671&lt;&gt;""),NETWORKDAYS(AC2671,S2671,#REF!),"")</f>
        <v/>
      </c>
      <c r="AE2671" s="596" t="str">
        <f ca="1">IF(AND(AD2671="",AC2671=""),"",IF(OR(AD2671&lt;&gt;"",O2671="*CANCELADO"),"",NETWORKDAYS(AC2671,TODAY(),#REF!)))</f>
        <v/>
      </c>
      <c r="AF2671" s="619"/>
    </row>
    <row r="2672" spans="1:32" ht="14.25" customHeight="1">
      <c r="A2672" s="176"/>
      <c r="B2672" s="176"/>
      <c r="C2672" s="177"/>
      <c r="D2672" s="176"/>
      <c r="E2672" s="176"/>
      <c r="F2672" s="259"/>
      <c r="G2672" s="176"/>
      <c r="H2672" s="178"/>
      <c r="I2672" s="592">
        <f t="shared" si="98"/>
        <v>0</v>
      </c>
      <c r="J2672" s="178"/>
      <c r="K2672" s="178"/>
      <c r="L2672" s="275" t="str">
        <f>IF(H:H=0,"",IF(ISERROR(VLOOKUP(H:H,produtos_escape2!$A$2:$B$2794,2,FALSE)),"Código não cadastrado",(VLOOKUP(H:H,produtos_escape2!$A$2:$B$2794,2,FALSE))))</f>
        <v/>
      </c>
      <c r="M2672" s="593" t="str">
        <f>IF(H:H=0,"",IF(ISERROR(VLOOKUP(H:H,produtos_escape2!$A$2:$D$2794,2,FALSE)),"Código não cadastrado",(VLOOKUP(H:H,produtos_escape2!$A$2:$D$2794,4,FALSE))))</f>
        <v/>
      </c>
      <c r="N2672" s="486"/>
      <c r="O2672" s="176"/>
      <c r="P2672" s="486"/>
      <c r="Q2672" s="247"/>
      <c r="R2672" s="246">
        <f t="shared" si="99"/>
        <v>0</v>
      </c>
      <c r="S2672" s="177"/>
      <c r="T2672" s="182"/>
      <c r="U2672" s="177"/>
      <c r="V2672" s="177"/>
      <c r="W2672" s="177"/>
      <c r="X2672" s="176"/>
      <c r="Y2672" s="177"/>
      <c r="Z2672" s="415"/>
      <c r="AA2672" s="488"/>
      <c r="AB2672" s="594"/>
      <c r="AC2672" s="595"/>
      <c r="AD2672" s="596" t="str">
        <f>IF(AND(AC2672&lt;&gt;"",S2672&lt;&gt;""),NETWORKDAYS(AC2672,S2672,#REF!),"")</f>
        <v/>
      </c>
      <c r="AE2672" s="596" t="str">
        <f ca="1">IF(AND(AD2672="",AC2672=""),"",IF(OR(AD2672&lt;&gt;"",O2672="*CANCELADO"),"",NETWORKDAYS(AC2672,TODAY(),#REF!)))</f>
        <v/>
      </c>
      <c r="AF2672" s="619"/>
    </row>
    <row r="2673" spans="1:32" ht="14.25" customHeight="1">
      <c r="A2673" s="176"/>
      <c r="B2673" s="176"/>
      <c r="C2673" s="177"/>
      <c r="D2673" s="176"/>
      <c r="E2673" s="176"/>
      <c r="F2673" s="259"/>
      <c r="G2673" s="176"/>
      <c r="H2673" s="178"/>
      <c r="I2673" s="592">
        <f t="shared" si="98"/>
        <v>0</v>
      </c>
      <c r="J2673" s="178"/>
      <c r="K2673" s="178"/>
      <c r="L2673" s="275" t="str">
        <f>IF(H:H=0,"",IF(ISERROR(VLOOKUP(H:H,produtos_escape2!$A$2:$B$2794,2,FALSE)),"Código não cadastrado",(VLOOKUP(H:H,produtos_escape2!$A$2:$B$2794,2,FALSE))))</f>
        <v/>
      </c>
      <c r="M2673" s="593" t="str">
        <f>IF(H:H=0,"",IF(ISERROR(VLOOKUP(H:H,produtos_escape2!$A$2:$D$2794,2,FALSE)),"Código não cadastrado",(VLOOKUP(H:H,produtos_escape2!$A$2:$D$2794,4,FALSE))))</f>
        <v/>
      </c>
      <c r="N2673" s="486"/>
      <c r="O2673" s="176"/>
      <c r="P2673" s="486"/>
      <c r="Q2673" s="247"/>
      <c r="R2673" s="246">
        <f t="shared" si="99"/>
        <v>0</v>
      </c>
      <c r="S2673" s="177"/>
      <c r="T2673" s="182"/>
      <c r="U2673" s="177"/>
      <c r="V2673" s="177"/>
      <c r="W2673" s="177"/>
      <c r="X2673" s="176"/>
      <c r="Y2673" s="177"/>
      <c r="Z2673" s="415"/>
      <c r="AA2673" s="488"/>
      <c r="AB2673" s="594"/>
      <c r="AC2673" s="595"/>
      <c r="AD2673" s="596" t="str">
        <f>IF(AND(AC2673&lt;&gt;"",S2673&lt;&gt;""),NETWORKDAYS(AC2673,S2673,#REF!),"")</f>
        <v/>
      </c>
      <c r="AE2673" s="596" t="str">
        <f ca="1">IF(AND(AD2673="",AC2673=""),"",IF(OR(AD2673&lt;&gt;"",O2673="*CANCELADO"),"",NETWORKDAYS(AC2673,TODAY(),#REF!)))</f>
        <v/>
      </c>
      <c r="AF2673" s="619"/>
    </row>
    <row r="2674" spans="1:32" ht="14.25" customHeight="1">
      <c r="A2674" s="176"/>
      <c r="B2674" s="176"/>
      <c r="C2674" s="177"/>
      <c r="D2674" s="176"/>
      <c r="E2674" s="176"/>
      <c r="F2674" s="259"/>
      <c r="G2674" s="176"/>
      <c r="H2674" s="178"/>
      <c r="I2674" s="592">
        <f t="shared" si="98"/>
        <v>0</v>
      </c>
      <c r="J2674" s="178"/>
      <c r="K2674" s="178"/>
      <c r="L2674" s="275" t="str">
        <f>IF(H:H=0,"",IF(ISERROR(VLOOKUP(H:H,produtos_escape2!$A$2:$B$2794,2,FALSE)),"Código não cadastrado",(VLOOKUP(H:H,produtos_escape2!$A$2:$B$2794,2,FALSE))))</f>
        <v/>
      </c>
      <c r="M2674" s="593" t="str">
        <f>IF(H:H=0,"",IF(ISERROR(VLOOKUP(H:H,produtos_escape2!$A$2:$D$2794,2,FALSE)),"Código não cadastrado",(VLOOKUP(H:H,produtos_escape2!$A$2:$D$2794,4,FALSE))))</f>
        <v/>
      </c>
      <c r="N2674" s="486"/>
      <c r="O2674" s="176"/>
      <c r="P2674" s="486"/>
      <c r="Q2674" s="247"/>
      <c r="R2674" s="246">
        <f t="shared" si="99"/>
        <v>0</v>
      </c>
      <c r="S2674" s="177"/>
      <c r="T2674" s="182"/>
      <c r="U2674" s="177"/>
      <c r="V2674" s="177"/>
      <c r="W2674" s="177"/>
      <c r="X2674" s="176"/>
      <c r="Y2674" s="177"/>
      <c r="Z2674" s="415"/>
      <c r="AA2674" s="488"/>
      <c r="AB2674" s="594"/>
      <c r="AC2674" s="595"/>
      <c r="AD2674" s="596" t="str">
        <f>IF(AND(AC2674&lt;&gt;"",S2674&lt;&gt;""),NETWORKDAYS(AC2674,S2674,#REF!),"")</f>
        <v/>
      </c>
      <c r="AE2674" s="596" t="str">
        <f ca="1">IF(AND(AD2674="",AC2674=""),"",IF(OR(AD2674&lt;&gt;"",O2674="*CANCELADO"),"",NETWORKDAYS(AC2674,TODAY(),#REF!)))</f>
        <v/>
      </c>
      <c r="AF2674" s="619"/>
    </row>
    <row r="2675" spans="1:32" ht="14.25" customHeight="1">
      <c r="A2675" s="176"/>
      <c r="B2675" s="176"/>
      <c r="C2675" s="177"/>
      <c r="D2675" s="176"/>
      <c r="E2675" s="176"/>
      <c r="F2675" s="259"/>
      <c r="G2675" s="176"/>
      <c r="H2675" s="178"/>
      <c r="I2675" s="592">
        <f t="shared" si="98"/>
        <v>0</v>
      </c>
      <c r="J2675" s="178"/>
      <c r="K2675" s="178"/>
      <c r="L2675" s="275" t="str">
        <f>IF(H:H=0,"",IF(ISERROR(VLOOKUP(H:H,produtos_escape2!$A$2:$B$2794,2,FALSE)),"Código não cadastrado",(VLOOKUP(H:H,produtos_escape2!$A$2:$B$2794,2,FALSE))))</f>
        <v/>
      </c>
      <c r="M2675" s="593" t="str">
        <f>IF(H:H=0,"",IF(ISERROR(VLOOKUP(H:H,produtos_escape2!$A$2:$D$2794,2,FALSE)),"Código não cadastrado",(VLOOKUP(H:H,produtos_escape2!$A$2:$D$2794,4,FALSE))))</f>
        <v/>
      </c>
      <c r="N2675" s="486"/>
      <c r="O2675" s="176"/>
      <c r="P2675" s="486"/>
      <c r="Q2675" s="247"/>
      <c r="R2675" s="246">
        <f t="shared" si="99"/>
        <v>0</v>
      </c>
      <c r="S2675" s="177"/>
      <c r="T2675" s="182"/>
      <c r="U2675" s="177"/>
      <c r="V2675" s="177"/>
      <c r="W2675" s="177"/>
      <c r="X2675" s="176"/>
      <c r="Y2675" s="177"/>
      <c r="Z2675" s="415"/>
      <c r="AA2675" s="488"/>
      <c r="AB2675" s="594"/>
      <c r="AC2675" s="595"/>
      <c r="AD2675" s="596" t="str">
        <f>IF(AND(AC2675&lt;&gt;"",S2675&lt;&gt;""),NETWORKDAYS(AC2675,S2675,#REF!),"")</f>
        <v/>
      </c>
      <c r="AE2675" s="596" t="str">
        <f ca="1">IF(AND(AD2675="",AC2675=""),"",IF(OR(AD2675&lt;&gt;"",O2675="*CANCELADO"),"",NETWORKDAYS(AC2675,TODAY(),#REF!)))</f>
        <v/>
      </c>
      <c r="AF2675" s="619"/>
    </row>
    <row r="2676" spans="1:32" ht="14.25" customHeight="1">
      <c r="A2676" s="176"/>
      <c r="B2676" s="176"/>
      <c r="C2676" s="177"/>
      <c r="D2676" s="176"/>
      <c r="E2676" s="176"/>
      <c r="F2676" s="259"/>
      <c r="G2676" s="176"/>
      <c r="H2676" s="178"/>
      <c r="I2676" s="592">
        <f t="shared" si="98"/>
        <v>0</v>
      </c>
      <c r="J2676" s="178"/>
      <c r="K2676" s="178"/>
      <c r="L2676" s="275" t="str">
        <f>IF(H:H=0,"",IF(ISERROR(VLOOKUP(H:H,produtos_escape2!$A$2:$B$2794,2,FALSE)),"Código não cadastrado",(VLOOKUP(H:H,produtos_escape2!$A$2:$B$2794,2,FALSE))))</f>
        <v/>
      </c>
      <c r="M2676" s="593" t="str">
        <f>IF(H:H=0,"",IF(ISERROR(VLOOKUP(H:H,produtos_escape2!$A$2:$D$2794,2,FALSE)),"Código não cadastrado",(VLOOKUP(H:H,produtos_escape2!$A$2:$D$2794,4,FALSE))))</f>
        <v/>
      </c>
      <c r="N2676" s="486"/>
      <c r="O2676" s="176"/>
      <c r="P2676" s="486"/>
      <c r="Q2676" s="247"/>
      <c r="R2676" s="246">
        <f t="shared" si="99"/>
        <v>0</v>
      </c>
      <c r="S2676" s="177"/>
      <c r="T2676" s="182"/>
      <c r="U2676" s="177"/>
      <c r="V2676" s="177"/>
      <c r="W2676" s="177"/>
      <c r="X2676" s="176"/>
      <c r="Y2676" s="177"/>
      <c r="Z2676" s="415"/>
      <c r="AA2676" s="488"/>
      <c r="AB2676" s="594"/>
      <c r="AC2676" s="595"/>
      <c r="AD2676" s="596" t="str">
        <f>IF(AND(AC2676&lt;&gt;"",S2676&lt;&gt;""),NETWORKDAYS(AC2676,S2676,#REF!),"")</f>
        <v/>
      </c>
      <c r="AE2676" s="596" t="str">
        <f ca="1">IF(AND(AD2676="",AC2676=""),"",IF(OR(AD2676&lt;&gt;"",O2676="*CANCELADO"),"",NETWORKDAYS(AC2676,TODAY(),#REF!)))</f>
        <v/>
      </c>
      <c r="AF2676" s="619"/>
    </row>
    <row r="2677" spans="1:32" ht="14.25" customHeight="1">
      <c r="A2677" s="176"/>
      <c r="B2677" s="176"/>
      <c r="C2677" s="177"/>
      <c r="D2677" s="176"/>
      <c r="E2677" s="176"/>
      <c r="F2677" s="259"/>
      <c r="G2677" s="176"/>
      <c r="H2677" s="178"/>
      <c r="I2677" s="592">
        <f t="shared" si="98"/>
        <v>0</v>
      </c>
      <c r="J2677" s="178"/>
      <c r="K2677" s="178"/>
      <c r="L2677" s="275" t="str">
        <f>IF(H:H=0,"",IF(ISERROR(VLOOKUP(H:H,produtos_escape2!$A$2:$B$2794,2,FALSE)),"Código não cadastrado",(VLOOKUP(H:H,produtos_escape2!$A$2:$B$2794,2,FALSE))))</f>
        <v/>
      </c>
      <c r="M2677" s="593" t="str">
        <f>IF(H:H=0,"",IF(ISERROR(VLOOKUP(H:H,produtos_escape2!$A$2:$D$2794,2,FALSE)),"Código não cadastrado",(VLOOKUP(H:H,produtos_escape2!$A$2:$D$2794,4,FALSE))))</f>
        <v/>
      </c>
      <c r="N2677" s="486"/>
      <c r="O2677" s="176"/>
      <c r="P2677" s="486"/>
      <c r="Q2677" s="247"/>
      <c r="R2677" s="246">
        <f t="shared" si="99"/>
        <v>0</v>
      </c>
      <c r="S2677" s="177"/>
      <c r="T2677" s="182"/>
      <c r="U2677" s="177"/>
      <c r="V2677" s="177"/>
      <c r="W2677" s="177"/>
      <c r="X2677" s="176"/>
      <c r="Y2677" s="177"/>
      <c r="Z2677" s="415"/>
      <c r="AA2677" s="488"/>
      <c r="AB2677" s="594"/>
      <c r="AC2677" s="595"/>
      <c r="AD2677" s="596" t="str">
        <f>IF(AND(AC2677&lt;&gt;"",S2677&lt;&gt;""),NETWORKDAYS(AC2677,S2677,#REF!),"")</f>
        <v/>
      </c>
      <c r="AE2677" s="596" t="str">
        <f ca="1">IF(AND(AD2677="",AC2677=""),"",IF(OR(AD2677&lt;&gt;"",O2677="*CANCELADO"),"",NETWORKDAYS(AC2677,TODAY(),#REF!)))</f>
        <v/>
      </c>
      <c r="AF2677" s="619"/>
    </row>
    <row r="2678" spans="1:32" ht="14.25" customHeight="1">
      <c r="A2678" s="176"/>
      <c r="B2678" s="176"/>
      <c r="C2678" s="177"/>
      <c r="D2678" s="176"/>
      <c r="E2678" s="176"/>
      <c r="F2678" s="259"/>
      <c r="G2678" s="176"/>
      <c r="H2678" s="178"/>
      <c r="I2678" s="592">
        <f t="shared" ref="I2678:I2741" si="100">COUNTIF($H$3:$H$3041,H2678)</f>
        <v>0</v>
      </c>
      <c r="J2678" s="178"/>
      <c r="K2678" s="178"/>
      <c r="L2678" s="275" t="str">
        <f>IF(H:H=0,"",IF(ISERROR(VLOOKUP(H:H,produtos_escape2!$A$2:$B$2794,2,FALSE)),"Código não cadastrado",(VLOOKUP(H:H,produtos_escape2!$A$2:$B$2794,2,FALSE))))</f>
        <v/>
      </c>
      <c r="M2678" s="593" t="str">
        <f>IF(H:H=0,"",IF(ISERROR(VLOOKUP(H:H,produtos_escape2!$A$2:$D$2794,2,FALSE)),"Código não cadastrado",(VLOOKUP(H:H,produtos_escape2!$A$2:$D$2794,4,FALSE))))</f>
        <v/>
      </c>
      <c r="N2678" s="486"/>
      <c r="O2678" s="176"/>
      <c r="P2678" s="486"/>
      <c r="Q2678" s="247"/>
      <c r="R2678" s="246">
        <f t="shared" si="99"/>
        <v>0</v>
      </c>
      <c r="S2678" s="177"/>
      <c r="T2678" s="182"/>
      <c r="U2678" s="177"/>
      <c r="V2678" s="177"/>
      <c r="W2678" s="177"/>
      <c r="X2678" s="176"/>
      <c r="Y2678" s="177"/>
      <c r="Z2678" s="415"/>
      <c r="AA2678" s="488"/>
      <c r="AB2678" s="594"/>
      <c r="AC2678" s="595"/>
      <c r="AD2678" s="596" t="str">
        <f>IF(AND(AC2678&lt;&gt;"",S2678&lt;&gt;""),NETWORKDAYS(AC2678,S2678,#REF!),"")</f>
        <v/>
      </c>
      <c r="AE2678" s="596" t="str">
        <f ca="1">IF(AND(AD2678="",AC2678=""),"",IF(OR(AD2678&lt;&gt;"",O2678="*CANCELADO"),"",NETWORKDAYS(AC2678,TODAY(),#REF!)))</f>
        <v/>
      </c>
      <c r="AF2678" s="619"/>
    </row>
    <row r="2679" spans="1:32" ht="14.25" customHeight="1">
      <c r="A2679" s="176"/>
      <c r="B2679" s="176"/>
      <c r="C2679" s="177"/>
      <c r="D2679" s="176"/>
      <c r="E2679" s="176"/>
      <c r="F2679" s="259"/>
      <c r="G2679" s="176"/>
      <c r="H2679" s="178"/>
      <c r="I2679" s="592">
        <f t="shared" si="100"/>
        <v>0</v>
      </c>
      <c r="J2679" s="178"/>
      <c r="K2679" s="178"/>
      <c r="L2679" s="275" t="str">
        <f>IF(H:H=0,"",IF(ISERROR(VLOOKUP(H:H,produtos_escape2!$A$2:$B$2794,2,FALSE)),"Código não cadastrado",(VLOOKUP(H:H,produtos_escape2!$A$2:$B$2794,2,FALSE))))</f>
        <v/>
      </c>
      <c r="M2679" s="593" t="str">
        <f>IF(H:H=0,"",IF(ISERROR(VLOOKUP(H:H,produtos_escape2!$A$2:$D$2794,2,FALSE)),"Código não cadastrado",(VLOOKUP(H:H,produtos_escape2!$A$2:$D$2794,4,FALSE))))</f>
        <v/>
      </c>
      <c r="N2679" s="486"/>
      <c r="O2679" s="176"/>
      <c r="P2679" s="486"/>
      <c r="Q2679" s="247"/>
      <c r="R2679" s="246">
        <f t="shared" si="99"/>
        <v>0</v>
      </c>
      <c r="S2679" s="177"/>
      <c r="T2679" s="182"/>
      <c r="U2679" s="177"/>
      <c r="V2679" s="177"/>
      <c r="W2679" s="177"/>
      <c r="X2679" s="176"/>
      <c r="Y2679" s="177"/>
      <c r="Z2679" s="415"/>
      <c r="AA2679" s="488"/>
      <c r="AB2679" s="594"/>
      <c r="AC2679" s="595"/>
      <c r="AD2679" s="596" t="str">
        <f>IF(AND(AC2679&lt;&gt;"",S2679&lt;&gt;""),NETWORKDAYS(AC2679,S2679,#REF!),"")</f>
        <v/>
      </c>
      <c r="AE2679" s="596" t="str">
        <f ca="1">IF(AND(AD2679="",AC2679=""),"",IF(OR(AD2679&lt;&gt;"",O2679="*CANCELADO"),"",NETWORKDAYS(AC2679,TODAY(),#REF!)))</f>
        <v/>
      </c>
      <c r="AF2679" s="619"/>
    </row>
    <row r="2680" spans="1:32" ht="14.25" customHeight="1">
      <c r="A2680" s="176"/>
      <c r="B2680" s="176"/>
      <c r="C2680" s="177"/>
      <c r="D2680" s="176"/>
      <c r="E2680" s="176"/>
      <c r="F2680" s="259"/>
      <c r="G2680" s="176"/>
      <c r="H2680" s="178"/>
      <c r="I2680" s="592">
        <f t="shared" si="100"/>
        <v>0</v>
      </c>
      <c r="J2680" s="178"/>
      <c r="K2680" s="178"/>
      <c r="L2680" s="275" t="str">
        <f>IF(H:H=0,"",IF(ISERROR(VLOOKUP(H:H,produtos_escape2!$A$2:$B$2794,2,FALSE)),"Código não cadastrado",(VLOOKUP(H:H,produtos_escape2!$A$2:$B$2794,2,FALSE))))</f>
        <v/>
      </c>
      <c r="M2680" s="593" t="str">
        <f>IF(H:H=0,"",IF(ISERROR(VLOOKUP(H:H,produtos_escape2!$A$2:$D$2794,2,FALSE)),"Código não cadastrado",(VLOOKUP(H:H,produtos_escape2!$A$2:$D$2794,4,FALSE))))</f>
        <v/>
      </c>
      <c r="N2680" s="486"/>
      <c r="O2680" s="176"/>
      <c r="P2680" s="486"/>
      <c r="Q2680" s="247"/>
      <c r="R2680" s="246">
        <f t="shared" si="99"/>
        <v>0</v>
      </c>
      <c r="S2680" s="177"/>
      <c r="T2680" s="182"/>
      <c r="U2680" s="177"/>
      <c r="V2680" s="177"/>
      <c r="W2680" s="177"/>
      <c r="X2680" s="176"/>
      <c r="Y2680" s="177"/>
      <c r="Z2680" s="415"/>
      <c r="AA2680" s="488"/>
      <c r="AB2680" s="594"/>
      <c r="AC2680" s="595"/>
      <c r="AD2680" s="596" t="str">
        <f>IF(AND(AC2680&lt;&gt;"",S2680&lt;&gt;""),NETWORKDAYS(AC2680,S2680,#REF!),"")</f>
        <v/>
      </c>
      <c r="AE2680" s="596" t="str">
        <f ca="1">IF(AND(AD2680="",AC2680=""),"",IF(OR(AD2680&lt;&gt;"",O2680="*CANCELADO"),"",NETWORKDAYS(AC2680,TODAY(),#REF!)))</f>
        <v/>
      </c>
      <c r="AF2680" s="619"/>
    </row>
    <row r="2681" spans="1:32" ht="14.25" customHeight="1">
      <c r="A2681" s="176"/>
      <c r="B2681" s="176"/>
      <c r="C2681" s="177"/>
      <c r="D2681" s="176"/>
      <c r="E2681" s="176"/>
      <c r="F2681" s="259"/>
      <c r="G2681" s="176"/>
      <c r="H2681" s="178"/>
      <c r="I2681" s="592">
        <f t="shared" si="100"/>
        <v>0</v>
      </c>
      <c r="J2681" s="178"/>
      <c r="K2681" s="178"/>
      <c r="L2681" s="275" t="str">
        <f>IF(H:H=0,"",IF(ISERROR(VLOOKUP(H:H,produtos_escape2!$A$2:$B$2794,2,FALSE)),"Código não cadastrado",(VLOOKUP(H:H,produtos_escape2!$A$2:$B$2794,2,FALSE))))</f>
        <v/>
      </c>
      <c r="M2681" s="593" t="str">
        <f>IF(H:H=0,"",IF(ISERROR(VLOOKUP(H:H,produtos_escape2!$A$2:$D$2794,2,FALSE)),"Código não cadastrado",(VLOOKUP(H:H,produtos_escape2!$A$2:$D$2794,4,FALSE))))</f>
        <v/>
      </c>
      <c r="N2681" s="486"/>
      <c r="O2681" s="176"/>
      <c r="P2681" s="486"/>
      <c r="Q2681" s="247"/>
      <c r="R2681" s="246">
        <f t="shared" si="99"/>
        <v>0</v>
      </c>
      <c r="S2681" s="177"/>
      <c r="T2681" s="182"/>
      <c r="U2681" s="177"/>
      <c r="V2681" s="177"/>
      <c r="W2681" s="177"/>
      <c r="X2681" s="176"/>
      <c r="Y2681" s="177"/>
      <c r="Z2681" s="415"/>
      <c r="AA2681" s="488"/>
      <c r="AB2681" s="594"/>
      <c r="AC2681" s="595"/>
      <c r="AD2681" s="596" t="str">
        <f>IF(AND(AC2681&lt;&gt;"",S2681&lt;&gt;""),NETWORKDAYS(AC2681,S2681,#REF!),"")</f>
        <v/>
      </c>
      <c r="AE2681" s="596" t="str">
        <f ca="1">IF(AND(AD2681="",AC2681=""),"",IF(OR(AD2681&lt;&gt;"",O2681="*CANCELADO"),"",NETWORKDAYS(AC2681,TODAY(),#REF!)))</f>
        <v/>
      </c>
      <c r="AF2681" s="619"/>
    </row>
    <row r="2682" spans="1:32" ht="14.25" customHeight="1">
      <c r="A2682" s="176"/>
      <c r="B2682" s="176"/>
      <c r="C2682" s="177"/>
      <c r="D2682" s="176"/>
      <c r="E2682" s="176"/>
      <c r="F2682" s="259"/>
      <c r="G2682" s="176"/>
      <c r="H2682" s="178"/>
      <c r="I2682" s="592">
        <f t="shared" si="100"/>
        <v>0</v>
      </c>
      <c r="J2682" s="178"/>
      <c r="K2682" s="178"/>
      <c r="L2682" s="275" t="str">
        <f>IF(H:H=0,"",IF(ISERROR(VLOOKUP(H:H,produtos_escape2!$A$2:$B$2794,2,FALSE)),"Código não cadastrado",(VLOOKUP(H:H,produtos_escape2!$A$2:$B$2794,2,FALSE))))</f>
        <v/>
      </c>
      <c r="M2682" s="593" t="str">
        <f>IF(H:H=0,"",IF(ISERROR(VLOOKUP(H:H,produtos_escape2!$A$2:$D$2794,2,FALSE)),"Código não cadastrado",(VLOOKUP(H:H,produtos_escape2!$A$2:$D$2794,4,FALSE))))</f>
        <v/>
      </c>
      <c r="N2682" s="486"/>
      <c r="O2682" s="176"/>
      <c r="P2682" s="486"/>
      <c r="Q2682" s="247"/>
      <c r="R2682" s="246">
        <f t="shared" si="99"/>
        <v>0</v>
      </c>
      <c r="S2682" s="177"/>
      <c r="T2682" s="182"/>
      <c r="U2682" s="177"/>
      <c r="V2682" s="177"/>
      <c r="W2682" s="177"/>
      <c r="X2682" s="176"/>
      <c r="Y2682" s="177"/>
      <c r="Z2682" s="415"/>
      <c r="AA2682" s="488"/>
      <c r="AB2682" s="594"/>
      <c r="AC2682" s="595"/>
      <c r="AD2682" s="596" t="str">
        <f>IF(AND(AC2682&lt;&gt;"",S2682&lt;&gt;""),NETWORKDAYS(AC2682,S2682,#REF!),"")</f>
        <v/>
      </c>
      <c r="AE2682" s="596" t="str">
        <f ca="1">IF(AND(AD2682="",AC2682=""),"",IF(OR(AD2682&lt;&gt;"",O2682="*CANCELADO"),"",NETWORKDAYS(AC2682,TODAY(),#REF!)))</f>
        <v/>
      </c>
      <c r="AF2682" s="619"/>
    </row>
    <row r="2683" spans="1:32" ht="14.25" customHeight="1">
      <c r="A2683" s="176"/>
      <c r="B2683" s="176"/>
      <c r="C2683" s="177"/>
      <c r="D2683" s="176"/>
      <c r="E2683" s="176"/>
      <c r="F2683" s="259"/>
      <c r="G2683" s="176"/>
      <c r="H2683" s="178"/>
      <c r="I2683" s="592">
        <f t="shared" si="100"/>
        <v>0</v>
      </c>
      <c r="J2683" s="178"/>
      <c r="K2683" s="178"/>
      <c r="L2683" s="275" t="str">
        <f>IF(H:H=0,"",IF(ISERROR(VLOOKUP(H:H,produtos_escape2!$A$2:$B$2794,2,FALSE)),"Código não cadastrado",(VLOOKUP(H:H,produtos_escape2!$A$2:$B$2794,2,FALSE))))</f>
        <v/>
      </c>
      <c r="M2683" s="593" t="str">
        <f>IF(H:H=0,"",IF(ISERROR(VLOOKUP(H:H,produtos_escape2!$A$2:$D$2794,2,FALSE)),"Código não cadastrado",(VLOOKUP(H:H,produtos_escape2!$A$2:$D$2794,4,FALSE))))</f>
        <v/>
      </c>
      <c r="N2683" s="486"/>
      <c r="O2683" s="176"/>
      <c r="P2683" s="486"/>
      <c r="Q2683" s="247"/>
      <c r="R2683" s="246">
        <f t="shared" si="99"/>
        <v>0</v>
      </c>
      <c r="S2683" s="177"/>
      <c r="T2683" s="182"/>
      <c r="U2683" s="177"/>
      <c r="V2683" s="177"/>
      <c r="W2683" s="177"/>
      <c r="X2683" s="176"/>
      <c r="Y2683" s="177"/>
      <c r="Z2683" s="415"/>
      <c r="AA2683" s="488"/>
      <c r="AB2683" s="594"/>
      <c r="AC2683" s="595"/>
      <c r="AD2683" s="596" t="str">
        <f>IF(AND(AC2683&lt;&gt;"",S2683&lt;&gt;""),NETWORKDAYS(AC2683,S2683,#REF!),"")</f>
        <v/>
      </c>
      <c r="AE2683" s="596" t="str">
        <f ca="1">IF(AND(AD2683="",AC2683=""),"",IF(OR(AD2683&lt;&gt;"",O2683="*CANCELADO"),"",NETWORKDAYS(AC2683,TODAY(),#REF!)))</f>
        <v/>
      </c>
      <c r="AF2683" s="619"/>
    </row>
    <row r="2684" spans="1:32" ht="14.25" customHeight="1">
      <c r="A2684" s="176"/>
      <c r="B2684" s="176"/>
      <c r="C2684" s="177"/>
      <c r="D2684" s="176"/>
      <c r="E2684" s="176"/>
      <c r="F2684" s="259"/>
      <c r="G2684" s="176"/>
      <c r="H2684" s="178"/>
      <c r="I2684" s="592">
        <f t="shared" si="100"/>
        <v>0</v>
      </c>
      <c r="J2684" s="178"/>
      <c r="K2684" s="178"/>
      <c r="L2684" s="275" t="str">
        <f>IF(H:H=0,"",IF(ISERROR(VLOOKUP(H:H,produtos_escape2!$A$2:$B$2794,2,FALSE)),"Código não cadastrado",(VLOOKUP(H:H,produtos_escape2!$A$2:$B$2794,2,FALSE))))</f>
        <v/>
      </c>
      <c r="M2684" s="593" t="str">
        <f>IF(H:H=0,"",IF(ISERROR(VLOOKUP(H:H,produtos_escape2!$A$2:$D$2794,2,FALSE)),"Código não cadastrado",(VLOOKUP(H:H,produtos_escape2!$A$2:$D$2794,4,FALSE))))</f>
        <v/>
      </c>
      <c r="N2684" s="486"/>
      <c r="O2684" s="176"/>
      <c r="P2684" s="486"/>
      <c r="Q2684" s="247"/>
      <c r="R2684" s="246">
        <f t="shared" si="99"/>
        <v>0</v>
      </c>
      <c r="S2684" s="177"/>
      <c r="T2684" s="182"/>
      <c r="U2684" s="177"/>
      <c r="V2684" s="177"/>
      <c r="W2684" s="177"/>
      <c r="X2684" s="176"/>
      <c r="Y2684" s="177"/>
      <c r="Z2684" s="415"/>
      <c r="AA2684" s="488"/>
      <c r="AB2684" s="594"/>
      <c r="AC2684" s="595"/>
      <c r="AD2684" s="596" t="str">
        <f>IF(AND(AC2684&lt;&gt;"",S2684&lt;&gt;""),NETWORKDAYS(AC2684,S2684,#REF!),"")</f>
        <v/>
      </c>
      <c r="AE2684" s="596" t="str">
        <f ca="1">IF(AND(AD2684="",AC2684=""),"",IF(OR(AD2684&lt;&gt;"",O2684="*CANCELADO"),"",NETWORKDAYS(AC2684,TODAY(),#REF!)))</f>
        <v/>
      </c>
      <c r="AF2684" s="619"/>
    </row>
    <row r="2685" spans="1:32" ht="14.25" customHeight="1">
      <c r="A2685" s="176"/>
      <c r="B2685" s="176"/>
      <c r="C2685" s="177"/>
      <c r="D2685" s="176"/>
      <c r="E2685" s="176"/>
      <c r="F2685" s="259"/>
      <c r="G2685" s="176"/>
      <c r="H2685" s="178"/>
      <c r="I2685" s="592">
        <f t="shared" si="100"/>
        <v>0</v>
      </c>
      <c r="J2685" s="178"/>
      <c r="K2685" s="178"/>
      <c r="L2685" s="275" t="str">
        <f>IF(H:H=0,"",IF(ISERROR(VLOOKUP(H:H,produtos_escape2!$A$2:$B$2794,2,FALSE)),"Código não cadastrado",(VLOOKUP(H:H,produtos_escape2!$A$2:$B$2794,2,FALSE))))</f>
        <v/>
      </c>
      <c r="M2685" s="593" t="str">
        <f>IF(H:H=0,"",IF(ISERROR(VLOOKUP(H:H,produtos_escape2!$A$2:$D$2794,2,FALSE)),"Código não cadastrado",(VLOOKUP(H:H,produtos_escape2!$A$2:$D$2794,4,FALSE))))</f>
        <v/>
      </c>
      <c r="N2685" s="486"/>
      <c r="O2685" s="176"/>
      <c r="P2685" s="486"/>
      <c r="Q2685" s="247"/>
      <c r="R2685" s="246">
        <f t="shared" si="99"/>
        <v>0</v>
      </c>
      <c r="S2685" s="177"/>
      <c r="T2685" s="182"/>
      <c r="U2685" s="177"/>
      <c r="V2685" s="177"/>
      <c r="W2685" s="177"/>
      <c r="X2685" s="176"/>
      <c r="Y2685" s="177"/>
      <c r="Z2685" s="415"/>
      <c r="AA2685" s="488"/>
      <c r="AB2685" s="594"/>
      <c r="AC2685" s="595"/>
      <c r="AD2685" s="596" t="str">
        <f>IF(AND(AC2685&lt;&gt;"",S2685&lt;&gt;""),NETWORKDAYS(AC2685,S2685,#REF!),"")</f>
        <v/>
      </c>
      <c r="AE2685" s="596" t="str">
        <f ca="1">IF(AND(AD2685="",AC2685=""),"",IF(OR(AD2685&lt;&gt;"",O2685="*CANCELADO"),"",NETWORKDAYS(AC2685,TODAY(),#REF!)))</f>
        <v/>
      </c>
      <c r="AF2685" s="619"/>
    </row>
    <row r="2686" spans="1:32" ht="14.25" customHeight="1">
      <c r="A2686" s="176"/>
      <c r="B2686" s="176"/>
      <c r="C2686" s="177"/>
      <c r="D2686" s="176"/>
      <c r="E2686" s="176"/>
      <c r="F2686" s="259"/>
      <c r="G2686" s="176"/>
      <c r="H2686" s="178"/>
      <c r="I2686" s="592">
        <f t="shared" si="100"/>
        <v>0</v>
      </c>
      <c r="J2686" s="178"/>
      <c r="K2686" s="178"/>
      <c r="L2686" s="275" t="str">
        <f>IF(H:H=0,"",IF(ISERROR(VLOOKUP(H:H,produtos_escape2!$A$2:$B$2794,2,FALSE)),"Código não cadastrado",(VLOOKUP(H:H,produtos_escape2!$A$2:$B$2794,2,FALSE))))</f>
        <v/>
      </c>
      <c r="M2686" s="593" t="str">
        <f>IF(H:H=0,"",IF(ISERROR(VLOOKUP(H:H,produtos_escape2!$A$2:$D$2794,2,FALSE)),"Código não cadastrado",(VLOOKUP(H:H,produtos_escape2!$A$2:$D$2794,4,FALSE))))</f>
        <v/>
      </c>
      <c r="N2686" s="486"/>
      <c r="O2686" s="176"/>
      <c r="P2686" s="486"/>
      <c r="Q2686" s="247"/>
      <c r="R2686" s="246">
        <f t="shared" si="99"/>
        <v>0</v>
      </c>
      <c r="S2686" s="177"/>
      <c r="T2686" s="182"/>
      <c r="U2686" s="177"/>
      <c r="V2686" s="177"/>
      <c r="W2686" s="177"/>
      <c r="X2686" s="176"/>
      <c r="Y2686" s="177"/>
      <c r="Z2686" s="415"/>
      <c r="AA2686" s="488"/>
      <c r="AB2686" s="594"/>
      <c r="AC2686" s="595"/>
      <c r="AD2686" s="596" t="str">
        <f>IF(AND(AC2686&lt;&gt;"",S2686&lt;&gt;""),NETWORKDAYS(AC2686,S2686,#REF!),"")</f>
        <v/>
      </c>
      <c r="AE2686" s="596" t="str">
        <f ca="1">IF(AND(AD2686="",AC2686=""),"",IF(OR(AD2686&lt;&gt;"",O2686="*CANCELADO"),"",NETWORKDAYS(AC2686,TODAY(),#REF!)))</f>
        <v/>
      </c>
      <c r="AF2686" s="619"/>
    </row>
    <row r="2687" spans="1:32" ht="14.25" customHeight="1">
      <c r="A2687" s="176"/>
      <c r="B2687" s="176"/>
      <c r="C2687" s="177"/>
      <c r="D2687" s="176"/>
      <c r="E2687" s="176"/>
      <c r="F2687" s="259"/>
      <c r="G2687" s="176"/>
      <c r="H2687" s="178"/>
      <c r="I2687" s="592">
        <f t="shared" si="100"/>
        <v>0</v>
      </c>
      <c r="J2687" s="178"/>
      <c r="K2687" s="178"/>
      <c r="L2687" s="275" t="str">
        <f>IF(H:H=0,"",IF(ISERROR(VLOOKUP(H:H,produtos_escape2!$A$2:$B$2794,2,FALSE)),"Código não cadastrado",(VLOOKUP(H:H,produtos_escape2!$A$2:$B$2794,2,FALSE))))</f>
        <v/>
      </c>
      <c r="M2687" s="593" t="str">
        <f>IF(H:H=0,"",IF(ISERROR(VLOOKUP(H:H,produtos_escape2!$A$2:$D$2794,2,FALSE)),"Código não cadastrado",(VLOOKUP(H:H,produtos_escape2!$A$2:$D$2794,4,FALSE))))</f>
        <v/>
      </c>
      <c r="N2687" s="486"/>
      <c r="O2687" s="176"/>
      <c r="P2687" s="486"/>
      <c r="Q2687" s="247"/>
      <c r="R2687" s="246">
        <f t="shared" si="99"/>
        <v>0</v>
      </c>
      <c r="S2687" s="177"/>
      <c r="T2687" s="182"/>
      <c r="U2687" s="177"/>
      <c r="V2687" s="177"/>
      <c r="W2687" s="177"/>
      <c r="X2687" s="176"/>
      <c r="Y2687" s="177"/>
      <c r="Z2687" s="415"/>
      <c r="AA2687" s="488"/>
      <c r="AB2687" s="594"/>
      <c r="AC2687" s="595"/>
      <c r="AD2687" s="596" t="str">
        <f>IF(AND(AC2687&lt;&gt;"",S2687&lt;&gt;""),NETWORKDAYS(AC2687,S2687,#REF!),"")</f>
        <v/>
      </c>
      <c r="AE2687" s="596" t="str">
        <f ca="1">IF(AND(AD2687="",AC2687=""),"",IF(OR(AD2687&lt;&gt;"",O2687="*CANCELADO"),"",NETWORKDAYS(AC2687,TODAY(),#REF!)))</f>
        <v/>
      </c>
      <c r="AF2687" s="619"/>
    </row>
    <row r="2688" spans="1:32" ht="14.25" customHeight="1">
      <c r="A2688" s="176"/>
      <c r="B2688" s="176"/>
      <c r="C2688" s="177"/>
      <c r="D2688" s="176"/>
      <c r="E2688" s="176"/>
      <c r="F2688" s="259"/>
      <c r="G2688" s="176"/>
      <c r="H2688" s="178"/>
      <c r="I2688" s="592">
        <f t="shared" si="100"/>
        <v>0</v>
      </c>
      <c r="J2688" s="178"/>
      <c r="K2688" s="178"/>
      <c r="L2688" s="275" t="str">
        <f>IF(H:H=0,"",IF(ISERROR(VLOOKUP(H:H,produtos_escape2!$A$2:$B$2794,2,FALSE)),"Código não cadastrado",(VLOOKUP(H:H,produtos_escape2!$A$2:$B$2794,2,FALSE))))</f>
        <v/>
      </c>
      <c r="M2688" s="593" t="str">
        <f>IF(H:H=0,"",IF(ISERROR(VLOOKUP(H:H,produtos_escape2!$A$2:$D$2794,2,FALSE)),"Código não cadastrado",(VLOOKUP(H:H,produtos_escape2!$A$2:$D$2794,4,FALSE))))</f>
        <v/>
      </c>
      <c r="N2688" s="486"/>
      <c r="O2688" s="176"/>
      <c r="P2688" s="486"/>
      <c r="Q2688" s="247"/>
      <c r="R2688" s="246">
        <f t="shared" si="99"/>
        <v>0</v>
      </c>
      <c r="S2688" s="177"/>
      <c r="T2688" s="182"/>
      <c r="U2688" s="177"/>
      <c r="V2688" s="177"/>
      <c r="W2688" s="177"/>
      <c r="X2688" s="176"/>
      <c r="Y2688" s="177"/>
      <c r="Z2688" s="415"/>
      <c r="AA2688" s="488"/>
      <c r="AB2688" s="594"/>
      <c r="AC2688" s="595"/>
      <c r="AD2688" s="596" t="str">
        <f>IF(AND(AC2688&lt;&gt;"",S2688&lt;&gt;""),NETWORKDAYS(AC2688,S2688,#REF!),"")</f>
        <v/>
      </c>
      <c r="AE2688" s="596" t="str">
        <f ca="1">IF(AND(AD2688="",AC2688=""),"",IF(OR(AD2688&lt;&gt;"",O2688="*CANCELADO"),"",NETWORKDAYS(AC2688,TODAY(),#REF!)))</f>
        <v/>
      </c>
      <c r="AF2688" s="619"/>
    </row>
    <row r="2689" spans="1:32" ht="14.25" customHeight="1">
      <c r="A2689" s="176"/>
      <c r="B2689" s="176"/>
      <c r="C2689" s="177"/>
      <c r="D2689" s="176"/>
      <c r="E2689" s="176"/>
      <c r="F2689" s="259"/>
      <c r="G2689" s="176"/>
      <c r="H2689" s="178"/>
      <c r="I2689" s="592">
        <f t="shared" si="100"/>
        <v>0</v>
      </c>
      <c r="J2689" s="178"/>
      <c r="K2689" s="178"/>
      <c r="L2689" s="275" t="str">
        <f>IF(H:H=0,"",IF(ISERROR(VLOOKUP(H:H,produtos_escape2!$A$2:$B$2794,2,FALSE)),"Código não cadastrado",(VLOOKUP(H:H,produtos_escape2!$A$2:$B$2794,2,FALSE))))</f>
        <v/>
      </c>
      <c r="M2689" s="593" t="str">
        <f>IF(H:H=0,"",IF(ISERROR(VLOOKUP(H:H,produtos_escape2!$A$2:$D$2794,2,FALSE)),"Código não cadastrado",(VLOOKUP(H:H,produtos_escape2!$A$2:$D$2794,4,FALSE))))</f>
        <v/>
      </c>
      <c r="N2689" s="486"/>
      <c r="O2689" s="176"/>
      <c r="P2689" s="486"/>
      <c r="Q2689" s="247"/>
      <c r="R2689" s="246">
        <f t="shared" si="99"/>
        <v>0</v>
      </c>
      <c r="S2689" s="177"/>
      <c r="T2689" s="182"/>
      <c r="U2689" s="177"/>
      <c r="V2689" s="177"/>
      <c r="W2689" s="177"/>
      <c r="X2689" s="176"/>
      <c r="Y2689" s="177"/>
      <c r="Z2689" s="415"/>
      <c r="AA2689" s="488"/>
      <c r="AB2689" s="594"/>
      <c r="AC2689" s="595"/>
      <c r="AD2689" s="596" t="str">
        <f>IF(AND(AC2689&lt;&gt;"",S2689&lt;&gt;""),NETWORKDAYS(AC2689,S2689,#REF!),"")</f>
        <v/>
      </c>
      <c r="AE2689" s="596" t="str">
        <f ca="1">IF(AND(AD2689="",AC2689=""),"",IF(OR(AD2689&lt;&gt;"",O2689="*CANCELADO"),"",NETWORKDAYS(AC2689,TODAY(),#REF!)))</f>
        <v/>
      </c>
      <c r="AF2689" s="619"/>
    </row>
    <row r="2690" spans="1:32" ht="14.25" customHeight="1">
      <c r="A2690" s="176"/>
      <c r="B2690" s="176"/>
      <c r="C2690" s="177"/>
      <c r="D2690" s="176"/>
      <c r="E2690" s="176"/>
      <c r="F2690" s="259"/>
      <c r="G2690" s="176"/>
      <c r="H2690" s="178"/>
      <c r="I2690" s="592">
        <f t="shared" si="100"/>
        <v>0</v>
      </c>
      <c r="J2690" s="178"/>
      <c r="K2690" s="178"/>
      <c r="L2690" s="275" t="str">
        <f>IF(H:H=0,"",IF(ISERROR(VLOOKUP(H:H,produtos_escape2!$A$2:$B$2794,2,FALSE)),"Código não cadastrado",(VLOOKUP(H:H,produtos_escape2!$A$2:$B$2794,2,FALSE))))</f>
        <v/>
      </c>
      <c r="M2690" s="593" t="str">
        <f>IF(H:H=0,"",IF(ISERROR(VLOOKUP(H:H,produtos_escape2!$A$2:$D$2794,2,FALSE)),"Código não cadastrado",(VLOOKUP(H:H,produtos_escape2!$A$2:$D$2794,4,FALSE))))</f>
        <v/>
      </c>
      <c r="N2690" s="486"/>
      <c r="O2690" s="176"/>
      <c r="P2690" s="486"/>
      <c r="Q2690" s="247"/>
      <c r="R2690" s="246">
        <f t="shared" si="99"/>
        <v>0</v>
      </c>
      <c r="S2690" s="177"/>
      <c r="T2690" s="182"/>
      <c r="U2690" s="177"/>
      <c r="V2690" s="177"/>
      <c r="W2690" s="177"/>
      <c r="X2690" s="176"/>
      <c r="Y2690" s="177"/>
      <c r="Z2690" s="415"/>
      <c r="AA2690" s="488"/>
      <c r="AB2690" s="594"/>
      <c r="AC2690" s="595"/>
      <c r="AD2690" s="596" t="str">
        <f>IF(AND(AC2690&lt;&gt;"",S2690&lt;&gt;""),NETWORKDAYS(AC2690,S2690,#REF!),"")</f>
        <v/>
      </c>
      <c r="AE2690" s="596" t="str">
        <f ca="1">IF(AND(AD2690="",AC2690=""),"",IF(OR(AD2690&lt;&gt;"",O2690="*CANCELADO"),"",NETWORKDAYS(AC2690,TODAY(),#REF!)))</f>
        <v/>
      </c>
      <c r="AF2690" s="619"/>
    </row>
    <row r="2691" spans="1:32" ht="14.25" customHeight="1">
      <c r="A2691" s="176"/>
      <c r="B2691" s="176"/>
      <c r="C2691" s="177"/>
      <c r="D2691" s="176"/>
      <c r="E2691" s="176"/>
      <c r="F2691" s="259"/>
      <c r="G2691" s="176"/>
      <c r="H2691" s="178"/>
      <c r="I2691" s="592">
        <f t="shared" si="100"/>
        <v>0</v>
      </c>
      <c r="J2691" s="178"/>
      <c r="K2691" s="178"/>
      <c r="L2691" s="275" t="str">
        <f>IF(H:H=0,"",IF(ISERROR(VLOOKUP(H:H,produtos_escape2!$A$2:$B$2794,2,FALSE)),"Código não cadastrado",(VLOOKUP(H:H,produtos_escape2!$A$2:$B$2794,2,FALSE))))</f>
        <v/>
      </c>
      <c r="M2691" s="593" t="str">
        <f>IF(H:H=0,"",IF(ISERROR(VLOOKUP(H:H,produtos_escape2!$A$2:$D$2794,2,FALSE)),"Código não cadastrado",(VLOOKUP(H:H,produtos_escape2!$A$2:$D$2794,4,FALSE))))</f>
        <v/>
      </c>
      <c r="N2691" s="486"/>
      <c r="O2691" s="176"/>
      <c r="P2691" s="486"/>
      <c r="Q2691" s="247"/>
      <c r="R2691" s="246">
        <f t="shared" si="99"/>
        <v>0</v>
      </c>
      <c r="S2691" s="177"/>
      <c r="T2691" s="182"/>
      <c r="U2691" s="177"/>
      <c r="V2691" s="177"/>
      <c r="W2691" s="177"/>
      <c r="X2691" s="176"/>
      <c r="Y2691" s="177"/>
      <c r="Z2691" s="415"/>
      <c r="AA2691" s="488"/>
      <c r="AB2691" s="594"/>
      <c r="AC2691" s="595"/>
      <c r="AD2691" s="596" t="str">
        <f>IF(AND(AC2691&lt;&gt;"",S2691&lt;&gt;""),NETWORKDAYS(AC2691,S2691,#REF!),"")</f>
        <v/>
      </c>
      <c r="AE2691" s="596" t="str">
        <f ca="1">IF(AND(AD2691="",AC2691=""),"",IF(OR(AD2691&lt;&gt;"",O2691="*CANCELADO"),"",NETWORKDAYS(AC2691,TODAY(),#REF!)))</f>
        <v/>
      </c>
      <c r="AF2691" s="619"/>
    </row>
    <row r="2692" spans="1:32" ht="14.25" customHeight="1">
      <c r="A2692" s="176"/>
      <c r="B2692" s="176"/>
      <c r="C2692" s="177"/>
      <c r="D2692" s="176"/>
      <c r="E2692" s="176"/>
      <c r="F2692" s="259"/>
      <c r="G2692" s="176"/>
      <c r="H2692" s="178"/>
      <c r="I2692" s="592">
        <f t="shared" si="100"/>
        <v>0</v>
      </c>
      <c r="J2692" s="178"/>
      <c r="K2692" s="178"/>
      <c r="L2692" s="275" t="str">
        <f>IF(H:H=0,"",IF(ISERROR(VLOOKUP(H:H,produtos_escape2!$A$2:$B$2794,2,FALSE)),"Código não cadastrado",(VLOOKUP(H:H,produtos_escape2!$A$2:$B$2794,2,FALSE))))</f>
        <v/>
      </c>
      <c r="M2692" s="593" t="str">
        <f>IF(H:H=0,"",IF(ISERROR(VLOOKUP(H:H,produtos_escape2!$A$2:$D$2794,2,FALSE)),"Código não cadastrado",(VLOOKUP(H:H,produtos_escape2!$A$2:$D$2794,4,FALSE))))</f>
        <v/>
      </c>
      <c r="N2692" s="486"/>
      <c r="O2692" s="176"/>
      <c r="P2692" s="486"/>
      <c r="Q2692" s="247"/>
      <c r="R2692" s="246">
        <f t="shared" si="99"/>
        <v>0</v>
      </c>
      <c r="S2692" s="177"/>
      <c r="T2692" s="182"/>
      <c r="U2692" s="177"/>
      <c r="V2692" s="177"/>
      <c r="W2692" s="177"/>
      <c r="X2692" s="176"/>
      <c r="Y2692" s="177"/>
      <c r="Z2692" s="415"/>
      <c r="AA2692" s="488"/>
      <c r="AB2692" s="594"/>
      <c r="AC2692" s="595"/>
      <c r="AD2692" s="596" t="str">
        <f>IF(AND(AC2692&lt;&gt;"",S2692&lt;&gt;""),NETWORKDAYS(AC2692,S2692,#REF!),"")</f>
        <v/>
      </c>
      <c r="AE2692" s="596" t="str">
        <f ca="1">IF(AND(AD2692="",AC2692=""),"",IF(OR(AD2692&lt;&gt;"",O2692="*CANCELADO"),"",NETWORKDAYS(AC2692,TODAY(),#REF!)))</f>
        <v/>
      </c>
      <c r="AF2692" s="619"/>
    </row>
    <row r="2693" spans="1:32" ht="14.25" customHeight="1">
      <c r="A2693" s="176"/>
      <c r="B2693" s="176"/>
      <c r="C2693" s="177"/>
      <c r="D2693" s="176"/>
      <c r="E2693" s="176"/>
      <c r="F2693" s="259"/>
      <c r="G2693" s="176"/>
      <c r="H2693" s="178"/>
      <c r="I2693" s="592">
        <f t="shared" si="100"/>
        <v>0</v>
      </c>
      <c r="J2693" s="178"/>
      <c r="K2693" s="178"/>
      <c r="L2693" s="275" t="str">
        <f>IF(H:H=0,"",IF(ISERROR(VLOOKUP(H:H,produtos_escape2!$A$2:$B$2794,2,FALSE)),"Código não cadastrado",(VLOOKUP(H:H,produtos_escape2!$A$2:$B$2794,2,FALSE))))</f>
        <v/>
      </c>
      <c r="M2693" s="593" t="str">
        <f>IF(H:H=0,"",IF(ISERROR(VLOOKUP(H:H,produtos_escape2!$A$2:$D$2794,2,FALSE)),"Código não cadastrado",(VLOOKUP(H:H,produtos_escape2!$A$2:$D$2794,4,FALSE))))</f>
        <v/>
      </c>
      <c r="N2693" s="486"/>
      <c r="O2693" s="176"/>
      <c r="P2693" s="486"/>
      <c r="Q2693" s="247"/>
      <c r="R2693" s="246">
        <f t="shared" si="99"/>
        <v>0</v>
      </c>
      <c r="S2693" s="177"/>
      <c r="T2693" s="182"/>
      <c r="U2693" s="177"/>
      <c r="V2693" s="177"/>
      <c r="W2693" s="177"/>
      <c r="X2693" s="176"/>
      <c r="Y2693" s="177"/>
      <c r="Z2693" s="415"/>
      <c r="AA2693" s="488"/>
      <c r="AB2693" s="594"/>
      <c r="AC2693" s="595"/>
      <c r="AD2693" s="596" t="str">
        <f>IF(AND(AC2693&lt;&gt;"",S2693&lt;&gt;""),NETWORKDAYS(AC2693,S2693,#REF!),"")</f>
        <v/>
      </c>
      <c r="AE2693" s="596" t="str">
        <f ca="1">IF(AND(AD2693="",AC2693=""),"",IF(OR(AD2693&lt;&gt;"",O2693="*CANCELADO"),"",NETWORKDAYS(AC2693,TODAY(),#REF!)))</f>
        <v/>
      </c>
      <c r="AF2693" s="619"/>
    </row>
    <row r="2694" spans="1:32" ht="14.25" customHeight="1">
      <c r="A2694" s="176"/>
      <c r="B2694" s="176"/>
      <c r="C2694" s="177"/>
      <c r="D2694" s="176"/>
      <c r="E2694" s="176"/>
      <c r="F2694" s="259"/>
      <c r="G2694" s="176"/>
      <c r="H2694" s="178"/>
      <c r="I2694" s="592">
        <f t="shared" si="100"/>
        <v>0</v>
      </c>
      <c r="J2694" s="178"/>
      <c r="K2694" s="178"/>
      <c r="L2694" s="275" t="str">
        <f>IF(H:H=0,"",IF(ISERROR(VLOOKUP(H:H,produtos_escape2!$A$2:$B$2794,2,FALSE)),"Código não cadastrado",(VLOOKUP(H:H,produtos_escape2!$A$2:$B$2794,2,FALSE))))</f>
        <v/>
      </c>
      <c r="M2694" s="593" t="str">
        <f>IF(H:H=0,"",IF(ISERROR(VLOOKUP(H:H,produtos_escape2!$A$2:$D$2794,2,FALSE)),"Código não cadastrado",(VLOOKUP(H:H,produtos_escape2!$A$2:$D$2794,4,FALSE))))</f>
        <v/>
      </c>
      <c r="N2694" s="486"/>
      <c r="O2694" s="176"/>
      <c r="P2694" s="486"/>
      <c r="Q2694" s="247"/>
      <c r="R2694" s="246">
        <f t="shared" si="99"/>
        <v>0</v>
      </c>
      <c r="S2694" s="177"/>
      <c r="T2694" s="182"/>
      <c r="U2694" s="177"/>
      <c r="V2694" s="177"/>
      <c r="W2694" s="177"/>
      <c r="X2694" s="176"/>
      <c r="Y2694" s="177"/>
      <c r="Z2694" s="415"/>
      <c r="AA2694" s="488"/>
      <c r="AB2694" s="594"/>
      <c r="AC2694" s="595"/>
      <c r="AD2694" s="596" t="str">
        <f>IF(AND(AC2694&lt;&gt;"",S2694&lt;&gt;""),NETWORKDAYS(AC2694,S2694,#REF!),"")</f>
        <v/>
      </c>
      <c r="AE2694" s="596" t="str">
        <f ca="1">IF(AND(AD2694="",AC2694=""),"",IF(OR(AD2694&lt;&gt;"",O2694="*CANCELADO"),"",NETWORKDAYS(AC2694,TODAY(),#REF!)))</f>
        <v/>
      </c>
      <c r="AF2694" s="619"/>
    </row>
    <row r="2695" spans="1:32" ht="14.25" customHeight="1">
      <c r="A2695" s="176"/>
      <c r="B2695" s="176"/>
      <c r="C2695" s="177"/>
      <c r="D2695" s="176"/>
      <c r="E2695" s="176"/>
      <c r="F2695" s="259"/>
      <c r="G2695" s="176"/>
      <c r="H2695" s="178"/>
      <c r="I2695" s="592">
        <f t="shared" si="100"/>
        <v>0</v>
      </c>
      <c r="J2695" s="178"/>
      <c r="K2695" s="178"/>
      <c r="L2695" s="275" t="str">
        <f>IF(H:H=0,"",IF(ISERROR(VLOOKUP(H:H,produtos_escape2!$A$2:$B$2794,2,FALSE)),"Código não cadastrado",(VLOOKUP(H:H,produtos_escape2!$A$2:$B$2794,2,FALSE))))</f>
        <v/>
      </c>
      <c r="M2695" s="593" t="str">
        <f>IF(H:H=0,"",IF(ISERROR(VLOOKUP(H:H,produtos_escape2!$A$2:$D$2794,2,FALSE)),"Código não cadastrado",(VLOOKUP(H:H,produtos_escape2!$A$2:$D$2794,4,FALSE))))</f>
        <v/>
      </c>
      <c r="N2695" s="486"/>
      <c r="O2695" s="176"/>
      <c r="P2695" s="486"/>
      <c r="Q2695" s="247"/>
      <c r="R2695" s="246">
        <f t="shared" si="99"/>
        <v>0</v>
      </c>
      <c r="S2695" s="177"/>
      <c r="T2695" s="182"/>
      <c r="U2695" s="177"/>
      <c r="V2695" s="177"/>
      <c r="W2695" s="177"/>
      <c r="X2695" s="176"/>
      <c r="Y2695" s="177"/>
      <c r="Z2695" s="415"/>
      <c r="AA2695" s="488"/>
      <c r="AB2695" s="594"/>
      <c r="AC2695" s="595"/>
      <c r="AD2695" s="596" t="str">
        <f>IF(AND(AC2695&lt;&gt;"",S2695&lt;&gt;""),NETWORKDAYS(AC2695,S2695,#REF!),"")</f>
        <v/>
      </c>
      <c r="AE2695" s="596" t="str">
        <f ca="1">IF(AND(AD2695="",AC2695=""),"",IF(OR(AD2695&lt;&gt;"",O2695="*CANCELADO"),"",NETWORKDAYS(AC2695,TODAY(),#REF!)))</f>
        <v/>
      </c>
      <c r="AF2695" s="619"/>
    </row>
    <row r="2696" spans="1:32" ht="14.25" customHeight="1">
      <c r="A2696" s="176"/>
      <c r="B2696" s="176"/>
      <c r="C2696" s="177"/>
      <c r="D2696" s="176"/>
      <c r="E2696" s="176"/>
      <c r="F2696" s="259"/>
      <c r="G2696" s="176"/>
      <c r="H2696" s="178"/>
      <c r="I2696" s="592">
        <f t="shared" si="100"/>
        <v>0</v>
      </c>
      <c r="J2696" s="178"/>
      <c r="K2696" s="178"/>
      <c r="L2696" s="275" t="str">
        <f>IF(H:H=0,"",IF(ISERROR(VLOOKUP(H:H,produtos_escape2!$A$2:$B$2794,2,FALSE)),"Código não cadastrado",(VLOOKUP(H:H,produtos_escape2!$A$2:$B$2794,2,FALSE))))</f>
        <v/>
      </c>
      <c r="M2696" s="593" t="str">
        <f>IF(H:H=0,"",IF(ISERROR(VLOOKUP(H:H,produtos_escape2!$A$2:$D$2794,2,FALSE)),"Código não cadastrado",(VLOOKUP(H:H,produtos_escape2!$A$2:$D$2794,4,FALSE))))</f>
        <v/>
      </c>
      <c r="N2696" s="486"/>
      <c r="O2696" s="176"/>
      <c r="P2696" s="486"/>
      <c r="Q2696" s="247"/>
      <c r="R2696" s="246">
        <f t="shared" si="99"/>
        <v>0</v>
      </c>
      <c r="S2696" s="177"/>
      <c r="T2696" s="182"/>
      <c r="U2696" s="177"/>
      <c r="V2696" s="177"/>
      <c r="W2696" s="177"/>
      <c r="X2696" s="176"/>
      <c r="Y2696" s="177"/>
      <c r="Z2696" s="415"/>
      <c r="AA2696" s="488"/>
      <c r="AB2696" s="594"/>
      <c r="AC2696" s="595"/>
      <c r="AD2696" s="596" t="str">
        <f>IF(AND(AC2696&lt;&gt;"",S2696&lt;&gt;""),NETWORKDAYS(AC2696,S2696,#REF!),"")</f>
        <v/>
      </c>
      <c r="AE2696" s="596" t="str">
        <f ca="1">IF(AND(AD2696="",AC2696=""),"",IF(OR(AD2696&lt;&gt;"",O2696="*CANCELADO"),"",NETWORKDAYS(AC2696,TODAY(),#REF!)))</f>
        <v/>
      </c>
      <c r="AF2696" s="619"/>
    </row>
    <row r="2697" spans="1:32" ht="14.25" customHeight="1">
      <c r="A2697" s="176"/>
      <c r="B2697" s="176"/>
      <c r="C2697" s="177"/>
      <c r="D2697" s="176"/>
      <c r="E2697" s="176"/>
      <c r="F2697" s="259"/>
      <c r="G2697" s="176"/>
      <c r="H2697" s="178"/>
      <c r="I2697" s="592">
        <f t="shared" si="100"/>
        <v>0</v>
      </c>
      <c r="J2697" s="178"/>
      <c r="K2697" s="178"/>
      <c r="L2697" s="275" t="str">
        <f>IF(H:H=0,"",IF(ISERROR(VLOOKUP(H:H,produtos_escape2!$A$2:$B$2794,2,FALSE)),"Código não cadastrado",(VLOOKUP(H:H,produtos_escape2!$A$2:$B$2794,2,FALSE))))</f>
        <v/>
      </c>
      <c r="M2697" s="593" t="str">
        <f>IF(H:H=0,"",IF(ISERROR(VLOOKUP(H:H,produtos_escape2!$A$2:$D$2794,2,FALSE)),"Código não cadastrado",(VLOOKUP(H:H,produtos_escape2!$A$2:$D$2794,4,FALSE))))</f>
        <v/>
      </c>
      <c r="N2697" s="486"/>
      <c r="O2697" s="176"/>
      <c r="P2697" s="486"/>
      <c r="Q2697" s="247"/>
      <c r="R2697" s="246">
        <f t="shared" si="99"/>
        <v>0</v>
      </c>
      <c r="S2697" s="177"/>
      <c r="T2697" s="182"/>
      <c r="U2697" s="177"/>
      <c r="V2697" s="177"/>
      <c r="W2697" s="177"/>
      <c r="X2697" s="176"/>
      <c r="Y2697" s="177"/>
      <c r="Z2697" s="415"/>
      <c r="AA2697" s="488"/>
      <c r="AB2697" s="594"/>
      <c r="AC2697" s="595"/>
      <c r="AD2697" s="596" t="str">
        <f>IF(AND(AC2697&lt;&gt;"",S2697&lt;&gt;""),NETWORKDAYS(AC2697,S2697,#REF!),"")</f>
        <v/>
      </c>
      <c r="AE2697" s="596" t="str">
        <f ca="1">IF(AND(AD2697="",AC2697=""),"",IF(OR(AD2697&lt;&gt;"",O2697="*CANCELADO"),"",NETWORKDAYS(AC2697,TODAY(),#REF!)))</f>
        <v/>
      </c>
      <c r="AF2697" s="619"/>
    </row>
    <row r="2698" spans="1:32" ht="14.25" customHeight="1">
      <c r="A2698" s="176"/>
      <c r="B2698" s="176"/>
      <c r="C2698" s="177"/>
      <c r="D2698" s="176"/>
      <c r="E2698" s="176"/>
      <c r="F2698" s="259"/>
      <c r="G2698" s="176"/>
      <c r="H2698" s="178"/>
      <c r="I2698" s="592">
        <f t="shared" si="100"/>
        <v>0</v>
      </c>
      <c r="J2698" s="178"/>
      <c r="K2698" s="178"/>
      <c r="L2698" s="275" t="str">
        <f>IF(H:H=0,"",IF(ISERROR(VLOOKUP(H:H,produtos_escape2!$A$2:$B$2794,2,FALSE)),"Código não cadastrado",(VLOOKUP(H:H,produtos_escape2!$A$2:$B$2794,2,FALSE))))</f>
        <v/>
      </c>
      <c r="M2698" s="593" t="str">
        <f>IF(H:H=0,"",IF(ISERROR(VLOOKUP(H:H,produtos_escape2!$A$2:$D$2794,2,FALSE)),"Código não cadastrado",(VLOOKUP(H:H,produtos_escape2!$A$2:$D$2794,4,FALSE))))</f>
        <v/>
      </c>
      <c r="N2698" s="486"/>
      <c r="O2698" s="176"/>
      <c r="P2698" s="486"/>
      <c r="Q2698" s="247"/>
      <c r="R2698" s="246">
        <f t="shared" si="99"/>
        <v>0</v>
      </c>
      <c r="S2698" s="177"/>
      <c r="T2698" s="182"/>
      <c r="U2698" s="177"/>
      <c r="V2698" s="177"/>
      <c r="W2698" s="177"/>
      <c r="X2698" s="176"/>
      <c r="Y2698" s="177"/>
      <c r="Z2698" s="415"/>
      <c r="AA2698" s="488"/>
      <c r="AB2698" s="594"/>
      <c r="AC2698" s="595"/>
      <c r="AD2698" s="596" t="str">
        <f>IF(AND(AC2698&lt;&gt;"",S2698&lt;&gt;""),NETWORKDAYS(AC2698,S2698,#REF!),"")</f>
        <v/>
      </c>
      <c r="AE2698" s="596" t="str">
        <f ca="1">IF(AND(AD2698="",AC2698=""),"",IF(OR(AD2698&lt;&gt;"",O2698="*CANCELADO"),"",NETWORKDAYS(AC2698,TODAY(),#REF!)))</f>
        <v/>
      </c>
      <c r="AF2698" s="619"/>
    </row>
    <row r="2699" spans="1:32" ht="14.25" customHeight="1">
      <c r="A2699" s="176"/>
      <c r="B2699" s="176"/>
      <c r="C2699" s="177"/>
      <c r="D2699" s="176"/>
      <c r="E2699" s="176"/>
      <c r="F2699" s="259"/>
      <c r="G2699" s="176"/>
      <c r="H2699" s="178"/>
      <c r="I2699" s="592">
        <f t="shared" si="100"/>
        <v>0</v>
      </c>
      <c r="J2699" s="178"/>
      <c r="K2699" s="178"/>
      <c r="L2699" s="275" t="str">
        <f>IF(H:H=0,"",IF(ISERROR(VLOOKUP(H:H,produtos_escape2!$A$2:$B$2794,2,FALSE)),"Código não cadastrado",(VLOOKUP(H:H,produtos_escape2!$A$2:$B$2794,2,FALSE))))</f>
        <v/>
      </c>
      <c r="M2699" s="593" t="str">
        <f>IF(H:H=0,"",IF(ISERROR(VLOOKUP(H:H,produtos_escape2!$A$2:$D$2794,2,FALSE)),"Código não cadastrado",(VLOOKUP(H:H,produtos_escape2!$A$2:$D$2794,4,FALSE))))</f>
        <v/>
      </c>
      <c r="N2699" s="486"/>
      <c r="O2699" s="176"/>
      <c r="P2699" s="486"/>
      <c r="Q2699" s="247"/>
      <c r="R2699" s="246">
        <f t="shared" si="99"/>
        <v>0</v>
      </c>
      <c r="S2699" s="177"/>
      <c r="T2699" s="182"/>
      <c r="U2699" s="177"/>
      <c r="V2699" s="177"/>
      <c r="W2699" s="177"/>
      <c r="X2699" s="176"/>
      <c r="Y2699" s="177"/>
      <c r="Z2699" s="415"/>
      <c r="AA2699" s="488"/>
      <c r="AB2699" s="594"/>
      <c r="AC2699" s="595"/>
      <c r="AD2699" s="596" t="str">
        <f>IF(AND(AC2699&lt;&gt;"",S2699&lt;&gt;""),NETWORKDAYS(AC2699,S2699,#REF!),"")</f>
        <v/>
      </c>
      <c r="AE2699" s="596" t="str">
        <f ca="1">IF(AND(AD2699="",AC2699=""),"",IF(OR(AD2699&lt;&gt;"",O2699="*CANCELADO"),"",NETWORKDAYS(AC2699,TODAY(),#REF!)))</f>
        <v/>
      </c>
      <c r="AF2699" s="619"/>
    </row>
    <row r="2700" spans="1:32" ht="14.25" customHeight="1">
      <c r="A2700" s="176"/>
      <c r="B2700" s="176"/>
      <c r="C2700" s="177"/>
      <c r="D2700" s="176"/>
      <c r="E2700" s="176"/>
      <c r="F2700" s="259"/>
      <c r="G2700" s="176"/>
      <c r="H2700" s="178"/>
      <c r="I2700" s="592">
        <f t="shared" si="100"/>
        <v>0</v>
      </c>
      <c r="J2700" s="178"/>
      <c r="K2700" s="178"/>
      <c r="L2700" s="275" t="str">
        <f>IF(H:H=0,"",IF(ISERROR(VLOOKUP(H:H,produtos_escape2!$A$2:$B$2794,2,FALSE)),"Código não cadastrado",(VLOOKUP(H:H,produtos_escape2!$A$2:$B$2794,2,FALSE))))</f>
        <v/>
      </c>
      <c r="M2700" s="593" t="str">
        <f>IF(H:H=0,"",IF(ISERROR(VLOOKUP(H:H,produtos_escape2!$A$2:$D$2794,2,FALSE)),"Código não cadastrado",(VLOOKUP(H:H,produtos_escape2!$A$2:$D$2794,4,FALSE))))</f>
        <v/>
      </c>
      <c r="N2700" s="486"/>
      <c r="O2700" s="176"/>
      <c r="P2700" s="486"/>
      <c r="Q2700" s="247"/>
      <c r="R2700" s="246">
        <f t="shared" si="99"/>
        <v>0</v>
      </c>
      <c r="S2700" s="177"/>
      <c r="T2700" s="182"/>
      <c r="U2700" s="177"/>
      <c r="V2700" s="177"/>
      <c r="W2700" s="177"/>
      <c r="X2700" s="176"/>
      <c r="Y2700" s="177"/>
      <c r="Z2700" s="415"/>
      <c r="AA2700" s="488"/>
      <c r="AB2700" s="594"/>
      <c r="AC2700" s="595"/>
      <c r="AD2700" s="596" t="str">
        <f>IF(AND(AC2700&lt;&gt;"",S2700&lt;&gt;""),NETWORKDAYS(AC2700,S2700,#REF!),"")</f>
        <v/>
      </c>
      <c r="AE2700" s="596" t="str">
        <f ca="1">IF(AND(AD2700="",AC2700=""),"",IF(OR(AD2700&lt;&gt;"",O2700="*CANCELADO"),"",NETWORKDAYS(AC2700,TODAY(),#REF!)))</f>
        <v/>
      </c>
      <c r="AF2700" s="619"/>
    </row>
    <row r="2701" spans="1:32" ht="14.25" customHeight="1">
      <c r="A2701" s="176"/>
      <c r="B2701" s="176"/>
      <c r="C2701" s="177"/>
      <c r="D2701" s="176"/>
      <c r="E2701" s="176"/>
      <c r="F2701" s="259"/>
      <c r="G2701" s="176"/>
      <c r="H2701" s="178"/>
      <c r="I2701" s="592">
        <f t="shared" si="100"/>
        <v>0</v>
      </c>
      <c r="J2701" s="178"/>
      <c r="K2701" s="178"/>
      <c r="L2701" s="275" t="str">
        <f>IF(H:H=0,"",IF(ISERROR(VLOOKUP(H:H,produtos_escape2!$A$2:$B$2794,2,FALSE)),"Código não cadastrado",(VLOOKUP(H:H,produtos_escape2!$A$2:$B$2794,2,FALSE))))</f>
        <v/>
      </c>
      <c r="M2701" s="593" t="str">
        <f>IF(H:H=0,"",IF(ISERROR(VLOOKUP(H:H,produtos_escape2!$A$2:$D$2794,2,FALSE)),"Código não cadastrado",(VLOOKUP(H:H,produtos_escape2!$A$2:$D$2794,4,FALSE))))</f>
        <v/>
      </c>
      <c r="N2701" s="486"/>
      <c r="O2701" s="176"/>
      <c r="P2701" s="486"/>
      <c r="Q2701" s="247"/>
      <c r="R2701" s="246">
        <f t="shared" si="99"/>
        <v>0</v>
      </c>
      <c r="S2701" s="177"/>
      <c r="T2701" s="182"/>
      <c r="U2701" s="177"/>
      <c r="V2701" s="177"/>
      <c r="W2701" s="177"/>
      <c r="X2701" s="176"/>
      <c r="Y2701" s="177"/>
      <c r="Z2701" s="415"/>
      <c r="AA2701" s="488"/>
      <c r="AB2701" s="594"/>
      <c r="AC2701" s="595"/>
      <c r="AD2701" s="596" t="str">
        <f>IF(AND(AC2701&lt;&gt;"",S2701&lt;&gt;""),NETWORKDAYS(AC2701,S2701,#REF!),"")</f>
        <v/>
      </c>
      <c r="AE2701" s="596" t="str">
        <f ca="1">IF(AND(AD2701="",AC2701=""),"",IF(OR(AD2701&lt;&gt;"",O2701="*CANCELADO"),"",NETWORKDAYS(AC2701,TODAY(),#REF!)))</f>
        <v/>
      </c>
      <c r="AF2701" s="619"/>
    </row>
    <row r="2702" spans="1:32" ht="14.25" customHeight="1">
      <c r="A2702" s="176"/>
      <c r="B2702" s="176"/>
      <c r="C2702" s="177"/>
      <c r="D2702" s="176"/>
      <c r="E2702" s="176"/>
      <c r="F2702" s="259"/>
      <c r="G2702" s="176"/>
      <c r="H2702" s="178"/>
      <c r="I2702" s="592">
        <f t="shared" si="100"/>
        <v>0</v>
      </c>
      <c r="J2702" s="178"/>
      <c r="K2702" s="178"/>
      <c r="L2702" s="275" t="str">
        <f>IF(H:H=0,"",IF(ISERROR(VLOOKUP(H:H,produtos_escape2!$A$2:$B$2794,2,FALSE)),"Código não cadastrado",(VLOOKUP(H:H,produtos_escape2!$A$2:$B$2794,2,FALSE))))</f>
        <v/>
      </c>
      <c r="M2702" s="593" t="str">
        <f>IF(H:H=0,"",IF(ISERROR(VLOOKUP(H:H,produtos_escape2!$A$2:$D$2794,2,FALSE)),"Código não cadastrado",(VLOOKUP(H:H,produtos_escape2!$A$2:$D$2794,4,FALSE))))</f>
        <v/>
      </c>
      <c r="N2702" s="486"/>
      <c r="O2702" s="176"/>
      <c r="P2702" s="486"/>
      <c r="Q2702" s="247"/>
      <c r="R2702" s="246">
        <f t="shared" si="99"/>
        <v>0</v>
      </c>
      <c r="S2702" s="177"/>
      <c r="T2702" s="182"/>
      <c r="U2702" s="177"/>
      <c r="V2702" s="177"/>
      <c r="W2702" s="177"/>
      <c r="X2702" s="176"/>
      <c r="Y2702" s="177"/>
      <c r="Z2702" s="415"/>
      <c r="AA2702" s="488"/>
      <c r="AB2702" s="594"/>
      <c r="AC2702" s="595"/>
      <c r="AD2702" s="596" t="str">
        <f>IF(AND(AC2702&lt;&gt;"",S2702&lt;&gt;""),NETWORKDAYS(AC2702,S2702,#REF!),"")</f>
        <v/>
      </c>
      <c r="AE2702" s="596" t="str">
        <f ca="1">IF(AND(AD2702="",AC2702=""),"",IF(OR(AD2702&lt;&gt;"",O2702="*CANCELADO"),"",NETWORKDAYS(AC2702,TODAY(),#REF!)))</f>
        <v/>
      </c>
      <c r="AF2702" s="619"/>
    </row>
    <row r="2703" spans="1:32" ht="14.25" customHeight="1">
      <c r="A2703" s="176"/>
      <c r="B2703" s="176"/>
      <c r="C2703" s="177"/>
      <c r="D2703" s="176"/>
      <c r="E2703" s="176"/>
      <c r="F2703" s="259"/>
      <c r="G2703" s="176"/>
      <c r="H2703" s="178"/>
      <c r="I2703" s="592">
        <f t="shared" si="100"/>
        <v>0</v>
      </c>
      <c r="J2703" s="178"/>
      <c r="K2703" s="178"/>
      <c r="L2703" s="275" t="str">
        <f>IF(H:H=0,"",IF(ISERROR(VLOOKUP(H:H,produtos_escape2!$A$2:$B$2794,2,FALSE)),"Código não cadastrado",(VLOOKUP(H:H,produtos_escape2!$A$2:$B$2794,2,FALSE))))</f>
        <v/>
      </c>
      <c r="M2703" s="593" t="str">
        <f>IF(H:H=0,"",IF(ISERROR(VLOOKUP(H:H,produtos_escape2!$A$2:$D$2794,2,FALSE)),"Código não cadastrado",(VLOOKUP(H:H,produtos_escape2!$A$2:$D$2794,4,FALSE))))</f>
        <v/>
      </c>
      <c r="N2703" s="486"/>
      <c r="O2703" s="176"/>
      <c r="P2703" s="486"/>
      <c r="Q2703" s="247"/>
      <c r="R2703" s="246">
        <f t="shared" si="99"/>
        <v>0</v>
      </c>
      <c r="S2703" s="177"/>
      <c r="T2703" s="182"/>
      <c r="U2703" s="177"/>
      <c r="V2703" s="177"/>
      <c r="W2703" s="177"/>
      <c r="X2703" s="176"/>
      <c r="Y2703" s="177"/>
      <c r="Z2703" s="415"/>
      <c r="AA2703" s="488"/>
      <c r="AB2703" s="594"/>
      <c r="AC2703" s="595"/>
      <c r="AD2703" s="596" t="str">
        <f>IF(AND(AC2703&lt;&gt;"",S2703&lt;&gt;""),NETWORKDAYS(AC2703,S2703,#REF!),"")</f>
        <v/>
      </c>
      <c r="AE2703" s="596" t="str">
        <f ca="1">IF(AND(AD2703="",AC2703=""),"",IF(OR(AD2703&lt;&gt;"",O2703="*CANCELADO"),"",NETWORKDAYS(AC2703,TODAY(),#REF!)))</f>
        <v/>
      </c>
      <c r="AF2703" s="619"/>
    </row>
    <row r="2704" spans="1:32" ht="14.25" customHeight="1">
      <c r="A2704" s="176"/>
      <c r="B2704" s="176"/>
      <c r="C2704" s="177"/>
      <c r="D2704" s="176"/>
      <c r="E2704" s="176"/>
      <c r="F2704" s="259"/>
      <c r="G2704" s="176"/>
      <c r="H2704" s="178"/>
      <c r="I2704" s="592">
        <f t="shared" si="100"/>
        <v>0</v>
      </c>
      <c r="J2704" s="178"/>
      <c r="K2704" s="178"/>
      <c r="L2704" s="275" t="str">
        <f>IF(H:H=0,"",IF(ISERROR(VLOOKUP(H:H,produtos_escape2!$A$2:$B$2794,2,FALSE)),"Código não cadastrado",(VLOOKUP(H:H,produtos_escape2!$A$2:$B$2794,2,FALSE))))</f>
        <v/>
      </c>
      <c r="M2704" s="593" t="str">
        <f>IF(H:H=0,"",IF(ISERROR(VLOOKUP(H:H,produtos_escape2!$A$2:$D$2794,2,FALSE)),"Código não cadastrado",(VLOOKUP(H:H,produtos_escape2!$A$2:$D$2794,4,FALSE))))</f>
        <v/>
      </c>
      <c r="N2704" s="486"/>
      <c r="O2704" s="176"/>
      <c r="P2704" s="486"/>
      <c r="Q2704" s="247"/>
      <c r="R2704" s="246">
        <f t="shared" si="99"/>
        <v>0</v>
      </c>
      <c r="S2704" s="177"/>
      <c r="T2704" s="182"/>
      <c r="U2704" s="177"/>
      <c r="V2704" s="177"/>
      <c r="W2704" s="177"/>
      <c r="X2704" s="176"/>
      <c r="Y2704" s="177"/>
      <c r="Z2704" s="415"/>
      <c r="AA2704" s="488"/>
      <c r="AB2704" s="594"/>
      <c r="AC2704" s="595"/>
      <c r="AD2704" s="596" t="str">
        <f>IF(AND(AC2704&lt;&gt;"",S2704&lt;&gt;""),NETWORKDAYS(AC2704,S2704,#REF!),"")</f>
        <v/>
      </c>
      <c r="AE2704" s="596" t="str">
        <f ca="1">IF(AND(AD2704="",AC2704=""),"",IF(OR(AD2704&lt;&gt;"",O2704="*CANCELADO"),"",NETWORKDAYS(AC2704,TODAY(),#REF!)))</f>
        <v/>
      </c>
      <c r="AF2704" s="619"/>
    </row>
    <row r="2705" spans="1:32" ht="14.25" customHeight="1">
      <c r="A2705" s="176"/>
      <c r="B2705" s="176"/>
      <c r="C2705" s="177"/>
      <c r="D2705" s="176"/>
      <c r="E2705" s="176"/>
      <c r="F2705" s="259"/>
      <c r="G2705" s="176"/>
      <c r="H2705" s="178"/>
      <c r="I2705" s="592">
        <f t="shared" si="100"/>
        <v>0</v>
      </c>
      <c r="J2705" s="178"/>
      <c r="K2705" s="178"/>
      <c r="L2705" s="275" t="str">
        <f>IF(H:H=0,"",IF(ISERROR(VLOOKUP(H:H,produtos_escape2!$A$2:$B$2794,2,FALSE)),"Código não cadastrado",(VLOOKUP(H:H,produtos_escape2!$A$2:$B$2794,2,FALSE))))</f>
        <v/>
      </c>
      <c r="M2705" s="593" t="str">
        <f>IF(H:H=0,"",IF(ISERROR(VLOOKUP(H:H,produtos_escape2!$A$2:$D$2794,2,FALSE)),"Código não cadastrado",(VLOOKUP(H:H,produtos_escape2!$A$2:$D$2794,4,FALSE))))</f>
        <v/>
      </c>
      <c r="N2705" s="486"/>
      <c r="O2705" s="176"/>
      <c r="P2705" s="486"/>
      <c r="Q2705" s="247"/>
      <c r="R2705" s="246">
        <f t="shared" si="99"/>
        <v>0</v>
      </c>
      <c r="S2705" s="177"/>
      <c r="T2705" s="182"/>
      <c r="U2705" s="177"/>
      <c r="V2705" s="177"/>
      <c r="W2705" s="177"/>
      <c r="X2705" s="176"/>
      <c r="Y2705" s="177"/>
      <c r="Z2705" s="415"/>
      <c r="AA2705" s="488"/>
      <c r="AB2705" s="594"/>
      <c r="AC2705" s="595"/>
      <c r="AD2705" s="596" t="str">
        <f>IF(AND(AC2705&lt;&gt;"",S2705&lt;&gt;""),NETWORKDAYS(AC2705,S2705,#REF!),"")</f>
        <v/>
      </c>
      <c r="AE2705" s="596" t="str">
        <f ca="1">IF(AND(AD2705="",AC2705=""),"",IF(OR(AD2705&lt;&gt;"",O2705="*CANCELADO"),"",NETWORKDAYS(AC2705,TODAY(),#REF!)))</f>
        <v/>
      </c>
      <c r="AF2705" s="619"/>
    </row>
    <row r="2706" spans="1:32" ht="14.25" customHeight="1">
      <c r="A2706" s="176"/>
      <c r="B2706" s="176"/>
      <c r="C2706" s="177"/>
      <c r="D2706" s="176"/>
      <c r="E2706" s="176"/>
      <c r="F2706" s="259"/>
      <c r="G2706" s="176"/>
      <c r="H2706" s="178"/>
      <c r="I2706" s="592">
        <f t="shared" si="100"/>
        <v>0</v>
      </c>
      <c r="J2706" s="178"/>
      <c r="K2706" s="178"/>
      <c r="L2706" s="275" t="str">
        <f>IF(H:H=0,"",IF(ISERROR(VLOOKUP(H:H,produtos_escape2!$A$2:$B$2794,2,FALSE)),"Código não cadastrado",(VLOOKUP(H:H,produtos_escape2!$A$2:$B$2794,2,FALSE))))</f>
        <v/>
      </c>
      <c r="M2706" s="593" t="str">
        <f>IF(H:H=0,"",IF(ISERROR(VLOOKUP(H:H,produtos_escape2!$A$2:$D$2794,2,FALSE)),"Código não cadastrado",(VLOOKUP(H:H,produtos_escape2!$A$2:$D$2794,4,FALSE))))</f>
        <v/>
      </c>
      <c r="N2706" s="486"/>
      <c r="O2706" s="176"/>
      <c r="P2706" s="486"/>
      <c r="Q2706" s="247"/>
      <c r="R2706" s="246">
        <f t="shared" si="99"/>
        <v>0</v>
      </c>
      <c r="S2706" s="177"/>
      <c r="T2706" s="182"/>
      <c r="U2706" s="177"/>
      <c r="V2706" s="177"/>
      <c r="W2706" s="177"/>
      <c r="X2706" s="176"/>
      <c r="Y2706" s="177"/>
      <c r="Z2706" s="415"/>
      <c r="AA2706" s="488"/>
      <c r="AB2706" s="594"/>
      <c r="AC2706" s="595"/>
      <c r="AD2706" s="596" t="str">
        <f>IF(AND(AC2706&lt;&gt;"",S2706&lt;&gt;""),NETWORKDAYS(AC2706,S2706,#REF!),"")</f>
        <v/>
      </c>
      <c r="AE2706" s="596" t="str">
        <f ca="1">IF(AND(AD2706="",AC2706=""),"",IF(OR(AD2706&lt;&gt;"",O2706="*CANCELADO"),"",NETWORKDAYS(AC2706,TODAY(),#REF!)))</f>
        <v/>
      </c>
      <c r="AF2706" s="619"/>
    </row>
    <row r="2707" spans="1:32" ht="14.25" customHeight="1">
      <c r="A2707" s="176"/>
      <c r="B2707" s="176"/>
      <c r="C2707" s="177"/>
      <c r="D2707" s="176"/>
      <c r="E2707" s="176"/>
      <c r="F2707" s="259"/>
      <c r="G2707" s="176"/>
      <c r="H2707" s="178"/>
      <c r="I2707" s="592">
        <f t="shared" si="100"/>
        <v>0</v>
      </c>
      <c r="J2707" s="178"/>
      <c r="K2707" s="178"/>
      <c r="L2707" s="275" t="str">
        <f>IF(H:H=0,"",IF(ISERROR(VLOOKUP(H:H,produtos_escape2!$A$2:$B$2794,2,FALSE)),"Código não cadastrado",(VLOOKUP(H:H,produtos_escape2!$A$2:$B$2794,2,FALSE))))</f>
        <v/>
      </c>
      <c r="M2707" s="593" t="str">
        <f>IF(H:H=0,"",IF(ISERROR(VLOOKUP(H:H,produtos_escape2!$A$2:$D$2794,2,FALSE)),"Código não cadastrado",(VLOOKUP(H:H,produtos_escape2!$A$2:$D$2794,4,FALSE))))</f>
        <v/>
      </c>
      <c r="N2707" s="486"/>
      <c r="O2707" s="176"/>
      <c r="P2707" s="486"/>
      <c r="Q2707" s="247"/>
      <c r="R2707" s="246">
        <f t="shared" si="99"/>
        <v>0</v>
      </c>
      <c r="S2707" s="177"/>
      <c r="T2707" s="182"/>
      <c r="U2707" s="177"/>
      <c r="V2707" s="177"/>
      <c r="W2707" s="177"/>
      <c r="X2707" s="176"/>
      <c r="Y2707" s="177"/>
      <c r="Z2707" s="415"/>
      <c r="AA2707" s="488"/>
      <c r="AB2707" s="594"/>
      <c r="AC2707" s="595"/>
      <c r="AD2707" s="596" t="str">
        <f>IF(AND(AC2707&lt;&gt;"",S2707&lt;&gt;""),NETWORKDAYS(AC2707,S2707,#REF!),"")</f>
        <v/>
      </c>
      <c r="AE2707" s="596" t="str">
        <f ca="1">IF(AND(AD2707="",AC2707=""),"",IF(OR(AD2707&lt;&gt;"",O2707="*CANCELADO"),"",NETWORKDAYS(AC2707,TODAY(),#REF!)))</f>
        <v/>
      </c>
      <c r="AF2707" s="619"/>
    </row>
    <row r="2708" spans="1:32" ht="14.25" customHeight="1">
      <c r="A2708" s="176"/>
      <c r="B2708" s="176"/>
      <c r="C2708" s="177"/>
      <c r="D2708" s="176"/>
      <c r="E2708" s="176"/>
      <c r="F2708" s="259"/>
      <c r="G2708" s="176"/>
      <c r="H2708" s="178"/>
      <c r="I2708" s="592">
        <f t="shared" si="100"/>
        <v>0</v>
      </c>
      <c r="J2708" s="178"/>
      <c r="K2708" s="178"/>
      <c r="L2708" s="275" t="str">
        <f>IF(H:H=0,"",IF(ISERROR(VLOOKUP(H:H,produtos_escape2!$A$2:$B$2794,2,FALSE)),"Código não cadastrado",(VLOOKUP(H:H,produtos_escape2!$A$2:$B$2794,2,FALSE))))</f>
        <v/>
      </c>
      <c r="M2708" s="593" t="str">
        <f>IF(H:H=0,"",IF(ISERROR(VLOOKUP(H:H,produtos_escape2!$A$2:$D$2794,2,FALSE)),"Código não cadastrado",(VLOOKUP(H:H,produtos_escape2!$A$2:$D$2794,4,FALSE))))</f>
        <v/>
      </c>
      <c r="N2708" s="486"/>
      <c r="O2708" s="176"/>
      <c r="P2708" s="486"/>
      <c r="Q2708" s="247"/>
      <c r="R2708" s="246">
        <f t="shared" si="99"/>
        <v>0</v>
      </c>
      <c r="S2708" s="177"/>
      <c r="T2708" s="182"/>
      <c r="U2708" s="177"/>
      <c r="V2708" s="177"/>
      <c r="W2708" s="177"/>
      <c r="X2708" s="176"/>
      <c r="Y2708" s="177"/>
      <c r="Z2708" s="415"/>
      <c r="AA2708" s="488"/>
      <c r="AB2708" s="594"/>
      <c r="AC2708" s="595"/>
      <c r="AD2708" s="596" t="str">
        <f>IF(AND(AC2708&lt;&gt;"",S2708&lt;&gt;""),NETWORKDAYS(AC2708,S2708,#REF!),"")</f>
        <v/>
      </c>
      <c r="AE2708" s="596" t="str">
        <f ca="1">IF(AND(AD2708="",AC2708=""),"",IF(OR(AD2708&lt;&gt;"",O2708="*CANCELADO"),"",NETWORKDAYS(AC2708,TODAY(),#REF!)))</f>
        <v/>
      </c>
      <c r="AF2708" s="619"/>
    </row>
    <row r="2709" spans="1:32" ht="14.25" customHeight="1">
      <c r="A2709" s="176"/>
      <c r="B2709" s="176"/>
      <c r="C2709" s="177"/>
      <c r="D2709" s="176"/>
      <c r="E2709" s="176"/>
      <c r="F2709" s="259"/>
      <c r="G2709" s="176"/>
      <c r="H2709" s="178"/>
      <c r="I2709" s="592">
        <f t="shared" si="100"/>
        <v>0</v>
      </c>
      <c r="J2709" s="178"/>
      <c r="K2709" s="178"/>
      <c r="L2709" s="275" t="str">
        <f>IF(H:H=0,"",IF(ISERROR(VLOOKUP(H:H,produtos_escape2!$A$2:$B$2794,2,FALSE)),"Código não cadastrado",(VLOOKUP(H:H,produtos_escape2!$A$2:$B$2794,2,FALSE))))</f>
        <v/>
      </c>
      <c r="M2709" s="593" t="str">
        <f>IF(H:H=0,"",IF(ISERROR(VLOOKUP(H:H,produtos_escape2!$A$2:$D$2794,2,FALSE)),"Código não cadastrado",(VLOOKUP(H:H,produtos_escape2!$A$2:$D$2794,4,FALSE))))</f>
        <v/>
      </c>
      <c r="N2709" s="486"/>
      <c r="O2709" s="176"/>
      <c r="P2709" s="486"/>
      <c r="Q2709" s="247"/>
      <c r="R2709" s="246">
        <f t="shared" si="99"/>
        <v>0</v>
      </c>
      <c r="S2709" s="177"/>
      <c r="T2709" s="182"/>
      <c r="U2709" s="177"/>
      <c r="V2709" s="177"/>
      <c r="W2709" s="177"/>
      <c r="X2709" s="176"/>
      <c r="Y2709" s="177"/>
      <c r="Z2709" s="415"/>
      <c r="AA2709" s="488"/>
      <c r="AB2709" s="594"/>
      <c r="AC2709" s="595"/>
      <c r="AD2709" s="596" t="str">
        <f>IF(AND(AC2709&lt;&gt;"",S2709&lt;&gt;""),NETWORKDAYS(AC2709,S2709,#REF!),"")</f>
        <v/>
      </c>
      <c r="AE2709" s="596" t="str">
        <f ca="1">IF(AND(AD2709="",AC2709=""),"",IF(OR(AD2709&lt;&gt;"",O2709="*CANCELADO"),"",NETWORKDAYS(AC2709,TODAY(),#REF!)))</f>
        <v/>
      </c>
      <c r="AF2709" s="619"/>
    </row>
    <row r="2710" spans="1:32" ht="14.25" customHeight="1">
      <c r="A2710" s="176"/>
      <c r="B2710" s="176"/>
      <c r="C2710" s="177"/>
      <c r="D2710" s="176"/>
      <c r="E2710" s="176"/>
      <c r="F2710" s="259"/>
      <c r="G2710" s="176"/>
      <c r="H2710" s="178"/>
      <c r="I2710" s="592">
        <f t="shared" si="100"/>
        <v>0</v>
      </c>
      <c r="J2710" s="178"/>
      <c r="K2710" s="178"/>
      <c r="L2710" s="275" t="str">
        <f>IF(H:H=0,"",IF(ISERROR(VLOOKUP(H:H,produtos_escape2!$A$2:$B$2794,2,FALSE)),"Código não cadastrado",(VLOOKUP(H:H,produtos_escape2!$A$2:$B$2794,2,FALSE))))</f>
        <v/>
      </c>
      <c r="M2710" s="593" t="str">
        <f>IF(H:H=0,"",IF(ISERROR(VLOOKUP(H:H,produtos_escape2!$A$2:$D$2794,2,FALSE)),"Código não cadastrado",(VLOOKUP(H:H,produtos_escape2!$A$2:$D$2794,4,FALSE))))</f>
        <v/>
      </c>
      <c r="N2710" s="486"/>
      <c r="O2710" s="176"/>
      <c r="P2710" s="486"/>
      <c r="Q2710" s="247"/>
      <c r="R2710" s="246">
        <f t="shared" si="99"/>
        <v>0</v>
      </c>
      <c r="S2710" s="177"/>
      <c r="T2710" s="182"/>
      <c r="U2710" s="177"/>
      <c r="V2710" s="177"/>
      <c r="W2710" s="177"/>
      <c r="X2710" s="176"/>
      <c r="Y2710" s="177"/>
      <c r="Z2710" s="415"/>
      <c r="AA2710" s="488"/>
      <c r="AB2710" s="594"/>
      <c r="AC2710" s="595"/>
      <c r="AD2710" s="596" t="str">
        <f>IF(AND(AC2710&lt;&gt;"",S2710&lt;&gt;""),NETWORKDAYS(AC2710,S2710,#REF!),"")</f>
        <v/>
      </c>
      <c r="AE2710" s="596" t="str">
        <f ca="1">IF(AND(AD2710="",AC2710=""),"",IF(OR(AD2710&lt;&gt;"",O2710="*CANCELADO"),"",NETWORKDAYS(AC2710,TODAY(),#REF!)))</f>
        <v/>
      </c>
      <c r="AF2710" s="619"/>
    </row>
    <row r="2711" spans="1:32" ht="14.25" customHeight="1">
      <c r="A2711" s="176"/>
      <c r="B2711" s="176"/>
      <c r="C2711" s="177"/>
      <c r="D2711" s="176"/>
      <c r="E2711" s="176"/>
      <c r="F2711" s="259"/>
      <c r="G2711" s="176"/>
      <c r="H2711" s="178"/>
      <c r="I2711" s="592">
        <f t="shared" si="100"/>
        <v>0</v>
      </c>
      <c r="J2711" s="178"/>
      <c r="K2711" s="178"/>
      <c r="L2711" s="275" t="str">
        <f>IF(H:H=0,"",IF(ISERROR(VLOOKUP(H:H,produtos_escape2!$A$2:$B$2794,2,FALSE)),"Código não cadastrado",(VLOOKUP(H:H,produtos_escape2!$A$2:$B$2794,2,FALSE))))</f>
        <v/>
      </c>
      <c r="M2711" s="593" t="str">
        <f>IF(H:H=0,"",IF(ISERROR(VLOOKUP(H:H,produtos_escape2!$A$2:$D$2794,2,FALSE)),"Código não cadastrado",(VLOOKUP(H:H,produtos_escape2!$A$2:$D$2794,4,FALSE))))</f>
        <v/>
      </c>
      <c r="N2711" s="486"/>
      <c r="O2711" s="176"/>
      <c r="P2711" s="486"/>
      <c r="Q2711" s="247"/>
      <c r="R2711" s="246">
        <f t="shared" si="99"/>
        <v>0</v>
      </c>
      <c r="S2711" s="177"/>
      <c r="T2711" s="182"/>
      <c r="U2711" s="177"/>
      <c r="V2711" s="177"/>
      <c r="W2711" s="177"/>
      <c r="X2711" s="176"/>
      <c r="Y2711" s="177"/>
      <c r="Z2711" s="415"/>
      <c r="AA2711" s="488"/>
      <c r="AB2711" s="594"/>
      <c r="AC2711" s="595"/>
      <c r="AD2711" s="596" t="str">
        <f>IF(AND(AC2711&lt;&gt;"",S2711&lt;&gt;""),NETWORKDAYS(AC2711,S2711,#REF!),"")</f>
        <v/>
      </c>
      <c r="AE2711" s="596" t="str">
        <f ca="1">IF(AND(AD2711="",AC2711=""),"",IF(OR(AD2711&lt;&gt;"",O2711="*CANCELADO"),"",NETWORKDAYS(AC2711,TODAY(),#REF!)))</f>
        <v/>
      </c>
      <c r="AF2711" s="619"/>
    </row>
    <row r="2712" spans="1:32" ht="14.25" customHeight="1">
      <c r="A2712" s="176"/>
      <c r="B2712" s="176"/>
      <c r="C2712" s="177"/>
      <c r="D2712" s="176"/>
      <c r="E2712" s="176"/>
      <c r="F2712" s="259"/>
      <c r="G2712" s="176"/>
      <c r="H2712" s="178"/>
      <c r="I2712" s="592">
        <f t="shared" si="100"/>
        <v>0</v>
      </c>
      <c r="J2712" s="178"/>
      <c r="K2712" s="178"/>
      <c r="L2712" s="275" t="str">
        <f>IF(H:H=0,"",IF(ISERROR(VLOOKUP(H:H,produtos_escape2!$A$2:$B$2794,2,FALSE)),"Código não cadastrado",(VLOOKUP(H:H,produtos_escape2!$A$2:$B$2794,2,FALSE))))</f>
        <v/>
      </c>
      <c r="M2712" s="593" t="str">
        <f>IF(H:H=0,"",IF(ISERROR(VLOOKUP(H:H,produtos_escape2!$A$2:$D$2794,2,FALSE)),"Código não cadastrado",(VLOOKUP(H:H,produtos_escape2!$A$2:$D$2794,4,FALSE))))</f>
        <v/>
      </c>
      <c r="N2712" s="486"/>
      <c r="O2712" s="176"/>
      <c r="P2712" s="486"/>
      <c r="Q2712" s="247"/>
      <c r="R2712" s="246">
        <f t="shared" si="99"/>
        <v>0</v>
      </c>
      <c r="S2712" s="177"/>
      <c r="T2712" s="182"/>
      <c r="U2712" s="177"/>
      <c r="V2712" s="177"/>
      <c r="W2712" s="177"/>
      <c r="X2712" s="176"/>
      <c r="Y2712" s="177"/>
      <c r="Z2712" s="415"/>
      <c r="AA2712" s="488"/>
      <c r="AB2712" s="594"/>
      <c r="AC2712" s="595"/>
      <c r="AD2712" s="596" t="str">
        <f>IF(AND(AC2712&lt;&gt;"",S2712&lt;&gt;""),NETWORKDAYS(AC2712,S2712,#REF!),"")</f>
        <v/>
      </c>
      <c r="AE2712" s="596" t="str">
        <f ca="1">IF(AND(AD2712="",AC2712=""),"",IF(OR(AD2712&lt;&gt;"",O2712="*CANCELADO"),"",NETWORKDAYS(AC2712,TODAY(),#REF!)))</f>
        <v/>
      </c>
      <c r="AF2712" s="619"/>
    </row>
    <row r="2713" spans="1:32" ht="14.25" customHeight="1">
      <c r="A2713" s="176"/>
      <c r="B2713" s="176"/>
      <c r="C2713" s="177"/>
      <c r="D2713" s="176"/>
      <c r="E2713" s="176"/>
      <c r="F2713" s="259"/>
      <c r="G2713" s="176"/>
      <c r="H2713" s="178"/>
      <c r="I2713" s="592">
        <f t="shared" si="100"/>
        <v>0</v>
      </c>
      <c r="J2713" s="178"/>
      <c r="K2713" s="178"/>
      <c r="L2713" s="275" t="str">
        <f>IF(H:H=0,"",IF(ISERROR(VLOOKUP(H:H,produtos_escape2!$A$2:$B$2794,2,FALSE)),"Código não cadastrado",(VLOOKUP(H:H,produtos_escape2!$A$2:$B$2794,2,FALSE))))</f>
        <v/>
      </c>
      <c r="M2713" s="593" t="str">
        <f>IF(H:H=0,"",IF(ISERROR(VLOOKUP(H:H,produtos_escape2!$A$2:$D$2794,2,FALSE)),"Código não cadastrado",(VLOOKUP(H:H,produtos_escape2!$A$2:$D$2794,4,FALSE))))</f>
        <v/>
      </c>
      <c r="N2713" s="486"/>
      <c r="O2713" s="176"/>
      <c r="P2713" s="486"/>
      <c r="Q2713" s="247"/>
      <c r="R2713" s="246">
        <f t="shared" si="99"/>
        <v>0</v>
      </c>
      <c r="S2713" s="177"/>
      <c r="T2713" s="182"/>
      <c r="U2713" s="177"/>
      <c r="V2713" s="177"/>
      <c r="W2713" s="177"/>
      <c r="X2713" s="176"/>
      <c r="Y2713" s="177"/>
      <c r="Z2713" s="415"/>
      <c r="AA2713" s="488"/>
      <c r="AB2713" s="594"/>
      <c r="AC2713" s="595"/>
      <c r="AD2713" s="596" t="str">
        <f>IF(AND(AC2713&lt;&gt;"",S2713&lt;&gt;""),NETWORKDAYS(AC2713,S2713,#REF!),"")</f>
        <v/>
      </c>
      <c r="AE2713" s="596" t="str">
        <f ca="1">IF(AND(AD2713="",AC2713=""),"",IF(OR(AD2713&lt;&gt;"",O2713="*CANCELADO"),"",NETWORKDAYS(AC2713,TODAY(),#REF!)))</f>
        <v/>
      </c>
      <c r="AF2713" s="619"/>
    </row>
    <row r="2714" spans="1:32" ht="14.25" customHeight="1">
      <c r="A2714" s="176"/>
      <c r="B2714" s="176"/>
      <c r="C2714" s="177"/>
      <c r="D2714" s="176"/>
      <c r="E2714" s="176"/>
      <c r="F2714" s="259"/>
      <c r="G2714" s="176"/>
      <c r="H2714" s="178"/>
      <c r="I2714" s="592">
        <f t="shared" si="100"/>
        <v>0</v>
      </c>
      <c r="J2714" s="178"/>
      <c r="K2714" s="178"/>
      <c r="L2714" s="275" t="str">
        <f>IF(H:H=0,"",IF(ISERROR(VLOOKUP(H:H,produtos_escape2!$A$2:$B$2794,2,FALSE)),"Código não cadastrado",(VLOOKUP(H:H,produtos_escape2!$A$2:$B$2794,2,FALSE))))</f>
        <v/>
      </c>
      <c r="M2714" s="593" t="str">
        <f>IF(H:H=0,"",IF(ISERROR(VLOOKUP(H:H,produtos_escape2!$A$2:$D$2794,2,FALSE)),"Código não cadastrado",(VLOOKUP(H:H,produtos_escape2!$A$2:$D$2794,4,FALSE))))</f>
        <v/>
      </c>
      <c r="N2714" s="486"/>
      <c r="O2714" s="176"/>
      <c r="P2714" s="486"/>
      <c r="Q2714" s="247"/>
      <c r="R2714" s="246">
        <f t="shared" si="99"/>
        <v>0</v>
      </c>
      <c r="S2714" s="177"/>
      <c r="T2714" s="182"/>
      <c r="U2714" s="177"/>
      <c r="V2714" s="177"/>
      <c r="W2714" s="177"/>
      <c r="X2714" s="176"/>
      <c r="Y2714" s="177"/>
      <c r="Z2714" s="415"/>
      <c r="AA2714" s="488"/>
      <c r="AB2714" s="594"/>
      <c r="AC2714" s="595"/>
      <c r="AD2714" s="596" t="str">
        <f>IF(AND(AC2714&lt;&gt;"",S2714&lt;&gt;""),NETWORKDAYS(AC2714,S2714,#REF!),"")</f>
        <v/>
      </c>
      <c r="AE2714" s="596" t="str">
        <f ca="1">IF(AND(AD2714="",AC2714=""),"",IF(OR(AD2714&lt;&gt;"",O2714="*CANCELADO"),"",NETWORKDAYS(AC2714,TODAY(),#REF!)))</f>
        <v/>
      </c>
      <c r="AF2714" s="619"/>
    </row>
    <row r="2715" spans="1:32" ht="14.25" customHeight="1">
      <c r="A2715" s="176"/>
      <c r="B2715" s="176"/>
      <c r="C2715" s="177"/>
      <c r="D2715" s="176"/>
      <c r="E2715" s="176"/>
      <c r="F2715" s="259"/>
      <c r="G2715" s="176"/>
      <c r="H2715" s="178"/>
      <c r="I2715" s="592">
        <f t="shared" si="100"/>
        <v>0</v>
      </c>
      <c r="J2715" s="178"/>
      <c r="K2715" s="178"/>
      <c r="L2715" s="275" t="str">
        <f>IF(H:H=0,"",IF(ISERROR(VLOOKUP(H:H,produtos_escape2!$A$2:$B$2794,2,FALSE)),"Código não cadastrado",(VLOOKUP(H:H,produtos_escape2!$A$2:$B$2794,2,FALSE))))</f>
        <v/>
      </c>
      <c r="M2715" s="593" t="str">
        <f>IF(H:H=0,"",IF(ISERROR(VLOOKUP(H:H,produtos_escape2!$A$2:$D$2794,2,FALSE)),"Código não cadastrado",(VLOOKUP(H:H,produtos_escape2!$A$2:$D$2794,4,FALSE))))</f>
        <v/>
      </c>
      <c r="N2715" s="486"/>
      <c r="O2715" s="176"/>
      <c r="P2715" s="486"/>
      <c r="Q2715" s="247"/>
      <c r="R2715" s="246">
        <f t="shared" si="99"/>
        <v>0</v>
      </c>
      <c r="S2715" s="177"/>
      <c r="T2715" s="182"/>
      <c r="U2715" s="177"/>
      <c r="V2715" s="177"/>
      <c r="W2715" s="177"/>
      <c r="X2715" s="176"/>
      <c r="Y2715" s="177"/>
      <c r="Z2715" s="415"/>
      <c r="AA2715" s="488"/>
      <c r="AB2715" s="594"/>
      <c r="AC2715" s="595"/>
      <c r="AD2715" s="596" t="str">
        <f>IF(AND(AC2715&lt;&gt;"",S2715&lt;&gt;""),NETWORKDAYS(AC2715,S2715,#REF!),"")</f>
        <v/>
      </c>
      <c r="AE2715" s="596" t="str">
        <f ca="1">IF(AND(AD2715="",AC2715=""),"",IF(OR(AD2715&lt;&gt;"",O2715="*CANCELADO"),"",NETWORKDAYS(AC2715,TODAY(),#REF!)))</f>
        <v/>
      </c>
      <c r="AF2715" s="619"/>
    </row>
    <row r="2716" spans="1:32" ht="14.25" customHeight="1">
      <c r="A2716" s="176"/>
      <c r="B2716" s="176"/>
      <c r="C2716" s="177"/>
      <c r="D2716" s="176"/>
      <c r="E2716" s="176"/>
      <c r="F2716" s="259"/>
      <c r="G2716" s="176"/>
      <c r="H2716" s="178"/>
      <c r="I2716" s="592">
        <f t="shared" si="100"/>
        <v>0</v>
      </c>
      <c r="J2716" s="178"/>
      <c r="K2716" s="178"/>
      <c r="L2716" s="275" t="str">
        <f>IF(H:H=0,"",IF(ISERROR(VLOOKUP(H:H,produtos_escape2!$A$2:$B$2794,2,FALSE)),"Código não cadastrado",(VLOOKUP(H:H,produtos_escape2!$A$2:$B$2794,2,FALSE))))</f>
        <v/>
      </c>
      <c r="M2716" s="593" t="str">
        <f>IF(H:H=0,"",IF(ISERROR(VLOOKUP(H:H,produtos_escape2!$A$2:$D$2794,2,FALSE)),"Código não cadastrado",(VLOOKUP(H:H,produtos_escape2!$A$2:$D$2794,4,FALSE))))</f>
        <v/>
      </c>
      <c r="N2716" s="486"/>
      <c r="O2716" s="176"/>
      <c r="P2716" s="486"/>
      <c r="Q2716" s="247"/>
      <c r="R2716" s="246">
        <f t="shared" si="99"/>
        <v>0</v>
      </c>
      <c r="S2716" s="177"/>
      <c r="T2716" s="182"/>
      <c r="U2716" s="177"/>
      <c r="V2716" s="177"/>
      <c r="W2716" s="177"/>
      <c r="X2716" s="176"/>
      <c r="Y2716" s="177"/>
      <c r="Z2716" s="415"/>
      <c r="AA2716" s="488"/>
      <c r="AB2716" s="594"/>
      <c r="AC2716" s="595"/>
      <c r="AD2716" s="596" t="str">
        <f>IF(AND(AC2716&lt;&gt;"",S2716&lt;&gt;""),NETWORKDAYS(AC2716,S2716,#REF!),"")</f>
        <v/>
      </c>
      <c r="AE2716" s="596" t="str">
        <f ca="1">IF(AND(AD2716="",AC2716=""),"",IF(OR(AD2716&lt;&gt;"",O2716="*CANCELADO"),"",NETWORKDAYS(AC2716,TODAY(),#REF!)))</f>
        <v/>
      </c>
      <c r="AF2716" s="619"/>
    </row>
    <row r="2717" spans="1:32" ht="14.25" customHeight="1">
      <c r="A2717" s="176"/>
      <c r="B2717" s="176"/>
      <c r="C2717" s="177"/>
      <c r="D2717" s="176"/>
      <c r="E2717" s="176"/>
      <c r="F2717" s="259"/>
      <c r="G2717" s="176"/>
      <c r="H2717" s="178"/>
      <c r="I2717" s="592">
        <f t="shared" si="100"/>
        <v>0</v>
      </c>
      <c r="J2717" s="178"/>
      <c r="K2717" s="178"/>
      <c r="L2717" s="275" t="str">
        <f>IF(H:H=0,"",IF(ISERROR(VLOOKUP(H:H,produtos_escape2!$A$2:$B$2794,2,FALSE)),"Código não cadastrado",(VLOOKUP(H:H,produtos_escape2!$A$2:$B$2794,2,FALSE))))</f>
        <v/>
      </c>
      <c r="M2717" s="593" t="str">
        <f>IF(H:H=0,"",IF(ISERROR(VLOOKUP(H:H,produtos_escape2!$A$2:$D$2794,2,FALSE)),"Código não cadastrado",(VLOOKUP(H:H,produtos_escape2!$A$2:$D$2794,4,FALSE))))</f>
        <v/>
      </c>
      <c r="N2717" s="486"/>
      <c r="O2717" s="176"/>
      <c r="P2717" s="486"/>
      <c r="Q2717" s="247"/>
      <c r="R2717" s="246">
        <f t="shared" si="99"/>
        <v>0</v>
      </c>
      <c r="S2717" s="177"/>
      <c r="T2717" s="182"/>
      <c r="U2717" s="177"/>
      <c r="V2717" s="177"/>
      <c r="W2717" s="177"/>
      <c r="X2717" s="176"/>
      <c r="Y2717" s="177"/>
      <c r="Z2717" s="415"/>
      <c r="AA2717" s="488"/>
      <c r="AB2717" s="594"/>
      <c r="AC2717" s="595"/>
      <c r="AD2717" s="596" t="str">
        <f>IF(AND(AC2717&lt;&gt;"",S2717&lt;&gt;""),NETWORKDAYS(AC2717,S2717,#REF!),"")</f>
        <v/>
      </c>
      <c r="AE2717" s="596" t="str">
        <f ca="1">IF(AND(AD2717="",AC2717=""),"",IF(OR(AD2717&lt;&gt;"",O2717="*CANCELADO"),"",NETWORKDAYS(AC2717,TODAY(),#REF!)))</f>
        <v/>
      </c>
      <c r="AF2717" s="619"/>
    </row>
    <row r="2718" spans="1:32" ht="14.25" customHeight="1">
      <c r="A2718" s="176"/>
      <c r="B2718" s="176"/>
      <c r="C2718" s="177"/>
      <c r="D2718" s="176"/>
      <c r="E2718" s="176"/>
      <c r="F2718" s="259"/>
      <c r="G2718" s="176"/>
      <c r="H2718" s="178"/>
      <c r="I2718" s="592">
        <f t="shared" si="100"/>
        <v>0</v>
      </c>
      <c r="J2718" s="178"/>
      <c r="K2718" s="178"/>
      <c r="L2718" s="275" t="str">
        <f>IF(H:H=0,"",IF(ISERROR(VLOOKUP(H:H,produtos_escape2!$A$2:$B$2794,2,FALSE)),"Código não cadastrado",(VLOOKUP(H:H,produtos_escape2!$A$2:$B$2794,2,FALSE))))</f>
        <v/>
      </c>
      <c r="M2718" s="593" t="str">
        <f>IF(H:H=0,"",IF(ISERROR(VLOOKUP(H:H,produtos_escape2!$A$2:$D$2794,2,FALSE)),"Código não cadastrado",(VLOOKUP(H:H,produtos_escape2!$A$2:$D$2794,4,FALSE))))</f>
        <v/>
      </c>
      <c r="N2718" s="486"/>
      <c r="O2718" s="176"/>
      <c r="P2718" s="486"/>
      <c r="Q2718" s="247"/>
      <c r="R2718" s="246">
        <f t="shared" si="99"/>
        <v>0</v>
      </c>
      <c r="S2718" s="177"/>
      <c r="T2718" s="182"/>
      <c r="U2718" s="177"/>
      <c r="V2718" s="177"/>
      <c r="W2718" s="177"/>
      <c r="X2718" s="176"/>
      <c r="Y2718" s="177"/>
      <c r="Z2718" s="415"/>
      <c r="AA2718" s="488"/>
      <c r="AB2718" s="594"/>
      <c r="AC2718" s="595"/>
      <c r="AD2718" s="596" t="str">
        <f>IF(AND(AC2718&lt;&gt;"",S2718&lt;&gt;""),NETWORKDAYS(AC2718,S2718,#REF!),"")</f>
        <v/>
      </c>
      <c r="AE2718" s="596" t="str">
        <f ca="1">IF(AND(AD2718="",AC2718=""),"",IF(OR(AD2718&lt;&gt;"",O2718="*CANCELADO"),"",NETWORKDAYS(AC2718,TODAY(),#REF!)))</f>
        <v/>
      </c>
      <c r="AF2718" s="619"/>
    </row>
    <row r="2719" spans="1:32" ht="14.25" customHeight="1">
      <c r="A2719" s="176"/>
      <c r="B2719" s="176"/>
      <c r="C2719" s="177"/>
      <c r="D2719" s="176"/>
      <c r="E2719" s="176"/>
      <c r="F2719" s="259"/>
      <c r="G2719" s="176"/>
      <c r="H2719" s="178"/>
      <c r="I2719" s="592">
        <f t="shared" si="100"/>
        <v>0</v>
      </c>
      <c r="J2719" s="178"/>
      <c r="K2719" s="178"/>
      <c r="L2719" s="275" t="str">
        <f>IF(H:H=0,"",IF(ISERROR(VLOOKUP(H:H,produtos_escape2!$A$2:$B$2794,2,FALSE)),"Código não cadastrado",(VLOOKUP(H:H,produtos_escape2!$A$2:$B$2794,2,FALSE))))</f>
        <v/>
      </c>
      <c r="M2719" s="593" t="str">
        <f>IF(H:H=0,"",IF(ISERROR(VLOOKUP(H:H,produtos_escape2!$A$2:$D$2794,2,FALSE)),"Código não cadastrado",(VLOOKUP(H:H,produtos_escape2!$A$2:$D$2794,4,FALSE))))</f>
        <v/>
      </c>
      <c r="N2719" s="486"/>
      <c r="O2719" s="176"/>
      <c r="P2719" s="486"/>
      <c r="Q2719" s="247"/>
      <c r="R2719" s="246">
        <f t="shared" si="99"/>
        <v>0</v>
      </c>
      <c r="S2719" s="177"/>
      <c r="T2719" s="182"/>
      <c r="U2719" s="177"/>
      <c r="V2719" s="177"/>
      <c r="W2719" s="177"/>
      <c r="X2719" s="176"/>
      <c r="Y2719" s="177"/>
      <c r="Z2719" s="415"/>
      <c r="AA2719" s="488"/>
      <c r="AB2719" s="594"/>
      <c r="AC2719" s="595"/>
      <c r="AD2719" s="596" t="str">
        <f>IF(AND(AC2719&lt;&gt;"",S2719&lt;&gt;""),NETWORKDAYS(AC2719,S2719,#REF!),"")</f>
        <v/>
      </c>
      <c r="AE2719" s="596" t="str">
        <f ca="1">IF(AND(AD2719="",AC2719=""),"",IF(OR(AD2719&lt;&gt;"",O2719="*CANCELADO"),"",NETWORKDAYS(AC2719,TODAY(),#REF!)))</f>
        <v/>
      </c>
      <c r="AF2719" s="619"/>
    </row>
    <row r="2720" spans="1:32" ht="14.25" customHeight="1">
      <c r="A2720" s="176"/>
      <c r="B2720" s="176"/>
      <c r="C2720" s="177"/>
      <c r="D2720" s="176"/>
      <c r="E2720" s="176"/>
      <c r="F2720" s="259"/>
      <c r="G2720" s="176"/>
      <c r="H2720" s="178"/>
      <c r="I2720" s="592">
        <f t="shared" si="100"/>
        <v>0</v>
      </c>
      <c r="J2720" s="178"/>
      <c r="K2720" s="178"/>
      <c r="L2720" s="275" t="str">
        <f>IF(H:H=0,"",IF(ISERROR(VLOOKUP(H:H,produtos_escape2!$A$2:$B$2794,2,FALSE)),"Código não cadastrado",(VLOOKUP(H:H,produtos_escape2!$A$2:$B$2794,2,FALSE))))</f>
        <v/>
      </c>
      <c r="M2720" s="593" t="str">
        <f>IF(H:H=0,"",IF(ISERROR(VLOOKUP(H:H,produtos_escape2!$A$2:$D$2794,2,FALSE)),"Código não cadastrado",(VLOOKUP(H:H,produtos_escape2!$A$2:$D$2794,4,FALSE))))</f>
        <v/>
      </c>
      <c r="N2720" s="486"/>
      <c r="O2720" s="176"/>
      <c r="P2720" s="486"/>
      <c r="Q2720" s="247"/>
      <c r="R2720" s="246">
        <f t="shared" si="99"/>
        <v>0</v>
      </c>
      <c r="S2720" s="177"/>
      <c r="T2720" s="182"/>
      <c r="U2720" s="177"/>
      <c r="V2720" s="177"/>
      <c r="W2720" s="177"/>
      <c r="X2720" s="176"/>
      <c r="Y2720" s="177"/>
      <c r="Z2720" s="415"/>
      <c r="AA2720" s="488"/>
      <c r="AB2720" s="594"/>
      <c r="AC2720" s="595"/>
      <c r="AD2720" s="596" t="str">
        <f>IF(AND(AC2720&lt;&gt;"",S2720&lt;&gt;""),NETWORKDAYS(AC2720,S2720,#REF!),"")</f>
        <v/>
      </c>
      <c r="AE2720" s="596" t="str">
        <f ca="1">IF(AND(AD2720="",AC2720=""),"",IF(OR(AD2720&lt;&gt;"",O2720="*CANCELADO"),"",NETWORKDAYS(AC2720,TODAY(),#REF!)))</f>
        <v/>
      </c>
      <c r="AF2720" s="619"/>
    </row>
    <row r="2721" spans="1:32" ht="14.25" customHeight="1">
      <c r="A2721" s="176"/>
      <c r="B2721" s="176"/>
      <c r="C2721" s="177"/>
      <c r="D2721" s="176"/>
      <c r="E2721" s="176"/>
      <c r="F2721" s="259"/>
      <c r="G2721" s="176"/>
      <c r="H2721" s="178"/>
      <c r="I2721" s="592">
        <f t="shared" si="100"/>
        <v>0</v>
      </c>
      <c r="J2721" s="178"/>
      <c r="K2721" s="178"/>
      <c r="L2721" s="275" t="str">
        <f>IF(H:H=0,"",IF(ISERROR(VLOOKUP(H:H,produtos_escape2!$A$2:$B$2794,2,FALSE)),"Código não cadastrado",(VLOOKUP(H:H,produtos_escape2!$A$2:$B$2794,2,FALSE))))</f>
        <v/>
      </c>
      <c r="M2721" s="593" t="str">
        <f>IF(H:H=0,"",IF(ISERROR(VLOOKUP(H:H,produtos_escape2!$A$2:$D$2794,2,FALSE)),"Código não cadastrado",(VLOOKUP(H:H,produtos_escape2!$A$2:$D$2794,4,FALSE))))</f>
        <v/>
      </c>
      <c r="N2721" s="486"/>
      <c r="O2721" s="176"/>
      <c r="P2721" s="486"/>
      <c r="Q2721" s="247"/>
      <c r="R2721" s="246">
        <f t="shared" si="99"/>
        <v>0</v>
      </c>
      <c r="S2721" s="177"/>
      <c r="T2721" s="182"/>
      <c r="U2721" s="177"/>
      <c r="V2721" s="177"/>
      <c r="W2721" s="177"/>
      <c r="X2721" s="176"/>
      <c r="Y2721" s="177"/>
      <c r="Z2721" s="415"/>
      <c r="AA2721" s="488"/>
      <c r="AB2721" s="594"/>
      <c r="AC2721" s="595"/>
      <c r="AD2721" s="596" t="str">
        <f>IF(AND(AC2721&lt;&gt;"",S2721&lt;&gt;""),NETWORKDAYS(AC2721,S2721,#REF!),"")</f>
        <v/>
      </c>
      <c r="AE2721" s="596" t="str">
        <f ca="1">IF(AND(AD2721="",AC2721=""),"",IF(OR(AD2721&lt;&gt;"",O2721="*CANCELADO"),"",NETWORKDAYS(AC2721,TODAY(),#REF!)))</f>
        <v/>
      </c>
      <c r="AF2721" s="619"/>
    </row>
    <row r="2722" spans="1:32" ht="14.25" customHeight="1">
      <c r="A2722" s="176"/>
      <c r="B2722" s="176"/>
      <c r="C2722" s="177"/>
      <c r="D2722" s="176"/>
      <c r="E2722" s="176"/>
      <c r="F2722" s="259"/>
      <c r="G2722" s="176"/>
      <c r="H2722" s="178"/>
      <c r="I2722" s="592">
        <f t="shared" si="100"/>
        <v>0</v>
      </c>
      <c r="J2722" s="178"/>
      <c r="K2722" s="178"/>
      <c r="L2722" s="275" t="str">
        <f>IF(H:H=0,"",IF(ISERROR(VLOOKUP(H:H,produtos_escape2!$A$2:$B$2794,2,FALSE)),"Código não cadastrado",(VLOOKUP(H:H,produtos_escape2!$A$2:$B$2794,2,FALSE))))</f>
        <v/>
      </c>
      <c r="M2722" s="593" t="str">
        <f>IF(H:H=0,"",IF(ISERROR(VLOOKUP(H:H,produtos_escape2!$A$2:$D$2794,2,FALSE)),"Código não cadastrado",(VLOOKUP(H:H,produtos_escape2!$A$2:$D$2794,4,FALSE))))</f>
        <v/>
      </c>
      <c r="N2722" s="486"/>
      <c r="O2722" s="176"/>
      <c r="P2722" s="486"/>
      <c r="Q2722" s="247"/>
      <c r="R2722" s="246">
        <f t="shared" si="99"/>
        <v>0</v>
      </c>
      <c r="S2722" s="177"/>
      <c r="T2722" s="182"/>
      <c r="U2722" s="177"/>
      <c r="V2722" s="177"/>
      <c r="W2722" s="177"/>
      <c r="X2722" s="176"/>
      <c r="Y2722" s="177"/>
      <c r="Z2722" s="415"/>
      <c r="AA2722" s="488"/>
      <c r="AB2722" s="594"/>
      <c r="AC2722" s="595"/>
      <c r="AD2722" s="596" t="str">
        <f>IF(AND(AC2722&lt;&gt;"",S2722&lt;&gt;""),NETWORKDAYS(AC2722,S2722,#REF!),"")</f>
        <v/>
      </c>
      <c r="AE2722" s="596" t="str">
        <f ca="1">IF(AND(AD2722="",AC2722=""),"",IF(OR(AD2722&lt;&gt;"",O2722="*CANCELADO"),"",NETWORKDAYS(AC2722,TODAY(),#REF!)))</f>
        <v/>
      </c>
      <c r="AF2722" s="619"/>
    </row>
    <row r="2723" spans="1:32" ht="14.25" customHeight="1">
      <c r="A2723" s="176"/>
      <c r="B2723" s="176"/>
      <c r="C2723" s="177"/>
      <c r="D2723" s="176"/>
      <c r="E2723" s="176"/>
      <c r="F2723" s="259"/>
      <c r="G2723" s="176"/>
      <c r="H2723" s="178"/>
      <c r="I2723" s="592">
        <f t="shared" si="100"/>
        <v>0</v>
      </c>
      <c r="J2723" s="178"/>
      <c r="K2723" s="178"/>
      <c r="L2723" s="275" t="str">
        <f>IF(H:H=0,"",IF(ISERROR(VLOOKUP(H:H,produtos_escape2!$A$2:$B$2794,2,FALSE)),"Código não cadastrado",(VLOOKUP(H:H,produtos_escape2!$A$2:$B$2794,2,FALSE))))</f>
        <v/>
      </c>
      <c r="M2723" s="593" t="str">
        <f>IF(H:H=0,"",IF(ISERROR(VLOOKUP(H:H,produtos_escape2!$A$2:$D$2794,2,FALSE)),"Código não cadastrado",(VLOOKUP(H:H,produtos_escape2!$A$2:$D$2794,4,FALSE))))</f>
        <v/>
      </c>
      <c r="N2723" s="486"/>
      <c r="O2723" s="176"/>
      <c r="P2723" s="486"/>
      <c r="Q2723" s="247"/>
      <c r="R2723" s="246">
        <f t="shared" si="99"/>
        <v>0</v>
      </c>
      <c r="S2723" s="177"/>
      <c r="T2723" s="182"/>
      <c r="U2723" s="177"/>
      <c r="V2723" s="177"/>
      <c r="W2723" s="177"/>
      <c r="X2723" s="176"/>
      <c r="Y2723" s="177"/>
      <c r="Z2723" s="415"/>
      <c r="AA2723" s="488"/>
      <c r="AB2723" s="594"/>
      <c r="AC2723" s="595"/>
      <c r="AD2723" s="596" t="str">
        <f>IF(AND(AC2723&lt;&gt;"",S2723&lt;&gt;""),NETWORKDAYS(AC2723,S2723,#REF!),"")</f>
        <v/>
      </c>
      <c r="AE2723" s="596" t="str">
        <f ca="1">IF(AND(AD2723="",AC2723=""),"",IF(OR(AD2723&lt;&gt;"",O2723="*CANCELADO"),"",NETWORKDAYS(AC2723,TODAY(),#REF!)))</f>
        <v/>
      </c>
      <c r="AF2723" s="619"/>
    </row>
    <row r="2724" spans="1:32" ht="14.25" customHeight="1">
      <c r="A2724" s="176"/>
      <c r="B2724" s="176"/>
      <c r="C2724" s="177"/>
      <c r="D2724" s="176"/>
      <c r="E2724" s="176"/>
      <c r="F2724" s="259"/>
      <c r="G2724" s="176"/>
      <c r="H2724" s="178"/>
      <c r="I2724" s="592">
        <f t="shared" si="100"/>
        <v>0</v>
      </c>
      <c r="J2724" s="178"/>
      <c r="K2724" s="178"/>
      <c r="L2724" s="275" t="str">
        <f>IF(H:H=0,"",IF(ISERROR(VLOOKUP(H:H,produtos_escape2!$A$2:$B$2794,2,FALSE)),"Código não cadastrado",(VLOOKUP(H:H,produtos_escape2!$A$2:$B$2794,2,FALSE))))</f>
        <v/>
      </c>
      <c r="M2724" s="593" t="str">
        <f>IF(H:H=0,"",IF(ISERROR(VLOOKUP(H:H,produtos_escape2!$A$2:$D$2794,2,FALSE)),"Código não cadastrado",(VLOOKUP(H:H,produtos_escape2!$A$2:$D$2794,4,FALSE))))</f>
        <v/>
      </c>
      <c r="N2724" s="486"/>
      <c r="O2724" s="176"/>
      <c r="P2724" s="486"/>
      <c r="Q2724" s="247"/>
      <c r="R2724" s="246">
        <f t="shared" si="99"/>
        <v>0</v>
      </c>
      <c r="S2724" s="177"/>
      <c r="T2724" s="182"/>
      <c r="U2724" s="177"/>
      <c r="V2724" s="177"/>
      <c r="W2724" s="177"/>
      <c r="X2724" s="176"/>
      <c r="Y2724" s="177"/>
      <c r="Z2724" s="415"/>
      <c r="AA2724" s="488"/>
      <c r="AB2724" s="594"/>
      <c r="AC2724" s="595"/>
      <c r="AD2724" s="596" t="str">
        <f>IF(AND(AC2724&lt;&gt;"",S2724&lt;&gt;""),NETWORKDAYS(AC2724,S2724,#REF!),"")</f>
        <v/>
      </c>
      <c r="AE2724" s="596" t="str">
        <f ca="1">IF(AND(AD2724="",AC2724=""),"",IF(OR(AD2724&lt;&gt;"",O2724="*CANCELADO"),"",NETWORKDAYS(AC2724,TODAY(),#REF!)))</f>
        <v/>
      </c>
      <c r="AF2724" s="619"/>
    </row>
    <row r="2725" spans="1:32" ht="14.25" customHeight="1">
      <c r="A2725" s="176"/>
      <c r="B2725" s="176"/>
      <c r="C2725" s="177"/>
      <c r="D2725" s="176"/>
      <c r="E2725" s="176"/>
      <c r="F2725" s="259"/>
      <c r="G2725" s="176"/>
      <c r="H2725" s="178"/>
      <c r="I2725" s="592">
        <f t="shared" si="100"/>
        <v>0</v>
      </c>
      <c r="J2725" s="178"/>
      <c r="K2725" s="178"/>
      <c r="L2725" s="275" t="str">
        <f>IF(H:H=0,"",IF(ISERROR(VLOOKUP(H:H,produtos_escape2!$A$2:$B$2794,2,FALSE)),"Código não cadastrado",(VLOOKUP(H:H,produtos_escape2!$A$2:$B$2794,2,FALSE))))</f>
        <v/>
      </c>
      <c r="M2725" s="593" t="str">
        <f>IF(H:H=0,"",IF(ISERROR(VLOOKUP(H:H,produtos_escape2!$A$2:$D$2794,2,FALSE)),"Código não cadastrado",(VLOOKUP(H:H,produtos_escape2!$A$2:$D$2794,4,FALSE))))</f>
        <v/>
      </c>
      <c r="N2725" s="486"/>
      <c r="O2725" s="176"/>
      <c r="P2725" s="486"/>
      <c r="Q2725" s="247"/>
      <c r="R2725" s="246">
        <f t="shared" si="99"/>
        <v>0</v>
      </c>
      <c r="S2725" s="177"/>
      <c r="T2725" s="182"/>
      <c r="U2725" s="177"/>
      <c r="V2725" s="177"/>
      <c r="W2725" s="177"/>
      <c r="X2725" s="176"/>
      <c r="Y2725" s="177"/>
      <c r="Z2725" s="415"/>
      <c r="AA2725" s="488"/>
      <c r="AB2725" s="594"/>
      <c r="AC2725" s="595"/>
      <c r="AD2725" s="596" t="str">
        <f>IF(AND(AC2725&lt;&gt;"",S2725&lt;&gt;""),NETWORKDAYS(AC2725,S2725,#REF!),"")</f>
        <v/>
      </c>
      <c r="AE2725" s="596" t="str">
        <f ca="1">IF(AND(AD2725="",AC2725=""),"",IF(OR(AD2725&lt;&gt;"",O2725="*CANCELADO"),"",NETWORKDAYS(AC2725,TODAY(),#REF!)))</f>
        <v/>
      </c>
      <c r="AF2725" s="619"/>
    </row>
    <row r="2726" spans="1:32" ht="14.25" customHeight="1">
      <c r="A2726" s="176"/>
      <c r="B2726" s="176"/>
      <c r="C2726" s="177"/>
      <c r="D2726" s="176"/>
      <c r="E2726" s="176"/>
      <c r="F2726" s="259"/>
      <c r="G2726" s="176"/>
      <c r="H2726" s="178"/>
      <c r="I2726" s="592">
        <f t="shared" si="100"/>
        <v>0</v>
      </c>
      <c r="J2726" s="178"/>
      <c r="K2726" s="178"/>
      <c r="L2726" s="275" t="str">
        <f>IF(H:H=0,"",IF(ISERROR(VLOOKUP(H:H,produtos_escape2!$A$2:$B$2794,2,FALSE)),"Código não cadastrado",(VLOOKUP(H:H,produtos_escape2!$A$2:$B$2794,2,FALSE))))</f>
        <v/>
      </c>
      <c r="M2726" s="593" t="str">
        <f>IF(H:H=0,"",IF(ISERROR(VLOOKUP(H:H,produtos_escape2!$A$2:$D$2794,2,FALSE)),"Código não cadastrado",(VLOOKUP(H:H,produtos_escape2!$A$2:$D$2794,4,FALSE))))</f>
        <v/>
      </c>
      <c r="N2726" s="486"/>
      <c r="O2726" s="176"/>
      <c r="P2726" s="486"/>
      <c r="Q2726" s="247"/>
      <c r="R2726" s="246">
        <f t="shared" si="99"/>
        <v>0</v>
      </c>
      <c r="S2726" s="177"/>
      <c r="T2726" s="182"/>
      <c r="U2726" s="177"/>
      <c r="V2726" s="177"/>
      <c r="W2726" s="177"/>
      <c r="X2726" s="176"/>
      <c r="Y2726" s="177"/>
      <c r="Z2726" s="415"/>
      <c r="AA2726" s="488"/>
      <c r="AB2726" s="594"/>
      <c r="AC2726" s="595"/>
      <c r="AD2726" s="596" t="str">
        <f>IF(AND(AC2726&lt;&gt;"",S2726&lt;&gt;""),NETWORKDAYS(AC2726,S2726,#REF!),"")</f>
        <v/>
      </c>
      <c r="AE2726" s="596" t="str">
        <f ca="1">IF(AND(AD2726="",AC2726=""),"",IF(OR(AD2726&lt;&gt;"",O2726="*CANCELADO"),"",NETWORKDAYS(AC2726,TODAY(),#REF!)))</f>
        <v/>
      </c>
      <c r="AF2726" s="619"/>
    </row>
    <row r="2727" spans="1:32" ht="14.25" customHeight="1">
      <c r="A2727" s="176"/>
      <c r="B2727" s="176"/>
      <c r="C2727" s="177"/>
      <c r="D2727" s="176"/>
      <c r="E2727" s="176"/>
      <c r="F2727" s="259"/>
      <c r="G2727" s="176"/>
      <c r="H2727" s="178"/>
      <c r="I2727" s="592">
        <f t="shared" si="100"/>
        <v>0</v>
      </c>
      <c r="J2727" s="178"/>
      <c r="K2727" s="178"/>
      <c r="L2727" s="275" t="str">
        <f>IF(H:H=0,"",IF(ISERROR(VLOOKUP(H:H,produtos_escape2!$A$2:$B$2794,2,FALSE)),"Código não cadastrado",(VLOOKUP(H:H,produtos_escape2!$A$2:$B$2794,2,FALSE))))</f>
        <v/>
      </c>
      <c r="M2727" s="593" t="str">
        <f>IF(H:H=0,"",IF(ISERROR(VLOOKUP(H:H,produtos_escape2!$A$2:$D$2794,2,FALSE)),"Código não cadastrado",(VLOOKUP(H:H,produtos_escape2!$A$2:$D$2794,4,FALSE))))</f>
        <v/>
      </c>
      <c r="N2727" s="486"/>
      <c r="O2727" s="176"/>
      <c r="P2727" s="486"/>
      <c r="Q2727" s="247"/>
      <c r="R2727" s="246">
        <f t="shared" si="99"/>
        <v>0</v>
      </c>
      <c r="S2727" s="177"/>
      <c r="T2727" s="182"/>
      <c r="U2727" s="177"/>
      <c r="V2727" s="177"/>
      <c r="W2727" s="177"/>
      <c r="X2727" s="176"/>
      <c r="Y2727" s="177"/>
      <c r="Z2727" s="415"/>
      <c r="AA2727" s="488"/>
      <c r="AB2727" s="594"/>
      <c r="AC2727" s="595"/>
      <c r="AD2727" s="596" t="str">
        <f>IF(AND(AC2727&lt;&gt;"",S2727&lt;&gt;""),NETWORKDAYS(AC2727,S2727,#REF!),"")</f>
        <v/>
      </c>
      <c r="AE2727" s="596" t="str">
        <f ca="1">IF(AND(AD2727="",AC2727=""),"",IF(OR(AD2727&lt;&gt;"",O2727="*CANCELADO"),"",NETWORKDAYS(AC2727,TODAY(),#REF!)))</f>
        <v/>
      </c>
      <c r="AF2727" s="619"/>
    </row>
    <row r="2728" spans="1:32" ht="14.25" customHeight="1">
      <c r="A2728" s="176"/>
      <c r="B2728" s="176"/>
      <c r="C2728" s="177"/>
      <c r="D2728" s="176"/>
      <c r="E2728" s="176"/>
      <c r="F2728" s="259"/>
      <c r="G2728" s="176"/>
      <c r="H2728" s="178"/>
      <c r="I2728" s="592">
        <f t="shared" si="100"/>
        <v>0</v>
      </c>
      <c r="J2728" s="178"/>
      <c r="K2728" s="178"/>
      <c r="L2728" s="275" t="str">
        <f>IF(H:H=0,"",IF(ISERROR(VLOOKUP(H:H,produtos_escape2!$A$2:$B$2794,2,FALSE)),"Código não cadastrado",(VLOOKUP(H:H,produtos_escape2!$A$2:$B$2794,2,FALSE))))</f>
        <v/>
      </c>
      <c r="M2728" s="593" t="str">
        <f>IF(H:H=0,"",IF(ISERROR(VLOOKUP(H:H,produtos_escape2!$A$2:$D$2794,2,FALSE)),"Código não cadastrado",(VLOOKUP(H:H,produtos_escape2!$A$2:$D$2794,4,FALSE))))</f>
        <v/>
      </c>
      <c r="N2728" s="486"/>
      <c r="O2728" s="176"/>
      <c r="P2728" s="486"/>
      <c r="Q2728" s="247"/>
      <c r="R2728" s="246">
        <f t="shared" si="99"/>
        <v>0</v>
      </c>
      <c r="S2728" s="177"/>
      <c r="T2728" s="182"/>
      <c r="U2728" s="177"/>
      <c r="V2728" s="177"/>
      <c r="W2728" s="177"/>
      <c r="X2728" s="176"/>
      <c r="Y2728" s="177"/>
      <c r="Z2728" s="415"/>
      <c r="AA2728" s="488"/>
      <c r="AB2728" s="594"/>
      <c r="AC2728" s="595"/>
      <c r="AD2728" s="596" t="str">
        <f>IF(AND(AC2728&lt;&gt;"",S2728&lt;&gt;""),NETWORKDAYS(AC2728,S2728,#REF!),"")</f>
        <v/>
      </c>
      <c r="AE2728" s="596" t="str">
        <f ca="1">IF(AND(AD2728="",AC2728=""),"",IF(OR(AD2728&lt;&gt;"",O2728="*CANCELADO"),"",NETWORKDAYS(AC2728,TODAY(),#REF!)))</f>
        <v/>
      </c>
      <c r="AF2728" s="619"/>
    </row>
    <row r="2729" spans="1:32" ht="14.25" customHeight="1">
      <c r="A2729" s="176"/>
      <c r="B2729" s="176"/>
      <c r="C2729" s="177"/>
      <c r="D2729" s="176"/>
      <c r="E2729" s="176"/>
      <c r="F2729" s="259"/>
      <c r="G2729" s="176"/>
      <c r="H2729" s="178"/>
      <c r="I2729" s="592">
        <f t="shared" si="100"/>
        <v>0</v>
      </c>
      <c r="J2729" s="178"/>
      <c r="K2729" s="178"/>
      <c r="L2729" s="275" t="str">
        <f>IF(H:H=0,"",IF(ISERROR(VLOOKUP(H:H,produtos_escape2!$A$2:$B$2794,2,FALSE)),"Código não cadastrado",(VLOOKUP(H:H,produtos_escape2!$A$2:$B$2794,2,FALSE))))</f>
        <v/>
      </c>
      <c r="M2729" s="593" t="str">
        <f>IF(H:H=0,"",IF(ISERROR(VLOOKUP(H:H,produtos_escape2!$A$2:$D$2794,2,FALSE)),"Código não cadastrado",(VLOOKUP(H:H,produtos_escape2!$A$2:$D$2794,4,FALSE))))</f>
        <v/>
      </c>
      <c r="N2729" s="486"/>
      <c r="O2729" s="176"/>
      <c r="P2729" s="486"/>
      <c r="Q2729" s="247"/>
      <c r="R2729" s="246">
        <f t="shared" si="99"/>
        <v>0</v>
      </c>
      <c r="S2729" s="177"/>
      <c r="T2729" s="182"/>
      <c r="U2729" s="177"/>
      <c r="V2729" s="177"/>
      <c r="W2729" s="177"/>
      <c r="X2729" s="176"/>
      <c r="Y2729" s="177"/>
      <c r="Z2729" s="415"/>
      <c r="AA2729" s="488"/>
      <c r="AB2729" s="594"/>
      <c r="AC2729" s="595"/>
      <c r="AD2729" s="596" t="str">
        <f>IF(AND(AC2729&lt;&gt;"",S2729&lt;&gt;""),NETWORKDAYS(AC2729,S2729,#REF!),"")</f>
        <v/>
      </c>
      <c r="AE2729" s="596" t="str">
        <f ca="1">IF(AND(AD2729="",AC2729=""),"",IF(OR(AD2729&lt;&gt;"",O2729="*CANCELADO"),"",NETWORKDAYS(AC2729,TODAY(),#REF!)))</f>
        <v/>
      </c>
      <c r="AF2729" s="619"/>
    </row>
    <row r="2730" spans="1:32" ht="14.25" customHeight="1">
      <c r="A2730" s="176"/>
      <c r="B2730" s="176"/>
      <c r="C2730" s="177"/>
      <c r="D2730" s="176"/>
      <c r="E2730" s="176"/>
      <c r="F2730" s="259"/>
      <c r="G2730" s="176"/>
      <c r="H2730" s="178"/>
      <c r="I2730" s="592">
        <f t="shared" si="100"/>
        <v>0</v>
      </c>
      <c r="J2730" s="178"/>
      <c r="K2730" s="178"/>
      <c r="L2730" s="275" t="str">
        <f>IF(H:H=0,"",IF(ISERROR(VLOOKUP(H:H,produtos_escape2!$A$2:$B$2794,2,FALSE)),"Código não cadastrado",(VLOOKUP(H:H,produtos_escape2!$A$2:$B$2794,2,FALSE))))</f>
        <v/>
      </c>
      <c r="M2730" s="593" t="str">
        <f>IF(H:H=0,"",IF(ISERROR(VLOOKUP(H:H,produtos_escape2!$A$2:$D$2794,2,FALSE)),"Código não cadastrado",(VLOOKUP(H:H,produtos_escape2!$A$2:$D$2794,4,FALSE))))</f>
        <v/>
      </c>
      <c r="N2730" s="486"/>
      <c r="O2730" s="176"/>
      <c r="P2730" s="486"/>
      <c r="Q2730" s="247"/>
      <c r="R2730" s="246">
        <f t="shared" si="99"/>
        <v>0</v>
      </c>
      <c r="S2730" s="177"/>
      <c r="T2730" s="182"/>
      <c r="U2730" s="177"/>
      <c r="V2730" s="177"/>
      <c r="W2730" s="177"/>
      <c r="X2730" s="176"/>
      <c r="Y2730" s="177"/>
      <c r="Z2730" s="415"/>
      <c r="AA2730" s="488"/>
      <c r="AB2730" s="594"/>
      <c r="AC2730" s="595"/>
      <c r="AD2730" s="596" t="str">
        <f>IF(AND(AC2730&lt;&gt;"",S2730&lt;&gt;""),NETWORKDAYS(AC2730,S2730,#REF!),"")</f>
        <v/>
      </c>
      <c r="AE2730" s="596" t="str">
        <f ca="1">IF(AND(AD2730="",AC2730=""),"",IF(OR(AD2730&lt;&gt;"",O2730="*CANCELADO"),"",NETWORKDAYS(AC2730,TODAY(),#REF!)))</f>
        <v/>
      </c>
      <c r="AF2730" s="619"/>
    </row>
    <row r="2731" spans="1:32" ht="14.25" customHeight="1">
      <c r="A2731" s="176"/>
      <c r="B2731" s="176"/>
      <c r="C2731" s="177"/>
      <c r="D2731" s="176"/>
      <c r="E2731" s="176"/>
      <c r="F2731" s="259"/>
      <c r="G2731" s="176"/>
      <c r="H2731" s="178"/>
      <c r="I2731" s="592">
        <f t="shared" si="100"/>
        <v>0</v>
      </c>
      <c r="J2731" s="178"/>
      <c r="K2731" s="178"/>
      <c r="L2731" s="275" t="str">
        <f>IF(H:H=0,"",IF(ISERROR(VLOOKUP(H:H,produtos_escape2!$A$2:$B$2794,2,FALSE)),"Código não cadastrado",(VLOOKUP(H:H,produtos_escape2!$A$2:$B$2794,2,FALSE))))</f>
        <v/>
      </c>
      <c r="M2731" s="593" t="str">
        <f>IF(H:H=0,"",IF(ISERROR(VLOOKUP(H:H,produtos_escape2!$A$2:$D$2794,2,FALSE)),"Código não cadastrado",(VLOOKUP(H:H,produtos_escape2!$A$2:$D$2794,4,FALSE))))</f>
        <v/>
      </c>
      <c r="N2731" s="486"/>
      <c r="O2731" s="176"/>
      <c r="P2731" s="486"/>
      <c r="Q2731" s="247"/>
      <c r="R2731" s="246">
        <f t="shared" si="99"/>
        <v>0</v>
      </c>
      <c r="S2731" s="177"/>
      <c r="T2731" s="182"/>
      <c r="U2731" s="177"/>
      <c r="V2731" s="177"/>
      <c r="W2731" s="177"/>
      <c r="X2731" s="176"/>
      <c r="Y2731" s="177"/>
      <c r="Z2731" s="415"/>
      <c r="AA2731" s="488"/>
      <c r="AB2731" s="594"/>
      <c r="AC2731" s="595"/>
      <c r="AD2731" s="596" t="str">
        <f>IF(AND(AC2731&lt;&gt;"",S2731&lt;&gt;""),NETWORKDAYS(AC2731,S2731,#REF!),"")</f>
        <v/>
      </c>
      <c r="AE2731" s="596" t="str">
        <f ca="1">IF(AND(AD2731="",AC2731=""),"",IF(OR(AD2731&lt;&gt;"",O2731="*CANCELADO"),"",NETWORKDAYS(AC2731,TODAY(),#REF!)))</f>
        <v/>
      </c>
      <c r="AF2731" s="619"/>
    </row>
    <row r="2732" spans="1:32" ht="14.25" customHeight="1">
      <c r="A2732" s="176"/>
      <c r="B2732" s="176"/>
      <c r="C2732" s="177"/>
      <c r="D2732" s="176"/>
      <c r="E2732" s="176"/>
      <c r="F2732" s="259"/>
      <c r="G2732" s="176"/>
      <c r="H2732" s="178"/>
      <c r="I2732" s="592">
        <f t="shared" si="100"/>
        <v>0</v>
      </c>
      <c r="J2732" s="178"/>
      <c r="K2732" s="178"/>
      <c r="L2732" s="275" t="str">
        <f>IF(H:H=0,"",IF(ISERROR(VLOOKUP(H:H,produtos_escape2!$A$2:$B$2794,2,FALSE)),"Código não cadastrado",(VLOOKUP(H:H,produtos_escape2!$A$2:$B$2794,2,FALSE))))</f>
        <v/>
      </c>
      <c r="M2732" s="593" t="str">
        <f>IF(H:H=0,"",IF(ISERROR(VLOOKUP(H:H,produtos_escape2!$A$2:$D$2794,2,FALSE)),"Código não cadastrado",(VLOOKUP(H:H,produtos_escape2!$A$2:$D$2794,4,FALSE))))</f>
        <v/>
      </c>
      <c r="N2732" s="486"/>
      <c r="O2732" s="176"/>
      <c r="P2732" s="486"/>
      <c r="Q2732" s="247"/>
      <c r="R2732" s="246">
        <f t="shared" si="99"/>
        <v>0</v>
      </c>
      <c r="S2732" s="177"/>
      <c r="T2732" s="182"/>
      <c r="U2732" s="177"/>
      <c r="V2732" s="177"/>
      <c r="W2732" s="177"/>
      <c r="X2732" s="176"/>
      <c r="Y2732" s="177"/>
      <c r="Z2732" s="415"/>
      <c r="AA2732" s="488"/>
      <c r="AB2732" s="594"/>
      <c r="AC2732" s="595"/>
      <c r="AD2732" s="596" t="str">
        <f>IF(AND(AC2732&lt;&gt;"",S2732&lt;&gt;""),NETWORKDAYS(AC2732,S2732,#REF!),"")</f>
        <v/>
      </c>
      <c r="AE2732" s="596" t="str">
        <f ca="1">IF(AND(AD2732="",AC2732=""),"",IF(OR(AD2732&lt;&gt;"",O2732="*CANCELADO"),"",NETWORKDAYS(AC2732,TODAY(),#REF!)))</f>
        <v/>
      </c>
      <c r="AF2732" s="619"/>
    </row>
    <row r="2733" spans="1:32" ht="14.25" customHeight="1">
      <c r="A2733" s="176"/>
      <c r="B2733" s="176"/>
      <c r="C2733" s="177"/>
      <c r="D2733" s="176"/>
      <c r="E2733" s="176"/>
      <c r="F2733" s="259"/>
      <c r="G2733" s="176"/>
      <c r="H2733" s="178"/>
      <c r="I2733" s="592">
        <f t="shared" si="100"/>
        <v>0</v>
      </c>
      <c r="J2733" s="178"/>
      <c r="K2733" s="178"/>
      <c r="L2733" s="275" t="str">
        <f>IF(H:H=0,"",IF(ISERROR(VLOOKUP(H:H,produtos_escape2!$A$2:$B$2794,2,FALSE)),"Código não cadastrado",(VLOOKUP(H:H,produtos_escape2!$A$2:$B$2794,2,FALSE))))</f>
        <v/>
      </c>
      <c r="M2733" s="593" t="str">
        <f>IF(H:H=0,"",IF(ISERROR(VLOOKUP(H:H,produtos_escape2!$A$2:$D$2794,2,FALSE)),"Código não cadastrado",(VLOOKUP(H:H,produtos_escape2!$A$2:$D$2794,4,FALSE))))</f>
        <v/>
      </c>
      <c r="N2733" s="486"/>
      <c r="O2733" s="176"/>
      <c r="P2733" s="486"/>
      <c r="Q2733" s="247"/>
      <c r="R2733" s="246">
        <f t="shared" ref="R2733:R2796" si="101">P2733*Q2733</f>
        <v>0</v>
      </c>
      <c r="S2733" s="177"/>
      <c r="T2733" s="182"/>
      <c r="U2733" s="177"/>
      <c r="V2733" s="177"/>
      <c r="W2733" s="177"/>
      <c r="X2733" s="176"/>
      <c r="Y2733" s="177"/>
      <c r="Z2733" s="415"/>
      <c r="AA2733" s="488"/>
      <c r="AB2733" s="594"/>
      <c r="AC2733" s="595"/>
      <c r="AD2733" s="596" t="str">
        <f>IF(AND(AC2733&lt;&gt;"",S2733&lt;&gt;""),NETWORKDAYS(AC2733,S2733,#REF!),"")</f>
        <v/>
      </c>
      <c r="AE2733" s="596" t="str">
        <f ca="1">IF(AND(AD2733="",AC2733=""),"",IF(OR(AD2733&lt;&gt;"",O2733="*CANCELADO"),"",NETWORKDAYS(AC2733,TODAY(),#REF!)))</f>
        <v/>
      </c>
      <c r="AF2733" s="619"/>
    </row>
    <row r="2734" spans="1:32" ht="14.25" customHeight="1">
      <c r="A2734" s="176"/>
      <c r="B2734" s="176"/>
      <c r="C2734" s="177"/>
      <c r="D2734" s="176"/>
      <c r="E2734" s="176"/>
      <c r="F2734" s="259"/>
      <c r="G2734" s="176"/>
      <c r="H2734" s="178"/>
      <c r="I2734" s="592">
        <f t="shared" si="100"/>
        <v>0</v>
      </c>
      <c r="J2734" s="178"/>
      <c r="K2734" s="178"/>
      <c r="L2734" s="275" t="str">
        <f>IF(H:H=0,"",IF(ISERROR(VLOOKUP(H:H,produtos_escape2!$A$2:$B$2794,2,FALSE)),"Código não cadastrado",(VLOOKUP(H:H,produtos_escape2!$A$2:$B$2794,2,FALSE))))</f>
        <v/>
      </c>
      <c r="M2734" s="593" t="str">
        <f>IF(H:H=0,"",IF(ISERROR(VLOOKUP(H:H,produtos_escape2!$A$2:$D$2794,2,FALSE)),"Código não cadastrado",(VLOOKUP(H:H,produtos_escape2!$A$2:$D$2794,4,FALSE))))</f>
        <v/>
      </c>
      <c r="N2734" s="486"/>
      <c r="O2734" s="176"/>
      <c r="P2734" s="486"/>
      <c r="Q2734" s="247"/>
      <c r="R2734" s="246">
        <f t="shared" si="101"/>
        <v>0</v>
      </c>
      <c r="S2734" s="177"/>
      <c r="T2734" s="182"/>
      <c r="U2734" s="177"/>
      <c r="V2734" s="177"/>
      <c r="W2734" s="177"/>
      <c r="X2734" s="176"/>
      <c r="Y2734" s="177"/>
      <c r="Z2734" s="415"/>
      <c r="AA2734" s="488"/>
      <c r="AB2734" s="594"/>
      <c r="AC2734" s="595"/>
      <c r="AD2734" s="596" t="str">
        <f>IF(AND(AC2734&lt;&gt;"",S2734&lt;&gt;""),NETWORKDAYS(AC2734,S2734,#REF!),"")</f>
        <v/>
      </c>
      <c r="AE2734" s="596" t="str">
        <f ca="1">IF(AND(AD2734="",AC2734=""),"",IF(OR(AD2734&lt;&gt;"",O2734="*CANCELADO"),"",NETWORKDAYS(AC2734,TODAY(),#REF!)))</f>
        <v/>
      </c>
      <c r="AF2734" s="619"/>
    </row>
    <row r="2735" spans="1:32" ht="14.25" customHeight="1">
      <c r="A2735" s="176"/>
      <c r="B2735" s="176"/>
      <c r="C2735" s="177"/>
      <c r="D2735" s="176"/>
      <c r="E2735" s="176"/>
      <c r="F2735" s="259"/>
      <c r="G2735" s="176"/>
      <c r="H2735" s="178"/>
      <c r="I2735" s="592">
        <f t="shared" si="100"/>
        <v>0</v>
      </c>
      <c r="J2735" s="178"/>
      <c r="K2735" s="178"/>
      <c r="L2735" s="275" t="str">
        <f>IF(H:H=0,"",IF(ISERROR(VLOOKUP(H:H,produtos_escape2!$A$2:$B$2794,2,FALSE)),"Código não cadastrado",(VLOOKUP(H:H,produtos_escape2!$A$2:$B$2794,2,FALSE))))</f>
        <v/>
      </c>
      <c r="M2735" s="593" t="str">
        <f>IF(H:H=0,"",IF(ISERROR(VLOOKUP(H:H,produtos_escape2!$A$2:$D$2794,2,FALSE)),"Código não cadastrado",(VLOOKUP(H:H,produtos_escape2!$A$2:$D$2794,4,FALSE))))</f>
        <v/>
      </c>
      <c r="N2735" s="486"/>
      <c r="O2735" s="176"/>
      <c r="P2735" s="486"/>
      <c r="Q2735" s="247"/>
      <c r="R2735" s="246">
        <f t="shared" si="101"/>
        <v>0</v>
      </c>
      <c r="S2735" s="177"/>
      <c r="T2735" s="182"/>
      <c r="U2735" s="177"/>
      <c r="V2735" s="177"/>
      <c r="W2735" s="177"/>
      <c r="X2735" s="176"/>
      <c r="Y2735" s="177"/>
      <c r="Z2735" s="415"/>
      <c r="AA2735" s="488"/>
      <c r="AB2735" s="594"/>
      <c r="AC2735" s="595"/>
      <c r="AD2735" s="596" t="str">
        <f>IF(AND(AC2735&lt;&gt;"",S2735&lt;&gt;""),NETWORKDAYS(AC2735,S2735,#REF!),"")</f>
        <v/>
      </c>
      <c r="AE2735" s="596" t="str">
        <f ca="1">IF(AND(AD2735="",AC2735=""),"",IF(OR(AD2735&lt;&gt;"",O2735="*CANCELADO"),"",NETWORKDAYS(AC2735,TODAY(),#REF!)))</f>
        <v/>
      </c>
      <c r="AF2735" s="619"/>
    </row>
    <row r="2736" spans="1:32" ht="14.25" customHeight="1">
      <c r="A2736" s="176"/>
      <c r="B2736" s="176"/>
      <c r="C2736" s="177"/>
      <c r="D2736" s="176"/>
      <c r="E2736" s="176"/>
      <c r="F2736" s="259"/>
      <c r="G2736" s="176"/>
      <c r="H2736" s="178"/>
      <c r="I2736" s="592">
        <f t="shared" si="100"/>
        <v>0</v>
      </c>
      <c r="J2736" s="178"/>
      <c r="K2736" s="178"/>
      <c r="L2736" s="275" t="str">
        <f>IF(H:H=0,"",IF(ISERROR(VLOOKUP(H:H,produtos_escape2!$A$2:$B$2794,2,FALSE)),"Código não cadastrado",(VLOOKUP(H:H,produtos_escape2!$A$2:$B$2794,2,FALSE))))</f>
        <v/>
      </c>
      <c r="M2736" s="593" t="str">
        <f>IF(H:H=0,"",IF(ISERROR(VLOOKUP(H:H,produtos_escape2!$A$2:$D$2794,2,FALSE)),"Código não cadastrado",(VLOOKUP(H:H,produtos_escape2!$A$2:$D$2794,4,FALSE))))</f>
        <v/>
      </c>
      <c r="N2736" s="486"/>
      <c r="O2736" s="176"/>
      <c r="P2736" s="486"/>
      <c r="Q2736" s="247"/>
      <c r="R2736" s="246">
        <f t="shared" si="101"/>
        <v>0</v>
      </c>
      <c r="S2736" s="177"/>
      <c r="T2736" s="182"/>
      <c r="U2736" s="177"/>
      <c r="V2736" s="177"/>
      <c r="W2736" s="177"/>
      <c r="X2736" s="176"/>
      <c r="Y2736" s="177"/>
      <c r="Z2736" s="415"/>
      <c r="AA2736" s="488"/>
      <c r="AB2736" s="594"/>
      <c r="AC2736" s="595"/>
      <c r="AD2736" s="596" t="str">
        <f>IF(AND(AC2736&lt;&gt;"",S2736&lt;&gt;""),NETWORKDAYS(AC2736,S2736,#REF!),"")</f>
        <v/>
      </c>
      <c r="AE2736" s="596" t="str">
        <f ca="1">IF(AND(AD2736="",AC2736=""),"",IF(OR(AD2736&lt;&gt;"",O2736="*CANCELADO"),"",NETWORKDAYS(AC2736,TODAY(),#REF!)))</f>
        <v/>
      </c>
      <c r="AF2736" s="619"/>
    </row>
    <row r="2737" spans="1:32" ht="14.25" customHeight="1">
      <c r="A2737" s="176"/>
      <c r="B2737" s="176"/>
      <c r="C2737" s="177"/>
      <c r="D2737" s="176"/>
      <c r="E2737" s="176"/>
      <c r="F2737" s="259"/>
      <c r="G2737" s="176"/>
      <c r="H2737" s="178"/>
      <c r="I2737" s="592">
        <f t="shared" si="100"/>
        <v>0</v>
      </c>
      <c r="J2737" s="178"/>
      <c r="K2737" s="178"/>
      <c r="L2737" s="275" t="str">
        <f>IF(H:H=0,"",IF(ISERROR(VLOOKUP(H:H,produtos_escape2!$A$2:$B$2794,2,FALSE)),"Código não cadastrado",(VLOOKUP(H:H,produtos_escape2!$A$2:$B$2794,2,FALSE))))</f>
        <v/>
      </c>
      <c r="M2737" s="593" t="str">
        <f>IF(H:H=0,"",IF(ISERROR(VLOOKUP(H:H,produtos_escape2!$A$2:$D$2794,2,FALSE)),"Código não cadastrado",(VLOOKUP(H:H,produtos_escape2!$A$2:$D$2794,4,FALSE))))</f>
        <v/>
      </c>
      <c r="N2737" s="486"/>
      <c r="O2737" s="176"/>
      <c r="P2737" s="486"/>
      <c r="Q2737" s="247"/>
      <c r="R2737" s="246">
        <f t="shared" si="101"/>
        <v>0</v>
      </c>
      <c r="S2737" s="177"/>
      <c r="T2737" s="182"/>
      <c r="U2737" s="177"/>
      <c r="V2737" s="177"/>
      <c r="W2737" s="177"/>
      <c r="X2737" s="176"/>
      <c r="Y2737" s="177"/>
      <c r="Z2737" s="415"/>
      <c r="AA2737" s="488"/>
      <c r="AB2737" s="594"/>
      <c r="AC2737" s="595"/>
      <c r="AD2737" s="596" t="str">
        <f>IF(AND(AC2737&lt;&gt;"",S2737&lt;&gt;""),NETWORKDAYS(AC2737,S2737,#REF!),"")</f>
        <v/>
      </c>
      <c r="AE2737" s="596" t="str">
        <f ca="1">IF(AND(AD2737="",AC2737=""),"",IF(OR(AD2737&lt;&gt;"",O2737="*CANCELADO"),"",NETWORKDAYS(AC2737,TODAY(),#REF!)))</f>
        <v/>
      </c>
      <c r="AF2737" s="619"/>
    </row>
    <row r="2738" spans="1:32" ht="14.25" customHeight="1">
      <c r="A2738" s="176"/>
      <c r="B2738" s="176"/>
      <c r="C2738" s="177"/>
      <c r="D2738" s="176"/>
      <c r="E2738" s="176"/>
      <c r="F2738" s="259"/>
      <c r="G2738" s="176"/>
      <c r="H2738" s="178"/>
      <c r="I2738" s="592">
        <f t="shared" si="100"/>
        <v>0</v>
      </c>
      <c r="J2738" s="178"/>
      <c r="K2738" s="178"/>
      <c r="L2738" s="275" t="str">
        <f>IF(H:H=0,"",IF(ISERROR(VLOOKUP(H:H,produtos_escape2!$A$2:$B$2794,2,FALSE)),"Código não cadastrado",(VLOOKUP(H:H,produtos_escape2!$A$2:$B$2794,2,FALSE))))</f>
        <v/>
      </c>
      <c r="M2738" s="593" t="str">
        <f>IF(H:H=0,"",IF(ISERROR(VLOOKUP(H:H,produtos_escape2!$A$2:$D$2794,2,FALSE)),"Código não cadastrado",(VLOOKUP(H:H,produtos_escape2!$A$2:$D$2794,4,FALSE))))</f>
        <v/>
      </c>
      <c r="N2738" s="486"/>
      <c r="O2738" s="176"/>
      <c r="P2738" s="486"/>
      <c r="Q2738" s="247"/>
      <c r="R2738" s="246">
        <f t="shared" si="101"/>
        <v>0</v>
      </c>
      <c r="S2738" s="177"/>
      <c r="T2738" s="182"/>
      <c r="U2738" s="177"/>
      <c r="V2738" s="177"/>
      <c r="W2738" s="177"/>
      <c r="X2738" s="176"/>
      <c r="Y2738" s="177"/>
      <c r="Z2738" s="415"/>
      <c r="AA2738" s="488"/>
      <c r="AB2738" s="594"/>
      <c r="AC2738" s="595"/>
      <c r="AD2738" s="596" t="str">
        <f>IF(AND(AC2738&lt;&gt;"",S2738&lt;&gt;""),NETWORKDAYS(AC2738,S2738,#REF!),"")</f>
        <v/>
      </c>
      <c r="AE2738" s="596" t="str">
        <f ca="1">IF(AND(AD2738="",AC2738=""),"",IF(OR(AD2738&lt;&gt;"",O2738="*CANCELADO"),"",NETWORKDAYS(AC2738,TODAY(),#REF!)))</f>
        <v/>
      </c>
      <c r="AF2738" s="619"/>
    </row>
    <row r="2739" spans="1:32" ht="14.25" customHeight="1">
      <c r="A2739" s="176"/>
      <c r="B2739" s="176"/>
      <c r="C2739" s="177"/>
      <c r="D2739" s="176"/>
      <c r="E2739" s="176"/>
      <c r="F2739" s="259"/>
      <c r="G2739" s="176"/>
      <c r="H2739" s="178"/>
      <c r="I2739" s="592">
        <f t="shared" si="100"/>
        <v>0</v>
      </c>
      <c r="J2739" s="178"/>
      <c r="K2739" s="178"/>
      <c r="L2739" s="275" t="str">
        <f>IF(H:H=0,"",IF(ISERROR(VLOOKUP(H:H,produtos_escape2!$A$2:$B$2794,2,FALSE)),"Código não cadastrado",(VLOOKUP(H:H,produtos_escape2!$A$2:$B$2794,2,FALSE))))</f>
        <v/>
      </c>
      <c r="M2739" s="593" t="str">
        <f>IF(H:H=0,"",IF(ISERROR(VLOOKUP(H:H,produtos_escape2!$A$2:$D$2794,2,FALSE)),"Código não cadastrado",(VLOOKUP(H:H,produtos_escape2!$A$2:$D$2794,4,FALSE))))</f>
        <v/>
      </c>
      <c r="N2739" s="486"/>
      <c r="O2739" s="176"/>
      <c r="P2739" s="486"/>
      <c r="Q2739" s="247"/>
      <c r="R2739" s="246">
        <f t="shared" si="101"/>
        <v>0</v>
      </c>
      <c r="S2739" s="177"/>
      <c r="T2739" s="182"/>
      <c r="U2739" s="177"/>
      <c r="V2739" s="177"/>
      <c r="W2739" s="177"/>
      <c r="X2739" s="176"/>
      <c r="Y2739" s="177"/>
      <c r="Z2739" s="415"/>
      <c r="AA2739" s="488"/>
      <c r="AB2739" s="594"/>
      <c r="AC2739" s="595"/>
      <c r="AD2739" s="596" t="str">
        <f>IF(AND(AC2739&lt;&gt;"",S2739&lt;&gt;""),NETWORKDAYS(AC2739,S2739,#REF!),"")</f>
        <v/>
      </c>
      <c r="AE2739" s="596" t="str">
        <f ca="1">IF(AND(AD2739="",AC2739=""),"",IF(OR(AD2739&lt;&gt;"",O2739="*CANCELADO"),"",NETWORKDAYS(AC2739,TODAY(),#REF!)))</f>
        <v/>
      </c>
      <c r="AF2739" s="619"/>
    </row>
    <row r="2740" spans="1:32" ht="14.25" customHeight="1">
      <c r="A2740" s="176"/>
      <c r="B2740" s="176"/>
      <c r="C2740" s="177"/>
      <c r="D2740" s="176"/>
      <c r="E2740" s="176"/>
      <c r="F2740" s="259"/>
      <c r="G2740" s="176"/>
      <c r="H2740" s="178"/>
      <c r="I2740" s="592">
        <f t="shared" si="100"/>
        <v>0</v>
      </c>
      <c r="J2740" s="178"/>
      <c r="K2740" s="178"/>
      <c r="L2740" s="275" t="str">
        <f>IF(H:H=0,"",IF(ISERROR(VLOOKUP(H:H,produtos_escape2!$A$2:$B$2794,2,FALSE)),"Código não cadastrado",(VLOOKUP(H:H,produtos_escape2!$A$2:$B$2794,2,FALSE))))</f>
        <v/>
      </c>
      <c r="M2740" s="593" t="str">
        <f>IF(H:H=0,"",IF(ISERROR(VLOOKUP(H:H,produtos_escape2!$A$2:$D$2794,2,FALSE)),"Código não cadastrado",(VLOOKUP(H:H,produtos_escape2!$A$2:$D$2794,4,FALSE))))</f>
        <v/>
      </c>
      <c r="N2740" s="486"/>
      <c r="O2740" s="176"/>
      <c r="P2740" s="486"/>
      <c r="Q2740" s="247"/>
      <c r="R2740" s="246">
        <f t="shared" si="101"/>
        <v>0</v>
      </c>
      <c r="S2740" s="177"/>
      <c r="T2740" s="182"/>
      <c r="U2740" s="177"/>
      <c r="V2740" s="177"/>
      <c r="W2740" s="177"/>
      <c r="X2740" s="176"/>
      <c r="Y2740" s="177"/>
      <c r="Z2740" s="415"/>
      <c r="AA2740" s="488"/>
      <c r="AB2740" s="594"/>
      <c r="AC2740" s="595"/>
      <c r="AD2740" s="596" t="str">
        <f>IF(AND(AC2740&lt;&gt;"",S2740&lt;&gt;""),NETWORKDAYS(AC2740,S2740,#REF!),"")</f>
        <v/>
      </c>
      <c r="AE2740" s="596" t="str">
        <f ca="1">IF(AND(AD2740="",AC2740=""),"",IF(OR(AD2740&lt;&gt;"",O2740="*CANCELADO"),"",NETWORKDAYS(AC2740,TODAY(),#REF!)))</f>
        <v/>
      </c>
      <c r="AF2740" s="619"/>
    </row>
    <row r="2741" spans="1:32" ht="14.25" customHeight="1">
      <c r="A2741" s="176"/>
      <c r="B2741" s="176"/>
      <c r="C2741" s="177"/>
      <c r="D2741" s="176"/>
      <c r="E2741" s="176"/>
      <c r="F2741" s="259"/>
      <c r="G2741" s="176"/>
      <c r="H2741" s="178"/>
      <c r="I2741" s="592">
        <f t="shared" si="100"/>
        <v>0</v>
      </c>
      <c r="J2741" s="178"/>
      <c r="K2741" s="178"/>
      <c r="L2741" s="275" t="str">
        <f>IF(H:H=0,"",IF(ISERROR(VLOOKUP(H:H,produtos_escape2!$A$2:$B$2794,2,FALSE)),"Código não cadastrado",(VLOOKUP(H:H,produtos_escape2!$A$2:$B$2794,2,FALSE))))</f>
        <v/>
      </c>
      <c r="M2741" s="593" t="str">
        <f>IF(H:H=0,"",IF(ISERROR(VLOOKUP(H:H,produtos_escape2!$A$2:$D$2794,2,FALSE)),"Código não cadastrado",(VLOOKUP(H:H,produtos_escape2!$A$2:$D$2794,4,FALSE))))</f>
        <v/>
      </c>
      <c r="N2741" s="486"/>
      <c r="O2741" s="176"/>
      <c r="P2741" s="486"/>
      <c r="Q2741" s="247"/>
      <c r="R2741" s="246">
        <f t="shared" si="101"/>
        <v>0</v>
      </c>
      <c r="S2741" s="177"/>
      <c r="T2741" s="182"/>
      <c r="U2741" s="177"/>
      <c r="V2741" s="177"/>
      <c r="W2741" s="177"/>
      <c r="X2741" s="176"/>
      <c r="Y2741" s="177"/>
      <c r="Z2741" s="415"/>
      <c r="AA2741" s="488"/>
      <c r="AB2741" s="594"/>
      <c r="AC2741" s="595"/>
      <c r="AD2741" s="596" t="str">
        <f>IF(AND(AC2741&lt;&gt;"",S2741&lt;&gt;""),NETWORKDAYS(AC2741,S2741,#REF!),"")</f>
        <v/>
      </c>
      <c r="AE2741" s="596" t="str">
        <f ca="1">IF(AND(AD2741="",AC2741=""),"",IF(OR(AD2741&lt;&gt;"",O2741="*CANCELADO"),"",NETWORKDAYS(AC2741,TODAY(),#REF!)))</f>
        <v/>
      </c>
      <c r="AF2741" s="619"/>
    </row>
    <row r="2742" spans="1:32" ht="14.25" customHeight="1">
      <c r="A2742" s="176"/>
      <c r="B2742" s="176"/>
      <c r="C2742" s="177"/>
      <c r="D2742" s="176"/>
      <c r="E2742" s="176"/>
      <c r="F2742" s="259"/>
      <c r="G2742" s="176"/>
      <c r="H2742" s="178"/>
      <c r="I2742" s="592">
        <f t="shared" ref="I2742:I2805" si="102">COUNTIF($H$3:$H$3041,H2742)</f>
        <v>0</v>
      </c>
      <c r="J2742" s="178"/>
      <c r="K2742" s="178"/>
      <c r="L2742" s="275" t="str">
        <f>IF(H:H=0,"",IF(ISERROR(VLOOKUP(H:H,produtos_escape2!$A$2:$B$2794,2,FALSE)),"Código não cadastrado",(VLOOKUP(H:H,produtos_escape2!$A$2:$B$2794,2,FALSE))))</f>
        <v/>
      </c>
      <c r="M2742" s="593" t="str">
        <f>IF(H:H=0,"",IF(ISERROR(VLOOKUP(H:H,produtos_escape2!$A$2:$D$2794,2,FALSE)),"Código não cadastrado",(VLOOKUP(H:H,produtos_escape2!$A$2:$D$2794,4,FALSE))))</f>
        <v/>
      </c>
      <c r="N2742" s="486"/>
      <c r="O2742" s="176"/>
      <c r="P2742" s="486"/>
      <c r="Q2742" s="247"/>
      <c r="R2742" s="246">
        <f t="shared" si="101"/>
        <v>0</v>
      </c>
      <c r="S2742" s="177"/>
      <c r="T2742" s="182"/>
      <c r="U2742" s="177"/>
      <c r="V2742" s="177"/>
      <c r="W2742" s="177"/>
      <c r="X2742" s="176"/>
      <c r="Y2742" s="177"/>
      <c r="Z2742" s="415"/>
      <c r="AA2742" s="488"/>
      <c r="AB2742" s="594"/>
      <c r="AC2742" s="595"/>
      <c r="AD2742" s="596" t="str">
        <f>IF(AND(AC2742&lt;&gt;"",S2742&lt;&gt;""),NETWORKDAYS(AC2742,S2742,#REF!),"")</f>
        <v/>
      </c>
      <c r="AE2742" s="596" t="str">
        <f ca="1">IF(AND(AD2742="",AC2742=""),"",IF(OR(AD2742&lt;&gt;"",O2742="*CANCELADO"),"",NETWORKDAYS(AC2742,TODAY(),#REF!)))</f>
        <v/>
      </c>
      <c r="AF2742" s="619"/>
    </row>
    <row r="2743" spans="1:32" ht="14.25" customHeight="1">
      <c r="A2743" s="176"/>
      <c r="B2743" s="176"/>
      <c r="C2743" s="177"/>
      <c r="D2743" s="176"/>
      <c r="E2743" s="176"/>
      <c r="F2743" s="259"/>
      <c r="G2743" s="176"/>
      <c r="H2743" s="178"/>
      <c r="I2743" s="592">
        <f t="shared" si="102"/>
        <v>0</v>
      </c>
      <c r="J2743" s="178"/>
      <c r="K2743" s="178"/>
      <c r="L2743" s="275" t="str">
        <f>IF(H:H=0,"",IF(ISERROR(VLOOKUP(H:H,produtos_escape2!$A$2:$B$2794,2,FALSE)),"Código não cadastrado",(VLOOKUP(H:H,produtos_escape2!$A$2:$B$2794,2,FALSE))))</f>
        <v/>
      </c>
      <c r="M2743" s="593" t="str">
        <f>IF(H:H=0,"",IF(ISERROR(VLOOKUP(H:H,produtos_escape2!$A$2:$D$2794,2,FALSE)),"Código não cadastrado",(VLOOKUP(H:H,produtos_escape2!$A$2:$D$2794,4,FALSE))))</f>
        <v/>
      </c>
      <c r="N2743" s="486"/>
      <c r="O2743" s="176"/>
      <c r="P2743" s="486"/>
      <c r="Q2743" s="247"/>
      <c r="R2743" s="246">
        <f t="shared" si="101"/>
        <v>0</v>
      </c>
      <c r="S2743" s="177"/>
      <c r="T2743" s="182"/>
      <c r="U2743" s="177"/>
      <c r="V2743" s="177"/>
      <c r="W2743" s="177"/>
      <c r="X2743" s="176"/>
      <c r="Y2743" s="177"/>
      <c r="Z2743" s="415"/>
      <c r="AA2743" s="488"/>
      <c r="AB2743" s="594"/>
      <c r="AC2743" s="595"/>
      <c r="AD2743" s="596" t="str">
        <f>IF(AND(AC2743&lt;&gt;"",S2743&lt;&gt;""),NETWORKDAYS(AC2743,S2743,#REF!),"")</f>
        <v/>
      </c>
      <c r="AE2743" s="596" t="str">
        <f ca="1">IF(AND(AD2743="",AC2743=""),"",IF(OR(AD2743&lt;&gt;"",O2743="*CANCELADO"),"",NETWORKDAYS(AC2743,TODAY(),#REF!)))</f>
        <v/>
      </c>
      <c r="AF2743" s="619"/>
    </row>
    <row r="2744" spans="1:32" ht="14.25" customHeight="1">
      <c r="A2744" s="176"/>
      <c r="B2744" s="176"/>
      <c r="C2744" s="177"/>
      <c r="D2744" s="176"/>
      <c r="E2744" s="176"/>
      <c r="F2744" s="259"/>
      <c r="G2744" s="176"/>
      <c r="H2744" s="178"/>
      <c r="I2744" s="592">
        <f t="shared" si="102"/>
        <v>0</v>
      </c>
      <c r="J2744" s="178"/>
      <c r="K2744" s="178"/>
      <c r="L2744" s="275" t="str">
        <f>IF(H:H=0,"",IF(ISERROR(VLOOKUP(H:H,produtos_escape2!$A$2:$B$2794,2,FALSE)),"Código não cadastrado",(VLOOKUP(H:H,produtos_escape2!$A$2:$B$2794,2,FALSE))))</f>
        <v/>
      </c>
      <c r="M2744" s="593" t="str">
        <f>IF(H:H=0,"",IF(ISERROR(VLOOKUP(H:H,produtos_escape2!$A$2:$D$2794,2,FALSE)),"Código não cadastrado",(VLOOKUP(H:H,produtos_escape2!$A$2:$D$2794,4,FALSE))))</f>
        <v/>
      </c>
      <c r="N2744" s="486"/>
      <c r="O2744" s="176"/>
      <c r="P2744" s="486"/>
      <c r="Q2744" s="247"/>
      <c r="R2744" s="246">
        <f t="shared" si="101"/>
        <v>0</v>
      </c>
      <c r="S2744" s="177"/>
      <c r="T2744" s="182"/>
      <c r="U2744" s="177"/>
      <c r="V2744" s="177"/>
      <c r="W2744" s="177"/>
      <c r="X2744" s="176"/>
      <c r="Y2744" s="177"/>
      <c r="Z2744" s="415"/>
      <c r="AA2744" s="488"/>
      <c r="AB2744" s="594"/>
      <c r="AC2744" s="595"/>
      <c r="AD2744" s="596" t="str">
        <f>IF(AND(AC2744&lt;&gt;"",S2744&lt;&gt;""),NETWORKDAYS(AC2744,S2744,#REF!),"")</f>
        <v/>
      </c>
      <c r="AE2744" s="596" t="str">
        <f ca="1">IF(AND(AD2744="",AC2744=""),"",IF(OR(AD2744&lt;&gt;"",O2744="*CANCELADO"),"",NETWORKDAYS(AC2744,TODAY(),#REF!)))</f>
        <v/>
      </c>
      <c r="AF2744" s="619"/>
    </row>
    <row r="2745" spans="1:32" ht="14.25" customHeight="1">
      <c r="A2745" s="176"/>
      <c r="B2745" s="176"/>
      <c r="C2745" s="177"/>
      <c r="D2745" s="176"/>
      <c r="E2745" s="176"/>
      <c r="F2745" s="259"/>
      <c r="G2745" s="176"/>
      <c r="H2745" s="178"/>
      <c r="I2745" s="592">
        <f t="shared" si="102"/>
        <v>0</v>
      </c>
      <c r="J2745" s="178"/>
      <c r="K2745" s="178"/>
      <c r="L2745" s="275" t="str">
        <f>IF(H:H=0,"",IF(ISERROR(VLOOKUP(H:H,produtos_escape2!$A$2:$B$2794,2,FALSE)),"Código não cadastrado",(VLOOKUP(H:H,produtos_escape2!$A$2:$B$2794,2,FALSE))))</f>
        <v/>
      </c>
      <c r="M2745" s="593" t="str">
        <f>IF(H:H=0,"",IF(ISERROR(VLOOKUP(H:H,produtos_escape2!$A$2:$D$2794,2,FALSE)),"Código não cadastrado",(VLOOKUP(H:H,produtos_escape2!$A$2:$D$2794,4,FALSE))))</f>
        <v/>
      </c>
      <c r="N2745" s="486"/>
      <c r="O2745" s="176"/>
      <c r="P2745" s="486"/>
      <c r="Q2745" s="247"/>
      <c r="R2745" s="246">
        <f t="shared" si="101"/>
        <v>0</v>
      </c>
      <c r="S2745" s="177"/>
      <c r="T2745" s="182"/>
      <c r="U2745" s="177"/>
      <c r="V2745" s="177"/>
      <c r="W2745" s="177"/>
      <c r="X2745" s="176"/>
      <c r="Y2745" s="177"/>
      <c r="Z2745" s="415"/>
      <c r="AA2745" s="488"/>
      <c r="AB2745" s="594"/>
      <c r="AC2745" s="595"/>
      <c r="AD2745" s="596" t="str">
        <f>IF(AND(AC2745&lt;&gt;"",S2745&lt;&gt;""),NETWORKDAYS(AC2745,S2745,#REF!),"")</f>
        <v/>
      </c>
      <c r="AE2745" s="596" t="str">
        <f ca="1">IF(AND(AD2745="",AC2745=""),"",IF(OR(AD2745&lt;&gt;"",O2745="*CANCELADO"),"",NETWORKDAYS(AC2745,TODAY(),#REF!)))</f>
        <v/>
      </c>
      <c r="AF2745" s="619"/>
    </row>
    <row r="2746" spans="1:32" ht="14.25" customHeight="1">
      <c r="A2746" s="176"/>
      <c r="B2746" s="176"/>
      <c r="C2746" s="177"/>
      <c r="D2746" s="176"/>
      <c r="E2746" s="176"/>
      <c r="F2746" s="259"/>
      <c r="G2746" s="176"/>
      <c r="H2746" s="178"/>
      <c r="I2746" s="592">
        <f t="shared" si="102"/>
        <v>0</v>
      </c>
      <c r="J2746" s="178"/>
      <c r="K2746" s="178"/>
      <c r="L2746" s="275" t="str">
        <f>IF(H:H=0,"",IF(ISERROR(VLOOKUP(H:H,produtos_escape2!$A$2:$B$2794,2,FALSE)),"Código não cadastrado",(VLOOKUP(H:H,produtos_escape2!$A$2:$B$2794,2,FALSE))))</f>
        <v/>
      </c>
      <c r="M2746" s="593" t="str">
        <f>IF(H:H=0,"",IF(ISERROR(VLOOKUP(H:H,produtos_escape2!$A$2:$D$2794,2,FALSE)),"Código não cadastrado",(VLOOKUP(H:H,produtos_escape2!$A$2:$D$2794,4,FALSE))))</f>
        <v/>
      </c>
      <c r="N2746" s="486"/>
      <c r="O2746" s="176"/>
      <c r="P2746" s="486"/>
      <c r="Q2746" s="247"/>
      <c r="R2746" s="246">
        <f t="shared" si="101"/>
        <v>0</v>
      </c>
      <c r="S2746" s="177"/>
      <c r="T2746" s="182"/>
      <c r="U2746" s="177"/>
      <c r="V2746" s="177"/>
      <c r="W2746" s="177"/>
      <c r="X2746" s="176"/>
      <c r="Y2746" s="177"/>
      <c r="Z2746" s="415"/>
      <c r="AA2746" s="488"/>
      <c r="AB2746" s="594"/>
      <c r="AC2746" s="595"/>
      <c r="AD2746" s="596" t="str">
        <f>IF(AND(AC2746&lt;&gt;"",S2746&lt;&gt;""),NETWORKDAYS(AC2746,S2746,#REF!),"")</f>
        <v/>
      </c>
      <c r="AE2746" s="596" t="str">
        <f ca="1">IF(AND(AD2746="",AC2746=""),"",IF(OR(AD2746&lt;&gt;"",O2746="*CANCELADO"),"",NETWORKDAYS(AC2746,TODAY(),#REF!)))</f>
        <v/>
      </c>
      <c r="AF2746" s="619"/>
    </row>
    <row r="2747" spans="1:32" ht="14.25" customHeight="1">
      <c r="A2747" s="176"/>
      <c r="B2747" s="176"/>
      <c r="C2747" s="177"/>
      <c r="D2747" s="176"/>
      <c r="E2747" s="176"/>
      <c r="F2747" s="259"/>
      <c r="G2747" s="176"/>
      <c r="H2747" s="178"/>
      <c r="I2747" s="592">
        <f t="shared" si="102"/>
        <v>0</v>
      </c>
      <c r="J2747" s="178"/>
      <c r="K2747" s="178"/>
      <c r="L2747" s="275" t="str">
        <f>IF(H:H=0,"",IF(ISERROR(VLOOKUP(H:H,produtos_escape2!$A$2:$B$2794,2,FALSE)),"Código não cadastrado",(VLOOKUP(H:H,produtos_escape2!$A$2:$B$2794,2,FALSE))))</f>
        <v/>
      </c>
      <c r="M2747" s="593" t="str">
        <f>IF(H:H=0,"",IF(ISERROR(VLOOKUP(H:H,produtos_escape2!$A$2:$D$2794,2,FALSE)),"Código não cadastrado",(VLOOKUP(H:H,produtos_escape2!$A$2:$D$2794,4,FALSE))))</f>
        <v/>
      </c>
      <c r="N2747" s="486"/>
      <c r="O2747" s="176"/>
      <c r="P2747" s="486"/>
      <c r="Q2747" s="247"/>
      <c r="R2747" s="246">
        <f t="shared" si="101"/>
        <v>0</v>
      </c>
      <c r="S2747" s="177"/>
      <c r="T2747" s="182"/>
      <c r="U2747" s="177"/>
      <c r="V2747" s="177"/>
      <c r="W2747" s="177"/>
      <c r="X2747" s="176"/>
      <c r="Y2747" s="177"/>
      <c r="Z2747" s="415"/>
      <c r="AA2747" s="488"/>
      <c r="AB2747" s="594"/>
      <c r="AC2747" s="595"/>
      <c r="AD2747" s="596" t="str">
        <f>IF(AND(AC2747&lt;&gt;"",S2747&lt;&gt;""),NETWORKDAYS(AC2747,S2747,#REF!),"")</f>
        <v/>
      </c>
      <c r="AE2747" s="596" t="str">
        <f ca="1">IF(AND(AD2747="",AC2747=""),"",IF(OR(AD2747&lt;&gt;"",O2747="*CANCELADO"),"",NETWORKDAYS(AC2747,TODAY(),#REF!)))</f>
        <v/>
      </c>
      <c r="AF2747" s="619"/>
    </row>
    <row r="2748" spans="1:32" ht="14.25" customHeight="1">
      <c r="A2748" s="176"/>
      <c r="B2748" s="176"/>
      <c r="C2748" s="177"/>
      <c r="D2748" s="176"/>
      <c r="E2748" s="176"/>
      <c r="F2748" s="259"/>
      <c r="G2748" s="176"/>
      <c r="H2748" s="178"/>
      <c r="I2748" s="592">
        <f t="shared" si="102"/>
        <v>0</v>
      </c>
      <c r="J2748" s="178"/>
      <c r="K2748" s="178"/>
      <c r="L2748" s="275" t="str">
        <f>IF(H:H=0,"",IF(ISERROR(VLOOKUP(H:H,produtos_escape2!$A$2:$B$2794,2,FALSE)),"Código não cadastrado",(VLOOKUP(H:H,produtos_escape2!$A$2:$B$2794,2,FALSE))))</f>
        <v/>
      </c>
      <c r="M2748" s="593" t="str">
        <f>IF(H:H=0,"",IF(ISERROR(VLOOKUP(H:H,produtos_escape2!$A$2:$D$2794,2,FALSE)),"Código não cadastrado",(VLOOKUP(H:H,produtos_escape2!$A$2:$D$2794,4,FALSE))))</f>
        <v/>
      </c>
      <c r="N2748" s="486"/>
      <c r="O2748" s="176"/>
      <c r="P2748" s="486"/>
      <c r="Q2748" s="247"/>
      <c r="R2748" s="246">
        <f t="shared" si="101"/>
        <v>0</v>
      </c>
      <c r="S2748" s="177"/>
      <c r="T2748" s="182"/>
      <c r="U2748" s="177"/>
      <c r="V2748" s="177"/>
      <c r="W2748" s="177"/>
      <c r="X2748" s="176"/>
      <c r="Y2748" s="177"/>
      <c r="Z2748" s="415"/>
      <c r="AA2748" s="488"/>
      <c r="AB2748" s="594"/>
      <c r="AC2748" s="595"/>
      <c r="AD2748" s="596" t="str">
        <f>IF(AND(AC2748&lt;&gt;"",S2748&lt;&gt;""),NETWORKDAYS(AC2748,S2748,#REF!),"")</f>
        <v/>
      </c>
      <c r="AE2748" s="596" t="str">
        <f ca="1">IF(AND(AD2748="",AC2748=""),"",IF(OR(AD2748&lt;&gt;"",O2748="*CANCELADO"),"",NETWORKDAYS(AC2748,TODAY(),#REF!)))</f>
        <v/>
      </c>
      <c r="AF2748" s="619"/>
    </row>
    <row r="2749" spans="1:32" ht="14.25" customHeight="1">
      <c r="A2749" s="176"/>
      <c r="B2749" s="176"/>
      <c r="C2749" s="177"/>
      <c r="D2749" s="176"/>
      <c r="E2749" s="176"/>
      <c r="F2749" s="259"/>
      <c r="G2749" s="176"/>
      <c r="H2749" s="178"/>
      <c r="I2749" s="592">
        <f t="shared" si="102"/>
        <v>0</v>
      </c>
      <c r="J2749" s="178"/>
      <c r="K2749" s="178"/>
      <c r="L2749" s="275" t="str">
        <f>IF(H:H=0,"",IF(ISERROR(VLOOKUP(H:H,produtos_escape2!$A$2:$B$2794,2,FALSE)),"Código não cadastrado",(VLOOKUP(H:H,produtos_escape2!$A$2:$B$2794,2,FALSE))))</f>
        <v/>
      </c>
      <c r="M2749" s="593" t="str">
        <f>IF(H:H=0,"",IF(ISERROR(VLOOKUP(H:H,produtos_escape2!$A$2:$D$2794,2,FALSE)),"Código não cadastrado",(VLOOKUP(H:H,produtos_escape2!$A$2:$D$2794,4,FALSE))))</f>
        <v/>
      </c>
      <c r="N2749" s="486"/>
      <c r="O2749" s="176"/>
      <c r="P2749" s="486"/>
      <c r="Q2749" s="247"/>
      <c r="R2749" s="246">
        <f t="shared" si="101"/>
        <v>0</v>
      </c>
      <c r="S2749" s="177"/>
      <c r="T2749" s="182"/>
      <c r="U2749" s="177"/>
      <c r="V2749" s="177"/>
      <c r="W2749" s="177"/>
      <c r="X2749" s="176"/>
      <c r="Y2749" s="177"/>
      <c r="Z2749" s="415"/>
      <c r="AA2749" s="488"/>
      <c r="AB2749" s="594"/>
      <c r="AC2749" s="595"/>
      <c r="AD2749" s="596" t="str">
        <f>IF(AND(AC2749&lt;&gt;"",S2749&lt;&gt;""),NETWORKDAYS(AC2749,S2749,#REF!),"")</f>
        <v/>
      </c>
      <c r="AE2749" s="596" t="str">
        <f ca="1">IF(AND(AD2749="",AC2749=""),"",IF(OR(AD2749&lt;&gt;"",O2749="*CANCELADO"),"",NETWORKDAYS(AC2749,TODAY(),#REF!)))</f>
        <v/>
      </c>
      <c r="AF2749" s="619"/>
    </row>
    <row r="2750" spans="1:32" ht="14.25" customHeight="1">
      <c r="A2750" s="176"/>
      <c r="B2750" s="176"/>
      <c r="C2750" s="177"/>
      <c r="D2750" s="176"/>
      <c r="E2750" s="176"/>
      <c r="F2750" s="259"/>
      <c r="G2750" s="176"/>
      <c r="H2750" s="178"/>
      <c r="I2750" s="592">
        <f t="shared" si="102"/>
        <v>0</v>
      </c>
      <c r="J2750" s="178"/>
      <c r="K2750" s="178"/>
      <c r="L2750" s="275" t="str">
        <f>IF(H:H=0,"",IF(ISERROR(VLOOKUP(H:H,produtos_escape2!$A$2:$B$2794,2,FALSE)),"Código não cadastrado",(VLOOKUP(H:H,produtos_escape2!$A$2:$B$2794,2,FALSE))))</f>
        <v/>
      </c>
      <c r="M2750" s="593" t="str">
        <f>IF(H:H=0,"",IF(ISERROR(VLOOKUP(H:H,produtos_escape2!$A$2:$D$2794,2,FALSE)),"Código não cadastrado",(VLOOKUP(H:H,produtos_escape2!$A$2:$D$2794,4,FALSE))))</f>
        <v/>
      </c>
      <c r="N2750" s="486"/>
      <c r="O2750" s="176"/>
      <c r="P2750" s="486"/>
      <c r="Q2750" s="247"/>
      <c r="R2750" s="246">
        <f t="shared" si="101"/>
        <v>0</v>
      </c>
      <c r="S2750" s="177"/>
      <c r="T2750" s="182"/>
      <c r="U2750" s="177"/>
      <c r="V2750" s="177"/>
      <c r="W2750" s="177"/>
      <c r="X2750" s="176"/>
      <c r="Y2750" s="177"/>
      <c r="Z2750" s="415"/>
      <c r="AA2750" s="488"/>
      <c r="AB2750" s="594"/>
      <c r="AC2750" s="595"/>
      <c r="AD2750" s="596" t="str">
        <f>IF(AND(AC2750&lt;&gt;"",S2750&lt;&gt;""),NETWORKDAYS(AC2750,S2750,#REF!),"")</f>
        <v/>
      </c>
      <c r="AE2750" s="596" t="str">
        <f ca="1">IF(AND(AD2750="",AC2750=""),"",IF(OR(AD2750&lt;&gt;"",O2750="*CANCELADO"),"",NETWORKDAYS(AC2750,TODAY(),#REF!)))</f>
        <v/>
      </c>
      <c r="AF2750" s="619"/>
    </row>
    <row r="2751" spans="1:32" ht="14.25" customHeight="1">
      <c r="A2751" s="176"/>
      <c r="B2751" s="176"/>
      <c r="C2751" s="177"/>
      <c r="D2751" s="176"/>
      <c r="E2751" s="176"/>
      <c r="F2751" s="259"/>
      <c r="G2751" s="176"/>
      <c r="H2751" s="178"/>
      <c r="I2751" s="592">
        <f t="shared" si="102"/>
        <v>0</v>
      </c>
      <c r="J2751" s="178"/>
      <c r="K2751" s="178"/>
      <c r="L2751" s="275" t="str">
        <f>IF(H:H=0,"",IF(ISERROR(VLOOKUP(H:H,produtos_escape2!$A$2:$B$2794,2,FALSE)),"Código não cadastrado",(VLOOKUP(H:H,produtos_escape2!$A$2:$B$2794,2,FALSE))))</f>
        <v/>
      </c>
      <c r="M2751" s="593" t="str">
        <f>IF(H:H=0,"",IF(ISERROR(VLOOKUP(H:H,produtos_escape2!$A$2:$D$2794,2,FALSE)),"Código não cadastrado",(VLOOKUP(H:H,produtos_escape2!$A$2:$D$2794,4,FALSE))))</f>
        <v/>
      </c>
      <c r="N2751" s="486"/>
      <c r="O2751" s="176"/>
      <c r="P2751" s="486"/>
      <c r="Q2751" s="247"/>
      <c r="R2751" s="246">
        <f t="shared" si="101"/>
        <v>0</v>
      </c>
      <c r="S2751" s="177"/>
      <c r="T2751" s="182"/>
      <c r="U2751" s="177"/>
      <c r="V2751" s="177"/>
      <c r="W2751" s="177"/>
      <c r="X2751" s="176"/>
      <c r="Y2751" s="177"/>
      <c r="Z2751" s="415"/>
      <c r="AA2751" s="488"/>
      <c r="AB2751" s="594"/>
      <c r="AC2751" s="595"/>
      <c r="AD2751" s="596" t="str">
        <f>IF(AND(AC2751&lt;&gt;"",S2751&lt;&gt;""),NETWORKDAYS(AC2751,S2751,#REF!),"")</f>
        <v/>
      </c>
      <c r="AE2751" s="596" t="str">
        <f ca="1">IF(AND(AD2751="",AC2751=""),"",IF(OR(AD2751&lt;&gt;"",O2751="*CANCELADO"),"",NETWORKDAYS(AC2751,TODAY(),#REF!)))</f>
        <v/>
      </c>
      <c r="AF2751" s="619"/>
    </row>
    <row r="2752" spans="1:32" ht="14.25" customHeight="1">
      <c r="A2752" s="176"/>
      <c r="B2752" s="176"/>
      <c r="C2752" s="177"/>
      <c r="D2752" s="176"/>
      <c r="E2752" s="176"/>
      <c r="F2752" s="259"/>
      <c r="G2752" s="176"/>
      <c r="H2752" s="178"/>
      <c r="I2752" s="592">
        <f t="shared" si="102"/>
        <v>0</v>
      </c>
      <c r="J2752" s="178"/>
      <c r="K2752" s="178"/>
      <c r="L2752" s="275" t="str">
        <f>IF(H:H=0,"",IF(ISERROR(VLOOKUP(H:H,produtos_escape2!$A$2:$B$2794,2,FALSE)),"Código não cadastrado",(VLOOKUP(H:H,produtos_escape2!$A$2:$B$2794,2,FALSE))))</f>
        <v/>
      </c>
      <c r="M2752" s="593" t="str">
        <f>IF(H:H=0,"",IF(ISERROR(VLOOKUP(H:H,produtos_escape2!$A$2:$D$2794,2,FALSE)),"Código não cadastrado",(VLOOKUP(H:H,produtos_escape2!$A$2:$D$2794,4,FALSE))))</f>
        <v/>
      </c>
      <c r="N2752" s="486"/>
      <c r="O2752" s="176"/>
      <c r="P2752" s="486"/>
      <c r="Q2752" s="247"/>
      <c r="R2752" s="246">
        <f t="shared" si="101"/>
        <v>0</v>
      </c>
      <c r="S2752" s="177"/>
      <c r="T2752" s="182"/>
      <c r="U2752" s="177"/>
      <c r="V2752" s="177"/>
      <c r="W2752" s="177"/>
      <c r="X2752" s="176"/>
      <c r="Y2752" s="177"/>
      <c r="Z2752" s="415"/>
      <c r="AA2752" s="488"/>
      <c r="AB2752" s="594"/>
      <c r="AC2752" s="595"/>
      <c r="AD2752" s="596" t="str">
        <f>IF(AND(AC2752&lt;&gt;"",S2752&lt;&gt;""),NETWORKDAYS(AC2752,S2752,#REF!),"")</f>
        <v/>
      </c>
      <c r="AE2752" s="596" t="str">
        <f ca="1">IF(AND(AD2752="",AC2752=""),"",IF(OR(AD2752&lt;&gt;"",O2752="*CANCELADO"),"",NETWORKDAYS(AC2752,TODAY(),#REF!)))</f>
        <v/>
      </c>
      <c r="AF2752" s="619"/>
    </row>
    <row r="2753" spans="1:32" ht="14.25" customHeight="1">
      <c r="A2753" s="176"/>
      <c r="B2753" s="176"/>
      <c r="C2753" s="177"/>
      <c r="D2753" s="176"/>
      <c r="E2753" s="176"/>
      <c r="F2753" s="259"/>
      <c r="G2753" s="176"/>
      <c r="H2753" s="178"/>
      <c r="I2753" s="592">
        <f t="shared" si="102"/>
        <v>0</v>
      </c>
      <c r="J2753" s="178"/>
      <c r="K2753" s="178"/>
      <c r="L2753" s="275" t="str">
        <f>IF(H:H=0,"",IF(ISERROR(VLOOKUP(H:H,produtos_escape2!$A$2:$B$2794,2,FALSE)),"Código não cadastrado",(VLOOKUP(H:H,produtos_escape2!$A$2:$B$2794,2,FALSE))))</f>
        <v/>
      </c>
      <c r="M2753" s="593" t="str">
        <f>IF(H:H=0,"",IF(ISERROR(VLOOKUP(H:H,produtos_escape2!$A$2:$D$2794,2,FALSE)),"Código não cadastrado",(VLOOKUP(H:H,produtos_escape2!$A$2:$D$2794,4,FALSE))))</f>
        <v/>
      </c>
      <c r="N2753" s="486"/>
      <c r="O2753" s="176"/>
      <c r="P2753" s="486"/>
      <c r="Q2753" s="247"/>
      <c r="R2753" s="246">
        <f t="shared" si="101"/>
        <v>0</v>
      </c>
      <c r="S2753" s="177"/>
      <c r="T2753" s="182"/>
      <c r="U2753" s="177"/>
      <c r="V2753" s="177"/>
      <c r="W2753" s="177"/>
      <c r="X2753" s="176"/>
      <c r="Y2753" s="177"/>
      <c r="Z2753" s="415"/>
      <c r="AA2753" s="488"/>
      <c r="AB2753" s="594"/>
      <c r="AC2753" s="595"/>
      <c r="AD2753" s="596" t="str">
        <f>IF(AND(AC2753&lt;&gt;"",S2753&lt;&gt;""),NETWORKDAYS(AC2753,S2753,#REF!),"")</f>
        <v/>
      </c>
      <c r="AE2753" s="596" t="str">
        <f ca="1">IF(AND(AD2753="",AC2753=""),"",IF(OR(AD2753&lt;&gt;"",O2753="*CANCELADO"),"",NETWORKDAYS(AC2753,TODAY(),#REF!)))</f>
        <v/>
      </c>
      <c r="AF2753" s="619"/>
    </row>
    <row r="2754" spans="1:32" ht="14.25" customHeight="1">
      <c r="A2754" s="176"/>
      <c r="B2754" s="176"/>
      <c r="C2754" s="177"/>
      <c r="D2754" s="176"/>
      <c r="E2754" s="176"/>
      <c r="F2754" s="259"/>
      <c r="G2754" s="176"/>
      <c r="H2754" s="178"/>
      <c r="I2754" s="592">
        <f t="shared" si="102"/>
        <v>0</v>
      </c>
      <c r="J2754" s="178"/>
      <c r="K2754" s="178"/>
      <c r="L2754" s="275" t="str">
        <f>IF(H:H=0,"",IF(ISERROR(VLOOKUP(H:H,produtos_escape2!$A$2:$B$2794,2,FALSE)),"Código não cadastrado",(VLOOKUP(H:H,produtos_escape2!$A$2:$B$2794,2,FALSE))))</f>
        <v/>
      </c>
      <c r="M2754" s="593" t="str">
        <f>IF(H:H=0,"",IF(ISERROR(VLOOKUP(H:H,produtos_escape2!$A$2:$D$2794,2,FALSE)),"Código não cadastrado",(VLOOKUP(H:H,produtos_escape2!$A$2:$D$2794,4,FALSE))))</f>
        <v/>
      </c>
      <c r="N2754" s="486"/>
      <c r="O2754" s="176"/>
      <c r="P2754" s="486"/>
      <c r="Q2754" s="247"/>
      <c r="R2754" s="246">
        <f t="shared" si="101"/>
        <v>0</v>
      </c>
      <c r="S2754" s="177"/>
      <c r="T2754" s="182"/>
      <c r="U2754" s="177"/>
      <c r="V2754" s="177"/>
      <c r="W2754" s="177"/>
      <c r="X2754" s="176"/>
      <c r="Y2754" s="177"/>
      <c r="Z2754" s="415"/>
      <c r="AA2754" s="488"/>
      <c r="AB2754" s="594"/>
      <c r="AC2754" s="595"/>
      <c r="AD2754" s="596" t="str">
        <f>IF(AND(AC2754&lt;&gt;"",S2754&lt;&gt;""),NETWORKDAYS(AC2754,S2754,#REF!),"")</f>
        <v/>
      </c>
      <c r="AE2754" s="596" t="str">
        <f ca="1">IF(AND(AD2754="",AC2754=""),"",IF(OR(AD2754&lt;&gt;"",O2754="*CANCELADO"),"",NETWORKDAYS(AC2754,TODAY(),#REF!)))</f>
        <v/>
      </c>
      <c r="AF2754" s="619"/>
    </row>
    <row r="2755" spans="1:32" ht="14.25" customHeight="1">
      <c r="A2755" s="176"/>
      <c r="B2755" s="176"/>
      <c r="C2755" s="177"/>
      <c r="D2755" s="176"/>
      <c r="E2755" s="176"/>
      <c r="F2755" s="259"/>
      <c r="G2755" s="176"/>
      <c r="H2755" s="178"/>
      <c r="I2755" s="592">
        <f t="shared" si="102"/>
        <v>0</v>
      </c>
      <c r="J2755" s="178"/>
      <c r="K2755" s="178"/>
      <c r="L2755" s="275" t="str">
        <f>IF(H:H=0,"",IF(ISERROR(VLOOKUP(H:H,produtos_escape2!$A$2:$B$2794,2,FALSE)),"Código não cadastrado",(VLOOKUP(H:H,produtos_escape2!$A$2:$B$2794,2,FALSE))))</f>
        <v/>
      </c>
      <c r="M2755" s="593" t="str">
        <f>IF(H:H=0,"",IF(ISERROR(VLOOKUP(H:H,produtos_escape2!$A$2:$D$2794,2,FALSE)),"Código não cadastrado",(VLOOKUP(H:H,produtos_escape2!$A$2:$D$2794,4,FALSE))))</f>
        <v/>
      </c>
      <c r="N2755" s="486"/>
      <c r="O2755" s="176"/>
      <c r="P2755" s="486"/>
      <c r="Q2755" s="247"/>
      <c r="R2755" s="246">
        <f t="shared" si="101"/>
        <v>0</v>
      </c>
      <c r="S2755" s="177"/>
      <c r="T2755" s="182"/>
      <c r="U2755" s="177"/>
      <c r="V2755" s="177"/>
      <c r="W2755" s="177"/>
      <c r="X2755" s="176"/>
      <c r="Y2755" s="177"/>
      <c r="Z2755" s="415"/>
      <c r="AA2755" s="488"/>
      <c r="AB2755" s="594"/>
      <c r="AC2755" s="595"/>
      <c r="AD2755" s="596" t="str">
        <f>IF(AND(AC2755&lt;&gt;"",S2755&lt;&gt;""),NETWORKDAYS(AC2755,S2755,#REF!),"")</f>
        <v/>
      </c>
      <c r="AE2755" s="596" t="str">
        <f ca="1">IF(AND(AD2755="",AC2755=""),"",IF(OR(AD2755&lt;&gt;"",O2755="*CANCELADO"),"",NETWORKDAYS(AC2755,TODAY(),#REF!)))</f>
        <v/>
      </c>
      <c r="AF2755" s="619"/>
    </row>
    <row r="2756" spans="1:32" ht="14.25" customHeight="1">
      <c r="A2756" s="176"/>
      <c r="B2756" s="176"/>
      <c r="C2756" s="177"/>
      <c r="D2756" s="176"/>
      <c r="E2756" s="176"/>
      <c r="F2756" s="259"/>
      <c r="G2756" s="176"/>
      <c r="H2756" s="178"/>
      <c r="I2756" s="592">
        <f t="shared" si="102"/>
        <v>0</v>
      </c>
      <c r="J2756" s="178"/>
      <c r="K2756" s="178"/>
      <c r="L2756" s="275" t="str">
        <f>IF(H:H=0,"",IF(ISERROR(VLOOKUP(H:H,produtos_escape2!$A$2:$B$2794,2,FALSE)),"Código não cadastrado",(VLOOKUP(H:H,produtos_escape2!$A$2:$B$2794,2,FALSE))))</f>
        <v/>
      </c>
      <c r="M2756" s="593" t="str">
        <f>IF(H:H=0,"",IF(ISERROR(VLOOKUP(H:H,produtos_escape2!$A$2:$D$2794,2,FALSE)),"Código não cadastrado",(VLOOKUP(H:H,produtos_escape2!$A$2:$D$2794,4,FALSE))))</f>
        <v/>
      </c>
      <c r="N2756" s="486"/>
      <c r="O2756" s="176"/>
      <c r="P2756" s="486"/>
      <c r="Q2756" s="247"/>
      <c r="R2756" s="246">
        <f t="shared" si="101"/>
        <v>0</v>
      </c>
      <c r="S2756" s="177"/>
      <c r="T2756" s="182"/>
      <c r="U2756" s="177"/>
      <c r="V2756" s="177"/>
      <c r="W2756" s="177"/>
      <c r="X2756" s="176"/>
      <c r="Y2756" s="177"/>
      <c r="Z2756" s="415"/>
      <c r="AA2756" s="488"/>
      <c r="AB2756" s="594"/>
      <c r="AC2756" s="595"/>
      <c r="AD2756" s="596" t="str">
        <f>IF(AND(AC2756&lt;&gt;"",S2756&lt;&gt;""),NETWORKDAYS(AC2756,S2756,#REF!),"")</f>
        <v/>
      </c>
      <c r="AE2756" s="596" t="str">
        <f ca="1">IF(AND(AD2756="",AC2756=""),"",IF(OR(AD2756&lt;&gt;"",O2756="*CANCELADO"),"",NETWORKDAYS(AC2756,TODAY(),#REF!)))</f>
        <v/>
      </c>
      <c r="AF2756" s="619"/>
    </row>
    <row r="2757" spans="1:32" ht="14.25" customHeight="1">
      <c r="A2757" s="176"/>
      <c r="B2757" s="176"/>
      <c r="C2757" s="177"/>
      <c r="D2757" s="176"/>
      <c r="E2757" s="176"/>
      <c r="F2757" s="259"/>
      <c r="G2757" s="176"/>
      <c r="H2757" s="178"/>
      <c r="I2757" s="592">
        <f t="shared" si="102"/>
        <v>0</v>
      </c>
      <c r="J2757" s="178"/>
      <c r="K2757" s="178"/>
      <c r="L2757" s="275" t="str">
        <f>IF(H:H=0,"",IF(ISERROR(VLOOKUP(H:H,produtos_escape2!$A$2:$B$2794,2,FALSE)),"Código não cadastrado",(VLOOKUP(H:H,produtos_escape2!$A$2:$B$2794,2,FALSE))))</f>
        <v/>
      </c>
      <c r="M2757" s="593" t="str">
        <f>IF(H:H=0,"",IF(ISERROR(VLOOKUP(H:H,produtos_escape2!$A$2:$D$2794,2,FALSE)),"Código não cadastrado",(VLOOKUP(H:H,produtos_escape2!$A$2:$D$2794,4,FALSE))))</f>
        <v/>
      </c>
      <c r="N2757" s="486"/>
      <c r="O2757" s="176"/>
      <c r="P2757" s="486"/>
      <c r="Q2757" s="247"/>
      <c r="R2757" s="246">
        <f t="shared" si="101"/>
        <v>0</v>
      </c>
      <c r="S2757" s="177"/>
      <c r="T2757" s="182"/>
      <c r="U2757" s="177"/>
      <c r="V2757" s="177"/>
      <c r="W2757" s="177"/>
      <c r="X2757" s="176"/>
      <c r="Y2757" s="177"/>
      <c r="Z2757" s="415"/>
      <c r="AA2757" s="488"/>
      <c r="AB2757" s="594"/>
      <c r="AC2757" s="595"/>
      <c r="AD2757" s="596" t="str">
        <f>IF(AND(AC2757&lt;&gt;"",S2757&lt;&gt;""),NETWORKDAYS(AC2757,S2757,#REF!),"")</f>
        <v/>
      </c>
      <c r="AE2757" s="596" t="str">
        <f ca="1">IF(AND(AD2757="",AC2757=""),"",IF(OR(AD2757&lt;&gt;"",O2757="*CANCELADO"),"",NETWORKDAYS(AC2757,TODAY(),#REF!)))</f>
        <v/>
      </c>
      <c r="AF2757" s="619"/>
    </row>
    <row r="2758" spans="1:32" ht="14.25" customHeight="1">
      <c r="A2758" s="176"/>
      <c r="B2758" s="176"/>
      <c r="C2758" s="177"/>
      <c r="D2758" s="176"/>
      <c r="E2758" s="176"/>
      <c r="F2758" s="259"/>
      <c r="G2758" s="176"/>
      <c r="H2758" s="178"/>
      <c r="I2758" s="592">
        <f t="shared" si="102"/>
        <v>0</v>
      </c>
      <c r="J2758" s="178"/>
      <c r="K2758" s="178"/>
      <c r="L2758" s="275" t="str">
        <f>IF(H:H=0,"",IF(ISERROR(VLOOKUP(H:H,produtos_escape2!$A$2:$B$2794,2,FALSE)),"Código não cadastrado",(VLOOKUP(H:H,produtos_escape2!$A$2:$B$2794,2,FALSE))))</f>
        <v/>
      </c>
      <c r="M2758" s="593" t="str">
        <f>IF(H:H=0,"",IF(ISERROR(VLOOKUP(H:H,produtos_escape2!$A$2:$D$2794,2,FALSE)),"Código não cadastrado",(VLOOKUP(H:H,produtos_escape2!$A$2:$D$2794,4,FALSE))))</f>
        <v/>
      </c>
      <c r="N2758" s="486"/>
      <c r="O2758" s="176"/>
      <c r="P2758" s="486"/>
      <c r="Q2758" s="247"/>
      <c r="R2758" s="246">
        <f t="shared" si="101"/>
        <v>0</v>
      </c>
      <c r="S2758" s="177"/>
      <c r="T2758" s="182"/>
      <c r="U2758" s="177"/>
      <c r="V2758" s="177"/>
      <c r="W2758" s="177"/>
      <c r="X2758" s="176"/>
      <c r="Y2758" s="177"/>
      <c r="Z2758" s="415"/>
      <c r="AA2758" s="488"/>
      <c r="AB2758" s="594"/>
      <c r="AC2758" s="595"/>
      <c r="AD2758" s="596" t="str">
        <f>IF(AND(AC2758&lt;&gt;"",S2758&lt;&gt;""),NETWORKDAYS(AC2758,S2758,#REF!),"")</f>
        <v/>
      </c>
      <c r="AE2758" s="596" t="str">
        <f ca="1">IF(AND(AD2758="",AC2758=""),"",IF(OR(AD2758&lt;&gt;"",O2758="*CANCELADO"),"",NETWORKDAYS(AC2758,TODAY(),#REF!)))</f>
        <v/>
      </c>
      <c r="AF2758" s="619"/>
    </row>
    <row r="2759" spans="1:32" ht="14.25" customHeight="1">
      <c r="A2759" s="176"/>
      <c r="B2759" s="176"/>
      <c r="C2759" s="177"/>
      <c r="D2759" s="176"/>
      <c r="E2759" s="176"/>
      <c r="F2759" s="259"/>
      <c r="G2759" s="176"/>
      <c r="H2759" s="178"/>
      <c r="I2759" s="592">
        <f t="shared" si="102"/>
        <v>0</v>
      </c>
      <c r="J2759" s="178"/>
      <c r="K2759" s="178"/>
      <c r="L2759" s="275" t="str">
        <f>IF(H:H=0,"",IF(ISERROR(VLOOKUP(H:H,produtos_escape2!$A$2:$B$2794,2,FALSE)),"Código não cadastrado",(VLOOKUP(H:H,produtos_escape2!$A$2:$B$2794,2,FALSE))))</f>
        <v/>
      </c>
      <c r="M2759" s="593" t="str">
        <f>IF(H:H=0,"",IF(ISERROR(VLOOKUP(H:H,produtos_escape2!$A$2:$D$2794,2,FALSE)),"Código não cadastrado",(VLOOKUP(H:H,produtos_escape2!$A$2:$D$2794,4,FALSE))))</f>
        <v/>
      </c>
      <c r="N2759" s="486"/>
      <c r="O2759" s="176"/>
      <c r="P2759" s="486"/>
      <c r="Q2759" s="247"/>
      <c r="R2759" s="246">
        <f t="shared" si="101"/>
        <v>0</v>
      </c>
      <c r="S2759" s="177"/>
      <c r="T2759" s="182"/>
      <c r="U2759" s="177"/>
      <c r="V2759" s="177"/>
      <c r="W2759" s="177"/>
      <c r="X2759" s="176"/>
      <c r="Y2759" s="177"/>
      <c r="Z2759" s="415"/>
      <c r="AA2759" s="488"/>
      <c r="AB2759" s="594"/>
      <c r="AC2759" s="595"/>
      <c r="AD2759" s="596" t="str">
        <f>IF(AND(AC2759&lt;&gt;"",S2759&lt;&gt;""),NETWORKDAYS(AC2759,S2759,#REF!),"")</f>
        <v/>
      </c>
      <c r="AE2759" s="596" t="str">
        <f ca="1">IF(AND(AD2759="",AC2759=""),"",IF(OR(AD2759&lt;&gt;"",O2759="*CANCELADO"),"",NETWORKDAYS(AC2759,TODAY(),#REF!)))</f>
        <v/>
      </c>
      <c r="AF2759" s="619"/>
    </row>
    <row r="2760" spans="1:32" ht="14.25" customHeight="1">
      <c r="A2760" s="176"/>
      <c r="B2760" s="176"/>
      <c r="C2760" s="177"/>
      <c r="D2760" s="176"/>
      <c r="E2760" s="176"/>
      <c r="F2760" s="259"/>
      <c r="G2760" s="176"/>
      <c r="H2760" s="178"/>
      <c r="I2760" s="592">
        <f t="shared" si="102"/>
        <v>0</v>
      </c>
      <c r="J2760" s="178"/>
      <c r="K2760" s="178"/>
      <c r="L2760" s="275" t="str">
        <f>IF(H:H=0,"",IF(ISERROR(VLOOKUP(H:H,produtos_escape2!$A$2:$B$2794,2,FALSE)),"Código não cadastrado",(VLOOKUP(H:H,produtos_escape2!$A$2:$B$2794,2,FALSE))))</f>
        <v/>
      </c>
      <c r="M2760" s="593" t="str">
        <f>IF(H:H=0,"",IF(ISERROR(VLOOKUP(H:H,produtos_escape2!$A$2:$D$2794,2,FALSE)),"Código não cadastrado",(VLOOKUP(H:H,produtos_escape2!$A$2:$D$2794,4,FALSE))))</f>
        <v/>
      </c>
      <c r="N2760" s="486"/>
      <c r="O2760" s="176"/>
      <c r="P2760" s="486"/>
      <c r="Q2760" s="247"/>
      <c r="R2760" s="246">
        <f t="shared" si="101"/>
        <v>0</v>
      </c>
      <c r="S2760" s="177"/>
      <c r="T2760" s="182"/>
      <c r="U2760" s="177"/>
      <c r="V2760" s="177"/>
      <c r="W2760" s="177"/>
      <c r="X2760" s="176"/>
      <c r="Y2760" s="177"/>
      <c r="Z2760" s="415"/>
      <c r="AA2760" s="488"/>
      <c r="AB2760" s="594"/>
      <c r="AC2760" s="595"/>
      <c r="AD2760" s="596" t="str">
        <f>IF(AND(AC2760&lt;&gt;"",S2760&lt;&gt;""),NETWORKDAYS(AC2760,S2760,#REF!),"")</f>
        <v/>
      </c>
      <c r="AE2760" s="596" t="str">
        <f ca="1">IF(AND(AD2760="",AC2760=""),"",IF(OR(AD2760&lt;&gt;"",O2760="*CANCELADO"),"",NETWORKDAYS(AC2760,TODAY(),#REF!)))</f>
        <v/>
      </c>
      <c r="AF2760" s="619"/>
    </row>
    <row r="2761" spans="1:32" ht="14.25" customHeight="1">
      <c r="A2761" s="176"/>
      <c r="B2761" s="176"/>
      <c r="C2761" s="177"/>
      <c r="D2761" s="176"/>
      <c r="E2761" s="176"/>
      <c r="F2761" s="259"/>
      <c r="G2761" s="176"/>
      <c r="H2761" s="178"/>
      <c r="I2761" s="592">
        <f t="shared" si="102"/>
        <v>0</v>
      </c>
      <c r="J2761" s="178"/>
      <c r="K2761" s="178"/>
      <c r="L2761" s="275" t="str">
        <f>IF(H:H=0,"",IF(ISERROR(VLOOKUP(H:H,produtos_escape2!$A$2:$B$2794,2,FALSE)),"Código não cadastrado",(VLOOKUP(H:H,produtos_escape2!$A$2:$B$2794,2,FALSE))))</f>
        <v/>
      </c>
      <c r="M2761" s="593" t="str">
        <f>IF(H:H=0,"",IF(ISERROR(VLOOKUP(H:H,produtos_escape2!$A$2:$D$2794,2,FALSE)),"Código não cadastrado",(VLOOKUP(H:H,produtos_escape2!$A$2:$D$2794,4,FALSE))))</f>
        <v/>
      </c>
      <c r="N2761" s="486"/>
      <c r="O2761" s="176"/>
      <c r="P2761" s="486"/>
      <c r="Q2761" s="247"/>
      <c r="R2761" s="246">
        <f t="shared" si="101"/>
        <v>0</v>
      </c>
      <c r="S2761" s="177"/>
      <c r="T2761" s="182"/>
      <c r="U2761" s="177"/>
      <c r="V2761" s="177"/>
      <c r="W2761" s="177"/>
      <c r="X2761" s="176"/>
      <c r="Y2761" s="177"/>
      <c r="Z2761" s="415"/>
      <c r="AA2761" s="488"/>
      <c r="AB2761" s="594"/>
      <c r="AC2761" s="595"/>
      <c r="AD2761" s="596" t="str">
        <f>IF(AND(AC2761&lt;&gt;"",S2761&lt;&gt;""),NETWORKDAYS(AC2761,S2761,#REF!),"")</f>
        <v/>
      </c>
      <c r="AE2761" s="596" t="str">
        <f ca="1">IF(AND(AD2761="",AC2761=""),"",IF(OR(AD2761&lt;&gt;"",O2761="*CANCELADO"),"",NETWORKDAYS(AC2761,TODAY(),#REF!)))</f>
        <v/>
      </c>
      <c r="AF2761" s="619"/>
    </row>
    <row r="2762" spans="1:32" ht="14.25" customHeight="1">
      <c r="A2762" s="176"/>
      <c r="B2762" s="176"/>
      <c r="C2762" s="177"/>
      <c r="D2762" s="176"/>
      <c r="E2762" s="176"/>
      <c r="F2762" s="259"/>
      <c r="G2762" s="176"/>
      <c r="H2762" s="178"/>
      <c r="I2762" s="592">
        <f t="shared" si="102"/>
        <v>0</v>
      </c>
      <c r="J2762" s="178"/>
      <c r="K2762" s="178"/>
      <c r="L2762" s="275" t="str">
        <f>IF(H:H=0,"",IF(ISERROR(VLOOKUP(H:H,produtos_escape2!$A$2:$B$2794,2,FALSE)),"Código não cadastrado",(VLOOKUP(H:H,produtos_escape2!$A$2:$B$2794,2,FALSE))))</f>
        <v/>
      </c>
      <c r="M2762" s="593" t="str">
        <f>IF(H:H=0,"",IF(ISERROR(VLOOKUP(H:H,produtos_escape2!$A$2:$D$2794,2,FALSE)),"Código não cadastrado",(VLOOKUP(H:H,produtos_escape2!$A$2:$D$2794,4,FALSE))))</f>
        <v/>
      </c>
      <c r="N2762" s="486"/>
      <c r="O2762" s="176"/>
      <c r="P2762" s="486"/>
      <c r="Q2762" s="247"/>
      <c r="R2762" s="246">
        <f t="shared" si="101"/>
        <v>0</v>
      </c>
      <c r="S2762" s="177"/>
      <c r="T2762" s="182"/>
      <c r="U2762" s="177"/>
      <c r="V2762" s="177"/>
      <c r="W2762" s="177"/>
      <c r="X2762" s="176"/>
      <c r="Y2762" s="177"/>
      <c r="Z2762" s="415"/>
      <c r="AA2762" s="488"/>
      <c r="AB2762" s="594"/>
      <c r="AC2762" s="595"/>
      <c r="AD2762" s="596" t="str">
        <f>IF(AND(AC2762&lt;&gt;"",S2762&lt;&gt;""),NETWORKDAYS(AC2762,S2762,#REF!),"")</f>
        <v/>
      </c>
      <c r="AE2762" s="596" t="str">
        <f ca="1">IF(AND(AD2762="",AC2762=""),"",IF(OR(AD2762&lt;&gt;"",O2762="*CANCELADO"),"",NETWORKDAYS(AC2762,TODAY(),#REF!)))</f>
        <v/>
      </c>
      <c r="AF2762" s="619"/>
    </row>
    <row r="2763" spans="1:32" ht="14.25" customHeight="1">
      <c r="A2763" s="176"/>
      <c r="B2763" s="176"/>
      <c r="C2763" s="177"/>
      <c r="D2763" s="176"/>
      <c r="E2763" s="176"/>
      <c r="F2763" s="259"/>
      <c r="G2763" s="176"/>
      <c r="H2763" s="178"/>
      <c r="I2763" s="592">
        <f t="shared" si="102"/>
        <v>0</v>
      </c>
      <c r="J2763" s="178"/>
      <c r="K2763" s="178"/>
      <c r="L2763" s="275" t="str">
        <f>IF(H:H=0,"",IF(ISERROR(VLOOKUP(H:H,produtos_escape2!$A$2:$B$2794,2,FALSE)),"Código não cadastrado",(VLOOKUP(H:H,produtos_escape2!$A$2:$B$2794,2,FALSE))))</f>
        <v/>
      </c>
      <c r="M2763" s="593" t="str">
        <f>IF(H:H=0,"",IF(ISERROR(VLOOKUP(H:H,produtos_escape2!$A$2:$D$2794,2,FALSE)),"Código não cadastrado",(VLOOKUP(H:H,produtos_escape2!$A$2:$D$2794,4,FALSE))))</f>
        <v/>
      </c>
      <c r="N2763" s="486"/>
      <c r="O2763" s="176"/>
      <c r="P2763" s="486"/>
      <c r="Q2763" s="247"/>
      <c r="R2763" s="246">
        <f t="shared" si="101"/>
        <v>0</v>
      </c>
      <c r="S2763" s="177"/>
      <c r="T2763" s="182"/>
      <c r="U2763" s="177"/>
      <c r="V2763" s="177"/>
      <c r="W2763" s="177"/>
      <c r="X2763" s="176"/>
      <c r="Y2763" s="177"/>
      <c r="Z2763" s="415"/>
      <c r="AA2763" s="488"/>
      <c r="AB2763" s="594"/>
      <c r="AC2763" s="595"/>
      <c r="AD2763" s="596" t="str">
        <f>IF(AND(AC2763&lt;&gt;"",S2763&lt;&gt;""),NETWORKDAYS(AC2763,S2763,#REF!),"")</f>
        <v/>
      </c>
      <c r="AE2763" s="596" t="str">
        <f ca="1">IF(AND(AD2763="",AC2763=""),"",IF(OR(AD2763&lt;&gt;"",O2763="*CANCELADO"),"",NETWORKDAYS(AC2763,TODAY(),#REF!)))</f>
        <v/>
      </c>
      <c r="AF2763" s="619"/>
    </row>
    <row r="2764" spans="1:32" ht="14.25" customHeight="1">
      <c r="A2764" s="176"/>
      <c r="B2764" s="176"/>
      <c r="C2764" s="177"/>
      <c r="D2764" s="176"/>
      <c r="E2764" s="176"/>
      <c r="F2764" s="259"/>
      <c r="G2764" s="176"/>
      <c r="H2764" s="178"/>
      <c r="I2764" s="592">
        <f t="shared" si="102"/>
        <v>0</v>
      </c>
      <c r="J2764" s="178"/>
      <c r="K2764" s="178"/>
      <c r="L2764" s="275" t="str">
        <f>IF(H:H=0,"",IF(ISERROR(VLOOKUP(H:H,produtos_escape2!$A$2:$B$2794,2,FALSE)),"Código não cadastrado",(VLOOKUP(H:H,produtos_escape2!$A$2:$B$2794,2,FALSE))))</f>
        <v/>
      </c>
      <c r="M2764" s="593" t="str">
        <f>IF(H:H=0,"",IF(ISERROR(VLOOKUP(H:H,produtos_escape2!$A$2:$D$2794,2,FALSE)),"Código não cadastrado",(VLOOKUP(H:H,produtos_escape2!$A$2:$D$2794,4,FALSE))))</f>
        <v/>
      </c>
      <c r="N2764" s="486"/>
      <c r="O2764" s="176"/>
      <c r="P2764" s="486"/>
      <c r="Q2764" s="247"/>
      <c r="R2764" s="246">
        <f t="shared" si="101"/>
        <v>0</v>
      </c>
      <c r="S2764" s="177"/>
      <c r="T2764" s="182"/>
      <c r="U2764" s="177"/>
      <c r="V2764" s="177"/>
      <c r="W2764" s="177"/>
      <c r="X2764" s="176"/>
      <c r="Y2764" s="177"/>
      <c r="Z2764" s="415"/>
      <c r="AA2764" s="488"/>
      <c r="AB2764" s="594"/>
      <c r="AC2764" s="595"/>
      <c r="AD2764" s="596" t="str">
        <f>IF(AND(AC2764&lt;&gt;"",S2764&lt;&gt;""),NETWORKDAYS(AC2764,S2764,#REF!),"")</f>
        <v/>
      </c>
      <c r="AE2764" s="596" t="str">
        <f ca="1">IF(AND(AD2764="",AC2764=""),"",IF(OR(AD2764&lt;&gt;"",O2764="*CANCELADO"),"",NETWORKDAYS(AC2764,TODAY(),#REF!)))</f>
        <v/>
      </c>
      <c r="AF2764" s="619"/>
    </row>
    <row r="2765" spans="1:32" ht="14.25" customHeight="1">
      <c r="A2765" s="176"/>
      <c r="B2765" s="176"/>
      <c r="C2765" s="177"/>
      <c r="D2765" s="176"/>
      <c r="E2765" s="176"/>
      <c r="F2765" s="259"/>
      <c r="G2765" s="176"/>
      <c r="H2765" s="178"/>
      <c r="I2765" s="592">
        <f t="shared" si="102"/>
        <v>0</v>
      </c>
      <c r="J2765" s="178"/>
      <c r="K2765" s="178"/>
      <c r="L2765" s="275" t="str">
        <f>IF(H:H=0,"",IF(ISERROR(VLOOKUP(H:H,produtos_escape2!$A$2:$B$2794,2,FALSE)),"Código não cadastrado",(VLOOKUP(H:H,produtos_escape2!$A$2:$B$2794,2,FALSE))))</f>
        <v/>
      </c>
      <c r="M2765" s="593" t="str">
        <f>IF(H:H=0,"",IF(ISERROR(VLOOKUP(H:H,produtos_escape2!$A$2:$D$2794,2,FALSE)),"Código não cadastrado",(VLOOKUP(H:H,produtos_escape2!$A$2:$D$2794,4,FALSE))))</f>
        <v/>
      </c>
      <c r="N2765" s="486"/>
      <c r="O2765" s="176"/>
      <c r="P2765" s="486"/>
      <c r="Q2765" s="247"/>
      <c r="R2765" s="246">
        <f t="shared" si="101"/>
        <v>0</v>
      </c>
      <c r="S2765" s="177"/>
      <c r="T2765" s="182"/>
      <c r="U2765" s="177"/>
      <c r="V2765" s="177"/>
      <c r="W2765" s="177"/>
      <c r="X2765" s="176"/>
      <c r="Y2765" s="177"/>
      <c r="Z2765" s="415"/>
      <c r="AA2765" s="488"/>
      <c r="AB2765" s="594"/>
      <c r="AC2765" s="595"/>
      <c r="AD2765" s="596" t="str">
        <f>IF(AND(AC2765&lt;&gt;"",S2765&lt;&gt;""),NETWORKDAYS(AC2765,S2765,#REF!),"")</f>
        <v/>
      </c>
      <c r="AE2765" s="596" t="str">
        <f ca="1">IF(AND(AD2765="",AC2765=""),"",IF(OR(AD2765&lt;&gt;"",O2765="*CANCELADO"),"",NETWORKDAYS(AC2765,TODAY(),#REF!)))</f>
        <v/>
      </c>
      <c r="AF2765" s="619"/>
    </row>
    <row r="2766" spans="1:32" ht="14.25" customHeight="1">
      <c r="A2766" s="176"/>
      <c r="B2766" s="176"/>
      <c r="C2766" s="177"/>
      <c r="D2766" s="176"/>
      <c r="E2766" s="176"/>
      <c r="F2766" s="259"/>
      <c r="G2766" s="176"/>
      <c r="H2766" s="178"/>
      <c r="I2766" s="592">
        <f t="shared" si="102"/>
        <v>0</v>
      </c>
      <c r="J2766" s="178"/>
      <c r="K2766" s="178"/>
      <c r="L2766" s="275" t="str">
        <f>IF(H:H=0,"",IF(ISERROR(VLOOKUP(H:H,produtos_escape2!$A$2:$B$2794,2,FALSE)),"Código não cadastrado",(VLOOKUP(H:H,produtos_escape2!$A$2:$B$2794,2,FALSE))))</f>
        <v/>
      </c>
      <c r="M2766" s="593" t="str">
        <f>IF(H:H=0,"",IF(ISERROR(VLOOKUP(H:H,produtos_escape2!$A$2:$D$2794,2,FALSE)),"Código não cadastrado",(VLOOKUP(H:H,produtos_escape2!$A$2:$D$2794,4,FALSE))))</f>
        <v/>
      </c>
      <c r="N2766" s="486"/>
      <c r="O2766" s="176"/>
      <c r="P2766" s="486"/>
      <c r="Q2766" s="247"/>
      <c r="R2766" s="246">
        <f t="shared" si="101"/>
        <v>0</v>
      </c>
      <c r="S2766" s="177"/>
      <c r="T2766" s="182"/>
      <c r="U2766" s="177"/>
      <c r="V2766" s="177"/>
      <c r="W2766" s="177"/>
      <c r="X2766" s="176"/>
      <c r="Y2766" s="177"/>
      <c r="Z2766" s="415"/>
      <c r="AA2766" s="488"/>
      <c r="AB2766" s="594"/>
      <c r="AC2766" s="595"/>
      <c r="AD2766" s="596" t="str">
        <f>IF(AND(AC2766&lt;&gt;"",S2766&lt;&gt;""),NETWORKDAYS(AC2766,S2766,#REF!),"")</f>
        <v/>
      </c>
      <c r="AE2766" s="596" t="str">
        <f ca="1">IF(AND(AD2766="",AC2766=""),"",IF(OR(AD2766&lt;&gt;"",O2766="*CANCELADO"),"",NETWORKDAYS(AC2766,TODAY(),#REF!)))</f>
        <v/>
      </c>
      <c r="AF2766" s="619"/>
    </row>
    <row r="2767" spans="1:32" ht="14.25" customHeight="1">
      <c r="A2767" s="176"/>
      <c r="B2767" s="176"/>
      <c r="C2767" s="177"/>
      <c r="D2767" s="176"/>
      <c r="E2767" s="176"/>
      <c r="F2767" s="259"/>
      <c r="G2767" s="176"/>
      <c r="H2767" s="178"/>
      <c r="I2767" s="592">
        <f t="shared" si="102"/>
        <v>0</v>
      </c>
      <c r="J2767" s="178"/>
      <c r="K2767" s="178"/>
      <c r="L2767" s="275" t="str">
        <f>IF(H:H=0,"",IF(ISERROR(VLOOKUP(H:H,produtos_escape2!$A$2:$B$2794,2,FALSE)),"Código não cadastrado",(VLOOKUP(H:H,produtos_escape2!$A$2:$B$2794,2,FALSE))))</f>
        <v/>
      </c>
      <c r="M2767" s="593" t="str">
        <f>IF(H:H=0,"",IF(ISERROR(VLOOKUP(H:H,produtos_escape2!$A$2:$D$2794,2,FALSE)),"Código não cadastrado",(VLOOKUP(H:H,produtos_escape2!$A$2:$D$2794,4,FALSE))))</f>
        <v/>
      </c>
      <c r="N2767" s="486"/>
      <c r="O2767" s="176"/>
      <c r="P2767" s="486"/>
      <c r="Q2767" s="247"/>
      <c r="R2767" s="246">
        <f t="shared" si="101"/>
        <v>0</v>
      </c>
      <c r="S2767" s="177"/>
      <c r="T2767" s="182"/>
      <c r="U2767" s="177"/>
      <c r="V2767" s="177"/>
      <c r="W2767" s="177"/>
      <c r="X2767" s="176"/>
      <c r="Y2767" s="177"/>
      <c r="Z2767" s="415"/>
      <c r="AA2767" s="488"/>
      <c r="AB2767" s="594"/>
      <c r="AC2767" s="595"/>
      <c r="AD2767" s="596" t="str">
        <f>IF(AND(AC2767&lt;&gt;"",S2767&lt;&gt;""),NETWORKDAYS(AC2767,S2767,#REF!),"")</f>
        <v/>
      </c>
      <c r="AE2767" s="596" t="str">
        <f ca="1">IF(AND(AD2767="",AC2767=""),"",IF(OR(AD2767&lt;&gt;"",O2767="*CANCELADO"),"",NETWORKDAYS(AC2767,TODAY(),#REF!)))</f>
        <v/>
      </c>
      <c r="AF2767" s="619"/>
    </row>
    <row r="2768" spans="1:32" ht="14.25" customHeight="1">
      <c r="A2768" s="176"/>
      <c r="B2768" s="176"/>
      <c r="C2768" s="177"/>
      <c r="D2768" s="176"/>
      <c r="E2768" s="176"/>
      <c r="F2768" s="259"/>
      <c r="G2768" s="176"/>
      <c r="H2768" s="178"/>
      <c r="I2768" s="592">
        <f t="shared" si="102"/>
        <v>0</v>
      </c>
      <c r="J2768" s="178"/>
      <c r="K2768" s="178"/>
      <c r="L2768" s="275" t="str">
        <f>IF(H:H=0,"",IF(ISERROR(VLOOKUP(H:H,produtos_escape2!$A$2:$B$2794,2,FALSE)),"Código não cadastrado",(VLOOKUP(H:H,produtos_escape2!$A$2:$B$2794,2,FALSE))))</f>
        <v/>
      </c>
      <c r="M2768" s="593" t="str">
        <f>IF(H:H=0,"",IF(ISERROR(VLOOKUP(H:H,produtos_escape2!$A$2:$D$2794,2,FALSE)),"Código não cadastrado",(VLOOKUP(H:H,produtos_escape2!$A$2:$D$2794,4,FALSE))))</f>
        <v/>
      </c>
      <c r="N2768" s="486"/>
      <c r="O2768" s="176"/>
      <c r="P2768" s="486"/>
      <c r="Q2768" s="247"/>
      <c r="R2768" s="246">
        <f t="shared" si="101"/>
        <v>0</v>
      </c>
      <c r="S2768" s="177"/>
      <c r="T2768" s="182"/>
      <c r="U2768" s="177"/>
      <c r="V2768" s="177"/>
      <c r="W2768" s="177"/>
      <c r="X2768" s="176"/>
      <c r="Y2768" s="177"/>
      <c r="Z2768" s="415"/>
      <c r="AA2768" s="488"/>
      <c r="AB2768" s="594"/>
      <c r="AC2768" s="595"/>
      <c r="AD2768" s="596" t="str">
        <f>IF(AND(AC2768&lt;&gt;"",S2768&lt;&gt;""),NETWORKDAYS(AC2768,S2768,#REF!),"")</f>
        <v/>
      </c>
      <c r="AE2768" s="596" t="str">
        <f ca="1">IF(AND(AD2768="",AC2768=""),"",IF(OR(AD2768&lt;&gt;"",O2768="*CANCELADO"),"",NETWORKDAYS(AC2768,TODAY(),#REF!)))</f>
        <v/>
      </c>
      <c r="AF2768" s="619"/>
    </row>
    <row r="2769" spans="1:32" ht="14.25" customHeight="1">
      <c r="A2769" s="176"/>
      <c r="B2769" s="176"/>
      <c r="C2769" s="177"/>
      <c r="D2769" s="176"/>
      <c r="E2769" s="176"/>
      <c r="F2769" s="259"/>
      <c r="G2769" s="176"/>
      <c r="H2769" s="178"/>
      <c r="I2769" s="592">
        <f t="shared" si="102"/>
        <v>0</v>
      </c>
      <c r="J2769" s="178"/>
      <c r="K2769" s="178"/>
      <c r="L2769" s="275" t="str">
        <f>IF(H:H=0,"",IF(ISERROR(VLOOKUP(H:H,produtos_escape2!$A$2:$B$2794,2,FALSE)),"Código não cadastrado",(VLOOKUP(H:H,produtos_escape2!$A$2:$B$2794,2,FALSE))))</f>
        <v/>
      </c>
      <c r="M2769" s="593" t="str">
        <f>IF(H:H=0,"",IF(ISERROR(VLOOKUP(H:H,produtos_escape2!$A$2:$D$2794,2,FALSE)),"Código não cadastrado",(VLOOKUP(H:H,produtos_escape2!$A$2:$D$2794,4,FALSE))))</f>
        <v/>
      </c>
      <c r="N2769" s="486"/>
      <c r="O2769" s="176"/>
      <c r="P2769" s="486"/>
      <c r="Q2769" s="247"/>
      <c r="R2769" s="246">
        <f t="shared" si="101"/>
        <v>0</v>
      </c>
      <c r="S2769" s="177"/>
      <c r="T2769" s="182"/>
      <c r="U2769" s="177"/>
      <c r="V2769" s="177"/>
      <c r="W2769" s="177"/>
      <c r="X2769" s="176"/>
      <c r="Y2769" s="177"/>
      <c r="Z2769" s="415"/>
      <c r="AA2769" s="488"/>
      <c r="AB2769" s="594"/>
      <c r="AC2769" s="595"/>
      <c r="AD2769" s="596" t="str">
        <f>IF(AND(AC2769&lt;&gt;"",S2769&lt;&gt;""),NETWORKDAYS(AC2769,S2769,#REF!),"")</f>
        <v/>
      </c>
      <c r="AE2769" s="596" t="str">
        <f ca="1">IF(AND(AD2769="",AC2769=""),"",IF(OR(AD2769&lt;&gt;"",O2769="*CANCELADO"),"",NETWORKDAYS(AC2769,TODAY(),#REF!)))</f>
        <v/>
      </c>
      <c r="AF2769" s="619"/>
    </row>
    <row r="2770" spans="1:32" ht="14.25" customHeight="1">
      <c r="A2770" s="176"/>
      <c r="B2770" s="176"/>
      <c r="C2770" s="177"/>
      <c r="D2770" s="176"/>
      <c r="E2770" s="176"/>
      <c r="F2770" s="259"/>
      <c r="G2770" s="176"/>
      <c r="H2770" s="178"/>
      <c r="I2770" s="592">
        <f t="shared" si="102"/>
        <v>0</v>
      </c>
      <c r="J2770" s="178"/>
      <c r="K2770" s="178"/>
      <c r="L2770" s="275" t="str">
        <f>IF(H:H=0,"",IF(ISERROR(VLOOKUP(H:H,produtos_escape2!$A$2:$B$2794,2,FALSE)),"Código não cadastrado",(VLOOKUP(H:H,produtos_escape2!$A$2:$B$2794,2,FALSE))))</f>
        <v/>
      </c>
      <c r="M2770" s="593" t="str">
        <f>IF(H:H=0,"",IF(ISERROR(VLOOKUP(H:H,produtos_escape2!$A$2:$D$2794,2,FALSE)),"Código não cadastrado",(VLOOKUP(H:H,produtos_escape2!$A$2:$D$2794,4,FALSE))))</f>
        <v/>
      </c>
      <c r="N2770" s="486"/>
      <c r="O2770" s="176"/>
      <c r="P2770" s="486"/>
      <c r="Q2770" s="247"/>
      <c r="R2770" s="246">
        <f t="shared" si="101"/>
        <v>0</v>
      </c>
      <c r="S2770" s="177"/>
      <c r="T2770" s="182"/>
      <c r="U2770" s="177"/>
      <c r="V2770" s="177"/>
      <c r="W2770" s="177"/>
      <c r="X2770" s="176"/>
      <c r="Y2770" s="177"/>
      <c r="Z2770" s="415"/>
      <c r="AA2770" s="488"/>
      <c r="AB2770" s="594"/>
      <c r="AC2770" s="595"/>
      <c r="AD2770" s="596" t="str">
        <f>IF(AND(AC2770&lt;&gt;"",S2770&lt;&gt;""),NETWORKDAYS(AC2770,S2770,#REF!),"")</f>
        <v/>
      </c>
      <c r="AE2770" s="596" t="str">
        <f ca="1">IF(AND(AD2770="",AC2770=""),"",IF(OR(AD2770&lt;&gt;"",O2770="*CANCELADO"),"",NETWORKDAYS(AC2770,TODAY(),#REF!)))</f>
        <v/>
      </c>
      <c r="AF2770" s="619"/>
    </row>
    <row r="2771" spans="1:32" ht="14.25" customHeight="1">
      <c r="A2771" s="176"/>
      <c r="B2771" s="176"/>
      <c r="C2771" s="177"/>
      <c r="D2771" s="176"/>
      <c r="E2771" s="176"/>
      <c r="F2771" s="259"/>
      <c r="G2771" s="176"/>
      <c r="H2771" s="178"/>
      <c r="I2771" s="592">
        <f t="shared" si="102"/>
        <v>0</v>
      </c>
      <c r="J2771" s="178"/>
      <c r="K2771" s="178"/>
      <c r="L2771" s="275" t="str">
        <f>IF(H:H=0,"",IF(ISERROR(VLOOKUP(H:H,produtos_escape2!$A$2:$B$2794,2,FALSE)),"Código não cadastrado",(VLOOKUP(H:H,produtos_escape2!$A$2:$B$2794,2,FALSE))))</f>
        <v/>
      </c>
      <c r="M2771" s="593" t="str">
        <f>IF(H:H=0,"",IF(ISERROR(VLOOKUP(H:H,produtos_escape2!$A$2:$D$2794,2,FALSE)),"Código não cadastrado",(VLOOKUP(H:H,produtos_escape2!$A$2:$D$2794,4,FALSE))))</f>
        <v/>
      </c>
      <c r="N2771" s="486"/>
      <c r="O2771" s="176"/>
      <c r="P2771" s="486"/>
      <c r="Q2771" s="247"/>
      <c r="R2771" s="246">
        <f t="shared" si="101"/>
        <v>0</v>
      </c>
      <c r="S2771" s="177"/>
      <c r="T2771" s="182"/>
      <c r="U2771" s="177"/>
      <c r="V2771" s="177"/>
      <c r="W2771" s="177"/>
      <c r="X2771" s="176"/>
      <c r="Y2771" s="177"/>
      <c r="Z2771" s="415"/>
      <c r="AA2771" s="488"/>
      <c r="AB2771" s="594"/>
      <c r="AC2771" s="595"/>
      <c r="AD2771" s="596" t="str">
        <f>IF(AND(AC2771&lt;&gt;"",S2771&lt;&gt;""),NETWORKDAYS(AC2771,S2771,#REF!),"")</f>
        <v/>
      </c>
      <c r="AE2771" s="596" t="str">
        <f ca="1">IF(AND(AD2771="",AC2771=""),"",IF(OR(AD2771&lt;&gt;"",O2771="*CANCELADO"),"",NETWORKDAYS(AC2771,TODAY(),#REF!)))</f>
        <v/>
      </c>
      <c r="AF2771" s="619"/>
    </row>
    <row r="2772" spans="1:32" ht="14.25" customHeight="1">
      <c r="A2772" s="176"/>
      <c r="B2772" s="176"/>
      <c r="C2772" s="177"/>
      <c r="D2772" s="176"/>
      <c r="E2772" s="176"/>
      <c r="F2772" s="259"/>
      <c r="G2772" s="176"/>
      <c r="H2772" s="178"/>
      <c r="I2772" s="592">
        <f t="shared" si="102"/>
        <v>0</v>
      </c>
      <c r="J2772" s="178"/>
      <c r="K2772" s="178"/>
      <c r="L2772" s="275" t="str">
        <f>IF(H:H=0,"",IF(ISERROR(VLOOKUP(H:H,produtos_escape2!$A$2:$B$2794,2,FALSE)),"Código não cadastrado",(VLOOKUP(H:H,produtos_escape2!$A$2:$B$2794,2,FALSE))))</f>
        <v/>
      </c>
      <c r="M2772" s="593" t="str">
        <f>IF(H:H=0,"",IF(ISERROR(VLOOKUP(H:H,produtos_escape2!$A$2:$D$2794,2,FALSE)),"Código não cadastrado",(VLOOKUP(H:H,produtos_escape2!$A$2:$D$2794,4,FALSE))))</f>
        <v/>
      </c>
      <c r="N2772" s="486"/>
      <c r="O2772" s="176"/>
      <c r="P2772" s="486"/>
      <c r="Q2772" s="247"/>
      <c r="R2772" s="246">
        <f t="shared" si="101"/>
        <v>0</v>
      </c>
      <c r="S2772" s="177"/>
      <c r="T2772" s="182"/>
      <c r="U2772" s="177"/>
      <c r="V2772" s="177"/>
      <c r="W2772" s="177"/>
      <c r="X2772" s="176"/>
      <c r="Y2772" s="177"/>
      <c r="Z2772" s="415"/>
      <c r="AA2772" s="488"/>
      <c r="AB2772" s="594"/>
      <c r="AC2772" s="595"/>
      <c r="AD2772" s="596" t="str">
        <f>IF(AND(AC2772&lt;&gt;"",S2772&lt;&gt;""),NETWORKDAYS(AC2772,S2772,#REF!),"")</f>
        <v/>
      </c>
      <c r="AE2772" s="596" t="str">
        <f ca="1">IF(AND(AD2772="",AC2772=""),"",IF(OR(AD2772&lt;&gt;"",O2772="*CANCELADO"),"",NETWORKDAYS(AC2772,TODAY(),#REF!)))</f>
        <v/>
      </c>
      <c r="AF2772" s="619"/>
    </row>
    <row r="2773" spans="1:32" ht="14.25" customHeight="1">
      <c r="A2773" s="176"/>
      <c r="B2773" s="176"/>
      <c r="C2773" s="177"/>
      <c r="D2773" s="176"/>
      <c r="E2773" s="176"/>
      <c r="F2773" s="259"/>
      <c r="G2773" s="176"/>
      <c r="H2773" s="178"/>
      <c r="I2773" s="592">
        <f t="shared" si="102"/>
        <v>0</v>
      </c>
      <c r="J2773" s="178"/>
      <c r="K2773" s="178"/>
      <c r="L2773" s="275" t="str">
        <f>IF(H:H=0,"",IF(ISERROR(VLOOKUP(H:H,produtos_escape2!$A$2:$B$2794,2,FALSE)),"Código não cadastrado",(VLOOKUP(H:H,produtos_escape2!$A$2:$B$2794,2,FALSE))))</f>
        <v/>
      </c>
      <c r="M2773" s="593" t="str">
        <f>IF(H:H=0,"",IF(ISERROR(VLOOKUP(H:H,produtos_escape2!$A$2:$D$2794,2,FALSE)),"Código não cadastrado",(VLOOKUP(H:H,produtos_escape2!$A$2:$D$2794,4,FALSE))))</f>
        <v/>
      </c>
      <c r="N2773" s="486"/>
      <c r="O2773" s="176"/>
      <c r="P2773" s="486"/>
      <c r="Q2773" s="247"/>
      <c r="R2773" s="246">
        <f t="shared" si="101"/>
        <v>0</v>
      </c>
      <c r="S2773" s="177"/>
      <c r="T2773" s="182"/>
      <c r="U2773" s="177"/>
      <c r="V2773" s="177"/>
      <c r="W2773" s="177"/>
      <c r="X2773" s="176"/>
      <c r="Y2773" s="177"/>
      <c r="Z2773" s="415"/>
      <c r="AA2773" s="488"/>
      <c r="AB2773" s="594"/>
      <c r="AC2773" s="595"/>
      <c r="AD2773" s="596" t="str">
        <f>IF(AND(AC2773&lt;&gt;"",S2773&lt;&gt;""),NETWORKDAYS(AC2773,S2773,#REF!),"")</f>
        <v/>
      </c>
      <c r="AE2773" s="596" t="str">
        <f ca="1">IF(AND(AD2773="",AC2773=""),"",IF(OR(AD2773&lt;&gt;"",O2773="*CANCELADO"),"",NETWORKDAYS(AC2773,TODAY(),#REF!)))</f>
        <v/>
      </c>
      <c r="AF2773" s="619"/>
    </row>
    <row r="2774" spans="1:32" ht="14.25" customHeight="1">
      <c r="A2774" s="176"/>
      <c r="B2774" s="176"/>
      <c r="C2774" s="177"/>
      <c r="D2774" s="176"/>
      <c r="E2774" s="176"/>
      <c r="F2774" s="259"/>
      <c r="G2774" s="176"/>
      <c r="H2774" s="178"/>
      <c r="I2774" s="592">
        <f t="shared" si="102"/>
        <v>0</v>
      </c>
      <c r="J2774" s="178"/>
      <c r="K2774" s="178"/>
      <c r="L2774" s="275" t="str">
        <f>IF(H:H=0,"",IF(ISERROR(VLOOKUP(H:H,produtos_escape2!$A$2:$B$2794,2,FALSE)),"Código não cadastrado",(VLOOKUP(H:H,produtos_escape2!$A$2:$B$2794,2,FALSE))))</f>
        <v/>
      </c>
      <c r="M2774" s="593" t="str">
        <f>IF(H:H=0,"",IF(ISERROR(VLOOKUP(H:H,produtos_escape2!$A$2:$D$2794,2,FALSE)),"Código não cadastrado",(VLOOKUP(H:H,produtos_escape2!$A$2:$D$2794,4,FALSE))))</f>
        <v/>
      </c>
      <c r="N2774" s="486"/>
      <c r="O2774" s="176"/>
      <c r="P2774" s="486"/>
      <c r="Q2774" s="247"/>
      <c r="R2774" s="246">
        <f t="shared" si="101"/>
        <v>0</v>
      </c>
      <c r="S2774" s="177"/>
      <c r="T2774" s="182"/>
      <c r="U2774" s="177"/>
      <c r="V2774" s="177"/>
      <c r="W2774" s="177"/>
      <c r="X2774" s="176"/>
      <c r="Y2774" s="177"/>
      <c r="Z2774" s="415"/>
      <c r="AA2774" s="488"/>
      <c r="AB2774" s="594"/>
      <c r="AC2774" s="595"/>
      <c r="AD2774" s="596" t="str">
        <f>IF(AND(AC2774&lt;&gt;"",S2774&lt;&gt;""),NETWORKDAYS(AC2774,S2774,#REF!),"")</f>
        <v/>
      </c>
      <c r="AE2774" s="596" t="str">
        <f ca="1">IF(AND(AD2774="",AC2774=""),"",IF(OR(AD2774&lt;&gt;"",O2774="*CANCELADO"),"",NETWORKDAYS(AC2774,TODAY(),#REF!)))</f>
        <v/>
      </c>
      <c r="AF2774" s="619"/>
    </row>
    <row r="2775" spans="1:32" ht="14.25" customHeight="1">
      <c r="A2775" s="176"/>
      <c r="B2775" s="176"/>
      <c r="C2775" s="177"/>
      <c r="D2775" s="176"/>
      <c r="E2775" s="176"/>
      <c r="F2775" s="259"/>
      <c r="G2775" s="176"/>
      <c r="H2775" s="178"/>
      <c r="I2775" s="592">
        <f t="shared" si="102"/>
        <v>0</v>
      </c>
      <c r="J2775" s="178"/>
      <c r="K2775" s="178"/>
      <c r="L2775" s="275" t="str">
        <f>IF(H:H=0,"",IF(ISERROR(VLOOKUP(H:H,produtos_escape2!$A$2:$B$2794,2,FALSE)),"Código não cadastrado",(VLOOKUP(H:H,produtos_escape2!$A$2:$B$2794,2,FALSE))))</f>
        <v/>
      </c>
      <c r="M2775" s="593" t="str">
        <f>IF(H:H=0,"",IF(ISERROR(VLOOKUP(H:H,produtos_escape2!$A$2:$D$2794,2,FALSE)),"Código não cadastrado",(VLOOKUP(H:H,produtos_escape2!$A$2:$D$2794,4,FALSE))))</f>
        <v/>
      </c>
      <c r="N2775" s="486"/>
      <c r="O2775" s="176"/>
      <c r="P2775" s="486"/>
      <c r="Q2775" s="247"/>
      <c r="R2775" s="246">
        <f t="shared" si="101"/>
        <v>0</v>
      </c>
      <c r="S2775" s="177"/>
      <c r="T2775" s="182"/>
      <c r="U2775" s="177"/>
      <c r="V2775" s="177"/>
      <c r="W2775" s="177"/>
      <c r="X2775" s="176"/>
      <c r="Y2775" s="177"/>
      <c r="Z2775" s="415"/>
      <c r="AA2775" s="488"/>
      <c r="AB2775" s="594"/>
      <c r="AC2775" s="595"/>
      <c r="AD2775" s="596" t="str">
        <f>IF(AND(AC2775&lt;&gt;"",S2775&lt;&gt;""),NETWORKDAYS(AC2775,S2775,#REF!),"")</f>
        <v/>
      </c>
      <c r="AE2775" s="596" t="str">
        <f ca="1">IF(AND(AD2775="",AC2775=""),"",IF(OR(AD2775&lt;&gt;"",O2775="*CANCELADO"),"",NETWORKDAYS(AC2775,TODAY(),#REF!)))</f>
        <v/>
      </c>
      <c r="AF2775" s="619"/>
    </row>
    <row r="2776" spans="1:32" ht="14.25" customHeight="1">
      <c r="A2776" s="176"/>
      <c r="B2776" s="176"/>
      <c r="C2776" s="177"/>
      <c r="D2776" s="176"/>
      <c r="E2776" s="176"/>
      <c r="F2776" s="259"/>
      <c r="G2776" s="176"/>
      <c r="H2776" s="178"/>
      <c r="I2776" s="592">
        <f t="shared" si="102"/>
        <v>0</v>
      </c>
      <c r="J2776" s="178"/>
      <c r="K2776" s="178"/>
      <c r="L2776" s="275" t="str">
        <f>IF(H:H=0,"",IF(ISERROR(VLOOKUP(H:H,produtos_escape2!$A$2:$B$2794,2,FALSE)),"Código não cadastrado",(VLOOKUP(H:H,produtos_escape2!$A$2:$B$2794,2,FALSE))))</f>
        <v/>
      </c>
      <c r="M2776" s="593" t="str">
        <f>IF(H:H=0,"",IF(ISERROR(VLOOKUP(H:H,produtos_escape2!$A$2:$D$2794,2,FALSE)),"Código não cadastrado",(VLOOKUP(H:H,produtos_escape2!$A$2:$D$2794,4,FALSE))))</f>
        <v/>
      </c>
      <c r="N2776" s="486"/>
      <c r="O2776" s="176"/>
      <c r="P2776" s="486"/>
      <c r="Q2776" s="247"/>
      <c r="R2776" s="246">
        <f t="shared" si="101"/>
        <v>0</v>
      </c>
      <c r="S2776" s="177"/>
      <c r="T2776" s="182"/>
      <c r="U2776" s="177"/>
      <c r="V2776" s="177"/>
      <c r="W2776" s="177"/>
      <c r="X2776" s="176"/>
      <c r="Y2776" s="177"/>
      <c r="Z2776" s="415"/>
      <c r="AA2776" s="488"/>
      <c r="AB2776" s="594"/>
      <c r="AC2776" s="595"/>
      <c r="AD2776" s="596" t="str">
        <f>IF(AND(AC2776&lt;&gt;"",S2776&lt;&gt;""),NETWORKDAYS(AC2776,S2776,#REF!),"")</f>
        <v/>
      </c>
      <c r="AE2776" s="596" t="str">
        <f ca="1">IF(AND(AD2776="",AC2776=""),"",IF(OR(AD2776&lt;&gt;"",O2776="*CANCELADO"),"",NETWORKDAYS(AC2776,TODAY(),#REF!)))</f>
        <v/>
      </c>
      <c r="AF2776" s="619"/>
    </row>
    <row r="2777" spans="1:32" ht="14.25" customHeight="1">
      <c r="A2777" s="176"/>
      <c r="B2777" s="176"/>
      <c r="C2777" s="177"/>
      <c r="D2777" s="176"/>
      <c r="E2777" s="176"/>
      <c r="F2777" s="259"/>
      <c r="G2777" s="176"/>
      <c r="H2777" s="178"/>
      <c r="I2777" s="592">
        <f t="shared" si="102"/>
        <v>0</v>
      </c>
      <c r="J2777" s="178"/>
      <c r="K2777" s="178"/>
      <c r="L2777" s="275" t="str">
        <f>IF(H:H=0,"",IF(ISERROR(VLOOKUP(H:H,produtos_escape2!$A$2:$B$2794,2,FALSE)),"Código não cadastrado",(VLOOKUP(H:H,produtos_escape2!$A$2:$B$2794,2,FALSE))))</f>
        <v/>
      </c>
      <c r="M2777" s="593" t="str">
        <f>IF(H:H=0,"",IF(ISERROR(VLOOKUP(H:H,produtos_escape2!$A$2:$D$2794,2,FALSE)),"Código não cadastrado",(VLOOKUP(H:H,produtos_escape2!$A$2:$D$2794,4,FALSE))))</f>
        <v/>
      </c>
      <c r="N2777" s="486"/>
      <c r="O2777" s="176"/>
      <c r="P2777" s="486"/>
      <c r="Q2777" s="247"/>
      <c r="R2777" s="246">
        <f t="shared" si="101"/>
        <v>0</v>
      </c>
      <c r="S2777" s="177"/>
      <c r="T2777" s="182"/>
      <c r="U2777" s="177"/>
      <c r="V2777" s="177"/>
      <c r="W2777" s="177"/>
      <c r="X2777" s="176"/>
      <c r="Y2777" s="177"/>
      <c r="Z2777" s="415"/>
      <c r="AA2777" s="488"/>
      <c r="AB2777" s="594"/>
      <c r="AC2777" s="595"/>
      <c r="AD2777" s="596" t="str">
        <f>IF(AND(AC2777&lt;&gt;"",S2777&lt;&gt;""),NETWORKDAYS(AC2777,S2777,#REF!),"")</f>
        <v/>
      </c>
      <c r="AE2777" s="596" t="str">
        <f ca="1">IF(AND(AD2777="",AC2777=""),"",IF(OR(AD2777&lt;&gt;"",O2777="*CANCELADO"),"",NETWORKDAYS(AC2777,TODAY(),#REF!)))</f>
        <v/>
      </c>
      <c r="AF2777" s="619"/>
    </row>
    <row r="2778" spans="1:32" ht="14.25" customHeight="1">
      <c r="A2778" s="176"/>
      <c r="B2778" s="176"/>
      <c r="C2778" s="177"/>
      <c r="D2778" s="176"/>
      <c r="E2778" s="176"/>
      <c r="F2778" s="259"/>
      <c r="G2778" s="176"/>
      <c r="H2778" s="178"/>
      <c r="I2778" s="592">
        <f t="shared" si="102"/>
        <v>0</v>
      </c>
      <c r="J2778" s="178"/>
      <c r="K2778" s="178"/>
      <c r="L2778" s="275" t="str">
        <f>IF(H:H=0,"",IF(ISERROR(VLOOKUP(H:H,produtos_escape2!$A$2:$B$2794,2,FALSE)),"Código não cadastrado",(VLOOKUP(H:H,produtos_escape2!$A$2:$B$2794,2,FALSE))))</f>
        <v/>
      </c>
      <c r="M2778" s="593" t="str">
        <f>IF(H:H=0,"",IF(ISERROR(VLOOKUP(H:H,produtos_escape2!$A$2:$D$2794,2,FALSE)),"Código não cadastrado",(VLOOKUP(H:H,produtos_escape2!$A$2:$D$2794,4,FALSE))))</f>
        <v/>
      </c>
      <c r="N2778" s="486"/>
      <c r="O2778" s="176"/>
      <c r="P2778" s="486"/>
      <c r="Q2778" s="247"/>
      <c r="R2778" s="246">
        <f t="shared" si="101"/>
        <v>0</v>
      </c>
      <c r="S2778" s="177"/>
      <c r="T2778" s="182"/>
      <c r="U2778" s="177"/>
      <c r="V2778" s="177"/>
      <c r="W2778" s="177"/>
      <c r="X2778" s="176"/>
      <c r="Y2778" s="177"/>
      <c r="Z2778" s="415"/>
      <c r="AA2778" s="488"/>
      <c r="AB2778" s="594"/>
      <c r="AC2778" s="595"/>
      <c r="AD2778" s="596" t="str">
        <f>IF(AND(AC2778&lt;&gt;"",S2778&lt;&gt;""),NETWORKDAYS(AC2778,S2778,#REF!),"")</f>
        <v/>
      </c>
      <c r="AE2778" s="596" t="str">
        <f ca="1">IF(AND(AD2778="",AC2778=""),"",IF(OR(AD2778&lt;&gt;"",O2778="*CANCELADO"),"",NETWORKDAYS(AC2778,TODAY(),#REF!)))</f>
        <v/>
      </c>
      <c r="AF2778" s="619"/>
    </row>
    <row r="2779" spans="1:32" ht="14.25" customHeight="1">
      <c r="A2779" s="176"/>
      <c r="B2779" s="176"/>
      <c r="C2779" s="177"/>
      <c r="D2779" s="176"/>
      <c r="E2779" s="176"/>
      <c r="F2779" s="259"/>
      <c r="G2779" s="176"/>
      <c r="H2779" s="178"/>
      <c r="I2779" s="592">
        <f t="shared" si="102"/>
        <v>0</v>
      </c>
      <c r="J2779" s="178"/>
      <c r="K2779" s="178"/>
      <c r="L2779" s="275" t="str">
        <f>IF(H:H=0,"",IF(ISERROR(VLOOKUP(H:H,produtos_escape2!$A$2:$B$2794,2,FALSE)),"Código não cadastrado",(VLOOKUP(H:H,produtos_escape2!$A$2:$B$2794,2,FALSE))))</f>
        <v/>
      </c>
      <c r="M2779" s="593" t="str">
        <f>IF(H:H=0,"",IF(ISERROR(VLOOKUP(H:H,produtos_escape2!$A$2:$D$2794,2,FALSE)),"Código não cadastrado",(VLOOKUP(H:H,produtos_escape2!$A$2:$D$2794,4,FALSE))))</f>
        <v/>
      </c>
      <c r="N2779" s="486"/>
      <c r="O2779" s="176"/>
      <c r="P2779" s="486"/>
      <c r="Q2779" s="247"/>
      <c r="R2779" s="246">
        <f t="shared" si="101"/>
        <v>0</v>
      </c>
      <c r="S2779" s="177"/>
      <c r="T2779" s="182"/>
      <c r="U2779" s="177"/>
      <c r="V2779" s="177"/>
      <c r="W2779" s="177"/>
      <c r="X2779" s="176"/>
      <c r="Y2779" s="177"/>
      <c r="Z2779" s="415"/>
      <c r="AA2779" s="488"/>
      <c r="AB2779" s="594"/>
      <c r="AC2779" s="595"/>
      <c r="AD2779" s="596" t="str">
        <f>IF(AND(AC2779&lt;&gt;"",S2779&lt;&gt;""),NETWORKDAYS(AC2779,S2779,#REF!),"")</f>
        <v/>
      </c>
      <c r="AE2779" s="596" t="str">
        <f ca="1">IF(AND(AD2779="",AC2779=""),"",IF(OR(AD2779&lt;&gt;"",O2779="*CANCELADO"),"",NETWORKDAYS(AC2779,TODAY(),#REF!)))</f>
        <v/>
      </c>
      <c r="AF2779" s="619"/>
    </row>
    <row r="2780" spans="1:32" ht="14.25" customHeight="1">
      <c r="A2780" s="176"/>
      <c r="B2780" s="176"/>
      <c r="C2780" s="177"/>
      <c r="D2780" s="176"/>
      <c r="E2780" s="176"/>
      <c r="F2780" s="259"/>
      <c r="G2780" s="176"/>
      <c r="H2780" s="178"/>
      <c r="I2780" s="592">
        <f t="shared" si="102"/>
        <v>0</v>
      </c>
      <c r="J2780" s="178"/>
      <c r="K2780" s="178"/>
      <c r="L2780" s="275" t="str">
        <f>IF(H:H=0,"",IF(ISERROR(VLOOKUP(H:H,produtos_escape2!$A$2:$B$2794,2,FALSE)),"Código não cadastrado",(VLOOKUP(H:H,produtos_escape2!$A$2:$B$2794,2,FALSE))))</f>
        <v/>
      </c>
      <c r="M2780" s="593" t="str">
        <f>IF(H:H=0,"",IF(ISERROR(VLOOKUP(H:H,produtos_escape2!$A$2:$D$2794,2,FALSE)),"Código não cadastrado",(VLOOKUP(H:H,produtos_escape2!$A$2:$D$2794,4,FALSE))))</f>
        <v/>
      </c>
      <c r="N2780" s="486"/>
      <c r="O2780" s="176"/>
      <c r="P2780" s="486"/>
      <c r="Q2780" s="247"/>
      <c r="R2780" s="246">
        <f t="shared" si="101"/>
        <v>0</v>
      </c>
      <c r="S2780" s="177"/>
      <c r="T2780" s="182"/>
      <c r="U2780" s="177"/>
      <c r="V2780" s="177"/>
      <c r="W2780" s="177"/>
      <c r="X2780" s="176"/>
      <c r="Y2780" s="177"/>
      <c r="Z2780" s="415"/>
      <c r="AA2780" s="488"/>
      <c r="AB2780" s="594"/>
      <c r="AC2780" s="595"/>
      <c r="AD2780" s="596" t="str">
        <f>IF(AND(AC2780&lt;&gt;"",S2780&lt;&gt;""),NETWORKDAYS(AC2780,S2780,#REF!),"")</f>
        <v/>
      </c>
      <c r="AE2780" s="596" t="str">
        <f ca="1">IF(AND(AD2780="",AC2780=""),"",IF(OR(AD2780&lt;&gt;"",O2780="*CANCELADO"),"",NETWORKDAYS(AC2780,TODAY(),#REF!)))</f>
        <v/>
      </c>
      <c r="AF2780" s="619"/>
    </row>
    <row r="2781" spans="1:32" ht="14.25" customHeight="1">
      <c r="A2781" s="176"/>
      <c r="B2781" s="176"/>
      <c r="C2781" s="177"/>
      <c r="D2781" s="176"/>
      <c r="E2781" s="176"/>
      <c r="F2781" s="259"/>
      <c r="G2781" s="176"/>
      <c r="H2781" s="178"/>
      <c r="I2781" s="592">
        <f t="shared" si="102"/>
        <v>0</v>
      </c>
      <c r="J2781" s="178"/>
      <c r="K2781" s="178"/>
      <c r="L2781" s="275" t="str">
        <f>IF(H:H=0,"",IF(ISERROR(VLOOKUP(H:H,produtos_escape2!$A$2:$B$2794,2,FALSE)),"Código não cadastrado",(VLOOKUP(H:H,produtos_escape2!$A$2:$B$2794,2,FALSE))))</f>
        <v/>
      </c>
      <c r="M2781" s="593" t="str">
        <f>IF(H:H=0,"",IF(ISERROR(VLOOKUP(H:H,produtos_escape2!$A$2:$D$2794,2,FALSE)),"Código não cadastrado",(VLOOKUP(H:H,produtos_escape2!$A$2:$D$2794,4,FALSE))))</f>
        <v/>
      </c>
      <c r="N2781" s="486"/>
      <c r="O2781" s="176"/>
      <c r="P2781" s="486"/>
      <c r="Q2781" s="247"/>
      <c r="R2781" s="246">
        <f t="shared" si="101"/>
        <v>0</v>
      </c>
      <c r="S2781" s="177"/>
      <c r="T2781" s="182"/>
      <c r="U2781" s="177"/>
      <c r="V2781" s="177"/>
      <c r="W2781" s="177"/>
      <c r="X2781" s="176"/>
      <c r="Y2781" s="177"/>
      <c r="Z2781" s="415"/>
      <c r="AA2781" s="488"/>
      <c r="AB2781" s="594"/>
      <c r="AC2781" s="595"/>
      <c r="AD2781" s="596" t="str">
        <f>IF(AND(AC2781&lt;&gt;"",S2781&lt;&gt;""),NETWORKDAYS(AC2781,S2781,#REF!),"")</f>
        <v/>
      </c>
      <c r="AE2781" s="596" t="str">
        <f ca="1">IF(AND(AD2781="",AC2781=""),"",IF(OR(AD2781&lt;&gt;"",O2781="*CANCELADO"),"",NETWORKDAYS(AC2781,TODAY(),#REF!)))</f>
        <v/>
      </c>
      <c r="AF2781" s="619"/>
    </row>
    <row r="2782" spans="1:32" ht="14.25" customHeight="1">
      <c r="A2782" s="176"/>
      <c r="B2782" s="176"/>
      <c r="C2782" s="177"/>
      <c r="D2782" s="176"/>
      <c r="E2782" s="176"/>
      <c r="F2782" s="259"/>
      <c r="G2782" s="176"/>
      <c r="H2782" s="178"/>
      <c r="I2782" s="592">
        <f t="shared" si="102"/>
        <v>0</v>
      </c>
      <c r="J2782" s="178"/>
      <c r="K2782" s="178"/>
      <c r="L2782" s="275" t="str">
        <f>IF(H:H=0,"",IF(ISERROR(VLOOKUP(H:H,produtos_escape2!$A$2:$B$2794,2,FALSE)),"Código não cadastrado",(VLOOKUP(H:H,produtos_escape2!$A$2:$B$2794,2,FALSE))))</f>
        <v/>
      </c>
      <c r="M2782" s="593" t="str">
        <f>IF(H:H=0,"",IF(ISERROR(VLOOKUP(H:H,produtos_escape2!$A$2:$D$2794,2,FALSE)),"Código não cadastrado",(VLOOKUP(H:H,produtos_escape2!$A$2:$D$2794,4,FALSE))))</f>
        <v/>
      </c>
      <c r="N2782" s="486"/>
      <c r="O2782" s="176"/>
      <c r="P2782" s="486"/>
      <c r="Q2782" s="247"/>
      <c r="R2782" s="246">
        <f t="shared" si="101"/>
        <v>0</v>
      </c>
      <c r="S2782" s="177"/>
      <c r="T2782" s="182"/>
      <c r="U2782" s="177"/>
      <c r="V2782" s="177"/>
      <c r="W2782" s="177"/>
      <c r="X2782" s="176"/>
      <c r="Y2782" s="177"/>
      <c r="Z2782" s="415"/>
      <c r="AA2782" s="488"/>
      <c r="AB2782" s="594"/>
      <c r="AC2782" s="595"/>
      <c r="AD2782" s="596" t="str">
        <f>IF(AND(AC2782&lt;&gt;"",S2782&lt;&gt;""),NETWORKDAYS(AC2782,S2782,#REF!),"")</f>
        <v/>
      </c>
      <c r="AE2782" s="596" t="str">
        <f ca="1">IF(AND(AD2782="",AC2782=""),"",IF(OR(AD2782&lt;&gt;"",O2782="*CANCELADO"),"",NETWORKDAYS(AC2782,TODAY(),#REF!)))</f>
        <v/>
      </c>
      <c r="AF2782" s="619"/>
    </row>
    <row r="2783" spans="1:32" ht="14.25" customHeight="1">
      <c r="A2783" s="176"/>
      <c r="B2783" s="176"/>
      <c r="C2783" s="177"/>
      <c r="D2783" s="176"/>
      <c r="E2783" s="176"/>
      <c r="F2783" s="259"/>
      <c r="G2783" s="176"/>
      <c r="H2783" s="178"/>
      <c r="I2783" s="592">
        <f t="shared" si="102"/>
        <v>0</v>
      </c>
      <c r="J2783" s="178"/>
      <c r="K2783" s="178"/>
      <c r="L2783" s="275" t="str">
        <f>IF(H:H=0,"",IF(ISERROR(VLOOKUP(H:H,produtos_escape2!$A$2:$B$2794,2,FALSE)),"Código não cadastrado",(VLOOKUP(H:H,produtos_escape2!$A$2:$B$2794,2,FALSE))))</f>
        <v/>
      </c>
      <c r="M2783" s="593" t="str">
        <f>IF(H:H=0,"",IF(ISERROR(VLOOKUP(H:H,produtos_escape2!$A$2:$D$2794,2,FALSE)),"Código não cadastrado",(VLOOKUP(H:H,produtos_escape2!$A$2:$D$2794,4,FALSE))))</f>
        <v/>
      </c>
      <c r="N2783" s="486"/>
      <c r="O2783" s="176"/>
      <c r="P2783" s="486"/>
      <c r="Q2783" s="247"/>
      <c r="R2783" s="246">
        <f t="shared" si="101"/>
        <v>0</v>
      </c>
      <c r="S2783" s="177"/>
      <c r="T2783" s="182"/>
      <c r="U2783" s="177"/>
      <c r="V2783" s="177"/>
      <c r="W2783" s="177"/>
      <c r="X2783" s="176"/>
      <c r="Y2783" s="177"/>
      <c r="Z2783" s="415"/>
      <c r="AA2783" s="488"/>
      <c r="AB2783" s="594"/>
      <c r="AC2783" s="595"/>
      <c r="AD2783" s="596" t="str">
        <f>IF(AND(AC2783&lt;&gt;"",S2783&lt;&gt;""),NETWORKDAYS(AC2783,S2783,#REF!),"")</f>
        <v/>
      </c>
      <c r="AE2783" s="596" t="str">
        <f ca="1">IF(AND(AD2783="",AC2783=""),"",IF(OR(AD2783&lt;&gt;"",O2783="*CANCELADO"),"",NETWORKDAYS(AC2783,TODAY(),#REF!)))</f>
        <v/>
      </c>
      <c r="AF2783" s="619"/>
    </row>
    <row r="2784" spans="1:32" ht="14.25" customHeight="1">
      <c r="A2784" s="176"/>
      <c r="B2784" s="176"/>
      <c r="C2784" s="177"/>
      <c r="D2784" s="176"/>
      <c r="E2784" s="176"/>
      <c r="F2784" s="259"/>
      <c r="G2784" s="176"/>
      <c r="H2784" s="178"/>
      <c r="I2784" s="592">
        <f t="shared" si="102"/>
        <v>0</v>
      </c>
      <c r="J2784" s="178"/>
      <c r="K2784" s="178"/>
      <c r="L2784" s="275" t="str">
        <f>IF(H:H=0,"",IF(ISERROR(VLOOKUP(H:H,produtos_escape2!$A$2:$B$2794,2,FALSE)),"Código não cadastrado",(VLOOKUP(H:H,produtos_escape2!$A$2:$B$2794,2,FALSE))))</f>
        <v/>
      </c>
      <c r="M2784" s="593" t="str">
        <f>IF(H:H=0,"",IF(ISERROR(VLOOKUP(H:H,produtos_escape2!$A$2:$D$2794,2,FALSE)),"Código não cadastrado",(VLOOKUP(H:H,produtos_escape2!$A$2:$D$2794,4,FALSE))))</f>
        <v/>
      </c>
      <c r="N2784" s="486"/>
      <c r="O2784" s="176"/>
      <c r="P2784" s="486"/>
      <c r="Q2784" s="247"/>
      <c r="R2784" s="246">
        <f t="shared" si="101"/>
        <v>0</v>
      </c>
      <c r="S2784" s="177"/>
      <c r="T2784" s="182"/>
      <c r="U2784" s="177"/>
      <c r="V2784" s="177"/>
      <c r="W2784" s="177"/>
      <c r="X2784" s="176"/>
      <c r="Y2784" s="177"/>
      <c r="Z2784" s="415"/>
      <c r="AA2784" s="488"/>
      <c r="AB2784" s="594"/>
      <c r="AC2784" s="595"/>
      <c r="AD2784" s="596" t="str">
        <f>IF(AND(AC2784&lt;&gt;"",S2784&lt;&gt;""),NETWORKDAYS(AC2784,S2784,#REF!),"")</f>
        <v/>
      </c>
      <c r="AE2784" s="596" t="str">
        <f ca="1">IF(AND(AD2784="",AC2784=""),"",IF(OR(AD2784&lt;&gt;"",O2784="*CANCELADO"),"",NETWORKDAYS(AC2784,TODAY(),#REF!)))</f>
        <v/>
      </c>
      <c r="AF2784" s="619"/>
    </row>
    <row r="2785" spans="1:32" ht="14.25" customHeight="1">
      <c r="A2785" s="176"/>
      <c r="B2785" s="176"/>
      <c r="C2785" s="177"/>
      <c r="D2785" s="176"/>
      <c r="E2785" s="176"/>
      <c r="F2785" s="259"/>
      <c r="G2785" s="176"/>
      <c r="H2785" s="178"/>
      <c r="I2785" s="592">
        <f t="shared" si="102"/>
        <v>0</v>
      </c>
      <c r="J2785" s="178"/>
      <c r="K2785" s="178"/>
      <c r="L2785" s="275" t="str">
        <f>IF(H:H=0,"",IF(ISERROR(VLOOKUP(H:H,produtos_escape2!$A$2:$B$2794,2,FALSE)),"Código não cadastrado",(VLOOKUP(H:H,produtos_escape2!$A$2:$B$2794,2,FALSE))))</f>
        <v/>
      </c>
      <c r="M2785" s="593" t="str">
        <f>IF(H:H=0,"",IF(ISERROR(VLOOKUP(H:H,produtos_escape2!$A$2:$D$2794,2,FALSE)),"Código não cadastrado",(VLOOKUP(H:H,produtos_escape2!$A$2:$D$2794,4,FALSE))))</f>
        <v/>
      </c>
      <c r="N2785" s="486"/>
      <c r="O2785" s="176"/>
      <c r="P2785" s="486"/>
      <c r="Q2785" s="247"/>
      <c r="R2785" s="246">
        <f t="shared" si="101"/>
        <v>0</v>
      </c>
      <c r="S2785" s="177"/>
      <c r="T2785" s="182"/>
      <c r="U2785" s="177"/>
      <c r="V2785" s="177"/>
      <c r="W2785" s="177"/>
      <c r="X2785" s="176"/>
      <c r="Y2785" s="177"/>
      <c r="Z2785" s="415"/>
      <c r="AA2785" s="488"/>
      <c r="AB2785" s="594"/>
      <c r="AC2785" s="595"/>
      <c r="AD2785" s="596" t="str">
        <f>IF(AND(AC2785&lt;&gt;"",S2785&lt;&gt;""),NETWORKDAYS(AC2785,S2785,#REF!),"")</f>
        <v/>
      </c>
      <c r="AE2785" s="596" t="str">
        <f ca="1">IF(AND(AD2785="",AC2785=""),"",IF(OR(AD2785&lt;&gt;"",O2785="*CANCELADO"),"",NETWORKDAYS(AC2785,TODAY(),#REF!)))</f>
        <v/>
      </c>
      <c r="AF2785" s="619"/>
    </row>
    <row r="2786" spans="1:32" ht="14.25" customHeight="1">
      <c r="A2786" s="176"/>
      <c r="B2786" s="176"/>
      <c r="C2786" s="177"/>
      <c r="D2786" s="176"/>
      <c r="E2786" s="176"/>
      <c r="F2786" s="259"/>
      <c r="G2786" s="176"/>
      <c r="H2786" s="178"/>
      <c r="I2786" s="592">
        <f t="shared" si="102"/>
        <v>0</v>
      </c>
      <c r="J2786" s="178"/>
      <c r="K2786" s="178"/>
      <c r="L2786" s="275" t="str">
        <f>IF(H:H=0,"",IF(ISERROR(VLOOKUP(H:H,produtos_escape2!$A$2:$B$2794,2,FALSE)),"Código não cadastrado",(VLOOKUP(H:H,produtos_escape2!$A$2:$B$2794,2,FALSE))))</f>
        <v/>
      </c>
      <c r="M2786" s="593" t="str">
        <f>IF(H:H=0,"",IF(ISERROR(VLOOKUP(H:H,produtos_escape2!$A$2:$D$2794,2,FALSE)),"Código não cadastrado",(VLOOKUP(H:H,produtos_escape2!$A$2:$D$2794,4,FALSE))))</f>
        <v/>
      </c>
      <c r="N2786" s="486"/>
      <c r="O2786" s="176"/>
      <c r="P2786" s="486"/>
      <c r="Q2786" s="247"/>
      <c r="R2786" s="246">
        <f t="shared" si="101"/>
        <v>0</v>
      </c>
      <c r="S2786" s="177"/>
      <c r="T2786" s="182"/>
      <c r="U2786" s="177"/>
      <c r="V2786" s="177"/>
      <c r="W2786" s="177"/>
      <c r="X2786" s="176"/>
      <c r="Y2786" s="177"/>
      <c r="Z2786" s="415"/>
      <c r="AA2786" s="488"/>
      <c r="AB2786" s="594"/>
      <c r="AC2786" s="595"/>
      <c r="AD2786" s="596" t="str">
        <f>IF(AND(AC2786&lt;&gt;"",S2786&lt;&gt;""),NETWORKDAYS(AC2786,S2786,#REF!),"")</f>
        <v/>
      </c>
      <c r="AE2786" s="596" t="str">
        <f ca="1">IF(AND(AD2786="",AC2786=""),"",IF(OR(AD2786&lt;&gt;"",O2786="*CANCELADO"),"",NETWORKDAYS(AC2786,TODAY(),#REF!)))</f>
        <v/>
      </c>
      <c r="AF2786" s="619"/>
    </row>
    <row r="2787" spans="1:32" ht="14.25" customHeight="1">
      <c r="A2787" s="176"/>
      <c r="B2787" s="176"/>
      <c r="C2787" s="177"/>
      <c r="D2787" s="176"/>
      <c r="E2787" s="176"/>
      <c r="F2787" s="259"/>
      <c r="G2787" s="176"/>
      <c r="H2787" s="178"/>
      <c r="I2787" s="592">
        <f t="shared" si="102"/>
        <v>0</v>
      </c>
      <c r="J2787" s="178"/>
      <c r="K2787" s="178"/>
      <c r="L2787" s="275" t="str">
        <f>IF(H:H=0,"",IF(ISERROR(VLOOKUP(H:H,produtos_escape2!$A$2:$B$2794,2,FALSE)),"Código não cadastrado",(VLOOKUP(H:H,produtos_escape2!$A$2:$B$2794,2,FALSE))))</f>
        <v/>
      </c>
      <c r="M2787" s="593" t="str">
        <f>IF(H:H=0,"",IF(ISERROR(VLOOKUP(H:H,produtos_escape2!$A$2:$D$2794,2,FALSE)),"Código não cadastrado",(VLOOKUP(H:H,produtos_escape2!$A$2:$D$2794,4,FALSE))))</f>
        <v/>
      </c>
      <c r="N2787" s="486"/>
      <c r="O2787" s="176"/>
      <c r="P2787" s="486"/>
      <c r="Q2787" s="247"/>
      <c r="R2787" s="246">
        <f t="shared" si="101"/>
        <v>0</v>
      </c>
      <c r="S2787" s="177"/>
      <c r="T2787" s="182"/>
      <c r="U2787" s="177"/>
      <c r="V2787" s="177"/>
      <c r="W2787" s="177"/>
      <c r="X2787" s="176"/>
      <c r="Y2787" s="177"/>
      <c r="Z2787" s="415"/>
      <c r="AA2787" s="488"/>
      <c r="AB2787" s="594"/>
      <c r="AC2787" s="595"/>
      <c r="AD2787" s="596" t="str">
        <f>IF(AND(AC2787&lt;&gt;"",S2787&lt;&gt;""),NETWORKDAYS(AC2787,S2787,#REF!),"")</f>
        <v/>
      </c>
      <c r="AE2787" s="596" t="str">
        <f ca="1">IF(AND(AD2787="",AC2787=""),"",IF(OR(AD2787&lt;&gt;"",O2787="*CANCELADO"),"",NETWORKDAYS(AC2787,TODAY(),#REF!)))</f>
        <v/>
      </c>
      <c r="AF2787" s="619"/>
    </row>
    <row r="2788" spans="1:32" ht="14.25" customHeight="1">
      <c r="A2788" s="176"/>
      <c r="B2788" s="176"/>
      <c r="C2788" s="177"/>
      <c r="D2788" s="176"/>
      <c r="E2788" s="176"/>
      <c r="F2788" s="259"/>
      <c r="G2788" s="176"/>
      <c r="H2788" s="178"/>
      <c r="I2788" s="592">
        <f t="shared" si="102"/>
        <v>0</v>
      </c>
      <c r="J2788" s="178"/>
      <c r="K2788" s="178"/>
      <c r="L2788" s="275" t="str">
        <f>IF(H:H=0,"",IF(ISERROR(VLOOKUP(H:H,produtos_escape2!$A$2:$B$2794,2,FALSE)),"Código não cadastrado",(VLOOKUP(H:H,produtos_escape2!$A$2:$B$2794,2,FALSE))))</f>
        <v/>
      </c>
      <c r="M2788" s="593" t="str">
        <f>IF(H:H=0,"",IF(ISERROR(VLOOKUP(H:H,produtos_escape2!$A$2:$D$2794,2,FALSE)),"Código não cadastrado",(VLOOKUP(H:H,produtos_escape2!$A$2:$D$2794,4,FALSE))))</f>
        <v/>
      </c>
      <c r="N2788" s="486"/>
      <c r="O2788" s="176"/>
      <c r="P2788" s="486"/>
      <c r="Q2788" s="247"/>
      <c r="R2788" s="246">
        <f t="shared" si="101"/>
        <v>0</v>
      </c>
      <c r="S2788" s="177"/>
      <c r="T2788" s="182"/>
      <c r="U2788" s="177"/>
      <c r="V2788" s="177"/>
      <c r="W2788" s="177"/>
      <c r="X2788" s="176"/>
      <c r="Y2788" s="177"/>
      <c r="Z2788" s="415"/>
      <c r="AA2788" s="488"/>
      <c r="AB2788" s="594"/>
      <c r="AC2788" s="595"/>
      <c r="AD2788" s="596" t="str">
        <f>IF(AND(AC2788&lt;&gt;"",S2788&lt;&gt;""),NETWORKDAYS(AC2788,S2788,#REF!),"")</f>
        <v/>
      </c>
      <c r="AE2788" s="596" t="str">
        <f ca="1">IF(AND(AD2788="",AC2788=""),"",IF(OR(AD2788&lt;&gt;"",O2788="*CANCELADO"),"",NETWORKDAYS(AC2788,TODAY(),#REF!)))</f>
        <v/>
      </c>
      <c r="AF2788" s="619"/>
    </row>
    <row r="2789" spans="1:32" ht="14.25" customHeight="1">
      <c r="A2789" s="176"/>
      <c r="B2789" s="176"/>
      <c r="C2789" s="177"/>
      <c r="D2789" s="176"/>
      <c r="E2789" s="176"/>
      <c r="F2789" s="259"/>
      <c r="G2789" s="176"/>
      <c r="H2789" s="178"/>
      <c r="I2789" s="592">
        <f t="shared" si="102"/>
        <v>0</v>
      </c>
      <c r="J2789" s="178"/>
      <c r="K2789" s="178"/>
      <c r="L2789" s="275" t="str">
        <f>IF(H:H=0,"",IF(ISERROR(VLOOKUP(H:H,produtos_escape2!$A$2:$B$2794,2,FALSE)),"Código não cadastrado",(VLOOKUP(H:H,produtos_escape2!$A$2:$B$2794,2,FALSE))))</f>
        <v/>
      </c>
      <c r="M2789" s="593" t="str">
        <f>IF(H:H=0,"",IF(ISERROR(VLOOKUP(H:H,produtos_escape2!$A$2:$D$2794,2,FALSE)),"Código não cadastrado",(VLOOKUP(H:H,produtos_escape2!$A$2:$D$2794,4,FALSE))))</f>
        <v/>
      </c>
      <c r="N2789" s="486"/>
      <c r="O2789" s="176"/>
      <c r="P2789" s="486"/>
      <c r="Q2789" s="247"/>
      <c r="R2789" s="246">
        <f t="shared" si="101"/>
        <v>0</v>
      </c>
      <c r="S2789" s="177"/>
      <c r="T2789" s="182"/>
      <c r="U2789" s="177"/>
      <c r="V2789" s="177"/>
      <c r="W2789" s="177"/>
      <c r="X2789" s="176"/>
      <c r="Y2789" s="177"/>
      <c r="Z2789" s="415"/>
      <c r="AA2789" s="488"/>
      <c r="AB2789" s="594"/>
      <c r="AC2789" s="595"/>
      <c r="AD2789" s="596" t="str">
        <f>IF(AND(AC2789&lt;&gt;"",S2789&lt;&gt;""),NETWORKDAYS(AC2789,S2789,#REF!),"")</f>
        <v/>
      </c>
      <c r="AE2789" s="596" t="str">
        <f ca="1">IF(AND(AD2789="",AC2789=""),"",IF(OR(AD2789&lt;&gt;"",O2789="*CANCELADO"),"",NETWORKDAYS(AC2789,TODAY(),#REF!)))</f>
        <v/>
      </c>
      <c r="AF2789" s="619"/>
    </row>
    <row r="2790" spans="1:32" ht="14.25" customHeight="1">
      <c r="A2790" s="176"/>
      <c r="B2790" s="176"/>
      <c r="C2790" s="177"/>
      <c r="D2790" s="176"/>
      <c r="E2790" s="176"/>
      <c r="F2790" s="259"/>
      <c r="G2790" s="176"/>
      <c r="H2790" s="178"/>
      <c r="I2790" s="592">
        <f t="shared" si="102"/>
        <v>0</v>
      </c>
      <c r="J2790" s="178"/>
      <c r="K2790" s="178"/>
      <c r="L2790" s="275" t="str">
        <f>IF(H:H=0,"",IF(ISERROR(VLOOKUP(H:H,produtos_escape2!$A$2:$B$2794,2,FALSE)),"Código não cadastrado",(VLOOKUP(H:H,produtos_escape2!$A$2:$B$2794,2,FALSE))))</f>
        <v/>
      </c>
      <c r="M2790" s="593" t="str">
        <f>IF(H:H=0,"",IF(ISERROR(VLOOKUP(H:H,produtos_escape2!$A$2:$D$2794,2,FALSE)),"Código não cadastrado",(VLOOKUP(H:H,produtos_escape2!$A$2:$D$2794,4,FALSE))))</f>
        <v/>
      </c>
      <c r="N2790" s="486"/>
      <c r="O2790" s="176"/>
      <c r="P2790" s="486"/>
      <c r="Q2790" s="247"/>
      <c r="R2790" s="246">
        <f t="shared" si="101"/>
        <v>0</v>
      </c>
      <c r="S2790" s="177"/>
      <c r="T2790" s="182"/>
      <c r="U2790" s="177"/>
      <c r="V2790" s="177"/>
      <c r="W2790" s="177"/>
      <c r="X2790" s="176"/>
      <c r="Y2790" s="177"/>
      <c r="Z2790" s="415"/>
      <c r="AA2790" s="488"/>
      <c r="AB2790" s="594"/>
      <c r="AC2790" s="595"/>
      <c r="AD2790" s="596" t="str">
        <f>IF(AND(AC2790&lt;&gt;"",S2790&lt;&gt;""),NETWORKDAYS(AC2790,S2790,#REF!),"")</f>
        <v/>
      </c>
      <c r="AE2790" s="596" t="str">
        <f ca="1">IF(AND(AD2790="",AC2790=""),"",IF(OR(AD2790&lt;&gt;"",O2790="*CANCELADO"),"",NETWORKDAYS(AC2790,TODAY(),#REF!)))</f>
        <v/>
      </c>
      <c r="AF2790" s="619"/>
    </row>
    <row r="2791" spans="1:32" ht="14.25" customHeight="1">
      <c r="A2791" s="176"/>
      <c r="B2791" s="176"/>
      <c r="C2791" s="177"/>
      <c r="D2791" s="176"/>
      <c r="E2791" s="176"/>
      <c r="F2791" s="259"/>
      <c r="G2791" s="176"/>
      <c r="H2791" s="178"/>
      <c r="I2791" s="592">
        <f t="shared" si="102"/>
        <v>0</v>
      </c>
      <c r="J2791" s="178"/>
      <c r="K2791" s="178"/>
      <c r="L2791" s="275" t="str">
        <f>IF(H:H=0,"",IF(ISERROR(VLOOKUP(H:H,produtos_escape2!$A$2:$B$2794,2,FALSE)),"Código não cadastrado",(VLOOKUP(H:H,produtos_escape2!$A$2:$B$2794,2,FALSE))))</f>
        <v/>
      </c>
      <c r="M2791" s="593" t="str">
        <f>IF(H:H=0,"",IF(ISERROR(VLOOKUP(H:H,produtos_escape2!$A$2:$D$2794,2,FALSE)),"Código não cadastrado",(VLOOKUP(H:H,produtos_escape2!$A$2:$D$2794,4,FALSE))))</f>
        <v/>
      </c>
      <c r="N2791" s="486"/>
      <c r="O2791" s="176"/>
      <c r="P2791" s="486"/>
      <c r="Q2791" s="247"/>
      <c r="R2791" s="246">
        <f t="shared" si="101"/>
        <v>0</v>
      </c>
      <c r="S2791" s="177"/>
      <c r="T2791" s="182"/>
      <c r="U2791" s="177"/>
      <c r="V2791" s="177"/>
      <c r="W2791" s="177"/>
      <c r="X2791" s="176"/>
      <c r="Y2791" s="177"/>
      <c r="Z2791" s="415"/>
      <c r="AA2791" s="488"/>
      <c r="AB2791" s="594"/>
      <c r="AC2791" s="595"/>
      <c r="AD2791" s="596" t="str">
        <f>IF(AND(AC2791&lt;&gt;"",S2791&lt;&gt;""),NETWORKDAYS(AC2791,S2791,#REF!),"")</f>
        <v/>
      </c>
      <c r="AE2791" s="596" t="str">
        <f ca="1">IF(AND(AD2791="",AC2791=""),"",IF(OR(AD2791&lt;&gt;"",O2791="*CANCELADO"),"",NETWORKDAYS(AC2791,TODAY(),#REF!)))</f>
        <v/>
      </c>
      <c r="AF2791" s="619"/>
    </row>
    <row r="2792" spans="1:32" ht="14.25" customHeight="1">
      <c r="A2792" s="176"/>
      <c r="B2792" s="176"/>
      <c r="C2792" s="177"/>
      <c r="D2792" s="176"/>
      <c r="E2792" s="176"/>
      <c r="F2792" s="259"/>
      <c r="G2792" s="176"/>
      <c r="H2792" s="178"/>
      <c r="I2792" s="592">
        <f t="shared" si="102"/>
        <v>0</v>
      </c>
      <c r="J2792" s="178"/>
      <c r="K2792" s="178"/>
      <c r="L2792" s="275" t="str">
        <f>IF(H:H=0,"",IF(ISERROR(VLOOKUP(H:H,produtos_escape2!$A$2:$B$2794,2,FALSE)),"Código não cadastrado",(VLOOKUP(H:H,produtos_escape2!$A$2:$B$2794,2,FALSE))))</f>
        <v/>
      </c>
      <c r="M2792" s="593" t="str">
        <f>IF(H:H=0,"",IF(ISERROR(VLOOKUP(H:H,produtos_escape2!$A$2:$D$2794,2,FALSE)),"Código não cadastrado",(VLOOKUP(H:H,produtos_escape2!$A$2:$D$2794,4,FALSE))))</f>
        <v/>
      </c>
      <c r="N2792" s="486"/>
      <c r="O2792" s="176"/>
      <c r="P2792" s="486"/>
      <c r="Q2792" s="247"/>
      <c r="R2792" s="246">
        <f t="shared" si="101"/>
        <v>0</v>
      </c>
      <c r="S2792" s="177"/>
      <c r="T2792" s="182"/>
      <c r="U2792" s="177"/>
      <c r="V2792" s="177"/>
      <c r="W2792" s="177"/>
      <c r="X2792" s="176"/>
      <c r="Y2792" s="177"/>
      <c r="Z2792" s="415"/>
      <c r="AA2792" s="488"/>
      <c r="AB2792" s="594"/>
      <c r="AC2792" s="595"/>
      <c r="AD2792" s="596" t="str">
        <f>IF(AND(AC2792&lt;&gt;"",S2792&lt;&gt;""),NETWORKDAYS(AC2792,S2792,#REF!),"")</f>
        <v/>
      </c>
      <c r="AE2792" s="596" t="str">
        <f ca="1">IF(AND(AD2792="",AC2792=""),"",IF(OR(AD2792&lt;&gt;"",O2792="*CANCELADO"),"",NETWORKDAYS(AC2792,TODAY(),#REF!)))</f>
        <v/>
      </c>
      <c r="AF2792" s="619"/>
    </row>
    <row r="2793" spans="1:32" ht="14.25" customHeight="1">
      <c r="A2793" s="176"/>
      <c r="B2793" s="176"/>
      <c r="C2793" s="177"/>
      <c r="D2793" s="176"/>
      <c r="E2793" s="176"/>
      <c r="F2793" s="259"/>
      <c r="G2793" s="176"/>
      <c r="H2793" s="178"/>
      <c r="I2793" s="592">
        <f t="shared" si="102"/>
        <v>0</v>
      </c>
      <c r="J2793" s="178"/>
      <c r="K2793" s="178"/>
      <c r="L2793" s="275" t="str">
        <f>IF(H:H=0,"",IF(ISERROR(VLOOKUP(H:H,produtos_escape2!$A$2:$B$2794,2,FALSE)),"Código não cadastrado",(VLOOKUP(H:H,produtos_escape2!$A$2:$B$2794,2,FALSE))))</f>
        <v/>
      </c>
      <c r="M2793" s="593" t="str">
        <f>IF(H:H=0,"",IF(ISERROR(VLOOKUP(H:H,produtos_escape2!$A$2:$D$2794,2,FALSE)),"Código não cadastrado",(VLOOKUP(H:H,produtos_escape2!$A$2:$D$2794,4,FALSE))))</f>
        <v/>
      </c>
      <c r="N2793" s="486"/>
      <c r="O2793" s="176"/>
      <c r="P2793" s="486"/>
      <c r="Q2793" s="247"/>
      <c r="R2793" s="246">
        <f t="shared" si="101"/>
        <v>0</v>
      </c>
      <c r="S2793" s="177"/>
      <c r="T2793" s="182"/>
      <c r="U2793" s="177"/>
      <c r="V2793" s="177"/>
      <c r="W2793" s="177"/>
      <c r="X2793" s="176"/>
      <c r="Y2793" s="177"/>
      <c r="Z2793" s="415"/>
      <c r="AA2793" s="488"/>
      <c r="AB2793" s="594"/>
      <c r="AC2793" s="595"/>
      <c r="AD2793" s="596" t="str">
        <f>IF(AND(AC2793&lt;&gt;"",S2793&lt;&gt;""),NETWORKDAYS(AC2793,S2793,#REF!),"")</f>
        <v/>
      </c>
      <c r="AE2793" s="596" t="str">
        <f ca="1">IF(AND(AD2793="",AC2793=""),"",IF(OR(AD2793&lt;&gt;"",O2793="*CANCELADO"),"",NETWORKDAYS(AC2793,TODAY(),#REF!)))</f>
        <v/>
      </c>
      <c r="AF2793" s="619"/>
    </row>
    <row r="2794" spans="1:32" ht="14.25" customHeight="1">
      <c r="A2794" s="176"/>
      <c r="B2794" s="176"/>
      <c r="C2794" s="177"/>
      <c r="D2794" s="176"/>
      <c r="E2794" s="176"/>
      <c r="F2794" s="259"/>
      <c r="G2794" s="176"/>
      <c r="H2794" s="178"/>
      <c r="I2794" s="592">
        <f t="shared" si="102"/>
        <v>0</v>
      </c>
      <c r="J2794" s="178"/>
      <c r="K2794" s="178"/>
      <c r="L2794" s="275" t="str">
        <f>IF(H:H=0,"",IF(ISERROR(VLOOKUP(H:H,produtos_escape2!$A$2:$B$2794,2,FALSE)),"Código não cadastrado",(VLOOKUP(H:H,produtos_escape2!$A$2:$B$2794,2,FALSE))))</f>
        <v/>
      </c>
      <c r="M2794" s="593" t="str">
        <f>IF(H:H=0,"",IF(ISERROR(VLOOKUP(H:H,produtos_escape2!$A$2:$D$2794,2,FALSE)),"Código não cadastrado",(VLOOKUP(H:H,produtos_escape2!$A$2:$D$2794,4,FALSE))))</f>
        <v/>
      </c>
      <c r="N2794" s="486"/>
      <c r="O2794" s="176"/>
      <c r="P2794" s="486"/>
      <c r="Q2794" s="247"/>
      <c r="R2794" s="246">
        <f t="shared" si="101"/>
        <v>0</v>
      </c>
      <c r="S2794" s="177"/>
      <c r="T2794" s="182"/>
      <c r="U2794" s="177"/>
      <c r="V2794" s="177"/>
      <c r="W2794" s="177"/>
      <c r="X2794" s="176"/>
      <c r="Y2794" s="177"/>
      <c r="Z2794" s="415"/>
      <c r="AA2794" s="488"/>
      <c r="AB2794" s="594"/>
      <c r="AC2794" s="595"/>
      <c r="AD2794" s="596" t="str">
        <f>IF(AND(AC2794&lt;&gt;"",S2794&lt;&gt;""),NETWORKDAYS(AC2794,S2794,#REF!),"")</f>
        <v/>
      </c>
      <c r="AE2794" s="596" t="str">
        <f ca="1">IF(AND(AD2794="",AC2794=""),"",IF(OR(AD2794&lt;&gt;"",O2794="*CANCELADO"),"",NETWORKDAYS(AC2794,TODAY(),#REF!)))</f>
        <v/>
      </c>
      <c r="AF2794" s="619"/>
    </row>
    <row r="2795" spans="1:32" ht="14.25" customHeight="1">
      <c r="A2795" s="176"/>
      <c r="B2795" s="176"/>
      <c r="C2795" s="177"/>
      <c r="D2795" s="176"/>
      <c r="E2795" s="176"/>
      <c r="F2795" s="259"/>
      <c r="G2795" s="176"/>
      <c r="H2795" s="178"/>
      <c r="I2795" s="592">
        <f t="shared" si="102"/>
        <v>0</v>
      </c>
      <c r="J2795" s="178"/>
      <c r="K2795" s="178"/>
      <c r="L2795" s="275" t="str">
        <f>IF(H:H=0,"",IF(ISERROR(VLOOKUP(H:H,produtos_escape2!$A$2:$B$2794,2,FALSE)),"Código não cadastrado",(VLOOKUP(H:H,produtos_escape2!$A$2:$B$2794,2,FALSE))))</f>
        <v/>
      </c>
      <c r="M2795" s="593" t="str">
        <f>IF(H:H=0,"",IF(ISERROR(VLOOKUP(H:H,produtos_escape2!$A$2:$D$2794,2,FALSE)),"Código não cadastrado",(VLOOKUP(H:H,produtos_escape2!$A$2:$D$2794,4,FALSE))))</f>
        <v/>
      </c>
      <c r="N2795" s="486"/>
      <c r="O2795" s="176"/>
      <c r="P2795" s="486"/>
      <c r="Q2795" s="247"/>
      <c r="R2795" s="246">
        <f t="shared" si="101"/>
        <v>0</v>
      </c>
      <c r="S2795" s="177"/>
      <c r="T2795" s="182"/>
      <c r="U2795" s="177"/>
      <c r="V2795" s="177"/>
      <c r="W2795" s="177"/>
      <c r="X2795" s="176"/>
      <c r="Y2795" s="177"/>
      <c r="Z2795" s="415"/>
      <c r="AA2795" s="488"/>
      <c r="AB2795" s="594"/>
      <c r="AC2795" s="595"/>
      <c r="AD2795" s="596" t="str">
        <f>IF(AND(AC2795&lt;&gt;"",S2795&lt;&gt;""),NETWORKDAYS(AC2795,S2795,#REF!),"")</f>
        <v/>
      </c>
      <c r="AE2795" s="596" t="str">
        <f ca="1">IF(AND(AD2795="",AC2795=""),"",IF(OR(AD2795&lt;&gt;"",O2795="*CANCELADO"),"",NETWORKDAYS(AC2795,TODAY(),#REF!)))</f>
        <v/>
      </c>
      <c r="AF2795" s="619"/>
    </row>
    <row r="2796" spans="1:32" ht="14.25" customHeight="1">
      <c r="A2796" s="176"/>
      <c r="B2796" s="176"/>
      <c r="C2796" s="177"/>
      <c r="D2796" s="176"/>
      <c r="E2796" s="176"/>
      <c r="F2796" s="259"/>
      <c r="G2796" s="176"/>
      <c r="H2796" s="178"/>
      <c r="I2796" s="592">
        <f t="shared" si="102"/>
        <v>0</v>
      </c>
      <c r="J2796" s="178"/>
      <c r="K2796" s="178"/>
      <c r="L2796" s="275" t="str">
        <f>IF(H:H=0,"",IF(ISERROR(VLOOKUP(H:H,produtos_escape2!$A$2:$B$2794,2,FALSE)),"Código não cadastrado",(VLOOKUP(H:H,produtos_escape2!$A$2:$B$2794,2,FALSE))))</f>
        <v/>
      </c>
      <c r="M2796" s="593" t="str">
        <f>IF(H:H=0,"",IF(ISERROR(VLOOKUP(H:H,produtos_escape2!$A$2:$D$2794,2,FALSE)),"Código não cadastrado",(VLOOKUP(H:H,produtos_escape2!$A$2:$D$2794,4,FALSE))))</f>
        <v/>
      </c>
      <c r="N2796" s="486"/>
      <c r="O2796" s="176"/>
      <c r="P2796" s="486"/>
      <c r="Q2796" s="247"/>
      <c r="R2796" s="246">
        <f t="shared" si="101"/>
        <v>0</v>
      </c>
      <c r="S2796" s="177"/>
      <c r="T2796" s="182"/>
      <c r="U2796" s="177"/>
      <c r="V2796" s="177"/>
      <c r="W2796" s="177"/>
      <c r="X2796" s="176"/>
      <c r="Y2796" s="177"/>
      <c r="Z2796" s="415"/>
      <c r="AA2796" s="488"/>
      <c r="AB2796" s="594"/>
      <c r="AC2796" s="595"/>
      <c r="AD2796" s="596" t="str">
        <f>IF(AND(AC2796&lt;&gt;"",S2796&lt;&gt;""),NETWORKDAYS(AC2796,S2796,#REF!),"")</f>
        <v/>
      </c>
      <c r="AE2796" s="596" t="str">
        <f ca="1">IF(AND(AD2796="",AC2796=""),"",IF(OR(AD2796&lt;&gt;"",O2796="*CANCELADO"),"",NETWORKDAYS(AC2796,TODAY(),#REF!)))</f>
        <v/>
      </c>
      <c r="AF2796" s="619"/>
    </row>
    <row r="2797" spans="1:32" ht="14.25" customHeight="1">
      <c r="A2797" s="176"/>
      <c r="B2797" s="176"/>
      <c r="C2797" s="177"/>
      <c r="D2797" s="176"/>
      <c r="E2797" s="176"/>
      <c r="F2797" s="259"/>
      <c r="G2797" s="176"/>
      <c r="H2797" s="178"/>
      <c r="I2797" s="592">
        <f t="shared" si="102"/>
        <v>0</v>
      </c>
      <c r="J2797" s="178"/>
      <c r="K2797" s="178"/>
      <c r="L2797" s="275" t="str">
        <f>IF(H:H=0,"",IF(ISERROR(VLOOKUP(H:H,produtos_escape2!$A$2:$B$2794,2,FALSE)),"Código não cadastrado",(VLOOKUP(H:H,produtos_escape2!$A$2:$B$2794,2,FALSE))))</f>
        <v/>
      </c>
      <c r="M2797" s="593" t="str">
        <f>IF(H:H=0,"",IF(ISERROR(VLOOKUP(H:H,produtos_escape2!$A$2:$D$2794,2,FALSE)),"Código não cadastrado",(VLOOKUP(H:H,produtos_escape2!$A$2:$D$2794,4,FALSE))))</f>
        <v/>
      </c>
      <c r="N2797" s="486"/>
      <c r="O2797" s="176"/>
      <c r="P2797" s="486"/>
      <c r="Q2797" s="247"/>
      <c r="R2797" s="246">
        <f t="shared" ref="R2797:R2860" si="103">P2797*Q2797</f>
        <v>0</v>
      </c>
      <c r="S2797" s="177"/>
      <c r="T2797" s="182"/>
      <c r="U2797" s="177"/>
      <c r="V2797" s="177"/>
      <c r="W2797" s="177"/>
      <c r="X2797" s="176"/>
      <c r="Y2797" s="177"/>
      <c r="Z2797" s="415"/>
      <c r="AA2797" s="488"/>
      <c r="AB2797" s="594"/>
      <c r="AC2797" s="595"/>
      <c r="AD2797" s="596" t="str">
        <f>IF(AND(AC2797&lt;&gt;"",S2797&lt;&gt;""),NETWORKDAYS(AC2797,S2797,#REF!),"")</f>
        <v/>
      </c>
      <c r="AE2797" s="596" t="str">
        <f ca="1">IF(AND(AD2797="",AC2797=""),"",IF(OR(AD2797&lt;&gt;"",O2797="*CANCELADO"),"",NETWORKDAYS(AC2797,TODAY(),#REF!)))</f>
        <v/>
      </c>
      <c r="AF2797" s="619"/>
    </row>
    <row r="2798" spans="1:32" ht="14.25" customHeight="1">
      <c r="A2798" s="176"/>
      <c r="B2798" s="176"/>
      <c r="C2798" s="177"/>
      <c r="D2798" s="176"/>
      <c r="E2798" s="176"/>
      <c r="F2798" s="259"/>
      <c r="G2798" s="176"/>
      <c r="H2798" s="178"/>
      <c r="I2798" s="592">
        <f t="shared" si="102"/>
        <v>0</v>
      </c>
      <c r="J2798" s="178"/>
      <c r="K2798" s="178"/>
      <c r="L2798" s="275" t="str">
        <f>IF(H:H=0,"",IF(ISERROR(VLOOKUP(H:H,produtos_escape2!$A$2:$B$2794,2,FALSE)),"Código não cadastrado",(VLOOKUP(H:H,produtos_escape2!$A$2:$B$2794,2,FALSE))))</f>
        <v/>
      </c>
      <c r="M2798" s="593" t="str">
        <f>IF(H:H=0,"",IF(ISERROR(VLOOKUP(H:H,produtos_escape2!$A$2:$D$2794,2,FALSE)),"Código não cadastrado",(VLOOKUP(H:H,produtos_escape2!$A$2:$D$2794,4,FALSE))))</f>
        <v/>
      </c>
      <c r="N2798" s="486"/>
      <c r="O2798" s="176"/>
      <c r="P2798" s="486"/>
      <c r="Q2798" s="247"/>
      <c r="R2798" s="246">
        <f t="shared" si="103"/>
        <v>0</v>
      </c>
      <c r="S2798" s="177"/>
      <c r="T2798" s="182"/>
      <c r="U2798" s="177"/>
      <c r="V2798" s="177"/>
      <c r="W2798" s="177"/>
      <c r="X2798" s="176"/>
      <c r="Y2798" s="177"/>
      <c r="Z2798" s="415"/>
      <c r="AA2798" s="488"/>
      <c r="AB2798" s="594"/>
      <c r="AC2798" s="595"/>
      <c r="AD2798" s="596" t="str">
        <f>IF(AND(AC2798&lt;&gt;"",S2798&lt;&gt;""),NETWORKDAYS(AC2798,S2798,#REF!),"")</f>
        <v/>
      </c>
      <c r="AE2798" s="596" t="str">
        <f ca="1">IF(AND(AD2798="",AC2798=""),"",IF(OR(AD2798&lt;&gt;"",O2798="*CANCELADO"),"",NETWORKDAYS(AC2798,TODAY(),#REF!)))</f>
        <v/>
      </c>
      <c r="AF2798" s="619"/>
    </row>
    <row r="2799" spans="1:32" ht="14.25" customHeight="1">
      <c r="A2799" s="176"/>
      <c r="B2799" s="176"/>
      <c r="C2799" s="177"/>
      <c r="D2799" s="176"/>
      <c r="E2799" s="176"/>
      <c r="F2799" s="259"/>
      <c r="G2799" s="176"/>
      <c r="H2799" s="178"/>
      <c r="I2799" s="592">
        <f t="shared" si="102"/>
        <v>0</v>
      </c>
      <c r="J2799" s="178"/>
      <c r="K2799" s="178"/>
      <c r="L2799" s="275" t="str">
        <f>IF(H:H=0,"",IF(ISERROR(VLOOKUP(H:H,produtos_escape2!$A$2:$B$2794,2,FALSE)),"Código não cadastrado",(VLOOKUP(H:H,produtos_escape2!$A$2:$B$2794,2,FALSE))))</f>
        <v/>
      </c>
      <c r="M2799" s="593" t="str">
        <f>IF(H:H=0,"",IF(ISERROR(VLOOKUP(H:H,produtos_escape2!$A$2:$D$2794,2,FALSE)),"Código não cadastrado",(VLOOKUP(H:H,produtos_escape2!$A$2:$D$2794,4,FALSE))))</f>
        <v/>
      </c>
      <c r="N2799" s="486"/>
      <c r="O2799" s="176"/>
      <c r="P2799" s="486"/>
      <c r="Q2799" s="247"/>
      <c r="R2799" s="246">
        <f t="shared" si="103"/>
        <v>0</v>
      </c>
      <c r="S2799" s="177"/>
      <c r="T2799" s="182"/>
      <c r="U2799" s="177"/>
      <c r="V2799" s="177"/>
      <c r="W2799" s="177"/>
      <c r="X2799" s="176"/>
      <c r="Y2799" s="177"/>
      <c r="Z2799" s="415"/>
      <c r="AA2799" s="488"/>
      <c r="AB2799" s="594"/>
      <c r="AC2799" s="595"/>
      <c r="AD2799" s="596" t="str">
        <f>IF(AND(AC2799&lt;&gt;"",S2799&lt;&gt;""),NETWORKDAYS(AC2799,S2799,#REF!),"")</f>
        <v/>
      </c>
      <c r="AE2799" s="596" t="str">
        <f ca="1">IF(AND(AD2799="",AC2799=""),"",IF(OR(AD2799&lt;&gt;"",O2799="*CANCELADO"),"",NETWORKDAYS(AC2799,TODAY(),#REF!)))</f>
        <v/>
      </c>
      <c r="AF2799" s="619"/>
    </row>
    <row r="2800" spans="1:32" ht="14.25" customHeight="1">
      <c r="A2800" s="176"/>
      <c r="B2800" s="176"/>
      <c r="C2800" s="177"/>
      <c r="D2800" s="176"/>
      <c r="E2800" s="176"/>
      <c r="F2800" s="259"/>
      <c r="G2800" s="176"/>
      <c r="H2800" s="178"/>
      <c r="I2800" s="592">
        <f t="shared" si="102"/>
        <v>0</v>
      </c>
      <c r="J2800" s="178"/>
      <c r="K2800" s="178"/>
      <c r="L2800" s="275" t="str">
        <f>IF(H:H=0,"",IF(ISERROR(VLOOKUP(H:H,produtos_escape2!$A$2:$B$2794,2,FALSE)),"Código não cadastrado",(VLOOKUP(H:H,produtos_escape2!$A$2:$B$2794,2,FALSE))))</f>
        <v/>
      </c>
      <c r="M2800" s="593" t="str">
        <f>IF(H:H=0,"",IF(ISERROR(VLOOKUP(H:H,produtos_escape2!$A$2:$D$2794,2,FALSE)),"Código não cadastrado",(VLOOKUP(H:H,produtos_escape2!$A$2:$D$2794,4,FALSE))))</f>
        <v/>
      </c>
      <c r="N2800" s="486"/>
      <c r="O2800" s="176"/>
      <c r="P2800" s="486"/>
      <c r="Q2800" s="247"/>
      <c r="R2800" s="246">
        <f t="shared" si="103"/>
        <v>0</v>
      </c>
      <c r="S2800" s="177"/>
      <c r="T2800" s="182"/>
      <c r="U2800" s="177"/>
      <c r="V2800" s="177"/>
      <c r="W2800" s="177"/>
      <c r="X2800" s="176"/>
      <c r="Y2800" s="177"/>
      <c r="Z2800" s="415"/>
      <c r="AA2800" s="488"/>
      <c r="AB2800" s="594"/>
      <c r="AC2800" s="595"/>
      <c r="AD2800" s="596" t="str">
        <f>IF(AND(AC2800&lt;&gt;"",S2800&lt;&gt;""),NETWORKDAYS(AC2800,S2800,#REF!),"")</f>
        <v/>
      </c>
      <c r="AE2800" s="596" t="str">
        <f ca="1">IF(AND(AD2800="",AC2800=""),"",IF(OR(AD2800&lt;&gt;"",O2800="*CANCELADO"),"",NETWORKDAYS(AC2800,TODAY(),#REF!)))</f>
        <v/>
      </c>
      <c r="AF2800" s="619"/>
    </row>
    <row r="2801" spans="1:32" ht="14.25" customHeight="1">
      <c r="A2801" s="176"/>
      <c r="B2801" s="176"/>
      <c r="C2801" s="177"/>
      <c r="D2801" s="176"/>
      <c r="E2801" s="176"/>
      <c r="F2801" s="259"/>
      <c r="G2801" s="176"/>
      <c r="H2801" s="178"/>
      <c r="I2801" s="592">
        <f t="shared" si="102"/>
        <v>0</v>
      </c>
      <c r="J2801" s="178"/>
      <c r="K2801" s="178"/>
      <c r="L2801" s="275" t="str">
        <f>IF(H:H=0,"",IF(ISERROR(VLOOKUP(H:H,produtos_escape2!$A$2:$B$2794,2,FALSE)),"Código não cadastrado",(VLOOKUP(H:H,produtos_escape2!$A$2:$B$2794,2,FALSE))))</f>
        <v/>
      </c>
      <c r="M2801" s="593" t="str">
        <f>IF(H:H=0,"",IF(ISERROR(VLOOKUP(H:H,produtos_escape2!$A$2:$D$2794,2,FALSE)),"Código não cadastrado",(VLOOKUP(H:H,produtos_escape2!$A$2:$D$2794,4,FALSE))))</f>
        <v/>
      </c>
      <c r="N2801" s="486"/>
      <c r="O2801" s="176"/>
      <c r="P2801" s="486"/>
      <c r="Q2801" s="247"/>
      <c r="R2801" s="246">
        <f t="shared" si="103"/>
        <v>0</v>
      </c>
      <c r="S2801" s="177"/>
      <c r="T2801" s="182"/>
      <c r="U2801" s="177"/>
      <c r="V2801" s="177"/>
      <c r="W2801" s="177"/>
      <c r="X2801" s="176"/>
      <c r="Y2801" s="177"/>
      <c r="Z2801" s="415"/>
      <c r="AA2801" s="488"/>
      <c r="AB2801" s="594"/>
      <c r="AC2801" s="595"/>
      <c r="AD2801" s="596" t="str">
        <f>IF(AND(AC2801&lt;&gt;"",S2801&lt;&gt;""),NETWORKDAYS(AC2801,S2801,#REF!),"")</f>
        <v/>
      </c>
      <c r="AE2801" s="596" t="str">
        <f ca="1">IF(AND(AD2801="",AC2801=""),"",IF(OR(AD2801&lt;&gt;"",O2801="*CANCELADO"),"",NETWORKDAYS(AC2801,TODAY(),#REF!)))</f>
        <v/>
      </c>
      <c r="AF2801" s="619"/>
    </row>
    <row r="2802" spans="1:32" ht="14.25" customHeight="1">
      <c r="A2802" s="176"/>
      <c r="B2802" s="176"/>
      <c r="C2802" s="177"/>
      <c r="D2802" s="176"/>
      <c r="E2802" s="176"/>
      <c r="F2802" s="259"/>
      <c r="G2802" s="176"/>
      <c r="H2802" s="178"/>
      <c r="I2802" s="592">
        <f t="shared" si="102"/>
        <v>0</v>
      </c>
      <c r="J2802" s="178"/>
      <c r="K2802" s="178"/>
      <c r="L2802" s="275" t="str">
        <f>IF(H:H=0,"",IF(ISERROR(VLOOKUP(H:H,produtos_escape2!$A$2:$B$2794,2,FALSE)),"Código não cadastrado",(VLOOKUP(H:H,produtos_escape2!$A$2:$B$2794,2,FALSE))))</f>
        <v/>
      </c>
      <c r="M2802" s="593" t="str">
        <f>IF(H:H=0,"",IF(ISERROR(VLOOKUP(H:H,produtos_escape2!$A$2:$D$2794,2,FALSE)),"Código não cadastrado",(VLOOKUP(H:H,produtos_escape2!$A$2:$D$2794,4,FALSE))))</f>
        <v/>
      </c>
      <c r="N2802" s="486"/>
      <c r="O2802" s="176"/>
      <c r="P2802" s="486"/>
      <c r="Q2802" s="247"/>
      <c r="R2802" s="246">
        <f t="shared" si="103"/>
        <v>0</v>
      </c>
      <c r="S2802" s="177"/>
      <c r="T2802" s="182"/>
      <c r="U2802" s="177"/>
      <c r="V2802" s="177"/>
      <c r="W2802" s="177"/>
      <c r="X2802" s="176"/>
      <c r="Y2802" s="177"/>
      <c r="Z2802" s="415"/>
      <c r="AA2802" s="488"/>
      <c r="AB2802" s="594"/>
      <c r="AC2802" s="595"/>
      <c r="AD2802" s="596" t="str">
        <f>IF(AND(AC2802&lt;&gt;"",S2802&lt;&gt;""),NETWORKDAYS(AC2802,S2802,#REF!),"")</f>
        <v/>
      </c>
      <c r="AE2802" s="596" t="str">
        <f ca="1">IF(AND(AD2802="",AC2802=""),"",IF(OR(AD2802&lt;&gt;"",O2802="*CANCELADO"),"",NETWORKDAYS(AC2802,TODAY(),#REF!)))</f>
        <v/>
      </c>
      <c r="AF2802" s="619"/>
    </row>
    <row r="2803" spans="1:32" ht="14.25" customHeight="1">
      <c r="A2803" s="176"/>
      <c r="B2803" s="176"/>
      <c r="C2803" s="177"/>
      <c r="D2803" s="176"/>
      <c r="E2803" s="176"/>
      <c r="F2803" s="259"/>
      <c r="G2803" s="176"/>
      <c r="H2803" s="178"/>
      <c r="I2803" s="592">
        <f t="shared" si="102"/>
        <v>0</v>
      </c>
      <c r="J2803" s="178"/>
      <c r="K2803" s="178"/>
      <c r="L2803" s="275" t="str">
        <f>IF(H:H=0,"",IF(ISERROR(VLOOKUP(H:H,produtos_escape2!$A$2:$B$2794,2,FALSE)),"Código não cadastrado",(VLOOKUP(H:H,produtos_escape2!$A$2:$B$2794,2,FALSE))))</f>
        <v/>
      </c>
      <c r="M2803" s="593" t="str">
        <f>IF(H:H=0,"",IF(ISERROR(VLOOKUP(H:H,produtos_escape2!$A$2:$D$2794,2,FALSE)),"Código não cadastrado",(VLOOKUP(H:H,produtos_escape2!$A$2:$D$2794,4,FALSE))))</f>
        <v/>
      </c>
      <c r="N2803" s="486"/>
      <c r="O2803" s="176"/>
      <c r="P2803" s="486"/>
      <c r="Q2803" s="247"/>
      <c r="R2803" s="246">
        <f t="shared" si="103"/>
        <v>0</v>
      </c>
      <c r="S2803" s="177"/>
      <c r="T2803" s="182"/>
      <c r="U2803" s="177"/>
      <c r="V2803" s="177"/>
      <c r="W2803" s="177"/>
      <c r="X2803" s="176"/>
      <c r="Y2803" s="177"/>
      <c r="Z2803" s="415"/>
      <c r="AA2803" s="488"/>
      <c r="AB2803" s="594"/>
      <c r="AC2803" s="595"/>
      <c r="AD2803" s="596" t="str">
        <f>IF(AND(AC2803&lt;&gt;"",S2803&lt;&gt;""),NETWORKDAYS(AC2803,S2803,#REF!),"")</f>
        <v/>
      </c>
      <c r="AE2803" s="596" t="str">
        <f ca="1">IF(AND(AD2803="",AC2803=""),"",IF(OR(AD2803&lt;&gt;"",O2803="*CANCELADO"),"",NETWORKDAYS(AC2803,TODAY(),#REF!)))</f>
        <v/>
      </c>
      <c r="AF2803" s="619"/>
    </row>
    <row r="2804" spans="1:32" ht="14.25" customHeight="1">
      <c r="A2804" s="176"/>
      <c r="B2804" s="176"/>
      <c r="C2804" s="177"/>
      <c r="D2804" s="176"/>
      <c r="E2804" s="176"/>
      <c r="F2804" s="259"/>
      <c r="G2804" s="176"/>
      <c r="H2804" s="178"/>
      <c r="I2804" s="592">
        <f t="shared" si="102"/>
        <v>0</v>
      </c>
      <c r="J2804" s="178"/>
      <c r="K2804" s="178"/>
      <c r="L2804" s="275" t="str">
        <f>IF(H:H=0,"",IF(ISERROR(VLOOKUP(H:H,produtos_escape2!$A$2:$B$2794,2,FALSE)),"Código não cadastrado",(VLOOKUP(H:H,produtos_escape2!$A$2:$B$2794,2,FALSE))))</f>
        <v/>
      </c>
      <c r="M2804" s="593" t="str">
        <f>IF(H:H=0,"",IF(ISERROR(VLOOKUP(H:H,produtos_escape2!$A$2:$D$2794,2,FALSE)),"Código não cadastrado",(VLOOKUP(H:H,produtos_escape2!$A$2:$D$2794,4,FALSE))))</f>
        <v/>
      </c>
      <c r="N2804" s="486"/>
      <c r="O2804" s="176"/>
      <c r="P2804" s="486"/>
      <c r="Q2804" s="247"/>
      <c r="R2804" s="246">
        <f t="shared" si="103"/>
        <v>0</v>
      </c>
      <c r="S2804" s="177"/>
      <c r="T2804" s="182"/>
      <c r="U2804" s="177"/>
      <c r="V2804" s="177"/>
      <c r="W2804" s="177"/>
      <c r="X2804" s="176"/>
      <c r="Y2804" s="177"/>
      <c r="Z2804" s="415"/>
      <c r="AA2804" s="488"/>
      <c r="AB2804" s="594"/>
      <c r="AC2804" s="595"/>
      <c r="AD2804" s="596" t="str">
        <f>IF(AND(AC2804&lt;&gt;"",S2804&lt;&gt;""),NETWORKDAYS(AC2804,S2804,#REF!),"")</f>
        <v/>
      </c>
      <c r="AE2804" s="596" t="str">
        <f ca="1">IF(AND(AD2804="",AC2804=""),"",IF(OR(AD2804&lt;&gt;"",O2804="*CANCELADO"),"",NETWORKDAYS(AC2804,TODAY(),#REF!)))</f>
        <v/>
      </c>
      <c r="AF2804" s="619"/>
    </row>
    <row r="2805" spans="1:32" ht="14.25" customHeight="1">
      <c r="A2805" s="176"/>
      <c r="B2805" s="176"/>
      <c r="C2805" s="177"/>
      <c r="D2805" s="176"/>
      <c r="E2805" s="176"/>
      <c r="F2805" s="259"/>
      <c r="G2805" s="176"/>
      <c r="H2805" s="178"/>
      <c r="I2805" s="592">
        <f t="shared" si="102"/>
        <v>0</v>
      </c>
      <c r="J2805" s="178"/>
      <c r="K2805" s="178"/>
      <c r="L2805" s="275" t="str">
        <f>IF(H:H=0,"",IF(ISERROR(VLOOKUP(H:H,produtos_escape2!$A$2:$B$2794,2,FALSE)),"Código não cadastrado",(VLOOKUP(H:H,produtos_escape2!$A$2:$B$2794,2,FALSE))))</f>
        <v/>
      </c>
      <c r="M2805" s="593" t="str">
        <f>IF(H:H=0,"",IF(ISERROR(VLOOKUP(H:H,produtos_escape2!$A$2:$D$2794,2,FALSE)),"Código não cadastrado",(VLOOKUP(H:H,produtos_escape2!$A$2:$D$2794,4,FALSE))))</f>
        <v/>
      </c>
      <c r="N2805" s="486"/>
      <c r="O2805" s="176"/>
      <c r="P2805" s="486"/>
      <c r="Q2805" s="247"/>
      <c r="R2805" s="246">
        <f t="shared" si="103"/>
        <v>0</v>
      </c>
      <c r="S2805" s="177"/>
      <c r="T2805" s="182"/>
      <c r="U2805" s="177"/>
      <c r="V2805" s="177"/>
      <c r="W2805" s="177"/>
      <c r="X2805" s="176"/>
      <c r="Y2805" s="177"/>
      <c r="Z2805" s="415"/>
      <c r="AA2805" s="488"/>
      <c r="AB2805" s="594"/>
      <c r="AC2805" s="595"/>
      <c r="AD2805" s="596" t="str">
        <f>IF(AND(AC2805&lt;&gt;"",S2805&lt;&gt;""),NETWORKDAYS(AC2805,S2805,#REF!),"")</f>
        <v/>
      </c>
      <c r="AE2805" s="596" t="str">
        <f ca="1">IF(AND(AD2805="",AC2805=""),"",IF(OR(AD2805&lt;&gt;"",O2805="*CANCELADO"),"",NETWORKDAYS(AC2805,TODAY(),#REF!)))</f>
        <v/>
      </c>
      <c r="AF2805" s="619"/>
    </row>
    <row r="2806" spans="1:32" ht="14.25" customHeight="1">
      <c r="A2806" s="176"/>
      <c r="B2806" s="176"/>
      <c r="C2806" s="177"/>
      <c r="D2806" s="176"/>
      <c r="E2806" s="176"/>
      <c r="F2806" s="259"/>
      <c r="G2806" s="176"/>
      <c r="H2806" s="178"/>
      <c r="I2806" s="592">
        <f t="shared" ref="I2806:I2869" si="104">COUNTIF($H$3:$H$3041,H2806)</f>
        <v>0</v>
      </c>
      <c r="J2806" s="178"/>
      <c r="K2806" s="178"/>
      <c r="L2806" s="275" t="str">
        <f>IF(H:H=0,"",IF(ISERROR(VLOOKUP(H:H,produtos_escape2!$A$2:$B$2794,2,FALSE)),"Código não cadastrado",(VLOOKUP(H:H,produtos_escape2!$A$2:$B$2794,2,FALSE))))</f>
        <v/>
      </c>
      <c r="M2806" s="593" t="str">
        <f>IF(H:H=0,"",IF(ISERROR(VLOOKUP(H:H,produtos_escape2!$A$2:$D$2794,2,FALSE)),"Código não cadastrado",(VLOOKUP(H:H,produtos_escape2!$A$2:$D$2794,4,FALSE))))</f>
        <v/>
      </c>
      <c r="N2806" s="486"/>
      <c r="O2806" s="176"/>
      <c r="P2806" s="486"/>
      <c r="Q2806" s="247"/>
      <c r="R2806" s="246">
        <f t="shared" si="103"/>
        <v>0</v>
      </c>
      <c r="S2806" s="177"/>
      <c r="T2806" s="182"/>
      <c r="U2806" s="177"/>
      <c r="V2806" s="177"/>
      <c r="W2806" s="177"/>
      <c r="X2806" s="176"/>
      <c r="Y2806" s="177"/>
      <c r="Z2806" s="415"/>
      <c r="AA2806" s="488"/>
      <c r="AB2806" s="594"/>
      <c r="AC2806" s="595"/>
      <c r="AD2806" s="596" t="str">
        <f>IF(AND(AC2806&lt;&gt;"",S2806&lt;&gt;""),NETWORKDAYS(AC2806,S2806,#REF!),"")</f>
        <v/>
      </c>
      <c r="AE2806" s="596" t="str">
        <f ca="1">IF(AND(AD2806="",AC2806=""),"",IF(OR(AD2806&lt;&gt;"",O2806="*CANCELADO"),"",NETWORKDAYS(AC2806,TODAY(),#REF!)))</f>
        <v/>
      </c>
      <c r="AF2806" s="619"/>
    </row>
    <row r="2807" spans="1:32" ht="14.25" customHeight="1">
      <c r="A2807" s="176"/>
      <c r="B2807" s="176"/>
      <c r="C2807" s="177"/>
      <c r="D2807" s="176"/>
      <c r="E2807" s="176"/>
      <c r="F2807" s="259"/>
      <c r="G2807" s="176"/>
      <c r="H2807" s="178"/>
      <c r="I2807" s="592">
        <f t="shared" si="104"/>
        <v>0</v>
      </c>
      <c r="J2807" s="178"/>
      <c r="K2807" s="178"/>
      <c r="L2807" s="275" t="str">
        <f>IF(H:H=0,"",IF(ISERROR(VLOOKUP(H:H,produtos_escape2!$A$2:$B$2794,2,FALSE)),"Código não cadastrado",(VLOOKUP(H:H,produtos_escape2!$A$2:$B$2794,2,FALSE))))</f>
        <v/>
      </c>
      <c r="M2807" s="593" t="str">
        <f>IF(H:H=0,"",IF(ISERROR(VLOOKUP(H:H,produtos_escape2!$A$2:$D$2794,2,FALSE)),"Código não cadastrado",(VLOOKUP(H:H,produtos_escape2!$A$2:$D$2794,4,FALSE))))</f>
        <v/>
      </c>
      <c r="N2807" s="486"/>
      <c r="O2807" s="176"/>
      <c r="P2807" s="486"/>
      <c r="Q2807" s="247"/>
      <c r="R2807" s="246">
        <f t="shared" si="103"/>
        <v>0</v>
      </c>
      <c r="S2807" s="177"/>
      <c r="T2807" s="182"/>
      <c r="U2807" s="177"/>
      <c r="V2807" s="177"/>
      <c r="W2807" s="177"/>
      <c r="X2807" s="176"/>
      <c r="Y2807" s="177"/>
      <c r="Z2807" s="415"/>
      <c r="AA2807" s="488"/>
      <c r="AB2807" s="594"/>
      <c r="AC2807" s="595"/>
      <c r="AD2807" s="596" t="str">
        <f>IF(AND(AC2807&lt;&gt;"",S2807&lt;&gt;""),NETWORKDAYS(AC2807,S2807,#REF!),"")</f>
        <v/>
      </c>
      <c r="AE2807" s="596" t="str">
        <f ca="1">IF(AND(AD2807="",AC2807=""),"",IF(OR(AD2807&lt;&gt;"",O2807="*CANCELADO"),"",NETWORKDAYS(AC2807,TODAY(),#REF!)))</f>
        <v/>
      </c>
      <c r="AF2807" s="619"/>
    </row>
    <row r="2808" spans="1:32" ht="14.25" customHeight="1">
      <c r="A2808" s="176"/>
      <c r="B2808" s="176"/>
      <c r="C2808" s="177"/>
      <c r="D2808" s="176"/>
      <c r="E2808" s="176"/>
      <c r="F2808" s="259"/>
      <c r="G2808" s="176"/>
      <c r="H2808" s="178"/>
      <c r="I2808" s="592">
        <f t="shared" si="104"/>
        <v>0</v>
      </c>
      <c r="J2808" s="178"/>
      <c r="K2808" s="178"/>
      <c r="L2808" s="275" t="str">
        <f>IF(H:H=0,"",IF(ISERROR(VLOOKUP(H:H,produtos_escape2!$A$2:$B$2794,2,FALSE)),"Código não cadastrado",(VLOOKUP(H:H,produtos_escape2!$A$2:$B$2794,2,FALSE))))</f>
        <v/>
      </c>
      <c r="M2808" s="593" t="str">
        <f>IF(H:H=0,"",IF(ISERROR(VLOOKUP(H:H,produtos_escape2!$A$2:$D$2794,2,FALSE)),"Código não cadastrado",(VLOOKUP(H:H,produtos_escape2!$A$2:$D$2794,4,FALSE))))</f>
        <v/>
      </c>
      <c r="N2808" s="486"/>
      <c r="O2808" s="176"/>
      <c r="P2808" s="486"/>
      <c r="Q2808" s="247"/>
      <c r="R2808" s="246">
        <f t="shared" si="103"/>
        <v>0</v>
      </c>
      <c r="S2808" s="177"/>
      <c r="T2808" s="182"/>
      <c r="U2808" s="177"/>
      <c r="V2808" s="177"/>
      <c r="W2808" s="177"/>
      <c r="X2808" s="176"/>
      <c r="Y2808" s="177"/>
      <c r="Z2808" s="415"/>
      <c r="AA2808" s="488"/>
      <c r="AB2808" s="594"/>
      <c r="AC2808" s="595"/>
      <c r="AD2808" s="596" t="str">
        <f>IF(AND(AC2808&lt;&gt;"",S2808&lt;&gt;""),NETWORKDAYS(AC2808,S2808,#REF!),"")</f>
        <v/>
      </c>
      <c r="AE2808" s="596" t="str">
        <f ca="1">IF(AND(AD2808="",AC2808=""),"",IF(OR(AD2808&lt;&gt;"",O2808="*CANCELADO"),"",NETWORKDAYS(AC2808,TODAY(),#REF!)))</f>
        <v/>
      </c>
      <c r="AF2808" s="619"/>
    </row>
    <row r="2809" spans="1:32" ht="14.25" customHeight="1">
      <c r="A2809" s="176"/>
      <c r="B2809" s="176"/>
      <c r="C2809" s="177"/>
      <c r="D2809" s="176"/>
      <c r="E2809" s="176"/>
      <c r="F2809" s="259"/>
      <c r="G2809" s="176"/>
      <c r="H2809" s="178"/>
      <c r="I2809" s="592">
        <f t="shared" si="104"/>
        <v>0</v>
      </c>
      <c r="J2809" s="178"/>
      <c r="K2809" s="178"/>
      <c r="L2809" s="275" t="str">
        <f>IF(H:H=0,"",IF(ISERROR(VLOOKUP(H:H,produtos_escape2!$A$2:$B$2794,2,FALSE)),"Código não cadastrado",(VLOOKUP(H:H,produtos_escape2!$A$2:$B$2794,2,FALSE))))</f>
        <v/>
      </c>
      <c r="M2809" s="593" t="str">
        <f>IF(H:H=0,"",IF(ISERROR(VLOOKUP(H:H,produtos_escape2!$A$2:$D$2794,2,FALSE)),"Código não cadastrado",(VLOOKUP(H:H,produtos_escape2!$A$2:$D$2794,4,FALSE))))</f>
        <v/>
      </c>
      <c r="N2809" s="486"/>
      <c r="O2809" s="176"/>
      <c r="P2809" s="486"/>
      <c r="Q2809" s="247"/>
      <c r="R2809" s="246">
        <f t="shared" si="103"/>
        <v>0</v>
      </c>
      <c r="S2809" s="177"/>
      <c r="T2809" s="182"/>
      <c r="U2809" s="177"/>
      <c r="V2809" s="177"/>
      <c r="W2809" s="177"/>
      <c r="X2809" s="176"/>
      <c r="Y2809" s="177"/>
      <c r="Z2809" s="415"/>
      <c r="AA2809" s="488"/>
      <c r="AB2809" s="594"/>
      <c r="AC2809" s="595"/>
      <c r="AD2809" s="596" t="str">
        <f>IF(AND(AC2809&lt;&gt;"",S2809&lt;&gt;""),NETWORKDAYS(AC2809,S2809,#REF!),"")</f>
        <v/>
      </c>
      <c r="AE2809" s="596" t="str">
        <f ca="1">IF(AND(AD2809="",AC2809=""),"",IF(OR(AD2809&lt;&gt;"",O2809="*CANCELADO"),"",NETWORKDAYS(AC2809,TODAY(),#REF!)))</f>
        <v/>
      </c>
      <c r="AF2809" s="619"/>
    </row>
    <row r="2810" spans="1:32" ht="14.25" customHeight="1">
      <c r="A2810" s="176"/>
      <c r="B2810" s="176"/>
      <c r="C2810" s="177"/>
      <c r="D2810" s="176"/>
      <c r="E2810" s="176"/>
      <c r="F2810" s="259"/>
      <c r="G2810" s="176"/>
      <c r="H2810" s="178"/>
      <c r="I2810" s="592">
        <f t="shared" si="104"/>
        <v>0</v>
      </c>
      <c r="J2810" s="178"/>
      <c r="K2810" s="178"/>
      <c r="L2810" s="275" t="str">
        <f>IF(H:H=0,"",IF(ISERROR(VLOOKUP(H:H,produtos_escape2!$A$2:$B$2794,2,FALSE)),"Código não cadastrado",(VLOOKUP(H:H,produtos_escape2!$A$2:$B$2794,2,FALSE))))</f>
        <v/>
      </c>
      <c r="M2810" s="593" t="str">
        <f>IF(H:H=0,"",IF(ISERROR(VLOOKUP(H:H,produtos_escape2!$A$2:$D$2794,2,FALSE)),"Código não cadastrado",(VLOOKUP(H:H,produtos_escape2!$A$2:$D$2794,4,FALSE))))</f>
        <v/>
      </c>
      <c r="N2810" s="486"/>
      <c r="O2810" s="176"/>
      <c r="P2810" s="486"/>
      <c r="Q2810" s="247"/>
      <c r="R2810" s="246">
        <f t="shared" si="103"/>
        <v>0</v>
      </c>
      <c r="S2810" s="177"/>
      <c r="T2810" s="182"/>
      <c r="U2810" s="177"/>
      <c r="V2810" s="177"/>
      <c r="W2810" s="177"/>
      <c r="X2810" s="176"/>
      <c r="Y2810" s="177"/>
      <c r="Z2810" s="415"/>
      <c r="AA2810" s="488"/>
      <c r="AB2810" s="594"/>
      <c r="AC2810" s="595"/>
      <c r="AD2810" s="596" t="str">
        <f>IF(AND(AC2810&lt;&gt;"",S2810&lt;&gt;""),NETWORKDAYS(AC2810,S2810,#REF!),"")</f>
        <v/>
      </c>
      <c r="AE2810" s="596" t="str">
        <f ca="1">IF(AND(AD2810="",AC2810=""),"",IF(OR(AD2810&lt;&gt;"",O2810="*CANCELADO"),"",NETWORKDAYS(AC2810,TODAY(),#REF!)))</f>
        <v/>
      </c>
      <c r="AF2810" s="619"/>
    </row>
    <row r="2811" spans="1:32" ht="14.25" customHeight="1">
      <c r="A2811" s="176"/>
      <c r="B2811" s="176"/>
      <c r="C2811" s="177"/>
      <c r="D2811" s="176"/>
      <c r="E2811" s="176"/>
      <c r="F2811" s="259"/>
      <c r="G2811" s="176"/>
      <c r="H2811" s="178"/>
      <c r="I2811" s="592">
        <f t="shared" si="104"/>
        <v>0</v>
      </c>
      <c r="J2811" s="178"/>
      <c r="K2811" s="178"/>
      <c r="L2811" s="275" t="str">
        <f>IF(H:H=0,"",IF(ISERROR(VLOOKUP(H:H,produtos_escape2!$A$2:$B$2794,2,FALSE)),"Código não cadastrado",(VLOOKUP(H:H,produtos_escape2!$A$2:$B$2794,2,FALSE))))</f>
        <v/>
      </c>
      <c r="M2811" s="593" t="str">
        <f>IF(H:H=0,"",IF(ISERROR(VLOOKUP(H:H,produtos_escape2!$A$2:$D$2794,2,FALSE)),"Código não cadastrado",(VLOOKUP(H:H,produtos_escape2!$A$2:$D$2794,4,FALSE))))</f>
        <v/>
      </c>
      <c r="N2811" s="486"/>
      <c r="O2811" s="176"/>
      <c r="P2811" s="486"/>
      <c r="Q2811" s="247"/>
      <c r="R2811" s="246">
        <f t="shared" si="103"/>
        <v>0</v>
      </c>
      <c r="S2811" s="177"/>
      <c r="T2811" s="182"/>
      <c r="U2811" s="177"/>
      <c r="V2811" s="177"/>
      <c r="W2811" s="177"/>
      <c r="X2811" s="176"/>
      <c r="Y2811" s="177"/>
      <c r="Z2811" s="415"/>
      <c r="AA2811" s="488"/>
      <c r="AB2811" s="594"/>
      <c r="AC2811" s="595"/>
      <c r="AD2811" s="596" t="str">
        <f>IF(AND(AC2811&lt;&gt;"",S2811&lt;&gt;""),NETWORKDAYS(AC2811,S2811,#REF!),"")</f>
        <v/>
      </c>
      <c r="AE2811" s="596" t="str">
        <f ca="1">IF(AND(AD2811="",AC2811=""),"",IF(OR(AD2811&lt;&gt;"",O2811="*CANCELADO"),"",NETWORKDAYS(AC2811,TODAY(),#REF!)))</f>
        <v/>
      </c>
      <c r="AF2811" s="619"/>
    </row>
    <row r="2812" spans="1:32" ht="14.25" customHeight="1">
      <c r="A2812" s="176"/>
      <c r="B2812" s="176"/>
      <c r="C2812" s="177"/>
      <c r="D2812" s="176"/>
      <c r="E2812" s="176"/>
      <c r="F2812" s="259"/>
      <c r="G2812" s="176"/>
      <c r="H2812" s="178"/>
      <c r="I2812" s="592">
        <f t="shared" si="104"/>
        <v>0</v>
      </c>
      <c r="J2812" s="178"/>
      <c r="K2812" s="178"/>
      <c r="L2812" s="275" t="str">
        <f>IF(H:H=0,"",IF(ISERROR(VLOOKUP(H:H,produtos_escape2!$A$2:$B$2794,2,FALSE)),"Código não cadastrado",(VLOOKUP(H:H,produtos_escape2!$A$2:$B$2794,2,FALSE))))</f>
        <v/>
      </c>
      <c r="M2812" s="593" t="str">
        <f>IF(H:H=0,"",IF(ISERROR(VLOOKUP(H:H,produtos_escape2!$A$2:$D$2794,2,FALSE)),"Código não cadastrado",(VLOOKUP(H:H,produtos_escape2!$A$2:$D$2794,4,FALSE))))</f>
        <v/>
      </c>
      <c r="N2812" s="486"/>
      <c r="O2812" s="176"/>
      <c r="P2812" s="486"/>
      <c r="Q2812" s="247"/>
      <c r="R2812" s="246">
        <f t="shared" si="103"/>
        <v>0</v>
      </c>
      <c r="S2812" s="177"/>
      <c r="T2812" s="182"/>
      <c r="U2812" s="177"/>
      <c r="V2812" s="177"/>
      <c r="W2812" s="177"/>
      <c r="X2812" s="176"/>
      <c r="Y2812" s="177"/>
      <c r="Z2812" s="415"/>
      <c r="AA2812" s="488"/>
      <c r="AB2812" s="594"/>
      <c r="AC2812" s="595"/>
      <c r="AD2812" s="596" t="str">
        <f>IF(AND(AC2812&lt;&gt;"",S2812&lt;&gt;""),NETWORKDAYS(AC2812,S2812,#REF!),"")</f>
        <v/>
      </c>
      <c r="AE2812" s="596" t="str">
        <f ca="1">IF(AND(AD2812="",AC2812=""),"",IF(OR(AD2812&lt;&gt;"",O2812="*CANCELADO"),"",NETWORKDAYS(AC2812,TODAY(),#REF!)))</f>
        <v/>
      </c>
      <c r="AF2812" s="619"/>
    </row>
    <row r="2813" spans="1:32" ht="14.25" customHeight="1">
      <c r="A2813" s="176"/>
      <c r="B2813" s="176"/>
      <c r="C2813" s="177"/>
      <c r="D2813" s="176"/>
      <c r="E2813" s="176"/>
      <c r="F2813" s="259"/>
      <c r="G2813" s="176"/>
      <c r="H2813" s="178"/>
      <c r="I2813" s="592">
        <f t="shared" si="104"/>
        <v>0</v>
      </c>
      <c r="J2813" s="178"/>
      <c r="K2813" s="178"/>
      <c r="L2813" s="275" t="str">
        <f>IF(H:H=0,"",IF(ISERROR(VLOOKUP(H:H,produtos_escape2!$A$2:$B$2794,2,FALSE)),"Código não cadastrado",(VLOOKUP(H:H,produtos_escape2!$A$2:$B$2794,2,FALSE))))</f>
        <v/>
      </c>
      <c r="M2813" s="593" t="str">
        <f>IF(H:H=0,"",IF(ISERROR(VLOOKUP(H:H,produtos_escape2!$A$2:$D$2794,2,FALSE)),"Código não cadastrado",(VLOOKUP(H:H,produtos_escape2!$A$2:$D$2794,4,FALSE))))</f>
        <v/>
      </c>
      <c r="N2813" s="486"/>
      <c r="O2813" s="176"/>
      <c r="P2813" s="486"/>
      <c r="Q2813" s="247"/>
      <c r="R2813" s="246">
        <f t="shared" si="103"/>
        <v>0</v>
      </c>
      <c r="S2813" s="177"/>
      <c r="T2813" s="182"/>
      <c r="U2813" s="177"/>
      <c r="V2813" s="177"/>
      <c r="W2813" s="177"/>
      <c r="X2813" s="176"/>
      <c r="Y2813" s="177"/>
      <c r="Z2813" s="415"/>
      <c r="AA2813" s="488"/>
      <c r="AB2813" s="594"/>
      <c r="AC2813" s="595"/>
      <c r="AD2813" s="596" t="str">
        <f>IF(AND(AC2813&lt;&gt;"",S2813&lt;&gt;""),NETWORKDAYS(AC2813,S2813,#REF!),"")</f>
        <v/>
      </c>
      <c r="AE2813" s="596" t="str">
        <f ca="1">IF(AND(AD2813="",AC2813=""),"",IF(OR(AD2813&lt;&gt;"",O2813="*CANCELADO"),"",NETWORKDAYS(AC2813,TODAY(),#REF!)))</f>
        <v/>
      </c>
      <c r="AF2813" s="619"/>
    </row>
    <row r="2814" spans="1:32" ht="14.25" customHeight="1">
      <c r="A2814" s="176"/>
      <c r="B2814" s="176"/>
      <c r="C2814" s="177"/>
      <c r="D2814" s="176"/>
      <c r="E2814" s="176"/>
      <c r="F2814" s="259"/>
      <c r="G2814" s="176"/>
      <c r="H2814" s="178"/>
      <c r="I2814" s="592">
        <f t="shared" si="104"/>
        <v>0</v>
      </c>
      <c r="J2814" s="178"/>
      <c r="K2814" s="178"/>
      <c r="L2814" s="275" t="str">
        <f>IF(H:H=0,"",IF(ISERROR(VLOOKUP(H:H,produtos_escape2!$A$2:$B$2794,2,FALSE)),"Código não cadastrado",(VLOOKUP(H:H,produtos_escape2!$A$2:$B$2794,2,FALSE))))</f>
        <v/>
      </c>
      <c r="M2814" s="593" t="str">
        <f>IF(H:H=0,"",IF(ISERROR(VLOOKUP(H:H,produtos_escape2!$A$2:$D$2794,2,FALSE)),"Código não cadastrado",(VLOOKUP(H:H,produtos_escape2!$A$2:$D$2794,4,FALSE))))</f>
        <v/>
      </c>
      <c r="N2814" s="486"/>
      <c r="O2814" s="176"/>
      <c r="P2814" s="486"/>
      <c r="Q2814" s="247"/>
      <c r="R2814" s="246">
        <f t="shared" si="103"/>
        <v>0</v>
      </c>
      <c r="S2814" s="177"/>
      <c r="T2814" s="182"/>
      <c r="U2814" s="177"/>
      <c r="V2814" s="177"/>
      <c r="W2814" s="177"/>
      <c r="X2814" s="176"/>
      <c r="Y2814" s="177"/>
      <c r="Z2814" s="415"/>
      <c r="AA2814" s="488"/>
      <c r="AB2814" s="594"/>
      <c r="AC2814" s="595"/>
      <c r="AD2814" s="596" t="str">
        <f>IF(AND(AC2814&lt;&gt;"",S2814&lt;&gt;""),NETWORKDAYS(AC2814,S2814,#REF!),"")</f>
        <v/>
      </c>
      <c r="AE2814" s="596" t="str">
        <f ca="1">IF(AND(AD2814="",AC2814=""),"",IF(OR(AD2814&lt;&gt;"",O2814="*CANCELADO"),"",NETWORKDAYS(AC2814,TODAY(),#REF!)))</f>
        <v/>
      </c>
      <c r="AF2814" s="619"/>
    </row>
    <row r="2815" spans="1:32" ht="14.25" customHeight="1">
      <c r="A2815" s="176"/>
      <c r="B2815" s="176"/>
      <c r="C2815" s="177"/>
      <c r="D2815" s="176"/>
      <c r="E2815" s="176"/>
      <c r="F2815" s="259"/>
      <c r="G2815" s="176"/>
      <c r="H2815" s="178"/>
      <c r="I2815" s="592">
        <f t="shared" si="104"/>
        <v>0</v>
      </c>
      <c r="J2815" s="178"/>
      <c r="K2815" s="178"/>
      <c r="L2815" s="275" t="str">
        <f>IF(H:H=0,"",IF(ISERROR(VLOOKUP(H:H,produtos_escape2!$A$2:$B$2794,2,FALSE)),"Código não cadastrado",(VLOOKUP(H:H,produtos_escape2!$A$2:$B$2794,2,FALSE))))</f>
        <v/>
      </c>
      <c r="M2815" s="593" t="str">
        <f>IF(H:H=0,"",IF(ISERROR(VLOOKUP(H:H,produtos_escape2!$A$2:$D$2794,2,FALSE)),"Código não cadastrado",(VLOOKUP(H:H,produtos_escape2!$A$2:$D$2794,4,FALSE))))</f>
        <v/>
      </c>
      <c r="N2815" s="486"/>
      <c r="O2815" s="176"/>
      <c r="P2815" s="486"/>
      <c r="Q2815" s="247"/>
      <c r="R2815" s="246">
        <f t="shared" si="103"/>
        <v>0</v>
      </c>
      <c r="S2815" s="177"/>
      <c r="T2815" s="182"/>
      <c r="U2815" s="177"/>
      <c r="V2815" s="177"/>
      <c r="W2815" s="177"/>
      <c r="X2815" s="176"/>
      <c r="Y2815" s="177"/>
      <c r="Z2815" s="415"/>
      <c r="AA2815" s="488"/>
      <c r="AB2815" s="594"/>
      <c r="AC2815" s="595"/>
      <c r="AD2815" s="596" t="str">
        <f>IF(AND(AC2815&lt;&gt;"",S2815&lt;&gt;""),NETWORKDAYS(AC2815,S2815,#REF!),"")</f>
        <v/>
      </c>
      <c r="AE2815" s="596" t="str">
        <f ca="1">IF(AND(AD2815="",AC2815=""),"",IF(OR(AD2815&lt;&gt;"",O2815="*CANCELADO"),"",NETWORKDAYS(AC2815,TODAY(),#REF!)))</f>
        <v/>
      </c>
      <c r="AF2815" s="619"/>
    </row>
    <row r="2816" spans="1:32" ht="14.25" customHeight="1">
      <c r="A2816" s="176"/>
      <c r="B2816" s="176"/>
      <c r="C2816" s="177"/>
      <c r="D2816" s="176"/>
      <c r="E2816" s="176"/>
      <c r="F2816" s="259"/>
      <c r="G2816" s="176"/>
      <c r="H2816" s="178"/>
      <c r="I2816" s="592">
        <f t="shared" si="104"/>
        <v>0</v>
      </c>
      <c r="J2816" s="178"/>
      <c r="K2816" s="178"/>
      <c r="L2816" s="275" t="str">
        <f>IF(H:H=0,"",IF(ISERROR(VLOOKUP(H:H,produtos_escape2!$A$2:$B$2794,2,FALSE)),"Código não cadastrado",(VLOOKUP(H:H,produtos_escape2!$A$2:$B$2794,2,FALSE))))</f>
        <v/>
      </c>
      <c r="M2816" s="593" t="str">
        <f>IF(H:H=0,"",IF(ISERROR(VLOOKUP(H:H,produtos_escape2!$A$2:$D$2794,2,FALSE)),"Código não cadastrado",(VLOOKUP(H:H,produtos_escape2!$A$2:$D$2794,4,FALSE))))</f>
        <v/>
      </c>
      <c r="N2816" s="486"/>
      <c r="O2816" s="176"/>
      <c r="P2816" s="486"/>
      <c r="Q2816" s="247"/>
      <c r="R2816" s="246">
        <f t="shared" si="103"/>
        <v>0</v>
      </c>
      <c r="S2816" s="177"/>
      <c r="T2816" s="182"/>
      <c r="U2816" s="177"/>
      <c r="V2816" s="177"/>
      <c r="W2816" s="177"/>
      <c r="X2816" s="176"/>
      <c r="Y2816" s="177"/>
      <c r="Z2816" s="415"/>
      <c r="AA2816" s="488"/>
      <c r="AB2816" s="594"/>
      <c r="AC2816" s="595"/>
      <c r="AD2816" s="596" t="str">
        <f>IF(AND(AC2816&lt;&gt;"",S2816&lt;&gt;""),NETWORKDAYS(AC2816,S2816,#REF!),"")</f>
        <v/>
      </c>
      <c r="AE2816" s="596" t="str">
        <f ca="1">IF(AND(AD2816="",AC2816=""),"",IF(OR(AD2816&lt;&gt;"",O2816="*CANCELADO"),"",NETWORKDAYS(AC2816,TODAY(),#REF!)))</f>
        <v/>
      </c>
      <c r="AF2816" s="619"/>
    </row>
    <row r="2817" spans="1:32" ht="14.25" customHeight="1">
      <c r="A2817" s="176"/>
      <c r="B2817" s="176"/>
      <c r="C2817" s="177"/>
      <c r="D2817" s="176"/>
      <c r="E2817" s="176"/>
      <c r="F2817" s="259"/>
      <c r="G2817" s="176"/>
      <c r="H2817" s="178"/>
      <c r="I2817" s="592">
        <f t="shared" si="104"/>
        <v>0</v>
      </c>
      <c r="J2817" s="178"/>
      <c r="K2817" s="178"/>
      <c r="L2817" s="275" t="str">
        <f>IF(H:H=0,"",IF(ISERROR(VLOOKUP(H:H,produtos_escape2!$A$2:$B$2794,2,FALSE)),"Código não cadastrado",(VLOOKUP(H:H,produtos_escape2!$A$2:$B$2794,2,FALSE))))</f>
        <v/>
      </c>
      <c r="M2817" s="593" t="str">
        <f>IF(H:H=0,"",IF(ISERROR(VLOOKUP(H:H,produtos_escape2!$A$2:$D$2794,2,FALSE)),"Código não cadastrado",(VLOOKUP(H:H,produtos_escape2!$A$2:$D$2794,4,FALSE))))</f>
        <v/>
      </c>
      <c r="N2817" s="486"/>
      <c r="O2817" s="176"/>
      <c r="P2817" s="486"/>
      <c r="Q2817" s="247"/>
      <c r="R2817" s="246">
        <f t="shared" si="103"/>
        <v>0</v>
      </c>
      <c r="S2817" s="177"/>
      <c r="T2817" s="182"/>
      <c r="U2817" s="177"/>
      <c r="V2817" s="177"/>
      <c r="W2817" s="177"/>
      <c r="X2817" s="176"/>
      <c r="Y2817" s="177"/>
      <c r="Z2817" s="415"/>
      <c r="AA2817" s="488"/>
      <c r="AB2817" s="594"/>
      <c r="AC2817" s="595"/>
      <c r="AD2817" s="596" t="str">
        <f>IF(AND(AC2817&lt;&gt;"",S2817&lt;&gt;""),NETWORKDAYS(AC2817,S2817,#REF!),"")</f>
        <v/>
      </c>
      <c r="AE2817" s="596" t="str">
        <f ca="1">IF(AND(AD2817="",AC2817=""),"",IF(OR(AD2817&lt;&gt;"",O2817="*CANCELADO"),"",NETWORKDAYS(AC2817,TODAY(),#REF!)))</f>
        <v/>
      </c>
      <c r="AF2817" s="619"/>
    </row>
    <row r="2818" spans="1:32" ht="14.25" customHeight="1">
      <c r="A2818" s="176"/>
      <c r="B2818" s="176"/>
      <c r="C2818" s="177"/>
      <c r="D2818" s="176"/>
      <c r="E2818" s="176"/>
      <c r="F2818" s="259"/>
      <c r="G2818" s="176"/>
      <c r="H2818" s="178"/>
      <c r="I2818" s="592">
        <f t="shared" si="104"/>
        <v>0</v>
      </c>
      <c r="J2818" s="178"/>
      <c r="K2818" s="178"/>
      <c r="L2818" s="275" t="str">
        <f>IF(H:H=0,"",IF(ISERROR(VLOOKUP(H:H,produtos_escape2!$A$2:$B$2794,2,FALSE)),"Código não cadastrado",(VLOOKUP(H:H,produtos_escape2!$A$2:$B$2794,2,FALSE))))</f>
        <v/>
      </c>
      <c r="M2818" s="593" t="str">
        <f>IF(H:H=0,"",IF(ISERROR(VLOOKUP(H:H,produtos_escape2!$A$2:$D$2794,2,FALSE)),"Código não cadastrado",(VLOOKUP(H:H,produtos_escape2!$A$2:$D$2794,4,FALSE))))</f>
        <v/>
      </c>
      <c r="N2818" s="486"/>
      <c r="O2818" s="176"/>
      <c r="P2818" s="486"/>
      <c r="Q2818" s="247"/>
      <c r="R2818" s="246">
        <f t="shared" si="103"/>
        <v>0</v>
      </c>
      <c r="S2818" s="177"/>
      <c r="T2818" s="182"/>
      <c r="U2818" s="177"/>
      <c r="V2818" s="177"/>
      <c r="W2818" s="177"/>
      <c r="X2818" s="176"/>
      <c r="Y2818" s="177"/>
      <c r="Z2818" s="415"/>
      <c r="AA2818" s="488"/>
      <c r="AB2818" s="594"/>
      <c r="AC2818" s="595"/>
      <c r="AD2818" s="596" t="str">
        <f>IF(AND(AC2818&lt;&gt;"",S2818&lt;&gt;""),NETWORKDAYS(AC2818,S2818,#REF!),"")</f>
        <v/>
      </c>
      <c r="AE2818" s="596" t="str">
        <f ca="1">IF(AND(AD2818="",AC2818=""),"",IF(OR(AD2818&lt;&gt;"",O2818="*CANCELADO"),"",NETWORKDAYS(AC2818,TODAY(),#REF!)))</f>
        <v/>
      </c>
      <c r="AF2818" s="619"/>
    </row>
    <row r="2819" spans="1:32" ht="14.25" customHeight="1">
      <c r="A2819" s="176"/>
      <c r="B2819" s="176"/>
      <c r="C2819" s="177"/>
      <c r="D2819" s="176"/>
      <c r="E2819" s="176"/>
      <c r="F2819" s="259"/>
      <c r="G2819" s="176"/>
      <c r="H2819" s="178"/>
      <c r="I2819" s="592">
        <f t="shared" si="104"/>
        <v>0</v>
      </c>
      <c r="J2819" s="178"/>
      <c r="K2819" s="178"/>
      <c r="L2819" s="275" t="str">
        <f>IF(H:H=0,"",IF(ISERROR(VLOOKUP(H:H,produtos_escape2!$A$2:$B$2794,2,FALSE)),"Código não cadastrado",(VLOOKUP(H:H,produtos_escape2!$A$2:$B$2794,2,FALSE))))</f>
        <v/>
      </c>
      <c r="M2819" s="593" t="str">
        <f>IF(H:H=0,"",IF(ISERROR(VLOOKUP(H:H,produtos_escape2!$A$2:$D$2794,2,FALSE)),"Código não cadastrado",(VLOOKUP(H:H,produtos_escape2!$A$2:$D$2794,4,FALSE))))</f>
        <v/>
      </c>
      <c r="N2819" s="486"/>
      <c r="O2819" s="176"/>
      <c r="P2819" s="486"/>
      <c r="Q2819" s="247"/>
      <c r="R2819" s="246">
        <f t="shared" si="103"/>
        <v>0</v>
      </c>
      <c r="S2819" s="177"/>
      <c r="T2819" s="182"/>
      <c r="U2819" s="177"/>
      <c r="V2819" s="177"/>
      <c r="W2819" s="177"/>
      <c r="X2819" s="176"/>
      <c r="Y2819" s="177"/>
      <c r="Z2819" s="415"/>
      <c r="AA2819" s="488"/>
      <c r="AB2819" s="594"/>
      <c r="AC2819" s="595"/>
      <c r="AD2819" s="596" t="str">
        <f>IF(AND(AC2819&lt;&gt;"",S2819&lt;&gt;""),NETWORKDAYS(AC2819,S2819,#REF!),"")</f>
        <v/>
      </c>
      <c r="AE2819" s="596" t="str">
        <f ca="1">IF(AND(AD2819="",AC2819=""),"",IF(OR(AD2819&lt;&gt;"",O2819="*CANCELADO"),"",NETWORKDAYS(AC2819,TODAY(),#REF!)))</f>
        <v/>
      </c>
      <c r="AF2819" s="619"/>
    </row>
    <row r="2820" spans="1:32" ht="14.25" customHeight="1">
      <c r="A2820" s="176"/>
      <c r="B2820" s="176"/>
      <c r="C2820" s="177"/>
      <c r="D2820" s="176"/>
      <c r="E2820" s="176"/>
      <c r="F2820" s="259"/>
      <c r="G2820" s="176"/>
      <c r="H2820" s="178"/>
      <c r="I2820" s="592">
        <f t="shared" si="104"/>
        <v>0</v>
      </c>
      <c r="J2820" s="178"/>
      <c r="K2820" s="178"/>
      <c r="L2820" s="275" t="str">
        <f>IF(H:H=0,"",IF(ISERROR(VLOOKUP(H:H,produtos_escape2!$A$2:$B$2794,2,FALSE)),"Código não cadastrado",(VLOOKUP(H:H,produtos_escape2!$A$2:$B$2794,2,FALSE))))</f>
        <v/>
      </c>
      <c r="M2820" s="593" t="str">
        <f>IF(H:H=0,"",IF(ISERROR(VLOOKUP(H:H,produtos_escape2!$A$2:$D$2794,2,FALSE)),"Código não cadastrado",(VLOOKUP(H:H,produtos_escape2!$A$2:$D$2794,4,FALSE))))</f>
        <v/>
      </c>
      <c r="N2820" s="486"/>
      <c r="O2820" s="176"/>
      <c r="P2820" s="486"/>
      <c r="Q2820" s="247"/>
      <c r="R2820" s="246">
        <f t="shared" si="103"/>
        <v>0</v>
      </c>
      <c r="S2820" s="177"/>
      <c r="T2820" s="182"/>
      <c r="U2820" s="177"/>
      <c r="V2820" s="177"/>
      <c r="W2820" s="177"/>
      <c r="X2820" s="176"/>
      <c r="Y2820" s="177"/>
      <c r="Z2820" s="415"/>
      <c r="AA2820" s="488"/>
      <c r="AB2820" s="594"/>
      <c r="AC2820" s="595"/>
      <c r="AD2820" s="596" t="str">
        <f>IF(AND(AC2820&lt;&gt;"",S2820&lt;&gt;""),NETWORKDAYS(AC2820,S2820,#REF!),"")</f>
        <v/>
      </c>
      <c r="AE2820" s="596" t="str">
        <f ca="1">IF(AND(AD2820="",AC2820=""),"",IF(OR(AD2820&lt;&gt;"",O2820="*CANCELADO"),"",NETWORKDAYS(AC2820,TODAY(),#REF!)))</f>
        <v/>
      </c>
      <c r="AF2820" s="619"/>
    </row>
    <row r="2821" spans="1:32" ht="14.25" customHeight="1">
      <c r="A2821" s="176"/>
      <c r="B2821" s="176"/>
      <c r="C2821" s="177"/>
      <c r="D2821" s="176"/>
      <c r="E2821" s="176"/>
      <c r="F2821" s="259"/>
      <c r="G2821" s="176"/>
      <c r="H2821" s="178"/>
      <c r="I2821" s="592">
        <f t="shared" si="104"/>
        <v>0</v>
      </c>
      <c r="J2821" s="178"/>
      <c r="K2821" s="178"/>
      <c r="L2821" s="275" t="str">
        <f>IF(H:H=0,"",IF(ISERROR(VLOOKUP(H:H,produtos_escape2!$A$2:$B$2794,2,FALSE)),"Código não cadastrado",(VLOOKUP(H:H,produtos_escape2!$A$2:$B$2794,2,FALSE))))</f>
        <v/>
      </c>
      <c r="M2821" s="593" t="str">
        <f>IF(H:H=0,"",IF(ISERROR(VLOOKUP(H:H,produtos_escape2!$A$2:$D$2794,2,FALSE)),"Código não cadastrado",(VLOOKUP(H:H,produtos_escape2!$A$2:$D$2794,4,FALSE))))</f>
        <v/>
      </c>
      <c r="N2821" s="486"/>
      <c r="O2821" s="176"/>
      <c r="P2821" s="486"/>
      <c r="Q2821" s="247"/>
      <c r="R2821" s="246">
        <f t="shared" si="103"/>
        <v>0</v>
      </c>
      <c r="S2821" s="177"/>
      <c r="T2821" s="182"/>
      <c r="U2821" s="177"/>
      <c r="V2821" s="177"/>
      <c r="W2821" s="177"/>
      <c r="X2821" s="176"/>
      <c r="Y2821" s="177"/>
      <c r="Z2821" s="415"/>
      <c r="AA2821" s="488"/>
      <c r="AB2821" s="594"/>
      <c r="AC2821" s="595"/>
      <c r="AD2821" s="596" t="str">
        <f>IF(AND(AC2821&lt;&gt;"",S2821&lt;&gt;""),NETWORKDAYS(AC2821,S2821,#REF!),"")</f>
        <v/>
      </c>
      <c r="AE2821" s="596" t="str">
        <f ca="1">IF(AND(AD2821="",AC2821=""),"",IF(OR(AD2821&lt;&gt;"",O2821="*CANCELADO"),"",NETWORKDAYS(AC2821,TODAY(),#REF!)))</f>
        <v/>
      </c>
      <c r="AF2821" s="619"/>
    </row>
    <row r="2822" spans="1:32" ht="14.25" customHeight="1">
      <c r="A2822" s="176"/>
      <c r="B2822" s="176"/>
      <c r="C2822" s="177"/>
      <c r="D2822" s="176"/>
      <c r="E2822" s="176"/>
      <c r="F2822" s="259"/>
      <c r="G2822" s="176"/>
      <c r="H2822" s="178"/>
      <c r="I2822" s="592">
        <f t="shared" si="104"/>
        <v>0</v>
      </c>
      <c r="J2822" s="178"/>
      <c r="K2822" s="178"/>
      <c r="L2822" s="275" t="str">
        <f>IF(H:H=0,"",IF(ISERROR(VLOOKUP(H:H,produtos_escape2!$A$2:$B$2794,2,FALSE)),"Código não cadastrado",(VLOOKUP(H:H,produtos_escape2!$A$2:$B$2794,2,FALSE))))</f>
        <v/>
      </c>
      <c r="M2822" s="593" t="str">
        <f>IF(H:H=0,"",IF(ISERROR(VLOOKUP(H:H,produtos_escape2!$A$2:$D$2794,2,FALSE)),"Código não cadastrado",(VLOOKUP(H:H,produtos_escape2!$A$2:$D$2794,4,FALSE))))</f>
        <v/>
      </c>
      <c r="N2822" s="486"/>
      <c r="O2822" s="176"/>
      <c r="P2822" s="486"/>
      <c r="Q2822" s="247"/>
      <c r="R2822" s="246">
        <f t="shared" si="103"/>
        <v>0</v>
      </c>
      <c r="S2822" s="177"/>
      <c r="T2822" s="182"/>
      <c r="U2822" s="177"/>
      <c r="V2822" s="177"/>
      <c r="W2822" s="177"/>
      <c r="X2822" s="176"/>
      <c r="Y2822" s="177"/>
      <c r="Z2822" s="415"/>
      <c r="AA2822" s="488"/>
      <c r="AB2822" s="594"/>
      <c r="AC2822" s="595"/>
      <c r="AD2822" s="596" t="str">
        <f>IF(AND(AC2822&lt;&gt;"",S2822&lt;&gt;""),NETWORKDAYS(AC2822,S2822,#REF!),"")</f>
        <v/>
      </c>
      <c r="AE2822" s="596" t="str">
        <f ca="1">IF(AND(AD2822="",AC2822=""),"",IF(OR(AD2822&lt;&gt;"",O2822="*CANCELADO"),"",NETWORKDAYS(AC2822,TODAY(),#REF!)))</f>
        <v/>
      </c>
      <c r="AF2822" s="619"/>
    </row>
    <row r="2823" spans="1:32" ht="14.25" customHeight="1">
      <c r="A2823" s="176"/>
      <c r="B2823" s="176"/>
      <c r="C2823" s="177"/>
      <c r="D2823" s="176"/>
      <c r="E2823" s="176"/>
      <c r="F2823" s="259"/>
      <c r="G2823" s="176"/>
      <c r="H2823" s="178"/>
      <c r="I2823" s="592">
        <f t="shared" si="104"/>
        <v>0</v>
      </c>
      <c r="J2823" s="178"/>
      <c r="K2823" s="178"/>
      <c r="L2823" s="275" t="str">
        <f>IF(H:H=0,"",IF(ISERROR(VLOOKUP(H:H,produtos_escape2!$A$2:$B$2794,2,FALSE)),"Código não cadastrado",(VLOOKUP(H:H,produtos_escape2!$A$2:$B$2794,2,FALSE))))</f>
        <v/>
      </c>
      <c r="M2823" s="593" t="str">
        <f>IF(H:H=0,"",IF(ISERROR(VLOOKUP(H:H,produtos_escape2!$A$2:$D$2794,2,FALSE)),"Código não cadastrado",(VLOOKUP(H:H,produtos_escape2!$A$2:$D$2794,4,FALSE))))</f>
        <v/>
      </c>
      <c r="N2823" s="486"/>
      <c r="O2823" s="176"/>
      <c r="P2823" s="486"/>
      <c r="Q2823" s="247"/>
      <c r="R2823" s="246">
        <f t="shared" si="103"/>
        <v>0</v>
      </c>
      <c r="S2823" s="177"/>
      <c r="T2823" s="182"/>
      <c r="U2823" s="177"/>
      <c r="V2823" s="177"/>
      <c r="W2823" s="177"/>
      <c r="X2823" s="176"/>
      <c r="Y2823" s="177"/>
      <c r="Z2823" s="415"/>
      <c r="AA2823" s="488"/>
      <c r="AB2823" s="594"/>
      <c r="AC2823" s="595"/>
      <c r="AD2823" s="596" t="str">
        <f>IF(AND(AC2823&lt;&gt;"",S2823&lt;&gt;""),NETWORKDAYS(AC2823,S2823,#REF!),"")</f>
        <v/>
      </c>
      <c r="AE2823" s="596" t="str">
        <f ca="1">IF(AND(AD2823="",AC2823=""),"",IF(OR(AD2823&lt;&gt;"",O2823="*CANCELADO"),"",NETWORKDAYS(AC2823,TODAY(),#REF!)))</f>
        <v/>
      </c>
      <c r="AF2823" s="619"/>
    </row>
    <row r="2824" spans="1:32" ht="14.25" customHeight="1">
      <c r="A2824" s="176"/>
      <c r="B2824" s="176"/>
      <c r="C2824" s="177"/>
      <c r="D2824" s="176"/>
      <c r="E2824" s="176"/>
      <c r="F2824" s="259"/>
      <c r="G2824" s="176"/>
      <c r="H2824" s="178"/>
      <c r="I2824" s="592">
        <f t="shared" si="104"/>
        <v>0</v>
      </c>
      <c r="J2824" s="178"/>
      <c r="K2824" s="178"/>
      <c r="L2824" s="275" t="str">
        <f>IF(H:H=0,"",IF(ISERROR(VLOOKUP(H:H,produtos_escape2!$A$2:$B$2794,2,FALSE)),"Código não cadastrado",(VLOOKUP(H:H,produtos_escape2!$A$2:$B$2794,2,FALSE))))</f>
        <v/>
      </c>
      <c r="M2824" s="593" t="str">
        <f>IF(H:H=0,"",IF(ISERROR(VLOOKUP(H:H,produtos_escape2!$A$2:$D$2794,2,FALSE)),"Código não cadastrado",(VLOOKUP(H:H,produtos_escape2!$A$2:$D$2794,4,FALSE))))</f>
        <v/>
      </c>
      <c r="N2824" s="486"/>
      <c r="O2824" s="176"/>
      <c r="P2824" s="486"/>
      <c r="Q2824" s="247"/>
      <c r="R2824" s="246">
        <f t="shared" si="103"/>
        <v>0</v>
      </c>
      <c r="S2824" s="177"/>
      <c r="T2824" s="182"/>
      <c r="U2824" s="177"/>
      <c r="V2824" s="177"/>
      <c r="W2824" s="177"/>
      <c r="X2824" s="176"/>
      <c r="Y2824" s="177"/>
      <c r="Z2824" s="415"/>
      <c r="AA2824" s="488"/>
      <c r="AB2824" s="594"/>
      <c r="AC2824" s="595"/>
      <c r="AD2824" s="596" t="str">
        <f>IF(AND(AC2824&lt;&gt;"",S2824&lt;&gt;""),NETWORKDAYS(AC2824,S2824,#REF!),"")</f>
        <v/>
      </c>
      <c r="AE2824" s="596" t="str">
        <f ca="1">IF(AND(AD2824="",AC2824=""),"",IF(OR(AD2824&lt;&gt;"",O2824="*CANCELADO"),"",NETWORKDAYS(AC2824,TODAY(),#REF!)))</f>
        <v/>
      </c>
      <c r="AF2824" s="619"/>
    </row>
    <row r="2825" spans="1:32" ht="14.25" customHeight="1">
      <c r="A2825" s="176"/>
      <c r="B2825" s="176"/>
      <c r="C2825" s="177"/>
      <c r="D2825" s="176"/>
      <c r="E2825" s="176"/>
      <c r="F2825" s="259"/>
      <c r="G2825" s="176"/>
      <c r="H2825" s="178"/>
      <c r="I2825" s="592">
        <f t="shared" si="104"/>
        <v>0</v>
      </c>
      <c r="J2825" s="178"/>
      <c r="K2825" s="178"/>
      <c r="L2825" s="275" t="str">
        <f>IF(H:H=0,"",IF(ISERROR(VLOOKUP(H:H,produtos_escape2!$A$2:$B$2794,2,FALSE)),"Código não cadastrado",(VLOOKUP(H:H,produtos_escape2!$A$2:$B$2794,2,FALSE))))</f>
        <v/>
      </c>
      <c r="M2825" s="593" t="str">
        <f>IF(H:H=0,"",IF(ISERROR(VLOOKUP(H:H,produtos_escape2!$A$2:$D$2794,2,FALSE)),"Código não cadastrado",(VLOOKUP(H:H,produtos_escape2!$A$2:$D$2794,4,FALSE))))</f>
        <v/>
      </c>
      <c r="N2825" s="486"/>
      <c r="O2825" s="176"/>
      <c r="P2825" s="486"/>
      <c r="Q2825" s="247"/>
      <c r="R2825" s="246">
        <f t="shared" si="103"/>
        <v>0</v>
      </c>
      <c r="S2825" s="177"/>
      <c r="T2825" s="182"/>
      <c r="U2825" s="177"/>
      <c r="V2825" s="177"/>
      <c r="W2825" s="177"/>
      <c r="X2825" s="176"/>
      <c r="Y2825" s="177"/>
      <c r="Z2825" s="415"/>
      <c r="AA2825" s="488"/>
      <c r="AB2825" s="594"/>
      <c r="AC2825" s="595"/>
      <c r="AD2825" s="596" t="str">
        <f>IF(AND(AC2825&lt;&gt;"",S2825&lt;&gt;""),NETWORKDAYS(AC2825,S2825,#REF!),"")</f>
        <v/>
      </c>
      <c r="AE2825" s="596" t="str">
        <f ca="1">IF(AND(AD2825="",AC2825=""),"",IF(OR(AD2825&lt;&gt;"",O2825="*CANCELADO"),"",NETWORKDAYS(AC2825,TODAY(),#REF!)))</f>
        <v/>
      </c>
      <c r="AF2825" s="619"/>
    </row>
    <row r="2826" spans="1:32" ht="14.25" customHeight="1">
      <c r="A2826" s="176"/>
      <c r="B2826" s="176"/>
      <c r="C2826" s="177"/>
      <c r="D2826" s="176"/>
      <c r="E2826" s="176"/>
      <c r="F2826" s="259"/>
      <c r="G2826" s="176"/>
      <c r="H2826" s="178"/>
      <c r="I2826" s="592">
        <f t="shared" si="104"/>
        <v>0</v>
      </c>
      <c r="J2826" s="178"/>
      <c r="K2826" s="178"/>
      <c r="L2826" s="275" t="str">
        <f>IF(H:H=0,"",IF(ISERROR(VLOOKUP(H:H,produtos_escape2!$A$2:$B$2794,2,FALSE)),"Código não cadastrado",(VLOOKUP(H:H,produtos_escape2!$A$2:$B$2794,2,FALSE))))</f>
        <v/>
      </c>
      <c r="M2826" s="593" t="str">
        <f>IF(H:H=0,"",IF(ISERROR(VLOOKUP(H:H,produtos_escape2!$A$2:$D$2794,2,FALSE)),"Código não cadastrado",(VLOOKUP(H:H,produtos_escape2!$A$2:$D$2794,4,FALSE))))</f>
        <v/>
      </c>
      <c r="N2826" s="486"/>
      <c r="O2826" s="176"/>
      <c r="P2826" s="486"/>
      <c r="Q2826" s="247"/>
      <c r="R2826" s="246">
        <f t="shared" si="103"/>
        <v>0</v>
      </c>
      <c r="S2826" s="177"/>
      <c r="T2826" s="182"/>
      <c r="U2826" s="177"/>
      <c r="V2826" s="177"/>
      <c r="W2826" s="177"/>
      <c r="X2826" s="176"/>
      <c r="Y2826" s="177"/>
      <c r="Z2826" s="415"/>
      <c r="AA2826" s="488"/>
      <c r="AB2826" s="594"/>
      <c r="AC2826" s="595"/>
      <c r="AD2826" s="596" t="str">
        <f>IF(AND(AC2826&lt;&gt;"",S2826&lt;&gt;""),NETWORKDAYS(AC2826,S2826,#REF!),"")</f>
        <v/>
      </c>
      <c r="AE2826" s="596" t="str">
        <f ca="1">IF(AND(AD2826="",AC2826=""),"",IF(OR(AD2826&lt;&gt;"",O2826="*CANCELADO"),"",NETWORKDAYS(AC2826,TODAY(),#REF!)))</f>
        <v/>
      </c>
      <c r="AF2826" s="619"/>
    </row>
    <row r="2827" spans="1:32" ht="14.25" customHeight="1">
      <c r="A2827" s="176"/>
      <c r="B2827" s="176"/>
      <c r="C2827" s="177"/>
      <c r="D2827" s="176"/>
      <c r="E2827" s="176"/>
      <c r="F2827" s="259"/>
      <c r="G2827" s="176"/>
      <c r="H2827" s="178"/>
      <c r="I2827" s="592">
        <f t="shared" si="104"/>
        <v>0</v>
      </c>
      <c r="J2827" s="178"/>
      <c r="K2827" s="178"/>
      <c r="L2827" s="275" t="str">
        <f>IF(H:H=0,"",IF(ISERROR(VLOOKUP(H:H,produtos_escape2!$A$2:$B$2794,2,FALSE)),"Código não cadastrado",(VLOOKUP(H:H,produtos_escape2!$A$2:$B$2794,2,FALSE))))</f>
        <v/>
      </c>
      <c r="M2827" s="593" t="str">
        <f>IF(H:H=0,"",IF(ISERROR(VLOOKUP(H:H,produtos_escape2!$A$2:$D$2794,2,FALSE)),"Código não cadastrado",(VLOOKUP(H:H,produtos_escape2!$A$2:$D$2794,4,FALSE))))</f>
        <v/>
      </c>
      <c r="N2827" s="486"/>
      <c r="O2827" s="176"/>
      <c r="P2827" s="486"/>
      <c r="Q2827" s="247"/>
      <c r="R2827" s="246">
        <f t="shared" si="103"/>
        <v>0</v>
      </c>
      <c r="S2827" s="177"/>
      <c r="T2827" s="182"/>
      <c r="U2827" s="177"/>
      <c r="V2827" s="177"/>
      <c r="W2827" s="177"/>
      <c r="X2827" s="176"/>
      <c r="Y2827" s="177"/>
      <c r="Z2827" s="415"/>
      <c r="AA2827" s="488"/>
      <c r="AB2827" s="594"/>
      <c r="AC2827" s="595"/>
      <c r="AD2827" s="596" t="str">
        <f>IF(AND(AC2827&lt;&gt;"",S2827&lt;&gt;""),NETWORKDAYS(AC2827,S2827,#REF!),"")</f>
        <v/>
      </c>
      <c r="AE2827" s="596" t="str">
        <f ca="1">IF(AND(AD2827="",AC2827=""),"",IF(OR(AD2827&lt;&gt;"",O2827="*CANCELADO"),"",NETWORKDAYS(AC2827,TODAY(),#REF!)))</f>
        <v/>
      </c>
      <c r="AF2827" s="619"/>
    </row>
    <row r="2828" spans="1:32" ht="14.25" customHeight="1">
      <c r="A2828" s="176"/>
      <c r="B2828" s="176"/>
      <c r="C2828" s="177"/>
      <c r="D2828" s="176"/>
      <c r="E2828" s="176"/>
      <c r="F2828" s="259"/>
      <c r="G2828" s="176"/>
      <c r="H2828" s="178"/>
      <c r="I2828" s="592">
        <f t="shared" si="104"/>
        <v>0</v>
      </c>
      <c r="J2828" s="178"/>
      <c r="K2828" s="178"/>
      <c r="L2828" s="275" t="str">
        <f>IF(H:H=0,"",IF(ISERROR(VLOOKUP(H:H,produtos_escape2!$A$2:$B$2794,2,FALSE)),"Código não cadastrado",(VLOOKUP(H:H,produtos_escape2!$A$2:$B$2794,2,FALSE))))</f>
        <v/>
      </c>
      <c r="M2828" s="593" t="str">
        <f>IF(H:H=0,"",IF(ISERROR(VLOOKUP(H:H,produtos_escape2!$A$2:$D$2794,2,FALSE)),"Código não cadastrado",(VLOOKUP(H:H,produtos_escape2!$A$2:$D$2794,4,FALSE))))</f>
        <v/>
      </c>
      <c r="N2828" s="486"/>
      <c r="O2828" s="176"/>
      <c r="P2828" s="486"/>
      <c r="Q2828" s="247"/>
      <c r="R2828" s="246">
        <f t="shared" si="103"/>
        <v>0</v>
      </c>
      <c r="S2828" s="177"/>
      <c r="T2828" s="182"/>
      <c r="U2828" s="177"/>
      <c r="V2828" s="177"/>
      <c r="W2828" s="177"/>
      <c r="X2828" s="176"/>
      <c r="Y2828" s="177"/>
      <c r="Z2828" s="415"/>
      <c r="AA2828" s="488"/>
      <c r="AB2828" s="594"/>
      <c r="AC2828" s="595"/>
      <c r="AD2828" s="596" t="str">
        <f>IF(AND(AC2828&lt;&gt;"",S2828&lt;&gt;""),NETWORKDAYS(AC2828,S2828,#REF!),"")</f>
        <v/>
      </c>
      <c r="AE2828" s="596" t="str">
        <f ca="1">IF(AND(AD2828="",AC2828=""),"",IF(OR(AD2828&lt;&gt;"",O2828="*CANCELADO"),"",NETWORKDAYS(AC2828,TODAY(),#REF!)))</f>
        <v/>
      </c>
      <c r="AF2828" s="619"/>
    </row>
    <row r="2829" spans="1:32" ht="14.25" customHeight="1">
      <c r="A2829" s="176"/>
      <c r="B2829" s="176"/>
      <c r="C2829" s="177"/>
      <c r="D2829" s="176"/>
      <c r="E2829" s="176"/>
      <c r="F2829" s="259"/>
      <c r="G2829" s="176"/>
      <c r="H2829" s="178"/>
      <c r="I2829" s="592">
        <f t="shared" si="104"/>
        <v>0</v>
      </c>
      <c r="J2829" s="178"/>
      <c r="K2829" s="178"/>
      <c r="L2829" s="275" t="str">
        <f>IF(H:H=0,"",IF(ISERROR(VLOOKUP(H:H,produtos_escape2!$A$2:$B$2794,2,FALSE)),"Código não cadastrado",(VLOOKUP(H:H,produtos_escape2!$A$2:$B$2794,2,FALSE))))</f>
        <v/>
      </c>
      <c r="M2829" s="593" t="str">
        <f>IF(H:H=0,"",IF(ISERROR(VLOOKUP(H:H,produtos_escape2!$A$2:$D$2794,2,FALSE)),"Código não cadastrado",(VLOOKUP(H:H,produtos_escape2!$A$2:$D$2794,4,FALSE))))</f>
        <v/>
      </c>
      <c r="N2829" s="486"/>
      <c r="O2829" s="176"/>
      <c r="P2829" s="486"/>
      <c r="Q2829" s="247"/>
      <c r="R2829" s="246">
        <f t="shared" si="103"/>
        <v>0</v>
      </c>
      <c r="S2829" s="177"/>
      <c r="T2829" s="182"/>
      <c r="U2829" s="177"/>
      <c r="V2829" s="177"/>
      <c r="W2829" s="177"/>
      <c r="X2829" s="176"/>
      <c r="Y2829" s="177"/>
      <c r="Z2829" s="415"/>
      <c r="AA2829" s="488"/>
      <c r="AB2829" s="594"/>
      <c r="AC2829" s="595"/>
      <c r="AD2829" s="596" t="str">
        <f>IF(AND(AC2829&lt;&gt;"",S2829&lt;&gt;""),NETWORKDAYS(AC2829,S2829,#REF!),"")</f>
        <v/>
      </c>
      <c r="AE2829" s="596" t="str">
        <f ca="1">IF(AND(AD2829="",AC2829=""),"",IF(OR(AD2829&lt;&gt;"",O2829="*CANCELADO"),"",NETWORKDAYS(AC2829,TODAY(),#REF!)))</f>
        <v/>
      </c>
      <c r="AF2829" s="619"/>
    </row>
    <row r="2830" spans="1:32" ht="14.25" customHeight="1">
      <c r="A2830" s="176"/>
      <c r="B2830" s="176"/>
      <c r="C2830" s="177"/>
      <c r="D2830" s="176"/>
      <c r="E2830" s="176"/>
      <c r="F2830" s="259"/>
      <c r="G2830" s="176"/>
      <c r="H2830" s="178"/>
      <c r="I2830" s="592">
        <f t="shared" si="104"/>
        <v>0</v>
      </c>
      <c r="J2830" s="178"/>
      <c r="K2830" s="178"/>
      <c r="L2830" s="275" t="str">
        <f>IF(H:H=0,"",IF(ISERROR(VLOOKUP(H:H,produtos_escape2!$A$2:$B$2794,2,FALSE)),"Código não cadastrado",(VLOOKUP(H:H,produtos_escape2!$A$2:$B$2794,2,FALSE))))</f>
        <v/>
      </c>
      <c r="M2830" s="593" t="str">
        <f>IF(H:H=0,"",IF(ISERROR(VLOOKUP(H:H,produtos_escape2!$A$2:$D$2794,2,FALSE)),"Código não cadastrado",(VLOOKUP(H:H,produtos_escape2!$A$2:$D$2794,4,FALSE))))</f>
        <v/>
      </c>
      <c r="N2830" s="486"/>
      <c r="O2830" s="176"/>
      <c r="P2830" s="486"/>
      <c r="Q2830" s="247"/>
      <c r="R2830" s="246">
        <f t="shared" si="103"/>
        <v>0</v>
      </c>
      <c r="S2830" s="177"/>
      <c r="T2830" s="182"/>
      <c r="U2830" s="177"/>
      <c r="V2830" s="177"/>
      <c r="W2830" s="177"/>
      <c r="X2830" s="176"/>
      <c r="Y2830" s="177"/>
      <c r="Z2830" s="415"/>
      <c r="AA2830" s="488"/>
      <c r="AB2830" s="594"/>
      <c r="AC2830" s="595"/>
      <c r="AD2830" s="596" t="str">
        <f>IF(AND(AC2830&lt;&gt;"",S2830&lt;&gt;""),NETWORKDAYS(AC2830,S2830,#REF!),"")</f>
        <v/>
      </c>
      <c r="AE2830" s="596" t="str">
        <f ca="1">IF(AND(AD2830="",AC2830=""),"",IF(OR(AD2830&lt;&gt;"",O2830="*CANCELADO"),"",NETWORKDAYS(AC2830,TODAY(),#REF!)))</f>
        <v/>
      </c>
      <c r="AF2830" s="619"/>
    </row>
    <row r="2831" spans="1:32" ht="14.25" customHeight="1">
      <c r="A2831" s="176"/>
      <c r="B2831" s="176"/>
      <c r="C2831" s="177"/>
      <c r="D2831" s="176"/>
      <c r="E2831" s="176"/>
      <c r="F2831" s="259"/>
      <c r="G2831" s="176"/>
      <c r="H2831" s="178"/>
      <c r="I2831" s="592">
        <f t="shared" si="104"/>
        <v>0</v>
      </c>
      <c r="J2831" s="178"/>
      <c r="K2831" s="178"/>
      <c r="L2831" s="275" t="str">
        <f>IF(H:H=0,"",IF(ISERROR(VLOOKUP(H:H,produtos_escape2!$A$2:$B$2794,2,FALSE)),"Código não cadastrado",(VLOOKUP(H:H,produtos_escape2!$A$2:$B$2794,2,FALSE))))</f>
        <v/>
      </c>
      <c r="M2831" s="593" t="str">
        <f>IF(H:H=0,"",IF(ISERROR(VLOOKUP(H:H,produtos_escape2!$A$2:$D$2794,2,FALSE)),"Código não cadastrado",(VLOOKUP(H:H,produtos_escape2!$A$2:$D$2794,4,FALSE))))</f>
        <v/>
      </c>
      <c r="N2831" s="486"/>
      <c r="O2831" s="176"/>
      <c r="P2831" s="486"/>
      <c r="Q2831" s="247"/>
      <c r="R2831" s="246">
        <f t="shared" si="103"/>
        <v>0</v>
      </c>
      <c r="S2831" s="177"/>
      <c r="T2831" s="182"/>
      <c r="U2831" s="177"/>
      <c r="V2831" s="177"/>
      <c r="W2831" s="177"/>
      <c r="X2831" s="176"/>
      <c r="Y2831" s="177"/>
      <c r="Z2831" s="415"/>
      <c r="AA2831" s="488"/>
      <c r="AB2831" s="594"/>
      <c r="AC2831" s="595"/>
      <c r="AD2831" s="596" t="str">
        <f>IF(AND(AC2831&lt;&gt;"",S2831&lt;&gt;""),NETWORKDAYS(AC2831,S2831,#REF!),"")</f>
        <v/>
      </c>
      <c r="AE2831" s="596" t="str">
        <f ca="1">IF(AND(AD2831="",AC2831=""),"",IF(OR(AD2831&lt;&gt;"",O2831="*CANCELADO"),"",NETWORKDAYS(AC2831,TODAY(),#REF!)))</f>
        <v/>
      </c>
      <c r="AF2831" s="619"/>
    </row>
    <row r="2832" spans="1:32" ht="14.25" customHeight="1">
      <c r="A2832" s="176"/>
      <c r="B2832" s="176"/>
      <c r="C2832" s="177"/>
      <c r="D2832" s="176"/>
      <c r="E2832" s="176"/>
      <c r="F2832" s="259"/>
      <c r="G2832" s="176"/>
      <c r="H2832" s="178"/>
      <c r="I2832" s="592">
        <f t="shared" si="104"/>
        <v>0</v>
      </c>
      <c r="J2832" s="178"/>
      <c r="K2832" s="178"/>
      <c r="L2832" s="275" t="str">
        <f>IF(H:H=0,"",IF(ISERROR(VLOOKUP(H:H,produtos_escape2!$A$2:$B$2794,2,FALSE)),"Código não cadastrado",(VLOOKUP(H:H,produtos_escape2!$A$2:$B$2794,2,FALSE))))</f>
        <v/>
      </c>
      <c r="M2832" s="593" t="str">
        <f>IF(H:H=0,"",IF(ISERROR(VLOOKUP(H:H,produtos_escape2!$A$2:$D$2794,2,FALSE)),"Código não cadastrado",(VLOOKUP(H:H,produtos_escape2!$A$2:$D$2794,4,FALSE))))</f>
        <v/>
      </c>
      <c r="N2832" s="486"/>
      <c r="O2832" s="176"/>
      <c r="P2832" s="486"/>
      <c r="Q2832" s="247"/>
      <c r="R2832" s="246">
        <f t="shared" si="103"/>
        <v>0</v>
      </c>
      <c r="S2832" s="177"/>
      <c r="T2832" s="182"/>
      <c r="U2832" s="177"/>
      <c r="V2832" s="177"/>
      <c r="W2832" s="177"/>
      <c r="X2832" s="176"/>
      <c r="Y2832" s="177"/>
      <c r="Z2832" s="415"/>
      <c r="AA2832" s="488"/>
      <c r="AB2832" s="594"/>
      <c r="AC2832" s="595"/>
      <c r="AD2832" s="596" t="str">
        <f>IF(AND(AC2832&lt;&gt;"",S2832&lt;&gt;""),NETWORKDAYS(AC2832,S2832,#REF!),"")</f>
        <v/>
      </c>
      <c r="AE2832" s="596" t="str">
        <f ca="1">IF(AND(AD2832="",AC2832=""),"",IF(OR(AD2832&lt;&gt;"",O2832="*CANCELADO"),"",NETWORKDAYS(AC2832,TODAY(),#REF!)))</f>
        <v/>
      </c>
      <c r="AF2832" s="619"/>
    </row>
    <row r="2833" spans="1:32" ht="14.25" customHeight="1">
      <c r="A2833" s="176"/>
      <c r="B2833" s="176"/>
      <c r="C2833" s="177"/>
      <c r="D2833" s="176"/>
      <c r="E2833" s="176"/>
      <c r="F2833" s="259"/>
      <c r="G2833" s="176"/>
      <c r="H2833" s="178"/>
      <c r="I2833" s="592">
        <f t="shared" si="104"/>
        <v>0</v>
      </c>
      <c r="J2833" s="178"/>
      <c r="K2833" s="178"/>
      <c r="L2833" s="275" t="str">
        <f>IF(H:H=0,"",IF(ISERROR(VLOOKUP(H:H,produtos_escape2!$A$2:$B$2794,2,FALSE)),"Código não cadastrado",(VLOOKUP(H:H,produtos_escape2!$A$2:$B$2794,2,FALSE))))</f>
        <v/>
      </c>
      <c r="M2833" s="593" t="str">
        <f>IF(H:H=0,"",IF(ISERROR(VLOOKUP(H:H,produtos_escape2!$A$2:$D$2794,2,FALSE)),"Código não cadastrado",(VLOOKUP(H:H,produtos_escape2!$A$2:$D$2794,4,FALSE))))</f>
        <v/>
      </c>
      <c r="N2833" s="486"/>
      <c r="O2833" s="176"/>
      <c r="P2833" s="486"/>
      <c r="Q2833" s="247"/>
      <c r="R2833" s="246">
        <f t="shared" si="103"/>
        <v>0</v>
      </c>
      <c r="S2833" s="177"/>
      <c r="T2833" s="182"/>
      <c r="U2833" s="177"/>
      <c r="V2833" s="177"/>
      <c r="W2833" s="177"/>
      <c r="X2833" s="176"/>
      <c r="Y2833" s="177"/>
      <c r="Z2833" s="415"/>
      <c r="AA2833" s="488"/>
      <c r="AB2833" s="594"/>
      <c r="AC2833" s="595"/>
      <c r="AD2833" s="596" t="str">
        <f>IF(AND(AC2833&lt;&gt;"",S2833&lt;&gt;""),NETWORKDAYS(AC2833,S2833,#REF!),"")</f>
        <v/>
      </c>
      <c r="AE2833" s="596" t="str">
        <f ca="1">IF(AND(AD2833="",AC2833=""),"",IF(OR(AD2833&lt;&gt;"",O2833="*CANCELADO"),"",NETWORKDAYS(AC2833,TODAY(),#REF!)))</f>
        <v/>
      </c>
      <c r="AF2833" s="619"/>
    </row>
    <row r="2834" spans="1:32" ht="14.25" customHeight="1">
      <c r="A2834" s="176"/>
      <c r="B2834" s="176"/>
      <c r="C2834" s="177"/>
      <c r="D2834" s="176"/>
      <c r="E2834" s="176"/>
      <c r="F2834" s="259"/>
      <c r="G2834" s="176"/>
      <c r="H2834" s="178"/>
      <c r="I2834" s="592">
        <f t="shared" si="104"/>
        <v>0</v>
      </c>
      <c r="J2834" s="178"/>
      <c r="K2834" s="178"/>
      <c r="L2834" s="275" t="str">
        <f>IF(H:H=0,"",IF(ISERROR(VLOOKUP(H:H,produtos_escape2!$A$2:$B$2794,2,FALSE)),"Código não cadastrado",(VLOOKUP(H:H,produtos_escape2!$A$2:$B$2794,2,FALSE))))</f>
        <v/>
      </c>
      <c r="M2834" s="593" t="str">
        <f>IF(H:H=0,"",IF(ISERROR(VLOOKUP(H:H,produtos_escape2!$A$2:$D$2794,2,FALSE)),"Código não cadastrado",(VLOOKUP(H:H,produtos_escape2!$A$2:$D$2794,4,FALSE))))</f>
        <v/>
      </c>
      <c r="N2834" s="486"/>
      <c r="O2834" s="176"/>
      <c r="P2834" s="486"/>
      <c r="Q2834" s="247"/>
      <c r="R2834" s="246">
        <f t="shared" si="103"/>
        <v>0</v>
      </c>
      <c r="S2834" s="177"/>
      <c r="T2834" s="182"/>
      <c r="U2834" s="177"/>
      <c r="V2834" s="177"/>
      <c r="W2834" s="177"/>
      <c r="X2834" s="176"/>
      <c r="Y2834" s="177"/>
      <c r="Z2834" s="415"/>
      <c r="AA2834" s="488"/>
      <c r="AB2834" s="594"/>
      <c r="AC2834" s="595"/>
      <c r="AD2834" s="596" t="str">
        <f>IF(AND(AC2834&lt;&gt;"",S2834&lt;&gt;""),NETWORKDAYS(AC2834,S2834,#REF!),"")</f>
        <v/>
      </c>
      <c r="AE2834" s="596" t="str">
        <f ca="1">IF(AND(AD2834="",AC2834=""),"",IF(OR(AD2834&lt;&gt;"",O2834="*CANCELADO"),"",NETWORKDAYS(AC2834,TODAY(),#REF!)))</f>
        <v/>
      </c>
      <c r="AF2834" s="619"/>
    </row>
    <row r="2835" spans="1:32" ht="14.25" customHeight="1">
      <c r="A2835" s="176"/>
      <c r="B2835" s="176"/>
      <c r="C2835" s="177"/>
      <c r="D2835" s="176"/>
      <c r="E2835" s="176"/>
      <c r="F2835" s="259"/>
      <c r="G2835" s="176"/>
      <c r="H2835" s="178"/>
      <c r="I2835" s="592">
        <f t="shared" si="104"/>
        <v>0</v>
      </c>
      <c r="J2835" s="178"/>
      <c r="K2835" s="178"/>
      <c r="L2835" s="275" t="str">
        <f>IF(H:H=0,"",IF(ISERROR(VLOOKUP(H:H,produtos_escape2!$A$2:$B$2794,2,FALSE)),"Código não cadastrado",(VLOOKUP(H:H,produtos_escape2!$A$2:$B$2794,2,FALSE))))</f>
        <v/>
      </c>
      <c r="M2835" s="593" t="str">
        <f>IF(H:H=0,"",IF(ISERROR(VLOOKUP(H:H,produtos_escape2!$A$2:$D$2794,2,FALSE)),"Código não cadastrado",(VLOOKUP(H:H,produtos_escape2!$A$2:$D$2794,4,FALSE))))</f>
        <v/>
      </c>
      <c r="N2835" s="486"/>
      <c r="O2835" s="176"/>
      <c r="P2835" s="486"/>
      <c r="Q2835" s="247"/>
      <c r="R2835" s="246">
        <f t="shared" si="103"/>
        <v>0</v>
      </c>
      <c r="S2835" s="177"/>
      <c r="T2835" s="182"/>
      <c r="U2835" s="177"/>
      <c r="V2835" s="177"/>
      <c r="W2835" s="177"/>
      <c r="X2835" s="176"/>
      <c r="Y2835" s="177"/>
      <c r="Z2835" s="415"/>
      <c r="AA2835" s="488"/>
      <c r="AB2835" s="594"/>
      <c r="AC2835" s="595"/>
      <c r="AD2835" s="596" t="str">
        <f>IF(AND(AC2835&lt;&gt;"",S2835&lt;&gt;""),NETWORKDAYS(AC2835,S2835,#REF!),"")</f>
        <v/>
      </c>
      <c r="AE2835" s="596" t="str">
        <f ca="1">IF(AND(AD2835="",AC2835=""),"",IF(OR(AD2835&lt;&gt;"",O2835="*CANCELADO"),"",NETWORKDAYS(AC2835,TODAY(),#REF!)))</f>
        <v/>
      </c>
      <c r="AF2835" s="619"/>
    </row>
    <row r="2836" spans="1:32" ht="14.25" customHeight="1">
      <c r="A2836" s="176"/>
      <c r="B2836" s="176"/>
      <c r="C2836" s="177"/>
      <c r="D2836" s="176"/>
      <c r="E2836" s="176"/>
      <c r="F2836" s="259"/>
      <c r="G2836" s="176"/>
      <c r="H2836" s="178"/>
      <c r="I2836" s="592">
        <f t="shared" si="104"/>
        <v>0</v>
      </c>
      <c r="J2836" s="178"/>
      <c r="K2836" s="178"/>
      <c r="L2836" s="275" t="str">
        <f>IF(H:H=0,"",IF(ISERROR(VLOOKUP(H:H,produtos_escape2!$A$2:$B$2794,2,FALSE)),"Código não cadastrado",(VLOOKUP(H:H,produtos_escape2!$A$2:$B$2794,2,FALSE))))</f>
        <v/>
      </c>
      <c r="M2836" s="593" t="str">
        <f>IF(H:H=0,"",IF(ISERROR(VLOOKUP(H:H,produtos_escape2!$A$2:$D$2794,2,FALSE)),"Código não cadastrado",(VLOOKUP(H:H,produtos_escape2!$A$2:$D$2794,4,FALSE))))</f>
        <v/>
      </c>
      <c r="N2836" s="486"/>
      <c r="O2836" s="176"/>
      <c r="P2836" s="486"/>
      <c r="Q2836" s="247"/>
      <c r="R2836" s="246">
        <f t="shared" si="103"/>
        <v>0</v>
      </c>
      <c r="S2836" s="177"/>
      <c r="T2836" s="182"/>
      <c r="U2836" s="177"/>
      <c r="V2836" s="177"/>
      <c r="W2836" s="177"/>
      <c r="X2836" s="176"/>
      <c r="Y2836" s="177"/>
      <c r="Z2836" s="415"/>
      <c r="AA2836" s="488"/>
      <c r="AB2836" s="594"/>
      <c r="AC2836" s="595"/>
      <c r="AD2836" s="596" t="str">
        <f>IF(AND(AC2836&lt;&gt;"",S2836&lt;&gt;""),NETWORKDAYS(AC2836,S2836,#REF!),"")</f>
        <v/>
      </c>
      <c r="AE2836" s="596" t="str">
        <f ca="1">IF(AND(AD2836="",AC2836=""),"",IF(OR(AD2836&lt;&gt;"",O2836="*CANCELADO"),"",NETWORKDAYS(AC2836,TODAY(),#REF!)))</f>
        <v/>
      </c>
      <c r="AF2836" s="619"/>
    </row>
    <row r="2837" spans="1:32" ht="14.25" customHeight="1">
      <c r="A2837" s="176"/>
      <c r="B2837" s="176"/>
      <c r="C2837" s="177"/>
      <c r="D2837" s="176"/>
      <c r="E2837" s="176"/>
      <c r="F2837" s="259"/>
      <c r="G2837" s="176"/>
      <c r="H2837" s="178"/>
      <c r="I2837" s="592">
        <f t="shared" si="104"/>
        <v>0</v>
      </c>
      <c r="J2837" s="178"/>
      <c r="K2837" s="178"/>
      <c r="L2837" s="275" t="str">
        <f>IF(H:H=0,"",IF(ISERROR(VLOOKUP(H:H,produtos_escape2!$A$2:$B$2794,2,FALSE)),"Código não cadastrado",(VLOOKUP(H:H,produtos_escape2!$A$2:$B$2794,2,FALSE))))</f>
        <v/>
      </c>
      <c r="M2837" s="593" t="str">
        <f>IF(H:H=0,"",IF(ISERROR(VLOOKUP(H:H,produtos_escape2!$A$2:$D$2794,2,FALSE)),"Código não cadastrado",(VLOOKUP(H:H,produtos_escape2!$A$2:$D$2794,4,FALSE))))</f>
        <v/>
      </c>
      <c r="N2837" s="486"/>
      <c r="O2837" s="176"/>
      <c r="P2837" s="486"/>
      <c r="Q2837" s="247"/>
      <c r="R2837" s="246">
        <f t="shared" si="103"/>
        <v>0</v>
      </c>
      <c r="S2837" s="177"/>
      <c r="T2837" s="182"/>
      <c r="U2837" s="177"/>
      <c r="V2837" s="177"/>
      <c r="W2837" s="177"/>
      <c r="X2837" s="176"/>
      <c r="Y2837" s="177"/>
      <c r="Z2837" s="415"/>
      <c r="AA2837" s="488"/>
      <c r="AB2837" s="594"/>
      <c r="AC2837" s="595"/>
      <c r="AD2837" s="596" t="str">
        <f>IF(AND(AC2837&lt;&gt;"",S2837&lt;&gt;""),NETWORKDAYS(AC2837,S2837,#REF!),"")</f>
        <v/>
      </c>
      <c r="AE2837" s="596" t="str">
        <f ca="1">IF(AND(AD2837="",AC2837=""),"",IF(OR(AD2837&lt;&gt;"",O2837="*CANCELADO"),"",NETWORKDAYS(AC2837,TODAY(),#REF!)))</f>
        <v/>
      </c>
      <c r="AF2837" s="619"/>
    </row>
    <row r="2838" spans="1:32" ht="14.25" customHeight="1">
      <c r="A2838" s="176"/>
      <c r="B2838" s="176"/>
      <c r="C2838" s="177"/>
      <c r="D2838" s="176"/>
      <c r="E2838" s="176"/>
      <c r="F2838" s="259"/>
      <c r="G2838" s="176"/>
      <c r="H2838" s="178"/>
      <c r="I2838" s="592">
        <f t="shared" si="104"/>
        <v>0</v>
      </c>
      <c r="J2838" s="178"/>
      <c r="K2838" s="178"/>
      <c r="L2838" s="275" t="str">
        <f>IF(H:H=0,"",IF(ISERROR(VLOOKUP(H:H,produtos_escape2!$A$2:$B$2794,2,FALSE)),"Código não cadastrado",(VLOOKUP(H:H,produtos_escape2!$A$2:$B$2794,2,FALSE))))</f>
        <v/>
      </c>
      <c r="M2838" s="593" t="str">
        <f>IF(H:H=0,"",IF(ISERROR(VLOOKUP(H:H,produtos_escape2!$A$2:$D$2794,2,FALSE)),"Código não cadastrado",(VLOOKUP(H:H,produtos_escape2!$A$2:$D$2794,4,FALSE))))</f>
        <v/>
      </c>
      <c r="N2838" s="486"/>
      <c r="O2838" s="176"/>
      <c r="P2838" s="486"/>
      <c r="Q2838" s="247"/>
      <c r="R2838" s="246">
        <f t="shared" si="103"/>
        <v>0</v>
      </c>
      <c r="S2838" s="177"/>
      <c r="T2838" s="182"/>
      <c r="U2838" s="177"/>
      <c r="V2838" s="177"/>
      <c r="W2838" s="177"/>
      <c r="X2838" s="176"/>
      <c r="Y2838" s="177"/>
      <c r="Z2838" s="415"/>
      <c r="AA2838" s="488"/>
      <c r="AB2838" s="594"/>
      <c r="AC2838" s="595"/>
      <c r="AD2838" s="596" t="str">
        <f>IF(AND(AC2838&lt;&gt;"",S2838&lt;&gt;""),NETWORKDAYS(AC2838,S2838,#REF!),"")</f>
        <v/>
      </c>
      <c r="AE2838" s="596" t="str">
        <f ca="1">IF(AND(AD2838="",AC2838=""),"",IF(OR(AD2838&lt;&gt;"",O2838="*CANCELADO"),"",NETWORKDAYS(AC2838,TODAY(),#REF!)))</f>
        <v/>
      </c>
      <c r="AF2838" s="619"/>
    </row>
    <row r="2839" spans="1:32" ht="14.25" customHeight="1">
      <c r="A2839" s="176"/>
      <c r="B2839" s="176"/>
      <c r="C2839" s="177"/>
      <c r="D2839" s="176"/>
      <c r="E2839" s="176"/>
      <c r="F2839" s="259"/>
      <c r="G2839" s="176"/>
      <c r="H2839" s="178"/>
      <c r="I2839" s="592">
        <f t="shared" si="104"/>
        <v>0</v>
      </c>
      <c r="J2839" s="178"/>
      <c r="K2839" s="178"/>
      <c r="L2839" s="275" t="str">
        <f>IF(H:H=0,"",IF(ISERROR(VLOOKUP(H:H,produtos_escape2!$A$2:$B$2794,2,FALSE)),"Código não cadastrado",(VLOOKUP(H:H,produtos_escape2!$A$2:$B$2794,2,FALSE))))</f>
        <v/>
      </c>
      <c r="M2839" s="593" t="str">
        <f>IF(H:H=0,"",IF(ISERROR(VLOOKUP(H:H,produtos_escape2!$A$2:$D$2794,2,FALSE)),"Código não cadastrado",(VLOOKUP(H:H,produtos_escape2!$A$2:$D$2794,4,FALSE))))</f>
        <v/>
      </c>
      <c r="N2839" s="486"/>
      <c r="O2839" s="176"/>
      <c r="P2839" s="486"/>
      <c r="Q2839" s="247"/>
      <c r="R2839" s="246">
        <f t="shared" si="103"/>
        <v>0</v>
      </c>
      <c r="S2839" s="177"/>
      <c r="T2839" s="182"/>
      <c r="U2839" s="177"/>
      <c r="V2839" s="177"/>
      <c r="W2839" s="177"/>
      <c r="X2839" s="176"/>
      <c r="Y2839" s="177"/>
      <c r="Z2839" s="415"/>
      <c r="AA2839" s="488"/>
      <c r="AB2839" s="594"/>
      <c r="AC2839" s="595"/>
      <c r="AD2839" s="596" t="str">
        <f>IF(AND(AC2839&lt;&gt;"",S2839&lt;&gt;""),NETWORKDAYS(AC2839,S2839,#REF!),"")</f>
        <v/>
      </c>
      <c r="AE2839" s="596" t="str">
        <f ca="1">IF(AND(AD2839="",AC2839=""),"",IF(OR(AD2839&lt;&gt;"",O2839="*CANCELADO"),"",NETWORKDAYS(AC2839,TODAY(),#REF!)))</f>
        <v/>
      </c>
      <c r="AF2839" s="619"/>
    </row>
    <row r="2840" spans="1:32" ht="14.25" customHeight="1">
      <c r="A2840" s="176"/>
      <c r="B2840" s="176"/>
      <c r="C2840" s="177"/>
      <c r="D2840" s="176"/>
      <c r="E2840" s="176"/>
      <c r="F2840" s="259"/>
      <c r="G2840" s="176"/>
      <c r="H2840" s="178"/>
      <c r="I2840" s="592">
        <f t="shared" si="104"/>
        <v>0</v>
      </c>
      <c r="J2840" s="178"/>
      <c r="K2840" s="178"/>
      <c r="L2840" s="275" t="str">
        <f>IF(H:H=0,"",IF(ISERROR(VLOOKUP(H:H,produtos_escape2!$A$2:$B$2794,2,FALSE)),"Código não cadastrado",(VLOOKUP(H:H,produtos_escape2!$A$2:$B$2794,2,FALSE))))</f>
        <v/>
      </c>
      <c r="M2840" s="593" t="str">
        <f>IF(H:H=0,"",IF(ISERROR(VLOOKUP(H:H,produtos_escape2!$A$2:$D$2794,2,FALSE)),"Código não cadastrado",(VLOOKUP(H:H,produtos_escape2!$A$2:$D$2794,4,FALSE))))</f>
        <v/>
      </c>
      <c r="N2840" s="486"/>
      <c r="O2840" s="176"/>
      <c r="P2840" s="486"/>
      <c r="Q2840" s="247"/>
      <c r="R2840" s="246">
        <f t="shared" si="103"/>
        <v>0</v>
      </c>
      <c r="S2840" s="177"/>
      <c r="T2840" s="182"/>
      <c r="U2840" s="177"/>
      <c r="V2840" s="177"/>
      <c r="W2840" s="177"/>
      <c r="X2840" s="176"/>
      <c r="Y2840" s="177"/>
      <c r="Z2840" s="415"/>
      <c r="AA2840" s="488"/>
      <c r="AB2840" s="594"/>
      <c r="AC2840" s="595"/>
      <c r="AD2840" s="596" t="str">
        <f>IF(AND(AC2840&lt;&gt;"",S2840&lt;&gt;""),NETWORKDAYS(AC2840,S2840,#REF!),"")</f>
        <v/>
      </c>
      <c r="AE2840" s="596" t="str">
        <f ca="1">IF(AND(AD2840="",AC2840=""),"",IF(OR(AD2840&lt;&gt;"",O2840="*CANCELADO"),"",NETWORKDAYS(AC2840,TODAY(),#REF!)))</f>
        <v/>
      </c>
      <c r="AF2840" s="619"/>
    </row>
    <row r="2841" spans="1:32" ht="14.25" customHeight="1">
      <c r="A2841" s="176"/>
      <c r="B2841" s="176"/>
      <c r="C2841" s="177"/>
      <c r="D2841" s="176"/>
      <c r="E2841" s="176"/>
      <c r="F2841" s="259"/>
      <c r="G2841" s="176"/>
      <c r="H2841" s="178"/>
      <c r="I2841" s="592">
        <f t="shared" si="104"/>
        <v>0</v>
      </c>
      <c r="J2841" s="178"/>
      <c r="K2841" s="178"/>
      <c r="L2841" s="275" t="str">
        <f>IF(H:H=0,"",IF(ISERROR(VLOOKUP(H:H,produtos_escape2!$A$2:$B$2794,2,FALSE)),"Código não cadastrado",(VLOOKUP(H:H,produtos_escape2!$A$2:$B$2794,2,FALSE))))</f>
        <v/>
      </c>
      <c r="M2841" s="593" t="str">
        <f>IF(H:H=0,"",IF(ISERROR(VLOOKUP(H:H,produtos_escape2!$A$2:$D$2794,2,FALSE)),"Código não cadastrado",(VLOOKUP(H:H,produtos_escape2!$A$2:$D$2794,4,FALSE))))</f>
        <v/>
      </c>
      <c r="N2841" s="486"/>
      <c r="O2841" s="176"/>
      <c r="P2841" s="486"/>
      <c r="Q2841" s="247"/>
      <c r="R2841" s="246">
        <f t="shared" si="103"/>
        <v>0</v>
      </c>
      <c r="S2841" s="177"/>
      <c r="T2841" s="182"/>
      <c r="U2841" s="177"/>
      <c r="V2841" s="177"/>
      <c r="W2841" s="177"/>
      <c r="X2841" s="176"/>
      <c r="Y2841" s="177"/>
      <c r="Z2841" s="415"/>
      <c r="AA2841" s="488"/>
      <c r="AB2841" s="594"/>
      <c r="AC2841" s="595"/>
      <c r="AD2841" s="596" t="str">
        <f>IF(AND(AC2841&lt;&gt;"",S2841&lt;&gt;""),NETWORKDAYS(AC2841,S2841,#REF!),"")</f>
        <v/>
      </c>
      <c r="AE2841" s="596" t="str">
        <f ca="1">IF(AND(AD2841="",AC2841=""),"",IF(OR(AD2841&lt;&gt;"",O2841="*CANCELADO"),"",NETWORKDAYS(AC2841,TODAY(),#REF!)))</f>
        <v/>
      </c>
      <c r="AF2841" s="619"/>
    </row>
    <row r="2842" spans="1:32" ht="14.25" customHeight="1">
      <c r="A2842" s="176"/>
      <c r="B2842" s="176"/>
      <c r="C2842" s="177"/>
      <c r="D2842" s="176"/>
      <c r="E2842" s="176"/>
      <c r="F2842" s="259"/>
      <c r="G2842" s="176"/>
      <c r="H2842" s="178"/>
      <c r="I2842" s="592">
        <f t="shared" si="104"/>
        <v>0</v>
      </c>
      <c r="J2842" s="178"/>
      <c r="K2842" s="178"/>
      <c r="L2842" s="275" t="str">
        <f>IF(H:H=0,"",IF(ISERROR(VLOOKUP(H:H,produtos_escape2!$A$2:$B$2794,2,FALSE)),"Código não cadastrado",(VLOOKUP(H:H,produtos_escape2!$A$2:$B$2794,2,FALSE))))</f>
        <v/>
      </c>
      <c r="M2842" s="593" t="str">
        <f>IF(H:H=0,"",IF(ISERROR(VLOOKUP(H:H,produtos_escape2!$A$2:$D$2794,2,FALSE)),"Código não cadastrado",(VLOOKUP(H:H,produtos_escape2!$A$2:$D$2794,4,FALSE))))</f>
        <v/>
      </c>
      <c r="N2842" s="486"/>
      <c r="O2842" s="176"/>
      <c r="P2842" s="486"/>
      <c r="Q2842" s="247"/>
      <c r="R2842" s="246">
        <f t="shared" si="103"/>
        <v>0</v>
      </c>
      <c r="S2842" s="177"/>
      <c r="T2842" s="182"/>
      <c r="U2842" s="177"/>
      <c r="V2842" s="177"/>
      <c r="W2842" s="177"/>
      <c r="X2842" s="176"/>
      <c r="Y2842" s="177"/>
      <c r="Z2842" s="415"/>
      <c r="AA2842" s="488"/>
      <c r="AB2842" s="594"/>
      <c r="AC2842" s="595"/>
      <c r="AD2842" s="596" t="str">
        <f>IF(AND(AC2842&lt;&gt;"",S2842&lt;&gt;""),NETWORKDAYS(AC2842,S2842,#REF!),"")</f>
        <v/>
      </c>
      <c r="AE2842" s="596" t="str">
        <f ca="1">IF(AND(AD2842="",AC2842=""),"",IF(OR(AD2842&lt;&gt;"",O2842="*CANCELADO"),"",NETWORKDAYS(AC2842,TODAY(),#REF!)))</f>
        <v/>
      </c>
      <c r="AF2842" s="619"/>
    </row>
    <row r="2843" spans="1:32" ht="14.25" customHeight="1">
      <c r="A2843" s="176"/>
      <c r="B2843" s="176"/>
      <c r="C2843" s="177"/>
      <c r="D2843" s="176"/>
      <c r="E2843" s="176"/>
      <c r="F2843" s="259"/>
      <c r="G2843" s="176"/>
      <c r="H2843" s="178"/>
      <c r="I2843" s="592">
        <f t="shared" si="104"/>
        <v>0</v>
      </c>
      <c r="J2843" s="178"/>
      <c r="K2843" s="178"/>
      <c r="L2843" s="275" t="str">
        <f>IF(H:H=0,"",IF(ISERROR(VLOOKUP(H:H,produtos_escape2!$A$2:$B$2794,2,FALSE)),"Código não cadastrado",(VLOOKUP(H:H,produtos_escape2!$A$2:$B$2794,2,FALSE))))</f>
        <v/>
      </c>
      <c r="M2843" s="593" t="str">
        <f>IF(H:H=0,"",IF(ISERROR(VLOOKUP(H:H,produtos_escape2!$A$2:$D$2794,2,FALSE)),"Código não cadastrado",(VLOOKUP(H:H,produtos_escape2!$A$2:$D$2794,4,FALSE))))</f>
        <v/>
      </c>
      <c r="N2843" s="486"/>
      <c r="O2843" s="176"/>
      <c r="P2843" s="486"/>
      <c r="Q2843" s="247"/>
      <c r="R2843" s="246">
        <f t="shared" si="103"/>
        <v>0</v>
      </c>
      <c r="S2843" s="177"/>
      <c r="T2843" s="182"/>
      <c r="U2843" s="177"/>
      <c r="V2843" s="177"/>
      <c r="W2843" s="177"/>
      <c r="X2843" s="176"/>
      <c r="Y2843" s="177"/>
      <c r="Z2843" s="415"/>
      <c r="AA2843" s="488"/>
      <c r="AB2843" s="594"/>
      <c r="AC2843" s="595"/>
      <c r="AD2843" s="596" t="str">
        <f>IF(AND(AC2843&lt;&gt;"",S2843&lt;&gt;""),NETWORKDAYS(AC2843,S2843,#REF!),"")</f>
        <v/>
      </c>
      <c r="AE2843" s="596" t="str">
        <f ca="1">IF(AND(AD2843="",AC2843=""),"",IF(OR(AD2843&lt;&gt;"",O2843="*CANCELADO"),"",NETWORKDAYS(AC2843,TODAY(),#REF!)))</f>
        <v/>
      </c>
      <c r="AF2843" s="619"/>
    </row>
    <row r="2844" spans="1:32" ht="14.25" customHeight="1">
      <c r="A2844" s="176"/>
      <c r="B2844" s="176"/>
      <c r="C2844" s="177"/>
      <c r="D2844" s="176"/>
      <c r="E2844" s="176"/>
      <c r="F2844" s="259"/>
      <c r="G2844" s="176"/>
      <c r="H2844" s="178"/>
      <c r="I2844" s="592">
        <f t="shared" si="104"/>
        <v>0</v>
      </c>
      <c r="J2844" s="178"/>
      <c r="K2844" s="178"/>
      <c r="L2844" s="275" t="str">
        <f>IF(H:H=0,"",IF(ISERROR(VLOOKUP(H:H,produtos_escape2!$A$2:$B$2794,2,FALSE)),"Código não cadastrado",(VLOOKUP(H:H,produtos_escape2!$A$2:$B$2794,2,FALSE))))</f>
        <v/>
      </c>
      <c r="M2844" s="593" t="str">
        <f>IF(H:H=0,"",IF(ISERROR(VLOOKUP(H:H,produtos_escape2!$A$2:$D$2794,2,FALSE)),"Código não cadastrado",(VLOOKUP(H:H,produtos_escape2!$A$2:$D$2794,4,FALSE))))</f>
        <v/>
      </c>
      <c r="N2844" s="486"/>
      <c r="O2844" s="176"/>
      <c r="P2844" s="486"/>
      <c r="Q2844" s="247"/>
      <c r="R2844" s="246">
        <f t="shared" si="103"/>
        <v>0</v>
      </c>
      <c r="S2844" s="177"/>
      <c r="T2844" s="182"/>
      <c r="U2844" s="177"/>
      <c r="V2844" s="177"/>
      <c r="W2844" s="177"/>
      <c r="X2844" s="176"/>
      <c r="Y2844" s="177"/>
      <c r="Z2844" s="415"/>
      <c r="AA2844" s="488"/>
      <c r="AB2844" s="594"/>
      <c r="AC2844" s="595"/>
      <c r="AD2844" s="596" t="str">
        <f>IF(AND(AC2844&lt;&gt;"",S2844&lt;&gt;""),NETWORKDAYS(AC2844,S2844,#REF!),"")</f>
        <v/>
      </c>
      <c r="AE2844" s="596" t="str">
        <f ca="1">IF(AND(AD2844="",AC2844=""),"",IF(OR(AD2844&lt;&gt;"",O2844="*CANCELADO"),"",NETWORKDAYS(AC2844,TODAY(),#REF!)))</f>
        <v/>
      </c>
      <c r="AF2844" s="619"/>
    </row>
    <row r="2845" spans="1:32" ht="14.25" customHeight="1">
      <c r="A2845" s="176"/>
      <c r="B2845" s="176"/>
      <c r="C2845" s="177"/>
      <c r="D2845" s="176"/>
      <c r="E2845" s="176"/>
      <c r="F2845" s="259"/>
      <c r="G2845" s="176"/>
      <c r="H2845" s="178"/>
      <c r="I2845" s="592">
        <f t="shared" si="104"/>
        <v>0</v>
      </c>
      <c r="J2845" s="178"/>
      <c r="K2845" s="178"/>
      <c r="L2845" s="275" t="str">
        <f>IF(H:H=0,"",IF(ISERROR(VLOOKUP(H:H,produtos_escape2!$A$2:$B$2794,2,FALSE)),"Código não cadastrado",(VLOOKUP(H:H,produtos_escape2!$A$2:$B$2794,2,FALSE))))</f>
        <v/>
      </c>
      <c r="M2845" s="593" t="str">
        <f>IF(H:H=0,"",IF(ISERROR(VLOOKUP(H:H,produtos_escape2!$A$2:$D$2794,2,FALSE)),"Código não cadastrado",(VLOOKUP(H:H,produtos_escape2!$A$2:$D$2794,4,FALSE))))</f>
        <v/>
      </c>
      <c r="N2845" s="486"/>
      <c r="O2845" s="176"/>
      <c r="P2845" s="486"/>
      <c r="Q2845" s="247"/>
      <c r="R2845" s="246">
        <f t="shared" si="103"/>
        <v>0</v>
      </c>
      <c r="S2845" s="177"/>
      <c r="T2845" s="182"/>
      <c r="U2845" s="177"/>
      <c r="V2845" s="177"/>
      <c r="W2845" s="177"/>
      <c r="X2845" s="176"/>
      <c r="Y2845" s="177"/>
      <c r="Z2845" s="415"/>
      <c r="AA2845" s="488"/>
      <c r="AB2845" s="594"/>
      <c r="AC2845" s="595"/>
      <c r="AD2845" s="596" t="str">
        <f>IF(AND(AC2845&lt;&gt;"",S2845&lt;&gt;""),NETWORKDAYS(AC2845,S2845,#REF!),"")</f>
        <v/>
      </c>
      <c r="AE2845" s="596" t="str">
        <f ca="1">IF(AND(AD2845="",AC2845=""),"",IF(OR(AD2845&lt;&gt;"",O2845="*CANCELADO"),"",NETWORKDAYS(AC2845,TODAY(),#REF!)))</f>
        <v/>
      </c>
      <c r="AF2845" s="619"/>
    </row>
    <row r="2846" spans="1:32" ht="14.25" customHeight="1">
      <c r="A2846" s="176"/>
      <c r="B2846" s="176"/>
      <c r="C2846" s="177"/>
      <c r="D2846" s="176"/>
      <c r="E2846" s="176"/>
      <c r="F2846" s="259"/>
      <c r="G2846" s="176"/>
      <c r="H2846" s="178"/>
      <c r="I2846" s="592">
        <f t="shared" si="104"/>
        <v>0</v>
      </c>
      <c r="J2846" s="178"/>
      <c r="K2846" s="178"/>
      <c r="L2846" s="275" t="str">
        <f>IF(H:H=0,"",IF(ISERROR(VLOOKUP(H:H,produtos_escape2!$A$2:$B$2794,2,FALSE)),"Código não cadastrado",(VLOOKUP(H:H,produtos_escape2!$A$2:$B$2794,2,FALSE))))</f>
        <v/>
      </c>
      <c r="M2846" s="593" t="str">
        <f>IF(H:H=0,"",IF(ISERROR(VLOOKUP(H:H,produtos_escape2!$A$2:$D$2794,2,FALSE)),"Código não cadastrado",(VLOOKUP(H:H,produtos_escape2!$A$2:$D$2794,4,FALSE))))</f>
        <v/>
      </c>
      <c r="N2846" s="486"/>
      <c r="O2846" s="176"/>
      <c r="P2846" s="486"/>
      <c r="Q2846" s="247"/>
      <c r="R2846" s="246">
        <f t="shared" si="103"/>
        <v>0</v>
      </c>
      <c r="S2846" s="177"/>
      <c r="T2846" s="182"/>
      <c r="U2846" s="177"/>
      <c r="V2846" s="177"/>
      <c r="W2846" s="177"/>
      <c r="X2846" s="176"/>
      <c r="Y2846" s="177"/>
      <c r="Z2846" s="415"/>
      <c r="AA2846" s="488"/>
      <c r="AB2846" s="594"/>
      <c r="AC2846" s="595"/>
      <c r="AD2846" s="596" t="str">
        <f>IF(AND(AC2846&lt;&gt;"",S2846&lt;&gt;""),NETWORKDAYS(AC2846,S2846,#REF!),"")</f>
        <v/>
      </c>
      <c r="AE2846" s="596" t="str">
        <f ca="1">IF(AND(AD2846="",AC2846=""),"",IF(OR(AD2846&lt;&gt;"",O2846="*CANCELADO"),"",NETWORKDAYS(AC2846,TODAY(),#REF!)))</f>
        <v/>
      </c>
      <c r="AF2846" s="619"/>
    </row>
    <row r="2847" spans="1:32" ht="14.25" customHeight="1">
      <c r="A2847" s="176"/>
      <c r="B2847" s="176"/>
      <c r="C2847" s="177"/>
      <c r="D2847" s="176"/>
      <c r="E2847" s="176"/>
      <c r="F2847" s="259"/>
      <c r="G2847" s="176"/>
      <c r="H2847" s="178"/>
      <c r="I2847" s="592">
        <f t="shared" si="104"/>
        <v>0</v>
      </c>
      <c r="J2847" s="178"/>
      <c r="K2847" s="178"/>
      <c r="L2847" s="275" t="str">
        <f>IF(H:H=0,"",IF(ISERROR(VLOOKUP(H:H,produtos_escape2!$A$2:$B$2794,2,FALSE)),"Código não cadastrado",(VLOOKUP(H:H,produtos_escape2!$A$2:$B$2794,2,FALSE))))</f>
        <v/>
      </c>
      <c r="M2847" s="593" t="str">
        <f>IF(H:H=0,"",IF(ISERROR(VLOOKUP(H:H,produtos_escape2!$A$2:$D$2794,2,FALSE)),"Código não cadastrado",(VLOOKUP(H:H,produtos_escape2!$A$2:$D$2794,4,FALSE))))</f>
        <v/>
      </c>
      <c r="N2847" s="486"/>
      <c r="O2847" s="176"/>
      <c r="P2847" s="486"/>
      <c r="Q2847" s="247"/>
      <c r="R2847" s="246">
        <f t="shared" si="103"/>
        <v>0</v>
      </c>
      <c r="S2847" s="177"/>
      <c r="T2847" s="182"/>
      <c r="U2847" s="177"/>
      <c r="V2847" s="177"/>
      <c r="W2847" s="177"/>
      <c r="X2847" s="176"/>
      <c r="Y2847" s="177"/>
      <c r="Z2847" s="415"/>
      <c r="AA2847" s="488"/>
      <c r="AB2847" s="594"/>
      <c r="AC2847" s="595"/>
      <c r="AD2847" s="596" t="str">
        <f>IF(AND(AC2847&lt;&gt;"",S2847&lt;&gt;""),NETWORKDAYS(AC2847,S2847,#REF!),"")</f>
        <v/>
      </c>
      <c r="AE2847" s="596" t="str">
        <f ca="1">IF(AND(AD2847="",AC2847=""),"",IF(OR(AD2847&lt;&gt;"",O2847="*CANCELADO"),"",NETWORKDAYS(AC2847,TODAY(),#REF!)))</f>
        <v/>
      </c>
      <c r="AF2847" s="619"/>
    </row>
    <row r="2848" spans="1:32" ht="14.25" customHeight="1">
      <c r="A2848" s="176"/>
      <c r="B2848" s="176"/>
      <c r="C2848" s="177"/>
      <c r="D2848" s="176"/>
      <c r="E2848" s="176"/>
      <c r="F2848" s="259"/>
      <c r="G2848" s="176"/>
      <c r="H2848" s="178"/>
      <c r="I2848" s="592">
        <f t="shared" si="104"/>
        <v>0</v>
      </c>
      <c r="J2848" s="178"/>
      <c r="K2848" s="178"/>
      <c r="L2848" s="275" t="str">
        <f>IF(H:H=0,"",IF(ISERROR(VLOOKUP(H:H,produtos_escape2!$A$2:$B$2794,2,FALSE)),"Código não cadastrado",(VLOOKUP(H:H,produtos_escape2!$A$2:$B$2794,2,FALSE))))</f>
        <v/>
      </c>
      <c r="M2848" s="593" t="str">
        <f>IF(H:H=0,"",IF(ISERROR(VLOOKUP(H:H,produtos_escape2!$A$2:$D$2794,2,FALSE)),"Código não cadastrado",(VLOOKUP(H:H,produtos_escape2!$A$2:$D$2794,4,FALSE))))</f>
        <v/>
      </c>
      <c r="N2848" s="486"/>
      <c r="O2848" s="176"/>
      <c r="P2848" s="486"/>
      <c r="Q2848" s="247"/>
      <c r="R2848" s="246">
        <f t="shared" si="103"/>
        <v>0</v>
      </c>
      <c r="S2848" s="177"/>
      <c r="T2848" s="182"/>
      <c r="U2848" s="177"/>
      <c r="V2848" s="177"/>
      <c r="W2848" s="177"/>
      <c r="X2848" s="176"/>
      <c r="Y2848" s="177"/>
      <c r="Z2848" s="415"/>
      <c r="AA2848" s="488"/>
      <c r="AB2848" s="594"/>
      <c r="AC2848" s="595"/>
      <c r="AD2848" s="596" t="str">
        <f>IF(AND(AC2848&lt;&gt;"",S2848&lt;&gt;""),NETWORKDAYS(AC2848,S2848,#REF!),"")</f>
        <v/>
      </c>
      <c r="AE2848" s="596" t="str">
        <f ca="1">IF(AND(AD2848="",AC2848=""),"",IF(OR(AD2848&lt;&gt;"",O2848="*CANCELADO"),"",NETWORKDAYS(AC2848,TODAY(),#REF!)))</f>
        <v/>
      </c>
      <c r="AF2848" s="619"/>
    </row>
    <row r="2849" spans="1:32" ht="14.25" customHeight="1">
      <c r="A2849" s="176"/>
      <c r="B2849" s="176"/>
      <c r="C2849" s="177"/>
      <c r="D2849" s="176"/>
      <c r="E2849" s="176"/>
      <c r="F2849" s="259"/>
      <c r="G2849" s="176"/>
      <c r="H2849" s="178"/>
      <c r="I2849" s="592">
        <f t="shared" si="104"/>
        <v>0</v>
      </c>
      <c r="J2849" s="178"/>
      <c r="K2849" s="178"/>
      <c r="L2849" s="275" t="str">
        <f>IF(H:H=0,"",IF(ISERROR(VLOOKUP(H:H,produtos_escape2!$A$2:$B$2794,2,FALSE)),"Código não cadastrado",(VLOOKUP(H:H,produtos_escape2!$A$2:$B$2794,2,FALSE))))</f>
        <v/>
      </c>
      <c r="M2849" s="593" t="str">
        <f>IF(H:H=0,"",IF(ISERROR(VLOOKUP(H:H,produtos_escape2!$A$2:$D$2794,2,FALSE)),"Código não cadastrado",(VLOOKUP(H:H,produtos_escape2!$A$2:$D$2794,4,FALSE))))</f>
        <v/>
      </c>
      <c r="N2849" s="486"/>
      <c r="O2849" s="176"/>
      <c r="P2849" s="486"/>
      <c r="Q2849" s="247"/>
      <c r="R2849" s="246">
        <f t="shared" si="103"/>
        <v>0</v>
      </c>
      <c r="S2849" s="177"/>
      <c r="T2849" s="182"/>
      <c r="U2849" s="177"/>
      <c r="V2849" s="177"/>
      <c r="W2849" s="177"/>
      <c r="X2849" s="176"/>
      <c r="Y2849" s="177"/>
      <c r="Z2849" s="415"/>
      <c r="AA2849" s="488"/>
      <c r="AB2849" s="594"/>
      <c r="AC2849" s="595"/>
      <c r="AD2849" s="596" t="str">
        <f>IF(AND(AC2849&lt;&gt;"",S2849&lt;&gt;""),NETWORKDAYS(AC2849,S2849,#REF!),"")</f>
        <v/>
      </c>
      <c r="AE2849" s="596" t="str">
        <f ca="1">IF(AND(AD2849="",AC2849=""),"",IF(OR(AD2849&lt;&gt;"",O2849="*CANCELADO"),"",NETWORKDAYS(AC2849,TODAY(),#REF!)))</f>
        <v/>
      </c>
      <c r="AF2849" s="619"/>
    </row>
    <row r="2850" spans="1:32" ht="14.25" customHeight="1">
      <c r="A2850" s="176"/>
      <c r="B2850" s="176"/>
      <c r="C2850" s="177"/>
      <c r="D2850" s="176"/>
      <c r="E2850" s="176"/>
      <c r="F2850" s="259"/>
      <c r="G2850" s="176"/>
      <c r="H2850" s="178"/>
      <c r="I2850" s="592">
        <f t="shared" si="104"/>
        <v>0</v>
      </c>
      <c r="J2850" s="178"/>
      <c r="K2850" s="178"/>
      <c r="L2850" s="275" t="str">
        <f>IF(H:H=0,"",IF(ISERROR(VLOOKUP(H:H,produtos_escape2!$A$2:$B$2794,2,FALSE)),"Código não cadastrado",(VLOOKUP(H:H,produtos_escape2!$A$2:$B$2794,2,FALSE))))</f>
        <v/>
      </c>
      <c r="M2850" s="593" t="str">
        <f>IF(H:H=0,"",IF(ISERROR(VLOOKUP(H:H,produtos_escape2!$A$2:$D$2794,2,FALSE)),"Código não cadastrado",(VLOOKUP(H:H,produtos_escape2!$A$2:$D$2794,4,FALSE))))</f>
        <v/>
      </c>
      <c r="N2850" s="486"/>
      <c r="O2850" s="176"/>
      <c r="P2850" s="486"/>
      <c r="Q2850" s="247"/>
      <c r="R2850" s="246">
        <f t="shared" si="103"/>
        <v>0</v>
      </c>
      <c r="S2850" s="177"/>
      <c r="T2850" s="182"/>
      <c r="U2850" s="177"/>
      <c r="V2850" s="177"/>
      <c r="W2850" s="177"/>
      <c r="X2850" s="176"/>
      <c r="Y2850" s="177"/>
      <c r="Z2850" s="415"/>
      <c r="AA2850" s="488"/>
      <c r="AB2850" s="594"/>
      <c r="AC2850" s="595"/>
      <c r="AD2850" s="596" t="str">
        <f>IF(AND(AC2850&lt;&gt;"",S2850&lt;&gt;""),NETWORKDAYS(AC2850,S2850,#REF!),"")</f>
        <v/>
      </c>
      <c r="AE2850" s="596" t="str">
        <f ca="1">IF(AND(AD2850="",AC2850=""),"",IF(OR(AD2850&lt;&gt;"",O2850="*CANCELADO"),"",NETWORKDAYS(AC2850,TODAY(),#REF!)))</f>
        <v/>
      </c>
      <c r="AF2850" s="619"/>
    </row>
    <row r="2851" spans="1:32" ht="14.25" customHeight="1">
      <c r="A2851" s="176"/>
      <c r="B2851" s="176"/>
      <c r="C2851" s="177"/>
      <c r="D2851" s="176"/>
      <c r="E2851" s="176"/>
      <c r="F2851" s="259"/>
      <c r="G2851" s="176"/>
      <c r="H2851" s="178"/>
      <c r="I2851" s="592">
        <f t="shared" si="104"/>
        <v>0</v>
      </c>
      <c r="J2851" s="178"/>
      <c r="K2851" s="178"/>
      <c r="L2851" s="275" t="str">
        <f>IF(H:H=0,"",IF(ISERROR(VLOOKUP(H:H,produtos_escape2!$A$2:$B$2794,2,FALSE)),"Código não cadastrado",(VLOOKUP(H:H,produtos_escape2!$A$2:$B$2794,2,FALSE))))</f>
        <v/>
      </c>
      <c r="M2851" s="593" t="str">
        <f>IF(H:H=0,"",IF(ISERROR(VLOOKUP(H:H,produtos_escape2!$A$2:$D$2794,2,FALSE)),"Código não cadastrado",(VLOOKUP(H:H,produtos_escape2!$A$2:$D$2794,4,FALSE))))</f>
        <v/>
      </c>
      <c r="N2851" s="486"/>
      <c r="O2851" s="176"/>
      <c r="P2851" s="486"/>
      <c r="Q2851" s="247"/>
      <c r="R2851" s="246">
        <f t="shared" si="103"/>
        <v>0</v>
      </c>
      <c r="S2851" s="177"/>
      <c r="T2851" s="182"/>
      <c r="U2851" s="177"/>
      <c r="V2851" s="177"/>
      <c r="W2851" s="177"/>
      <c r="X2851" s="176"/>
      <c r="Y2851" s="177"/>
      <c r="Z2851" s="415"/>
      <c r="AA2851" s="488"/>
      <c r="AB2851" s="594"/>
      <c r="AC2851" s="595"/>
      <c r="AD2851" s="596" t="str">
        <f>IF(AND(AC2851&lt;&gt;"",S2851&lt;&gt;""),NETWORKDAYS(AC2851,S2851,#REF!),"")</f>
        <v/>
      </c>
      <c r="AE2851" s="596" t="str">
        <f ca="1">IF(AND(AD2851="",AC2851=""),"",IF(OR(AD2851&lt;&gt;"",O2851="*CANCELADO"),"",NETWORKDAYS(AC2851,TODAY(),#REF!)))</f>
        <v/>
      </c>
      <c r="AF2851" s="619"/>
    </row>
    <row r="2852" spans="1:32" ht="14.25" customHeight="1">
      <c r="A2852" s="176"/>
      <c r="B2852" s="176"/>
      <c r="C2852" s="177"/>
      <c r="D2852" s="176"/>
      <c r="E2852" s="176"/>
      <c r="F2852" s="259"/>
      <c r="G2852" s="176"/>
      <c r="H2852" s="178"/>
      <c r="I2852" s="592">
        <f t="shared" si="104"/>
        <v>0</v>
      </c>
      <c r="J2852" s="178"/>
      <c r="K2852" s="178"/>
      <c r="L2852" s="275" t="str">
        <f>IF(H:H=0,"",IF(ISERROR(VLOOKUP(H:H,produtos_escape2!$A$2:$B$2794,2,FALSE)),"Código não cadastrado",(VLOOKUP(H:H,produtos_escape2!$A$2:$B$2794,2,FALSE))))</f>
        <v/>
      </c>
      <c r="M2852" s="593" t="str">
        <f>IF(H:H=0,"",IF(ISERROR(VLOOKUP(H:H,produtos_escape2!$A$2:$D$2794,2,FALSE)),"Código não cadastrado",(VLOOKUP(H:H,produtos_escape2!$A$2:$D$2794,4,FALSE))))</f>
        <v/>
      </c>
      <c r="N2852" s="486"/>
      <c r="O2852" s="176"/>
      <c r="P2852" s="486"/>
      <c r="Q2852" s="247"/>
      <c r="R2852" s="246">
        <f t="shared" si="103"/>
        <v>0</v>
      </c>
      <c r="S2852" s="177"/>
      <c r="T2852" s="182"/>
      <c r="U2852" s="177"/>
      <c r="V2852" s="177"/>
      <c r="W2852" s="177"/>
      <c r="X2852" s="176"/>
      <c r="Y2852" s="177"/>
      <c r="Z2852" s="415"/>
      <c r="AA2852" s="488"/>
      <c r="AB2852" s="594"/>
      <c r="AC2852" s="595"/>
      <c r="AD2852" s="596" t="str">
        <f>IF(AND(AC2852&lt;&gt;"",S2852&lt;&gt;""),NETWORKDAYS(AC2852,S2852,#REF!),"")</f>
        <v/>
      </c>
      <c r="AE2852" s="596" t="str">
        <f ca="1">IF(AND(AD2852="",AC2852=""),"",IF(OR(AD2852&lt;&gt;"",O2852="*CANCELADO"),"",NETWORKDAYS(AC2852,TODAY(),#REF!)))</f>
        <v/>
      </c>
      <c r="AF2852" s="619"/>
    </row>
    <row r="2853" spans="1:32" ht="14.25" customHeight="1">
      <c r="A2853" s="176"/>
      <c r="B2853" s="176"/>
      <c r="C2853" s="177"/>
      <c r="D2853" s="176"/>
      <c r="E2853" s="176"/>
      <c r="F2853" s="259"/>
      <c r="G2853" s="176"/>
      <c r="H2853" s="178"/>
      <c r="I2853" s="592">
        <f t="shared" si="104"/>
        <v>0</v>
      </c>
      <c r="J2853" s="178"/>
      <c r="K2853" s="178"/>
      <c r="L2853" s="275" t="str">
        <f>IF(H:H=0,"",IF(ISERROR(VLOOKUP(H:H,produtos_escape2!$A$2:$B$2794,2,FALSE)),"Código não cadastrado",(VLOOKUP(H:H,produtos_escape2!$A$2:$B$2794,2,FALSE))))</f>
        <v/>
      </c>
      <c r="M2853" s="593" t="str">
        <f>IF(H:H=0,"",IF(ISERROR(VLOOKUP(H:H,produtos_escape2!$A$2:$D$2794,2,FALSE)),"Código não cadastrado",(VLOOKUP(H:H,produtos_escape2!$A$2:$D$2794,4,FALSE))))</f>
        <v/>
      </c>
      <c r="N2853" s="486"/>
      <c r="O2853" s="176"/>
      <c r="P2853" s="486"/>
      <c r="Q2853" s="247"/>
      <c r="R2853" s="246">
        <f t="shared" si="103"/>
        <v>0</v>
      </c>
      <c r="S2853" s="177"/>
      <c r="T2853" s="182"/>
      <c r="U2853" s="177"/>
      <c r="V2853" s="177"/>
      <c r="W2853" s="177"/>
      <c r="X2853" s="176"/>
      <c r="Y2853" s="177"/>
      <c r="Z2853" s="415"/>
      <c r="AA2853" s="488"/>
      <c r="AB2853" s="594"/>
      <c r="AC2853" s="595"/>
      <c r="AD2853" s="596" t="str">
        <f>IF(AND(AC2853&lt;&gt;"",S2853&lt;&gt;""),NETWORKDAYS(AC2853,S2853,#REF!),"")</f>
        <v/>
      </c>
      <c r="AE2853" s="596" t="str">
        <f ca="1">IF(AND(AD2853="",AC2853=""),"",IF(OR(AD2853&lt;&gt;"",O2853="*CANCELADO"),"",NETWORKDAYS(AC2853,TODAY(),#REF!)))</f>
        <v/>
      </c>
      <c r="AF2853" s="619"/>
    </row>
    <row r="2854" spans="1:32" ht="14.25" customHeight="1">
      <c r="A2854" s="176"/>
      <c r="B2854" s="176"/>
      <c r="C2854" s="177"/>
      <c r="D2854" s="176"/>
      <c r="E2854" s="176"/>
      <c r="F2854" s="259"/>
      <c r="G2854" s="176"/>
      <c r="H2854" s="178"/>
      <c r="I2854" s="592">
        <f t="shared" si="104"/>
        <v>0</v>
      </c>
      <c r="J2854" s="178"/>
      <c r="K2854" s="178"/>
      <c r="L2854" s="275" t="str">
        <f>IF(H:H=0,"",IF(ISERROR(VLOOKUP(H:H,produtos_escape2!$A$2:$B$2794,2,FALSE)),"Código não cadastrado",(VLOOKUP(H:H,produtos_escape2!$A$2:$B$2794,2,FALSE))))</f>
        <v/>
      </c>
      <c r="M2854" s="593" t="str">
        <f>IF(H:H=0,"",IF(ISERROR(VLOOKUP(H:H,produtos_escape2!$A$2:$D$2794,2,FALSE)),"Código não cadastrado",(VLOOKUP(H:H,produtos_escape2!$A$2:$D$2794,4,FALSE))))</f>
        <v/>
      </c>
      <c r="N2854" s="486"/>
      <c r="O2854" s="176"/>
      <c r="P2854" s="486"/>
      <c r="Q2854" s="247"/>
      <c r="R2854" s="246">
        <f t="shared" si="103"/>
        <v>0</v>
      </c>
      <c r="S2854" s="177"/>
      <c r="T2854" s="182"/>
      <c r="U2854" s="177"/>
      <c r="V2854" s="177"/>
      <c r="W2854" s="177"/>
      <c r="X2854" s="176"/>
      <c r="Y2854" s="177"/>
      <c r="Z2854" s="415"/>
      <c r="AA2854" s="488"/>
      <c r="AB2854" s="594"/>
      <c r="AC2854" s="595"/>
      <c r="AD2854" s="596" t="str">
        <f>IF(AND(AC2854&lt;&gt;"",S2854&lt;&gt;""),NETWORKDAYS(AC2854,S2854,#REF!),"")</f>
        <v/>
      </c>
      <c r="AE2854" s="596" t="str">
        <f ca="1">IF(AND(AD2854="",AC2854=""),"",IF(OR(AD2854&lt;&gt;"",O2854="*CANCELADO"),"",NETWORKDAYS(AC2854,TODAY(),#REF!)))</f>
        <v/>
      </c>
      <c r="AF2854" s="619"/>
    </row>
    <row r="2855" spans="1:32" ht="14.25" customHeight="1">
      <c r="A2855" s="176"/>
      <c r="B2855" s="176"/>
      <c r="C2855" s="177"/>
      <c r="D2855" s="176"/>
      <c r="E2855" s="176"/>
      <c r="F2855" s="259"/>
      <c r="G2855" s="176"/>
      <c r="H2855" s="178"/>
      <c r="I2855" s="592">
        <f t="shared" si="104"/>
        <v>0</v>
      </c>
      <c r="J2855" s="178"/>
      <c r="K2855" s="178"/>
      <c r="L2855" s="275" t="str">
        <f>IF(H:H=0,"",IF(ISERROR(VLOOKUP(H:H,produtos_escape2!$A$2:$B$2794,2,FALSE)),"Código não cadastrado",(VLOOKUP(H:H,produtos_escape2!$A$2:$B$2794,2,FALSE))))</f>
        <v/>
      </c>
      <c r="M2855" s="593" t="str">
        <f>IF(H:H=0,"",IF(ISERROR(VLOOKUP(H:H,produtos_escape2!$A$2:$D$2794,2,FALSE)),"Código não cadastrado",(VLOOKUP(H:H,produtos_escape2!$A$2:$D$2794,4,FALSE))))</f>
        <v/>
      </c>
      <c r="N2855" s="486"/>
      <c r="O2855" s="176"/>
      <c r="P2855" s="486"/>
      <c r="Q2855" s="247"/>
      <c r="R2855" s="246">
        <f t="shared" si="103"/>
        <v>0</v>
      </c>
      <c r="S2855" s="177"/>
      <c r="T2855" s="182"/>
      <c r="U2855" s="177"/>
      <c r="V2855" s="177"/>
      <c r="W2855" s="177"/>
      <c r="X2855" s="176"/>
      <c r="Y2855" s="177"/>
      <c r="Z2855" s="415"/>
      <c r="AA2855" s="488"/>
      <c r="AB2855" s="594"/>
      <c r="AC2855" s="595"/>
      <c r="AD2855" s="596" t="str">
        <f>IF(AND(AC2855&lt;&gt;"",S2855&lt;&gt;""),NETWORKDAYS(AC2855,S2855,#REF!),"")</f>
        <v/>
      </c>
      <c r="AE2855" s="596" t="str">
        <f ca="1">IF(AND(AD2855="",AC2855=""),"",IF(OR(AD2855&lt;&gt;"",O2855="*CANCELADO"),"",NETWORKDAYS(AC2855,TODAY(),#REF!)))</f>
        <v/>
      </c>
      <c r="AF2855" s="619"/>
    </row>
    <row r="2856" spans="1:32" ht="14.25" customHeight="1">
      <c r="A2856" s="176"/>
      <c r="B2856" s="176"/>
      <c r="C2856" s="177"/>
      <c r="D2856" s="176"/>
      <c r="E2856" s="176"/>
      <c r="F2856" s="259"/>
      <c r="G2856" s="176"/>
      <c r="H2856" s="178"/>
      <c r="I2856" s="592">
        <f t="shared" si="104"/>
        <v>0</v>
      </c>
      <c r="J2856" s="178"/>
      <c r="K2856" s="178"/>
      <c r="L2856" s="275" t="str">
        <f>IF(H:H=0,"",IF(ISERROR(VLOOKUP(H:H,produtos_escape2!$A$2:$B$2794,2,FALSE)),"Código não cadastrado",(VLOOKUP(H:H,produtos_escape2!$A$2:$B$2794,2,FALSE))))</f>
        <v/>
      </c>
      <c r="M2856" s="593" t="str">
        <f>IF(H:H=0,"",IF(ISERROR(VLOOKUP(H:H,produtos_escape2!$A$2:$D$2794,2,FALSE)),"Código não cadastrado",(VLOOKUP(H:H,produtos_escape2!$A$2:$D$2794,4,FALSE))))</f>
        <v/>
      </c>
      <c r="N2856" s="486"/>
      <c r="O2856" s="176"/>
      <c r="P2856" s="486"/>
      <c r="Q2856" s="247"/>
      <c r="R2856" s="246">
        <f t="shared" si="103"/>
        <v>0</v>
      </c>
      <c r="S2856" s="177"/>
      <c r="T2856" s="182"/>
      <c r="U2856" s="177"/>
      <c r="V2856" s="177"/>
      <c r="W2856" s="177"/>
      <c r="X2856" s="176"/>
      <c r="Y2856" s="177"/>
      <c r="Z2856" s="415"/>
      <c r="AA2856" s="488"/>
      <c r="AB2856" s="594"/>
      <c r="AC2856" s="595"/>
      <c r="AD2856" s="596" t="str">
        <f>IF(AND(AC2856&lt;&gt;"",S2856&lt;&gt;""),NETWORKDAYS(AC2856,S2856,#REF!),"")</f>
        <v/>
      </c>
      <c r="AE2856" s="596" t="str">
        <f ca="1">IF(AND(AD2856="",AC2856=""),"",IF(OR(AD2856&lt;&gt;"",O2856="*CANCELADO"),"",NETWORKDAYS(AC2856,TODAY(),#REF!)))</f>
        <v/>
      </c>
      <c r="AF2856" s="619"/>
    </row>
    <row r="2857" spans="1:32" ht="14.25" customHeight="1">
      <c r="A2857" s="176"/>
      <c r="B2857" s="176"/>
      <c r="C2857" s="177"/>
      <c r="D2857" s="176"/>
      <c r="E2857" s="176"/>
      <c r="F2857" s="259"/>
      <c r="G2857" s="176"/>
      <c r="H2857" s="178"/>
      <c r="I2857" s="592">
        <f t="shared" si="104"/>
        <v>0</v>
      </c>
      <c r="J2857" s="178"/>
      <c r="K2857" s="178"/>
      <c r="L2857" s="275" t="str">
        <f>IF(H:H=0,"",IF(ISERROR(VLOOKUP(H:H,produtos_escape2!$A$2:$B$2794,2,FALSE)),"Código não cadastrado",(VLOOKUP(H:H,produtos_escape2!$A$2:$B$2794,2,FALSE))))</f>
        <v/>
      </c>
      <c r="M2857" s="593" t="str">
        <f>IF(H:H=0,"",IF(ISERROR(VLOOKUP(H:H,produtos_escape2!$A$2:$D$2794,2,FALSE)),"Código não cadastrado",(VLOOKUP(H:H,produtos_escape2!$A$2:$D$2794,4,FALSE))))</f>
        <v/>
      </c>
      <c r="N2857" s="486"/>
      <c r="O2857" s="176"/>
      <c r="P2857" s="486"/>
      <c r="Q2857" s="247"/>
      <c r="R2857" s="246">
        <f t="shared" si="103"/>
        <v>0</v>
      </c>
      <c r="S2857" s="177"/>
      <c r="T2857" s="182"/>
      <c r="U2857" s="177"/>
      <c r="V2857" s="177"/>
      <c r="W2857" s="177"/>
      <c r="X2857" s="176"/>
      <c r="Y2857" s="177"/>
      <c r="Z2857" s="415"/>
      <c r="AA2857" s="488"/>
      <c r="AB2857" s="594"/>
      <c r="AC2857" s="595"/>
      <c r="AD2857" s="596" t="str">
        <f>IF(AND(AC2857&lt;&gt;"",S2857&lt;&gt;""),NETWORKDAYS(AC2857,S2857,#REF!),"")</f>
        <v/>
      </c>
      <c r="AE2857" s="596" t="str">
        <f ca="1">IF(AND(AD2857="",AC2857=""),"",IF(OR(AD2857&lt;&gt;"",O2857="*CANCELADO"),"",NETWORKDAYS(AC2857,TODAY(),#REF!)))</f>
        <v/>
      </c>
      <c r="AF2857" s="619"/>
    </row>
    <row r="2858" spans="1:32" ht="14.25" customHeight="1">
      <c r="A2858" s="176"/>
      <c r="B2858" s="176"/>
      <c r="C2858" s="177"/>
      <c r="D2858" s="176"/>
      <c r="E2858" s="176"/>
      <c r="F2858" s="259"/>
      <c r="G2858" s="176"/>
      <c r="H2858" s="178"/>
      <c r="I2858" s="592">
        <f t="shared" si="104"/>
        <v>0</v>
      </c>
      <c r="J2858" s="178"/>
      <c r="K2858" s="178"/>
      <c r="L2858" s="275" t="str">
        <f>IF(H:H=0,"",IF(ISERROR(VLOOKUP(H:H,produtos_escape2!$A$2:$B$2794,2,FALSE)),"Código não cadastrado",(VLOOKUP(H:H,produtos_escape2!$A$2:$B$2794,2,FALSE))))</f>
        <v/>
      </c>
      <c r="M2858" s="593" t="str">
        <f>IF(H:H=0,"",IF(ISERROR(VLOOKUP(H:H,produtos_escape2!$A$2:$D$2794,2,FALSE)),"Código não cadastrado",(VLOOKUP(H:H,produtos_escape2!$A$2:$D$2794,4,FALSE))))</f>
        <v/>
      </c>
      <c r="N2858" s="486"/>
      <c r="O2858" s="176"/>
      <c r="P2858" s="486"/>
      <c r="Q2858" s="247"/>
      <c r="R2858" s="246">
        <f t="shared" si="103"/>
        <v>0</v>
      </c>
      <c r="S2858" s="177"/>
      <c r="T2858" s="182"/>
      <c r="U2858" s="177"/>
      <c r="V2858" s="177"/>
      <c r="W2858" s="177"/>
      <c r="X2858" s="176"/>
      <c r="Y2858" s="177"/>
      <c r="Z2858" s="415"/>
      <c r="AA2858" s="488"/>
      <c r="AB2858" s="594"/>
      <c r="AC2858" s="595"/>
      <c r="AD2858" s="596" t="str">
        <f>IF(AND(AC2858&lt;&gt;"",S2858&lt;&gt;""),NETWORKDAYS(AC2858,S2858,#REF!),"")</f>
        <v/>
      </c>
      <c r="AE2858" s="596" t="str">
        <f ca="1">IF(AND(AD2858="",AC2858=""),"",IF(OR(AD2858&lt;&gt;"",O2858="*CANCELADO"),"",NETWORKDAYS(AC2858,TODAY(),#REF!)))</f>
        <v/>
      </c>
      <c r="AF2858" s="619"/>
    </row>
    <row r="2859" spans="1:32" ht="14.25" customHeight="1">
      <c r="A2859" s="176"/>
      <c r="B2859" s="176"/>
      <c r="C2859" s="177"/>
      <c r="D2859" s="176"/>
      <c r="E2859" s="176"/>
      <c r="F2859" s="259"/>
      <c r="G2859" s="176"/>
      <c r="H2859" s="178"/>
      <c r="I2859" s="592">
        <f t="shared" si="104"/>
        <v>0</v>
      </c>
      <c r="J2859" s="178"/>
      <c r="K2859" s="178"/>
      <c r="L2859" s="275" t="str">
        <f>IF(H:H=0,"",IF(ISERROR(VLOOKUP(H:H,produtos_escape2!$A$2:$B$2794,2,FALSE)),"Código não cadastrado",(VLOOKUP(H:H,produtos_escape2!$A$2:$B$2794,2,FALSE))))</f>
        <v/>
      </c>
      <c r="M2859" s="593" t="str">
        <f>IF(H:H=0,"",IF(ISERROR(VLOOKUP(H:H,produtos_escape2!$A$2:$D$2794,2,FALSE)),"Código não cadastrado",(VLOOKUP(H:H,produtos_escape2!$A$2:$D$2794,4,FALSE))))</f>
        <v/>
      </c>
      <c r="N2859" s="486"/>
      <c r="O2859" s="176"/>
      <c r="P2859" s="486"/>
      <c r="Q2859" s="247"/>
      <c r="R2859" s="246">
        <f t="shared" si="103"/>
        <v>0</v>
      </c>
      <c r="S2859" s="177"/>
      <c r="T2859" s="182"/>
      <c r="U2859" s="177"/>
      <c r="V2859" s="177"/>
      <c r="W2859" s="177"/>
      <c r="X2859" s="176"/>
      <c r="Y2859" s="177"/>
      <c r="Z2859" s="415"/>
      <c r="AA2859" s="488"/>
      <c r="AB2859" s="594"/>
      <c r="AC2859" s="595"/>
      <c r="AD2859" s="596" t="str">
        <f>IF(AND(AC2859&lt;&gt;"",S2859&lt;&gt;""),NETWORKDAYS(AC2859,S2859,#REF!),"")</f>
        <v/>
      </c>
      <c r="AE2859" s="596" t="str">
        <f ca="1">IF(AND(AD2859="",AC2859=""),"",IF(OR(AD2859&lt;&gt;"",O2859="*CANCELADO"),"",NETWORKDAYS(AC2859,TODAY(),#REF!)))</f>
        <v/>
      </c>
      <c r="AF2859" s="619"/>
    </row>
    <row r="2860" spans="1:32" ht="14.25" customHeight="1">
      <c r="A2860" s="176"/>
      <c r="B2860" s="176"/>
      <c r="C2860" s="177"/>
      <c r="D2860" s="176"/>
      <c r="E2860" s="176"/>
      <c r="F2860" s="259"/>
      <c r="G2860" s="176"/>
      <c r="H2860" s="178"/>
      <c r="I2860" s="592">
        <f t="shared" si="104"/>
        <v>0</v>
      </c>
      <c r="J2860" s="178"/>
      <c r="K2860" s="178"/>
      <c r="L2860" s="275" t="str">
        <f>IF(H:H=0,"",IF(ISERROR(VLOOKUP(H:H,produtos_escape2!$A$2:$B$2794,2,FALSE)),"Código não cadastrado",(VLOOKUP(H:H,produtos_escape2!$A$2:$B$2794,2,FALSE))))</f>
        <v/>
      </c>
      <c r="M2860" s="593" t="str">
        <f>IF(H:H=0,"",IF(ISERROR(VLOOKUP(H:H,produtos_escape2!$A$2:$D$2794,2,FALSE)),"Código não cadastrado",(VLOOKUP(H:H,produtos_escape2!$A$2:$D$2794,4,FALSE))))</f>
        <v/>
      </c>
      <c r="N2860" s="486"/>
      <c r="O2860" s="176"/>
      <c r="P2860" s="486"/>
      <c r="Q2860" s="247"/>
      <c r="R2860" s="246">
        <f t="shared" si="103"/>
        <v>0</v>
      </c>
      <c r="S2860" s="177"/>
      <c r="T2860" s="182"/>
      <c r="U2860" s="177"/>
      <c r="V2860" s="177"/>
      <c r="W2860" s="177"/>
      <c r="X2860" s="176"/>
      <c r="Y2860" s="177"/>
      <c r="Z2860" s="415"/>
      <c r="AA2860" s="488"/>
      <c r="AB2860" s="594"/>
      <c r="AC2860" s="595"/>
      <c r="AD2860" s="596" t="str">
        <f>IF(AND(AC2860&lt;&gt;"",S2860&lt;&gt;""),NETWORKDAYS(AC2860,S2860,#REF!),"")</f>
        <v/>
      </c>
      <c r="AE2860" s="596" t="str">
        <f ca="1">IF(AND(AD2860="",AC2860=""),"",IF(OR(AD2860&lt;&gt;"",O2860="*CANCELADO"),"",NETWORKDAYS(AC2860,TODAY(),#REF!)))</f>
        <v/>
      </c>
      <c r="AF2860" s="619"/>
    </row>
    <row r="2861" spans="1:32" ht="14.25" customHeight="1">
      <c r="A2861" s="176"/>
      <c r="B2861" s="176"/>
      <c r="C2861" s="177"/>
      <c r="D2861" s="176"/>
      <c r="E2861" s="176"/>
      <c r="F2861" s="259"/>
      <c r="G2861" s="176"/>
      <c r="H2861" s="178"/>
      <c r="I2861" s="592">
        <f t="shared" si="104"/>
        <v>0</v>
      </c>
      <c r="J2861" s="178"/>
      <c r="K2861" s="178"/>
      <c r="L2861" s="275" t="str">
        <f>IF(H:H=0,"",IF(ISERROR(VLOOKUP(H:H,produtos_escape2!$A$2:$B$2794,2,FALSE)),"Código não cadastrado",(VLOOKUP(H:H,produtos_escape2!$A$2:$B$2794,2,FALSE))))</f>
        <v/>
      </c>
      <c r="M2861" s="593" t="str">
        <f>IF(H:H=0,"",IF(ISERROR(VLOOKUP(H:H,produtos_escape2!$A$2:$D$2794,2,FALSE)),"Código não cadastrado",(VLOOKUP(H:H,produtos_escape2!$A$2:$D$2794,4,FALSE))))</f>
        <v/>
      </c>
      <c r="N2861" s="486"/>
      <c r="O2861" s="176"/>
      <c r="P2861" s="486"/>
      <c r="Q2861" s="247"/>
      <c r="R2861" s="246">
        <f t="shared" ref="R2861:R2924" si="105">P2861*Q2861</f>
        <v>0</v>
      </c>
      <c r="S2861" s="177"/>
      <c r="T2861" s="182"/>
      <c r="U2861" s="177"/>
      <c r="V2861" s="177"/>
      <c r="W2861" s="177"/>
      <c r="X2861" s="176"/>
      <c r="Y2861" s="177"/>
      <c r="Z2861" s="415"/>
      <c r="AA2861" s="488"/>
      <c r="AB2861" s="594"/>
      <c r="AC2861" s="595"/>
      <c r="AD2861" s="596" t="str">
        <f>IF(AND(AC2861&lt;&gt;"",S2861&lt;&gt;""),NETWORKDAYS(AC2861,S2861,#REF!),"")</f>
        <v/>
      </c>
      <c r="AE2861" s="596" t="str">
        <f ca="1">IF(AND(AD2861="",AC2861=""),"",IF(OR(AD2861&lt;&gt;"",O2861="*CANCELADO"),"",NETWORKDAYS(AC2861,TODAY(),#REF!)))</f>
        <v/>
      </c>
      <c r="AF2861" s="619"/>
    </row>
    <row r="2862" spans="1:32" ht="14.25" customHeight="1">
      <c r="A2862" s="176"/>
      <c r="B2862" s="176"/>
      <c r="C2862" s="177"/>
      <c r="D2862" s="176"/>
      <c r="E2862" s="176"/>
      <c r="F2862" s="259"/>
      <c r="G2862" s="176"/>
      <c r="H2862" s="178"/>
      <c r="I2862" s="592">
        <f t="shared" si="104"/>
        <v>0</v>
      </c>
      <c r="J2862" s="178"/>
      <c r="K2862" s="178"/>
      <c r="L2862" s="275" t="str">
        <f>IF(H:H=0,"",IF(ISERROR(VLOOKUP(H:H,produtos_escape2!$A$2:$B$2794,2,FALSE)),"Código não cadastrado",(VLOOKUP(H:H,produtos_escape2!$A$2:$B$2794,2,FALSE))))</f>
        <v/>
      </c>
      <c r="M2862" s="593" t="str">
        <f>IF(H:H=0,"",IF(ISERROR(VLOOKUP(H:H,produtos_escape2!$A$2:$D$2794,2,FALSE)),"Código não cadastrado",(VLOOKUP(H:H,produtos_escape2!$A$2:$D$2794,4,FALSE))))</f>
        <v/>
      </c>
      <c r="N2862" s="486"/>
      <c r="O2862" s="176"/>
      <c r="P2862" s="486"/>
      <c r="Q2862" s="247"/>
      <c r="R2862" s="246">
        <f t="shared" si="105"/>
        <v>0</v>
      </c>
      <c r="S2862" s="177"/>
      <c r="T2862" s="182"/>
      <c r="U2862" s="177"/>
      <c r="V2862" s="177"/>
      <c r="W2862" s="177"/>
      <c r="X2862" s="176"/>
      <c r="Y2862" s="177"/>
      <c r="Z2862" s="415"/>
      <c r="AA2862" s="488"/>
      <c r="AB2862" s="594"/>
      <c r="AC2862" s="595"/>
      <c r="AD2862" s="596" t="str">
        <f>IF(AND(AC2862&lt;&gt;"",S2862&lt;&gt;""),NETWORKDAYS(AC2862,S2862,#REF!),"")</f>
        <v/>
      </c>
      <c r="AE2862" s="596" t="str">
        <f ca="1">IF(AND(AD2862="",AC2862=""),"",IF(OR(AD2862&lt;&gt;"",O2862="*CANCELADO"),"",NETWORKDAYS(AC2862,TODAY(),#REF!)))</f>
        <v/>
      </c>
      <c r="AF2862" s="619"/>
    </row>
    <row r="2863" spans="1:32" ht="14.25" customHeight="1">
      <c r="A2863" s="176"/>
      <c r="B2863" s="176"/>
      <c r="C2863" s="177"/>
      <c r="D2863" s="176"/>
      <c r="E2863" s="176"/>
      <c r="F2863" s="259"/>
      <c r="G2863" s="176"/>
      <c r="H2863" s="178"/>
      <c r="I2863" s="592">
        <f t="shared" si="104"/>
        <v>0</v>
      </c>
      <c r="J2863" s="178"/>
      <c r="K2863" s="178"/>
      <c r="L2863" s="275" t="str">
        <f>IF(H:H=0,"",IF(ISERROR(VLOOKUP(H:H,produtos_escape2!$A$2:$B$2794,2,FALSE)),"Código não cadastrado",(VLOOKUP(H:H,produtos_escape2!$A$2:$B$2794,2,FALSE))))</f>
        <v/>
      </c>
      <c r="M2863" s="593" t="str">
        <f>IF(H:H=0,"",IF(ISERROR(VLOOKUP(H:H,produtos_escape2!$A$2:$D$2794,2,FALSE)),"Código não cadastrado",(VLOOKUP(H:H,produtos_escape2!$A$2:$D$2794,4,FALSE))))</f>
        <v/>
      </c>
      <c r="N2863" s="486"/>
      <c r="O2863" s="176"/>
      <c r="P2863" s="486"/>
      <c r="Q2863" s="247"/>
      <c r="R2863" s="246">
        <f t="shared" si="105"/>
        <v>0</v>
      </c>
      <c r="S2863" s="177"/>
      <c r="T2863" s="182"/>
      <c r="U2863" s="177"/>
      <c r="V2863" s="177"/>
      <c r="W2863" s="177"/>
      <c r="X2863" s="176"/>
      <c r="Y2863" s="177"/>
      <c r="Z2863" s="415"/>
      <c r="AA2863" s="488"/>
      <c r="AB2863" s="594"/>
      <c r="AC2863" s="595"/>
      <c r="AD2863" s="596" t="str">
        <f>IF(AND(AC2863&lt;&gt;"",S2863&lt;&gt;""),NETWORKDAYS(AC2863,S2863,#REF!),"")</f>
        <v/>
      </c>
      <c r="AE2863" s="596" t="str">
        <f ca="1">IF(AND(AD2863="",AC2863=""),"",IF(OR(AD2863&lt;&gt;"",O2863="*CANCELADO"),"",NETWORKDAYS(AC2863,TODAY(),#REF!)))</f>
        <v/>
      </c>
      <c r="AF2863" s="619"/>
    </row>
    <row r="2864" spans="1:32" ht="14.25" customHeight="1">
      <c r="A2864" s="176"/>
      <c r="B2864" s="176"/>
      <c r="C2864" s="177"/>
      <c r="D2864" s="176"/>
      <c r="E2864" s="176"/>
      <c r="F2864" s="259"/>
      <c r="G2864" s="176"/>
      <c r="H2864" s="178"/>
      <c r="I2864" s="592">
        <f t="shared" si="104"/>
        <v>0</v>
      </c>
      <c r="J2864" s="178"/>
      <c r="K2864" s="178"/>
      <c r="L2864" s="275" t="str">
        <f>IF(H:H=0,"",IF(ISERROR(VLOOKUP(H:H,produtos_escape2!$A$2:$B$2794,2,FALSE)),"Código não cadastrado",(VLOOKUP(H:H,produtos_escape2!$A$2:$B$2794,2,FALSE))))</f>
        <v/>
      </c>
      <c r="M2864" s="593" t="str">
        <f>IF(H:H=0,"",IF(ISERROR(VLOOKUP(H:H,produtos_escape2!$A$2:$D$2794,2,FALSE)),"Código não cadastrado",(VLOOKUP(H:H,produtos_escape2!$A$2:$D$2794,4,FALSE))))</f>
        <v/>
      </c>
      <c r="N2864" s="486"/>
      <c r="O2864" s="176"/>
      <c r="P2864" s="486"/>
      <c r="Q2864" s="247"/>
      <c r="R2864" s="246">
        <f t="shared" si="105"/>
        <v>0</v>
      </c>
      <c r="S2864" s="177"/>
      <c r="T2864" s="182"/>
      <c r="U2864" s="177"/>
      <c r="V2864" s="177"/>
      <c r="W2864" s="177"/>
      <c r="X2864" s="176"/>
      <c r="Y2864" s="177"/>
      <c r="Z2864" s="415"/>
      <c r="AA2864" s="488"/>
      <c r="AB2864" s="594"/>
      <c r="AC2864" s="595"/>
      <c r="AD2864" s="596" t="str">
        <f>IF(AND(AC2864&lt;&gt;"",S2864&lt;&gt;""),NETWORKDAYS(AC2864,S2864,#REF!),"")</f>
        <v/>
      </c>
      <c r="AE2864" s="596" t="str">
        <f ca="1">IF(AND(AD2864="",AC2864=""),"",IF(OR(AD2864&lt;&gt;"",O2864="*CANCELADO"),"",NETWORKDAYS(AC2864,TODAY(),#REF!)))</f>
        <v/>
      </c>
      <c r="AF2864" s="619"/>
    </row>
    <row r="2865" spans="1:32" ht="14.25" customHeight="1">
      <c r="A2865" s="176"/>
      <c r="B2865" s="176"/>
      <c r="C2865" s="177"/>
      <c r="D2865" s="176"/>
      <c r="E2865" s="176"/>
      <c r="F2865" s="259"/>
      <c r="G2865" s="176"/>
      <c r="H2865" s="178"/>
      <c r="I2865" s="592">
        <f t="shared" si="104"/>
        <v>0</v>
      </c>
      <c r="J2865" s="178"/>
      <c r="K2865" s="178"/>
      <c r="L2865" s="275" t="str">
        <f>IF(H:H=0,"",IF(ISERROR(VLOOKUP(H:H,produtos_escape2!$A$2:$B$2794,2,FALSE)),"Código não cadastrado",(VLOOKUP(H:H,produtos_escape2!$A$2:$B$2794,2,FALSE))))</f>
        <v/>
      </c>
      <c r="M2865" s="593" t="str">
        <f>IF(H:H=0,"",IF(ISERROR(VLOOKUP(H:H,produtos_escape2!$A$2:$D$2794,2,FALSE)),"Código não cadastrado",(VLOOKUP(H:H,produtos_escape2!$A$2:$D$2794,4,FALSE))))</f>
        <v/>
      </c>
      <c r="N2865" s="486"/>
      <c r="O2865" s="176"/>
      <c r="P2865" s="486"/>
      <c r="Q2865" s="247"/>
      <c r="R2865" s="246">
        <f t="shared" si="105"/>
        <v>0</v>
      </c>
      <c r="S2865" s="177"/>
      <c r="T2865" s="182"/>
      <c r="U2865" s="177"/>
      <c r="V2865" s="177"/>
      <c r="W2865" s="177"/>
      <c r="X2865" s="176"/>
      <c r="Y2865" s="177"/>
      <c r="Z2865" s="415"/>
      <c r="AA2865" s="488"/>
      <c r="AB2865" s="594"/>
      <c r="AC2865" s="595"/>
      <c r="AD2865" s="596" t="str">
        <f>IF(AND(AC2865&lt;&gt;"",S2865&lt;&gt;""),NETWORKDAYS(AC2865,S2865,#REF!),"")</f>
        <v/>
      </c>
      <c r="AE2865" s="596" t="str">
        <f ca="1">IF(AND(AD2865="",AC2865=""),"",IF(OR(AD2865&lt;&gt;"",O2865="*CANCELADO"),"",NETWORKDAYS(AC2865,TODAY(),#REF!)))</f>
        <v/>
      </c>
      <c r="AF2865" s="619"/>
    </row>
    <row r="2866" spans="1:32" ht="14.25" customHeight="1">
      <c r="A2866" s="176"/>
      <c r="B2866" s="176"/>
      <c r="C2866" s="177"/>
      <c r="D2866" s="176"/>
      <c r="E2866" s="176"/>
      <c r="F2866" s="259"/>
      <c r="G2866" s="176"/>
      <c r="H2866" s="178"/>
      <c r="I2866" s="592">
        <f t="shared" si="104"/>
        <v>0</v>
      </c>
      <c r="J2866" s="178"/>
      <c r="K2866" s="178"/>
      <c r="L2866" s="275" t="str">
        <f>IF(H:H=0,"",IF(ISERROR(VLOOKUP(H:H,produtos_escape2!$A$2:$B$2794,2,FALSE)),"Código não cadastrado",(VLOOKUP(H:H,produtos_escape2!$A$2:$B$2794,2,FALSE))))</f>
        <v/>
      </c>
      <c r="M2866" s="593" t="str">
        <f>IF(H:H=0,"",IF(ISERROR(VLOOKUP(H:H,produtos_escape2!$A$2:$D$2794,2,FALSE)),"Código não cadastrado",(VLOOKUP(H:H,produtos_escape2!$A$2:$D$2794,4,FALSE))))</f>
        <v/>
      </c>
      <c r="N2866" s="486"/>
      <c r="O2866" s="176"/>
      <c r="P2866" s="486"/>
      <c r="Q2866" s="247"/>
      <c r="R2866" s="246">
        <f t="shared" si="105"/>
        <v>0</v>
      </c>
      <c r="S2866" s="177"/>
      <c r="T2866" s="182"/>
      <c r="U2866" s="177"/>
      <c r="V2866" s="177"/>
      <c r="W2866" s="177"/>
      <c r="X2866" s="176"/>
      <c r="Y2866" s="177"/>
      <c r="Z2866" s="415"/>
      <c r="AA2866" s="488"/>
      <c r="AB2866" s="594"/>
      <c r="AC2866" s="595"/>
      <c r="AD2866" s="596" t="str">
        <f>IF(AND(AC2866&lt;&gt;"",S2866&lt;&gt;""),NETWORKDAYS(AC2866,S2866,#REF!),"")</f>
        <v/>
      </c>
      <c r="AE2866" s="596" t="str">
        <f ca="1">IF(AND(AD2866="",AC2866=""),"",IF(OR(AD2866&lt;&gt;"",O2866="*CANCELADO"),"",NETWORKDAYS(AC2866,TODAY(),#REF!)))</f>
        <v/>
      </c>
      <c r="AF2866" s="619"/>
    </row>
    <row r="2867" spans="1:32" ht="14.25" customHeight="1">
      <c r="A2867" s="176"/>
      <c r="B2867" s="176"/>
      <c r="C2867" s="177"/>
      <c r="D2867" s="176"/>
      <c r="E2867" s="176"/>
      <c r="F2867" s="259"/>
      <c r="G2867" s="176"/>
      <c r="H2867" s="178"/>
      <c r="I2867" s="592">
        <f t="shared" si="104"/>
        <v>0</v>
      </c>
      <c r="J2867" s="178"/>
      <c r="K2867" s="178"/>
      <c r="L2867" s="275" t="str">
        <f>IF(H:H=0,"",IF(ISERROR(VLOOKUP(H:H,produtos_escape2!$A$2:$B$2794,2,FALSE)),"Código não cadastrado",(VLOOKUP(H:H,produtos_escape2!$A$2:$B$2794,2,FALSE))))</f>
        <v/>
      </c>
      <c r="M2867" s="593" t="str">
        <f>IF(H:H=0,"",IF(ISERROR(VLOOKUP(H:H,produtos_escape2!$A$2:$D$2794,2,FALSE)),"Código não cadastrado",(VLOOKUP(H:H,produtos_escape2!$A$2:$D$2794,4,FALSE))))</f>
        <v/>
      </c>
      <c r="N2867" s="486"/>
      <c r="O2867" s="176"/>
      <c r="P2867" s="486"/>
      <c r="Q2867" s="247"/>
      <c r="R2867" s="246">
        <f t="shared" si="105"/>
        <v>0</v>
      </c>
      <c r="S2867" s="177"/>
      <c r="T2867" s="182"/>
      <c r="U2867" s="177"/>
      <c r="V2867" s="177"/>
      <c r="W2867" s="177"/>
      <c r="X2867" s="176"/>
      <c r="Y2867" s="177"/>
      <c r="Z2867" s="415"/>
      <c r="AA2867" s="488"/>
      <c r="AB2867" s="594"/>
      <c r="AC2867" s="595"/>
      <c r="AD2867" s="596" t="str">
        <f>IF(AND(AC2867&lt;&gt;"",S2867&lt;&gt;""),NETWORKDAYS(AC2867,S2867,#REF!),"")</f>
        <v/>
      </c>
      <c r="AE2867" s="596" t="str">
        <f ca="1">IF(AND(AD2867="",AC2867=""),"",IF(OR(AD2867&lt;&gt;"",O2867="*CANCELADO"),"",NETWORKDAYS(AC2867,TODAY(),#REF!)))</f>
        <v/>
      </c>
      <c r="AF2867" s="619"/>
    </row>
    <row r="2868" spans="1:32" ht="14.25" customHeight="1">
      <c r="A2868" s="176"/>
      <c r="B2868" s="176"/>
      <c r="C2868" s="177"/>
      <c r="D2868" s="176"/>
      <c r="E2868" s="176"/>
      <c r="F2868" s="259"/>
      <c r="G2868" s="176"/>
      <c r="H2868" s="178"/>
      <c r="I2868" s="592">
        <f t="shared" si="104"/>
        <v>0</v>
      </c>
      <c r="J2868" s="178"/>
      <c r="K2868" s="178"/>
      <c r="L2868" s="275" t="str">
        <f>IF(H:H=0,"",IF(ISERROR(VLOOKUP(H:H,produtos_escape2!$A$2:$B$2794,2,FALSE)),"Código não cadastrado",(VLOOKUP(H:H,produtos_escape2!$A$2:$B$2794,2,FALSE))))</f>
        <v/>
      </c>
      <c r="M2868" s="593" t="str">
        <f>IF(H:H=0,"",IF(ISERROR(VLOOKUP(H:H,produtos_escape2!$A$2:$D$2794,2,FALSE)),"Código não cadastrado",(VLOOKUP(H:H,produtos_escape2!$A$2:$D$2794,4,FALSE))))</f>
        <v/>
      </c>
      <c r="N2868" s="486"/>
      <c r="O2868" s="176"/>
      <c r="P2868" s="486"/>
      <c r="Q2868" s="247"/>
      <c r="R2868" s="246">
        <f t="shared" si="105"/>
        <v>0</v>
      </c>
      <c r="S2868" s="177"/>
      <c r="T2868" s="182"/>
      <c r="U2868" s="177"/>
      <c r="V2868" s="177"/>
      <c r="W2868" s="177"/>
      <c r="X2868" s="176"/>
      <c r="Y2868" s="177"/>
      <c r="Z2868" s="415"/>
      <c r="AA2868" s="488"/>
      <c r="AB2868" s="594"/>
      <c r="AC2868" s="595"/>
      <c r="AD2868" s="596" t="str">
        <f>IF(AND(AC2868&lt;&gt;"",S2868&lt;&gt;""),NETWORKDAYS(AC2868,S2868,#REF!),"")</f>
        <v/>
      </c>
      <c r="AE2868" s="596" t="str">
        <f ca="1">IF(AND(AD2868="",AC2868=""),"",IF(OR(AD2868&lt;&gt;"",O2868="*CANCELADO"),"",NETWORKDAYS(AC2868,TODAY(),#REF!)))</f>
        <v/>
      </c>
      <c r="AF2868" s="619"/>
    </row>
    <row r="2869" spans="1:32" ht="14.25" customHeight="1">
      <c r="A2869" s="176"/>
      <c r="B2869" s="176"/>
      <c r="C2869" s="177"/>
      <c r="D2869" s="176"/>
      <c r="E2869" s="176"/>
      <c r="F2869" s="259"/>
      <c r="G2869" s="176"/>
      <c r="H2869" s="178"/>
      <c r="I2869" s="592">
        <f t="shared" si="104"/>
        <v>0</v>
      </c>
      <c r="J2869" s="178"/>
      <c r="K2869" s="178"/>
      <c r="L2869" s="275" t="str">
        <f>IF(H:H=0,"",IF(ISERROR(VLOOKUP(H:H,produtos_escape2!$A$2:$B$2794,2,FALSE)),"Código não cadastrado",(VLOOKUP(H:H,produtos_escape2!$A$2:$B$2794,2,FALSE))))</f>
        <v/>
      </c>
      <c r="M2869" s="593" t="str">
        <f>IF(H:H=0,"",IF(ISERROR(VLOOKUP(H:H,produtos_escape2!$A$2:$D$2794,2,FALSE)),"Código não cadastrado",(VLOOKUP(H:H,produtos_escape2!$A$2:$D$2794,4,FALSE))))</f>
        <v/>
      </c>
      <c r="N2869" s="486"/>
      <c r="O2869" s="176"/>
      <c r="P2869" s="486"/>
      <c r="Q2869" s="247"/>
      <c r="R2869" s="246">
        <f t="shared" si="105"/>
        <v>0</v>
      </c>
      <c r="S2869" s="177"/>
      <c r="T2869" s="182"/>
      <c r="U2869" s="177"/>
      <c r="V2869" s="177"/>
      <c r="W2869" s="177"/>
      <c r="X2869" s="176"/>
      <c r="Y2869" s="177"/>
      <c r="Z2869" s="415"/>
      <c r="AA2869" s="488"/>
      <c r="AB2869" s="594"/>
      <c r="AC2869" s="595"/>
      <c r="AD2869" s="596" t="str">
        <f>IF(AND(AC2869&lt;&gt;"",S2869&lt;&gt;""),NETWORKDAYS(AC2869,S2869,#REF!),"")</f>
        <v/>
      </c>
      <c r="AE2869" s="596" t="str">
        <f ca="1">IF(AND(AD2869="",AC2869=""),"",IF(OR(AD2869&lt;&gt;"",O2869="*CANCELADO"),"",NETWORKDAYS(AC2869,TODAY(),#REF!)))</f>
        <v/>
      </c>
      <c r="AF2869" s="619"/>
    </row>
    <row r="2870" spans="1:32" ht="14.25" customHeight="1">
      <c r="A2870" s="176"/>
      <c r="B2870" s="176"/>
      <c r="C2870" s="177"/>
      <c r="D2870" s="176"/>
      <c r="E2870" s="176"/>
      <c r="F2870" s="259"/>
      <c r="G2870" s="176"/>
      <c r="H2870" s="178"/>
      <c r="I2870" s="592">
        <f t="shared" ref="I2870:I2933" si="106">COUNTIF($H$3:$H$3041,H2870)</f>
        <v>0</v>
      </c>
      <c r="J2870" s="178"/>
      <c r="K2870" s="178"/>
      <c r="L2870" s="275" t="str">
        <f>IF(H:H=0,"",IF(ISERROR(VLOOKUP(H:H,produtos_escape2!$A$2:$B$2794,2,FALSE)),"Código não cadastrado",(VLOOKUP(H:H,produtos_escape2!$A$2:$B$2794,2,FALSE))))</f>
        <v/>
      </c>
      <c r="M2870" s="593" t="str">
        <f>IF(H:H=0,"",IF(ISERROR(VLOOKUP(H:H,produtos_escape2!$A$2:$D$2794,2,FALSE)),"Código não cadastrado",(VLOOKUP(H:H,produtos_escape2!$A$2:$D$2794,4,FALSE))))</f>
        <v/>
      </c>
      <c r="N2870" s="486"/>
      <c r="O2870" s="176"/>
      <c r="P2870" s="486"/>
      <c r="Q2870" s="247"/>
      <c r="R2870" s="246">
        <f t="shared" si="105"/>
        <v>0</v>
      </c>
      <c r="S2870" s="177"/>
      <c r="T2870" s="182"/>
      <c r="U2870" s="177"/>
      <c r="V2870" s="177"/>
      <c r="W2870" s="177"/>
      <c r="X2870" s="176"/>
      <c r="Y2870" s="177"/>
      <c r="Z2870" s="415"/>
      <c r="AA2870" s="488"/>
      <c r="AB2870" s="594"/>
      <c r="AC2870" s="595"/>
      <c r="AD2870" s="596" t="str">
        <f>IF(AND(AC2870&lt;&gt;"",S2870&lt;&gt;""),NETWORKDAYS(AC2870,S2870,#REF!),"")</f>
        <v/>
      </c>
      <c r="AE2870" s="596" t="str">
        <f ca="1">IF(AND(AD2870="",AC2870=""),"",IF(OR(AD2870&lt;&gt;"",O2870="*CANCELADO"),"",NETWORKDAYS(AC2870,TODAY(),#REF!)))</f>
        <v/>
      </c>
      <c r="AF2870" s="619"/>
    </row>
    <row r="2871" spans="1:32" ht="14.25" customHeight="1">
      <c r="A2871" s="176"/>
      <c r="B2871" s="176"/>
      <c r="C2871" s="177"/>
      <c r="D2871" s="176"/>
      <c r="E2871" s="176"/>
      <c r="F2871" s="259"/>
      <c r="G2871" s="176"/>
      <c r="H2871" s="178"/>
      <c r="I2871" s="592">
        <f t="shared" si="106"/>
        <v>0</v>
      </c>
      <c r="J2871" s="178"/>
      <c r="K2871" s="178"/>
      <c r="L2871" s="275" t="str">
        <f>IF(H:H=0,"",IF(ISERROR(VLOOKUP(H:H,produtos_escape2!$A$2:$B$2794,2,FALSE)),"Código não cadastrado",(VLOOKUP(H:H,produtos_escape2!$A$2:$B$2794,2,FALSE))))</f>
        <v/>
      </c>
      <c r="M2871" s="593" t="str">
        <f>IF(H:H=0,"",IF(ISERROR(VLOOKUP(H:H,produtos_escape2!$A$2:$D$2794,2,FALSE)),"Código não cadastrado",(VLOOKUP(H:H,produtos_escape2!$A$2:$D$2794,4,FALSE))))</f>
        <v/>
      </c>
      <c r="N2871" s="486"/>
      <c r="O2871" s="176"/>
      <c r="P2871" s="486"/>
      <c r="Q2871" s="247"/>
      <c r="R2871" s="246">
        <f t="shared" si="105"/>
        <v>0</v>
      </c>
      <c r="S2871" s="177"/>
      <c r="T2871" s="182"/>
      <c r="U2871" s="177"/>
      <c r="V2871" s="177"/>
      <c r="W2871" s="177"/>
      <c r="X2871" s="176"/>
      <c r="Y2871" s="177"/>
      <c r="Z2871" s="415"/>
      <c r="AA2871" s="488"/>
      <c r="AB2871" s="594"/>
      <c r="AC2871" s="595"/>
      <c r="AD2871" s="596" t="str">
        <f>IF(AND(AC2871&lt;&gt;"",S2871&lt;&gt;""),NETWORKDAYS(AC2871,S2871,#REF!),"")</f>
        <v/>
      </c>
      <c r="AE2871" s="596" t="str">
        <f ca="1">IF(AND(AD2871="",AC2871=""),"",IF(OR(AD2871&lt;&gt;"",O2871="*CANCELADO"),"",NETWORKDAYS(AC2871,TODAY(),#REF!)))</f>
        <v/>
      </c>
      <c r="AF2871" s="619"/>
    </row>
    <row r="2872" spans="1:32" ht="14.25" customHeight="1">
      <c r="A2872" s="176"/>
      <c r="B2872" s="176"/>
      <c r="C2872" s="177"/>
      <c r="D2872" s="176"/>
      <c r="E2872" s="176"/>
      <c r="F2872" s="259"/>
      <c r="G2872" s="176"/>
      <c r="H2872" s="178"/>
      <c r="I2872" s="592">
        <f t="shared" si="106"/>
        <v>0</v>
      </c>
      <c r="J2872" s="178"/>
      <c r="K2872" s="178"/>
      <c r="L2872" s="275" t="str">
        <f>IF(H:H=0,"",IF(ISERROR(VLOOKUP(H:H,produtos_escape2!$A$2:$B$2794,2,FALSE)),"Código não cadastrado",(VLOOKUP(H:H,produtos_escape2!$A$2:$B$2794,2,FALSE))))</f>
        <v/>
      </c>
      <c r="M2872" s="593" t="str">
        <f>IF(H:H=0,"",IF(ISERROR(VLOOKUP(H:H,produtos_escape2!$A$2:$D$2794,2,FALSE)),"Código não cadastrado",(VLOOKUP(H:H,produtos_escape2!$A$2:$D$2794,4,FALSE))))</f>
        <v/>
      </c>
      <c r="N2872" s="486"/>
      <c r="O2872" s="176"/>
      <c r="P2872" s="486"/>
      <c r="Q2872" s="247"/>
      <c r="R2872" s="246">
        <f t="shared" si="105"/>
        <v>0</v>
      </c>
      <c r="S2872" s="177"/>
      <c r="T2872" s="182"/>
      <c r="U2872" s="177"/>
      <c r="V2872" s="177"/>
      <c r="W2872" s="177"/>
      <c r="X2872" s="176"/>
      <c r="Y2872" s="177"/>
      <c r="Z2872" s="415"/>
      <c r="AA2872" s="488"/>
      <c r="AB2872" s="594"/>
      <c r="AC2872" s="595"/>
      <c r="AD2872" s="596" t="str">
        <f>IF(AND(AC2872&lt;&gt;"",S2872&lt;&gt;""),NETWORKDAYS(AC2872,S2872,#REF!),"")</f>
        <v/>
      </c>
      <c r="AE2872" s="596" t="str">
        <f ca="1">IF(AND(AD2872="",AC2872=""),"",IF(OR(AD2872&lt;&gt;"",O2872="*CANCELADO"),"",NETWORKDAYS(AC2872,TODAY(),#REF!)))</f>
        <v/>
      </c>
      <c r="AF2872" s="619"/>
    </row>
    <row r="2873" spans="1:32" ht="14.25" customHeight="1">
      <c r="A2873" s="176"/>
      <c r="B2873" s="176"/>
      <c r="C2873" s="177"/>
      <c r="D2873" s="176"/>
      <c r="E2873" s="176"/>
      <c r="F2873" s="259"/>
      <c r="G2873" s="176"/>
      <c r="H2873" s="178"/>
      <c r="I2873" s="592">
        <f t="shared" si="106"/>
        <v>0</v>
      </c>
      <c r="J2873" s="178"/>
      <c r="K2873" s="178"/>
      <c r="L2873" s="275" t="str">
        <f>IF(H:H=0,"",IF(ISERROR(VLOOKUP(H:H,produtos_escape2!$A$2:$B$2794,2,FALSE)),"Código não cadastrado",(VLOOKUP(H:H,produtos_escape2!$A$2:$B$2794,2,FALSE))))</f>
        <v/>
      </c>
      <c r="M2873" s="593" t="str">
        <f>IF(H:H=0,"",IF(ISERROR(VLOOKUP(H:H,produtos_escape2!$A$2:$D$2794,2,FALSE)),"Código não cadastrado",(VLOOKUP(H:H,produtos_escape2!$A$2:$D$2794,4,FALSE))))</f>
        <v/>
      </c>
      <c r="N2873" s="486"/>
      <c r="O2873" s="176"/>
      <c r="P2873" s="486"/>
      <c r="Q2873" s="247"/>
      <c r="R2873" s="246">
        <f t="shared" si="105"/>
        <v>0</v>
      </c>
      <c r="S2873" s="177"/>
      <c r="T2873" s="182"/>
      <c r="U2873" s="177"/>
      <c r="V2873" s="177"/>
      <c r="W2873" s="177"/>
      <c r="X2873" s="176"/>
      <c r="Y2873" s="177"/>
      <c r="Z2873" s="415"/>
      <c r="AA2873" s="488"/>
      <c r="AB2873" s="594"/>
      <c r="AC2873" s="595"/>
      <c r="AD2873" s="596" t="str">
        <f>IF(AND(AC2873&lt;&gt;"",S2873&lt;&gt;""),NETWORKDAYS(AC2873,S2873,#REF!),"")</f>
        <v/>
      </c>
      <c r="AE2873" s="596" t="str">
        <f ca="1">IF(AND(AD2873="",AC2873=""),"",IF(OR(AD2873&lt;&gt;"",O2873="*CANCELADO"),"",NETWORKDAYS(AC2873,TODAY(),#REF!)))</f>
        <v/>
      </c>
      <c r="AF2873" s="619"/>
    </row>
    <row r="2874" spans="1:32" ht="14.25" customHeight="1">
      <c r="A2874" s="176"/>
      <c r="B2874" s="176"/>
      <c r="C2874" s="177"/>
      <c r="D2874" s="176"/>
      <c r="E2874" s="176"/>
      <c r="F2874" s="259"/>
      <c r="G2874" s="176"/>
      <c r="H2874" s="178"/>
      <c r="I2874" s="592">
        <f t="shared" si="106"/>
        <v>0</v>
      </c>
      <c r="J2874" s="178"/>
      <c r="K2874" s="178"/>
      <c r="L2874" s="275" t="str">
        <f>IF(H:H=0,"",IF(ISERROR(VLOOKUP(H:H,produtos_escape2!$A$2:$B$2794,2,FALSE)),"Código não cadastrado",(VLOOKUP(H:H,produtos_escape2!$A$2:$B$2794,2,FALSE))))</f>
        <v/>
      </c>
      <c r="M2874" s="593" t="str">
        <f>IF(H:H=0,"",IF(ISERROR(VLOOKUP(H:H,produtos_escape2!$A$2:$D$2794,2,FALSE)),"Código não cadastrado",(VLOOKUP(H:H,produtos_escape2!$A$2:$D$2794,4,FALSE))))</f>
        <v/>
      </c>
      <c r="N2874" s="486"/>
      <c r="O2874" s="176"/>
      <c r="P2874" s="486"/>
      <c r="Q2874" s="247"/>
      <c r="R2874" s="246">
        <f t="shared" si="105"/>
        <v>0</v>
      </c>
      <c r="S2874" s="177"/>
      <c r="T2874" s="182"/>
      <c r="U2874" s="177"/>
      <c r="V2874" s="177"/>
      <c r="W2874" s="177"/>
      <c r="X2874" s="176"/>
      <c r="Y2874" s="177"/>
      <c r="Z2874" s="415"/>
      <c r="AA2874" s="488"/>
      <c r="AB2874" s="594"/>
      <c r="AC2874" s="595"/>
      <c r="AD2874" s="596" t="str">
        <f>IF(AND(AC2874&lt;&gt;"",S2874&lt;&gt;""),NETWORKDAYS(AC2874,S2874,#REF!),"")</f>
        <v/>
      </c>
      <c r="AE2874" s="596" t="str">
        <f ca="1">IF(AND(AD2874="",AC2874=""),"",IF(OR(AD2874&lt;&gt;"",O2874="*CANCELADO"),"",NETWORKDAYS(AC2874,TODAY(),#REF!)))</f>
        <v/>
      </c>
      <c r="AF2874" s="619"/>
    </row>
    <row r="2875" spans="1:32" ht="14.25" customHeight="1">
      <c r="A2875" s="176"/>
      <c r="B2875" s="176"/>
      <c r="C2875" s="177"/>
      <c r="D2875" s="176"/>
      <c r="E2875" s="176"/>
      <c r="F2875" s="259"/>
      <c r="G2875" s="176"/>
      <c r="H2875" s="178"/>
      <c r="I2875" s="592">
        <f t="shared" si="106"/>
        <v>0</v>
      </c>
      <c r="J2875" s="178"/>
      <c r="K2875" s="178"/>
      <c r="L2875" s="275" t="str">
        <f>IF(H:H=0,"",IF(ISERROR(VLOOKUP(H:H,produtos_escape2!$A$2:$B$2794,2,FALSE)),"Código não cadastrado",(VLOOKUP(H:H,produtos_escape2!$A$2:$B$2794,2,FALSE))))</f>
        <v/>
      </c>
      <c r="M2875" s="593" t="str">
        <f>IF(H:H=0,"",IF(ISERROR(VLOOKUP(H:H,produtos_escape2!$A$2:$D$2794,2,FALSE)),"Código não cadastrado",(VLOOKUP(H:H,produtos_escape2!$A$2:$D$2794,4,FALSE))))</f>
        <v/>
      </c>
      <c r="N2875" s="486"/>
      <c r="O2875" s="176"/>
      <c r="P2875" s="486"/>
      <c r="Q2875" s="247"/>
      <c r="R2875" s="246">
        <f t="shared" si="105"/>
        <v>0</v>
      </c>
      <c r="S2875" s="177"/>
      <c r="T2875" s="182"/>
      <c r="U2875" s="177"/>
      <c r="V2875" s="177"/>
      <c r="W2875" s="177"/>
      <c r="X2875" s="176"/>
      <c r="Y2875" s="177"/>
      <c r="Z2875" s="415"/>
      <c r="AA2875" s="488"/>
      <c r="AB2875" s="594"/>
      <c r="AC2875" s="595"/>
      <c r="AD2875" s="596" t="str">
        <f>IF(AND(AC2875&lt;&gt;"",S2875&lt;&gt;""),NETWORKDAYS(AC2875,S2875,#REF!),"")</f>
        <v/>
      </c>
      <c r="AE2875" s="596" t="str">
        <f ca="1">IF(AND(AD2875="",AC2875=""),"",IF(OR(AD2875&lt;&gt;"",O2875="*CANCELADO"),"",NETWORKDAYS(AC2875,TODAY(),#REF!)))</f>
        <v/>
      </c>
      <c r="AF2875" s="619"/>
    </row>
    <row r="2876" spans="1:32" ht="14.25" customHeight="1">
      <c r="A2876" s="176"/>
      <c r="B2876" s="176"/>
      <c r="C2876" s="177"/>
      <c r="D2876" s="176"/>
      <c r="E2876" s="176"/>
      <c r="F2876" s="259"/>
      <c r="G2876" s="176"/>
      <c r="H2876" s="178"/>
      <c r="I2876" s="592">
        <f t="shared" si="106"/>
        <v>0</v>
      </c>
      <c r="J2876" s="178"/>
      <c r="K2876" s="178"/>
      <c r="L2876" s="275" t="str">
        <f>IF(H:H=0,"",IF(ISERROR(VLOOKUP(H:H,produtos_escape2!$A$2:$B$2794,2,FALSE)),"Código não cadastrado",(VLOOKUP(H:H,produtos_escape2!$A$2:$B$2794,2,FALSE))))</f>
        <v/>
      </c>
      <c r="M2876" s="593" t="str">
        <f>IF(H:H=0,"",IF(ISERROR(VLOOKUP(H:H,produtos_escape2!$A$2:$D$2794,2,FALSE)),"Código não cadastrado",(VLOOKUP(H:H,produtos_escape2!$A$2:$D$2794,4,FALSE))))</f>
        <v/>
      </c>
      <c r="N2876" s="486"/>
      <c r="O2876" s="176"/>
      <c r="P2876" s="486"/>
      <c r="Q2876" s="247"/>
      <c r="R2876" s="246">
        <f t="shared" si="105"/>
        <v>0</v>
      </c>
      <c r="S2876" s="177"/>
      <c r="T2876" s="182"/>
      <c r="U2876" s="177"/>
      <c r="V2876" s="177"/>
      <c r="W2876" s="177"/>
      <c r="X2876" s="176"/>
      <c r="Y2876" s="177"/>
      <c r="Z2876" s="415"/>
      <c r="AA2876" s="488"/>
      <c r="AB2876" s="594"/>
      <c r="AC2876" s="595"/>
      <c r="AD2876" s="596" t="str">
        <f>IF(AND(AC2876&lt;&gt;"",S2876&lt;&gt;""),NETWORKDAYS(AC2876,S2876,#REF!),"")</f>
        <v/>
      </c>
      <c r="AE2876" s="596" t="str">
        <f ca="1">IF(AND(AD2876="",AC2876=""),"",IF(OR(AD2876&lt;&gt;"",O2876="*CANCELADO"),"",NETWORKDAYS(AC2876,TODAY(),#REF!)))</f>
        <v/>
      </c>
      <c r="AF2876" s="619"/>
    </row>
    <row r="2877" spans="1:32" ht="14.25" customHeight="1">
      <c r="A2877" s="176"/>
      <c r="B2877" s="176"/>
      <c r="C2877" s="177"/>
      <c r="D2877" s="176"/>
      <c r="E2877" s="176"/>
      <c r="F2877" s="259"/>
      <c r="G2877" s="176"/>
      <c r="H2877" s="178"/>
      <c r="I2877" s="592">
        <f t="shared" si="106"/>
        <v>0</v>
      </c>
      <c r="J2877" s="178"/>
      <c r="K2877" s="178"/>
      <c r="L2877" s="275" t="str">
        <f>IF(H:H=0,"",IF(ISERROR(VLOOKUP(H:H,produtos_escape2!$A$2:$B$2794,2,FALSE)),"Código não cadastrado",(VLOOKUP(H:H,produtos_escape2!$A$2:$B$2794,2,FALSE))))</f>
        <v/>
      </c>
      <c r="M2877" s="593" t="str">
        <f>IF(H:H=0,"",IF(ISERROR(VLOOKUP(H:H,produtos_escape2!$A$2:$D$2794,2,FALSE)),"Código não cadastrado",(VLOOKUP(H:H,produtos_escape2!$A$2:$D$2794,4,FALSE))))</f>
        <v/>
      </c>
      <c r="N2877" s="486"/>
      <c r="O2877" s="176"/>
      <c r="P2877" s="486"/>
      <c r="Q2877" s="247"/>
      <c r="R2877" s="246">
        <f t="shared" si="105"/>
        <v>0</v>
      </c>
      <c r="S2877" s="177"/>
      <c r="T2877" s="182"/>
      <c r="U2877" s="177"/>
      <c r="V2877" s="177"/>
      <c r="W2877" s="177"/>
      <c r="X2877" s="176"/>
      <c r="Y2877" s="177"/>
      <c r="Z2877" s="415"/>
      <c r="AA2877" s="488"/>
      <c r="AB2877" s="594"/>
      <c r="AC2877" s="595"/>
      <c r="AD2877" s="596" t="str">
        <f>IF(AND(AC2877&lt;&gt;"",S2877&lt;&gt;""),NETWORKDAYS(AC2877,S2877,#REF!),"")</f>
        <v/>
      </c>
      <c r="AE2877" s="596" t="str">
        <f ca="1">IF(AND(AD2877="",AC2877=""),"",IF(OR(AD2877&lt;&gt;"",O2877="*CANCELADO"),"",NETWORKDAYS(AC2877,TODAY(),#REF!)))</f>
        <v/>
      </c>
      <c r="AF2877" s="619"/>
    </row>
    <row r="2878" spans="1:32" ht="14.25" customHeight="1">
      <c r="A2878" s="176"/>
      <c r="B2878" s="176"/>
      <c r="C2878" s="177"/>
      <c r="D2878" s="176"/>
      <c r="E2878" s="176"/>
      <c r="F2878" s="259"/>
      <c r="G2878" s="176"/>
      <c r="H2878" s="178"/>
      <c r="I2878" s="592">
        <f t="shared" si="106"/>
        <v>0</v>
      </c>
      <c r="J2878" s="178"/>
      <c r="K2878" s="178"/>
      <c r="L2878" s="275" t="str">
        <f>IF(H:H=0,"",IF(ISERROR(VLOOKUP(H:H,produtos_escape2!$A$2:$B$2794,2,FALSE)),"Código não cadastrado",(VLOOKUP(H:H,produtos_escape2!$A$2:$B$2794,2,FALSE))))</f>
        <v/>
      </c>
      <c r="M2878" s="593" t="str">
        <f>IF(H:H=0,"",IF(ISERROR(VLOOKUP(H:H,produtos_escape2!$A$2:$D$2794,2,FALSE)),"Código não cadastrado",(VLOOKUP(H:H,produtos_escape2!$A$2:$D$2794,4,FALSE))))</f>
        <v/>
      </c>
      <c r="N2878" s="486"/>
      <c r="O2878" s="176"/>
      <c r="P2878" s="486"/>
      <c r="Q2878" s="247"/>
      <c r="R2878" s="246">
        <f t="shared" si="105"/>
        <v>0</v>
      </c>
      <c r="S2878" s="177"/>
      <c r="T2878" s="182"/>
      <c r="U2878" s="177"/>
      <c r="V2878" s="177"/>
      <c r="W2878" s="177"/>
      <c r="X2878" s="176"/>
      <c r="Y2878" s="177"/>
      <c r="Z2878" s="415"/>
      <c r="AA2878" s="488"/>
      <c r="AB2878" s="594"/>
      <c r="AC2878" s="595"/>
      <c r="AD2878" s="596" t="str">
        <f>IF(AND(AC2878&lt;&gt;"",S2878&lt;&gt;""),NETWORKDAYS(AC2878,S2878,#REF!),"")</f>
        <v/>
      </c>
      <c r="AE2878" s="596" t="str">
        <f ca="1">IF(AND(AD2878="",AC2878=""),"",IF(OR(AD2878&lt;&gt;"",O2878="*CANCELADO"),"",NETWORKDAYS(AC2878,TODAY(),#REF!)))</f>
        <v/>
      </c>
      <c r="AF2878" s="619"/>
    </row>
    <row r="2879" spans="1:32" ht="14.25" customHeight="1">
      <c r="A2879" s="176"/>
      <c r="B2879" s="176"/>
      <c r="C2879" s="177"/>
      <c r="D2879" s="176"/>
      <c r="E2879" s="176"/>
      <c r="F2879" s="259"/>
      <c r="G2879" s="176"/>
      <c r="H2879" s="178"/>
      <c r="I2879" s="592">
        <f t="shared" si="106"/>
        <v>0</v>
      </c>
      <c r="J2879" s="178"/>
      <c r="K2879" s="178"/>
      <c r="L2879" s="275" t="str">
        <f>IF(H:H=0,"",IF(ISERROR(VLOOKUP(H:H,produtos_escape2!$A$2:$B$2794,2,FALSE)),"Código não cadastrado",(VLOOKUP(H:H,produtos_escape2!$A$2:$B$2794,2,FALSE))))</f>
        <v/>
      </c>
      <c r="M2879" s="593" t="str">
        <f>IF(H:H=0,"",IF(ISERROR(VLOOKUP(H:H,produtos_escape2!$A$2:$D$2794,2,FALSE)),"Código não cadastrado",(VLOOKUP(H:H,produtos_escape2!$A$2:$D$2794,4,FALSE))))</f>
        <v/>
      </c>
      <c r="N2879" s="486"/>
      <c r="O2879" s="176"/>
      <c r="P2879" s="486"/>
      <c r="Q2879" s="247"/>
      <c r="R2879" s="246">
        <f t="shared" si="105"/>
        <v>0</v>
      </c>
      <c r="S2879" s="177"/>
      <c r="T2879" s="182"/>
      <c r="U2879" s="177"/>
      <c r="V2879" s="177"/>
      <c r="W2879" s="177"/>
      <c r="X2879" s="176"/>
      <c r="Y2879" s="177"/>
      <c r="Z2879" s="415"/>
      <c r="AA2879" s="488"/>
      <c r="AB2879" s="594"/>
      <c r="AC2879" s="595"/>
      <c r="AD2879" s="596" t="str">
        <f>IF(AND(AC2879&lt;&gt;"",S2879&lt;&gt;""),NETWORKDAYS(AC2879,S2879,#REF!),"")</f>
        <v/>
      </c>
      <c r="AE2879" s="596" t="str">
        <f ca="1">IF(AND(AD2879="",AC2879=""),"",IF(OR(AD2879&lt;&gt;"",O2879="*CANCELADO"),"",NETWORKDAYS(AC2879,TODAY(),#REF!)))</f>
        <v/>
      </c>
      <c r="AF2879" s="619"/>
    </row>
    <row r="2880" spans="1:32" ht="14.25" customHeight="1">
      <c r="A2880" s="176"/>
      <c r="B2880" s="176"/>
      <c r="C2880" s="177"/>
      <c r="D2880" s="176"/>
      <c r="E2880" s="176"/>
      <c r="F2880" s="259"/>
      <c r="G2880" s="176"/>
      <c r="H2880" s="178"/>
      <c r="I2880" s="592">
        <f t="shared" si="106"/>
        <v>0</v>
      </c>
      <c r="J2880" s="178"/>
      <c r="K2880" s="178"/>
      <c r="L2880" s="275" t="str">
        <f>IF(H:H=0,"",IF(ISERROR(VLOOKUP(H:H,produtos_escape2!$A$2:$B$2794,2,FALSE)),"Código não cadastrado",(VLOOKUP(H:H,produtos_escape2!$A$2:$B$2794,2,FALSE))))</f>
        <v/>
      </c>
      <c r="M2880" s="593" t="str">
        <f>IF(H:H=0,"",IF(ISERROR(VLOOKUP(H:H,produtos_escape2!$A$2:$D$2794,2,FALSE)),"Código não cadastrado",(VLOOKUP(H:H,produtos_escape2!$A$2:$D$2794,4,FALSE))))</f>
        <v/>
      </c>
      <c r="N2880" s="486"/>
      <c r="O2880" s="176"/>
      <c r="P2880" s="486"/>
      <c r="Q2880" s="247"/>
      <c r="R2880" s="246">
        <f t="shared" si="105"/>
        <v>0</v>
      </c>
      <c r="S2880" s="177"/>
      <c r="T2880" s="182"/>
      <c r="U2880" s="177"/>
      <c r="V2880" s="177"/>
      <c r="W2880" s="177"/>
      <c r="X2880" s="176"/>
      <c r="Y2880" s="177"/>
      <c r="Z2880" s="415"/>
      <c r="AA2880" s="488"/>
      <c r="AB2880" s="594"/>
      <c r="AC2880" s="595"/>
      <c r="AD2880" s="596" t="str">
        <f>IF(AND(AC2880&lt;&gt;"",S2880&lt;&gt;""),NETWORKDAYS(AC2880,S2880,#REF!),"")</f>
        <v/>
      </c>
      <c r="AE2880" s="596" t="str">
        <f ca="1">IF(AND(AD2880="",AC2880=""),"",IF(OR(AD2880&lt;&gt;"",O2880="*CANCELADO"),"",NETWORKDAYS(AC2880,TODAY(),#REF!)))</f>
        <v/>
      </c>
      <c r="AF2880" s="619"/>
    </row>
    <row r="2881" spans="1:32" ht="14.25" customHeight="1">
      <c r="A2881" s="176"/>
      <c r="B2881" s="176"/>
      <c r="C2881" s="177"/>
      <c r="D2881" s="176"/>
      <c r="E2881" s="176"/>
      <c r="F2881" s="259"/>
      <c r="G2881" s="176"/>
      <c r="H2881" s="178"/>
      <c r="I2881" s="592">
        <f t="shared" si="106"/>
        <v>0</v>
      </c>
      <c r="J2881" s="178"/>
      <c r="K2881" s="178"/>
      <c r="L2881" s="275" t="str">
        <f>IF(H:H=0,"",IF(ISERROR(VLOOKUP(H:H,produtos_escape2!$A$2:$B$2794,2,FALSE)),"Código não cadastrado",(VLOOKUP(H:H,produtos_escape2!$A$2:$B$2794,2,FALSE))))</f>
        <v/>
      </c>
      <c r="M2881" s="593" t="str">
        <f>IF(H:H=0,"",IF(ISERROR(VLOOKUP(H:H,produtos_escape2!$A$2:$D$2794,2,FALSE)),"Código não cadastrado",(VLOOKUP(H:H,produtos_escape2!$A$2:$D$2794,4,FALSE))))</f>
        <v/>
      </c>
      <c r="N2881" s="486"/>
      <c r="O2881" s="176"/>
      <c r="P2881" s="486"/>
      <c r="Q2881" s="247"/>
      <c r="R2881" s="246">
        <f t="shared" si="105"/>
        <v>0</v>
      </c>
      <c r="S2881" s="177"/>
      <c r="T2881" s="182"/>
      <c r="U2881" s="177"/>
      <c r="V2881" s="177"/>
      <c r="W2881" s="177"/>
      <c r="X2881" s="176"/>
      <c r="Y2881" s="177"/>
      <c r="Z2881" s="415"/>
      <c r="AA2881" s="488"/>
      <c r="AB2881" s="594"/>
      <c r="AC2881" s="595"/>
      <c r="AD2881" s="596" t="str">
        <f>IF(AND(AC2881&lt;&gt;"",S2881&lt;&gt;""),NETWORKDAYS(AC2881,S2881,#REF!),"")</f>
        <v/>
      </c>
      <c r="AE2881" s="596" t="str">
        <f ca="1">IF(AND(AD2881="",AC2881=""),"",IF(OR(AD2881&lt;&gt;"",O2881="*CANCELADO"),"",NETWORKDAYS(AC2881,TODAY(),#REF!)))</f>
        <v/>
      </c>
      <c r="AF2881" s="619"/>
    </row>
    <row r="2882" spans="1:32" ht="14.25" customHeight="1">
      <c r="A2882" s="176"/>
      <c r="B2882" s="176"/>
      <c r="C2882" s="177"/>
      <c r="D2882" s="176"/>
      <c r="E2882" s="176"/>
      <c r="F2882" s="259"/>
      <c r="G2882" s="176"/>
      <c r="H2882" s="178"/>
      <c r="I2882" s="592">
        <f t="shared" si="106"/>
        <v>0</v>
      </c>
      <c r="J2882" s="178"/>
      <c r="K2882" s="178"/>
      <c r="L2882" s="275" t="str">
        <f>IF(H:H=0,"",IF(ISERROR(VLOOKUP(H:H,produtos_escape2!$A$2:$B$2794,2,FALSE)),"Código não cadastrado",(VLOOKUP(H:H,produtos_escape2!$A$2:$B$2794,2,FALSE))))</f>
        <v/>
      </c>
      <c r="M2882" s="593" t="str">
        <f>IF(H:H=0,"",IF(ISERROR(VLOOKUP(H:H,produtos_escape2!$A$2:$D$2794,2,FALSE)),"Código não cadastrado",(VLOOKUP(H:H,produtos_escape2!$A$2:$D$2794,4,FALSE))))</f>
        <v/>
      </c>
      <c r="N2882" s="486"/>
      <c r="O2882" s="176"/>
      <c r="P2882" s="486"/>
      <c r="Q2882" s="247"/>
      <c r="R2882" s="246">
        <f t="shared" si="105"/>
        <v>0</v>
      </c>
      <c r="S2882" s="177"/>
      <c r="T2882" s="182"/>
      <c r="U2882" s="177"/>
      <c r="V2882" s="177"/>
      <c r="W2882" s="177"/>
      <c r="X2882" s="176"/>
      <c r="Y2882" s="177"/>
      <c r="Z2882" s="415"/>
      <c r="AA2882" s="488"/>
      <c r="AB2882" s="594"/>
      <c r="AC2882" s="595"/>
      <c r="AD2882" s="596" t="str">
        <f>IF(AND(AC2882&lt;&gt;"",S2882&lt;&gt;""),NETWORKDAYS(AC2882,S2882,#REF!),"")</f>
        <v/>
      </c>
      <c r="AE2882" s="596" t="str">
        <f ca="1">IF(AND(AD2882="",AC2882=""),"",IF(OR(AD2882&lt;&gt;"",O2882="*CANCELADO"),"",NETWORKDAYS(AC2882,TODAY(),#REF!)))</f>
        <v/>
      </c>
      <c r="AF2882" s="619"/>
    </row>
    <row r="2883" spans="1:32" ht="14.25" customHeight="1">
      <c r="A2883" s="176"/>
      <c r="B2883" s="176"/>
      <c r="C2883" s="177"/>
      <c r="D2883" s="176"/>
      <c r="E2883" s="176"/>
      <c r="F2883" s="259"/>
      <c r="G2883" s="176"/>
      <c r="H2883" s="178"/>
      <c r="I2883" s="592">
        <f t="shared" si="106"/>
        <v>0</v>
      </c>
      <c r="J2883" s="178"/>
      <c r="K2883" s="178"/>
      <c r="L2883" s="275" t="str">
        <f>IF(H:H=0,"",IF(ISERROR(VLOOKUP(H:H,produtos_escape2!$A$2:$B$2794,2,FALSE)),"Código não cadastrado",(VLOOKUP(H:H,produtos_escape2!$A$2:$B$2794,2,FALSE))))</f>
        <v/>
      </c>
      <c r="M2883" s="593" t="str">
        <f>IF(H:H=0,"",IF(ISERROR(VLOOKUP(H:H,produtos_escape2!$A$2:$D$2794,2,FALSE)),"Código não cadastrado",(VLOOKUP(H:H,produtos_escape2!$A$2:$D$2794,4,FALSE))))</f>
        <v/>
      </c>
      <c r="N2883" s="486"/>
      <c r="O2883" s="176"/>
      <c r="P2883" s="486"/>
      <c r="Q2883" s="247"/>
      <c r="R2883" s="246">
        <f t="shared" si="105"/>
        <v>0</v>
      </c>
      <c r="S2883" s="177"/>
      <c r="T2883" s="182"/>
      <c r="U2883" s="177"/>
      <c r="V2883" s="177"/>
      <c r="W2883" s="177"/>
      <c r="X2883" s="176"/>
      <c r="Y2883" s="177"/>
      <c r="Z2883" s="415"/>
      <c r="AA2883" s="488"/>
      <c r="AB2883" s="594"/>
      <c r="AC2883" s="595"/>
      <c r="AD2883" s="596" t="str">
        <f>IF(AND(AC2883&lt;&gt;"",S2883&lt;&gt;""),NETWORKDAYS(AC2883,S2883,#REF!),"")</f>
        <v/>
      </c>
      <c r="AE2883" s="596" t="str">
        <f ca="1">IF(AND(AD2883="",AC2883=""),"",IF(OR(AD2883&lt;&gt;"",O2883="*CANCELADO"),"",NETWORKDAYS(AC2883,TODAY(),#REF!)))</f>
        <v/>
      </c>
      <c r="AF2883" s="619"/>
    </row>
    <row r="2884" spans="1:32" ht="14.25" customHeight="1">
      <c r="A2884" s="176"/>
      <c r="B2884" s="176"/>
      <c r="C2884" s="177"/>
      <c r="D2884" s="176"/>
      <c r="E2884" s="176"/>
      <c r="F2884" s="259"/>
      <c r="G2884" s="176"/>
      <c r="H2884" s="178"/>
      <c r="I2884" s="592">
        <f t="shared" si="106"/>
        <v>0</v>
      </c>
      <c r="J2884" s="178"/>
      <c r="K2884" s="178"/>
      <c r="L2884" s="275" t="str">
        <f>IF(H:H=0,"",IF(ISERROR(VLOOKUP(H:H,produtos_escape2!$A$2:$B$2794,2,FALSE)),"Código não cadastrado",(VLOOKUP(H:H,produtos_escape2!$A$2:$B$2794,2,FALSE))))</f>
        <v/>
      </c>
      <c r="M2884" s="593" t="str">
        <f>IF(H:H=0,"",IF(ISERROR(VLOOKUP(H:H,produtos_escape2!$A$2:$D$2794,2,FALSE)),"Código não cadastrado",(VLOOKUP(H:H,produtos_escape2!$A$2:$D$2794,4,FALSE))))</f>
        <v/>
      </c>
      <c r="N2884" s="486"/>
      <c r="O2884" s="176"/>
      <c r="P2884" s="486"/>
      <c r="Q2884" s="247"/>
      <c r="R2884" s="246">
        <f t="shared" si="105"/>
        <v>0</v>
      </c>
      <c r="S2884" s="177"/>
      <c r="T2884" s="182"/>
      <c r="U2884" s="177"/>
      <c r="V2884" s="177"/>
      <c r="W2884" s="177"/>
      <c r="X2884" s="176"/>
      <c r="Y2884" s="177"/>
      <c r="Z2884" s="415"/>
      <c r="AA2884" s="488"/>
      <c r="AB2884" s="594"/>
      <c r="AC2884" s="595"/>
      <c r="AD2884" s="596" t="str">
        <f>IF(AND(AC2884&lt;&gt;"",S2884&lt;&gt;""),NETWORKDAYS(AC2884,S2884,#REF!),"")</f>
        <v/>
      </c>
      <c r="AE2884" s="596" t="str">
        <f ca="1">IF(AND(AD2884="",AC2884=""),"",IF(OR(AD2884&lt;&gt;"",O2884="*CANCELADO"),"",NETWORKDAYS(AC2884,TODAY(),#REF!)))</f>
        <v/>
      </c>
      <c r="AF2884" s="619"/>
    </row>
    <row r="2885" spans="1:32" ht="14.25" customHeight="1">
      <c r="A2885" s="176"/>
      <c r="B2885" s="176"/>
      <c r="C2885" s="177"/>
      <c r="D2885" s="176"/>
      <c r="E2885" s="176"/>
      <c r="F2885" s="259"/>
      <c r="G2885" s="176"/>
      <c r="H2885" s="178"/>
      <c r="I2885" s="592">
        <f t="shared" si="106"/>
        <v>0</v>
      </c>
      <c r="J2885" s="178"/>
      <c r="K2885" s="178"/>
      <c r="L2885" s="275" t="str">
        <f>IF(H:H=0,"",IF(ISERROR(VLOOKUP(H:H,produtos_escape2!$A$2:$B$2794,2,FALSE)),"Código não cadastrado",(VLOOKUP(H:H,produtos_escape2!$A$2:$B$2794,2,FALSE))))</f>
        <v/>
      </c>
      <c r="M2885" s="593" t="str">
        <f>IF(H:H=0,"",IF(ISERROR(VLOOKUP(H:H,produtos_escape2!$A$2:$D$2794,2,FALSE)),"Código não cadastrado",(VLOOKUP(H:H,produtos_escape2!$A$2:$D$2794,4,FALSE))))</f>
        <v/>
      </c>
      <c r="N2885" s="486"/>
      <c r="O2885" s="176"/>
      <c r="P2885" s="486"/>
      <c r="Q2885" s="247"/>
      <c r="R2885" s="246">
        <f t="shared" si="105"/>
        <v>0</v>
      </c>
      <c r="S2885" s="177"/>
      <c r="T2885" s="182"/>
      <c r="U2885" s="177"/>
      <c r="V2885" s="177"/>
      <c r="W2885" s="177"/>
      <c r="X2885" s="176"/>
      <c r="Y2885" s="177"/>
      <c r="Z2885" s="415"/>
      <c r="AA2885" s="488"/>
      <c r="AB2885" s="594"/>
      <c r="AC2885" s="595"/>
      <c r="AD2885" s="596" t="str">
        <f>IF(AND(AC2885&lt;&gt;"",S2885&lt;&gt;""),NETWORKDAYS(AC2885,S2885,#REF!),"")</f>
        <v/>
      </c>
      <c r="AE2885" s="596" t="str">
        <f ca="1">IF(AND(AD2885="",AC2885=""),"",IF(OR(AD2885&lt;&gt;"",O2885="*CANCELADO"),"",NETWORKDAYS(AC2885,TODAY(),#REF!)))</f>
        <v/>
      </c>
      <c r="AF2885" s="619"/>
    </row>
    <row r="2886" spans="1:32" ht="14.25" customHeight="1">
      <c r="A2886" s="176"/>
      <c r="B2886" s="176"/>
      <c r="C2886" s="177"/>
      <c r="D2886" s="176"/>
      <c r="E2886" s="176"/>
      <c r="F2886" s="259"/>
      <c r="G2886" s="176"/>
      <c r="H2886" s="178"/>
      <c r="I2886" s="592">
        <f t="shared" si="106"/>
        <v>0</v>
      </c>
      <c r="J2886" s="178"/>
      <c r="K2886" s="178"/>
      <c r="L2886" s="275" t="str">
        <f>IF(H:H=0,"",IF(ISERROR(VLOOKUP(H:H,produtos_escape2!$A$2:$B$2794,2,FALSE)),"Código não cadastrado",(VLOOKUP(H:H,produtos_escape2!$A$2:$B$2794,2,FALSE))))</f>
        <v/>
      </c>
      <c r="M2886" s="593" t="str">
        <f>IF(H:H=0,"",IF(ISERROR(VLOOKUP(H:H,produtos_escape2!$A$2:$D$2794,2,FALSE)),"Código não cadastrado",(VLOOKUP(H:H,produtos_escape2!$A$2:$D$2794,4,FALSE))))</f>
        <v/>
      </c>
      <c r="N2886" s="486"/>
      <c r="O2886" s="176"/>
      <c r="P2886" s="486"/>
      <c r="Q2886" s="247"/>
      <c r="R2886" s="246">
        <f t="shared" si="105"/>
        <v>0</v>
      </c>
      <c r="S2886" s="177"/>
      <c r="T2886" s="182"/>
      <c r="U2886" s="177"/>
      <c r="V2886" s="177"/>
      <c r="W2886" s="177"/>
      <c r="X2886" s="176"/>
      <c r="Y2886" s="177"/>
      <c r="Z2886" s="415"/>
      <c r="AA2886" s="488"/>
      <c r="AB2886" s="594"/>
      <c r="AC2886" s="595"/>
      <c r="AD2886" s="596" t="str">
        <f>IF(AND(AC2886&lt;&gt;"",S2886&lt;&gt;""),NETWORKDAYS(AC2886,S2886,#REF!),"")</f>
        <v/>
      </c>
      <c r="AE2886" s="596" t="str">
        <f ca="1">IF(AND(AD2886="",AC2886=""),"",IF(OR(AD2886&lt;&gt;"",O2886="*CANCELADO"),"",NETWORKDAYS(AC2886,TODAY(),#REF!)))</f>
        <v/>
      </c>
      <c r="AF2886" s="619"/>
    </row>
    <row r="2887" spans="1:32" ht="14.25" customHeight="1">
      <c r="A2887" s="176"/>
      <c r="B2887" s="176"/>
      <c r="C2887" s="177"/>
      <c r="D2887" s="176"/>
      <c r="E2887" s="176"/>
      <c r="F2887" s="259"/>
      <c r="G2887" s="176"/>
      <c r="H2887" s="178"/>
      <c r="I2887" s="592">
        <f t="shared" si="106"/>
        <v>0</v>
      </c>
      <c r="J2887" s="178"/>
      <c r="K2887" s="178"/>
      <c r="L2887" s="275" t="str">
        <f>IF(H:H=0,"",IF(ISERROR(VLOOKUP(H:H,produtos_escape2!$A$2:$B$2794,2,FALSE)),"Código não cadastrado",(VLOOKUP(H:H,produtos_escape2!$A$2:$B$2794,2,FALSE))))</f>
        <v/>
      </c>
      <c r="M2887" s="593" t="str">
        <f>IF(H:H=0,"",IF(ISERROR(VLOOKUP(H:H,produtos_escape2!$A$2:$D$2794,2,FALSE)),"Código não cadastrado",(VLOOKUP(H:H,produtos_escape2!$A$2:$D$2794,4,FALSE))))</f>
        <v/>
      </c>
      <c r="N2887" s="486"/>
      <c r="O2887" s="176"/>
      <c r="P2887" s="486"/>
      <c r="Q2887" s="247"/>
      <c r="R2887" s="246">
        <f t="shared" si="105"/>
        <v>0</v>
      </c>
      <c r="S2887" s="177"/>
      <c r="T2887" s="182"/>
      <c r="U2887" s="177"/>
      <c r="V2887" s="177"/>
      <c r="W2887" s="177"/>
      <c r="X2887" s="176"/>
      <c r="Y2887" s="177"/>
      <c r="Z2887" s="415"/>
      <c r="AA2887" s="488"/>
      <c r="AB2887" s="594"/>
      <c r="AC2887" s="595"/>
      <c r="AD2887" s="596" t="str">
        <f>IF(AND(AC2887&lt;&gt;"",S2887&lt;&gt;""),NETWORKDAYS(AC2887,S2887,#REF!),"")</f>
        <v/>
      </c>
      <c r="AE2887" s="596" t="str">
        <f ca="1">IF(AND(AD2887="",AC2887=""),"",IF(OR(AD2887&lt;&gt;"",O2887="*CANCELADO"),"",NETWORKDAYS(AC2887,TODAY(),#REF!)))</f>
        <v/>
      </c>
      <c r="AF2887" s="619"/>
    </row>
    <row r="2888" spans="1:32" ht="14.25" customHeight="1">
      <c r="A2888" s="176"/>
      <c r="B2888" s="176"/>
      <c r="C2888" s="177"/>
      <c r="D2888" s="176"/>
      <c r="E2888" s="176"/>
      <c r="F2888" s="259"/>
      <c r="G2888" s="176"/>
      <c r="H2888" s="178"/>
      <c r="I2888" s="592">
        <f t="shared" si="106"/>
        <v>0</v>
      </c>
      <c r="J2888" s="178"/>
      <c r="K2888" s="178"/>
      <c r="L2888" s="275" t="str">
        <f>IF(H:H=0,"",IF(ISERROR(VLOOKUP(H:H,produtos_escape2!$A$2:$B$2794,2,FALSE)),"Código não cadastrado",(VLOOKUP(H:H,produtos_escape2!$A$2:$B$2794,2,FALSE))))</f>
        <v/>
      </c>
      <c r="M2888" s="593" t="str">
        <f>IF(H:H=0,"",IF(ISERROR(VLOOKUP(H:H,produtos_escape2!$A$2:$D$2794,2,FALSE)),"Código não cadastrado",(VLOOKUP(H:H,produtos_escape2!$A$2:$D$2794,4,FALSE))))</f>
        <v/>
      </c>
      <c r="N2888" s="486"/>
      <c r="O2888" s="176"/>
      <c r="P2888" s="486"/>
      <c r="Q2888" s="247"/>
      <c r="R2888" s="246">
        <f t="shared" si="105"/>
        <v>0</v>
      </c>
      <c r="S2888" s="177"/>
      <c r="T2888" s="182"/>
      <c r="U2888" s="177"/>
      <c r="V2888" s="177"/>
      <c r="W2888" s="177"/>
      <c r="X2888" s="176"/>
      <c r="Y2888" s="177"/>
      <c r="Z2888" s="415"/>
      <c r="AA2888" s="488"/>
      <c r="AB2888" s="594"/>
      <c r="AC2888" s="595"/>
      <c r="AD2888" s="596" t="str">
        <f>IF(AND(AC2888&lt;&gt;"",S2888&lt;&gt;""),NETWORKDAYS(AC2888,S2888,#REF!),"")</f>
        <v/>
      </c>
      <c r="AE2888" s="596" t="str">
        <f ca="1">IF(AND(AD2888="",AC2888=""),"",IF(OR(AD2888&lt;&gt;"",O2888="*CANCELADO"),"",NETWORKDAYS(AC2888,TODAY(),#REF!)))</f>
        <v/>
      </c>
      <c r="AF2888" s="619"/>
    </row>
    <row r="2889" spans="1:32" ht="14.25" customHeight="1">
      <c r="A2889" s="176"/>
      <c r="B2889" s="176"/>
      <c r="C2889" s="177"/>
      <c r="D2889" s="176"/>
      <c r="E2889" s="176"/>
      <c r="F2889" s="259"/>
      <c r="G2889" s="176"/>
      <c r="H2889" s="178"/>
      <c r="I2889" s="592">
        <f t="shared" si="106"/>
        <v>0</v>
      </c>
      <c r="J2889" s="178"/>
      <c r="K2889" s="178"/>
      <c r="L2889" s="275" t="str">
        <f>IF(H:H=0,"",IF(ISERROR(VLOOKUP(H:H,produtos_escape2!$A$2:$B$2794,2,FALSE)),"Código não cadastrado",(VLOOKUP(H:H,produtos_escape2!$A$2:$B$2794,2,FALSE))))</f>
        <v/>
      </c>
      <c r="M2889" s="593" t="str">
        <f>IF(H:H=0,"",IF(ISERROR(VLOOKUP(H:H,produtos_escape2!$A$2:$D$2794,2,FALSE)),"Código não cadastrado",(VLOOKUP(H:H,produtos_escape2!$A$2:$D$2794,4,FALSE))))</f>
        <v/>
      </c>
      <c r="N2889" s="486"/>
      <c r="O2889" s="176"/>
      <c r="P2889" s="486"/>
      <c r="Q2889" s="247"/>
      <c r="R2889" s="246">
        <f t="shared" si="105"/>
        <v>0</v>
      </c>
      <c r="S2889" s="177"/>
      <c r="T2889" s="182"/>
      <c r="U2889" s="177"/>
      <c r="V2889" s="177"/>
      <c r="W2889" s="177"/>
      <c r="X2889" s="176"/>
      <c r="Y2889" s="177"/>
      <c r="Z2889" s="415"/>
      <c r="AA2889" s="488"/>
      <c r="AB2889" s="594"/>
      <c r="AC2889" s="595"/>
      <c r="AD2889" s="596" t="str">
        <f>IF(AND(AC2889&lt;&gt;"",S2889&lt;&gt;""),NETWORKDAYS(AC2889,S2889,#REF!),"")</f>
        <v/>
      </c>
      <c r="AE2889" s="596" t="str">
        <f ca="1">IF(AND(AD2889="",AC2889=""),"",IF(OR(AD2889&lt;&gt;"",O2889="*CANCELADO"),"",NETWORKDAYS(AC2889,TODAY(),#REF!)))</f>
        <v/>
      </c>
      <c r="AF2889" s="619"/>
    </row>
    <row r="2890" spans="1:32" ht="14.25" customHeight="1">
      <c r="A2890" s="176"/>
      <c r="B2890" s="176"/>
      <c r="C2890" s="177"/>
      <c r="D2890" s="176"/>
      <c r="E2890" s="176"/>
      <c r="F2890" s="259"/>
      <c r="G2890" s="176"/>
      <c r="H2890" s="178"/>
      <c r="I2890" s="592">
        <f t="shared" si="106"/>
        <v>0</v>
      </c>
      <c r="J2890" s="178"/>
      <c r="K2890" s="178"/>
      <c r="L2890" s="275" t="str">
        <f>IF(H:H=0,"",IF(ISERROR(VLOOKUP(H:H,produtos_escape2!$A$2:$B$2794,2,FALSE)),"Código não cadastrado",(VLOOKUP(H:H,produtos_escape2!$A$2:$B$2794,2,FALSE))))</f>
        <v/>
      </c>
      <c r="M2890" s="593" t="str">
        <f>IF(H:H=0,"",IF(ISERROR(VLOOKUP(H:H,produtos_escape2!$A$2:$D$2794,2,FALSE)),"Código não cadastrado",(VLOOKUP(H:H,produtos_escape2!$A$2:$D$2794,4,FALSE))))</f>
        <v/>
      </c>
      <c r="N2890" s="486"/>
      <c r="O2890" s="176"/>
      <c r="P2890" s="486"/>
      <c r="Q2890" s="247"/>
      <c r="R2890" s="246">
        <f t="shared" si="105"/>
        <v>0</v>
      </c>
      <c r="S2890" s="177"/>
      <c r="T2890" s="182"/>
      <c r="U2890" s="177"/>
      <c r="V2890" s="177"/>
      <c r="W2890" s="177"/>
      <c r="X2890" s="176"/>
      <c r="Y2890" s="177"/>
      <c r="Z2890" s="415"/>
      <c r="AA2890" s="488"/>
      <c r="AB2890" s="594"/>
      <c r="AC2890" s="595"/>
      <c r="AD2890" s="596" t="str">
        <f>IF(AND(AC2890&lt;&gt;"",S2890&lt;&gt;""),NETWORKDAYS(AC2890,S2890,#REF!),"")</f>
        <v/>
      </c>
      <c r="AE2890" s="596" t="str">
        <f ca="1">IF(AND(AD2890="",AC2890=""),"",IF(OR(AD2890&lt;&gt;"",O2890="*CANCELADO"),"",NETWORKDAYS(AC2890,TODAY(),#REF!)))</f>
        <v/>
      </c>
      <c r="AF2890" s="619"/>
    </row>
    <row r="2891" spans="1:32" ht="14.25" customHeight="1">
      <c r="A2891" s="176"/>
      <c r="B2891" s="176"/>
      <c r="C2891" s="177"/>
      <c r="D2891" s="176"/>
      <c r="E2891" s="176"/>
      <c r="F2891" s="259"/>
      <c r="G2891" s="176"/>
      <c r="H2891" s="178"/>
      <c r="I2891" s="592">
        <f t="shared" si="106"/>
        <v>0</v>
      </c>
      <c r="J2891" s="178"/>
      <c r="K2891" s="178"/>
      <c r="L2891" s="275" t="str">
        <f>IF(H:H=0,"",IF(ISERROR(VLOOKUP(H:H,produtos_escape2!$A$2:$B$2794,2,FALSE)),"Código não cadastrado",(VLOOKUP(H:H,produtos_escape2!$A$2:$B$2794,2,FALSE))))</f>
        <v/>
      </c>
      <c r="M2891" s="593" t="str">
        <f>IF(H:H=0,"",IF(ISERROR(VLOOKUP(H:H,produtos_escape2!$A$2:$D$2794,2,FALSE)),"Código não cadastrado",(VLOOKUP(H:H,produtos_escape2!$A$2:$D$2794,4,FALSE))))</f>
        <v/>
      </c>
      <c r="N2891" s="486"/>
      <c r="O2891" s="176"/>
      <c r="P2891" s="486"/>
      <c r="Q2891" s="247"/>
      <c r="R2891" s="246">
        <f t="shared" si="105"/>
        <v>0</v>
      </c>
      <c r="S2891" s="177"/>
      <c r="T2891" s="182"/>
      <c r="U2891" s="177"/>
      <c r="V2891" s="177"/>
      <c r="W2891" s="177"/>
      <c r="X2891" s="176"/>
      <c r="Y2891" s="177"/>
      <c r="Z2891" s="415"/>
      <c r="AA2891" s="488"/>
      <c r="AB2891" s="594"/>
      <c r="AC2891" s="595"/>
      <c r="AD2891" s="596" t="str">
        <f>IF(AND(AC2891&lt;&gt;"",S2891&lt;&gt;""),NETWORKDAYS(AC2891,S2891,#REF!),"")</f>
        <v/>
      </c>
      <c r="AE2891" s="596" t="str">
        <f ca="1">IF(AND(AD2891="",AC2891=""),"",IF(OR(AD2891&lt;&gt;"",O2891="*CANCELADO"),"",NETWORKDAYS(AC2891,TODAY(),#REF!)))</f>
        <v/>
      </c>
      <c r="AF2891" s="619"/>
    </row>
    <row r="2892" spans="1:32" ht="14.25" customHeight="1">
      <c r="A2892" s="176"/>
      <c r="B2892" s="176"/>
      <c r="C2892" s="177"/>
      <c r="D2892" s="176"/>
      <c r="E2892" s="176"/>
      <c r="F2892" s="259"/>
      <c r="G2892" s="176"/>
      <c r="H2892" s="178"/>
      <c r="I2892" s="592">
        <f t="shared" si="106"/>
        <v>0</v>
      </c>
      <c r="J2892" s="178"/>
      <c r="K2892" s="178"/>
      <c r="L2892" s="275" t="str">
        <f>IF(H:H=0,"",IF(ISERROR(VLOOKUP(H:H,produtos_escape2!$A$2:$B$2794,2,FALSE)),"Código não cadastrado",(VLOOKUP(H:H,produtos_escape2!$A$2:$B$2794,2,FALSE))))</f>
        <v/>
      </c>
      <c r="M2892" s="593" t="str">
        <f>IF(H:H=0,"",IF(ISERROR(VLOOKUP(H:H,produtos_escape2!$A$2:$D$2794,2,FALSE)),"Código não cadastrado",(VLOOKUP(H:H,produtos_escape2!$A$2:$D$2794,4,FALSE))))</f>
        <v/>
      </c>
      <c r="N2892" s="486"/>
      <c r="O2892" s="176"/>
      <c r="P2892" s="486"/>
      <c r="Q2892" s="247"/>
      <c r="R2892" s="246">
        <f t="shared" si="105"/>
        <v>0</v>
      </c>
      <c r="S2892" s="177"/>
      <c r="T2892" s="182"/>
      <c r="U2892" s="177"/>
      <c r="V2892" s="177"/>
      <c r="W2892" s="177"/>
      <c r="X2892" s="176"/>
      <c r="Y2892" s="177"/>
      <c r="Z2892" s="415"/>
      <c r="AA2892" s="488"/>
      <c r="AB2892" s="594"/>
      <c r="AC2892" s="595"/>
      <c r="AD2892" s="596" t="str">
        <f>IF(AND(AC2892&lt;&gt;"",S2892&lt;&gt;""),NETWORKDAYS(AC2892,S2892,#REF!),"")</f>
        <v/>
      </c>
      <c r="AE2892" s="596" t="str">
        <f ca="1">IF(AND(AD2892="",AC2892=""),"",IF(OR(AD2892&lt;&gt;"",O2892="*CANCELADO"),"",NETWORKDAYS(AC2892,TODAY(),#REF!)))</f>
        <v/>
      </c>
      <c r="AF2892" s="619"/>
    </row>
    <row r="2893" spans="1:32" ht="14.25" customHeight="1">
      <c r="A2893" s="176"/>
      <c r="B2893" s="176"/>
      <c r="C2893" s="177"/>
      <c r="D2893" s="176"/>
      <c r="E2893" s="176"/>
      <c r="F2893" s="259"/>
      <c r="G2893" s="176"/>
      <c r="H2893" s="178"/>
      <c r="I2893" s="592">
        <f t="shared" si="106"/>
        <v>0</v>
      </c>
      <c r="J2893" s="178"/>
      <c r="K2893" s="178"/>
      <c r="L2893" s="275" t="str">
        <f>IF(H:H=0,"",IF(ISERROR(VLOOKUP(H:H,produtos_escape2!$A$2:$B$2794,2,FALSE)),"Código não cadastrado",(VLOOKUP(H:H,produtos_escape2!$A$2:$B$2794,2,FALSE))))</f>
        <v/>
      </c>
      <c r="M2893" s="593" t="str">
        <f>IF(H:H=0,"",IF(ISERROR(VLOOKUP(H:H,produtos_escape2!$A$2:$D$2794,2,FALSE)),"Código não cadastrado",(VLOOKUP(H:H,produtos_escape2!$A$2:$D$2794,4,FALSE))))</f>
        <v/>
      </c>
      <c r="N2893" s="486"/>
      <c r="O2893" s="176"/>
      <c r="P2893" s="486"/>
      <c r="Q2893" s="247"/>
      <c r="R2893" s="246">
        <f t="shared" si="105"/>
        <v>0</v>
      </c>
      <c r="S2893" s="177"/>
      <c r="T2893" s="182"/>
      <c r="U2893" s="177"/>
      <c r="V2893" s="177"/>
      <c r="W2893" s="177"/>
      <c r="X2893" s="176"/>
      <c r="Y2893" s="177"/>
      <c r="Z2893" s="415"/>
      <c r="AA2893" s="488"/>
      <c r="AB2893" s="594"/>
      <c r="AC2893" s="595"/>
      <c r="AD2893" s="596" t="str">
        <f>IF(AND(AC2893&lt;&gt;"",S2893&lt;&gt;""),NETWORKDAYS(AC2893,S2893,#REF!),"")</f>
        <v/>
      </c>
      <c r="AE2893" s="596" t="str">
        <f ca="1">IF(AND(AD2893="",AC2893=""),"",IF(OR(AD2893&lt;&gt;"",O2893="*CANCELADO"),"",NETWORKDAYS(AC2893,TODAY(),#REF!)))</f>
        <v/>
      </c>
      <c r="AF2893" s="619"/>
    </row>
    <row r="2894" spans="1:32" ht="14.25" customHeight="1">
      <c r="A2894" s="176"/>
      <c r="B2894" s="176"/>
      <c r="C2894" s="177"/>
      <c r="D2894" s="176"/>
      <c r="E2894" s="176"/>
      <c r="F2894" s="259"/>
      <c r="G2894" s="176"/>
      <c r="H2894" s="178"/>
      <c r="I2894" s="592">
        <f t="shared" si="106"/>
        <v>0</v>
      </c>
      <c r="J2894" s="178"/>
      <c r="K2894" s="178"/>
      <c r="L2894" s="275" t="str">
        <f>IF(H:H=0,"",IF(ISERROR(VLOOKUP(H:H,produtos_escape2!$A$2:$B$2794,2,FALSE)),"Código não cadastrado",(VLOOKUP(H:H,produtos_escape2!$A$2:$B$2794,2,FALSE))))</f>
        <v/>
      </c>
      <c r="M2894" s="593" t="str">
        <f>IF(H:H=0,"",IF(ISERROR(VLOOKUP(H:H,produtos_escape2!$A$2:$D$2794,2,FALSE)),"Código não cadastrado",(VLOOKUP(H:H,produtos_escape2!$A$2:$D$2794,4,FALSE))))</f>
        <v/>
      </c>
      <c r="N2894" s="486"/>
      <c r="O2894" s="176"/>
      <c r="P2894" s="486"/>
      <c r="Q2894" s="247"/>
      <c r="R2894" s="246">
        <f t="shared" si="105"/>
        <v>0</v>
      </c>
      <c r="S2894" s="177"/>
      <c r="T2894" s="182"/>
      <c r="U2894" s="177"/>
      <c r="V2894" s="177"/>
      <c r="W2894" s="177"/>
      <c r="X2894" s="176"/>
      <c r="Y2894" s="177"/>
      <c r="Z2894" s="415"/>
      <c r="AA2894" s="488"/>
      <c r="AB2894" s="594"/>
      <c r="AC2894" s="595"/>
      <c r="AD2894" s="596" t="str">
        <f>IF(AND(AC2894&lt;&gt;"",S2894&lt;&gt;""),NETWORKDAYS(AC2894,S2894,#REF!),"")</f>
        <v/>
      </c>
      <c r="AE2894" s="596" t="str">
        <f ca="1">IF(AND(AD2894="",AC2894=""),"",IF(OR(AD2894&lt;&gt;"",O2894="*CANCELADO"),"",NETWORKDAYS(AC2894,TODAY(),#REF!)))</f>
        <v/>
      </c>
      <c r="AF2894" s="619"/>
    </row>
    <row r="2895" spans="1:32" ht="14.25" customHeight="1">
      <c r="A2895" s="176"/>
      <c r="B2895" s="176"/>
      <c r="C2895" s="177"/>
      <c r="D2895" s="176"/>
      <c r="E2895" s="176"/>
      <c r="F2895" s="259"/>
      <c r="G2895" s="176"/>
      <c r="H2895" s="178"/>
      <c r="I2895" s="592">
        <f t="shared" si="106"/>
        <v>0</v>
      </c>
      <c r="J2895" s="178"/>
      <c r="K2895" s="178"/>
      <c r="L2895" s="275" t="str">
        <f>IF(H:H=0,"",IF(ISERROR(VLOOKUP(H:H,produtos_escape2!$A$2:$B$2794,2,FALSE)),"Código não cadastrado",(VLOOKUP(H:H,produtos_escape2!$A$2:$B$2794,2,FALSE))))</f>
        <v/>
      </c>
      <c r="M2895" s="593" t="str">
        <f>IF(H:H=0,"",IF(ISERROR(VLOOKUP(H:H,produtos_escape2!$A$2:$D$2794,2,FALSE)),"Código não cadastrado",(VLOOKUP(H:H,produtos_escape2!$A$2:$D$2794,4,FALSE))))</f>
        <v/>
      </c>
      <c r="N2895" s="486"/>
      <c r="O2895" s="176"/>
      <c r="P2895" s="486"/>
      <c r="Q2895" s="247"/>
      <c r="R2895" s="246">
        <f t="shared" si="105"/>
        <v>0</v>
      </c>
      <c r="S2895" s="177"/>
      <c r="T2895" s="182"/>
      <c r="U2895" s="177"/>
      <c r="V2895" s="177"/>
      <c r="W2895" s="177"/>
      <c r="X2895" s="176"/>
      <c r="Y2895" s="177"/>
      <c r="Z2895" s="415"/>
      <c r="AA2895" s="488"/>
      <c r="AB2895" s="594"/>
      <c r="AC2895" s="595"/>
      <c r="AD2895" s="596" t="str">
        <f>IF(AND(AC2895&lt;&gt;"",S2895&lt;&gt;""),NETWORKDAYS(AC2895,S2895,#REF!),"")</f>
        <v/>
      </c>
      <c r="AE2895" s="596" t="str">
        <f ca="1">IF(AND(AD2895="",AC2895=""),"",IF(OR(AD2895&lt;&gt;"",O2895="*CANCELADO"),"",NETWORKDAYS(AC2895,TODAY(),#REF!)))</f>
        <v/>
      </c>
      <c r="AF2895" s="619"/>
    </row>
    <row r="2896" spans="1:32" ht="14.25" customHeight="1">
      <c r="A2896" s="176"/>
      <c r="B2896" s="176"/>
      <c r="C2896" s="177"/>
      <c r="D2896" s="176"/>
      <c r="E2896" s="176"/>
      <c r="F2896" s="259"/>
      <c r="G2896" s="176"/>
      <c r="H2896" s="178"/>
      <c r="I2896" s="592">
        <f t="shared" si="106"/>
        <v>0</v>
      </c>
      <c r="J2896" s="178"/>
      <c r="K2896" s="178"/>
      <c r="L2896" s="275" t="str">
        <f>IF(H:H=0,"",IF(ISERROR(VLOOKUP(H:H,produtos_escape2!$A$2:$B$2794,2,FALSE)),"Código não cadastrado",(VLOOKUP(H:H,produtos_escape2!$A$2:$B$2794,2,FALSE))))</f>
        <v/>
      </c>
      <c r="M2896" s="593" t="str">
        <f>IF(H:H=0,"",IF(ISERROR(VLOOKUP(H:H,produtos_escape2!$A$2:$D$2794,2,FALSE)),"Código não cadastrado",(VLOOKUP(H:H,produtos_escape2!$A$2:$D$2794,4,FALSE))))</f>
        <v/>
      </c>
      <c r="N2896" s="486"/>
      <c r="O2896" s="176"/>
      <c r="P2896" s="486"/>
      <c r="Q2896" s="247"/>
      <c r="R2896" s="246">
        <f t="shared" si="105"/>
        <v>0</v>
      </c>
      <c r="S2896" s="177"/>
      <c r="T2896" s="182"/>
      <c r="U2896" s="177"/>
      <c r="V2896" s="177"/>
      <c r="W2896" s="177"/>
      <c r="X2896" s="176"/>
      <c r="Y2896" s="177"/>
      <c r="Z2896" s="415"/>
      <c r="AA2896" s="488"/>
      <c r="AB2896" s="594"/>
      <c r="AC2896" s="595"/>
      <c r="AD2896" s="596" t="str">
        <f>IF(AND(AC2896&lt;&gt;"",S2896&lt;&gt;""),NETWORKDAYS(AC2896,S2896,#REF!),"")</f>
        <v/>
      </c>
      <c r="AE2896" s="596" t="str">
        <f ca="1">IF(AND(AD2896="",AC2896=""),"",IF(OR(AD2896&lt;&gt;"",O2896="*CANCELADO"),"",NETWORKDAYS(AC2896,TODAY(),#REF!)))</f>
        <v/>
      </c>
      <c r="AF2896" s="619"/>
    </row>
    <row r="2897" spans="1:32" ht="14.25" customHeight="1">
      <c r="A2897" s="176"/>
      <c r="B2897" s="176"/>
      <c r="C2897" s="177"/>
      <c r="D2897" s="176"/>
      <c r="E2897" s="176"/>
      <c r="F2897" s="259"/>
      <c r="G2897" s="176"/>
      <c r="H2897" s="178"/>
      <c r="I2897" s="592">
        <f t="shared" si="106"/>
        <v>0</v>
      </c>
      <c r="J2897" s="178"/>
      <c r="K2897" s="178"/>
      <c r="L2897" s="275" t="str">
        <f>IF(H:H=0,"",IF(ISERROR(VLOOKUP(H:H,produtos_escape2!$A$2:$B$2794,2,FALSE)),"Código não cadastrado",(VLOOKUP(H:H,produtos_escape2!$A$2:$B$2794,2,FALSE))))</f>
        <v/>
      </c>
      <c r="M2897" s="593" t="str">
        <f>IF(H:H=0,"",IF(ISERROR(VLOOKUP(H:H,produtos_escape2!$A$2:$D$2794,2,FALSE)),"Código não cadastrado",(VLOOKUP(H:H,produtos_escape2!$A$2:$D$2794,4,FALSE))))</f>
        <v/>
      </c>
      <c r="N2897" s="486"/>
      <c r="O2897" s="176"/>
      <c r="P2897" s="486"/>
      <c r="Q2897" s="247"/>
      <c r="R2897" s="246">
        <f t="shared" si="105"/>
        <v>0</v>
      </c>
      <c r="S2897" s="177"/>
      <c r="T2897" s="182"/>
      <c r="U2897" s="177"/>
      <c r="V2897" s="177"/>
      <c r="W2897" s="177"/>
      <c r="X2897" s="176"/>
      <c r="Y2897" s="177"/>
      <c r="Z2897" s="415"/>
      <c r="AA2897" s="488"/>
      <c r="AB2897" s="594"/>
      <c r="AC2897" s="595"/>
      <c r="AD2897" s="596" t="str">
        <f>IF(AND(AC2897&lt;&gt;"",S2897&lt;&gt;""),NETWORKDAYS(AC2897,S2897,#REF!),"")</f>
        <v/>
      </c>
      <c r="AE2897" s="596" t="str">
        <f ca="1">IF(AND(AD2897="",AC2897=""),"",IF(OR(AD2897&lt;&gt;"",O2897="*CANCELADO"),"",NETWORKDAYS(AC2897,TODAY(),#REF!)))</f>
        <v/>
      </c>
      <c r="AF2897" s="619"/>
    </row>
    <row r="2898" spans="1:32" ht="14.25" customHeight="1">
      <c r="A2898" s="176"/>
      <c r="B2898" s="176"/>
      <c r="C2898" s="177"/>
      <c r="D2898" s="176"/>
      <c r="E2898" s="176"/>
      <c r="F2898" s="259"/>
      <c r="G2898" s="176"/>
      <c r="H2898" s="178"/>
      <c r="I2898" s="592">
        <f t="shared" si="106"/>
        <v>0</v>
      </c>
      <c r="J2898" s="178"/>
      <c r="K2898" s="178"/>
      <c r="L2898" s="275" t="str">
        <f>IF(H:H=0,"",IF(ISERROR(VLOOKUP(H:H,produtos_escape2!$A$2:$B$2794,2,FALSE)),"Código não cadastrado",(VLOOKUP(H:H,produtos_escape2!$A$2:$B$2794,2,FALSE))))</f>
        <v/>
      </c>
      <c r="M2898" s="593" t="str">
        <f>IF(H:H=0,"",IF(ISERROR(VLOOKUP(H:H,produtos_escape2!$A$2:$D$2794,2,FALSE)),"Código não cadastrado",(VLOOKUP(H:H,produtos_escape2!$A$2:$D$2794,4,FALSE))))</f>
        <v/>
      </c>
      <c r="N2898" s="486"/>
      <c r="O2898" s="176"/>
      <c r="P2898" s="486"/>
      <c r="Q2898" s="247"/>
      <c r="R2898" s="246">
        <f t="shared" si="105"/>
        <v>0</v>
      </c>
      <c r="S2898" s="177"/>
      <c r="T2898" s="182"/>
      <c r="U2898" s="177"/>
      <c r="V2898" s="177"/>
      <c r="W2898" s="177"/>
      <c r="X2898" s="176"/>
      <c r="Y2898" s="177"/>
      <c r="Z2898" s="415"/>
      <c r="AA2898" s="488"/>
      <c r="AB2898" s="594"/>
      <c r="AC2898" s="595"/>
      <c r="AD2898" s="596" t="str">
        <f>IF(AND(AC2898&lt;&gt;"",S2898&lt;&gt;""),NETWORKDAYS(AC2898,S2898,#REF!),"")</f>
        <v/>
      </c>
      <c r="AE2898" s="596" t="str">
        <f ca="1">IF(AND(AD2898="",AC2898=""),"",IF(OR(AD2898&lt;&gt;"",O2898="*CANCELADO"),"",NETWORKDAYS(AC2898,TODAY(),#REF!)))</f>
        <v/>
      </c>
      <c r="AF2898" s="619"/>
    </row>
    <row r="2899" spans="1:32" ht="14.25" customHeight="1">
      <c r="A2899" s="176"/>
      <c r="B2899" s="176"/>
      <c r="C2899" s="177"/>
      <c r="D2899" s="176"/>
      <c r="E2899" s="176"/>
      <c r="F2899" s="259"/>
      <c r="G2899" s="176"/>
      <c r="H2899" s="178"/>
      <c r="I2899" s="592">
        <f t="shared" si="106"/>
        <v>0</v>
      </c>
      <c r="J2899" s="178"/>
      <c r="K2899" s="178"/>
      <c r="L2899" s="275" t="str">
        <f>IF(H:H=0,"",IF(ISERROR(VLOOKUP(H:H,produtos_escape2!$A$2:$B$2794,2,FALSE)),"Código não cadastrado",(VLOOKUP(H:H,produtos_escape2!$A$2:$B$2794,2,FALSE))))</f>
        <v/>
      </c>
      <c r="M2899" s="593" t="str">
        <f>IF(H:H=0,"",IF(ISERROR(VLOOKUP(H:H,produtos_escape2!$A$2:$D$2794,2,FALSE)),"Código não cadastrado",(VLOOKUP(H:H,produtos_escape2!$A$2:$D$2794,4,FALSE))))</f>
        <v/>
      </c>
      <c r="N2899" s="486"/>
      <c r="O2899" s="176"/>
      <c r="P2899" s="486"/>
      <c r="Q2899" s="247"/>
      <c r="R2899" s="246">
        <f t="shared" si="105"/>
        <v>0</v>
      </c>
      <c r="S2899" s="177"/>
      <c r="T2899" s="182"/>
      <c r="U2899" s="177"/>
      <c r="V2899" s="177"/>
      <c r="W2899" s="177"/>
      <c r="X2899" s="176"/>
      <c r="Y2899" s="177"/>
      <c r="Z2899" s="415"/>
      <c r="AA2899" s="488"/>
      <c r="AB2899" s="594"/>
      <c r="AC2899" s="595"/>
      <c r="AD2899" s="596" t="str">
        <f>IF(AND(AC2899&lt;&gt;"",S2899&lt;&gt;""),NETWORKDAYS(AC2899,S2899,#REF!),"")</f>
        <v/>
      </c>
      <c r="AE2899" s="596" t="str">
        <f ca="1">IF(AND(AD2899="",AC2899=""),"",IF(OR(AD2899&lt;&gt;"",O2899="*CANCELADO"),"",NETWORKDAYS(AC2899,TODAY(),#REF!)))</f>
        <v/>
      </c>
      <c r="AF2899" s="619"/>
    </row>
    <row r="2900" spans="1:32" ht="14.25" customHeight="1">
      <c r="A2900" s="176"/>
      <c r="B2900" s="176"/>
      <c r="C2900" s="177"/>
      <c r="D2900" s="176"/>
      <c r="E2900" s="176"/>
      <c r="F2900" s="259"/>
      <c r="G2900" s="176"/>
      <c r="H2900" s="178"/>
      <c r="I2900" s="592">
        <f t="shared" si="106"/>
        <v>0</v>
      </c>
      <c r="J2900" s="178"/>
      <c r="K2900" s="178"/>
      <c r="L2900" s="275" t="str">
        <f>IF(H:H=0,"",IF(ISERROR(VLOOKUP(H:H,produtos_escape2!$A$2:$B$2794,2,FALSE)),"Código não cadastrado",(VLOOKUP(H:H,produtos_escape2!$A$2:$B$2794,2,FALSE))))</f>
        <v/>
      </c>
      <c r="M2900" s="593" t="str">
        <f>IF(H:H=0,"",IF(ISERROR(VLOOKUP(H:H,produtos_escape2!$A$2:$D$2794,2,FALSE)),"Código não cadastrado",(VLOOKUP(H:H,produtos_escape2!$A$2:$D$2794,4,FALSE))))</f>
        <v/>
      </c>
      <c r="N2900" s="486"/>
      <c r="O2900" s="176"/>
      <c r="P2900" s="486"/>
      <c r="Q2900" s="247"/>
      <c r="R2900" s="246">
        <f t="shared" si="105"/>
        <v>0</v>
      </c>
      <c r="S2900" s="177"/>
      <c r="T2900" s="182"/>
      <c r="U2900" s="177"/>
      <c r="V2900" s="177"/>
      <c r="W2900" s="177"/>
      <c r="X2900" s="176"/>
      <c r="Y2900" s="177"/>
      <c r="Z2900" s="415"/>
      <c r="AA2900" s="488"/>
      <c r="AB2900" s="594"/>
      <c r="AC2900" s="595"/>
      <c r="AD2900" s="596" t="str">
        <f>IF(AND(AC2900&lt;&gt;"",S2900&lt;&gt;""),NETWORKDAYS(AC2900,S2900,#REF!),"")</f>
        <v/>
      </c>
      <c r="AE2900" s="596" t="str">
        <f ca="1">IF(AND(AD2900="",AC2900=""),"",IF(OR(AD2900&lt;&gt;"",O2900="*CANCELADO"),"",NETWORKDAYS(AC2900,TODAY(),#REF!)))</f>
        <v/>
      </c>
      <c r="AF2900" s="619"/>
    </row>
    <row r="2901" spans="1:32" ht="14.25" customHeight="1">
      <c r="A2901" s="176"/>
      <c r="B2901" s="176"/>
      <c r="C2901" s="177"/>
      <c r="D2901" s="176"/>
      <c r="E2901" s="176"/>
      <c r="F2901" s="259"/>
      <c r="G2901" s="176"/>
      <c r="H2901" s="178"/>
      <c r="I2901" s="592">
        <f t="shared" si="106"/>
        <v>0</v>
      </c>
      <c r="J2901" s="178"/>
      <c r="K2901" s="178"/>
      <c r="L2901" s="275" t="str">
        <f>IF(H:H=0,"",IF(ISERROR(VLOOKUP(H:H,produtos_escape2!$A$2:$B$2794,2,FALSE)),"Código não cadastrado",(VLOOKUP(H:H,produtos_escape2!$A$2:$B$2794,2,FALSE))))</f>
        <v/>
      </c>
      <c r="M2901" s="593" t="str">
        <f>IF(H:H=0,"",IF(ISERROR(VLOOKUP(H:H,produtos_escape2!$A$2:$D$2794,2,FALSE)),"Código não cadastrado",(VLOOKUP(H:H,produtos_escape2!$A$2:$D$2794,4,FALSE))))</f>
        <v/>
      </c>
      <c r="N2901" s="486"/>
      <c r="O2901" s="176"/>
      <c r="P2901" s="486"/>
      <c r="Q2901" s="247"/>
      <c r="R2901" s="246">
        <f t="shared" si="105"/>
        <v>0</v>
      </c>
      <c r="S2901" s="177"/>
      <c r="T2901" s="182"/>
      <c r="U2901" s="177"/>
      <c r="V2901" s="177"/>
      <c r="W2901" s="177"/>
      <c r="X2901" s="176"/>
      <c r="Y2901" s="177"/>
      <c r="Z2901" s="415"/>
      <c r="AA2901" s="488"/>
      <c r="AB2901" s="594"/>
      <c r="AC2901" s="595"/>
      <c r="AD2901" s="596" t="str">
        <f>IF(AND(AC2901&lt;&gt;"",S2901&lt;&gt;""),NETWORKDAYS(AC2901,S2901,#REF!),"")</f>
        <v/>
      </c>
      <c r="AE2901" s="596" t="str">
        <f ca="1">IF(AND(AD2901="",AC2901=""),"",IF(OR(AD2901&lt;&gt;"",O2901="*CANCELADO"),"",NETWORKDAYS(AC2901,TODAY(),#REF!)))</f>
        <v/>
      </c>
      <c r="AF2901" s="619"/>
    </row>
    <row r="2902" spans="1:32" ht="14.25" customHeight="1">
      <c r="A2902" s="176"/>
      <c r="B2902" s="176"/>
      <c r="C2902" s="177"/>
      <c r="D2902" s="176"/>
      <c r="E2902" s="176"/>
      <c r="F2902" s="259"/>
      <c r="G2902" s="176"/>
      <c r="H2902" s="178"/>
      <c r="I2902" s="592">
        <f t="shared" si="106"/>
        <v>0</v>
      </c>
      <c r="J2902" s="178"/>
      <c r="K2902" s="178"/>
      <c r="L2902" s="275" t="str">
        <f>IF(H:H=0,"",IF(ISERROR(VLOOKUP(H:H,produtos_escape2!$A$2:$B$2794,2,FALSE)),"Código não cadastrado",(VLOOKUP(H:H,produtos_escape2!$A$2:$B$2794,2,FALSE))))</f>
        <v/>
      </c>
      <c r="M2902" s="593" t="str">
        <f>IF(H:H=0,"",IF(ISERROR(VLOOKUP(H:H,produtos_escape2!$A$2:$D$2794,2,FALSE)),"Código não cadastrado",(VLOOKUP(H:H,produtos_escape2!$A$2:$D$2794,4,FALSE))))</f>
        <v/>
      </c>
      <c r="N2902" s="486"/>
      <c r="O2902" s="176"/>
      <c r="P2902" s="486"/>
      <c r="Q2902" s="247"/>
      <c r="R2902" s="246">
        <f t="shared" si="105"/>
        <v>0</v>
      </c>
      <c r="S2902" s="177"/>
      <c r="T2902" s="182"/>
      <c r="U2902" s="177"/>
      <c r="V2902" s="177"/>
      <c r="W2902" s="177"/>
      <c r="X2902" s="176"/>
      <c r="Y2902" s="177"/>
      <c r="Z2902" s="415"/>
      <c r="AA2902" s="488"/>
      <c r="AB2902" s="594"/>
      <c r="AC2902" s="595"/>
      <c r="AD2902" s="596" t="str">
        <f>IF(AND(AC2902&lt;&gt;"",S2902&lt;&gt;""),NETWORKDAYS(AC2902,S2902,#REF!),"")</f>
        <v/>
      </c>
      <c r="AE2902" s="596" t="str">
        <f ca="1">IF(AND(AD2902="",AC2902=""),"",IF(OR(AD2902&lt;&gt;"",O2902="*CANCELADO"),"",NETWORKDAYS(AC2902,TODAY(),#REF!)))</f>
        <v/>
      </c>
      <c r="AF2902" s="619"/>
    </row>
    <row r="2903" spans="1:32" ht="14.25" customHeight="1">
      <c r="A2903" s="176"/>
      <c r="B2903" s="176"/>
      <c r="C2903" s="177"/>
      <c r="D2903" s="176"/>
      <c r="E2903" s="176"/>
      <c r="F2903" s="259"/>
      <c r="G2903" s="176"/>
      <c r="H2903" s="178"/>
      <c r="I2903" s="592">
        <f t="shared" si="106"/>
        <v>0</v>
      </c>
      <c r="J2903" s="178"/>
      <c r="K2903" s="178"/>
      <c r="L2903" s="275" t="str">
        <f>IF(H:H=0,"",IF(ISERROR(VLOOKUP(H:H,produtos_escape2!$A$2:$B$2794,2,FALSE)),"Código não cadastrado",(VLOOKUP(H:H,produtos_escape2!$A$2:$B$2794,2,FALSE))))</f>
        <v/>
      </c>
      <c r="M2903" s="593" t="str">
        <f>IF(H:H=0,"",IF(ISERROR(VLOOKUP(H:H,produtos_escape2!$A$2:$D$2794,2,FALSE)),"Código não cadastrado",(VLOOKUP(H:H,produtos_escape2!$A$2:$D$2794,4,FALSE))))</f>
        <v/>
      </c>
      <c r="N2903" s="486"/>
      <c r="O2903" s="176"/>
      <c r="P2903" s="486"/>
      <c r="Q2903" s="247"/>
      <c r="R2903" s="246">
        <f t="shared" si="105"/>
        <v>0</v>
      </c>
      <c r="S2903" s="177"/>
      <c r="T2903" s="182"/>
      <c r="U2903" s="177"/>
      <c r="V2903" s="177"/>
      <c r="W2903" s="177"/>
      <c r="X2903" s="176"/>
      <c r="Y2903" s="177"/>
      <c r="Z2903" s="415"/>
      <c r="AA2903" s="488"/>
      <c r="AB2903" s="594"/>
      <c r="AC2903" s="595"/>
      <c r="AD2903" s="596" t="str">
        <f>IF(AND(AC2903&lt;&gt;"",S2903&lt;&gt;""),NETWORKDAYS(AC2903,S2903,#REF!),"")</f>
        <v/>
      </c>
      <c r="AE2903" s="596" t="str">
        <f ca="1">IF(AND(AD2903="",AC2903=""),"",IF(OR(AD2903&lt;&gt;"",O2903="*CANCELADO"),"",NETWORKDAYS(AC2903,TODAY(),#REF!)))</f>
        <v/>
      </c>
      <c r="AF2903" s="619"/>
    </row>
    <row r="2904" spans="1:32" ht="14.25" customHeight="1">
      <c r="A2904" s="176"/>
      <c r="B2904" s="176"/>
      <c r="C2904" s="177"/>
      <c r="D2904" s="176"/>
      <c r="E2904" s="176"/>
      <c r="F2904" s="259"/>
      <c r="G2904" s="176"/>
      <c r="H2904" s="178"/>
      <c r="I2904" s="592">
        <f t="shared" si="106"/>
        <v>0</v>
      </c>
      <c r="J2904" s="178"/>
      <c r="K2904" s="178"/>
      <c r="L2904" s="275" t="str">
        <f>IF(H:H=0,"",IF(ISERROR(VLOOKUP(H:H,produtos_escape2!$A$2:$B$2794,2,FALSE)),"Código não cadastrado",(VLOOKUP(H:H,produtos_escape2!$A$2:$B$2794,2,FALSE))))</f>
        <v/>
      </c>
      <c r="M2904" s="593" t="str">
        <f>IF(H:H=0,"",IF(ISERROR(VLOOKUP(H:H,produtos_escape2!$A$2:$D$2794,2,FALSE)),"Código não cadastrado",(VLOOKUP(H:H,produtos_escape2!$A$2:$D$2794,4,FALSE))))</f>
        <v/>
      </c>
      <c r="N2904" s="486"/>
      <c r="O2904" s="176"/>
      <c r="P2904" s="486"/>
      <c r="Q2904" s="247"/>
      <c r="R2904" s="246">
        <f t="shared" si="105"/>
        <v>0</v>
      </c>
      <c r="S2904" s="177"/>
      <c r="T2904" s="182"/>
      <c r="U2904" s="177"/>
      <c r="V2904" s="177"/>
      <c r="W2904" s="177"/>
      <c r="X2904" s="176"/>
      <c r="Y2904" s="177"/>
      <c r="Z2904" s="415"/>
      <c r="AA2904" s="488"/>
      <c r="AB2904" s="594"/>
      <c r="AC2904" s="595"/>
      <c r="AD2904" s="596" t="str">
        <f>IF(AND(AC2904&lt;&gt;"",S2904&lt;&gt;""),NETWORKDAYS(AC2904,S2904,#REF!),"")</f>
        <v/>
      </c>
      <c r="AE2904" s="596" t="str">
        <f ca="1">IF(AND(AD2904="",AC2904=""),"",IF(OR(AD2904&lt;&gt;"",O2904="*CANCELADO"),"",NETWORKDAYS(AC2904,TODAY(),#REF!)))</f>
        <v/>
      </c>
      <c r="AF2904" s="619"/>
    </row>
    <row r="2905" spans="1:32" ht="14.25" customHeight="1">
      <c r="A2905" s="176"/>
      <c r="B2905" s="176"/>
      <c r="C2905" s="177"/>
      <c r="D2905" s="176"/>
      <c r="E2905" s="176"/>
      <c r="F2905" s="259"/>
      <c r="G2905" s="176"/>
      <c r="H2905" s="178"/>
      <c r="I2905" s="592">
        <f t="shared" si="106"/>
        <v>0</v>
      </c>
      <c r="J2905" s="178"/>
      <c r="K2905" s="178"/>
      <c r="L2905" s="275" t="str">
        <f>IF(H:H=0,"",IF(ISERROR(VLOOKUP(H:H,produtos_escape2!$A$2:$B$2794,2,FALSE)),"Código não cadastrado",(VLOOKUP(H:H,produtos_escape2!$A$2:$B$2794,2,FALSE))))</f>
        <v/>
      </c>
      <c r="M2905" s="593" t="str">
        <f>IF(H:H=0,"",IF(ISERROR(VLOOKUP(H:H,produtos_escape2!$A$2:$D$2794,2,FALSE)),"Código não cadastrado",(VLOOKUP(H:H,produtos_escape2!$A$2:$D$2794,4,FALSE))))</f>
        <v/>
      </c>
      <c r="N2905" s="486"/>
      <c r="O2905" s="176"/>
      <c r="P2905" s="486"/>
      <c r="Q2905" s="247"/>
      <c r="R2905" s="246">
        <f t="shared" si="105"/>
        <v>0</v>
      </c>
      <c r="S2905" s="177"/>
      <c r="T2905" s="182"/>
      <c r="U2905" s="177"/>
      <c r="V2905" s="177"/>
      <c r="W2905" s="177"/>
      <c r="X2905" s="176"/>
      <c r="Y2905" s="177"/>
      <c r="Z2905" s="415"/>
      <c r="AA2905" s="488"/>
      <c r="AB2905" s="594"/>
      <c r="AC2905" s="595"/>
      <c r="AD2905" s="596" t="str">
        <f>IF(AND(AC2905&lt;&gt;"",S2905&lt;&gt;""),NETWORKDAYS(AC2905,S2905,#REF!),"")</f>
        <v/>
      </c>
      <c r="AE2905" s="596" t="str">
        <f ca="1">IF(AND(AD2905="",AC2905=""),"",IF(OR(AD2905&lt;&gt;"",O2905="*CANCELADO"),"",NETWORKDAYS(AC2905,TODAY(),#REF!)))</f>
        <v/>
      </c>
      <c r="AF2905" s="619"/>
    </row>
    <row r="2906" spans="1:32" ht="14.25" customHeight="1">
      <c r="A2906" s="176"/>
      <c r="B2906" s="176"/>
      <c r="C2906" s="177"/>
      <c r="D2906" s="176"/>
      <c r="E2906" s="176"/>
      <c r="F2906" s="259"/>
      <c r="G2906" s="176"/>
      <c r="H2906" s="178"/>
      <c r="I2906" s="592">
        <f t="shared" si="106"/>
        <v>0</v>
      </c>
      <c r="J2906" s="178"/>
      <c r="K2906" s="178"/>
      <c r="L2906" s="275" t="str">
        <f>IF(H:H=0,"",IF(ISERROR(VLOOKUP(H:H,produtos_escape2!$A$2:$B$2794,2,FALSE)),"Código não cadastrado",(VLOOKUP(H:H,produtos_escape2!$A$2:$B$2794,2,FALSE))))</f>
        <v/>
      </c>
      <c r="M2906" s="593" t="str">
        <f>IF(H:H=0,"",IF(ISERROR(VLOOKUP(H:H,produtos_escape2!$A$2:$D$2794,2,FALSE)),"Código não cadastrado",(VLOOKUP(H:H,produtos_escape2!$A$2:$D$2794,4,FALSE))))</f>
        <v/>
      </c>
      <c r="N2906" s="486"/>
      <c r="O2906" s="176"/>
      <c r="P2906" s="486"/>
      <c r="Q2906" s="247"/>
      <c r="R2906" s="246">
        <f t="shared" si="105"/>
        <v>0</v>
      </c>
      <c r="S2906" s="177"/>
      <c r="T2906" s="182"/>
      <c r="U2906" s="177"/>
      <c r="V2906" s="177"/>
      <c r="W2906" s="177"/>
      <c r="X2906" s="176"/>
      <c r="Y2906" s="177"/>
      <c r="Z2906" s="415"/>
      <c r="AA2906" s="488"/>
      <c r="AB2906" s="594"/>
      <c r="AC2906" s="595"/>
      <c r="AD2906" s="596" t="str">
        <f>IF(AND(AC2906&lt;&gt;"",S2906&lt;&gt;""),NETWORKDAYS(AC2906,S2906,#REF!),"")</f>
        <v/>
      </c>
      <c r="AE2906" s="596" t="str">
        <f ca="1">IF(AND(AD2906="",AC2906=""),"",IF(OR(AD2906&lt;&gt;"",O2906="*CANCELADO"),"",NETWORKDAYS(AC2906,TODAY(),#REF!)))</f>
        <v/>
      </c>
      <c r="AF2906" s="619"/>
    </row>
    <row r="2907" spans="1:32" ht="14.25" customHeight="1">
      <c r="A2907" s="176"/>
      <c r="B2907" s="176"/>
      <c r="C2907" s="177"/>
      <c r="D2907" s="176"/>
      <c r="E2907" s="176"/>
      <c r="F2907" s="259"/>
      <c r="G2907" s="176"/>
      <c r="H2907" s="178"/>
      <c r="I2907" s="592">
        <f t="shared" si="106"/>
        <v>0</v>
      </c>
      <c r="J2907" s="178"/>
      <c r="K2907" s="178"/>
      <c r="L2907" s="275" t="str">
        <f>IF(H:H=0,"",IF(ISERROR(VLOOKUP(H:H,produtos_escape2!$A$2:$B$2794,2,FALSE)),"Código não cadastrado",(VLOOKUP(H:H,produtos_escape2!$A$2:$B$2794,2,FALSE))))</f>
        <v/>
      </c>
      <c r="M2907" s="593" t="str">
        <f>IF(H:H=0,"",IF(ISERROR(VLOOKUP(H:H,produtos_escape2!$A$2:$D$2794,2,FALSE)),"Código não cadastrado",(VLOOKUP(H:H,produtos_escape2!$A$2:$D$2794,4,FALSE))))</f>
        <v/>
      </c>
      <c r="N2907" s="486"/>
      <c r="O2907" s="176"/>
      <c r="P2907" s="486"/>
      <c r="Q2907" s="247"/>
      <c r="R2907" s="246">
        <f t="shared" si="105"/>
        <v>0</v>
      </c>
      <c r="S2907" s="177"/>
      <c r="T2907" s="182"/>
      <c r="U2907" s="177"/>
      <c r="V2907" s="177"/>
      <c r="W2907" s="177"/>
      <c r="X2907" s="176"/>
      <c r="Y2907" s="177"/>
      <c r="Z2907" s="415"/>
      <c r="AA2907" s="488"/>
      <c r="AB2907" s="594"/>
      <c r="AC2907" s="595"/>
      <c r="AD2907" s="596" t="str">
        <f>IF(AND(AC2907&lt;&gt;"",S2907&lt;&gt;""),NETWORKDAYS(AC2907,S2907,#REF!),"")</f>
        <v/>
      </c>
      <c r="AE2907" s="596" t="str">
        <f ca="1">IF(AND(AD2907="",AC2907=""),"",IF(OR(AD2907&lt;&gt;"",O2907="*CANCELADO"),"",NETWORKDAYS(AC2907,TODAY(),#REF!)))</f>
        <v/>
      </c>
      <c r="AF2907" s="619"/>
    </row>
    <row r="2908" spans="1:32" ht="14.25" customHeight="1">
      <c r="A2908" s="176"/>
      <c r="B2908" s="176"/>
      <c r="C2908" s="177"/>
      <c r="D2908" s="176"/>
      <c r="E2908" s="176"/>
      <c r="F2908" s="259"/>
      <c r="G2908" s="176"/>
      <c r="H2908" s="178"/>
      <c r="I2908" s="592">
        <f t="shared" si="106"/>
        <v>0</v>
      </c>
      <c r="J2908" s="178"/>
      <c r="K2908" s="178"/>
      <c r="L2908" s="275" t="str">
        <f>IF(H:H=0,"",IF(ISERROR(VLOOKUP(H:H,produtos_escape2!$A$2:$B$2794,2,FALSE)),"Código não cadastrado",(VLOOKUP(H:H,produtos_escape2!$A$2:$B$2794,2,FALSE))))</f>
        <v/>
      </c>
      <c r="M2908" s="593" t="str">
        <f>IF(H:H=0,"",IF(ISERROR(VLOOKUP(H:H,produtos_escape2!$A$2:$D$2794,2,FALSE)),"Código não cadastrado",(VLOOKUP(H:H,produtos_escape2!$A$2:$D$2794,4,FALSE))))</f>
        <v/>
      </c>
      <c r="N2908" s="486"/>
      <c r="O2908" s="176"/>
      <c r="P2908" s="486"/>
      <c r="Q2908" s="247"/>
      <c r="R2908" s="246">
        <f t="shared" si="105"/>
        <v>0</v>
      </c>
      <c r="S2908" s="177"/>
      <c r="T2908" s="182"/>
      <c r="U2908" s="177"/>
      <c r="V2908" s="177"/>
      <c r="W2908" s="177"/>
      <c r="X2908" s="176"/>
      <c r="Y2908" s="177"/>
      <c r="Z2908" s="415"/>
      <c r="AA2908" s="488"/>
      <c r="AB2908" s="594"/>
      <c r="AC2908" s="595"/>
      <c r="AD2908" s="596" t="str">
        <f>IF(AND(AC2908&lt;&gt;"",S2908&lt;&gt;""),NETWORKDAYS(AC2908,S2908,#REF!),"")</f>
        <v/>
      </c>
      <c r="AE2908" s="596" t="str">
        <f ca="1">IF(AND(AD2908="",AC2908=""),"",IF(OR(AD2908&lt;&gt;"",O2908="*CANCELADO"),"",NETWORKDAYS(AC2908,TODAY(),#REF!)))</f>
        <v/>
      </c>
      <c r="AF2908" s="619"/>
    </row>
    <row r="2909" spans="1:32" ht="14.25" customHeight="1">
      <c r="A2909" s="176"/>
      <c r="B2909" s="176"/>
      <c r="C2909" s="177"/>
      <c r="D2909" s="176"/>
      <c r="E2909" s="176"/>
      <c r="F2909" s="259"/>
      <c r="G2909" s="176"/>
      <c r="H2909" s="178"/>
      <c r="I2909" s="592">
        <f t="shared" si="106"/>
        <v>0</v>
      </c>
      <c r="J2909" s="178"/>
      <c r="K2909" s="178"/>
      <c r="L2909" s="275" t="str">
        <f>IF(H:H=0,"",IF(ISERROR(VLOOKUP(H:H,produtos_escape2!$A$2:$B$2794,2,FALSE)),"Código não cadastrado",(VLOOKUP(H:H,produtos_escape2!$A$2:$B$2794,2,FALSE))))</f>
        <v/>
      </c>
      <c r="M2909" s="593" t="str">
        <f>IF(H:H=0,"",IF(ISERROR(VLOOKUP(H:H,produtos_escape2!$A$2:$D$2794,2,FALSE)),"Código não cadastrado",(VLOOKUP(H:H,produtos_escape2!$A$2:$D$2794,4,FALSE))))</f>
        <v/>
      </c>
      <c r="N2909" s="486"/>
      <c r="O2909" s="176"/>
      <c r="P2909" s="486"/>
      <c r="Q2909" s="247"/>
      <c r="R2909" s="246">
        <f t="shared" si="105"/>
        <v>0</v>
      </c>
      <c r="S2909" s="177"/>
      <c r="T2909" s="182"/>
      <c r="U2909" s="177"/>
      <c r="V2909" s="177"/>
      <c r="W2909" s="177"/>
      <c r="X2909" s="176"/>
      <c r="Y2909" s="177"/>
      <c r="Z2909" s="415"/>
      <c r="AA2909" s="488"/>
      <c r="AB2909" s="594"/>
      <c r="AC2909" s="595"/>
      <c r="AD2909" s="596" t="str">
        <f>IF(AND(AC2909&lt;&gt;"",S2909&lt;&gt;""),NETWORKDAYS(AC2909,S2909,#REF!),"")</f>
        <v/>
      </c>
      <c r="AE2909" s="596" t="str">
        <f ca="1">IF(AND(AD2909="",AC2909=""),"",IF(OR(AD2909&lt;&gt;"",O2909="*CANCELADO"),"",NETWORKDAYS(AC2909,TODAY(),#REF!)))</f>
        <v/>
      </c>
      <c r="AF2909" s="619"/>
    </row>
    <row r="2910" spans="1:32" ht="14.25" customHeight="1">
      <c r="A2910" s="176"/>
      <c r="B2910" s="176"/>
      <c r="C2910" s="177"/>
      <c r="D2910" s="176"/>
      <c r="E2910" s="176"/>
      <c r="F2910" s="259"/>
      <c r="G2910" s="176"/>
      <c r="H2910" s="178"/>
      <c r="I2910" s="592">
        <f t="shared" si="106"/>
        <v>0</v>
      </c>
      <c r="J2910" s="178"/>
      <c r="K2910" s="178"/>
      <c r="L2910" s="275" t="str">
        <f>IF(H:H=0,"",IF(ISERROR(VLOOKUP(H:H,produtos_escape2!$A$2:$B$2794,2,FALSE)),"Código não cadastrado",(VLOOKUP(H:H,produtos_escape2!$A$2:$B$2794,2,FALSE))))</f>
        <v/>
      </c>
      <c r="M2910" s="593" t="str">
        <f>IF(H:H=0,"",IF(ISERROR(VLOOKUP(H:H,produtos_escape2!$A$2:$D$2794,2,FALSE)),"Código não cadastrado",(VLOOKUP(H:H,produtos_escape2!$A$2:$D$2794,4,FALSE))))</f>
        <v/>
      </c>
      <c r="N2910" s="486"/>
      <c r="O2910" s="176"/>
      <c r="P2910" s="486"/>
      <c r="Q2910" s="247"/>
      <c r="R2910" s="246">
        <f t="shared" si="105"/>
        <v>0</v>
      </c>
      <c r="S2910" s="177"/>
      <c r="T2910" s="182"/>
      <c r="U2910" s="177"/>
      <c r="V2910" s="177"/>
      <c r="W2910" s="177"/>
      <c r="X2910" s="176"/>
      <c r="Y2910" s="177"/>
      <c r="Z2910" s="415"/>
      <c r="AA2910" s="488"/>
      <c r="AB2910" s="594"/>
      <c r="AC2910" s="595"/>
      <c r="AD2910" s="596" t="str">
        <f>IF(AND(AC2910&lt;&gt;"",S2910&lt;&gt;""),NETWORKDAYS(AC2910,S2910,#REF!),"")</f>
        <v/>
      </c>
      <c r="AE2910" s="596" t="str">
        <f ca="1">IF(AND(AD2910="",AC2910=""),"",IF(OR(AD2910&lt;&gt;"",O2910="*CANCELADO"),"",NETWORKDAYS(AC2910,TODAY(),#REF!)))</f>
        <v/>
      </c>
      <c r="AF2910" s="619"/>
    </row>
    <row r="2911" spans="1:32" ht="14.25" customHeight="1">
      <c r="A2911" s="176"/>
      <c r="B2911" s="176"/>
      <c r="C2911" s="177"/>
      <c r="D2911" s="176"/>
      <c r="E2911" s="176"/>
      <c r="F2911" s="259"/>
      <c r="G2911" s="176"/>
      <c r="H2911" s="178"/>
      <c r="I2911" s="592">
        <f t="shared" si="106"/>
        <v>0</v>
      </c>
      <c r="J2911" s="178"/>
      <c r="K2911" s="178"/>
      <c r="L2911" s="275" t="str">
        <f>IF(H:H=0,"",IF(ISERROR(VLOOKUP(H:H,produtos_escape2!$A$2:$B$2794,2,FALSE)),"Código não cadastrado",(VLOOKUP(H:H,produtos_escape2!$A$2:$B$2794,2,FALSE))))</f>
        <v/>
      </c>
      <c r="M2911" s="593" t="str">
        <f>IF(H:H=0,"",IF(ISERROR(VLOOKUP(H:H,produtos_escape2!$A$2:$D$2794,2,FALSE)),"Código não cadastrado",(VLOOKUP(H:H,produtos_escape2!$A$2:$D$2794,4,FALSE))))</f>
        <v/>
      </c>
      <c r="N2911" s="486"/>
      <c r="O2911" s="176"/>
      <c r="P2911" s="486"/>
      <c r="Q2911" s="247"/>
      <c r="R2911" s="246">
        <f t="shared" si="105"/>
        <v>0</v>
      </c>
      <c r="S2911" s="177"/>
      <c r="T2911" s="182"/>
      <c r="U2911" s="177"/>
      <c r="V2911" s="177"/>
      <c r="W2911" s="177"/>
      <c r="X2911" s="176"/>
      <c r="Y2911" s="177"/>
      <c r="Z2911" s="415"/>
      <c r="AA2911" s="488"/>
      <c r="AB2911" s="594"/>
      <c r="AC2911" s="595"/>
      <c r="AD2911" s="596" t="str">
        <f>IF(AND(AC2911&lt;&gt;"",S2911&lt;&gt;""),NETWORKDAYS(AC2911,S2911,#REF!),"")</f>
        <v/>
      </c>
      <c r="AE2911" s="596" t="str">
        <f ca="1">IF(AND(AD2911="",AC2911=""),"",IF(OR(AD2911&lt;&gt;"",O2911="*CANCELADO"),"",NETWORKDAYS(AC2911,TODAY(),#REF!)))</f>
        <v/>
      </c>
      <c r="AF2911" s="619"/>
    </row>
    <row r="2912" spans="1:32" ht="14.25" customHeight="1">
      <c r="A2912" s="176"/>
      <c r="B2912" s="176"/>
      <c r="C2912" s="177"/>
      <c r="D2912" s="176"/>
      <c r="E2912" s="176"/>
      <c r="F2912" s="259"/>
      <c r="G2912" s="176"/>
      <c r="H2912" s="178"/>
      <c r="I2912" s="592">
        <f t="shared" si="106"/>
        <v>0</v>
      </c>
      <c r="J2912" s="178"/>
      <c r="K2912" s="178"/>
      <c r="L2912" s="275" t="str">
        <f>IF(H:H=0,"",IF(ISERROR(VLOOKUP(H:H,produtos_escape2!$A$2:$B$2794,2,FALSE)),"Código não cadastrado",(VLOOKUP(H:H,produtos_escape2!$A$2:$B$2794,2,FALSE))))</f>
        <v/>
      </c>
      <c r="M2912" s="593" t="str">
        <f>IF(H:H=0,"",IF(ISERROR(VLOOKUP(H:H,produtos_escape2!$A$2:$D$2794,2,FALSE)),"Código não cadastrado",(VLOOKUP(H:H,produtos_escape2!$A$2:$D$2794,4,FALSE))))</f>
        <v/>
      </c>
      <c r="N2912" s="486"/>
      <c r="O2912" s="176"/>
      <c r="P2912" s="486"/>
      <c r="Q2912" s="247"/>
      <c r="R2912" s="246">
        <f t="shared" si="105"/>
        <v>0</v>
      </c>
      <c r="S2912" s="177"/>
      <c r="T2912" s="182"/>
      <c r="U2912" s="177"/>
      <c r="V2912" s="177"/>
      <c r="W2912" s="177"/>
      <c r="X2912" s="176"/>
      <c r="Y2912" s="177"/>
      <c r="Z2912" s="415"/>
      <c r="AA2912" s="488"/>
      <c r="AB2912" s="594"/>
      <c r="AC2912" s="595"/>
      <c r="AD2912" s="596" t="str">
        <f>IF(AND(AC2912&lt;&gt;"",S2912&lt;&gt;""),NETWORKDAYS(AC2912,S2912,#REF!),"")</f>
        <v/>
      </c>
      <c r="AE2912" s="596" t="str">
        <f ca="1">IF(AND(AD2912="",AC2912=""),"",IF(OR(AD2912&lt;&gt;"",O2912="*CANCELADO"),"",NETWORKDAYS(AC2912,TODAY(),#REF!)))</f>
        <v/>
      </c>
      <c r="AF2912" s="619"/>
    </row>
    <row r="2913" spans="1:32" ht="14.25" customHeight="1">
      <c r="A2913" s="176"/>
      <c r="B2913" s="176"/>
      <c r="C2913" s="177"/>
      <c r="D2913" s="176"/>
      <c r="E2913" s="176"/>
      <c r="F2913" s="259"/>
      <c r="G2913" s="176"/>
      <c r="H2913" s="178"/>
      <c r="I2913" s="592">
        <f t="shared" si="106"/>
        <v>0</v>
      </c>
      <c r="J2913" s="178"/>
      <c r="K2913" s="178"/>
      <c r="L2913" s="275" t="str">
        <f>IF(H:H=0,"",IF(ISERROR(VLOOKUP(H:H,produtos_escape2!$A$2:$B$2794,2,FALSE)),"Código não cadastrado",(VLOOKUP(H:H,produtos_escape2!$A$2:$B$2794,2,FALSE))))</f>
        <v/>
      </c>
      <c r="M2913" s="593" t="str">
        <f>IF(H:H=0,"",IF(ISERROR(VLOOKUP(H:H,produtos_escape2!$A$2:$D$2794,2,FALSE)),"Código não cadastrado",(VLOOKUP(H:H,produtos_escape2!$A$2:$D$2794,4,FALSE))))</f>
        <v/>
      </c>
      <c r="N2913" s="486"/>
      <c r="O2913" s="176"/>
      <c r="P2913" s="486"/>
      <c r="Q2913" s="247"/>
      <c r="R2913" s="246">
        <f t="shared" si="105"/>
        <v>0</v>
      </c>
      <c r="S2913" s="177"/>
      <c r="T2913" s="182"/>
      <c r="U2913" s="177"/>
      <c r="V2913" s="177"/>
      <c r="W2913" s="177"/>
      <c r="X2913" s="176"/>
      <c r="Y2913" s="177"/>
      <c r="Z2913" s="415"/>
      <c r="AA2913" s="488"/>
      <c r="AB2913" s="594"/>
      <c r="AC2913" s="595"/>
      <c r="AD2913" s="596" t="str">
        <f>IF(AND(AC2913&lt;&gt;"",S2913&lt;&gt;""),NETWORKDAYS(AC2913,S2913,#REF!),"")</f>
        <v/>
      </c>
      <c r="AE2913" s="596" t="str">
        <f ca="1">IF(AND(AD2913="",AC2913=""),"",IF(OR(AD2913&lt;&gt;"",O2913="*CANCELADO"),"",NETWORKDAYS(AC2913,TODAY(),#REF!)))</f>
        <v/>
      </c>
      <c r="AF2913" s="619"/>
    </row>
    <row r="2914" spans="1:32" ht="14.25" customHeight="1">
      <c r="A2914" s="176"/>
      <c r="B2914" s="176"/>
      <c r="C2914" s="177"/>
      <c r="D2914" s="176"/>
      <c r="E2914" s="176"/>
      <c r="F2914" s="259"/>
      <c r="G2914" s="176"/>
      <c r="H2914" s="178"/>
      <c r="I2914" s="592">
        <f t="shared" si="106"/>
        <v>0</v>
      </c>
      <c r="J2914" s="178"/>
      <c r="K2914" s="178"/>
      <c r="L2914" s="275" t="str">
        <f>IF(H:H=0,"",IF(ISERROR(VLOOKUP(H:H,produtos_escape2!$A$2:$B$2794,2,FALSE)),"Código não cadastrado",(VLOOKUP(H:H,produtos_escape2!$A$2:$B$2794,2,FALSE))))</f>
        <v/>
      </c>
      <c r="M2914" s="593" t="str">
        <f>IF(H:H=0,"",IF(ISERROR(VLOOKUP(H:H,produtos_escape2!$A$2:$D$2794,2,FALSE)),"Código não cadastrado",(VLOOKUP(H:H,produtos_escape2!$A$2:$D$2794,4,FALSE))))</f>
        <v/>
      </c>
      <c r="N2914" s="486"/>
      <c r="O2914" s="176"/>
      <c r="P2914" s="486"/>
      <c r="Q2914" s="247"/>
      <c r="R2914" s="246">
        <f t="shared" si="105"/>
        <v>0</v>
      </c>
      <c r="S2914" s="177"/>
      <c r="T2914" s="182"/>
      <c r="U2914" s="177"/>
      <c r="V2914" s="177"/>
      <c r="W2914" s="177"/>
      <c r="X2914" s="176"/>
      <c r="Y2914" s="177"/>
      <c r="Z2914" s="415"/>
      <c r="AA2914" s="488"/>
      <c r="AB2914" s="594"/>
      <c r="AC2914" s="595"/>
      <c r="AD2914" s="596" t="str">
        <f>IF(AND(AC2914&lt;&gt;"",S2914&lt;&gt;""),NETWORKDAYS(AC2914,S2914,#REF!),"")</f>
        <v/>
      </c>
      <c r="AE2914" s="596" t="str">
        <f ca="1">IF(AND(AD2914="",AC2914=""),"",IF(OR(AD2914&lt;&gt;"",O2914="*CANCELADO"),"",NETWORKDAYS(AC2914,TODAY(),#REF!)))</f>
        <v/>
      </c>
      <c r="AF2914" s="619"/>
    </row>
    <row r="2915" spans="1:32" ht="14.25" customHeight="1">
      <c r="A2915" s="176"/>
      <c r="B2915" s="176"/>
      <c r="C2915" s="177"/>
      <c r="D2915" s="176"/>
      <c r="E2915" s="176"/>
      <c r="F2915" s="259"/>
      <c r="G2915" s="176"/>
      <c r="H2915" s="178"/>
      <c r="I2915" s="592">
        <f t="shared" si="106"/>
        <v>0</v>
      </c>
      <c r="J2915" s="178"/>
      <c r="K2915" s="178"/>
      <c r="L2915" s="275" t="str">
        <f>IF(H:H=0,"",IF(ISERROR(VLOOKUP(H:H,produtos_escape2!$A$2:$B$2794,2,FALSE)),"Código não cadastrado",(VLOOKUP(H:H,produtos_escape2!$A$2:$B$2794,2,FALSE))))</f>
        <v/>
      </c>
      <c r="M2915" s="593" t="str">
        <f>IF(H:H=0,"",IF(ISERROR(VLOOKUP(H:H,produtos_escape2!$A$2:$D$2794,2,FALSE)),"Código não cadastrado",(VLOOKUP(H:H,produtos_escape2!$A$2:$D$2794,4,FALSE))))</f>
        <v/>
      </c>
      <c r="N2915" s="486"/>
      <c r="O2915" s="176"/>
      <c r="P2915" s="486"/>
      <c r="Q2915" s="247"/>
      <c r="R2915" s="246">
        <f t="shared" si="105"/>
        <v>0</v>
      </c>
      <c r="S2915" s="177"/>
      <c r="T2915" s="182"/>
      <c r="U2915" s="177"/>
      <c r="V2915" s="177"/>
      <c r="W2915" s="177"/>
      <c r="X2915" s="176"/>
      <c r="Y2915" s="177"/>
      <c r="Z2915" s="415"/>
      <c r="AA2915" s="488"/>
      <c r="AB2915" s="594"/>
      <c r="AC2915" s="595"/>
      <c r="AD2915" s="596" t="str">
        <f>IF(AND(AC2915&lt;&gt;"",S2915&lt;&gt;""),NETWORKDAYS(AC2915,S2915,#REF!),"")</f>
        <v/>
      </c>
      <c r="AE2915" s="596" t="str">
        <f ca="1">IF(AND(AD2915="",AC2915=""),"",IF(OR(AD2915&lt;&gt;"",O2915="*CANCELADO"),"",NETWORKDAYS(AC2915,TODAY(),#REF!)))</f>
        <v/>
      </c>
      <c r="AF2915" s="619"/>
    </row>
    <row r="2916" spans="1:32" ht="14.25" customHeight="1">
      <c r="A2916" s="176"/>
      <c r="B2916" s="176"/>
      <c r="C2916" s="177"/>
      <c r="D2916" s="176"/>
      <c r="E2916" s="176"/>
      <c r="F2916" s="259"/>
      <c r="G2916" s="176"/>
      <c r="H2916" s="178"/>
      <c r="I2916" s="592">
        <f t="shared" si="106"/>
        <v>0</v>
      </c>
      <c r="J2916" s="178"/>
      <c r="K2916" s="178"/>
      <c r="L2916" s="275" t="str">
        <f>IF(H:H=0,"",IF(ISERROR(VLOOKUP(H:H,produtos_escape2!$A$2:$B$2794,2,FALSE)),"Código não cadastrado",(VLOOKUP(H:H,produtos_escape2!$A$2:$B$2794,2,FALSE))))</f>
        <v/>
      </c>
      <c r="M2916" s="593" t="str">
        <f>IF(H:H=0,"",IF(ISERROR(VLOOKUP(H:H,produtos_escape2!$A$2:$D$2794,2,FALSE)),"Código não cadastrado",(VLOOKUP(H:H,produtos_escape2!$A$2:$D$2794,4,FALSE))))</f>
        <v/>
      </c>
      <c r="N2916" s="486"/>
      <c r="O2916" s="176"/>
      <c r="P2916" s="486"/>
      <c r="Q2916" s="247"/>
      <c r="R2916" s="246">
        <f t="shared" si="105"/>
        <v>0</v>
      </c>
      <c r="S2916" s="177"/>
      <c r="T2916" s="182"/>
      <c r="U2916" s="177"/>
      <c r="V2916" s="177"/>
      <c r="W2916" s="177"/>
      <c r="X2916" s="176"/>
      <c r="Y2916" s="177"/>
      <c r="Z2916" s="415"/>
      <c r="AA2916" s="488"/>
      <c r="AB2916" s="594"/>
      <c r="AC2916" s="595"/>
      <c r="AD2916" s="596" t="str">
        <f>IF(AND(AC2916&lt;&gt;"",S2916&lt;&gt;""),NETWORKDAYS(AC2916,S2916,#REF!),"")</f>
        <v/>
      </c>
      <c r="AE2916" s="596" t="str">
        <f ca="1">IF(AND(AD2916="",AC2916=""),"",IF(OR(AD2916&lt;&gt;"",O2916="*CANCELADO"),"",NETWORKDAYS(AC2916,TODAY(),#REF!)))</f>
        <v/>
      </c>
      <c r="AF2916" s="619"/>
    </row>
    <row r="2917" spans="1:32" ht="14.25" customHeight="1">
      <c r="A2917" s="176"/>
      <c r="B2917" s="176"/>
      <c r="C2917" s="177"/>
      <c r="D2917" s="176"/>
      <c r="E2917" s="176"/>
      <c r="F2917" s="259"/>
      <c r="G2917" s="176"/>
      <c r="H2917" s="178"/>
      <c r="I2917" s="592">
        <f t="shared" si="106"/>
        <v>0</v>
      </c>
      <c r="J2917" s="178"/>
      <c r="K2917" s="178"/>
      <c r="L2917" s="275" t="str">
        <f>IF(H:H=0,"",IF(ISERROR(VLOOKUP(H:H,produtos_escape2!$A$2:$B$2794,2,FALSE)),"Código não cadastrado",(VLOOKUP(H:H,produtos_escape2!$A$2:$B$2794,2,FALSE))))</f>
        <v/>
      </c>
      <c r="M2917" s="593" t="str">
        <f>IF(H:H=0,"",IF(ISERROR(VLOOKUP(H:H,produtos_escape2!$A$2:$D$2794,2,FALSE)),"Código não cadastrado",(VLOOKUP(H:H,produtos_escape2!$A$2:$D$2794,4,FALSE))))</f>
        <v/>
      </c>
      <c r="N2917" s="486"/>
      <c r="O2917" s="176"/>
      <c r="P2917" s="486"/>
      <c r="Q2917" s="247"/>
      <c r="R2917" s="246">
        <f t="shared" si="105"/>
        <v>0</v>
      </c>
      <c r="S2917" s="177"/>
      <c r="T2917" s="182"/>
      <c r="U2917" s="177"/>
      <c r="V2917" s="177"/>
      <c r="W2917" s="177"/>
      <c r="X2917" s="176"/>
      <c r="Y2917" s="177"/>
      <c r="Z2917" s="415"/>
      <c r="AA2917" s="488"/>
      <c r="AB2917" s="594"/>
      <c r="AC2917" s="595"/>
      <c r="AD2917" s="596" t="str">
        <f>IF(AND(AC2917&lt;&gt;"",S2917&lt;&gt;""),NETWORKDAYS(AC2917,S2917,#REF!),"")</f>
        <v/>
      </c>
      <c r="AE2917" s="596" t="str">
        <f ca="1">IF(AND(AD2917="",AC2917=""),"",IF(OR(AD2917&lt;&gt;"",O2917="*CANCELADO"),"",NETWORKDAYS(AC2917,TODAY(),#REF!)))</f>
        <v/>
      </c>
      <c r="AF2917" s="619"/>
    </row>
    <row r="2918" spans="1:32" ht="14.25" customHeight="1">
      <c r="A2918" s="176"/>
      <c r="B2918" s="176"/>
      <c r="C2918" s="177"/>
      <c r="D2918" s="176"/>
      <c r="E2918" s="176"/>
      <c r="F2918" s="259"/>
      <c r="G2918" s="176"/>
      <c r="H2918" s="178"/>
      <c r="I2918" s="592">
        <f t="shared" si="106"/>
        <v>0</v>
      </c>
      <c r="J2918" s="178"/>
      <c r="K2918" s="178"/>
      <c r="L2918" s="275" t="str">
        <f>IF(H:H=0,"",IF(ISERROR(VLOOKUP(H:H,produtos_escape2!$A$2:$B$2794,2,FALSE)),"Código não cadastrado",(VLOOKUP(H:H,produtos_escape2!$A$2:$B$2794,2,FALSE))))</f>
        <v/>
      </c>
      <c r="M2918" s="593" t="str">
        <f>IF(H:H=0,"",IF(ISERROR(VLOOKUP(H:H,produtos_escape2!$A$2:$D$2794,2,FALSE)),"Código não cadastrado",(VLOOKUP(H:H,produtos_escape2!$A$2:$D$2794,4,FALSE))))</f>
        <v/>
      </c>
      <c r="N2918" s="486"/>
      <c r="O2918" s="176"/>
      <c r="P2918" s="486"/>
      <c r="Q2918" s="247"/>
      <c r="R2918" s="246">
        <f t="shared" si="105"/>
        <v>0</v>
      </c>
      <c r="S2918" s="177"/>
      <c r="T2918" s="182"/>
      <c r="U2918" s="177"/>
      <c r="V2918" s="177"/>
      <c r="W2918" s="177"/>
      <c r="X2918" s="176"/>
      <c r="Y2918" s="177"/>
      <c r="Z2918" s="415"/>
      <c r="AA2918" s="488"/>
      <c r="AB2918" s="594"/>
      <c r="AC2918" s="595"/>
      <c r="AD2918" s="596" t="str">
        <f>IF(AND(AC2918&lt;&gt;"",S2918&lt;&gt;""),NETWORKDAYS(AC2918,S2918,#REF!),"")</f>
        <v/>
      </c>
      <c r="AE2918" s="596" t="str">
        <f ca="1">IF(AND(AD2918="",AC2918=""),"",IF(OR(AD2918&lt;&gt;"",O2918="*CANCELADO"),"",NETWORKDAYS(AC2918,TODAY(),#REF!)))</f>
        <v/>
      </c>
      <c r="AF2918" s="619"/>
    </row>
    <row r="2919" spans="1:32" ht="14.25" customHeight="1">
      <c r="A2919" s="176"/>
      <c r="B2919" s="176"/>
      <c r="C2919" s="177"/>
      <c r="D2919" s="176"/>
      <c r="E2919" s="176"/>
      <c r="F2919" s="259"/>
      <c r="G2919" s="176"/>
      <c r="H2919" s="178"/>
      <c r="I2919" s="592">
        <f t="shared" si="106"/>
        <v>0</v>
      </c>
      <c r="J2919" s="178"/>
      <c r="K2919" s="178"/>
      <c r="L2919" s="275" t="str">
        <f>IF(H:H=0,"",IF(ISERROR(VLOOKUP(H:H,produtos_escape2!$A$2:$B$2794,2,FALSE)),"Código não cadastrado",(VLOOKUP(H:H,produtos_escape2!$A$2:$B$2794,2,FALSE))))</f>
        <v/>
      </c>
      <c r="M2919" s="593" t="str">
        <f>IF(H:H=0,"",IF(ISERROR(VLOOKUP(H:H,produtos_escape2!$A$2:$D$2794,2,FALSE)),"Código não cadastrado",(VLOOKUP(H:H,produtos_escape2!$A$2:$D$2794,4,FALSE))))</f>
        <v/>
      </c>
      <c r="N2919" s="486"/>
      <c r="O2919" s="176"/>
      <c r="P2919" s="486"/>
      <c r="Q2919" s="247"/>
      <c r="R2919" s="246">
        <f t="shared" si="105"/>
        <v>0</v>
      </c>
      <c r="S2919" s="177"/>
      <c r="T2919" s="182"/>
      <c r="U2919" s="177"/>
      <c r="V2919" s="177"/>
      <c r="W2919" s="177"/>
      <c r="X2919" s="176"/>
      <c r="Y2919" s="177"/>
      <c r="Z2919" s="415"/>
      <c r="AA2919" s="488"/>
      <c r="AB2919" s="594"/>
      <c r="AC2919" s="595"/>
      <c r="AD2919" s="596" t="str">
        <f>IF(AND(AC2919&lt;&gt;"",S2919&lt;&gt;""),NETWORKDAYS(AC2919,S2919,#REF!),"")</f>
        <v/>
      </c>
      <c r="AE2919" s="596" t="str">
        <f ca="1">IF(AND(AD2919="",AC2919=""),"",IF(OR(AD2919&lt;&gt;"",O2919="*CANCELADO"),"",NETWORKDAYS(AC2919,TODAY(),#REF!)))</f>
        <v/>
      </c>
      <c r="AF2919" s="619"/>
    </row>
    <row r="2920" spans="1:32" ht="14.25" customHeight="1">
      <c r="A2920" s="176"/>
      <c r="B2920" s="176"/>
      <c r="C2920" s="177"/>
      <c r="D2920" s="176"/>
      <c r="E2920" s="176"/>
      <c r="F2920" s="259"/>
      <c r="G2920" s="176"/>
      <c r="H2920" s="178"/>
      <c r="I2920" s="592">
        <f t="shared" si="106"/>
        <v>0</v>
      </c>
      <c r="J2920" s="178"/>
      <c r="K2920" s="178"/>
      <c r="L2920" s="275" t="str">
        <f>IF(H:H=0,"",IF(ISERROR(VLOOKUP(H:H,produtos_escape2!$A$2:$B$2794,2,FALSE)),"Código não cadastrado",(VLOOKUP(H:H,produtos_escape2!$A$2:$B$2794,2,FALSE))))</f>
        <v/>
      </c>
      <c r="M2920" s="593" t="str">
        <f>IF(H:H=0,"",IF(ISERROR(VLOOKUP(H:H,produtos_escape2!$A$2:$D$2794,2,FALSE)),"Código não cadastrado",(VLOOKUP(H:H,produtos_escape2!$A$2:$D$2794,4,FALSE))))</f>
        <v/>
      </c>
      <c r="N2920" s="486"/>
      <c r="O2920" s="176"/>
      <c r="P2920" s="486"/>
      <c r="Q2920" s="247"/>
      <c r="R2920" s="246">
        <f t="shared" si="105"/>
        <v>0</v>
      </c>
      <c r="S2920" s="177"/>
      <c r="T2920" s="182"/>
      <c r="U2920" s="177"/>
      <c r="V2920" s="177"/>
      <c r="W2920" s="177"/>
      <c r="X2920" s="176"/>
      <c r="Y2920" s="177"/>
      <c r="Z2920" s="415"/>
      <c r="AA2920" s="488"/>
      <c r="AB2920" s="594"/>
      <c r="AC2920" s="595"/>
      <c r="AD2920" s="596" t="str">
        <f>IF(AND(AC2920&lt;&gt;"",S2920&lt;&gt;""),NETWORKDAYS(AC2920,S2920,#REF!),"")</f>
        <v/>
      </c>
      <c r="AE2920" s="596" t="str">
        <f ca="1">IF(AND(AD2920="",AC2920=""),"",IF(OR(AD2920&lt;&gt;"",O2920="*CANCELADO"),"",NETWORKDAYS(AC2920,TODAY(),#REF!)))</f>
        <v/>
      </c>
      <c r="AF2920" s="619"/>
    </row>
    <row r="2921" spans="1:32" ht="14.25" customHeight="1">
      <c r="A2921" s="176"/>
      <c r="B2921" s="176"/>
      <c r="C2921" s="177"/>
      <c r="D2921" s="176"/>
      <c r="E2921" s="176"/>
      <c r="F2921" s="259"/>
      <c r="G2921" s="176"/>
      <c r="H2921" s="178"/>
      <c r="I2921" s="592">
        <f t="shared" si="106"/>
        <v>0</v>
      </c>
      <c r="J2921" s="178"/>
      <c r="K2921" s="178"/>
      <c r="L2921" s="275" t="str">
        <f>IF(H:H=0,"",IF(ISERROR(VLOOKUP(H:H,produtos_escape2!$A$2:$B$2794,2,FALSE)),"Código não cadastrado",(VLOOKUP(H:H,produtos_escape2!$A$2:$B$2794,2,FALSE))))</f>
        <v/>
      </c>
      <c r="M2921" s="593" t="str">
        <f>IF(H:H=0,"",IF(ISERROR(VLOOKUP(H:H,produtos_escape2!$A$2:$D$2794,2,FALSE)),"Código não cadastrado",(VLOOKUP(H:H,produtos_escape2!$A$2:$D$2794,4,FALSE))))</f>
        <v/>
      </c>
      <c r="N2921" s="486"/>
      <c r="O2921" s="176"/>
      <c r="P2921" s="486"/>
      <c r="Q2921" s="247"/>
      <c r="R2921" s="246">
        <f t="shared" si="105"/>
        <v>0</v>
      </c>
      <c r="S2921" s="177"/>
      <c r="T2921" s="182"/>
      <c r="U2921" s="177"/>
      <c r="V2921" s="177"/>
      <c r="W2921" s="177"/>
      <c r="X2921" s="176"/>
      <c r="Y2921" s="177"/>
      <c r="Z2921" s="415"/>
      <c r="AA2921" s="488"/>
      <c r="AB2921" s="594"/>
      <c r="AC2921" s="595"/>
      <c r="AD2921" s="596" t="str">
        <f>IF(AND(AC2921&lt;&gt;"",S2921&lt;&gt;""),NETWORKDAYS(AC2921,S2921,#REF!),"")</f>
        <v/>
      </c>
      <c r="AE2921" s="596" t="str">
        <f ca="1">IF(AND(AD2921="",AC2921=""),"",IF(OR(AD2921&lt;&gt;"",O2921="*CANCELADO"),"",NETWORKDAYS(AC2921,TODAY(),#REF!)))</f>
        <v/>
      </c>
      <c r="AF2921" s="619"/>
    </row>
    <row r="2922" spans="1:32" ht="14.25" customHeight="1">
      <c r="A2922" s="176"/>
      <c r="B2922" s="176"/>
      <c r="C2922" s="177"/>
      <c r="D2922" s="176"/>
      <c r="E2922" s="176"/>
      <c r="F2922" s="259"/>
      <c r="G2922" s="176"/>
      <c r="H2922" s="178"/>
      <c r="I2922" s="592">
        <f t="shared" si="106"/>
        <v>0</v>
      </c>
      <c r="J2922" s="178"/>
      <c r="K2922" s="178"/>
      <c r="L2922" s="275" t="str">
        <f>IF(H:H=0,"",IF(ISERROR(VLOOKUP(H:H,produtos_escape2!$A$2:$B$2794,2,FALSE)),"Código não cadastrado",(VLOOKUP(H:H,produtos_escape2!$A$2:$B$2794,2,FALSE))))</f>
        <v/>
      </c>
      <c r="M2922" s="593" t="str">
        <f>IF(H:H=0,"",IF(ISERROR(VLOOKUP(H:H,produtos_escape2!$A$2:$D$2794,2,FALSE)),"Código não cadastrado",(VLOOKUP(H:H,produtos_escape2!$A$2:$D$2794,4,FALSE))))</f>
        <v/>
      </c>
      <c r="N2922" s="486"/>
      <c r="O2922" s="176"/>
      <c r="P2922" s="486"/>
      <c r="Q2922" s="247"/>
      <c r="R2922" s="246">
        <f t="shared" si="105"/>
        <v>0</v>
      </c>
      <c r="S2922" s="177"/>
      <c r="T2922" s="182"/>
      <c r="U2922" s="177"/>
      <c r="V2922" s="177"/>
      <c r="W2922" s="177"/>
      <c r="X2922" s="176"/>
      <c r="Y2922" s="177"/>
      <c r="Z2922" s="415"/>
      <c r="AA2922" s="488"/>
      <c r="AB2922" s="594"/>
      <c r="AC2922" s="595"/>
      <c r="AD2922" s="596" t="str">
        <f>IF(AND(AC2922&lt;&gt;"",S2922&lt;&gt;""),NETWORKDAYS(AC2922,S2922,#REF!),"")</f>
        <v/>
      </c>
      <c r="AE2922" s="596" t="str">
        <f ca="1">IF(AND(AD2922="",AC2922=""),"",IF(OR(AD2922&lt;&gt;"",O2922="*CANCELADO"),"",NETWORKDAYS(AC2922,TODAY(),#REF!)))</f>
        <v/>
      </c>
      <c r="AF2922" s="619"/>
    </row>
    <row r="2923" spans="1:32" ht="14.25" customHeight="1">
      <c r="A2923" s="176"/>
      <c r="B2923" s="176"/>
      <c r="C2923" s="177"/>
      <c r="D2923" s="176"/>
      <c r="E2923" s="176"/>
      <c r="F2923" s="259"/>
      <c r="G2923" s="176"/>
      <c r="H2923" s="178"/>
      <c r="I2923" s="592">
        <f t="shared" si="106"/>
        <v>0</v>
      </c>
      <c r="J2923" s="178"/>
      <c r="K2923" s="178"/>
      <c r="L2923" s="275" t="str">
        <f>IF(H:H=0,"",IF(ISERROR(VLOOKUP(H:H,produtos_escape2!$A$2:$B$2794,2,FALSE)),"Código não cadastrado",(VLOOKUP(H:H,produtos_escape2!$A$2:$B$2794,2,FALSE))))</f>
        <v/>
      </c>
      <c r="M2923" s="593" t="str">
        <f>IF(H:H=0,"",IF(ISERROR(VLOOKUP(H:H,produtos_escape2!$A$2:$D$2794,2,FALSE)),"Código não cadastrado",(VLOOKUP(H:H,produtos_escape2!$A$2:$D$2794,4,FALSE))))</f>
        <v/>
      </c>
      <c r="N2923" s="486"/>
      <c r="O2923" s="176"/>
      <c r="P2923" s="486"/>
      <c r="Q2923" s="247"/>
      <c r="R2923" s="246">
        <f t="shared" si="105"/>
        <v>0</v>
      </c>
      <c r="S2923" s="177"/>
      <c r="T2923" s="182"/>
      <c r="U2923" s="177"/>
      <c r="V2923" s="177"/>
      <c r="W2923" s="177"/>
      <c r="X2923" s="176"/>
      <c r="Y2923" s="177"/>
      <c r="Z2923" s="415"/>
      <c r="AA2923" s="488"/>
      <c r="AB2923" s="594"/>
      <c r="AC2923" s="595"/>
      <c r="AD2923" s="596" t="str">
        <f>IF(AND(AC2923&lt;&gt;"",S2923&lt;&gt;""),NETWORKDAYS(AC2923,S2923,#REF!),"")</f>
        <v/>
      </c>
      <c r="AE2923" s="596" t="str">
        <f ca="1">IF(AND(AD2923="",AC2923=""),"",IF(OR(AD2923&lt;&gt;"",O2923="*CANCELADO"),"",NETWORKDAYS(AC2923,TODAY(),#REF!)))</f>
        <v/>
      </c>
      <c r="AF2923" s="619"/>
    </row>
    <row r="2924" spans="1:32" ht="14.25" customHeight="1">
      <c r="A2924" s="176"/>
      <c r="B2924" s="176"/>
      <c r="C2924" s="177"/>
      <c r="D2924" s="176"/>
      <c r="E2924" s="176"/>
      <c r="F2924" s="259"/>
      <c r="G2924" s="176"/>
      <c r="H2924" s="178"/>
      <c r="I2924" s="592">
        <f t="shared" si="106"/>
        <v>0</v>
      </c>
      <c r="J2924" s="178"/>
      <c r="K2924" s="178"/>
      <c r="L2924" s="275" t="str">
        <f>IF(H:H=0,"",IF(ISERROR(VLOOKUP(H:H,produtos_escape2!$A$2:$B$2794,2,FALSE)),"Código não cadastrado",(VLOOKUP(H:H,produtos_escape2!$A$2:$B$2794,2,FALSE))))</f>
        <v/>
      </c>
      <c r="M2924" s="593" t="str">
        <f>IF(H:H=0,"",IF(ISERROR(VLOOKUP(H:H,produtos_escape2!$A$2:$D$2794,2,FALSE)),"Código não cadastrado",(VLOOKUP(H:H,produtos_escape2!$A$2:$D$2794,4,FALSE))))</f>
        <v/>
      </c>
      <c r="N2924" s="486"/>
      <c r="O2924" s="176"/>
      <c r="P2924" s="486"/>
      <c r="Q2924" s="247"/>
      <c r="R2924" s="246">
        <f t="shared" si="105"/>
        <v>0</v>
      </c>
      <c r="S2924" s="177"/>
      <c r="T2924" s="182"/>
      <c r="U2924" s="177"/>
      <c r="V2924" s="177"/>
      <c r="W2924" s="177"/>
      <c r="X2924" s="176"/>
      <c r="Y2924" s="177"/>
      <c r="Z2924" s="415"/>
      <c r="AA2924" s="488"/>
      <c r="AB2924" s="594"/>
      <c r="AC2924" s="595"/>
      <c r="AD2924" s="596" t="str">
        <f>IF(AND(AC2924&lt;&gt;"",S2924&lt;&gt;""),NETWORKDAYS(AC2924,S2924,#REF!),"")</f>
        <v/>
      </c>
      <c r="AE2924" s="596" t="str">
        <f ca="1">IF(AND(AD2924="",AC2924=""),"",IF(OR(AD2924&lt;&gt;"",O2924="*CANCELADO"),"",NETWORKDAYS(AC2924,TODAY(),#REF!)))</f>
        <v/>
      </c>
      <c r="AF2924" s="619"/>
    </row>
    <row r="2925" spans="1:32" ht="14.25" customHeight="1">
      <c r="A2925" s="176"/>
      <c r="B2925" s="176"/>
      <c r="C2925" s="177"/>
      <c r="D2925" s="176"/>
      <c r="E2925" s="176"/>
      <c r="F2925" s="259"/>
      <c r="G2925" s="176"/>
      <c r="H2925" s="178"/>
      <c r="I2925" s="592">
        <f t="shared" si="106"/>
        <v>0</v>
      </c>
      <c r="J2925" s="178"/>
      <c r="K2925" s="178"/>
      <c r="L2925" s="275" t="str">
        <f>IF(H:H=0,"",IF(ISERROR(VLOOKUP(H:H,produtos_escape2!$A$2:$B$2794,2,FALSE)),"Código não cadastrado",(VLOOKUP(H:H,produtos_escape2!$A$2:$B$2794,2,FALSE))))</f>
        <v/>
      </c>
      <c r="M2925" s="593" t="str">
        <f>IF(H:H=0,"",IF(ISERROR(VLOOKUP(H:H,produtos_escape2!$A$2:$D$2794,2,FALSE)),"Código não cadastrado",(VLOOKUP(H:H,produtos_escape2!$A$2:$D$2794,4,FALSE))))</f>
        <v/>
      </c>
      <c r="N2925" s="486"/>
      <c r="O2925" s="176"/>
      <c r="P2925" s="486"/>
      <c r="Q2925" s="247"/>
      <c r="R2925" s="246">
        <f t="shared" ref="R2925:R2988" si="107">P2925*Q2925</f>
        <v>0</v>
      </c>
      <c r="S2925" s="177"/>
      <c r="T2925" s="182"/>
      <c r="U2925" s="177"/>
      <c r="V2925" s="177"/>
      <c r="W2925" s="177"/>
      <c r="X2925" s="176"/>
      <c r="Y2925" s="177"/>
      <c r="Z2925" s="415"/>
      <c r="AA2925" s="488"/>
      <c r="AB2925" s="594"/>
      <c r="AC2925" s="595"/>
      <c r="AD2925" s="596" t="str">
        <f>IF(AND(AC2925&lt;&gt;"",S2925&lt;&gt;""),NETWORKDAYS(AC2925,S2925,#REF!),"")</f>
        <v/>
      </c>
      <c r="AE2925" s="596" t="str">
        <f ca="1">IF(AND(AD2925="",AC2925=""),"",IF(OR(AD2925&lt;&gt;"",O2925="*CANCELADO"),"",NETWORKDAYS(AC2925,TODAY(),#REF!)))</f>
        <v/>
      </c>
      <c r="AF2925" s="619"/>
    </row>
    <row r="2926" spans="1:32" ht="14.25" customHeight="1">
      <c r="A2926" s="176"/>
      <c r="B2926" s="176"/>
      <c r="C2926" s="177"/>
      <c r="D2926" s="176"/>
      <c r="E2926" s="176"/>
      <c r="F2926" s="259"/>
      <c r="G2926" s="176"/>
      <c r="H2926" s="178"/>
      <c r="I2926" s="592">
        <f t="shared" si="106"/>
        <v>0</v>
      </c>
      <c r="J2926" s="178"/>
      <c r="K2926" s="178"/>
      <c r="L2926" s="275" t="str">
        <f>IF(H:H=0,"",IF(ISERROR(VLOOKUP(H:H,produtos_escape2!$A$2:$B$2794,2,FALSE)),"Código não cadastrado",(VLOOKUP(H:H,produtos_escape2!$A$2:$B$2794,2,FALSE))))</f>
        <v/>
      </c>
      <c r="M2926" s="593" t="str">
        <f>IF(H:H=0,"",IF(ISERROR(VLOOKUP(H:H,produtos_escape2!$A$2:$D$2794,2,FALSE)),"Código não cadastrado",(VLOOKUP(H:H,produtos_escape2!$A$2:$D$2794,4,FALSE))))</f>
        <v/>
      </c>
      <c r="N2926" s="486"/>
      <c r="O2926" s="176"/>
      <c r="P2926" s="486"/>
      <c r="Q2926" s="247"/>
      <c r="R2926" s="246">
        <f t="shared" si="107"/>
        <v>0</v>
      </c>
      <c r="S2926" s="177"/>
      <c r="T2926" s="182"/>
      <c r="U2926" s="177"/>
      <c r="V2926" s="177"/>
      <c r="W2926" s="177"/>
      <c r="X2926" s="176"/>
      <c r="Y2926" s="177"/>
      <c r="Z2926" s="415"/>
      <c r="AA2926" s="488"/>
      <c r="AB2926" s="594"/>
      <c r="AC2926" s="595"/>
      <c r="AD2926" s="596" t="str">
        <f>IF(AND(AC2926&lt;&gt;"",S2926&lt;&gt;""),NETWORKDAYS(AC2926,S2926,#REF!),"")</f>
        <v/>
      </c>
      <c r="AE2926" s="596" t="str">
        <f ca="1">IF(AND(AD2926="",AC2926=""),"",IF(OR(AD2926&lt;&gt;"",O2926="*CANCELADO"),"",NETWORKDAYS(AC2926,TODAY(),#REF!)))</f>
        <v/>
      </c>
      <c r="AF2926" s="619"/>
    </row>
    <row r="2927" spans="1:32" ht="14.25" customHeight="1">
      <c r="A2927" s="176"/>
      <c r="B2927" s="176"/>
      <c r="C2927" s="177"/>
      <c r="D2927" s="176"/>
      <c r="E2927" s="176"/>
      <c r="F2927" s="259"/>
      <c r="G2927" s="176"/>
      <c r="H2927" s="178"/>
      <c r="I2927" s="592">
        <f t="shared" si="106"/>
        <v>0</v>
      </c>
      <c r="J2927" s="178"/>
      <c r="K2927" s="178"/>
      <c r="L2927" s="275" t="str">
        <f>IF(H:H=0,"",IF(ISERROR(VLOOKUP(H:H,produtos_escape2!$A$2:$B$2794,2,FALSE)),"Código não cadastrado",(VLOOKUP(H:H,produtos_escape2!$A$2:$B$2794,2,FALSE))))</f>
        <v/>
      </c>
      <c r="M2927" s="593" t="str">
        <f>IF(H:H=0,"",IF(ISERROR(VLOOKUP(H:H,produtos_escape2!$A$2:$D$2794,2,FALSE)),"Código não cadastrado",(VLOOKUP(H:H,produtos_escape2!$A$2:$D$2794,4,FALSE))))</f>
        <v/>
      </c>
      <c r="N2927" s="486"/>
      <c r="O2927" s="176"/>
      <c r="P2927" s="486"/>
      <c r="Q2927" s="247"/>
      <c r="R2927" s="246">
        <f t="shared" si="107"/>
        <v>0</v>
      </c>
      <c r="S2927" s="177"/>
      <c r="T2927" s="182"/>
      <c r="U2927" s="177"/>
      <c r="V2927" s="177"/>
      <c r="W2927" s="177"/>
      <c r="X2927" s="176"/>
      <c r="Y2927" s="177"/>
      <c r="Z2927" s="415"/>
      <c r="AA2927" s="488"/>
      <c r="AB2927" s="594"/>
      <c r="AC2927" s="595"/>
      <c r="AD2927" s="596" t="str">
        <f>IF(AND(AC2927&lt;&gt;"",S2927&lt;&gt;""),NETWORKDAYS(AC2927,S2927,#REF!),"")</f>
        <v/>
      </c>
      <c r="AE2927" s="596" t="str">
        <f ca="1">IF(AND(AD2927="",AC2927=""),"",IF(OR(AD2927&lt;&gt;"",O2927="*CANCELADO"),"",NETWORKDAYS(AC2927,TODAY(),#REF!)))</f>
        <v/>
      </c>
      <c r="AF2927" s="619"/>
    </row>
    <row r="2928" spans="1:32" ht="14.25" customHeight="1">
      <c r="A2928" s="176"/>
      <c r="B2928" s="176"/>
      <c r="C2928" s="177"/>
      <c r="D2928" s="176"/>
      <c r="E2928" s="176"/>
      <c r="F2928" s="259"/>
      <c r="G2928" s="176"/>
      <c r="H2928" s="178"/>
      <c r="I2928" s="592">
        <f t="shared" si="106"/>
        <v>0</v>
      </c>
      <c r="J2928" s="178"/>
      <c r="K2928" s="178"/>
      <c r="L2928" s="275" t="str">
        <f>IF(H:H=0,"",IF(ISERROR(VLOOKUP(H:H,produtos_escape2!$A$2:$B$2794,2,FALSE)),"Código não cadastrado",(VLOOKUP(H:H,produtos_escape2!$A$2:$B$2794,2,FALSE))))</f>
        <v/>
      </c>
      <c r="M2928" s="593" t="str">
        <f>IF(H:H=0,"",IF(ISERROR(VLOOKUP(H:H,produtos_escape2!$A$2:$D$2794,2,FALSE)),"Código não cadastrado",(VLOOKUP(H:H,produtos_escape2!$A$2:$D$2794,4,FALSE))))</f>
        <v/>
      </c>
      <c r="N2928" s="486"/>
      <c r="O2928" s="176"/>
      <c r="P2928" s="486"/>
      <c r="Q2928" s="247"/>
      <c r="R2928" s="246">
        <f t="shared" si="107"/>
        <v>0</v>
      </c>
      <c r="S2928" s="177"/>
      <c r="T2928" s="182"/>
      <c r="U2928" s="177"/>
      <c r="V2928" s="177"/>
      <c r="W2928" s="177"/>
      <c r="X2928" s="176"/>
      <c r="Y2928" s="177"/>
      <c r="Z2928" s="415"/>
      <c r="AA2928" s="488"/>
      <c r="AB2928" s="594"/>
      <c r="AC2928" s="595"/>
      <c r="AD2928" s="596" t="str">
        <f>IF(AND(AC2928&lt;&gt;"",S2928&lt;&gt;""),NETWORKDAYS(AC2928,S2928,#REF!),"")</f>
        <v/>
      </c>
      <c r="AE2928" s="596" t="str">
        <f ca="1">IF(AND(AD2928="",AC2928=""),"",IF(OR(AD2928&lt;&gt;"",O2928="*CANCELADO"),"",NETWORKDAYS(AC2928,TODAY(),#REF!)))</f>
        <v/>
      </c>
      <c r="AF2928" s="619"/>
    </row>
    <row r="2929" spans="1:32" ht="14.25" customHeight="1">
      <c r="A2929" s="176"/>
      <c r="B2929" s="176"/>
      <c r="C2929" s="177"/>
      <c r="D2929" s="176"/>
      <c r="E2929" s="176"/>
      <c r="F2929" s="259"/>
      <c r="G2929" s="176"/>
      <c r="H2929" s="178"/>
      <c r="I2929" s="592">
        <f t="shared" si="106"/>
        <v>0</v>
      </c>
      <c r="J2929" s="178"/>
      <c r="K2929" s="178"/>
      <c r="L2929" s="275" t="str">
        <f>IF(H:H=0,"",IF(ISERROR(VLOOKUP(H:H,produtos_escape2!$A$2:$B$2794,2,FALSE)),"Código não cadastrado",(VLOOKUP(H:H,produtos_escape2!$A$2:$B$2794,2,FALSE))))</f>
        <v/>
      </c>
      <c r="M2929" s="593" t="str">
        <f>IF(H:H=0,"",IF(ISERROR(VLOOKUP(H:H,produtos_escape2!$A$2:$D$2794,2,FALSE)),"Código não cadastrado",(VLOOKUP(H:H,produtos_escape2!$A$2:$D$2794,4,FALSE))))</f>
        <v/>
      </c>
      <c r="N2929" s="486"/>
      <c r="O2929" s="176"/>
      <c r="P2929" s="486"/>
      <c r="Q2929" s="247"/>
      <c r="R2929" s="246">
        <f t="shared" si="107"/>
        <v>0</v>
      </c>
      <c r="S2929" s="177"/>
      <c r="T2929" s="182"/>
      <c r="U2929" s="177"/>
      <c r="V2929" s="177"/>
      <c r="W2929" s="177"/>
      <c r="X2929" s="176"/>
      <c r="Y2929" s="177"/>
      <c r="Z2929" s="415"/>
      <c r="AA2929" s="488"/>
      <c r="AB2929" s="594"/>
      <c r="AC2929" s="595"/>
      <c r="AD2929" s="596" t="str">
        <f>IF(AND(AC2929&lt;&gt;"",S2929&lt;&gt;""),NETWORKDAYS(AC2929,S2929,#REF!),"")</f>
        <v/>
      </c>
      <c r="AE2929" s="596" t="str">
        <f ca="1">IF(AND(AD2929="",AC2929=""),"",IF(OR(AD2929&lt;&gt;"",O2929="*CANCELADO"),"",NETWORKDAYS(AC2929,TODAY(),#REF!)))</f>
        <v/>
      </c>
      <c r="AF2929" s="619"/>
    </row>
    <row r="2930" spans="1:32" ht="14.25" customHeight="1">
      <c r="A2930" s="176"/>
      <c r="B2930" s="176"/>
      <c r="C2930" s="177"/>
      <c r="D2930" s="176"/>
      <c r="E2930" s="176"/>
      <c r="F2930" s="259"/>
      <c r="G2930" s="176"/>
      <c r="H2930" s="178"/>
      <c r="I2930" s="592">
        <f t="shared" si="106"/>
        <v>0</v>
      </c>
      <c r="J2930" s="178"/>
      <c r="K2930" s="178"/>
      <c r="L2930" s="275" t="str">
        <f>IF(H:H=0,"",IF(ISERROR(VLOOKUP(H:H,produtos_escape2!$A$2:$B$2794,2,FALSE)),"Código não cadastrado",(VLOOKUP(H:H,produtos_escape2!$A$2:$B$2794,2,FALSE))))</f>
        <v/>
      </c>
      <c r="M2930" s="593" t="str">
        <f>IF(H:H=0,"",IF(ISERROR(VLOOKUP(H:H,produtos_escape2!$A$2:$D$2794,2,FALSE)),"Código não cadastrado",(VLOOKUP(H:H,produtos_escape2!$A$2:$D$2794,4,FALSE))))</f>
        <v/>
      </c>
      <c r="N2930" s="486"/>
      <c r="O2930" s="176"/>
      <c r="P2930" s="486"/>
      <c r="Q2930" s="247"/>
      <c r="R2930" s="246">
        <f t="shared" si="107"/>
        <v>0</v>
      </c>
      <c r="S2930" s="177"/>
      <c r="T2930" s="182"/>
      <c r="U2930" s="177"/>
      <c r="V2930" s="177"/>
      <c r="W2930" s="177"/>
      <c r="X2930" s="176"/>
      <c r="Y2930" s="177"/>
      <c r="Z2930" s="415"/>
      <c r="AA2930" s="488"/>
      <c r="AB2930" s="594"/>
      <c r="AC2930" s="595"/>
      <c r="AD2930" s="596" t="str">
        <f>IF(AND(AC2930&lt;&gt;"",S2930&lt;&gt;""),NETWORKDAYS(AC2930,S2930,#REF!),"")</f>
        <v/>
      </c>
      <c r="AE2930" s="596" t="str">
        <f ca="1">IF(AND(AD2930="",AC2930=""),"",IF(OR(AD2930&lt;&gt;"",O2930="*CANCELADO"),"",NETWORKDAYS(AC2930,TODAY(),#REF!)))</f>
        <v/>
      </c>
      <c r="AF2930" s="619"/>
    </row>
    <row r="2931" spans="1:32" ht="14.25" customHeight="1">
      <c r="A2931" s="176"/>
      <c r="B2931" s="176"/>
      <c r="C2931" s="177"/>
      <c r="D2931" s="176"/>
      <c r="E2931" s="176"/>
      <c r="F2931" s="259"/>
      <c r="G2931" s="176"/>
      <c r="H2931" s="178"/>
      <c r="I2931" s="592">
        <f t="shared" si="106"/>
        <v>0</v>
      </c>
      <c r="J2931" s="178"/>
      <c r="K2931" s="178"/>
      <c r="L2931" s="275" t="str">
        <f>IF(H:H=0,"",IF(ISERROR(VLOOKUP(H:H,produtos_escape2!$A$2:$B$2794,2,FALSE)),"Código não cadastrado",(VLOOKUP(H:H,produtos_escape2!$A$2:$B$2794,2,FALSE))))</f>
        <v/>
      </c>
      <c r="M2931" s="593" t="str">
        <f>IF(H:H=0,"",IF(ISERROR(VLOOKUP(H:H,produtos_escape2!$A$2:$D$2794,2,FALSE)),"Código não cadastrado",(VLOOKUP(H:H,produtos_escape2!$A$2:$D$2794,4,FALSE))))</f>
        <v/>
      </c>
      <c r="N2931" s="486"/>
      <c r="O2931" s="176"/>
      <c r="P2931" s="486"/>
      <c r="Q2931" s="247"/>
      <c r="R2931" s="246">
        <f t="shared" si="107"/>
        <v>0</v>
      </c>
      <c r="S2931" s="177"/>
      <c r="T2931" s="182"/>
      <c r="U2931" s="177"/>
      <c r="V2931" s="177"/>
      <c r="W2931" s="177"/>
      <c r="X2931" s="176"/>
      <c r="Y2931" s="177"/>
      <c r="Z2931" s="415"/>
      <c r="AA2931" s="488"/>
      <c r="AB2931" s="594"/>
      <c r="AC2931" s="595"/>
      <c r="AD2931" s="596" t="str">
        <f>IF(AND(AC2931&lt;&gt;"",S2931&lt;&gt;""),NETWORKDAYS(AC2931,S2931,#REF!),"")</f>
        <v/>
      </c>
      <c r="AE2931" s="596" t="str">
        <f ca="1">IF(AND(AD2931="",AC2931=""),"",IF(OR(AD2931&lt;&gt;"",O2931="*CANCELADO"),"",NETWORKDAYS(AC2931,TODAY(),#REF!)))</f>
        <v/>
      </c>
      <c r="AF2931" s="619"/>
    </row>
    <row r="2932" spans="1:32" ht="14.25" customHeight="1">
      <c r="A2932" s="176"/>
      <c r="B2932" s="176"/>
      <c r="C2932" s="177"/>
      <c r="D2932" s="176"/>
      <c r="E2932" s="176"/>
      <c r="F2932" s="259"/>
      <c r="G2932" s="176"/>
      <c r="H2932" s="178"/>
      <c r="I2932" s="592">
        <f t="shared" si="106"/>
        <v>0</v>
      </c>
      <c r="J2932" s="178"/>
      <c r="K2932" s="178"/>
      <c r="L2932" s="275" t="str">
        <f>IF(H:H=0,"",IF(ISERROR(VLOOKUP(H:H,produtos_escape2!$A$2:$B$2794,2,FALSE)),"Código não cadastrado",(VLOOKUP(H:H,produtos_escape2!$A$2:$B$2794,2,FALSE))))</f>
        <v/>
      </c>
      <c r="M2932" s="593" t="str">
        <f>IF(H:H=0,"",IF(ISERROR(VLOOKUP(H:H,produtos_escape2!$A$2:$D$2794,2,FALSE)),"Código não cadastrado",(VLOOKUP(H:H,produtos_escape2!$A$2:$D$2794,4,FALSE))))</f>
        <v/>
      </c>
      <c r="N2932" s="486"/>
      <c r="O2932" s="176"/>
      <c r="P2932" s="486"/>
      <c r="Q2932" s="247"/>
      <c r="R2932" s="246">
        <f t="shared" si="107"/>
        <v>0</v>
      </c>
      <c r="S2932" s="177"/>
      <c r="T2932" s="182"/>
      <c r="U2932" s="177"/>
      <c r="V2932" s="177"/>
      <c r="W2932" s="177"/>
      <c r="X2932" s="176"/>
      <c r="Y2932" s="177"/>
      <c r="Z2932" s="415"/>
      <c r="AA2932" s="488"/>
      <c r="AB2932" s="594"/>
      <c r="AC2932" s="595"/>
      <c r="AD2932" s="596" t="str">
        <f>IF(AND(AC2932&lt;&gt;"",S2932&lt;&gt;""),NETWORKDAYS(AC2932,S2932,#REF!),"")</f>
        <v/>
      </c>
      <c r="AE2932" s="596" t="str">
        <f ca="1">IF(AND(AD2932="",AC2932=""),"",IF(OR(AD2932&lt;&gt;"",O2932="*CANCELADO"),"",NETWORKDAYS(AC2932,TODAY(),#REF!)))</f>
        <v/>
      </c>
      <c r="AF2932" s="619"/>
    </row>
    <row r="2933" spans="1:32" ht="14.25" customHeight="1">
      <c r="A2933" s="176"/>
      <c r="B2933" s="176"/>
      <c r="C2933" s="177"/>
      <c r="D2933" s="176"/>
      <c r="E2933" s="176"/>
      <c r="F2933" s="259"/>
      <c r="G2933" s="176"/>
      <c r="H2933" s="178"/>
      <c r="I2933" s="592">
        <f t="shared" si="106"/>
        <v>0</v>
      </c>
      <c r="J2933" s="178"/>
      <c r="K2933" s="178"/>
      <c r="L2933" s="275" t="str">
        <f>IF(H:H=0,"",IF(ISERROR(VLOOKUP(H:H,produtos_escape2!$A$2:$B$2794,2,FALSE)),"Código não cadastrado",(VLOOKUP(H:H,produtos_escape2!$A$2:$B$2794,2,FALSE))))</f>
        <v/>
      </c>
      <c r="M2933" s="593" t="str">
        <f>IF(H:H=0,"",IF(ISERROR(VLOOKUP(H:H,produtos_escape2!$A$2:$D$2794,2,FALSE)),"Código não cadastrado",(VLOOKUP(H:H,produtos_escape2!$A$2:$D$2794,4,FALSE))))</f>
        <v/>
      </c>
      <c r="N2933" s="486"/>
      <c r="O2933" s="176"/>
      <c r="P2933" s="486"/>
      <c r="Q2933" s="247"/>
      <c r="R2933" s="246">
        <f t="shared" si="107"/>
        <v>0</v>
      </c>
      <c r="S2933" s="177"/>
      <c r="T2933" s="182"/>
      <c r="U2933" s="177"/>
      <c r="V2933" s="177"/>
      <c r="W2933" s="177"/>
      <c r="X2933" s="176"/>
      <c r="Y2933" s="177"/>
      <c r="Z2933" s="415"/>
      <c r="AA2933" s="488"/>
      <c r="AB2933" s="594"/>
      <c r="AC2933" s="595"/>
      <c r="AD2933" s="596" t="str">
        <f>IF(AND(AC2933&lt;&gt;"",S2933&lt;&gt;""),NETWORKDAYS(AC2933,S2933,#REF!),"")</f>
        <v/>
      </c>
      <c r="AE2933" s="596" t="str">
        <f ca="1">IF(AND(AD2933="",AC2933=""),"",IF(OR(AD2933&lt;&gt;"",O2933="*CANCELADO"),"",NETWORKDAYS(AC2933,TODAY(),#REF!)))</f>
        <v/>
      </c>
      <c r="AF2933" s="619"/>
    </row>
    <row r="2934" spans="1:32" ht="14.25" customHeight="1">
      <c r="A2934" s="176"/>
      <c r="B2934" s="176"/>
      <c r="C2934" s="177"/>
      <c r="D2934" s="176"/>
      <c r="E2934" s="176"/>
      <c r="F2934" s="259"/>
      <c r="G2934" s="176"/>
      <c r="H2934" s="178"/>
      <c r="I2934" s="592">
        <f t="shared" ref="I2934:I2997" si="108">COUNTIF($H$3:$H$3041,H2934)</f>
        <v>0</v>
      </c>
      <c r="J2934" s="178"/>
      <c r="K2934" s="178"/>
      <c r="L2934" s="275" t="str">
        <f>IF(H:H=0,"",IF(ISERROR(VLOOKUP(H:H,produtos_escape2!$A$2:$B$2794,2,FALSE)),"Código não cadastrado",(VLOOKUP(H:H,produtos_escape2!$A$2:$B$2794,2,FALSE))))</f>
        <v/>
      </c>
      <c r="M2934" s="593" t="str">
        <f>IF(H:H=0,"",IF(ISERROR(VLOOKUP(H:H,produtos_escape2!$A$2:$D$2794,2,FALSE)),"Código não cadastrado",(VLOOKUP(H:H,produtos_escape2!$A$2:$D$2794,4,FALSE))))</f>
        <v/>
      </c>
      <c r="N2934" s="486"/>
      <c r="O2934" s="176"/>
      <c r="P2934" s="486"/>
      <c r="Q2934" s="247"/>
      <c r="R2934" s="246">
        <f t="shared" si="107"/>
        <v>0</v>
      </c>
      <c r="S2934" s="177"/>
      <c r="T2934" s="182"/>
      <c r="U2934" s="177"/>
      <c r="V2934" s="177"/>
      <c r="W2934" s="177"/>
      <c r="X2934" s="176"/>
      <c r="Y2934" s="177"/>
      <c r="Z2934" s="415"/>
      <c r="AA2934" s="488"/>
      <c r="AB2934" s="594"/>
      <c r="AC2934" s="595"/>
      <c r="AD2934" s="596" t="str">
        <f>IF(AND(AC2934&lt;&gt;"",S2934&lt;&gt;""),NETWORKDAYS(AC2934,S2934,#REF!),"")</f>
        <v/>
      </c>
      <c r="AE2934" s="596" t="str">
        <f ca="1">IF(AND(AD2934="",AC2934=""),"",IF(OR(AD2934&lt;&gt;"",O2934="*CANCELADO"),"",NETWORKDAYS(AC2934,TODAY(),#REF!)))</f>
        <v/>
      </c>
      <c r="AF2934" s="619"/>
    </row>
    <row r="2935" spans="1:32" ht="14.25" customHeight="1">
      <c r="A2935" s="176"/>
      <c r="B2935" s="176"/>
      <c r="C2935" s="177"/>
      <c r="D2935" s="176"/>
      <c r="E2935" s="176"/>
      <c r="F2935" s="259"/>
      <c r="G2935" s="176"/>
      <c r="H2935" s="178"/>
      <c r="I2935" s="592">
        <f t="shared" si="108"/>
        <v>0</v>
      </c>
      <c r="J2935" s="178"/>
      <c r="K2935" s="178"/>
      <c r="L2935" s="275" t="str">
        <f>IF(H:H=0,"",IF(ISERROR(VLOOKUP(H:H,produtos_escape2!$A$2:$B$2794,2,FALSE)),"Código não cadastrado",(VLOOKUP(H:H,produtos_escape2!$A$2:$B$2794,2,FALSE))))</f>
        <v/>
      </c>
      <c r="M2935" s="593" t="str">
        <f>IF(H:H=0,"",IF(ISERROR(VLOOKUP(H:H,produtos_escape2!$A$2:$D$2794,2,FALSE)),"Código não cadastrado",(VLOOKUP(H:H,produtos_escape2!$A$2:$D$2794,4,FALSE))))</f>
        <v/>
      </c>
      <c r="N2935" s="486"/>
      <c r="O2935" s="176"/>
      <c r="P2935" s="486"/>
      <c r="Q2935" s="247"/>
      <c r="R2935" s="246">
        <f t="shared" si="107"/>
        <v>0</v>
      </c>
      <c r="S2935" s="177"/>
      <c r="T2935" s="182"/>
      <c r="U2935" s="177"/>
      <c r="V2935" s="177"/>
      <c r="W2935" s="177"/>
      <c r="X2935" s="176"/>
      <c r="Y2935" s="177"/>
      <c r="Z2935" s="415"/>
      <c r="AA2935" s="488"/>
      <c r="AB2935" s="594"/>
      <c r="AC2935" s="595"/>
      <c r="AD2935" s="596" t="str">
        <f>IF(AND(AC2935&lt;&gt;"",S2935&lt;&gt;""),NETWORKDAYS(AC2935,S2935,#REF!),"")</f>
        <v/>
      </c>
      <c r="AE2935" s="596" t="str">
        <f ca="1">IF(AND(AD2935="",AC2935=""),"",IF(OR(AD2935&lt;&gt;"",O2935="*CANCELADO"),"",NETWORKDAYS(AC2935,TODAY(),#REF!)))</f>
        <v/>
      </c>
      <c r="AF2935" s="619"/>
    </row>
    <row r="2936" spans="1:32" ht="14.25" customHeight="1">
      <c r="A2936" s="176"/>
      <c r="B2936" s="176"/>
      <c r="C2936" s="177"/>
      <c r="D2936" s="176"/>
      <c r="E2936" s="176"/>
      <c r="F2936" s="259"/>
      <c r="G2936" s="176"/>
      <c r="H2936" s="178"/>
      <c r="I2936" s="592">
        <f t="shared" si="108"/>
        <v>0</v>
      </c>
      <c r="J2936" s="178"/>
      <c r="K2936" s="178"/>
      <c r="L2936" s="275" t="str">
        <f>IF(H:H=0,"",IF(ISERROR(VLOOKUP(H:H,produtos_escape2!$A$2:$B$2794,2,FALSE)),"Código não cadastrado",(VLOOKUP(H:H,produtos_escape2!$A$2:$B$2794,2,FALSE))))</f>
        <v/>
      </c>
      <c r="M2936" s="593" t="str">
        <f>IF(H:H=0,"",IF(ISERROR(VLOOKUP(H:H,produtos_escape2!$A$2:$D$2794,2,FALSE)),"Código não cadastrado",(VLOOKUP(H:H,produtos_escape2!$A$2:$D$2794,4,FALSE))))</f>
        <v/>
      </c>
      <c r="N2936" s="486"/>
      <c r="O2936" s="176"/>
      <c r="P2936" s="486"/>
      <c r="Q2936" s="247"/>
      <c r="R2936" s="246">
        <f t="shared" si="107"/>
        <v>0</v>
      </c>
      <c r="S2936" s="177"/>
      <c r="T2936" s="182"/>
      <c r="U2936" s="177"/>
      <c r="V2936" s="177"/>
      <c r="W2936" s="177"/>
      <c r="X2936" s="176"/>
      <c r="Y2936" s="177"/>
      <c r="Z2936" s="415"/>
      <c r="AA2936" s="488"/>
      <c r="AB2936" s="594"/>
      <c r="AC2936" s="595"/>
      <c r="AD2936" s="596" t="str">
        <f>IF(AND(AC2936&lt;&gt;"",S2936&lt;&gt;""),NETWORKDAYS(AC2936,S2936,#REF!),"")</f>
        <v/>
      </c>
      <c r="AE2936" s="596" t="str">
        <f ca="1">IF(AND(AD2936="",AC2936=""),"",IF(OR(AD2936&lt;&gt;"",O2936="*CANCELADO"),"",NETWORKDAYS(AC2936,TODAY(),#REF!)))</f>
        <v/>
      </c>
      <c r="AF2936" s="619"/>
    </row>
    <row r="2937" spans="1:32" ht="14.25" customHeight="1">
      <c r="A2937" s="176"/>
      <c r="B2937" s="176"/>
      <c r="C2937" s="177"/>
      <c r="D2937" s="176"/>
      <c r="E2937" s="176"/>
      <c r="F2937" s="259"/>
      <c r="G2937" s="176"/>
      <c r="H2937" s="178"/>
      <c r="I2937" s="592">
        <f t="shared" si="108"/>
        <v>0</v>
      </c>
      <c r="J2937" s="178"/>
      <c r="K2937" s="178"/>
      <c r="L2937" s="275" t="str">
        <f>IF(H:H=0,"",IF(ISERROR(VLOOKUP(H:H,produtos_escape2!$A$2:$B$2794,2,FALSE)),"Código não cadastrado",(VLOOKUP(H:H,produtos_escape2!$A$2:$B$2794,2,FALSE))))</f>
        <v/>
      </c>
      <c r="M2937" s="593" t="str">
        <f>IF(H:H=0,"",IF(ISERROR(VLOOKUP(H:H,produtos_escape2!$A$2:$D$2794,2,FALSE)),"Código não cadastrado",(VLOOKUP(H:H,produtos_escape2!$A$2:$D$2794,4,FALSE))))</f>
        <v/>
      </c>
      <c r="N2937" s="486"/>
      <c r="O2937" s="176"/>
      <c r="P2937" s="486"/>
      <c r="Q2937" s="247"/>
      <c r="R2937" s="246">
        <f t="shared" si="107"/>
        <v>0</v>
      </c>
      <c r="S2937" s="177"/>
      <c r="T2937" s="182"/>
      <c r="U2937" s="177"/>
      <c r="V2937" s="177"/>
      <c r="W2937" s="177"/>
      <c r="X2937" s="176"/>
      <c r="Y2937" s="177"/>
      <c r="Z2937" s="415"/>
      <c r="AA2937" s="488"/>
      <c r="AB2937" s="594"/>
      <c r="AC2937" s="595"/>
      <c r="AD2937" s="596" t="str">
        <f>IF(AND(AC2937&lt;&gt;"",S2937&lt;&gt;""),NETWORKDAYS(AC2937,S2937,#REF!),"")</f>
        <v/>
      </c>
      <c r="AE2937" s="596" t="str">
        <f ca="1">IF(AND(AD2937="",AC2937=""),"",IF(OR(AD2937&lt;&gt;"",O2937="*CANCELADO"),"",NETWORKDAYS(AC2937,TODAY(),#REF!)))</f>
        <v/>
      </c>
      <c r="AF2937" s="619"/>
    </row>
    <row r="2938" spans="1:32" ht="14.25" customHeight="1">
      <c r="A2938" s="176"/>
      <c r="B2938" s="176"/>
      <c r="C2938" s="177"/>
      <c r="D2938" s="176"/>
      <c r="E2938" s="176"/>
      <c r="F2938" s="259"/>
      <c r="G2938" s="176"/>
      <c r="H2938" s="178"/>
      <c r="I2938" s="592">
        <f t="shared" si="108"/>
        <v>0</v>
      </c>
      <c r="J2938" s="178"/>
      <c r="K2938" s="178"/>
      <c r="L2938" s="275" t="str">
        <f>IF(H:H=0,"",IF(ISERROR(VLOOKUP(H:H,produtos_escape2!$A$2:$B$2794,2,FALSE)),"Código não cadastrado",(VLOOKUP(H:H,produtos_escape2!$A$2:$B$2794,2,FALSE))))</f>
        <v/>
      </c>
      <c r="M2938" s="593" t="str">
        <f>IF(H:H=0,"",IF(ISERROR(VLOOKUP(H:H,produtos_escape2!$A$2:$D$2794,2,FALSE)),"Código não cadastrado",(VLOOKUP(H:H,produtos_escape2!$A$2:$D$2794,4,FALSE))))</f>
        <v/>
      </c>
      <c r="N2938" s="486"/>
      <c r="O2938" s="176"/>
      <c r="P2938" s="486"/>
      <c r="Q2938" s="247"/>
      <c r="R2938" s="246">
        <f t="shared" si="107"/>
        <v>0</v>
      </c>
      <c r="S2938" s="177"/>
      <c r="T2938" s="182"/>
      <c r="U2938" s="177"/>
      <c r="V2938" s="177"/>
      <c r="W2938" s="177"/>
      <c r="X2938" s="176"/>
      <c r="Y2938" s="177"/>
      <c r="Z2938" s="415"/>
      <c r="AA2938" s="488"/>
      <c r="AB2938" s="594"/>
      <c r="AC2938" s="595"/>
      <c r="AD2938" s="596" t="str">
        <f>IF(AND(AC2938&lt;&gt;"",S2938&lt;&gt;""),NETWORKDAYS(AC2938,S2938,#REF!),"")</f>
        <v/>
      </c>
      <c r="AE2938" s="596" t="str">
        <f ca="1">IF(AND(AD2938="",AC2938=""),"",IF(OR(AD2938&lt;&gt;"",O2938="*CANCELADO"),"",NETWORKDAYS(AC2938,TODAY(),#REF!)))</f>
        <v/>
      </c>
      <c r="AF2938" s="619"/>
    </row>
    <row r="2939" spans="1:32" ht="14.25" customHeight="1">
      <c r="A2939" s="176"/>
      <c r="B2939" s="176"/>
      <c r="C2939" s="177"/>
      <c r="D2939" s="176"/>
      <c r="E2939" s="176"/>
      <c r="F2939" s="259"/>
      <c r="G2939" s="176"/>
      <c r="H2939" s="178"/>
      <c r="I2939" s="592">
        <f t="shared" si="108"/>
        <v>0</v>
      </c>
      <c r="J2939" s="178"/>
      <c r="K2939" s="178"/>
      <c r="L2939" s="275" t="str">
        <f>IF(H:H=0,"",IF(ISERROR(VLOOKUP(H:H,produtos_escape2!$A$2:$B$2794,2,FALSE)),"Código não cadastrado",(VLOOKUP(H:H,produtos_escape2!$A$2:$B$2794,2,FALSE))))</f>
        <v/>
      </c>
      <c r="M2939" s="593" t="str">
        <f>IF(H:H=0,"",IF(ISERROR(VLOOKUP(H:H,produtos_escape2!$A$2:$D$2794,2,FALSE)),"Código não cadastrado",(VLOOKUP(H:H,produtos_escape2!$A$2:$D$2794,4,FALSE))))</f>
        <v/>
      </c>
      <c r="N2939" s="486"/>
      <c r="O2939" s="176"/>
      <c r="P2939" s="486"/>
      <c r="Q2939" s="247"/>
      <c r="R2939" s="246">
        <f t="shared" si="107"/>
        <v>0</v>
      </c>
      <c r="S2939" s="177"/>
      <c r="T2939" s="182"/>
      <c r="U2939" s="177"/>
      <c r="V2939" s="177"/>
      <c r="W2939" s="177"/>
      <c r="X2939" s="176"/>
      <c r="Y2939" s="177"/>
      <c r="Z2939" s="415"/>
      <c r="AA2939" s="488"/>
      <c r="AB2939" s="594"/>
      <c r="AC2939" s="595"/>
      <c r="AD2939" s="596" t="str">
        <f>IF(AND(AC2939&lt;&gt;"",S2939&lt;&gt;""),NETWORKDAYS(AC2939,S2939,#REF!),"")</f>
        <v/>
      </c>
      <c r="AE2939" s="596" t="str">
        <f ca="1">IF(AND(AD2939="",AC2939=""),"",IF(OR(AD2939&lt;&gt;"",O2939="*CANCELADO"),"",NETWORKDAYS(AC2939,TODAY(),#REF!)))</f>
        <v/>
      </c>
      <c r="AF2939" s="619"/>
    </row>
    <row r="2940" spans="1:32" ht="14.25" customHeight="1">
      <c r="A2940" s="176"/>
      <c r="B2940" s="176"/>
      <c r="C2940" s="177"/>
      <c r="D2940" s="176"/>
      <c r="E2940" s="176"/>
      <c r="F2940" s="259"/>
      <c r="G2940" s="176"/>
      <c r="H2940" s="178"/>
      <c r="I2940" s="592">
        <f t="shared" si="108"/>
        <v>0</v>
      </c>
      <c r="J2940" s="178"/>
      <c r="K2940" s="178"/>
      <c r="L2940" s="275" t="str">
        <f>IF(H:H=0,"",IF(ISERROR(VLOOKUP(H:H,produtos_escape2!$A$2:$B$2794,2,FALSE)),"Código não cadastrado",(VLOOKUP(H:H,produtos_escape2!$A$2:$B$2794,2,FALSE))))</f>
        <v/>
      </c>
      <c r="M2940" s="593" t="str">
        <f>IF(H:H=0,"",IF(ISERROR(VLOOKUP(H:H,produtos_escape2!$A$2:$D$2794,2,FALSE)),"Código não cadastrado",(VLOOKUP(H:H,produtos_escape2!$A$2:$D$2794,4,FALSE))))</f>
        <v/>
      </c>
      <c r="N2940" s="486"/>
      <c r="O2940" s="176"/>
      <c r="P2940" s="486"/>
      <c r="Q2940" s="247"/>
      <c r="R2940" s="246">
        <f t="shared" si="107"/>
        <v>0</v>
      </c>
      <c r="S2940" s="177"/>
      <c r="T2940" s="182"/>
      <c r="U2940" s="177"/>
      <c r="V2940" s="177"/>
      <c r="W2940" s="177"/>
      <c r="X2940" s="176"/>
      <c r="Y2940" s="177"/>
      <c r="Z2940" s="415"/>
      <c r="AA2940" s="488"/>
      <c r="AB2940" s="594"/>
      <c r="AC2940" s="595"/>
      <c r="AD2940" s="596" t="str">
        <f>IF(AND(AC2940&lt;&gt;"",S2940&lt;&gt;""),NETWORKDAYS(AC2940,S2940,#REF!),"")</f>
        <v/>
      </c>
      <c r="AE2940" s="596" t="str">
        <f ca="1">IF(AND(AD2940="",AC2940=""),"",IF(OR(AD2940&lt;&gt;"",O2940="*CANCELADO"),"",NETWORKDAYS(AC2940,TODAY(),#REF!)))</f>
        <v/>
      </c>
      <c r="AF2940" s="619"/>
    </row>
    <row r="2941" spans="1:32" ht="14.25" customHeight="1">
      <c r="A2941" s="176"/>
      <c r="B2941" s="176"/>
      <c r="C2941" s="177"/>
      <c r="D2941" s="176"/>
      <c r="E2941" s="176"/>
      <c r="F2941" s="259"/>
      <c r="G2941" s="176"/>
      <c r="H2941" s="178"/>
      <c r="I2941" s="592">
        <f t="shared" si="108"/>
        <v>0</v>
      </c>
      <c r="J2941" s="178"/>
      <c r="K2941" s="178"/>
      <c r="L2941" s="275" t="str">
        <f>IF(H:H=0,"",IF(ISERROR(VLOOKUP(H:H,produtos_escape2!$A$2:$B$2794,2,FALSE)),"Código não cadastrado",(VLOOKUP(H:H,produtos_escape2!$A$2:$B$2794,2,FALSE))))</f>
        <v/>
      </c>
      <c r="M2941" s="593" t="str">
        <f>IF(H:H=0,"",IF(ISERROR(VLOOKUP(H:H,produtos_escape2!$A$2:$D$2794,2,FALSE)),"Código não cadastrado",(VLOOKUP(H:H,produtos_escape2!$A$2:$D$2794,4,FALSE))))</f>
        <v/>
      </c>
      <c r="N2941" s="486"/>
      <c r="O2941" s="176"/>
      <c r="P2941" s="486"/>
      <c r="Q2941" s="247"/>
      <c r="R2941" s="246">
        <f t="shared" si="107"/>
        <v>0</v>
      </c>
      <c r="S2941" s="177"/>
      <c r="T2941" s="182"/>
      <c r="U2941" s="177"/>
      <c r="V2941" s="177"/>
      <c r="W2941" s="177"/>
      <c r="X2941" s="176"/>
      <c r="Y2941" s="177"/>
      <c r="Z2941" s="415"/>
      <c r="AA2941" s="488"/>
      <c r="AB2941" s="594"/>
      <c r="AC2941" s="595"/>
      <c r="AD2941" s="596" t="str">
        <f>IF(AND(AC2941&lt;&gt;"",S2941&lt;&gt;""),NETWORKDAYS(AC2941,S2941,#REF!),"")</f>
        <v/>
      </c>
      <c r="AE2941" s="596" t="str">
        <f ca="1">IF(AND(AD2941="",AC2941=""),"",IF(OR(AD2941&lt;&gt;"",O2941="*CANCELADO"),"",NETWORKDAYS(AC2941,TODAY(),#REF!)))</f>
        <v/>
      </c>
      <c r="AF2941" s="619"/>
    </row>
    <row r="2942" spans="1:32" ht="14.25" customHeight="1">
      <c r="A2942" s="176"/>
      <c r="B2942" s="176"/>
      <c r="C2942" s="177"/>
      <c r="D2942" s="176"/>
      <c r="E2942" s="176"/>
      <c r="F2942" s="259"/>
      <c r="G2942" s="176"/>
      <c r="H2942" s="178"/>
      <c r="I2942" s="592">
        <f t="shared" si="108"/>
        <v>0</v>
      </c>
      <c r="J2942" s="178"/>
      <c r="K2942" s="178"/>
      <c r="L2942" s="275" t="str">
        <f>IF(H:H=0,"",IF(ISERROR(VLOOKUP(H:H,produtos_escape2!$A$2:$B$2794,2,FALSE)),"Código não cadastrado",(VLOOKUP(H:H,produtos_escape2!$A$2:$B$2794,2,FALSE))))</f>
        <v/>
      </c>
      <c r="M2942" s="593" t="str">
        <f>IF(H:H=0,"",IF(ISERROR(VLOOKUP(H:H,produtos_escape2!$A$2:$D$2794,2,FALSE)),"Código não cadastrado",(VLOOKUP(H:H,produtos_escape2!$A$2:$D$2794,4,FALSE))))</f>
        <v/>
      </c>
      <c r="N2942" s="486"/>
      <c r="O2942" s="176"/>
      <c r="P2942" s="486"/>
      <c r="Q2942" s="247"/>
      <c r="R2942" s="246">
        <f t="shared" si="107"/>
        <v>0</v>
      </c>
      <c r="S2942" s="177"/>
      <c r="T2942" s="182"/>
      <c r="U2942" s="177"/>
      <c r="V2942" s="177"/>
      <c r="W2942" s="177"/>
      <c r="X2942" s="176"/>
      <c r="Y2942" s="177"/>
      <c r="Z2942" s="415"/>
      <c r="AA2942" s="488"/>
      <c r="AB2942" s="594"/>
      <c r="AC2942" s="595"/>
      <c r="AD2942" s="596" t="str">
        <f>IF(AND(AC2942&lt;&gt;"",S2942&lt;&gt;""),NETWORKDAYS(AC2942,S2942,#REF!),"")</f>
        <v/>
      </c>
      <c r="AE2942" s="596" t="str">
        <f ca="1">IF(AND(AD2942="",AC2942=""),"",IF(OR(AD2942&lt;&gt;"",O2942="*CANCELADO"),"",NETWORKDAYS(AC2942,TODAY(),#REF!)))</f>
        <v/>
      </c>
      <c r="AF2942" s="619"/>
    </row>
    <row r="2943" spans="1:32" ht="14.25" customHeight="1">
      <c r="A2943" s="176"/>
      <c r="B2943" s="176"/>
      <c r="C2943" s="177"/>
      <c r="D2943" s="176"/>
      <c r="E2943" s="176"/>
      <c r="F2943" s="259"/>
      <c r="G2943" s="176"/>
      <c r="H2943" s="178"/>
      <c r="I2943" s="592">
        <f t="shared" si="108"/>
        <v>0</v>
      </c>
      <c r="J2943" s="178"/>
      <c r="K2943" s="178"/>
      <c r="L2943" s="275" t="str">
        <f>IF(H:H=0,"",IF(ISERROR(VLOOKUP(H:H,produtos_escape2!$A$2:$B$2794,2,FALSE)),"Código não cadastrado",(VLOOKUP(H:H,produtos_escape2!$A$2:$B$2794,2,FALSE))))</f>
        <v/>
      </c>
      <c r="M2943" s="593" t="str">
        <f>IF(H:H=0,"",IF(ISERROR(VLOOKUP(H:H,produtos_escape2!$A$2:$D$2794,2,FALSE)),"Código não cadastrado",(VLOOKUP(H:H,produtos_escape2!$A$2:$D$2794,4,FALSE))))</f>
        <v/>
      </c>
      <c r="N2943" s="486"/>
      <c r="O2943" s="176"/>
      <c r="P2943" s="486"/>
      <c r="Q2943" s="247"/>
      <c r="R2943" s="246">
        <f t="shared" si="107"/>
        <v>0</v>
      </c>
      <c r="S2943" s="177"/>
      <c r="T2943" s="182"/>
      <c r="U2943" s="177"/>
      <c r="V2943" s="177"/>
      <c r="W2943" s="177"/>
      <c r="X2943" s="176"/>
      <c r="Y2943" s="177"/>
      <c r="Z2943" s="415"/>
      <c r="AA2943" s="488"/>
      <c r="AB2943" s="594"/>
      <c r="AC2943" s="595"/>
      <c r="AD2943" s="596" t="str">
        <f>IF(AND(AC2943&lt;&gt;"",S2943&lt;&gt;""),NETWORKDAYS(AC2943,S2943,#REF!),"")</f>
        <v/>
      </c>
      <c r="AE2943" s="596" t="str">
        <f ca="1">IF(AND(AD2943="",AC2943=""),"",IF(OR(AD2943&lt;&gt;"",O2943="*CANCELADO"),"",NETWORKDAYS(AC2943,TODAY(),#REF!)))</f>
        <v/>
      </c>
      <c r="AF2943" s="619"/>
    </row>
    <row r="2944" spans="1:32" ht="14.25" customHeight="1">
      <c r="A2944" s="176"/>
      <c r="B2944" s="176"/>
      <c r="C2944" s="177"/>
      <c r="D2944" s="176"/>
      <c r="E2944" s="176"/>
      <c r="F2944" s="259"/>
      <c r="G2944" s="176"/>
      <c r="H2944" s="178"/>
      <c r="I2944" s="592">
        <f t="shared" si="108"/>
        <v>0</v>
      </c>
      <c r="J2944" s="178"/>
      <c r="K2944" s="178"/>
      <c r="L2944" s="275" t="str">
        <f>IF(H:H=0,"",IF(ISERROR(VLOOKUP(H:H,produtos_escape2!$A$2:$B$2794,2,FALSE)),"Código não cadastrado",(VLOOKUP(H:H,produtos_escape2!$A$2:$B$2794,2,FALSE))))</f>
        <v/>
      </c>
      <c r="M2944" s="593" t="str">
        <f>IF(H:H=0,"",IF(ISERROR(VLOOKUP(H:H,produtos_escape2!$A$2:$D$2794,2,FALSE)),"Código não cadastrado",(VLOOKUP(H:H,produtos_escape2!$A$2:$D$2794,4,FALSE))))</f>
        <v/>
      </c>
      <c r="N2944" s="486"/>
      <c r="O2944" s="176"/>
      <c r="P2944" s="486"/>
      <c r="Q2944" s="247"/>
      <c r="R2944" s="246">
        <f t="shared" si="107"/>
        <v>0</v>
      </c>
      <c r="S2944" s="177"/>
      <c r="T2944" s="182"/>
      <c r="U2944" s="177"/>
      <c r="V2944" s="177"/>
      <c r="W2944" s="177"/>
      <c r="X2944" s="176"/>
      <c r="Y2944" s="177"/>
      <c r="Z2944" s="415"/>
      <c r="AA2944" s="488"/>
      <c r="AB2944" s="594"/>
      <c r="AC2944" s="595"/>
      <c r="AD2944" s="596" t="str">
        <f>IF(AND(AC2944&lt;&gt;"",S2944&lt;&gt;""),NETWORKDAYS(AC2944,S2944,#REF!),"")</f>
        <v/>
      </c>
      <c r="AE2944" s="596" t="str">
        <f ca="1">IF(AND(AD2944="",AC2944=""),"",IF(OR(AD2944&lt;&gt;"",O2944="*CANCELADO"),"",NETWORKDAYS(AC2944,TODAY(),#REF!)))</f>
        <v/>
      </c>
      <c r="AF2944" s="619"/>
    </row>
    <row r="2945" spans="1:32" ht="14.25" customHeight="1">
      <c r="A2945" s="176"/>
      <c r="B2945" s="176"/>
      <c r="C2945" s="177"/>
      <c r="D2945" s="176"/>
      <c r="E2945" s="176"/>
      <c r="F2945" s="259"/>
      <c r="G2945" s="176"/>
      <c r="H2945" s="178"/>
      <c r="I2945" s="592">
        <f t="shared" si="108"/>
        <v>0</v>
      </c>
      <c r="J2945" s="178"/>
      <c r="K2945" s="178"/>
      <c r="L2945" s="275" t="str">
        <f>IF(H:H=0,"",IF(ISERROR(VLOOKUP(H:H,produtos_escape2!$A$2:$B$2794,2,FALSE)),"Código não cadastrado",(VLOOKUP(H:H,produtos_escape2!$A$2:$B$2794,2,FALSE))))</f>
        <v/>
      </c>
      <c r="M2945" s="593" t="str">
        <f>IF(H:H=0,"",IF(ISERROR(VLOOKUP(H:H,produtos_escape2!$A$2:$D$2794,2,FALSE)),"Código não cadastrado",(VLOOKUP(H:H,produtos_escape2!$A$2:$D$2794,4,FALSE))))</f>
        <v/>
      </c>
      <c r="N2945" s="486"/>
      <c r="O2945" s="176"/>
      <c r="P2945" s="486"/>
      <c r="Q2945" s="247"/>
      <c r="R2945" s="246">
        <f t="shared" si="107"/>
        <v>0</v>
      </c>
      <c r="S2945" s="177"/>
      <c r="T2945" s="182"/>
      <c r="U2945" s="177"/>
      <c r="V2945" s="177"/>
      <c r="W2945" s="177"/>
      <c r="X2945" s="176"/>
      <c r="Y2945" s="177"/>
      <c r="Z2945" s="415"/>
      <c r="AA2945" s="488"/>
      <c r="AB2945" s="594"/>
      <c r="AC2945" s="595"/>
      <c r="AD2945" s="596" t="str">
        <f>IF(AND(AC2945&lt;&gt;"",S2945&lt;&gt;""),NETWORKDAYS(AC2945,S2945,#REF!),"")</f>
        <v/>
      </c>
      <c r="AE2945" s="596" t="str">
        <f ca="1">IF(AND(AD2945="",AC2945=""),"",IF(OR(AD2945&lt;&gt;"",O2945="*CANCELADO"),"",NETWORKDAYS(AC2945,TODAY(),#REF!)))</f>
        <v/>
      </c>
      <c r="AF2945" s="619"/>
    </row>
    <row r="2946" spans="1:32" ht="14.25" customHeight="1">
      <c r="A2946" s="176"/>
      <c r="B2946" s="176"/>
      <c r="C2946" s="177"/>
      <c r="D2946" s="176"/>
      <c r="E2946" s="176"/>
      <c r="F2946" s="259"/>
      <c r="G2946" s="176"/>
      <c r="H2946" s="178"/>
      <c r="I2946" s="592">
        <f t="shared" si="108"/>
        <v>0</v>
      </c>
      <c r="J2946" s="178"/>
      <c r="K2946" s="178"/>
      <c r="L2946" s="275" t="str">
        <f>IF(H:H=0,"",IF(ISERROR(VLOOKUP(H:H,produtos_escape2!$A$2:$B$2794,2,FALSE)),"Código não cadastrado",(VLOOKUP(H:H,produtos_escape2!$A$2:$B$2794,2,FALSE))))</f>
        <v/>
      </c>
      <c r="M2946" s="593" t="str">
        <f>IF(H:H=0,"",IF(ISERROR(VLOOKUP(H:H,produtos_escape2!$A$2:$D$2794,2,FALSE)),"Código não cadastrado",(VLOOKUP(H:H,produtos_escape2!$A$2:$D$2794,4,FALSE))))</f>
        <v/>
      </c>
      <c r="N2946" s="486"/>
      <c r="O2946" s="176"/>
      <c r="P2946" s="486"/>
      <c r="Q2946" s="247"/>
      <c r="R2946" s="246">
        <f t="shared" si="107"/>
        <v>0</v>
      </c>
      <c r="S2946" s="177"/>
      <c r="T2946" s="182"/>
      <c r="U2946" s="177"/>
      <c r="V2946" s="177"/>
      <c r="W2946" s="177"/>
      <c r="X2946" s="176"/>
      <c r="Y2946" s="177"/>
      <c r="Z2946" s="415"/>
      <c r="AA2946" s="488"/>
      <c r="AB2946" s="594"/>
      <c r="AC2946" s="595"/>
      <c r="AD2946" s="596" t="str">
        <f>IF(AND(AC2946&lt;&gt;"",S2946&lt;&gt;""),NETWORKDAYS(AC2946,S2946,#REF!),"")</f>
        <v/>
      </c>
      <c r="AE2946" s="596" t="str">
        <f ca="1">IF(AND(AD2946="",AC2946=""),"",IF(OR(AD2946&lt;&gt;"",O2946="*CANCELADO"),"",NETWORKDAYS(AC2946,TODAY(),#REF!)))</f>
        <v/>
      </c>
      <c r="AF2946" s="619"/>
    </row>
    <row r="2947" spans="1:32" ht="14.25" customHeight="1">
      <c r="A2947" s="176"/>
      <c r="B2947" s="176"/>
      <c r="C2947" s="177"/>
      <c r="D2947" s="176"/>
      <c r="E2947" s="176"/>
      <c r="F2947" s="259"/>
      <c r="G2947" s="176"/>
      <c r="H2947" s="178"/>
      <c r="I2947" s="592">
        <f t="shared" si="108"/>
        <v>0</v>
      </c>
      <c r="J2947" s="178"/>
      <c r="K2947" s="178"/>
      <c r="L2947" s="275" t="str">
        <f>IF(H:H=0,"",IF(ISERROR(VLOOKUP(H:H,produtos_escape2!$A$2:$B$2794,2,FALSE)),"Código não cadastrado",(VLOOKUP(H:H,produtos_escape2!$A$2:$B$2794,2,FALSE))))</f>
        <v/>
      </c>
      <c r="M2947" s="593" t="str">
        <f>IF(H:H=0,"",IF(ISERROR(VLOOKUP(H:H,produtos_escape2!$A$2:$D$2794,2,FALSE)),"Código não cadastrado",(VLOOKUP(H:H,produtos_escape2!$A$2:$D$2794,4,FALSE))))</f>
        <v/>
      </c>
      <c r="N2947" s="486"/>
      <c r="O2947" s="176"/>
      <c r="P2947" s="486"/>
      <c r="Q2947" s="247"/>
      <c r="R2947" s="246">
        <f t="shared" si="107"/>
        <v>0</v>
      </c>
      <c r="S2947" s="177"/>
      <c r="T2947" s="182"/>
      <c r="U2947" s="177"/>
      <c r="V2947" s="177"/>
      <c r="W2947" s="177"/>
      <c r="X2947" s="176"/>
      <c r="Y2947" s="177"/>
      <c r="Z2947" s="415"/>
      <c r="AA2947" s="488"/>
      <c r="AB2947" s="594"/>
      <c r="AC2947" s="595"/>
      <c r="AD2947" s="596" t="str">
        <f>IF(AND(AC2947&lt;&gt;"",S2947&lt;&gt;""),NETWORKDAYS(AC2947,S2947,#REF!),"")</f>
        <v/>
      </c>
      <c r="AE2947" s="596" t="str">
        <f ca="1">IF(AND(AD2947="",AC2947=""),"",IF(OR(AD2947&lt;&gt;"",O2947="*CANCELADO"),"",NETWORKDAYS(AC2947,TODAY(),#REF!)))</f>
        <v/>
      </c>
      <c r="AF2947" s="619"/>
    </row>
    <row r="2948" spans="1:32" ht="14.25" customHeight="1">
      <c r="A2948" s="176"/>
      <c r="B2948" s="176"/>
      <c r="C2948" s="177"/>
      <c r="D2948" s="176"/>
      <c r="E2948" s="176"/>
      <c r="F2948" s="259"/>
      <c r="G2948" s="176"/>
      <c r="H2948" s="178"/>
      <c r="I2948" s="592">
        <f t="shared" si="108"/>
        <v>0</v>
      </c>
      <c r="J2948" s="178"/>
      <c r="K2948" s="178"/>
      <c r="L2948" s="275" t="str">
        <f>IF(H:H=0,"",IF(ISERROR(VLOOKUP(H:H,produtos_escape2!$A$2:$B$2794,2,FALSE)),"Código não cadastrado",(VLOOKUP(H:H,produtos_escape2!$A$2:$B$2794,2,FALSE))))</f>
        <v/>
      </c>
      <c r="M2948" s="593" t="str">
        <f>IF(H:H=0,"",IF(ISERROR(VLOOKUP(H:H,produtos_escape2!$A$2:$D$2794,2,FALSE)),"Código não cadastrado",(VLOOKUP(H:H,produtos_escape2!$A$2:$D$2794,4,FALSE))))</f>
        <v/>
      </c>
      <c r="N2948" s="486"/>
      <c r="O2948" s="176"/>
      <c r="P2948" s="486"/>
      <c r="Q2948" s="247"/>
      <c r="R2948" s="246">
        <f t="shared" si="107"/>
        <v>0</v>
      </c>
      <c r="S2948" s="177"/>
      <c r="T2948" s="182"/>
      <c r="U2948" s="177"/>
      <c r="V2948" s="177"/>
      <c r="W2948" s="177"/>
      <c r="X2948" s="176"/>
      <c r="Y2948" s="177"/>
      <c r="Z2948" s="415"/>
      <c r="AA2948" s="488"/>
      <c r="AB2948" s="594"/>
      <c r="AC2948" s="595"/>
      <c r="AD2948" s="596" t="str">
        <f>IF(AND(AC2948&lt;&gt;"",S2948&lt;&gt;""),NETWORKDAYS(AC2948,S2948,#REF!),"")</f>
        <v/>
      </c>
      <c r="AE2948" s="596" t="str">
        <f ca="1">IF(AND(AD2948="",AC2948=""),"",IF(OR(AD2948&lt;&gt;"",O2948="*CANCELADO"),"",NETWORKDAYS(AC2948,TODAY(),#REF!)))</f>
        <v/>
      </c>
      <c r="AF2948" s="619"/>
    </row>
    <row r="2949" spans="1:32" ht="14.25" customHeight="1">
      <c r="A2949" s="176"/>
      <c r="B2949" s="176"/>
      <c r="C2949" s="177"/>
      <c r="D2949" s="176"/>
      <c r="E2949" s="176"/>
      <c r="F2949" s="259"/>
      <c r="G2949" s="176"/>
      <c r="H2949" s="178"/>
      <c r="I2949" s="592">
        <f t="shared" si="108"/>
        <v>0</v>
      </c>
      <c r="J2949" s="178"/>
      <c r="K2949" s="178"/>
      <c r="L2949" s="275" t="str">
        <f>IF(H:H=0,"",IF(ISERROR(VLOOKUP(H:H,produtos_escape2!$A$2:$B$2794,2,FALSE)),"Código não cadastrado",(VLOOKUP(H:H,produtos_escape2!$A$2:$B$2794,2,FALSE))))</f>
        <v/>
      </c>
      <c r="M2949" s="593" t="str">
        <f>IF(H:H=0,"",IF(ISERROR(VLOOKUP(H:H,produtos_escape2!$A$2:$D$2794,2,FALSE)),"Código não cadastrado",(VLOOKUP(H:H,produtos_escape2!$A$2:$D$2794,4,FALSE))))</f>
        <v/>
      </c>
      <c r="N2949" s="486"/>
      <c r="O2949" s="176"/>
      <c r="P2949" s="486"/>
      <c r="Q2949" s="247"/>
      <c r="R2949" s="246">
        <f t="shared" si="107"/>
        <v>0</v>
      </c>
      <c r="S2949" s="177"/>
      <c r="T2949" s="182"/>
      <c r="U2949" s="177"/>
      <c r="V2949" s="177"/>
      <c r="W2949" s="177"/>
      <c r="X2949" s="176"/>
      <c r="Y2949" s="177"/>
      <c r="Z2949" s="415"/>
      <c r="AA2949" s="488"/>
      <c r="AB2949" s="594"/>
      <c r="AC2949" s="595"/>
      <c r="AD2949" s="596" t="str">
        <f>IF(AND(AC2949&lt;&gt;"",S2949&lt;&gt;""),NETWORKDAYS(AC2949,S2949,#REF!),"")</f>
        <v/>
      </c>
      <c r="AE2949" s="596" t="str">
        <f ca="1">IF(AND(AD2949="",AC2949=""),"",IF(OR(AD2949&lt;&gt;"",O2949="*CANCELADO"),"",NETWORKDAYS(AC2949,TODAY(),#REF!)))</f>
        <v/>
      </c>
      <c r="AF2949" s="619"/>
    </row>
    <row r="2950" spans="1:32" ht="14.25" customHeight="1">
      <c r="A2950" s="176"/>
      <c r="B2950" s="176"/>
      <c r="C2950" s="177"/>
      <c r="D2950" s="176"/>
      <c r="E2950" s="176"/>
      <c r="F2950" s="259"/>
      <c r="G2950" s="176"/>
      <c r="H2950" s="178"/>
      <c r="I2950" s="592">
        <f t="shared" si="108"/>
        <v>0</v>
      </c>
      <c r="J2950" s="178"/>
      <c r="K2950" s="178"/>
      <c r="L2950" s="275" t="str">
        <f>IF(H:H=0,"",IF(ISERROR(VLOOKUP(H:H,produtos_escape2!$A$2:$B$2794,2,FALSE)),"Código não cadastrado",(VLOOKUP(H:H,produtos_escape2!$A$2:$B$2794,2,FALSE))))</f>
        <v/>
      </c>
      <c r="M2950" s="593" t="str">
        <f>IF(H:H=0,"",IF(ISERROR(VLOOKUP(H:H,produtos_escape2!$A$2:$D$2794,2,FALSE)),"Código não cadastrado",(VLOOKUP(H:H,produtos_escape2!$A$2:$D$2794,4,FALSE))))</f>
        <v/>
      </c>
      <c r="N2950" s="486"/>
      <c r="O2950" s="176"/>
      <c r="P2950" s="486"/>
      <c r="Q2950" s="247"/>
      <c r="R2950" s="246">
        <f t="shared" si="107"/>
        <v>0</v>
      </c>
      <c r="S2950" s="177"/>
      <c r="T2950" s="182"/>
      <c r="U2950" s="177"/>
      <c r="V2950" s="177"/>
      <c r="W2950" s="177"/>
      <c r="X2950" s="176"/>
      <c r="Y2950" s="177"/>
      <c r="Z2950" s="415"/>
      <c r="AA2950" s="488"/>
      <c r="AB2950" s="594"/>
      <c r="AC2950" s="595"/>
      <c r="AD2950" s="596" t="str">
        <f>IF(AND(AC2950&lt;&gt;"",S2950&lt;&gt;""),NETWORKDAYS(AC2950,S2950,#REF!),"")</f>
        <v/>
      </c>
      <c r="AE2950" s="596" t="str">
        <f ca="1">IF(AND(AD2950="",AC2950=""),"",IF(OR(AD2950&lt;&gt;"",O2950="*CANCELADO"),"",NETWORKDAYS(AC2950,TODAY(),#REF!)))</f>
        <v/>
      </c>
      <c r="AF2950" s="619"/>
    </row>
    <row r="2951" spans="1:32" ht="14.25" customHeight="1">
      <c r="A2951" s="176"/>
      <c r="B2951" s="176"/>
      <c r="C2951" s="177"/>
      <c r="D2951" s="176"/>
      <c r="E2951" s="176"/>
      <c r="F2951" s="259"/>
      <c r="G2951" s="176"/>
      <c r="H2951" s="178"/>
      <c r="I2951" s="592">
        <f t="shared" si="108"/>
        <v>0</v>
      </c>
      <c r="J2951" s="178"/>
      <c r="K2951" s="178"/>
      <c r="L2951" s="275" t="str">
        <f>IF(H:H=0,"",IF(ISERROR(VLOOKUP(H:H,produtos_escape2!$A$2:$B$2794,2,FALSE)),"Código não cadastrado",(VLOOKUP(H:H,produtos_escape2!$A$2:$B$2794,2,FALSE))))</f>
        <v/>
      </c>
      <c r="M2951" s="593" t="str">
        <f>IF(H:H=0,"",IF(ISERROR(VLOOKUP(H:H,produtos_escape2!$A$2:$D$2794,2,FALSE)),"Código não cadastrado",(VLOOKUP(H:H,produtos_escape2!$A$2:$D$2794,4,FALSE))))</f>
        <v/>
      </c>
      <c r="N2951" s="486"/>
      <c r="O2951" s="176"/>
      <c r="P2951" s="486"/>
      <c r="Q2951" s="247"/>
      <c r="R2951" s="246">
        <f t="shared" si="107"/>
        <v>0</v>
      </c>
      <c r="S2951" s="177"/>
      <c r="T2951" s="182"/>
      <c r="U2951" s="177"/>
      <c r="V2951" s="177"/>
      <c r="W2951" s="177"/>
      <c r="X2951" s="176"/>
      <c r="Y2951" s="177"/>
      <c r="Z2951" s="415"/>
      <c r="AA2951" s="488"/>
      <c r="AB2951" s="594"/>
      <c r="AC2951" s="595"/>
      <c r="AD2951" s="596" t="str">
        <f>IF(AND(AC2951&lt;&gt;"",S2951&lt;&gt;""),NETWORKDAYS(AC2951,S2951,#REF!),"")</f>
        <v/>
      </c>
      <c r="AE2951" s="596" t="str">
        <f ca="1">IF(AND(AD2951="",AC2951=""),"",IF(OR(AD2951&lt;&gt;"",O2951="*CANCELADO"),"",NETWORKDAYS(AC2951,TODAY(),#REF!)))</f>
        <v/>
      </c>
      <c r="AF2951" s="619"/>
    </row>
    <row r="2952" spans="1:32" ht="14.25" customHeight="1">
      <c r="A2952" s="176"/>
      <c r="B2952" s="176"/>
      <c r="C2952" s="177"/>
      <c r="D2952" s="176"/>
      <c r="E2952" s="176"/>
      <c r="F2952" s="259"/>
      <c r="G2952" s="176"/>
      <c r="H2952" s="178"/>
      <c r="I2952" s="592">
        <f t="shared" si="108"/>
        <v>0</v>
      </c>
      <c r="J2952" s="178"/>
      <c r="K2952" s="178"/>
      <c r="L2952" s="275" t="str">
        <f>IF(H:H=0,"",IF(ISERROR(VLOOKUP(H:H,produtos_escape2!$A$2:$B$2794,2,FALSE)),"Código não cadastrado",(VLOOKUP(H:H,produtos_escape2!$A$2:$B$2794,2,FALSE))))</f>
        <v/>
      </c>
      <c r="M2952" s="593" t="str">
        <f>IF(H:H=0,"",IF(ISERROR(VLOOKUP(H:H,produtos_escape2!$A$2:$D$2794,2,FALSE)),"Código não cadastrado",(VLOOKUP(H:H,produtos_escape2!$A$2:$D$2794,4,FALSE))))</f>
        <v/>
      </c>
      <c r="N2952" s="486"/>
      <c r="O2952" s="176"/>
      <c r="P2952" s="486"/>
      <c r="Q2952" s="247"/>
      <c r="R2952" s="246">
        <f t="shared" si="107"/>
        <v>0</v>
      </c>
      <c r="S2952" s="177"/>
      <c r="T2952" s="182"/>
      <c r="U2952" s="177"/>
      <c r="V2952" s="177"/>
      <c r="W2952" s="177"/>
      <c r="X2952" s="176"/>
      <c r="Y2952" s="177"/>
      <c r="Z2952" s="415"/>
      <c r="AA2952" s="488"/>
      <c r="AB2952" s="594"/>
      <c r="AC2952" s="595"/>
      <c r="AD2952" s="596" t="str">
        <f>IF(AND(AC2952&lt;&gt;"",S2952&lt;&gt;""),NETWORKDAYS(AC2952,S2952,#REF!),"")</f>
        <v/>
      </c>
      <c r="AE2952" s="596" t="str">
        <f ca="1">IF(AND(AD2952="",AC2952=""),"",IF(OR(AD2952&lt;&gt;"",O2952="*CANCELADO"),"",NETWORKDAYS(AC2952,TODAY(),#REF!)))</f>
        <v/>
      </c>
      <c r="AF2952" s="619"/>
    </row>
    <row r="2953" spans="1:32" ht="14.25" customHeight="1">
      <c r="A2953" s="176"/>
      <c r="B2953" s="176"/>
      <c r="C2953" s="177"/>
      <c r="D2953" s="176"/>
      <c r="E2953" s="176"/>
      <c r="F2953" s="259"/>
      <c r="G2953" s="176"/>
      <c r="H2953" s="178"/>
      <c r="I2953" s="592">
        <f t="shared" si="108"/>
        <v>0</v>
      </c>
      <c r="J2953" s="178"/>
      <c r="K2953" s="178"/>
      <c r="L2953" s="275" t="str">
        <f>IF(H:H=0,"",IF(ISERROR(VLOOKUP(H:H,produtos_escape2!$A$2:$B$2794,2,FALSE)),"Código não cadastrado",(VLOOKUP(H:H,produtos_escape2!$A$2:$B$2794,2,FALSE))))</f>
        <v/>
      </c>
      <c r="M2953" s="593" t="str">
        <f>IF(H:H=0,"",IF(ISERROR(VLOOKUP(H:H,produtos_escape2!$A$2:$D$2794,2,FALSE)),"Código não cadastrado",(VLOOKUP(H:H,produtos_escape2!$A$2:$D$2794,4,FALSE))))</f>
        <v/>
      </c>
      <c r="N2953" s="486"/>
      <c r="O2953" s="176"/>
      <c r="P2953" s="486"/>
      <c r="Q2953" s="247"/>
      <c r="R2953" s="246">
        <f t="shared" si="107"/>
        <v>0</v>
      </c>
      <c r="S2953" s="177"/>
      <c r="T2953" s="182"/>
      <c r="U2953" s="177"/>
      <c r="V2953" s="177"/>
      <c r="W2953" s="177"/>
      <c r="X2953" s="176"/>
      <c r="Y2953" s="177"/>
      <c r="Z2953" s="415"/>
      <c r="AA2953" s="488"/>
      <c r="AB2953" s="594"/>
      <c r="AC2953" s="595"/>
      <c r="AD2953" s="596" t="str">
        <f>IF(AND(AC2953&lt;&gt;"",S2953&lt;&gt;""),NETWORKDAYS(AC2953,S2953,#REF!),"")</f>
        <v/>
      </c>
      <c r="AE2953" s="596" t="str">
        <f ca="1">IF(AND(AD2953="",AC2953=""),"",IF(OR(AD2953&lt;&gt;"",O2953="*CANCELADO"),"",NETWORKDAYS(AC2953,TODAY(),#REF!)))</f>
        <v/>
      </c>
      <c r="AF2953" s="619"/>
    </row>
    <row r="2954" spans="1:32" ht="14.25" customHeight="1">
      <c r="A2954" s="176"/>
      <c r="B2954" s="176"/>
      <c r="C2954" s="177"/>
      <c r="D2954" s="176"/>
      <c r="E2954" s="176"/>
      <c r="F2954" s="259"/>
      <c r="G2954" s="176"/>
      <c r="H2954" s="178"/>
      <c r="I2954" s="592">
        <f t="shared" si="108"/>
        <v>0</v>
      </c>
      <c r="J2954" s="178"/>
      <c r="K2954" s="178"/>
      <c r="L2954" s="275" t="str">
        <f>IF(H:H=0,"",IF(ISERROR(VLOOKUP(H:H,produtos_escape2!$A$2:$B$2794,2,FALSE)),"Código não cadastrado",(VLOOKUP(H:H,produtos_escape2!$A$2:$B$2794,2,FALSE))))</f>
        <v/>
      </c>
      <c r="M2954" s="593" t="str">
        <f>IF(H:H=0,"",IF(ISERROR(VLOOKUP(H:H,produtos_escape2!$A$2:$D$2794,2,FALSE)),"Código não cadastrado",(VLOOKUP(H:H,produtos_escape2!$A$2:$D$2794,4,FALSE))))</f>
        <v/>
      </c>
      <c r="N2954" s="486"/>
      <c r="O2954" s="176"/>
      <c r="P2954" s="486"/>
      <c r="Q2954" s="247"/>
      <c r="R2954" s="246">
        <f t="shared" si="107"/>
        <v>0</v>
      </c>
      <c r="S2954" s="177"/>
      <c r="T2954" s="182"/>
      <c r="U2954" s="177"/>
      <c r="V2954" s="177"/>
      <c r="W2954" s="177"/>
      <c r="X2954" s="176"/>
      <c r="Y2954" s="177"/>
      <c r="Z2954" s="415"/>
      <c r="AA2954" s="488"/>
      <c r="AB2954" s="594"/>
      <c r="AC2954" s="595"/>
      <c r="AD2954" s="596" t="str">
        <f>IF(AND(AC2954&lt;&gt;"",S2954&lt;&gt;""),NETWORKDAYS(AC2954,S2954,#REF!),"")</f>
        <v/>
      </c>
      <c r="AE2954" s="596" t="str">
        <f ca="1">IF(AND(AD2954="",AC2954=""),"",IF(OR(AD2954&lt;&gt;"",O2954="*CANCELADO"),"",NETWORKDAYS(AC2954,TODAY(),#REF!)))</f>
        <v/>
      </c>
      <c r="AF2954" s="619"/>
    </row>
    <row r="2955" spans="1:32" ht="14.25" customHeight="1">
      <c r="A2955" s="176"/>
      <c r="B2955" s="176"/>
      <c r="C2955" s="177"/>
      <c r="D2955" s="176"/>
      <c r="E2955" s="176"/>
      <c r="F2955" s="259"/>
      <c r="G2955" s="176"/>
      <c r="H2955" s="178"/>
      <c r="I2955" s="592">
        <f t="shared" si="108"/>
        <v>0</v>
      </c>
      <c r="J2955" s="178"/>
      <c r="K2955" s="178"/>
      <c r="L2955" s="275" t="str">
        <f>IF(H:H=0,"",IF(ISERROR(VLOOKUP(H:H,produtos_escape2!$A$2:$B$2794,2,FALSE)),"Código não cadastrado",(VLOOKUP(H:H,produtos_escape2!$A$2:$B$2794,2,FALSE))))</f>
        <v/>
      </c>
      <c r="M2955" s="593" t="str">
        <f>IF(H:H=0,"",IF(ISERROR(VLOOKUP(H:H,produtos_escape2!$A$2:$D$2794,2,FALSE)),"Código não cadastrado",(VLOOKUP(H:H,produtos_escape2!$A$2:$D$2794,4,FALSE))))</f>
        <v/>
      </c>
      <c r="N2955" s="486"/>
      <c r="O2955" s="176"/>
      <c r="P2955" s="486"/>
      <c r="Q2955" s="247"/>
      <c r="R2955" s="246">
        <f t="shared" si="107"/>
        <v>0</v>
      </c>
      <c r="S2955" s="177"/>
      <c r="T2955" s="182"/>
      <c r="U2955" s="177"/>
      <c r="V2955" s="177"/>
      <c r="W2955" s="177"/>
      <c r="X2955" s="176"/>
      <c r="Y2955" s="177"/>
      <c r="Z2955" s="415"/>
      <c r="AA2955" s="488"/>
      <c r="AB2955" s="594"/>
      <c r="AC2955" s="595"/>
      <c r="AD2955" s="596" t="str">
        <f>IF(AND(AC2955&lt;&gt;"",S2955&lt;&gt;""),NETWORKDAYS(AC2955,S2955,#REF!),"")</f>
        <v/>
      </c>
      <c r="AE2955" s="596" t="str">
        <f ca="1">IF(AND(AD2955="",AC2955=""),"",IF(OR(AD2955&lt;&gt;"",O2955="*CANCELADO"),"",NETWORKDAYS(AC2955,TODAY(),#REF!)))</f>
        <v/>
      </c>
      <c r="AF2955" s="619"/>
    </row>
    <row r="2956" spans="1:32" ht="14.25" customHeight="1">
      <c r="A2956" s="176"/>
      <c r="B2956" s="176"/>
      <c r="C2956" s="177"/>
      <c r="D2956" s="176"/>
      <c r="E2956" s="176"/>
      <c r="F2956" s="259"/>
      <c r="G2956" s="176"/>
      <c r="H2956" s="178"/>
      <c r="I2956" s="592">
        <f t="shared" si="108"/>
        <v>0</v>
      </c>
      <c r="J2956" s="178"/>
      <c r="K2956" s="178"/>
      <c r="L2956" s="275" t="str">
        <f>IF(H:H=0,"",IF(ISERROR(VLOOKUP(H:H,produtos_escape2!$A$2:$B$2794,2,FALSE)),"Código não cadastrado",(VLOOKUP(H:H,produtos_escape2!$A$2:$B$2794,2,FALSE))))</f>
        <v/>
      </c>
      <c r="M2956" s="593" t="str">
        <f>IF(H:H=0,"",IF(ISERROR(VLOOKUP(H:H,produtos_escape2!$A$2:$D$2794,2,FALSE)),"Código não cadastrado",(VLOOKUP(H:H,produtos_escape2!$A$2:$D$2794,4,FALSE))))</f>
        <v/>
      </c>
      <c r="N2956" s="486"/>
      <c r="O2956" s="176"/>
      <c r="P2956" s="486"/>
      <c r="Q2956" s="247"/>
      <c r="R2956" s="246">
        <f t="shared" si="107"/>
        <v>0</v>
      </c>
      <c r="S2956" s="177"/>
      <c r="T2956" s="182"/>
      <c r="U2956" s="177"/>
      <c r="V2956" s="177"/>
      <c r="W2956" s="177"/>
      <c r="X2956" s="176"/>
      <c r="Y2956" s="177"/>
      <c r="Z2956" s="415"/>
      <c r="AA2956" s="488"/>
      <c r="AB2956" s="594"/>
      <c r="AC2956" s="595"/>
      <c r="AD2956" s="596" t="str">
        <f>IF(AND(AC2956&lt;&gt;"",S2956&lt;&gt;""),NETWORKDAYS(AC2956,S2956,#REF!),"")</f>
        <v/>
      </c>
      <c r="AE2956" s="596" t="str">
        <f ca="1">IF(AND(AD2956="",AC2956=""),"",IF(OR(AD2956&lt;&gt;"",O2956="*CANCELADO"),"",NETWORKDAYS(AC2956,TODAY(),#REF!)))</f>
        <v/>
      </c>
      <c r="AF2956" s="619"/>
    </row>
    <row r="2957" spans="1:32" ht="14.25" customHeight="1">
      <c r="A2957" s="176"/>
      <c r="B2957" s="176"/>
      <c r="C2957" s="177"/>
      <c r="D2957" s="176"/>
      <c r="E2957" s="176"/>
      <c r="F2957" s="259"/>
      <c r="G2957" s="176"/>
      <c r="H2957" s="178"/>
      <c r="I2957" s="592">
        <f t="shared" si="108"/>
        <v>0</v>
      </c>
      <c r="J2957" s="178"/>
      <c r="K2957" s="178"/>
      <c r="L2957" s="275" t="str">
        <f>IF(H:H=0,"",IF(ISERROR(VLOOKUP(H:H,produtos_escape2!$A$2:$B$2794,2,FALSE)),"Código não cadastrado",(VLOOKUP(H:H,produtos_escape2!$A$2:$B$2794,2,FALSE))))</f>
        <v/>
      </c>
      <c r="M2957" s="593" t="str">
        <f>IF(H:H=0,"",IF(ISERROR(VLOOKUP(H:H,produtos_escape2!$A$2:$D$2794,2,FALSE)),"Código não cadastrado",(VLOOKUP(H:H,produtos_escape2!$A$2:$D$2794,4,FALSE))))</f>
        <v/>
      </c>
      <c r="N2957" s="486"/>
      <c r="O2957" s="176"/>
      <c r="P2957" s="486"/>
      <c r="Q2957" s="247"/>
      <c r="R2957" s="246">
        <f t="shared" si="107"/>
        <v>0</v>
      </c>
      <c r="S2957" s="177"/>
      <c r="T2957" s="182"/>
      <c r="U2957" s="177"/>
      <c r="V2957" s="177"/>
      <c r="W2957" s="177"/>
      <c r="X2957" s="176"/>
      <c r="Y2957" s="177"/>
      <c r="Z2957" s="415"/>
      <c r="AA2957" s="488"/>
      <c r="AB2957" s="594"/>
      <c r="AC2957" s="595"/>
      <c r="AD2957" s="596" t="str">
        <f>IF(AND(AC2957&lt;&gt;"",S2957&lt;&gt;""),NETWORKDAYS(AC2957,S2957,#REF!),"")</f>
        <v/>
      </c>
      <c r="AE2957" s="596" t="str">
        <f ca="1">IF(AND(AD2957="",AC2957=""),"",IF(OR(AD2957&lt;&gt;"",O2957="*CANCELADO"),"",NETWORKDAYS(AC2957,TODAY(),#REF!)))</f>
        <v/>
      </c>
      <c r="AF2957" s="619"/>
    </row>
    <row r="2958" spans="1:32" ht="14.25" customHeight="1">
      <c r="A2958" s="176"/>
      <c r="B2958" s="176"/>
      <c r="C2958" s="177"/>
      <c r="D2958" s="176"/>
      <c r="E2958" s="176"/>
      <c r="F2958" s="259"/>
      <c r="G2958" s="176"/>
      <c r="H2958" s="178"/>
      <c r="I2958" s="592">
        <f t="shared" si="108"/>
        <v>0</v>
      </c>
      <c r="J2958" s="178"/>
      <c r="K2958" s="178"/>
      <c r="L2958" s="275" t="str">
        <f>IF(H:H=0,"",IF(ISERROR(VLOOKUP(H:H,produtos_escape2!$A$2:$B$2794,2,FALSE)),"Código não cadastrado",(VLOOKUP(H:H,produtos_escape2!$A$2:$B$2794,2,FALSE))))</f>
        <v/>
      </c>
      <c r="M2958" s="593" t="str">
        <f>IF(H:H=0,"",IF(ISERROR(VLOOKUP(H:H,produtos_escape2!$A$2:$D$2794,2,FALSE)),"Código não cadastrado",(VLOOKUP(H:H,produtos_escape2!$A$2:$D$2794,4,FALSE))))</f>
        <v/>
      </c>
      <c r="N2958" s="486"/>
      <c r="O2958" s="176"/>
      <c r="P2958" s="486"/>
      <c r="Q2958" s="247"/>
      <c r="R2958" s="246">
        <f t="shared" si="107"/>
        <v>0</v>
      </c>
      <c r="S2958" s="177"/>
      <c r="T2958" s="182"/>
      <c r="U2958" s="177"/>
      <c r="V2958" s="177"/>
      <c r="W2958" s="177"/>
      <c r="X2958" s="176"/>
      <c r="Y2958" s="177"/>
      <c r="Z2958" s="415"/>
      <c r="AA2958" s="488"/>
      <c r="AB2958" s="594"/>
      <c r="AC2958" s="595"/>
      <c r="AD2958" s="596" t="str">
        <f>IF(AND(AC2958&lt;&gt;"",S2958&lt;&gt;""),NETWORKDAYS(AC2958,S2958,#REF!),"")</f>
        <v/>
      </c>
      <c r="AE2958" s="596" t="str">
        <f ca="1">IF(AND(AD2958="",AC2958=""),"",IF(OR(AD2958&lt;&gt;"",O2958="*CANCELADO"),"",NETWORKDAYS(AC2958,TODAY(),#REF!)))</f>
        <v/>
      </c>
      <c r="AF2958" s="619"/>
    </row>
    <row r="2959" spans="1:32" ht="14.25" customHeight="1">
      <c r="A2959" s="176"/>
      <c r="B2959" s="176"/>
      <c r="C2959" s="177"/>
      <c r="D2959" s="176"/>
      <c r="E2959" s="176"/>
      <c r="F2959" s="259"/>
      <c r="G2959" s="176"/>
      <c r="H2959" s="178"/>
      <c r="I2959" s="592">
        <f t="shared" si="108"/>
        <v>0</v>
      </c>
      <c r="J2959" s="178"/>
      <c r="K2959" s="178"/>
      <c r="L2959" s="275" t="str">
        <f>IF(H:H=0,"",IF(ISERROR(VLOOKUP(H:H,produtos_escape2!$A$2:$B$2794,2,FALSE)),"Código não cadastrado",(VLOOKUP(H:H,produtos_escape2!$A$2:$B$2794,2,FALSE))))</f>
        <v/>
      </c>
      <c r="M2959" s="593" t="str">
        <f>IF(H:H=0,"",IF(ISERROR(VLOOKUP(H:H,produtos_escape2!$A$2:$D$2794,2,FALSE)),"Código não cadastrado",(VLOOKUP(H:H,produtos_escape2!$A$2:$D$2794,4,FALSE))))</f>
        <v/>
      </c>
      <c r="N2959" s="486"/>
      <c r="O2959" s="176"/>
      <c r="P2959" s="486"/>
      <c r="Q2959" s="247"/>
      <c r="R2959" s="246">
        <f t="shared" si="107"/>
        <v>0</v>
      </c>
      <c r="S2959" s="177"/>
      <c r="T2959" s="182"/>
      <c r="U2959" s="177"/>
      <c r="V2959" s="177"/>
      <c r="W2959" s="177"/>
      <c r="X2959" s="176"/>
      <c r="Y2959" s="177"/>
      <c r="Z2959" s="415"/>
      <c r="AA2959" s="488"/>
      <c r="AB2959" s="594"/>
      <c r="AC2959" s="595"/>
      <c r="AD2959" s="596" t="str">
        <f>IF(AND(AC2959&lt;&gt;"",S2959&lt;&gt;""),NETWORKDAYS(AC2959,S2959,#REF!),"")</f>
        <v/>
      </c>
      <c r="AE2959" s="596" t="str">
        <f ca="1">IF(AND(AD2959="",AC2959=""),"",IF(OR(AD2959&lt;&gt;"",O2959="*CANCELADO"),"",NETWORKDAYS(AC2959,TODAY(),#REF!)))</f>
        <v/>
      </c>
      <c r="AF2959" s="619"/>
    </row>
    <row r="2960" spans="1:32" ht="14.25" customHeight="1">
      <c r="A2960" s="176"/>
      <c r="B2960" s="176"/>
      <c r="C2960" s="177"/>
      <c r="D2960" s="176"/>
      <c r="E2960" s="176"/>
      <c r="F2960" s="259"/>
      <c r="G2960" s="176"/>
      <c r="H2960" s="178"/>
      <c r="I2960" s="592">
        <f t="shared" si="108"/>
        <v>0</v>
      </c>
      <c r="J2960" s="178"/>
      <c r="K2960" s="178"/>
      <c r="L2960" s="275" t="str">
        <f>IF(H:H=0,"",IF(ISERROR(VLOOKUP(H:H,produtos_escape2!$A$2:$B$2794,2,FALSE)),"Código não cadastrado",(VLOOKUP(H:H,produtos_escape2!$A$2:$B$2794,2,FALSE))))</f>
        <v/>
      </c>
      <c r="M2960" s="593" t="str">
        <f>IF(H:H=0,"",IF(ISERROR(VLOOKUP(H:H,produtos_escape2!$A$2:$D$2794,2,FALSE)),"Código não cadastrado",(VLOOKUP(H:H,produtos_escape2!$A$2:$D$2794,4,FALSE))))</f>
        <v/>
      </c>
      <c r="N2960" s="486"/>
      <c r="O2960" s="176"/>
      <c r="P2960" s="486"/>
      <c r="Q2960" s="247"/>
      <c r="R2960" s="246">
        <f t="shared" si="107"/>
        <v>0</v>
      </c>
      <c r="S2960" s="177"/>
      <c r="T2960" s="182"/>
      <c r="U2960" s="177"/>
      <c r="V2960" s="177"/>
      <c r="W2960" s="177"/>
      <c r="X2960" s="176"/>
      <c r="Y2960" s="177"/>
      <c r="Z2960" s="415"/>
      <c r="AA2960" s="488"/>
      <c r="AB2960" s="594"/>
      <c r="AC2960" s="595"/>
      <c r="AD2960" s="596" t="str">
        <f>IF(AND(AC2960&lt;&gt;"",S2960&lt;&gt;""),NETWORKDAYS(AC2960,S2960,#REF!),"")</f>
        <v/>
      </c>
      <c r="AE2960" s="596" t="str">
        <f ca="1">IF(AND(AD2960="",AC2960=""),"",IF(OR(AD2960&lt;&gt;"",O2960="*CANCELADO"),"",NETWORKDAYS(AC2960,TODAY(),#REF!)))</f>
        <v/>
      </c>
      <c r="AF2960" s="619"/>
    </row>
    <row r="2961" spans="1:32" ht="14.25" customHeight="1">
      <c r="A2961" s="176"/>
      <c r="B2961" s="176"/>
      <c r="C2961" s="177"/>
      <c r="D2961" s="176"/>
      <c r="E2961" s="176"/>
      <c r="F2961" s="259"/>
      <c r="G2961" s="176"/>
      <c r="H2961" s="178"/>
      <c r="I2961" s="592">
        <f t="shared" si="108"/>
        <v>0</v>
      </c>
      <c r="J2961" s="178"/>
      <c r="K2961" s="178"/>
      <c r="L2961" s="275" t="str">
        <f>IF(H:H=0,"",IF(ISERROR(VLOOKUP(H:H,produtos_escape2!$A$2:$B$2794,2,FALSE)),"Código não cadastrado",(VLOOKUP(H:H,produtos_escape2!$A$2:$B$2794,2,FALSE))))</f>
        <v/>
      </c>
      <c r="M2961" s="593" t="str">
        <f>IF(H:H=0,"",IF(ISERROR(VLOOKUP(H:H,produtos_escape2!$A$2:$D$2794,2,FALSE)),"Código não cadastrado",(VLOOKUP(H:H,produtos_escape2!$A$2:$D$2794,4,FALSE))))</f>
        <v/>
      </c>
      <c r="N2961" s="486"/>
      <c r="O2961" s="176"/>
      <c r="P2961" s="486"/>
      <c r="Q2961" s="247"/>
      <c r="R2961" s="246">
        <f t="shared" si="107"/>
        <v>0</v>
      </c>
      <c r="S2961" s="177"/>
      <c r="T2961" s="182"/>
      <c r="U2961" s="177"/>
      <c r="V2961" s="177"/>
      <c r="W2961" s="177"/>
      <c r="X2961" s="176"/>
      <c r="Y2961" s="177"/>
      <c r="Z2961" s="415"/>
      <c r="AA2961" s="488"/>
      <c r="AB2961" s="594"/>
      <c r="AC2961" s="595"/>
      <c r="AD2961" s="596" t="str">
        <f>IF(AND(AC2961&lt;&gt;"",S2961&lt;&gt;""),NETWORKDAYS(AC2961,S2961,#REF!),"")</f>
        <v/>
      </c>
      <c r="AE2961" s="596" t="str">
        <f ca="1">IF(AND(AD2961="",AC2961=""),"",IF(OR(AD2961&lt;&gt;"",O2961="*CANCELADO"),"",NETWORKDAYS(AC2961,TODAY(),#REF!)))</f>
        <v/>
      </c>
      <c r="AF2961" s="619"/>
    </row>
    <row r="2962" spans="1:32" ht="14.25" customHeight="1">
      <c r="A2962" s="176"/>
      <c r="B2962" s="176"/>
      <c r="C2962" s="177"/>
      <c r="D2962" s="176"/>
      <c r="E2962" s="176"/>
      <c r="F2962" s="259"/>
      <c r="G2962" s="176"/>
      <c r="H2962" s="178"/>
      <c r="I2962" s="592">
        <f t="shared" si="108"/>
        <v>0</v>
      </c>
      <c r="J2962" s="178"/>
      <c r="K2962" s="178"/>
      <c r="L2962" s="275" t="str">
        <f>IF(H:H=0,"",IF(ISERROR(VLOOKUP(H:H,produtos_escape2!$A$2:$B$2794,2,FALSE)),"Código não cadastrado",(VLOOKUP(H:H,produtos_escape2!$A$2:$B$2794,2,FALSE))))</f>
        <v/>
      </c>
      <c r="M2962" s="593" t="str">
        <f>IF(H:H=0,"",IF(ISERROR(VLOOKUP(H:H,produtos_escape2!$A$2:$D$2794,2,FALSE)),"Código não cadastrado",(VLOOKUP(H:H,produtos_escape2!$A$2:$D$2794,4,FALSE))))</f>
        <v/>
      </c>
      <c r="N2962" s="486"/>
      <c r="O2962" s="176"/>
      <c r="P2962" s="486"/>
      <c r="Q2962" s="247"/>
      <c r="R2962" s="246">
        <f t="shared" si="107"/>
        <v>0</v>
      </c>
      <c r="S2962" s="177"/>
      <c r="T2962" s="182"/>
      <c r="U2962" s="177"/>
      <c r="V2962" s="177"/>
      <c r="W2962" s="177"/>
      <c r="X2962" s="176"/>
      <c r="Y2962" s="177"/>
      <c r="Z2962" s="415"/>
      <c r="AA2962" s="488"/>
      <c r="AB2962" s="594"/>
      <c r="AC2962" s="595"/>
      <c r="AD2962" s="596" t="str">
        <f>IF(AND(AC2962&lt;&gt;"",S2962&lt;&gt;""),NETWORKDAYS(AC2962,S2962,#REF!),"")</f>
        <v/>
      </c>
      <c r="AE2962" s="596" t="str">
        <f ca="1">IF(AND(AD2962="",AC2962=""),"",IF(OR(AD2962&lt;&gt;"",O2962="*CANCELADO"),"",NETWORKDAYS(AC2962,TODAY(),#REF!)))</f>
        <v/>
      </c>
      <c r="AF2962" s="619"/>
    </row>
    <row r="2963" spans="1:32" ht="14.25" customHeight="1">
      <c r="A2963" s="176"/>
      <c r="B2963" s="176"/>
      <c r="C2963" s="177"/>
      <c r="D2963" s="176"/>
      <c r="E2963" s="176"/>
      <c r="F2963" s="259"/>
      <c r="G2963" s="176"/>
      <c r="H2963" s="178"/>
      <c r="I2963" s="592">
        <f t="shared" si="108"/>
        <v>0</v>
      </c>
      <c r="J2963" s="178"/>
      <c r="K2963" s="178"/>
      <c r="L2963" s="275" t="str">
        <f>IF(H:H=0,"",IF(ISERROR(VLOOKUP(H:H,produtos_escape2!$A$2:$B$2794,2,FALSE)),"Código não cadastrado",(VLOOKUP(H:H,produtos_escape2!$A$2:$B$2794,2,FALSE))))</f>
        <v/>
      </c>
      <c r="M2963" s="593" t="str">
        <f>IF(H:H=0,"",IF(ISERROR(VLOOKUP(H:H,produtos_escape2!$A$2:$D$2794,2,FALSE)),"Código não cadastrado",(VLOOKUP(H:H,produtos_escape2!$A$2:$D$2794,4,FALSE))))</f>
        <v/>
      </c>
      <c r="N2963" s="486"/>
      <c r="O2963" s="176"/>
      <c r="P2963" s="486"/>
      <c r="Q2963" s="247"/>
      <c r="R2963" s="246">
        <f t="shared" si="107"/>
        <v>0</v>
      </c>
      <c r="S2963" s="177"/>
      <c r="T2963" s="182"/>
      <c r="U2963" s="177"/>
      <c r="V2963" s="177"/>
      <c r="W2963" s="177"/>
      <c r="X2963" s="176"/>
      <c r="Y2963" s="177"/>
      <c r="Z2963" s="415"/>
      <c r="AA2963" s="488"/>
      <c r="AB2963" s="594"/>
      <c r="AC2963" s="595"/>
      <c r="AD2963" s="596" t="str">
        <f>IF(AND(AC2963&lt;&gt;"",S2963&lt;&gt;""),NETWORKDAYS(AC2963,S2963,#REF!),"")</f>
        <v/>
      </c>
      <c r="AE2963" s="596" t="str">
        <f ca="1">IF(AND(AD2963="",AC2963=""),"",IF(OR(AD2963&lt;&gt;"",O2963="*CANCELADO"),"",NETWORKDAYS(AC2963,TODAY(),#REF!)))</f>
        <v/>
      </c>
      <c r="AF2963" s="619"/>
    </row>
    <row r="2964" spans="1:32" ht="14.25" customHeight="1">
      <c r="A2964" s="176"/>
      <c r="B2964" s="176"/>
      <c r="C2964" s="177"/>
      <c r="D2964" s="176"/>
      <c r="E2964" s="176"/>
      <c r="F2964" s="259"/>
      <c r="G2964" s="176"/>
      <c r="H2964" s="178"/>
      <c r="I2964" s="592">
        <f t="shared" si="108"/>
        <v>0</v>
      </c>
      <c r="J2964" s="178"/>
      <c r="K2964" s="178"/>
      <c r="L2964" s="275" t="str">
        <f>IF(H:H=0,"",IF(ISERROR(VLOOKUP(H:H,produtos_escape2!$A$2:$B$2794,2,FALSE)),"Código não cadastrado",(VLOOKUP(H:H,produtos_escape2!$A$2:$B$2794,2,FALSE))))</f>
        <v/>
      </c>
      <c r="M2964" s="593" t="str">
        <f>IF(H:H=0,"",IF(ISERROR(VLOOKUP(H:H,produtos_escape2!$A$2:$D$2794,2,FALSE)),"Código não cadastrado",(VLOOKUP(H:H,produtos_escape2!$A$2:$D$2794,4,FALSE))))</f>
        <v/>
      </c>
      <c r="N2964" s="486"/>
      <c r="O2964" s="176"/>
      <c r="P2964" s="486"/>
      <c r="Q2964" s="247"/>
      <c r="R2964" s="246">
        <f t="shared" si="107"/>
        <v>0</v>
      </c>
      <c r="S2964" s="177"/>
      <c r="T2964" s="182"/>
      <c r="U2964" s="177"/>
      <c r="V2964" s="177"/>
      <c r="W2964" s="177"/>
      <c r="X2964" s="176"/>
      <c r="Y2964" s="177"/>
      <c r="Z2964" s="415"/>
      <c r="AA2964" s="488"/>
      <c r="AB2964" s="594"/>
      <c r="AC2964" s="595"/>
      <c r="AD2964" s="596" t="str">
        <f>IF(AND(AC2964&lt;&gt;"",S2964&lt;&gt;""),NETWORKDAYS(AC2964,S2964,#REF!),"")</f>
        <v/>
      </c>
      <c r="AE2964" s="596" t="str">
        <f ca="1">IF(AND(AD2964="",AC2964=""),"",IF(OR(AD2964&lt;&gt;"",O2964="*CANCELADO"),"",NETWORKDAYS(AC2964,TODAY(),#REF!)))</f>
        <v/>
      </c>
      <c r="AF2964" s="619"/>
    </row>
    <row r="2965" spans="1:32" ht="14.25" customHeight="1">
      <c r="A2965" s="176"/>
      <c r="B2965" s="176"/>
      <c r="C2965" s="177"/>
      <c r="D2965" s="176"/>
      <c r="E2965" s="176"/>
      <c r="F2965" s="259"/>
      <c r="G2965" s="176"/>
      <c r="H2965" s="178"/>
      <c r="I2965" s="592">
        <f t="shared" si="108"/>
        <v>0</v>
      </c>
      <c r="J2965" s="178"/>
      <c r="K2965" s="178"/>
      <c r="L2965" s="275" t="str">
        <f>IF(H:H=0,"",IF(ISERROR(VLOOKUP(H:H,produtos_escape2!$A$2:$B$2794,2,FALSE)),"Código não cadastrado",(VLOOKUP(H:H,produtos_escape2!$A$2:$B$2794,2,FALSE))))</f>
        <v/>
      </c>
      <c r="M2965" s="593" t="str">
        <f>IF(H:H=0,"",IF(ISERROR(VLOOKUP(H:H,produtos_escape2!$A$2:$D$2794,2,FALSE)),"Código não cadastrado",(VLOOKUP(H:H,produtos_escape2!$A$2:$D$2794,4,FALSE))))</f>
        <v/>
      </c>
      <c r="N2965" s="486"/>
      <c r="O2965" s="176"/>
      <c r="P2965" s="486"/>
      <c r="Q2965" s="247"/>
      <c r="R2965" s="246">
        <f t="shared" si="107"/>
        <v>0</v>
      </c>
      <c r="S2965" s="177"/>
      <c r="T2965" s="182"/>
      <c r="U2965" s="177"/>
      <c r="V2965" s="177"/>
      <c r="W2965" s="177"/>
      <c r="X2965" s="176"/>
      <c r="Y2965" s="177"/>
      <c r="Z2965" s="415"/>
      <c r="AA2965" s="488"/>
      <c r="AB2965" s="594"/>
      <c r="AC2965" s="595"/>
      <c r="AD2965" s="596" t="str">
        <f>IF(AND(AC2965&lt;&gt;"",S2965&lt;&gt;""),NETWORKDAYS(AC2965,S2965,#REF!),"")</f>
        <v/>
      </c>
      <c r="AE2965" s="596" t="str">
        <f ca="1">IF(AND(AD2965="",AC2965=""),"",IF(OR(AD2965&lt;&gt;"",O2965="*CANCELADO"),"",NETWORKDAYS(AC2965,TODAY(),#REF!)))</f>
        <v/>
      </c>
      <c r="AF2965" s="619"/>
    </row>
    <row r="2966" spans="1:32" ht="14.25" customHeight="1">
      <c r="A2966" s="176"/>
      <c r="B2966" s="176"/>
      <c r="C2966" s="177"/>
      <c r="D2966" s="176"/>
      <c r="E2966" s="176"/>
      <c r="F2966" s="259"/>
      <c r="G2966" s="176"/>
      <c r="H2966" s="178"/>
      <c r="I2966" s="592">
        <f t="shared" si="108"/>
        <v>0</v>
      </c>
      <c r="J2966" s="178"/>
      <c r="K2966" s="178"/>
      <c r="L2966" s="275" t="str">
        <f>IF(H:H=0,"",IF(ISERROR(VLOOKUP(H:H,produtos_escape2!$A$2:$B$2794,2,FALSE)),"Código não cadastrado",(VLOOKUP(H:H,produtos_escape2!$A$2:$B$2794,2,FALSE))))</f>
        <v/>
      </c>
      <c r="M2966" s="593" t="str">
        <f>IF(H:H=0,"",IF(ISERROR(VLOOKUP(H:H,produtos_escape2!$A$2:$D$2794,2,FALSE)),"Código não cadastrado",(VLOOKUP(H:H,produtos_escape2!$A$2:$D$2794,4,FALSE))))</f>
        <v/>
      </c>
      <c r="N2966" s="486"/>
      <c r="O2966" s="176"/>
      <c r="P2966" s="486"/>
      <c r="Q2966" s="247"/>
      <c r="R2966" s="246">
        <f t="shared" si="107"/>
        <v>0</v>
      </c>
      <c r="S2966" s="177"/>
      <c r="T2966" s="182"/>
      <c r="U2966" s="177"/>
      <c r="V2966" s="177"/>
      <c r="W2966" s="177"/>
      <c r="X2966" s="176"/>
      <c r="Y2966" s="177"/>
      <c r="Z2966" s="415"/>
      <c r="AA2966" s="488"/>
      <c r="AB2966" s="594"/>
      <c r="AC2966" s="595"/>
      <c r="AD2966" s="596" t="str">
        <f>IF(AND(AC2966&lt;&gt;"",S2966&lt;&gt;""),NETWORKDAYS(AC2966,S2966,#REF!),"")</f>
        <v/>
      </c>
      <c r="AE2966" s="596" t="str">
        <f ca="1">IF(AND(AD2966="",AC2966=""),"",IF(OR(AD2966&lt;&gt;"",O2966="*CANCELADO"),"",NETWORKDAYS(AC2966,TODAY(),#REF!)))</f>
        <v/>
      </c>
      <c r="AF2966" s="619"/>
    </row>
    <row r="2967" spans="1:32" ht="14.25" customHeight="1">
      <c r="A2967" s="176"/>
      <c r="B2967" s="176"/>
      <c r="C2967" s="177"/>
      <c r="D2967" s="176"/>
      <c r="E2967" s="176"/>
      <c r="F2967" s="259"/>
      <c r="G2967" s="176"/>
      <c r="H2967" s="178"/>
      <c r="I2967" s="592">
        <f t="shared" si="108"/>
        <v>0</v>
      </c>
      <c r="J2967" s="178"/>
      <c r="K2967" s="178"/>
      <c r="L2967" s="275" t="str">
        <f>IF(H:H=0,"",IF(ISERROR(VLOOKUP(H:H,produtos_escape2!$A$2:$B$2794,2,FALSE)),"Código não cadastrado",(VLOOKUP(H:H,produtos_escape2!$A$2:$B$2794,2,FALSE))))</f>
        <v/>
      </c>
      <c r="M2967" s="593" t="str">
        <f>IF(H:H=0,"",IF(ISERROR(VLOOKUP(H:H,produtos_escape2!$A$2:$D$2794,2,FALSE)),"Código não cadastrado",(VLOOKUP(H:H,produtos_escape2!$A$2:$D$2794,4,FALSE))))</f>
        <v/>
      </c>
      <c r="N2967" s="486"/>
      <c r="O2967" s="176"/>
      <c r="P2967" s="486"/>
      <c r="Q2967" s="247"/>
      <c r="R2967" s="246">
        <f t="shared" si="107"/>
        <v>0</v>
      </c>
      <c r="S2967" s="177"/>
      <c r="T2967" s="182"/>
      <c r="U2967" s="177"/>
      <c r="V2967" s="177"/>
      <c r="W2967" s="177"/>
      <c r="X2967" s="176"/>
      <c r="Y2967" s="177"/>
      <c r="Z2967" s="415"/>
      <c r="AA2967" s="488"/>
      <c r="AB2967" s="594"/>
      <c r="AC2967" s="595"/>
      <c r="AD2967" s="596" t="str">
        <f>IF(AND(AC2967&lt;&gt;"",S2967&lt;&gt;""),NETWORKDAYS(AC2967,S2967,#REF!),"")</f>
        <v/>
      </c>
      <c r="AE2967" s="596" t="str">
        <f ca="1">IF(AND(AD2967="",AC2967=""),"",IF(OR(AD2967&lt;&gt;"",O2967="*CANCELADO"),"",NETWORKDAYS(AC2967,TODAY(),#REF!)))</f>
        <v/>
      </c>
      <c r="AF2967" s="619"/>
    </row>
    <row r="2968" spans="1:32" ht="14.25" customHeight="1">
      <c r="A2968" s="176"/>
      <c r="B2968" s="176"/>
      <c r="C2968" s="177"/>
      <c r="D2968" s="176"/>
      <c r="E2968" s="176"/>
      <c r="F2968" s="259"/>
      <c r="G2968" s="176"/>
      <c r="H2968" s="178"/>
      <c r="I2968" s="592">
        <f t="shared" si="108"/>
        <v>0</v>
      </c>
      <c r="J2968" s="178"/>
      <c r="K2968" s="178"/>
      <c r="L2968" s="275" t="str">
        <f>IF(H:H=0,"",IF(ISERROR(VLOOKUP(H:H,produtos_escape2!$A$2:$B$2794,2,FALSE)),"Código não cadastrado",(VLOOKUP(H:H,produtos_escape2!$A$2:$B$2794,2,FALSE))))</f>
        <v/>
      </c>
      <c r="M2968" s="593" t="str">
        <f>IF(H:H=0,"",IF(ISERROR(VLOOKUP(H:H,produtos_escape2!$A$2:$D$2794,2,FALSE)),"Código não cadastrado",(VLOOKUP(H:H,produtos_escape2!$A$2:$D$2794,4,FALSE))))</f>
        <v/>
      </c>
      <c r="N2968" s="486"/>
      <c r="O2968" s="176"/>
      <c r="P2968" s="486"/>
      <c r="Q2968" s="247"/>
      <c r="R2968" s="246">
        <f t="shared" si="107"/>
        <v>0</v>
      </c>
      <c r="S2968" s="177"/>
      <c r="T2968" s="182"/>
      <c r="U2968" s="177"/>
      <c r="V2968" s="177"/>
      <c r="W2968" s="177"/>
      <c r="X2968" s="176"/>
      <c r="Y2968" s="177"/>
      <c r="Z2968" s="415"/>
      <c r="AA2968" s="488"/>
      <c r="AB2968" s="594"/>
      <c r="AC2968" s="595"/>
      <c r="AD2968" s="596" t="str">
        <f>IF(AND(AC2968&lt;&gt;"",S2968&lt;&gt;""),NETWORKDAYS(AC2968,S2968,#REF!),"")</f>
        <v/>
      </c>
      <c r="AE2968" s="596" t="str">
        <f ca="1">IF(AND(AD2968="",AC2968=""),"",IF(OR(AD2968&lt;&gt;"",O2968="*CANCELADO"),"",NETWORKDAYS(AC2968,TODAY(),#REF!)))</f>
        <v/>
      </c>
      <c r="AF2968" s="619"/>
    </row>
    <row r="2969" spans="1:32" ht="14.25" customHeight="1">
      <c r="A2969" s="176"/>
      <c r="B2969" s="176"/>
      <c r="C2969" s="177"/>
      <c r="D2969" s="176"/>
      <c r="E2969" s="176"/>
      <c r="F2969" s="259"/>
      <c r="G2969" s="176"/>
      <c r="H2969" s="178"/>
      <c r="I2969" s="592">
        <f t="shared" si="108"/>
        <v>0</v>
      </c>
      <c r="J2969" s="178"/>
      <c r="K2969" s="178"/>
      <c r="L2969" s="275" t="str">
        <f>IF(H:H=0,"",IF(ISERROR(VLOOKUP(H:H,produtos_escape2!$A$2:$B$2794,2,FALSE)),"Código não cadastrado",(VLOOKUP(H:H,produtos_escape2!$A$2:$B$2794,2,FALSE))))</f>
        <v/>
      </c>
      <c r="M2969" s="593" t="str">
        <f>IF(H:H=0,"",IF(ISERROR(VLOOKUP(H:H,produtos_escape2!$A$2:$D$2794,2,FALSE)),"Código não cadastrado",(VLOOKUP(H:H,produtos_escape2!$A$2:$D$2794,4,FALSE))))</f>
        <v/>
      </c>
      <c r="N2969" s="486"/>
      <c r="O2969" s="176"/>
      <c r="P2969" s="486"/>
      <c r="Q2969" s="247"/>
      <c r="R2969" s="246">
        <f t="shared" si="107"/>
        <v>0</v>
      </c>
      <c r="S2969" s="177"/>
      <c r="T2969" s="182"/>
      <c r="U2969" s="177"/>
      <c r="V2969" s="177"/>
      <c r="W2969" s="177"/>
      <c r="X2969" s="176"/>
      <c r="Y2969" s="177"/>
      <c r="Z2969" s="415"/>
      <c r="AA2969" s="488"/>
      <c r="AB2969" s="594"/>
      <c r="AC2969" s="595"/>
      <c r="AD2969" s="596" t="str">
        <f>IF(AND(AC2969&lt;&gt;"",S2969&lt;&gt;""),NETWORKDAYS(AC2969,S2969,#REF!),"")</f>
        <v/>
      </c>
      <c r="AE2969" s="596" t="str">
        <f ca="1">IF(AND(AD2969="",AC2969=""),"",IF(OR(AD2969&lt;&gt;"",O2969="*CANCELADO"),"",NETWORKDAYS(AC2969,TODAY(),#REF!)))</f>
        <v/>
      </c>
      <c r="AF2969" s="619"/>
    </row>
    <row r="2970" spans="1:32" ht="14.25" customHeight="1">
      <c r="A2970" s="176"/>
      <c r="B2970" s="176"/>
      <c r="C2970" s="177"/>
      <c r="D2970" s="176"/>
      <c r="E2970" s="176"/>
      <c r="F2970" s="259"/>
      <c r="G2970" s="176"/>
      <c r="H2970" s="178"/>
      <c r="I2970" s="592">
        <f t="shared" si="108"/>
        <v>0</v>
      </c>
      <c r="J2970" s="178"/>
      <c r="K2970" s="178"/>
      <c r="L2970" s="275" t="str">
        <f>IF(H:H=0,"",IF(ISERROR(VLOOKUP(H:H,produtos_escape2!$A$2:$B$2794,2,FALSE)),"Código não cadastrado",(VLOOKUP(H:H,produtos_escape2!$A$2:$B$2794,2,FALSE))))</f>
        <v/>
      </c>
      <c r="M2970" s="593" t="str">
        <f>IF(H:H=0,"",IF(ISERROR(VLOOKUP(H:H,produtos_escape2!$A$2:$D$2794,2,FALSE)),"Código não cadastrado",(VLOOKUP(H:H,produtos_escape2!$A$2:$D$2794,4,FALSE))))</f>
        <v/>
      </c>
      <c r="N2970" s="486"/>
      <c r="O2970" s="176"/>
      <c r="P2970" s="486"/>
      <c r="Q2970" s="247"/>
      <c r="R2970" s="246">
        <f t="shared" si="107"/>
        <v>0</v>
      </c>
      <c r="S2970" s="177"/>
      <c r="T2970" s="182"/>
      <c r="U2970" s="177"/>
      <c r="V2970" s="177"/>
      <c r="W2970" s="177"/>
      <c r="X2970" s="176"/>
      <c r="Y2970" s="177"/>
      <c r="Z2970" s="415"/>
      <c r="AA2970" s="488"/>
      <c r="AB2970" s="594"/>
      <c r="AC2970" s="595"/>
      <c r="AD2970" s="596" t="str">
        <f>IF(AND(AC2970&lt;&gt;"",S2970&lt;&gt;""),NETWORKDAYS(AC2970,S2970,#REF!),"")</f>
        <v/>
      </c>
      <c r="AE2970" s="596" t="str">
        <f ca="1">IF(AND(AD2970="",AC2970=""),"",IF(OR(AD2970&lt;&gt;"",O2970="*CANCELADO"),"",NETWORKDAYS(AC2970,TODAY(),#REF!)))</f>
        <v/>
      </c>
      <c r="AF2970" s="619"/>
    </row>
    <row r="2971" spans="1:32" ht="14.25" customHeight="1">
      <c r="A2971" s="176"/>
      <c r="B2971" s="176"/>
      <c r="C2971" s="177"/>
      <c r="D2971" s="176"/>
      <c r="E2971" s="176"/>
      <c r="F2971" s="259"/>
      <c r="G2971" s="176"/>
      <c r="H2971" s="178"/>
      <c r="I2971" s="592">
        <f t="shared" si="108"/>
        <v>0</v>
      </c>
      <c r="J2971" s="178"/>
      <c r="K2971" s="178"/>
      <c r="L2971" s="275" t="str">
        <f>IF(H:H=0,"",IF(ISERROR(VLOOKUP(H:H,produtos_escape2!$A$2:$B$2794,2,FALSE)),"Código não cadastrado",(VLOOKUP(H:H,produtos_escape2!$A$2:$B$2794,2,FALSE))))</f>
        <v/>
      </c>
      <c r="M2971" s="593" t="str">
        <f>IF(H:H=0,"",IF(ISERROR(VLOOKUP(H:H,produtos_escape2!$A$2:$D$2794,2,FALSE)),"Código não cadastrado",(VLOOKUP(H:H,produtos_escape2!$A$2:$D$2794,4,FALSE))))</f>
        <v/>
      </c>
      <c r="N2971" s="486"/>
      <c r="O2971" s="176"/>
      <c r="P2971" s="486"/>
      <c r="Q2971" s="247"/>
      <c r="R2971" s="246">
        <f t="shared" si="107"/>
        <v>0</v>
      </c>
      <c r="S2971" s="177"/>
      <c r="T2971" s="182"/>
      <c r="U2971" s="177"/>
      <c r="V2971" s="177"/>
      <c r="W2971" s="177"/>
      <c r="X2971" s="176"/>
      <c r="Y2971" s="177"/>
      <c r="Z2971" s="415"/>
      <c r="AA2971" s="488"/>
      <c r="AB2971" s="594"/>
      <c r="AC2971" s="595"/>
      <c r="AD2971" s="596" t="str">
        <f>IF(AND(AC2971&lt;&gt;"",S2971&lt;&gt;""),NETWORKDAYS(AC2971,S2971,#REF!),"")</f>
        <v/>
      </c>
      <c r="AE2971" s="596" t="str">
        <f ca="1">IF(AND(AD2971="",AC2971=""),"",IF(OR(AD2971&lt;&gt;"",O2971="*CANCELADO"),"",NETWORKDAYS(AC2971,TODAY(),#REF!)))</f>
        <v/>
      </c>
      <c r="AF2971" s="619"/>
    </row>
    <row r="2972" spans="1:32" ht="14.25" customHeight="1">
      <c r="A2972" s="176"/>
      <c r="B2972" s="176"/>
      <c r="C2972" s="177"/>
      <c r="D2972" s="176"/>
      <c r="E2972" s="176"/>
      <c r="F2972" s="259"/>
      <c r="G2972" s="176"/>
      <c r="H2972" s="178"/>
      <c r="I2972" s="592">
        <f t="shared" si="108"/>
        <v>0</v>
      </c>
      <c r="J2972" s="178"/>
      <c r="K2972" s="178"/>
      <c r="L2972" s="275" t="str">
        <f>IF(H:H=0,"",IF(ISERROR(VLOOKUP(H:H,produtos_escape2!$A$2:$B$2794,2,FALSE)),"Código não cadastrado",(VLOOKUP(H:H,produtos_escape2!$A$2:$B$2794,2,FALSE))))</f>
        <v/>
      </c>
      <c r="M2972" s="593" t="str">
        <f>IF(H:H=0,"",IF(ISERROR(VLOOKUP(H:H,produtos_escape2!$A$2:$D$2794,2,FALSE)),"Código não cadastrado",(VLOOKUP(H:H,produtos_escape2!$A$2:$D$2794,4,FALSE))))</f>
        <v/>
      </c>
      <c r="N2972" s="486"/>
      <c r="O2972" s="176"/>
      <c r="P2972" s="486"/>
      <c r="Q2972" s="247"/>
      <c r="R2972" s="246">
        <f t="shared" si="107"/>
        <v>0</v>
      </c>
      <c r="S2972" s="177"/>
      <c r="T2972" s="182"/>
      <c r="U2972" s="177"/>
      <c r="V2972" s="177"/>
      <c r="W2972" s="177"/>
      <c r="X2972" s="176"/>
      <c r="Y2972" s="177"/>
      <c r="Z2972" s="415"/>
      <c r="AA2972" s="488"/>
      <c r="AB2972" s="594"/>
      <c r="AC2972" s="595"/>
      <c r="AD2972" s="596" t="str">
        <f>IF(AND(AC2972&lt;&gt;"",S2972&lt;&gt;""),NETWORKDAYS(AC2972,S2972,#REF!),"")</f>
        <v/>
      </c>
      <c r="AE2972" s="596" t="str">
        <f ca="1">IF(AND(AD2972="",AC2972=""),"",IF(OR(AD2972&lt;&gt;"",O2972="*CANCELADO"),"",NETWORKDAYS(AC2972,TODAY(),#REF!)))</f>
        <v/>
      </c>
      <c r="AF2972" s="619"/>
    </row>
    <row r="2973" spans="1:32" ht="14.25" customHeight="1">
      <c r="A2973" s="176"/>
      <c r="B2973" s="176"/>
      <c r="C2973" s="177"/>
      <c r="D2973" s="176"/>
      <c r="E2973" s="176"/>
      <c r="F2973" s="259"/>
      <c r="G2973" s="176"/>
      <c r="H2973" s="178"/>
      <c r="I2973" s="592">
        <f t="shared" si="108"/>
        <v>0</v>
      </c>
      <c r="J2973" s="178"/>
      <c r="K2973" s="178"/>
      <c r="L2973" s="275" t="str">
        <f>IF(H:H=0,"",IF(ISERROR(VLOOKUP(H:H,produtos_escape2!$A$2:$B$2794,2,FALSE)),"Código não cadastrado",(VLOOKUP(H:H,produtos_escape2!$A$2:$B$2794,2,FALSE))))</f>
        <v/>
      </c>
      <c r="M2973" s="593" t="str">
        <f>IF(H:H=0,"",IF(ISERROR(VLOOKUP(H:H,produtos_escape2!$A$2:$D$2794,2,FALSE)),"Código não cadastrado",(VLOOKUP(H:H,produtos_escape2!$A$2:$D$2794,4,FALSE))))</f>
        <v/>
      </c>
      <c r="N2973" s="486"/>
      <c r="O2973" s="176"/>
      <c r="P2973" s="486"/>
      <c r="Q2973" s="247"/>
      <c r="R2973" s="246">
        <f t="shared" si="107"/>
        <v>0</v>
      </c>
      <c r="S2973" s="177"/>
      <c r="T2973" s="182"/>
      <c r="U2973" s="177"/>
      <c r="V2973" s="177"/>
      <c r="W2973" s="177"/>
      <c r="X2973" s="176"/>
      <c r="Y2973" s="177"/>
      <c r="Z2973" s="415"/>
      <c r="AA2973" s="488"/>
      <c r="AB2973" s="594"/>
      <c r="AC2973" s="595"/>
      <c r="AD2973" s="596" t="str">
        <f>IF(AND(AC2973&lt;&gt;"",S2973&lt;&gt;""),NETWORKDAYS(AC2973,S2973,#REF!),"")</f>
        <v/>
      </c>
      <c r="AE2973" s="596" t="str">
        <f ca="1">IF(AND(AD2973="",AC2973=""),"",IF(OR(AD2973&lt;&gt;"",O2973="*CANCELADO"),"",NETWORKDAYS(AC2973,TODAY(),#REF!)))</f>
        <v/>
      </c>
      <c r="AF2973" s="619"/>
    </row>
    <row r="2974" spans="1:32" ht="14.25" customHeight="1">
      <c r="A2974" s="176"/>
      <c r="B2974" s="176"/>
      <c r="C2974" s="177"/>
      <c r="D2974" s="176"/>
      <c r="E2974" s="176"/>
      <c r="F2974" s="259"/>
      <c r="G2974" s="176"/>
      <c r="H2974" s="178"/>
      <c r="I2974" s="592">
        <f t="shared" si="108"/>
        <v>0</v>
      </c>
      <c r="J2974" s="178"/>
      <c r="K2974" s="178"/>
      <c r="L2974" s="275" t="str">
        <f>IF(H:H=0,"",IF(ISERROR(VLOOKUP(H:H,produtos_escape2!$A$2:$B$2794,2,FALSE)),"Código não cadastrado",(VLOOKUP(H:H,produtos_escape2!$A$2:$B$2794,2,FALSE))))</f>
        <v/>
      </c>
      <c r="M2974" s="593" t="str">
        <f>IF(H:H=0,"",IF(ISERROR(VLOOKUP(H:H,produtos_escape2!$A$2:$D$2794,2,FALSE)),"Código não cadastrado",(VLOOKUP(H:H,produtos_escape2!$A$2:$D$2794,4,FALSE))))</f>
        <v/>
      </c>
      <c r="N2974" s="486"/>
      <c r="O2974" s="176"/>
      <c r="P2974" s="486"/>
      <c r="Q2974" s="247"/>
      <c r="R2974" s="246">
        <f t="shared" si="107"/>
        <v>0</v>
      </c>
      <c r="S2974" s="177"/>
      <c r="T2974" s="182"/>
      <c r="U2974" s="177"/>
      <c r="V2974" s="177"/>
      <c r="W2974" s="177"/>
      <c r="X2974" s="176"/>
      <c r="Y2974" s="177"/>
      <c r="Z2974" s="415"/>
      <c r="AA2974" s="488"/>
      <c r="AB2974" s="594"/>
      <c r="AC2974" s="595"/>
      <c r="AD2974" s="596" t="str">
        <f>IF(AND(AC2974&lt;&gt;"",S2974&lt;&gt;""),NETWORKDAYS(AC2974,S2974,#REF!),"")</f>
        <v/>
      </c>
      <c r="AE2974" s="596" t="str">
        <f ca="1">IF(AND(AD2974="",AC2974=""),"",IF(OR(AD2974&lt;&gt;"",O2974="*CANCELADO"),"",NETWORKDAYS(AC2974,TODAY(),#REF!)))</f>
        <v/>
      </c>
      <c r="AF2974" s="619"/>
    </row>
    <row r="2975" spans="1:32" ht="14.25" customHeight="1">
      <c r="A2975" s="176"/>
      <c r="B2975" s="176"/>
      <c r="C2975" s="177"/>
      <c r="D2975" s="176"/>
      <c r="E2975" s="176"/>
      <c r="F2975" s="259"/>
      <c r="G2975" s="176"/>
      <c r="H2975" s="178"/>
      <c r="I2975" s="592">
        <f t="shared" si="108"/>
        <v>0</v>
      </c>
      <c r="J2975" s="178"/>
      <c r="K2975" s="178"/>
      <c r="L2975" s="275" t="str">
        <f>IF(H:H=0,"",IF(ISERROR(VLOOKUP(H:H,produtos_escape2!$A$2:$B$2794,2,FALSE)),"Código não cadastrado",(VLOOKUP(H:H,produtos_escape2!$A$2:$B$2794,2,FALSE))))</f>
        <v/>
      </c>
      <c r="M2975" s="593" t="str">
        <f>IF(H:H=0,"",IF(ISERROR(VLOOKUP(H:H,produtos_escape2!$A$2:$D$2794,2,FALSE)),"Código não cadastrado",(VLOOKUP(H:H,produtos_escape2!$A$2:$D$2794,4,FALSE))))</f>
        <v/>
      </c>
      <c r="N2975" s="486"/>
      <c r="O2975" s="176"/>
      <c r="P2975" s="486"/>
      <c r="Q2975" s="247"/>
      <c r="R2975" s="246">
        <f t="shared" si="107"/>
        <v>0</v>
      </c>
      <c r="S2975" s="177"/>
      <c r="T2975" s="182"/>
      <c r="U2975" s="177"/>
      <c r="V2975" s="177"/>
      <c r="W2975" s="177"/>
      <c r="X2975" s="176"/>
      <c r="Y2975" s="177"/>
      <c r="Z2975" s="415"/>
      <c r="AA2975" s="488"/>
      <c r="AB2975" s="594"/>
      <c r="AC2975" s="595"/>
      <c r="AD2975" s="596" t="str">
        <f>IF(AND(AC2975&lt;&gt;"",S2975&lt;&gt;""),NETWORKDAYS(AC2975,S2975,#REF!),"")</f>
        <v/>
      </c>
      <c r="AE2975" s="596" t="str">
        <f ca="1">IF(AND(AD2975="",AC2975=""),"",IF(OR(AD2975&lt;&gt;"",O2975="*CANCELADO"),"",NETWORKDAYS(AC2975,TODAY(),#REF!)))</f>
        <v/>
      </c>
      <c r="AF2975" s="619"/>
    </row>
    <row r="2976" spans="1:32" ht="14.25" customHeight="1">
      <c r="A2976" s="176"/>
      <c r="B2976" s="176"/>
      <c r="C2976" s="177"/>
      <c r="D2976" s="176"/>
      <c r="E2976" s="176"/>
      <c r="F2976" s="259"/>
      <c r="G2976" s="176"/>
      <c r="H2976" s="178"/>
      <c r="I2976" s="592">
        <f t="shared" si="108"/>
        <v>0</v>
      </c>
      <c r="J2976" s="178"/>
      <c r="K2976" s="178"/>
      <c r="L2976" s="275" t="str">
        <f>IF(H:H=0,"",IF(ISERROR(VLOOKUP(H:H,produtos_escape2!$A$2:$B$2794,2,FALSE)),"Código não cadastrado",(VLOOKUP(H:H,produtos_escape2!$A$2:$B$2794,2,FALSE))))</f>
        <v/>
      </c>
      <c r="M2976" s="593" t="str">
        <f>IF(H:H=0,"",IF(ISERROR(VLOOKUP(H:H,produtos_escape2!$A$2:$D$2794,2,FALSE)),"Código não cadastrado",(VLOOKUP(H:H,produtos_escape2!$A$2:$D$2794,4,FALSE))))</f>
        <v/>
      </c>
      <c r="N2976" s="486"/>
      <c r="O2976" s="176"/>
      <c r="P2976" s="486"/>
      <c r="Q2976" s="247"/>
      <c r="R2976" s="246">
        <f t="shared" si="107"/>
        <v>0</v>
      </c>
      <c r="S2976" s="177"/>
      <c r="T2976" s="182"/>
      <c r="U2976" s="177"/>
      <c r="V2976" s="177"/>
      <c r="W2976" s="177"/>
      <c r="X2976" s="176"/>
      <c r="Y2976" s="177"/>
      <c r="Z2976" s="415"/>
      <c r="AA2976" s="488"/>
      <c r="AB2976" s="594"/>
      <c r="AC2976" s="595"/>
      <c r="AD2976" s="596" t="str">
        <f>IF(AND(AC2976&lt;&gt;"",S2976&lt;&gt;""),NETWORKDAYS(AC2976,S2976,#REF!),"")</f>
        <v/>
      </c>
      <c r="AE2976" s="596" t="str">
        <f ca="1">IF(AND(AD2976="",AC2976=""),"",IF(OR(AD2976&lt;&gt;"",O2976="*CANCELADO"),"",NETWORKDAYS(AC2976,TODAY(),#REF!)))</f>
        <v/>
      </c>
      <c r="AF2976" s="619"/>
    </row>
    <row r="2977" spans="1:32" ht="14.25" customHeight="1">
      <c r="A2977" s="176"/>
      <c r="B2977" s="176"/>
      <c r="C2977" s="177"/>
      <c r="D2977" s="176"/>
      <c r="E2977" s="176"/>
      <c r="F2977" s="259"/>
      <c r="G2977" s="176"/>
      <c r="H2977" s="178"/>
      <c r="I2977" s="592">
        <f t="shared" si="108"/>
        <v>0</v>
      </c>
      <c r="J2977" s="178"/>
      <c r="K2977" s="178"/>
      <c r="L2977" s="275" t="str">
        <f>IF(H:H=0,"",IF(ISERROR(VLOOKUP(H:H,produtos_escape2!$A$2:$B$2794,2,FALSE)),"Código não cadastrado",(VLOOKUP(H:H,produtos_escape2!$A$2:$B$2794,2,FALSE))))</f>
        <v/>
      </c>
      <c r="M2977" s="593" t="str">
        <f>IF(H:H=0,"",IF(ISERROR(VLOOKUP(H:H,produtos_escape2!$A$2:$D$2794,2,FALSE)),"Código não cadastrado",(VLOOKUP(H:H,produtos_escape2!$A$2:$D$2794,4,FALSE))))</f>
        <v/>
      </c>
      <c r="N2977" s="486"/>
      <c r="O2977" s="176"/>
      <c r="P2977" s="486"/>
      <c r="Q2977" s="247"/>
      <c r="R2977" s="246">
        <f t="shared" si="107"/>
        <v>0</v>
      </c>
      <c r="S2977" s="177"/>
      <c r="T2977" s="182"/>
      <c r="U2977" s="177"/>
      <c r="V2977" s="177"/>
      <c r="W2977" s="177"/>
      <c r="X2977" s="176"/>
      <c r="Y2977" s="177"/>
      <c r="Z2977" s="415"/>
      <c r="AA2977" s="488"/>
      <c r="AB2977" s="594"/>
      <c r="AC2977" s="595"/>
      <c r="AD2977" s="596" t="str">
        <f>IF(AND(AC2977&lt;&gt;"",S2977&lt;&gt;""),NETWORKDAYS(AC2977,S2977,#REF!),"")</f>
        <v/>
      </c>
      <c r="AE2977" s="596" t="str">
        <f ca="1">IF(AND(AD2977="",AC2977=""),"",IF(OR(AD2977&lt;&gt;"",O2977="*CANCELADO"),"",NETWORKDAYS(AC2977,TODAY(),#REF!)))</f>
        <v/>
      </c>
      <c r="AF2977" s="619"/>
    </row>
    <row r="2978" spans="1:32" ht="14.25" customHeight="1">
      <c r="A2978" s="176"/>
      <c r="B2978" s="176"/>
      <c r="C2978" s="177"/>
      <c r="D2978" s="176"/>
      <c r="E2978" s="176"/>
      <c r="F2978" s="259"/>
      <c r="G2978" s="176"/>
      <c r="H2978" s="178"/>
      <c r="I2978" s="592">
        <f t="shared" si="108"/>
        <v>0</v>
      </c>
      <c r="J2978" s="178"/>
      <c r="K2978" s="178"/>
      <c r="L2978" s="275" t="str">
        <f>IF(H:H=0,"",IF(ISERROR(VLOOKUP(H:H,produtos_escape2!$A$2:$B$2794,2,FALSE)),"Código não cadastrado",(VLOOKUP(H:H,produtos_escape2!$A$2:$B$2794,2,FALSE))))</f>
        <v/>
      </c>
      <c r="M2978" s="593" t="str">
        <f>IF(H:H=0,"",IF(ISERROR(VLOOKUP(H:H,produtos_escape2!$A$2:$D$2794,2,FALSE)),"Código não cadastrado",(VLOOKUP(H:H,produtos_escape2!$A$2:$D$2794,4,FALSE))))</f>
        <v/>
      </c>
      <c r="N2978" s="486"/>
      <c r="O2978" s="176"/>
      <c r="P2978" s="486"/>
      <c r="Q2978" s="247"/>
      <c r="R2978" s="246">
        <f t="shared" si="107"/>
        <v>0</v>
      </c>
      <c r="S2978" s="177"/>
      <c r="T2978" s="182"/>
      <c r="U2978" s="177"/>
      <c r="V2978" s="177"/>
      <c r="W2978" s="177"/>
      <c r="X2978" s="176"/>
      <c r="Y2978" s="177"/>
      <c r="Z2978" s="415"/>
      <c r="AA2978" s="488"/>
      <c r="AB2978" s="594"/>
      <c r="AC2978" s="595"/>
      <c r="AD2978" s="596" t="str">
        <f>IF(AND(AC2978&lt;&gt;"",S2978&lt;&gt;""),NETWORKDAYS(AC2978,S2978,#REF!),"")</f>
        <v/>
      </c>
      <c r="AE2978" s="596" t="str">
        <f ca="1">IF(AND(AD2978="",AC2978=""),"",IF(OR(AD2978&lt;&gt;"",O2978="*CANCELADO"),"",NETWORKDAYS(AC2978,TODAY(),#REF!)))</f>
        <v/>
      </c>
      <c r="AF2978" s="619"/>
    </row>
    <row r="2979" spans="1:32" ht="14.25" customHeight="1">
      <c r="A2979" s="176"/>
      <c r="B2979" s="176"/>
      <c r="C2979" s="177"/>
      <c r="D2979" s="176"/>
      <c r="E2979" s="176"/>
      <c r="F2979" s="259"/>
      <c r="G2979" s="176"/>
      <c r="H2979" s="178"/>
      <c r="I2979" s="592">
        <f t="shared" si="108"/>
        <v>0</v>
      </c>
      <c r="J2979" s="178"/>
      <c r="K2979" s="178"/>
      <c r="L2979" s="275" t="str">
        <f>IF(H:H=0,"",IF(ISERROR(VLOOKUP(H:H,produtos_escape2!$A$2:$B$2794,2,FALSE)),"Código não cadastrado",(VLOOKUP(H:H,produtos_escape2!$A$2:$B$2794,2,FALSE))))</f>
        <v/>
      </c>
      <c r="M2979" s="593" t="str">
        <f>IF(H:H=0,"",IF(ISERROR(VLOOKUP(H:H,produtos_escape2!$A$2:$D$2794,2,FALSE)),"Código não cadastrado",(VLOOKUP(H:H,produtos_escape2!$A$2:$D$2794,4,FALSE))))</f>
        <v/>
      </c>
      <c r="N2979" s="486"/>
      <c r="O2979" s="176"/>
      <c r="P2979" s="486"/>
      <c r="Q2979" s="247"/>
      <c r="R2979" s="246">
        <f t="shared" si="107"/>
        <v>0</v>
      </c>
      <c r="S2979" s="177"/>
      <c r="T2979" s="182"/>
      <c r="U2979" s="177"/>
      <c r="V2979" s="177"/>
      <c r="W2979" s="177"/>
      <c r="X2979" s="176"/>
      <c r="Y2979" s="177"/>
      <c r="Z2979" s="415"/>
      <c r="AA2979" s="488"/>
      <c r="AB2979" s="594"/>
      <c r="AC2979" s="595"/>
      <c r="AD2979" s="596" t="str">
        <f>IF(AND(AC2979&lt;&gt;"",S2979&lt;&gt;""),NETWORKDAYS(AC2979,S2979,#REF!),"")</f>
        <v/>
      </c>
      <c r="AE2979" s="596" t="str">
        <f ca="1">IF(AND(AD2979="",AC2979=""),"",IF(OR(AD2979&lt;&gt;"",O2979="*CANCELADO"),"",NETWORKDAYS(AC2979,TODAY(),#REF!)))</f>
        <v/>
      </c>
      <c r="AF2979" s="619"/>
    </row>
    <row r="2980" spans="1:32" ht="14.25" customHeight="1">
      <c r="A2980" s="176"/>
      <c r="B2980" s="176"/>
      <c r="C2980" s="177"/>
      <c r="D2980" s="176"/>
      <c r="E2980" s="176"/>
      <c r="F2980" s="259"/>
      <c r="G2980" s="176"/>
      <c r="H2980" s="178"/>
      <c r="I2980" s="592">
        <f t="shared" si="108"/>
        <v>0</v>
      </c>
      <c r="J2980" s="178"/>
      <c r="K2980" s="178"/>
      <c r="L2980" s="275" t="str">
        <f>IF(H:H=0,"",IF(ISERROR(VLOOKUP(H:H,produtos_escape2!$A$2:$B$2794,2,FALSE)),"Código não cadastrado",(VLOOKUP(H:H,produtos_escape2!$A$2:$B$2794,2,FALSE))))</f>
        <v/>
      </c>
      <c r="M2980" s="593" t="str">
        <f>IF(H:H=0,"",IF(ISERROR(VLOOKUP(H:H,produtos_escape2!$A$2:$D$2794,2,FALSE)),"Código não cadastrado",(VLOOKUP(H:H,produtos_escape2!$A$2:$D$2794,4,FALSE))))</f>
        <v/>
      </c>
      <c r="N2980" s="486"/>
      <c r="O2980" s="176"/>
      <c r="P2980" s="486"/>
      <c r="Q2980" s="247"/>
      <c r="R2980" s="246">
        <f t="shared" si="107"/>
        <v>0</v>
      </c>
      <c r="S2980" s="177"/>
      <c r="T2980" s="182"/>
      <c r="U2980" s="177"/>
      <c r="V2980" s="177"/>
      <c r="W2980" s="177"/>
      <c r="X2980" s="176"/>
      <c r="Y2980" s="177"/>
      <c r="Z2980" s="415"/>
      <c r="AA2980" s="488"/>
      <c r="AB2980" s="594"/>
      <c r="AC2980" s="595"/>
      <c r="AD2980" s="596" t="str">
        <f>IF(AND(AC2980&lt;&gt;"",S2980&lt;&gt;""),NETWORKDAYS(AC2980,S2980,#REF!),"")</f>
        <v/>
      </c>
      <c r="AE2980" s="596" t="str">
        <f ca="1">IF(AND(AD2980="",AC2980=""),"",IF(OR(AD2980&lt;&gt;"",O2980="*CANCELADO"),"",NETWORKDAYS(AC2980,TODAY(),#REF!)))</f>
        <v/>
      </c>
      <c r="AF2980" s="619"/>
    </row>
    <row r="2981" spans="1:32" ht="14.25" customHeight="1">
      <c r="A2981" s="176"/>
      <c r="B2981" s="176"/>
      <c r="C2981" s="177"/>
      <c r="D2981" s="176"/>
      <c r="E2981" s="176"/>
      <c r="F2981" s="259"/>
      <c r="G2981" s="176"/>
      <c r="H2981" s="178"/>
      <c r="I2981" s="592">
        <f t="shared" si="108"/>
        <v>0</v>
      </c>
      <c r="J2981" s="178"/>
      <c r="K2981" s="178"/>
      <c r="L2981" s="275" t="str">
        <f>IF(H:H=0,"",IF(ISERROR(VLOOKUP(H:H,produtos_escape2!$A$2:$B$2794,2,FALSE)),"Código não cadastrado",(VLOOKUP(H:H,produtos_escape2!$A$2:$B$2794,2,FALSE))))</f>
        <v/>
      </c>
      <c r="M2981" s="593" t="str">
        <f>IF(H:H=0,"",IF(ISERROR(VLOOKUP(H:H,produtos_escape2!$A$2:$D$2794,2,FALSE)),"Código não cadastrado",(VLOOKUP(H:H,produtos_escape2!$A$2:$D$2794,4,FALSE))))</f>
        <v/>
      </c>
      <c r="N2981" s="486"/>
      <c r="O2981" s="176"/>
      <c r="P2981" s="486"/>
      <c r="Q2981" s="247"/>
      <c r="R2981" s="246">
        <f t="shared" si="107"/>
        <v>0</v>
      </c>
      <c r="S2981" s="177"/>
      <c r="T2981" s="182"/>
      <c r="U2981" s="177"/>
      <c r="V2981" s="177"/>
      <c r="W2981" s="177"/>
      <c r="X2981" s="176"/>
      <c r="Y2981" s="177"/>
      <c r="Z2981" s="415"/>
      <c r="AA2981" s="488"/>
      <c r="AB2981" s="594"/>
      <c r="AC2981" s="595"/>
      <c r="AD2981" s="596" t="str">
        <f>IF(AND(AC2981&lt;&gt;"",S2981&lt;&gt;""),NETWORKDAYS(AC2981,S2981,#REF!),"")</f>
        <v/>
      </c>
      <c r="AE2981" s="596" t="str">
        <f ca="1">IF(AND(AD2981="",AC2981=""),"",IF(OR(AD2981&lt;&gt;"",O2981="*CANCELADO"),"",NETWORKDAYS(AC2981,TODAY(),#REF!)))</f>
        <v/>
      </c>
      <c r="AF2981" s="619"/>
    </row>
    <row r="2982" spans="1:32" ht="14.25" customHeight="1">
      <c r="A2982" s="176"/>
      <c r="B2982" s="176"/>
      <c r="C2982" s="177"/>
      <c r="D2982" s="176"/>
      <c r="E2982" s="176"/>
      <c r="F2982" s="259"/>
      <c r="G2982" s="176"/>
      <c r="H2982" s="178"/>
      <c r="I2982" s="592">
        <f t="shared" si="108"/>
        <v>0</v>
      </c>
      <c r="J2982" s="178"/>
      <c r="K2982" s="178"/>
      <c r="L2982" s="275" t="str">
        <f>IF(H:H=0,"",IF(ISERROR(VLOOKUP(H:H,produtos_escape2!$A$2:$B$2794,2,FALSE)),"Código não cadastrado",(VLOOKUP(H:H,produtos_escape2!$A$2:$B$2794,2,FALSE))))</f>
        <v/>
      </c>
      <c r="M2982" s="593" t="str">
        <f>IF(H:H=0,"",IF(ISERROR(VLOOKUP(H:H,produtos_escape2!$A$2:$D$2794,2,FALSE)),"Código não cadastrado",(VLOOKUP(H:H,produtos_escape2!$A$2:$D$2794,4,FALSE))))</f>
        <v/>
      </c>
      <c r="N2982" s="486"/>
      <c r="O2982" s="176"/>
      <c r="P2982" s="486"/>
      <c r="Q2982" s="247"/>
      <c r="R2982" s="246">
        <f t="shared" si="107"/>
        <v>0</v>
      </c>
      <c r="S2982" s="177"/>
      <c r="T2982" s="182"/>
      <c r="U2982" s="177"/>
      <c r="V2982" s="177"/>
      <c r="W2982" s="177"/>
      <c r="X2982" s="176"/>
      <c r="Y2982" s="177"/>
      <c r="Z2982" s="415"/>
      <c r="AA2982" s="488"/>
      <c r="AB2982" s="594"/>
      <c r="AC2982" s="595"/>
      <c r="AD2982" s="596" t="str">
        <f>IF(AND(AC2982&lt;&gt;"",S2982&lt;&gt;""),NETWORKDAYS(AC2982,S2982,#REF!),"")</f>
        <v/>
      </c>
      <c r="AE2982" s="596" t="str">
        <f ca="1">IF(AND(AD2982="",AC2982=""),"",IF(OR(AD2982&lt;&gt;"",O2982="*CANCELADO"),"",NETWORKDAYS(AC2982,TODAY(),#REF!)))</f>
        <v/>
      </c>
      <c r="AF2982" s="619"/>
    </row>
    <row r="2983" spans="1:32" ht="14.25" customHeight="1">
      <c r="A2983" s="176"/>
      <c r="B2983" s="176"/>
      <c r="C2983" s="177"/>
      <c r="D2983" s="176"/>
      <c r="E2983" s="176"/>
      <c r="F2983" s="259"/>
      <c r="G2983" s="176"/>
      <c r="H2983" s="178"/>
      <c r="I2983" s="592">
        <f t="shared" si="108"/>
        <v>0</v>
      </c>
      <c r="J2983" s="178"/>
      <c r="K2983" s="178"/>
      <c r="L2983" s="275" t="str">
        <f>IF(H:H=0,"",IF(ISERROR(VLOOKUP(H:H,produtos_escape2!$A$2:$B$2794,2,FALSE)),"Código não cadastrado",(VLOOKUP(H:H,produtos_escape2!$A$2:$B$2794,2,FALSE))))</f>
        <v/>
      </c>
      <c r="M2983" s="593" t="str">
        <f>IF(H:H=0,"",IF(ISERROR(VLOOKUP(H:H,produtos_escape2!$A$2:$D$2794,2,FALSE)),"Código não cadastrado",(VLOOKUP(H:H,produtos_escape2!$A$2:$D$2794,4,FALSE))))</f>
        <v/>
      </c>
      <c r="N2983" s="486"/>
      <c r="O2983" s="176"/>
      <c r="P2983" s="486"/>
      <c r="Q2983" s="247"/>
      <c r="R2983" s="246">
        <f t="shared" si="107"/>
        <v>0</v>
      </c>
      <c r="S2983" s="177"/>
      <c r="T2983" s="182"/>
      <c r="U2983" s="177"/>
      <c r="V2983" s="177"/>
      <c r="W2983" s="177"/>
      <c r="X2983" s="176"/>
      <c r="Y2983" s="177"/>
      <c r="Z2983" s="415"/>
      <c r="AA2983" s="488"/>
      <c r="AB2983" s="594"/>
      <c r="AC2983" s="595"/>
      <c r="AD2983" s="596" t="str">
        <f>IF(AND(AC2983&lt;&gt;"",S2983&lt;&gt;""),NETWORKDAYS(AC2983,S2983,#REF!),"")</f>
        <v/>
      </c>
      <c r="AE2983" s="596" t="str">
        <f ca="1">IF(AND(AD2983="",AC2983=""),"",IF(OR(AD2983&lt;&gt;"",O2983="*CANCELADO"),"",NETWORKDAYS(AC2983,TODAY(),#REF!)))</f>
        <v/>
      </c>
      <c r="AF2983" s="619"/>
    </row>
    <row r="2984" spans="1:32" ht="14.25" customHeight="1">
      <c r="A2984" s="176"/>
      <c r="B2984" s="176"/>
      <c r="C2984" s="177"/>
      <c r="D2984" s="176"/>
      <c r="E2984" s="176"/>
      <c r="F2984" s="259"/>
      <c r="G2984" s="176"/>
      <c r="H2984" s="178"/>
      <c r="I2984" s="592">
        <f t="shared" si="108"/>
        <v>0</v>
      </c>
      <c r="J2984" s="178"/>
      <c r="K2984" s="178"/>
      <c r="L2984" s="275" t="str">
        <f>IF(H:H=0,"",IF(ISERROR(VLOOKUP(H:H,produtos_escape2!$A$2:$B$2794,2,FALSE)),"Código não cadastrado",(VLOOKUP(H:H,produtos_escape2!$A$2:$B$2794,2,FALSE))))</f>
        <v/>
      </c>
      <c r="M2984" s="593" t="str">
        <f>IF(H:H=0,"",IF(ISERROR(VLOOKUP(H:H,produtos_escape2!$A$2:$D$2794,2,FALSE)),"Código não cadastrado",(VLOOKUP(H:H,produtos_escape2!$A$2:$D$2794,4,FALSE))))</f>
        <v/>
      </c>
      <c r="N2984" s="486"/>
      <c r="O2984" s="176"/>
      <c r="P2984" s="486"/>
      <c r="Q2984" s="247"/>
      <c r="R2984" s="246">
        <f t="shared" si="107"/>
        <v>0</v>
      </c>
      <c r="S2984" s="177"/>
      <c r="T2984" s="182"/>
      <c r="U2984" s="177"/>
      <c r="V2984" s="177"/>
      <c r="W2984" s="177"/>
      <c r="X2984" s="176"/>
      <c r="Y2984" s="177"/>
      <c r="Z2984" s="415"/>
      <c r="AA2984" s="488"/>
      <c r="AB2984" s="594"/>
      <c r="AC2984" s="595"/>
      <c r="AD2984" s="596" t="str">
        <f>IF(AND(AC2984&lt;&gt;"",S2984&lt;&gt;""),NETWORKDAYS(AC2984,S2984,#REF!),"")</f>
        <v/>
      </c>
      <c r="AE2984" s="596" t="str">
        <f ca="1">IF(AND(AD2984="",AC2984=""),"",IF(OR(AD2984&lt;&gt;"",O2984="*CANCELADO"),"",NETWORKDAYS(AC2984,TODAY(),#REF!)))</f>
        <v/>
      </c>
      <c r="AF2984" s="619"/>
    </row>
    <row r="2985" spans="1:32" ht="14.25" customHeight="1">
      <c r="A2985" s="176"/>
      <c r="B2985" s="176"/>
      <c r="C2985" s="177"/>
      <c r="D2985" s="176"/>
      <c r="E2985" s="176"/>
      <c r="F2985" s="259"/>
      <c r="G2985" s="176"/>
      <c r="H2985" s="178"/>
      <c r="I2985" s="592">
        <f t="shared" si="108"/>
        <v>0</v>
      </c>
      <c r="J2985" s="178"/>
      <c r="K2985" s="178"/>
      <c r="L2985" s="275" t="str">
        <f>IF(H:H=0,"",IF(ISERROR(VLOOKUP(H:H,produtos_escape2!$A$2:$B$2794,2,FALSE)),"Código não cadastrado",(VLOOKUP(H:H,produtos_escape2!$A$2:$B$2794,2,FALSE))))</f>
        <v/>
      </c>
      <c r="M2985" s="593" t="str">
        <f>IF(H:H=0,"",IF(ISERROR(VLOOKUP(H:H,produtos_escape2!$A$2:$D$2794,2,FALSE)),"Código não cadastrado",(VLOOKUP(H:H,produtos_escape2!$A$2:$D$2794,4,FALSE))))</f>
        <v/>
      </c>
      <c r="N2985" s="486"/>
      <c r="O2985" s="176"/>
      <c r="P2985" s="486"/>
      <c r="Q2985" s="247"/>
      <c r="R2985" s="246">
        <f t="shared" si="107"/>
        <v>0</v>
      </c>
      <c r="S2985" s="177"/>
      <c r="T2985" s="182"/>
      <c r="U2985" s="177"/>
      <c r="V2985" s="177"/>
      <c r="W2985" s="177"/>
      <c r="X2985" s="176"/>
      <c r="Y2985" s="177"/>
      <c r="Z2985" s="415"/>
      <c r="AA2985" s="488"/>
      <c r="AB2985" s="594"/>
      <c r="AC2985" s="595"/>
      <c r="AD2985" s="596" t="str">
        <f>IF(AND(AC2985&lt;&gt;"",S2985&lt;&gt;""),NETWORKDAYS(AC2985,S2985,#REF!),"")</f>
        <v/>
      </c>
      <c r="AE2985" s="596" t="str">
        <f ca="1">IF(AND(AD2985="",AC2985=""),"",IF(OR(AD2985&lt;&gt;"",O2985="*CANCELADO"),"",NETWORKDAYS(AC2985,TODAY(),#REF!)))</f>
        <v/>
      </c>
      <c r="AF2985" s="619"/>
    </row>
    <row r="2986" spans="1:32" ht="14.25" customHeight="1">
      <c r="A2986" s="176"/>
      <c r="B2986" s="176"/>
      <c r="C2986" s="177"/>
      <c r="D2986" s="176"/>
      <c r="E2986" s="176"/>
      <c r="F2986" s="259"/>
      <c r="G2986" s="176"/>
      <c r="H2986" s="178"/>
      <c r="I2986" s="592">
        <f t="shared" si="108"/>
        <v>0</v>
      </c>
      <c r="J2986" s="178"/>
      <c r="K2986" s="178"/>
      <c r="L2986" s="275" t="str">
        <f>IF(H:H=0,"",IF(ISERROR(VLOOKUP(H:H,produtos_escape2!$A$2:$B$2794,2,FALSE)),"Código não cadastrado",(VLOOKUP(H:H,produtos_escape2!$A$2:$B$2794,2,FALSE))))</f>
        <v/>
      </c>
      <c r="M2986" s="593" t="str">
        <f>IF(H:H=0,"",IF(ISERROR(VLOOKUP(H:H,produtos_escape2!$A$2:$D$2794,2,FALSE)),"Código não cadastrado",(VLOOKUP(H:H,produtos_escape2!$A$2:$D$2794,4,FALSE))))</f>
        <v/>
      </c>
      <c r="N2986" s="486"/>
      <c r="O2986" s="176"/>
      <c r="P2986" s="486"/>
      <c r="Q2986" s="247"/>
      <c r="R2986" s="246">
        <f t="shared" si="107"/>
        <v>0</v>
      </c>
      <c r="S2986" s="177"/>
      <c r="T2986" s="182"/>
      <c r="U2986" s="177"/>
      <c r="V2986" s="177"/>
      <c r="W2986" s="177"/>
      <c r="X2986" s="176"/>
      <c r="Y2986" s="177"/>
      <c r="Z2986" s="415"/>
      <c r="AA2986" s="488"/>
      <c r="AB2986" s="594"/>
      <c r="AC2986" s="595"/>
      <c r="AD2986" s="596" t="str">
        <f>IF(AND(AC2986&lt;&gt;"",S2986&lt;&gt;""),NETWORKDAYS(AC2986,S2986,#REF!),"")</f>
        <v/>
      </c>
      <c r="AE2986" s="596" t="str">
        <f ca="1">IF(AND(AD2986="",AC2986=""),"",IF(OR(AD2986&lt;&gt;"",O2986="*CANCELADO"),"",NETWORKDAYS(AC2986,TODAY(),#REF!)))</f>
        <v/>
      </c>
      <c r="AF2986" s="619"/>
    </row>
    <row r="2987" spans="1:32" ht="14.25" customHeight="1">
      <c r="A2987" s="176"/>
      <c r="B2987" s="176"/>
      <c r="C2987" s="177"/>
      <c r="D2987" s="176"/>
      <c r="E2987" s="176"/>
      <c r="F2987" s="259"/>
      <c r="G2987" s="176"/>
      <c r="H2987" s="178"/>
      <c r="I2987" s="592">
        <f t="shared" si="108"/>
        <v>0</v>
      </c>
      <c r="J2987" s="178"/>
      <c r="K2987" s="178"/>
      <c r="L2987" s="275" t="str">
        <f>IF(H:H=0,"",IF(ISERROR(VLOOKUP(H:H,produtos_escape2!$A$2:$B$2794,2,FALSE)),"Código não cadastrado",(VLOOKUP(H:H,produtos_escape2!$A$2:$B$2794,2,FALSE))))</f>
        <v/>
      </c>
      <c r="M2987" s="593" t="str">
        <f>IF(H:H=0,"",IF(ISERROR(VLOOKUP(H:H,produtos_escape2!$A$2:$D$2794,2,FALSE)),"Código não cadastrado",(VLOOKUP(H:H,produtos_escape2!$A$2:$D$2794,4,FALSE))))</f>
        <v/>
      </c>
      <c r="N2987" s="486"/>
      <c r="O2987" s="176"/>
      <c r="P2987" s="486"/>
      <c r="Q2987" s="247"/>
      <c r="R2987" s="246">
        <f t="shared" si="107"/>
        <v>0</v>
      </c>
      <c r="S2987" s="177"/>
      <c r="T2987" s="182"/>
      <c r="U2987" s="177"/>
      <c r="V2987" s="177"/>
      <c r="W2987" s="177"/>
      <c r="X2987" s="176"/>
      <c r="Y2987" s="177"/>
      <c r="Z2987" s="415"/>
      <c r="AA2987" s="488"/>
      <c r="AB2987" s="594"/>
      <c r="AC2987" s="595"/>
      <c r="AD2987" s="596" t="str">
        <f>IF(AND(AC2987&lt;&gt;"",S2987&lt;&gt;""),NETWORKDAYS(AC2987,S2987,#REF!),"")</f>
        <v/>
      </c>
      <c r="AE2987" s="596" t="str">
        <f ca="1">IF(AND(AD2987="",AC2987=""),"",IF(OR(AD2987&lt;&gt;"",O2987="*CANCELADO"),"",NETWORKDAYS(AC2987,TODAY(),#REF!)))</f>
        <v/>
      </c>
      <c r="AF2987" s="619"/>
    </row>
    <row r="2988" spans="1:32" ht="14.25" customHeight="1">
      <c r="A2988" s="176"/>
      <c r="B2988" s="176"/>
      <c r="C2988" s="177"/>
      <c r="D2988" s="176"/>
      <c r="E2988" s="176"/>
      <c r="F2988" s="259"/>
      <c r="G2988" s="176"/>
      <c r="H2988" s="178"/>
      <c r="I2988" s="592">
        <f t="shared" si="108"/>
        <v>0</v>
      </c>
      <c r="J2988" s="178"/>
      <c r="K2988" s="178"/>
      <c r="L2988" s="275" t="str">
        <f>IF(H:H=0,"",IF(ISERROR(VLOOKUP(H:H,produtos_escape2!$A$2:$B$2794,2,FALSE)),"Código não cadastrado",(VLOOKUP(H:H,produtos_escape2!$A$2:$B$2794,2,FALSE))))</f>
        <v/>
      </c>
      <c r="M2988" s="593" t="str">
        <f>IF(H:H=0,"",IF(ISERROR(VLOOKUP(H:H,produtos_escape2!$A$2:$D$2794,2,FALSE)),"Código não cadastrado",(VLOOKUP(H:H,produtos_escape2!$A$2:$D$2794,4,FALSE))))</f>
        <v/>
      </c>
      <c r="N2988" s="486"/>
      <c r="O2988" s="176"/>
      <c r="P2988" s="486"/>
      <c r="Q2988" s="247"/>
      <c r="R2988" s="246">
        <f t="shared" si="107"/>
        <v>0</v>
      </c>
      <c r="S2988" s="177"/>
      <c r="T2988" s="182"/>
      <c r="U2988" s="177"/>
      <c r="V2988" s="177"/>
      <c r="W2988" s="177"/>
      <c r="X2988" s="176"/>
      <c r="Y2988" s="177"/>
      <c r="Z2988" s="415"/>
      <c r="AA2988" s="488"/>
      <c r="AB2988" s="594"/>
      <c r="AC2988" s="595"/>
      <c r="AD2988" s="596" t="str">
        <f>IF(AND(AC2988&lt;&gt;"",S2988&lt;&gt;""),NETWORKDAYS(AC2988,S2988,#REF!),"")</f>
        <v/>
      </c>
      <c r="AE2988" s="596" t="str">
        <f ca="1">IF(AND(AD2988="",AC2988=""),"",IF(OR(AD2988&lt;&gt;"",O2988="*CANCELADO"),"",NETWORKDAYS(AC2988,TODAY(),#REF!)))</f>
        <v/>
      </c>
      <c r="AF2988" s="619"/>
    </row>
    <row r="2989" spans="1:32" ht="14.25" customHeight="1">
      <c r="A2989" s="176"/>
      <c r="B2989" s="176"/>
      <c r="C2989" s="177"/>
      <c r="D2989" s="176"/>
      <c r="E2989" s="176"/>
      <c r="F2989" s="259"/>
      <c r="G2989" s="176"/>
      <c r="H2989" s="178"/>
      <c r="I2989" s="592">
        <f t="shared" si="108"/>
        <v>0</v>
      </c>
      <c r="J2989" s="178"/>
      <c r="K2989" s="178"/>
      <c r="L2989" s="275" t="str">
        <f>IF(H:H=0,"",IF(ISERROR(VLOOKUP(H:H,produtos_escape2!$A$2:$B$2794,2,FALSE)),"Código não cadastrado",(VLOOKUP(H:H,produtos_escape2!$A$2:$B$2794,2,FALSE))))</f>
        <v/>
      </c>
      <c r="M2989" s="593" t="str">
        <f>IF(H:H=0,"",IF(ISERROR(VLOOKUP(H:H,produtos_escape2!$A$2:$D$2794,2,FALSE)),"Código não cadastrado",(VLOOKUP(H:H,produtos_escape2!$A$2:$D$2794,4,FALSE))))</f>
        <v/>
      </c>
      <c r="N2989" s="486"/>
      <c r="O2989" s="176"/>
      <c r="P2989" s="486"/>
      <c r="Q2989" s="247"/>
      <c r="R2989" s="246">
        <f t="shared" ref="R2989:R3041" si="109">P2989*Q2989</f>
        <v>0</v>
      </c>
      <c r="S2989" s="177"/>
      <c r="T2989" s="182"/>
      <c r="U2989" s="177"/>
      <c r="V2989" s="177"/>
      <c r="W2989" s="177"/>
      <c r="X2989" s="176"/>
      <c r="Y2989" s="177"/>
      <c r="Z2989" s="415"/>
      <c r="AA2989" s="488"/>
      <c r="AB2989" s="594"/>
      <c r="AC2989" s="595"/>
      <c r="AD2989" s="596" t="str">
        <f>IF(AND(AC2989&lt;&gt;"",S2989&lt;&gt;""),NETWORKDAYS(AC2989,S2989,#REF!),"")</f>
        <v/>
      </c>
      <c r="AE2989" s="596" t="str">
        <f ca="1">IF(AND(AD2989="",AC2989=""),"",IF(OR(AD2989&lt;&gt;"",O2989="*CANCELADO"),"",NETWORKDAYS(AC2989,TODAY(),#REF!)))</f>
        <v/>
      </c>
      <c r="AF2989" s="619"/>
    </row>
    <row r="2990" spans="1:32" ht="14.25" customHeight="1">
      <c r="A2990" s="176"/>
      <c r="B2990" s="176"/>
      <c r="C2990" s="177"/>
      <c r="D2990" s="176"/>
      <c r="E2990" s="176"/>
      <c r="F2990" s="259"/>
      <c r="G2990" s="176"/>
      <c r="H2990" s="178"/>
      <c r="I2990" s="592">
        <f t="shared" si="108"/>
        <v>0</v>
      </c>
      <c r="J2990" s="178"/>
      <c r="K2990" s="178"/>
      <c r="L2990" s="275" t="str">
        <f>IF(H:H=0,"",IF(ISERROR(VLOOKUP(H:H,produtos_escape2!$A$2:$B$2794,2,FALSE)),"Código não cadastrado",(VLOOKUP(H:H,produtos_escape2!$A$2:$B$2794,2,FALSE))))</f>
        <v/>
      </c>
      <c r="M2990" s="593" t="str">
        <f>IF(H:H=0,"",IF(ISERROR(VLOOKUP(H:H,produtos_escape2!$A$2:$D$2794,2,FALSE)),"Código não cadastrado",(VLOOKUP(H:H,produtos_escape2!$A$2:$D$2794,4,FALSE))))</f>
        <v/>
      </c>
      <c r="N2990" s="486"/>
      <c r="O2990" s="176"/>
      <c r="P2990" s="486"/>
      <c r="Q2990" s="247"/>
      <c r="R2990" s="246">
        <f t="shared" si="109"/>
        <v>0</v>
      </c>
      <c r="S2990" s="177"/>
      <c r="T2990" s="182"/>
      <c r="U2990" s="177"/>
      <c r="V2990" s="177"/>
      <c r="W2990" s="177"/>
      <c r="X2990" s="176"/>
      <c r="Y2990" s="177"/>
      <c r="Z2990" s="415"/>
      <c r="AA2990" s="488"/>
      <c r="AB2990" s="594"/>
      <c r="AC2990" s="595"/>
      <c r="AD2990" s="596" t="str">
        <f>IF(AND(AC2990&lt;&gt;"",S2990&lt;&gt;""),NETWORKDAYS(AC2990,S2990,#REF!),"")</f>
        <v/>
      </c>
      <c r="AE2990" s="596" t="str">
        <f ca="1">IF(AND(AD2990="",AC2990=""),"",IF(OR(AD2990&lt;&gt;"",O2990="*CANCELADO"),"",NETWORKDAYS(AC2990,TODAY(),#REF!)))</f>
        <v/>
      </c>
      <c r="AF2990" s="619"/>
    </row>
    <row r="2991" spans="1:32" ht="14.25" customHeight="1">
      <c r="A2991" s="176"/>
      <c r="B2991" s="176"/>
      <c r="C2991" s="177"/>
      <c r="D2991" s="176"/>
      <c r="E2991" s="176"/>
      <c r="F2991" s="259"/>
      <c r="G2991" s="176"/>
      <c r="H2991" s="178"/>
      <c r="I2991" s="592">
        <f t="shared" si="108"/>
        <v>0</v>
      </c>
      <c r="J2991" s="178"/>
      <c r="K2991" s="178"/>
      <c r="L2991" s="275" t="str">
        <f>IF(H:H=0,"",IF(ISERROR(VLOOKUP(H:H,produtos_escape2!$A$2:$B$2794,2,FALSE)),"Código não cadastrado",(VLOOKUP(H:H,produtos_escape2!$A$2:$B$2794,2,FALSE))))</f>
        <v/>
      </c>
      <c r="M2991" s="593" t="str">
        <f>IF(H:H=0,"",IF(ISERROR(VLOOKUP(H:H,produtos_escape2!$A$2:$D$2794,2,FALSE)),"Código não cadastrado",(VLOOKUP(H:H,produtos_escape2!$A$2:$D$2794,4,FALSE))))</f>
        <v/>
      </c>
      <c r="N2991" s="486"/>
      <c r="O2991" s="176"/>
      <c r="P2991" s="486"/>
      <c r="Q2991" s="247"/>
      <c r="R2991" s="246">
        <f t="shared" si="109"/>
        <v>0</v>
      </c>
      <c r="S2991" s="177"/>
      <c r="T2991" s="182"/>
      <c r="U2991" s="177"/>
      <c r="V2991" s="177"/>
      <c r="W2991" s="177"/>
      <c r="X2991" s="176"/>
      <c r="Y2991" s="177"/>
      <c r="Z2991" s="415"/>
      <c r="AA2991" s="488"/>
      <c r="AB2991" s="594"/>
      <c r="AC2991" s="595"/>
      <c r="AD2991" s="596" t="str">
        <f>IF(AND(AC2991&lt;&gt;"",S2991&lt;&gt;""),NETWORKDAYS(AC2991,S2991,#REF!),"")</f>
        <v/>
      </c>
      <c r="AE2991" s="596" t="str">
        <f ca="1">IF(AND(AD2991="",AC2991=""),"",IF(OR(AD2991&lt;&gt;"",O2991="*CANCELADO"),"",NETWORKDAYS(AC2991,TODAY(),#REF!)))</f>
        <v/>
      </c>
      <c r="AF2991" s="619"/>
    </row>
    <row r="2992" spans="1:32" ht="14.25" customHeight="1">
      <c r="A2992" s="176"/>
      <c r="B2992" s="176"/>
      <c r="C2992" s="177"/>
      <c r="D2992" s="176"/>
      <c r="E2992" s="176"/>
      <c r="F2992" s="259"/>
      <c r="G2992" s="176"/>
      <c r="H2992" s="178"/>
      <c r="I2992" s="592">
        <f t="shared" si="108"/>
        <v>0</v>
      </c>
      <c r="J2992" s="178"/>
      <c r="K2992" s="178"/>
      <c r="L2992" s="275" t="str">
        <f>IF(H:H=0,"",IF(ISERROR(VLOOKUP(H:H,produtos_escape2!$A$2:$B$2794,2,FALSE)),"Código não cadastrado",(VLOOKUP(H:H,produtos_escape2!$A$2:$B$2794,2,FALSE))))</f>
        <v/>
      </c>
      <c r="M2992" s="593" t="str">
        <f>IF(H:H=0,"",IF(ISERROR(VLOOKUP(H:H,produtos_escape2!$A$2:$D$2794,2,FALSE)),"Código não cadastrado",(VLOOKUP(H:H,produtos_escape2!$A$2:$D$2794,4,FALSE))))</f>
        <v/>
      </c>
      <c r="N2992" s="486"/>
      <c r="O2992" s="176"/>
      <c r="P2992" s="486"/>
      <c r="Q2992" s="247"/>
      <c r="R2992" s="246">
        <f t="shared" si="109"/>
        <v>0</v>
      </c>
      <c r="S2992" s="177"/>
      <c r="T2992" s="182"/>
      <c r="U2992" s="177"/>
      <c r="V2992" s="177"/>
      <c r="W2992" s="177"/>
      <c r="X2992" s="176"/>
      <c r="Y2992" s="177"/>
      <c r="Z2992" s="415"/>
      <c r="AA2992" s="488"/>
      <c r="AB2992" s="594"/>
      <c r="AC2992" s="595"/>
      <c r="AD2992" s="596" t="str">
        <f>IF(AND(AC2992&lt;&gt;"",S2992&lt;&gt;""),NETWORKDAYS(AC2992,S2992,#REF!),"")</f>
        <v/>
      </c>
      <c r="AE2992" s="596" t="str">
        <f ca="1">IF(AND(AD2992="",AC2992=""),"",IF(OR(AD2992&lt;&gt;"",O2992="*CANCELADO"),"",NETWORKDAYS(AC2992,TODAY(),#REF!)))</f>
        <v/>
      </c>
      <c r="AF2992" s="619"/>
    </row>
    <row r="2993" spans="1:32" ht="14.25" customHeight="1">
      <c r="A2993" s="176"/>
      <c r="B2993" s="176"/>
      <c r="C2993" s="177"/>
      <c r="D2993" s="176"/>
      <c r="E2993" s="176"/>
      <c r="F2993" s="259"/>
      <c r="G2993" s="176"/>
      <c r="H2993" s="178"/>
      <c r="I2993" s="592">
        <f t="shared" si="108"/>
        <v>0</v>
      </c>
      <c r="J2993" s="178"/>
      <c r="K2993" s="178"/>
      <c r="L2993" s="275" t="str">
        <f>IF(H:H=0,"",IF(ISERROR(VLOOKUP(H:H,produtos_escape2!$A$2:$B$2794,2,FALSE)),"Código não cadastrado",(VLOOKUP(H:H,produtos_escape2!$A$2:$B$2794,2,FALSE))))</f>
        <v/>
      </c>
      <c r="M2993" s="593" t="str">
        <f>IF(H:H=0,"",IF(ISERROR(VLOOKUP(H:H,produtos_escape2!$A$2:$D$2794,2,FALSE)),"Código não cadastrado",(VLOOKUP(H:H,produtos_escape2!$A$2:$D$2794,4,FALSE))))</f>
        <v/>
      </c>
      <c r="N2993" s="486"/>
      <c r="O2993" s="176"/>
      <c r="P2993" s="486"/>
      <c r="Q2993" s="247"/>
      <c r="R2993" s="246">
        <f t="shared" si="109"/>
        <v>0</v>
      </c>
      <c r="S2993" s="177"/>
      <c r="T2993" s="182"/>
      <c r="U2993" s="177"/>
      <c r="V2993" s="177"/>
      <c r="W2993" s="177"/>
      <c r="X2993" s="176"/>
      <c r="Y2993" s="177"/>
      <c r="Z2993" s="415"/>
      <c r="AA2993" s="488"/>
      <c r="AB2993" s="594"/>
      <c r="AC2993" s="595"/>
      <c r="AD2993" s="596" t="str">
        <f>IF(AND(AC2993&lt;&gt;"",S2993&lt;&gt;""),NETWORKDAYS(AC2993,S2993,#REF!),"")</f>
        <v/>
      </c>
      <c r="AE2993" s="596" t="str">
        <f ca="1">IF(AND(AD2993="",AC2993=""),"",IF(OR(AD2993&lt;&gt;"",O2993="*CANCELADO"),"",NETWORKDAYS(AC2993,TODAY(),#REF!)))</f>
        <v/>
      </c>
      <c r="AF2993" s="619"/>
    </row>
    <row r="2994" spans="1:32" ht="14.25" customHeight="1">
      <c r="A2994" s="176"/>
      <c r="B2994" s="176"/>
      <c r="C2994" s="177"/>
      <c r="D2994" s="176"/>
      <c r="E2994" s="176"/>
      <c r="F2994" s="259"/>
      <c r="G2994" s="176"/>
      <c r="H2994" s="178"/>
      <c r="I2994" s="592">
        <f t="shared" si="108"/>
        <v>0</v>
      </c>
      <c r="J2994" s="178"/>
      <c r="K2994" s="178"/>
      <c r="L2994" s="275" t="str">
        <f>IF(H:H=0,"",IF(ISERROR(VLOOKUP(H:H,produtos_escape2!$A$2:$B$2794,2,FALSE)),"Código não cadastrado",(VLOOKUP(H:H,produtos_escape2!$A$2:$B$2794,2,FALSE))))</f>
        <v/>
      </c>
      <c r="M2994" s="593" t="str">
        <f>IF(H:H=0,"",IF(ISERROR(VLOOKUP(H:H,produtos_escape2!$A$2:$D$2794,2,FALSE)),"Código não cadastrado",(VLOOKUP(H:H,produtos_escape2!$A$2:$D$2794,4,FALSE))))</f>
        <v/>
      </c>
      <c r="N2994" s="486"/>
      <c r="O2994" s="176"/>
      <c r="P2994" s="486"/>
      <c r="Q2994" s="247"/>
      <c r="R2994" s="246">
        <f t="shared" si="109"/>
        <v>0</v>
      </c>
      <c r="S2994" s="177"/>
      <c r="T2994" s="182"/>
      <c r="U2994" s="177"/>
      <c r="V2994" s="177"/>
      <c r="W2994" s="177"/>
      <c r="X2994" s="176"/>
      <c r="Y2994" s="177"/>
      <c r="Z2994" s="415"/>
      <c r="AA2994" s="488"/>
      <c r="AB2994" s="594"/>
      <c r="AC2994" s="595"/>
      <c r="AD2994" s="596" t="str">
        <f>IF(AND(AC2994&lt;&gt;"",S2994&lt;&gt;""),NETWORKDAYS(AC2994,S2994,#REF!),"")</f>
        <v/>
      </c>
      <c r="AE2994" s="596" t="str">
        <f ca="1">IF(AND(AD2994="",AC2994=""),"",IF(OR(AD2994&lt;&gt;"",O2994="*CANCELADO"),"",NETWORKDAYS(AC2994,TODAY(),#REF!)))</f>
        <v/>
      </c>
      <c r="AF2994" s="619"/>
    </row>
    <row r="2995" spans="1:32" ht="14.25" customHeight="1">
      <c r="A2995" s="176"/>
      <c r="B2995" s="176"/>
      <c r="C2995" s="177"/>
      <c r="D2995" s="176"/>
      <c r="E2995" s="176"/>
      <c r="F2995" s="259"/>
      <c r="G2995" s="176"/>
      <c r="H2995" s="178"/>
      <c r="I2995" s="592">
        <f t="shared" si="108"/>
        <v>0</v>
      </c>
      <c r="J2995" s="178"/>
      <c r="K2995" s="178"/>
      <c r="L2995" s="275" t="str">
        <f>IF(H:H=0,"",IF(ISERROR(VLOOKUP(H:H,produtos_escape2!$A$2:$B$2794,2,FALSE)),"Código não cadastrado",(VLOOKUP(H:H,produtos_escape2!$A$2:$B$2794,2,FALSE))))</f>
        <v/>
      </c>
      <c r="M2995" s="593" t="str">
        <f>IF(H:H=0,"",IF(ISERROR(VLOOKUP(H:H,produtos_escape2!$A$2:$D$2794,2,FALSE)),"Código não cadastrado",(VLOOKUP(H:H,produtos_escape2!$A$2:$D$2794,4,FALSE))))</f>
        <v/>
      </c>
      <c r="N2995" s="486"/>
      <c r="O2995" s="176"/>
      <c r="P2995" s="486"/>
      <c r="Q2995" s="247"/>
      <c r="R2995" s="246">
        <f t="shared" si="109"/>
        <v>0</v>
      </c>
      <c r="S2995" s="177"/>
      <c r="T2995" s="182"/>
      <c r="U2995" s="177"/>
      <c r="V2995" s="177"/>
      <c r="W2995" s="177"/>
      <c r="X2995" s="176"/>
      <c r="Y2995" s="177"/>
      <c r="Z2995" s="415"/>
      <c r="AA2995" s="488"/>
      <c r="AB2995" s="594"/>
      <c r="AC2995" s="595"/>
      <c r="AD2995" s="596" t="str">
        <f>IF(AND(AC2995&lt;&gt;"",S2995&lt;&gt;""),NETWORKDAYS(AC2995,S2995,#REF!),"")</f>
        <v/>
      </c>
      <c r="AE2995" s="596" t="str">
        <f ca="1">IF(AND(AD2995="",AC2995=""),"",IF(OR(AD2995&lt;&gt;"",O2995="*CANCELADO"),"",NETWORKDAYS(AC2995,TODAY(),#REF!)))</f>
        <v/>
      </c>
      <c r="AF2995" s="619"/>
    </row>
    <row r="2996" spans="1:32" ht="14.25" customHeight="1">
      <c r="A2996" s="176"/>
      <c r="B2996" s="176"/>
      <c r="C2996" s="177"/>
      <c r="D2996" s="176"/>
      <c r="E2996" s="176"/>
      <c r="F2996" s="259"/>
      <c r="G2996" s="176"/>
      <c r="H2996" s="178"/>
      <c r="I2996" s="592">
        <f t="shared" si="108"/>
        <v>0</v>
      </c>
      <c r="J2996" s="178"/>
      <c r="K2996" s="178"/>
      <c r="L2996" s="275" t="str">
        <f>IF(H:H=0,"",IF(ISERROR(VLOOKUP(H:H,produtos_escape2!$A$2:$B$2794,2,FALSE)),"Código não cadastrado",(VLOOKUP(H:H,produtos_escape2!$A$2:$B$2794,2,FALSE))))</f>
        <v/>
      </c>
      <c r="M2996" s="593" t="str">
        <f>IF(H:H=0,"",IF(ISERROR(VLOOKUP(H:H,produtos_escape2!$A$2:$D$2794,2,FALSE)),"Código não cadastrado",(VLOOKUP(H:H,produtos_escape2!$A$2:$D$2794,4,FALSE))))</f>
        <v/>
      </c>
      <c r="N2996" s="486"/>
      <c r="O2996" s="176"/>
      <c r="P2996" s="486"/>
      <c r="Q2996" s="247"/>
      <c r="R2996" s="246">
        <f t="shared" si="109"/>
        <v>0</v>
      </c>
      <c r="S2996" s="177"/>
      <c r="T2996" s="182"/>
      <c r="U2996" s="177"/>
      <c r="V2996" s="177"/>
      <c r="W2996" s="177"/>
      <c r="X2996" s="176"/>
      <c r="Y2996" s="177"/>
      <c r="Z2996" s="415"/>
      <c r="AA2996" s="488"/>
      <c r="AB2996" s="594"/>
      <c r="AC2996" s="595"/>
      <c r="AD2996" s="596" t="str">
        <f>IF(AND(AC2996&lt;&gt;"",S2996&lt;&gt;""),NETWORKDAYS(AC2996,S2996,#REF!),"")</f>
        <v/>
      </c>
      <c r="AE2996" s="596" t="str">
        <f ca="1">IF(AND(AD2996="",AC2996=""),"",IF(OR(AD2996&lt;&gt;"",O2996="*CANCELADO"),"",NETWORKDAYS(AC2996,TODAY(),#REF!)))</f>
        <v/>
      </c>
      <c r="AF2996" s="619"/>
    </row>
    <row r="2997" spans="1:32" ht="14.25" customHeight="1">
      <c r="A2997" s="176"/>
      <c r="B2997" s="176"/>
      <c r="C2997" s="177"/>
      <c r="D2997" s="176"/>
      <c r="E2997" s="176"/>
      <c r="F2997" s="259"/>
      <c r="G2997" s="176"/>
      <c r="H2997" s="178"/>
      <c r="I2997" s="592">
        <f t="shared" si="108"/>
        <v>0</v>
      </c>
      <c r="J2997" s="178"/>
      <c r="K2997" s="178"/>
      <c r="L2997" s="275" t="str">
        <f>IF(H:H=0,"",IF(ISERROR(VLOOKUP(H:H,produtos_escape2!$A$2:$B$2794,2,FALSE)),"Código não cadastrado",(VLOOKUP(H:H,produtos_escape2!$A$2:$B$2794,2,FALSE))))</f>
        <v/>
      </c>
      <c r="M2997" s="593" t="str">
        <f>IF(H:H=0,"",IF(ISERROR(VLOOKUP(H:H,produtos_escape2!$A$2:$D$2794,2,FALSE)),"Código não cadastrado",(VLOOKUP(H:H,produtos_escape2!$A$2:$D$2794,4,FALSE))))</f>
        <v/>
      </c>
      <c r="N2997" s="486"/>
      <c r="O2997" s="176"/>
      <c r="P2997" s="486"/>
      <c r="Q2997" s="247"/>
      <c r="R2997" s="246">
        <f t="shared" si="109"/>
        <v>0</v>
      </c>
      <c r="S2997" s="177"/>
      <c r="T2997" s="182"/>
      <c r="U2997" s="177"/>
      <c r="V2997" s="177"/>
      <c r="W2997" s="177"/>
      <c r="X2997" s="176"/>
      <c r="Y2997" s="177"/>
      <c r="Z2997" s="415"/>
      <c r="AA2997" s="488"/>
      <c r="AB2997" s="594"/>
      <c r="AC2997" s="595"/>
      <c r="AD2997" s="596" t="str">
        <f>IF(AND(AC2997&lt;&gt;"",S2997&lt;&gt;""),NETWORKDAYS(AC2997,S2997,#REF!),"")</f>
        <v/>
      </c>
      <c r="AE2997" s="596" t="str">
        <f ca="1">IF(AND(AD2997="",AC2997=""),"",IF(OR(AD2997&lt;&gt;"",O2997="*CANCELADO"),"",NETWORKDAYS(AC2997,TODAY(),#REF!)))</f>
        <v/>
      </c>
      <c r="AF2997" s="619"/>
    </row>
    <row r="2998" spans="1:32" ht="14.25" customHeight="1">
      <c r="A2998" s="176"/>
      <c r="B2998" s="176"/>
      <c r="C2998" s="177"/>
      <c r="D2998" s="176"/>
      <c r="E2998" s="176"/>
      <c r="F2998" s="259"/>
      <c r="G2998" s="176"/>
      <c r="H2998" s="178"/>
      <c r="I2998" s="592">
        <f t="shared" ref="I2998:I3041" si="110">COUNTIF($H$3:$H$3041,H2998)</f>
        <v>0</v>
      </c>
      <c r="J2998" s="178"/>
      <c r="K2998" s="178"/>
      <c r="L2998" s="275" t="str">
        <f>IF(H:H=0,"",IF(ISERROR(VLOOKUP(H:H,produtos_escape2!$A$2:$B$2794,2,FALSE)),"Código não cadastrado",(VLOOKUP(H:H,produtos_escape2!$A$2:$B$2794,2,FALSE))))</f>
        <v/>
      </c>
      <c r="M2998" s="593" t="str">
        <f>IF(H:H=0,"",IF(ISERROR(VLOOKUP(H:H,produtos_escape2!$A$2:$D$2794,2,FALSE)),"Código não cadastrado",(VLOOKUP(H:H,produtos_escape2!$A$2:$D$2794,4,FALSE))))</f>
        <v/>
      </c>
      <c r="N2998" s="486"/>
      <c r="O2998" s="176"/>
      <c r="P2998" s="486"/>
      <c r="Q2998" s="247"/>
      <c r="R2998" s="246">
        <f t="shared" si="109"/>
        <v>0</v>
      </c>
      <c r="S2998" s="177"/>
      <c r="T2998" s="182"/>
      <c r="U2998" s="177"/>
      <c r="V2998" s="177"/>
      <c r="W2998" s="177"/>
      <c r="X2998" s="176"/>
      <c r="Y2998" s="177"/>
      <c r="Z2998" s="415"/>
      <c r="AA2998" s="488"/>
      <c r="AB2998" s="594"/>
      <c r="AC2998" s="595"/>
      <c r="AD2998" s="596" t="str">
        <f>IF(AND(AC2998&lt;&gt;"",S2998&lt;&gt;""),NETWORKDAYS(AC2998,S2998,#REF!),"")</f>
        <v/>
      </c>
      <c r="AE2998" s="596" t="str">
        <f ca="1">IF(AND(AD2998="",AC2998=""),"",IF(OR(AD2998&lt;&gt;"",O2998="*CANCELADO"),"",NETWORKDAYS(AC2998,TODAY(),#REF!)))</f>
        <v/>
      </c>
      <c r="AF2998" s="619"/>
    </row>
    <row r="2999" spans="1:32" ht="14.25" customHeight="1">
      <c r="A2999" s="176"/>
      <c r="B2999" s="176"/>
      <c r="C2999" s="177"/>
      <c r="D2999" s="176"/>
      <c r="E2999" s="176"/>
      <c r="F2999" s="259"/>
      <c r="G2999" s="176"/>
      <c r="H2999" s="178"/>
      <c r="I2999" s="592">
        <f t="shared" si="110"/>
        <v>0</v>
      </c>
      <c r="J2999" s="178"/>
      <c r="K2999" s="178"/>
      <c r="L2999" s="275" t="str">
        <f>IF(H:H=0,"",IF(ISERROR(VLOOKUP(H:H,produtos_escape2!$A$2:$B$2794,2,FALSE)),"Código não cadastrado",(VLOOKUP(H:H,produtos_escape2!$A$2:$B$2794,2,FALSE))))</f>
        <v/>
      </c>
      <c r="M2999" s="593" t="str">
        <f>IF(H:H=0,"",IF(ISERROR(VLOOKUP(H:H,produtos_escape2!$A$2:$D$2794,2,FALSE)),"Código não cadastrado",(VLOOKUP(H:H,produtos_escape2!$A$2:$D$2794,4,FALSE))))</f>
        <v/>
      </c>
      <c r="N2999" s="486"/>
      <c r="O2999" s="176"/>
      <c r="P2999" s="486"/>
      <c r="Q2999" s="247"/>
      <c r="R2999" s="246">
        <f t="shared" si="109"/>
        <v>0</v>
      </c>
      <c r="S2999" s="177"/>
      <c r="T2999" s="182"/>
      <c r="U2999" s="177"/>
      <c r="V2999" s="177"/>
      <c r="W2999" s="177"/>
      <c r="X2999" s="176"/>
      <c r="Y2999" s="177"/>
      <c r="Z2999" s="415"/>
      <c r="AA2999" s="488"/>
      <c r="AB2999" s="594"/>
      <c r="AC2999" s="595"/>
      <c r="AD2999" s="596" t="str">
        <f>IF(AND(AC2999&lt;&gt;"",S2999&lt;&gt;""),NETWORKDAYS(AC2999,S2999,#REF!),"")</f>
        <v/>
      </c>
      <c r="AE2999" s="596" t="str">
        <f ca="1">IF(AND(AD2999="",AC2999=""),"",IF(OR(AD2999&lt;&gt;"",O2999="*CANCELADO"),"",NETWORKDAYS(AC2999,TODAY(),#REF!)))</f>
        <v/>
      </c>
      <c r="AF2999" s="619"/>
    </row>
    <row r="3000" spans="1:32" ht="14.25" customHeight="1">
      <c r="A3000" s="176"/>
      <c r="B3000" s="176"/>
      <c r="C3000" s="177"/>
      <c r="D3000" s="176"/>
      <c r="E3000" s="176"/>
      <c r="F3000" s="259"/>
      <c r="G3000" s="176"/>
      <c r="H3000" s="178"/>
      <c r="I3000" s="592">
        <f t="shared" si="110"/>
        <v>0</v>
      </c>
      <c r="J3000" s="178"/>
      <c r="K3000" s="178"/>
      <c r="L3000" s="275" t="str">
        <f>IF(H:H=0,"",IF(ISERROR(VLOOKUP(H:H,produtos_escape2!$A$2:$B$2794,2,FALSE)),"Código não cadastrado",(VLOOKUP(H:H,produtos_escape2!$A$2:$B$2794,2,FALSE))))</f>
        <v/>
      </c>
      <c r="M3000" s="593" t="str">
        <f>IF(H:H=0,"",IF(ISERROR(VLOOKUP(H:H,produtos_escape2!$A$2:$D$2794,2,FALSE)),"Código não cadastrado",(VLOOKUP(H:H,produtos_escape2!$A$2:$D$2794,4,FALSE))))</f>
        <v/>
      </c>
      <c r="N3000" s="486"/>
      <c r="O3000" s="176"/>
      <c r="P3000" s="486"/>
      <c r="Q3000" s="247"/>
      <c r="R3000" s="246">
        <f t="shared" si="109"/>
        <v>0</v>
      </c>
      <c r="S3000" s="177"/>
      <c r="T3000" s="182"/>
      <c r="U3000" s="177"/>
      <c r="V3000" s="177"/>
      <c r="W3000" s="177"/>
      <c r="X3000" s="176"/>
      <c r="Y3000" s="177"/>
      <c r="Z3000" s="415"/>
      <c r="AA3000" s="488"/>
      <c r="AB3000" s="594"/>
      <c r="AC3000" s="595"/>
      <c r="AD3000" s="596" t="str">
        <f>IF(AND(AC3000&lt;&gt;"",S3000&lt;&gt;""),NETWORKDAYS(AC3000,S3000,#REF!),"")</f>
        <v/>
      </c>
      <c r="AE3000" s="596" t="str">
        <f ca="1">IF(AND(AD3000="",AC3000=""),"",IF(OR(AD3000&lt;&gt;"",O3000="*CANCELADO"),"",NETWORKDAYS(AC3000,TODAY(),#REF!)))</f>
        <v/>
      </c>
      <c r="AF3000" s="619"/>
    </row>
    <row r="3001" spans="1:32" ht="14.25" customHeight="1">
      <c r="A3001" s="176"/>
      <c r="B3001" s="176"/>
      <c r="C3001" s="177"/>
      <c r="D3001" s="176"/>
      <c r="E3001" s="176"/>
      <c r="F3001" s="259"/>
      <c r="G3001" s="176"/>
      <c r="H3001" s="178"/>
      <c r="I3001" s="592">
        <f t="shared" si="110"/>
        <v>0</v>
      </c>
      <c r="J3001" s="178"/>
      <c r="K3001" s="178"/>
      <c r="L3001" s="275" t="str">
        <f>IF(H:H=0,"",IF(ISERROR(VLOOKUP(H:H,produtos_escape2!$A$2:$B$2794,2,FALSE)),"Código não cadastrado",(VLOOKUP(H:H,produtos_escape2!$A$2:$B$2794,2,FALSE))))</f>
        <v/>
      </c>
      <c r="M3001" s="593" t="str">
        <f>IF(H:H=0,"",IF(ISERROR(VLOOKUP(H:H,produtos_escape2!$A$2:$D$2794,2,FALSE)),"Código não cadastrado",(VLOOKUP(H:H,produtos_escape2!$A$2:$D$2794,4,FALSE))))</f>
        <v/>
      </c>
      <c r="N3001" s="486"/>
      <c r="O3001" s="176"/>
      <c r="P3001" s="486"/>
      <c r="Q3001" s="247"/>
      <c r="R3001" s="246">
        <f t="shared" si="109"/>
        <v>0</v>
      </c>
      <c r="S3001" s="177"/>
      <c r="T3001" s="182"/>
      <c r="U3001" s="177"/>
      <c r="V3001" s="177"/>
      <c r="W3001" s="177"/>
      <c r="X3001" s="176"/>
      <c r="Y3001" s="177"/>
      <c r="Z3001" s="415"/>
      <c r="AA3001" s="488"/>
      <c r="AB3001" s="594"/>
      <c r="AC3001" s="595"/>
      <c r="AD3001" s="596" t="str">
        <f>IF(AND(AC3001&lt;&gt;"",S3001&lt;&gt;""),NETWORKDAYS(AC3001,S3001,#REF!),"")</f>
        <v/>
      </c>
      <c r="AE3001" s="596" t="str">
        <f ca="1">IF(AND(AD3001="",AC3001=""),"",IF(OR(AD3001&lt;&gt;"",O3001="*CANCELADO"),"",NETWORKDAYS(AC3001,TODAY(),#REF!)))</f>
        <v/>
      </c>
      <c r="AF3001" s="619"/>
    </row>
    <row r="3002" spans="1:32" ht="14.25" customHeight="1">
      <c r="A3002" s="176"/>
      <c r="B3002" s="176"/>
      <c r="C3002" s="177"/>
      <c r="D3002" s="176"/>
      <c r="E3002" s="176"/>
      <c r="F3002" s="259"/>
      <c r="G3002" s="176"/>
      <c r="H3002" s="178"/>
      <c r="I3002" s="592">
        <f t="shared" si="110"/>
        <v>0</v>
      </c>
      <c r="J3002" s="178"/>
      <c r="K3002" s="178"/>
      <c r="L3002" s="275" t="str">
        <f>IF(H:H=0,"",IF(ISERROR(VLOOKUP(H:H,produtos_escape2!$A$2:$B$2794,2,FALSE)),"Código não cadastrado",(VLOOKUP(H:H,produtos_escape2!$A$2:$B$2794,2,FALSE))))</f>
        <v/>
      </c>
      <c r="M3002" s="593" t="str">
        <f>IF(H:H=0,"",IF(ISERROR(VLOOKUP(H:H,produtos_escape2!$A$2:$D$2794,2,FALSE)),"Código não cadastrado",(VLOOKUP(H:H,produtos_escape2!$A$2:$D$2794,4,FALSE))))</f>
        <v/>
      </c>
      <c r="N3002" s="486"/>
      <c r="O3002" s="176"/>
      <c r="P3002" s="486"/>
      <c r="Q3002" s="247"/>
      <c r="R3002" s="246">
        <f t="shared" si="109"/>
        <v>0</v>
      </c>
      <c r="S3002" s="177"/>
      <c r="T3002" s="182"/>
      <c r="U3002" s="177"/>
      <c r="V3002" s="177"/>
      <c r="W3002" s="177"/>
      <c r="X3002" s="176"/>
      <c r="Y3002" s="177"/>
      <c r="Z3002" s="415"/>
      <c r="AA3002" s="488"/>
      <c r="AB3002" s="594"/>
      <c r="AC3002" s="595"/>
      <c r="AD3002" s="596" t="str">
        <f>IF(AND(AC3002&lt;&gt;"",S3002&lt;&gt;""),NETWORKDAYS(AC3002,S3002,#REF!),"")</f>
        <v/>
      </c>
      <c r="AE3002" s="596" t="str">
        <f ca="1">IF(AND(AD3002="",AC3002=""),"",IF(OR(AD3002&lt;&gt;"",O3002="*CANCELADO"),"",NETWORKDAYS(AC3002,TODAY(),#REF!)))</f>
        <v/>
      </c>
      <c r="AF3002" s="619"/>
    </row>
    <row r="3003" spans="1:32" ht="14.25" customHeight="1">
      <c r="A3003" s="176"/>
      <c r="B3003" s="176"/>
      <c r="C3003" s="177"/>
      <c r="D3003" s="176"/>
      <c r="E3003" s="176"/>
      <c r="F3003" s="259"/>
      <c r="G3003" s="176"/>
      <c r="H3003" s="178"/>
      <c r="I3003" s="592">
        <f t="shared" si="110"/>
        <v>0</v>
      </c>
      <c r="J3003" s="178"/>
      <c r="K3003" s="178"/>
      <c r="L3003" s="275" t="str">
        <f>IF(H:H=0,"",IF(ISERROR(VLOOKUP(H:H,produtos_escape2!$A$2:$B$2794,2,FALSE)),"Código não cadastrado",(VLOOKUP(H:H,produtos_escape2!$A$2:$B$2794,2,FALSE))))</f>
        <v/>
      </c>
      <c r="M3003" s="593" t="str">
        <f>IF(H:H=0,"",IF(ISERROR(VLOOKUP(H:H,produtos_escape2!$A$2:$D$2794,2,FALSE)),"Código não cadastrado",(VLOOKUP(H:H,produtos_escape2!$A$2:$D$2794,4,FALSE))))</f>
        <v/>
      </c>
      <c r="N3003" s="486"/>
      <c r="O3003" s="176"/>
      <c r="P3003" s="486"/>
      <c r="Q3003" s="247"/>
      <c r="R3003" s="246">
        <f t="shared" si="109"/>
        <v>0</v>
      </c>
      <c r="S3003" s="177"/>
      <c r="T3003" s="182"/>
      <c r="U3003" s="177"/>
      <c r="V3003" s="177"/>
      <c r="W3003" s="177"/>
      <c r="X3003" s="176"/>
      <c r="Y3003" s="177"/>
      <c r="Z3003" s="415"/>
      <c r="AA3003" s="488"/>
      <c r="AB3003" s="594"/>
      <c r="AC3003" s="595"/>
      <c r="AD3003" s="596" t="str">
        <f>IF(AND(AC3003&lt;&gt;"",S3003&lt;&gt;""),NETWORKDAYS(AC3003,S3003,#REF!),"")</f>
        <v/>
      </c>
      <c r="AE3003" s="596" t="str">
        <f ca="1">IF(AND(AD3003="",AC3003=""),"",IF(OR(AD3003&lt;&gt;"",O3003="*CANCELADO"),"",NETWORKDAYS(AC3003,TODAY(),#REF!)))</f>
        <v/>
      </c>
      <c r="AF3003" s="619"/>
    </row>
    <row r="3004" spans="1:32" ht="14.25" customHeight="1">
      <c r="A3004" s="176"/>
      <c r="B3004" s="176"/>
      <c r="C3004" s="177"/>
      <c r="D3004" s="176"/>
      <c r="E3004" s="176"/>
      <c r="F3004" s="259"/>
      <c r="G3004" s="176"/>
      <c r="H3004" s="178"/>
      <c r="I3004" s="592">
        <f t="shared" si="110"/>
        <v>0</v>
      </c>
      <c r="J3004" s="178"/>
      <c r="K3004" s="178"/>
      <c r="L3004" s="275" t="str">
        <f>IF(H:H=0,"",IF(ISERROR(VLOOKUP(H:H,produtos_escape2!$A$2:$B$2794,2,FALSE)),"Código não cadastrado",(VLOOKUP(H:H,produtos_escape2!$A$2:$B$2794,2,FALSE))))</f>
        <v/>
      </c>
      <c r="M3004" s="593" t="str">
        <f>IF(H:H=0,"",IF(ISERROR(VLOOKUP(H:H,produtos_escape2!$A$2:$D$2794,2,FALSE)),"Código não cadastrado",(VLOOKUP(H:H,produtos_escape2!$A$2:$D$2794,4,FALSE))))</f>
        <v/>
      </c>
      <c r="N3004" s="486"/>
      <c r="O3004" s="176"/>
      <c r="P3004" s="486"/>
      <c r="Q3004" s="247"/>
      <c r="R3004" s="246">
        <f t="shared" si="109"/>
        <v>0</v>
      </c>
      <c r="S3004" s="177"/>
      <c r="T3004" s="182"/>
      <c r="U3004" s="177"/>
      <c r="V3004" s="177"/>
      <c r="W3004" s="177"/>
      <c r="X3004" s="176"/>
      <c r="Y3004" s="177"/>
      <c r="Z3004" s="415"/>
      <c r="AA3004" s="488"/>
      <c r="AB3004" s="594"/>
      <c r="AC3004" s="595"/>
      <c r="AD3004" s="596" t="str">
        <f>IF(AND(AC3004&lt;&gt;"",S3004&lt;&gt;""),NETWORKDAYS(AC3004,S3004,#REF!),"")</f>
        <v/>
      </c>
      <c r="AE3004" s="596" t="str">
        <f ca="1">IF(AND(AD3004="",AC3004=""),"",IF(OR(AD3004&lt;&gt;"",O3004="*CANCELADO"),"",NETWORKDAYS(AC3004,TODAY(),#REF!)))</f>
        <v/>
      </c>
      <c r="AF3004" s="619"/>
    </row>
    <row r="3005" spans="1:32" ht="14.25" customHeight="1">
      <c r="A3005" s="176"/>
      <c r="B3005" s="176"/>
      <c r="C3005" s="177"/>
      <c r="D3005" s="176"/>
      <c r="E3005" s="176"/>
      <c r="F3005" s="259"/>
      <c r="G3005" s="176"/>
      <c r="H3005" s="178"/>
      <c r="I3005" s="592">
        <f t="shared" si="110"/>
        <v>0</v>
      </c>
      <c r="J3005" s="178"/>
      <c r="K3005" s="178"/>
      <c r="L3005" s="275" t="str">
        <f>IF(H:H=0,"",IF(ISERROR(VLOOKUP(H:H,produtos_escape2!$A$2:$B$2794,2,FALSE)),"Código não cadastrado",(VLOOKUP(H:H,produtos_escape2!$A$2:$B$2794,2,FALSE))))</f>
        <v/>
      </c>
      <c r="M3005" s="593" t="str">
        <f>IF(H:H=0,"",IF(ISERROR(VLOOKUP(H:H,produtos_escape2!$A$2:$D$2794,2,FALSE)),"Código não cadastrado",(VLOOKUP(H:H,produtos_escape2!$A$2:$D$2794,4,FALSE))))</f>
        <v/>
      </c>
      <c r="N3005" s="486"/>
      <c r="O3005" s="176"/>
      <c r="P3005" s="486"/>
      <c r="Q3005" s="247"/>
      <c r="R3005" s="246">
        <f t="shared" si="109"/>
        <v>0</v>
      </c>
      <c r="S3005" s="177"/>
      <c r="T3005" s="182"/>
      <c r="U3005" s="177"/>
      <c r="V3005" s="177"/>
      <c r="W3005" s="177"/>
      <c r="X3005" s="176"/>
      <c r="Y3005" s="177"/>
      <c r="Z3005" s="415"/>
      <c r="AA3005" s="488"/>
      <c r="AB3005" s="594"/>
      <c r="AC3005" s="595"/>
      <c r="AD3005" s="596" t="str">
        <f>IF(AND(AC3005&lt;&gt;"",S3005&lt;&gt;""),NETWORKDAYS(AC3005,S3005,#REF!),"")</f>
        <v/>
      </c>
      <c r="AE3005" s="596" t="str">
        <f ca="1">IF(AND(AD3005="",AC3005=""),"",IF(OR(AD3005&lt;&gt;"",O3005="*CANCELADO"),"",NETWORKDAYS(AC3005,TODAY(),#REF!)))</f>
        <v/>
      </c>
      <c r="AF3005" s="619"/>
    </row>
    <row r="3006" spans="1:32" ht="14.25" customHeight="1">
      <c r="A3006" s="176"/>
      <c r="B3006" s="176"/>
      <c r="C3006" s="177"/>
      <c r="D3006" s="176"/>
      <c r="E3006" s="176"/>
      <c r="F3006" s="259"/>
      <c r="G3006" s="176"/>
      <c r="H3006" s="178"/>
      <c r="I3006" s="592">
        <f t="shared" si="110"/>
        <v>0</v>
      </c>
      <c r="J3006" s="178"/>
      <c r="K3006" s="178"/>
      <c r="L3006" s="275" t="str">
        <f>IF(H:H=0,"",IF(ISERROR(VLOOKUP(H:H,produtos_escape2!$A$2:$B$2794,2,FALSE)),"Código não cadastrado",(VLOOKUP(H:H,produtos_escape2!$A$2:$B$2794,2,FALSE))))</f>
        <v/>
      </c>
      <c r="M3006" s="593" t="str">
        <f>IF(H:H=0,"",IF(ISERROR(VLOOKUP(H:H,produtos_escape2!$A$2:$D$2794,2,FALSE)),"Código não cadastrado",(VLOOKUP(H:H,produtos_escape2!$A$2:$D$2794,4,FALSE))))</f>
        <v/>
      </c>
      <c r="N3006" s="486"/>
      <c r="O3006" s="176"/>
      <c r="P3006" s="486"/>
      <c r="Q3006" s="247"/>
      <c r="R3006" s="246">
        <f t="shared" si="109"/>
        <v>0</v>
      </c>
      <c r="S3006" s="177"/>
      <c r="T3006" s="182"/>
      <c r="U3006" s="177"/>
      <c r="V3006" s="177"/>
      <c r="W3006" s="177"/>
      <c r="X3006" s="176"/>
      <c r="Y3006" s="177"/>
      <c r="Z3006" s="415"/>
      <c r="AA3006" s="488"/>
      <c r="AB3006" s="594"/>
      <c r="AC3006" s="595"/>
      <c r="AD3006" s="596" t="str">
        <f>IF(AND(AC3006&lt;&gt;"",S3006&lt;&gt;""),NETWORKDAYS(AC3006,S3006,#REF!),"")</f>
        <v/>
      </c>
      <c r="AE3006" s="596" t="str">
        <f ca="1">IF(AND(AD3006="",AC3006=""),"",IF(OR(AD3006&lt;&gt;"",O3006="*CANCELADO"),"",NETWORKDAYS(AC3006,TODAY(),#REF!)))</f>
        <v/>
      </c>
      <c r="AF3006" s="619"/>
    </row>
    <row r="3007" spans="1:32" ht="14.25" customHeight="1">
      <c r="A3007" s="176"/>
      <c r="B3007" s="176"/>
      <c r="C3007" s="177"/>
      <c r="D3007" s="176"/>
      <c r="E3007" s="176"/>
      <c r="F3007" s="259"/>
      <c r="G3007" s="176"/>
      <c r="H3007" s="178"/>
      <c r="I3007" s="592">
        <f t="shared" si="110"/>
        <v>0</v>
      </c>
      <c r="J3007" s="178"/>
      <c r="K3007" s="178"/>
      <c r="L3007" s="275" t="str">
        <f>IF(H:H=0,"",IF(ISERROR(VLOOKUP(H:H,produtos_escape2!$A$2:$B$2794,2,FALSE)),"Código não cadastrado",(VLOOKUP(H:H,produtos_escape2!$A$2:$B$2794,2,FALSE))))</f>
        <v/>
      </c>
      <c r="M3007" s="593" t="str">
        <f>IF(H:H=0,"",IF(ISERROR(VLOOKUP(H:H,produtos_escape2!$A$2:$D$2794,2,FALSE)),"Código não cadastrado",(VLOOKUP(H:H,produtos_escape2!$A$2:$D$2794,4,FALSE))))</f>
        <v/>
      </c>
      <c r="N3007" s="486"/>
      <c r="O3007" s="176"/>
      <c r="P3007" s="486"/>
      <c r="Q3007" s="247"/>
      <c r="R3007" s="246">
        <f t="shared" si="109"/>
        <v>0</v>
      </c>
      <c r="S3007" s="177"/>
      <c r="T3007" s="182"/>
      <c r="U3007" s="177"/>
      <c r="V3007" s="177"/>
      <c r="W3007" s="177"/>
      <c r="X3007" s="176"/>
      <c r="Y3007" s="177"/>
      <c r="Z3007" s="415"/>
      <c r="AA3007" s="488"/>
      <c r="AB3007" s="594"/>
      <c r="AC3007" s="595"/>
      <c r="AD3007" s="596" t="str">
        <f>IF(AND(AC3007&lt;&gt;"",S3007&lt;&gt;""),NETWORKDAYS(AC3007,S3007,#REF!),"")</f>
        <v/>
      </c>
      <c r="AE3007" s="596" t="str">
        <f ca="1">IF(AND(AD3007="",AC3007=""),"",IF(OR(AD3007&lt;&gt;"",O3007="*CANCELADO"),"",NETWORKDAYS(AC3007,TODAY(),#REF!)))</f>
        <v/>
      </c>
      <c r="AF3007" s="619"/>
    </row>
    <row r="3008" spans="1:32" ht="14.25" customHeight="1">
      <c r="A3008" s="176"/>
      <c r="B3008" s="176"/>
      <c r="C3008" s="177"/>
      <c r="D3008" s="176"/>
      <c r="E3008" s="176"/>
      <c r="F3008" s="259"/>
      <c r="G3008" s="176"/>
      <c r="H3008" s="178"/>
      <c r="I3008" s="592">
        <f t="shared" si="110"/>
        <v>0</v>
      </c>
      <c r="J3008" s="178"/>
      <c r="K3008" s="178"/>
      <c r="L3008" s="275" t="str">
        <f>IF(H:H=0,"",IF(ISERROR(VLOOKUP(H:H,produtos_escape2!$A$2:$B$2794,2,FALSE)),"Código não cadastrado",(VLOOKUP(H:H,produtos_escape2!$A$2:$B$2794,2,FALSE))))</f>
        <v/>
      </c>
      <c r="M3008" s="593" t="str">
        <f>IF(H:H=0,"",IF(ISERROR(VLOOKUP(H:H,produtos_escape2!$A$2:$D$2794,2,FALSE)),"Código não cadastrado",(VLOOKUP(H:H,produtos_escape2!$A$2:$D$2794,4,FALSE))))</f>
        <v/>
      </c>
      <c r="N3008" s="486"/>
      <c r="O3008" s="176"/>
      <c r="P3008" s="486"/>
      <c r="Q3008" s="247"/>
      <c r="R3008" s="246">
        <f t="shared" si="109"/>
        <v>0</v>
      </c>
      <c r="S3008" s="177"/>
      <c r="T3008" s="182"/>
      <c r="U3008" s="177"/>
      <c r="V3008" s="177"/>
      <c r="W3008" s="177"/>
      <c r="X3008" s="176"/>
      <c r="Y3008" s="177"/>
      <c r="Z3008" s="415"/>
      <c r="AA3008" s="488"/>
      <c r="AB3008" s="594"/>
      <c r="AC3008" s="595"/>
      <c r="AD3008" s="596" t="str">
        <f>IF(AND(AC3008&lt;&gt;"",S3008&lt;&gt;""),NETWORKDAYS(AC3008,S3008,#REF!),"")</f>
        <v/>
      </c>
      <c r="AE3008" s="596" t="str">
        <f ca="1">IF(AND(AD3008="",AC3008=""),"",IF(OR(AD3008&lt;&gt;"",O3008="*CANCELADO"),"",NETWORKDAYS(AC3008,TODAY(),#REF!)))</f>
        <v/>
      </c>
      <c r="AF3008" s="619"/>
    </row>
    <row r="3009" spans="1:32" ht="14.25" customHeight="1">
      <c r="A3009" s="176"/>
      <c r="B3009" s="176"/>
      <c r="C3009" s="177"/>
      <c r="D3009" s="176"/>
      <c r="E3009" s="176"/>
      <c r="F3009" s="259"/>
      <c r="G3009" s="176"/>
      <c r="H3009" s="178"/>
      <c r="I3009" s="592">
        <f t="shared" si="110"/>
        <v>0</v>
      </c>
      <c r="J3009" s="178"/>
      <c r="K3009" s="178"/>
      <c r="L3009" s="275" t="str">
        <f>IF(H:H=0,"",IF(ISERROR(VLOOKUP(H:H,produtos_escape2!$A$2:$B$2794,2,FALSE)),"Código não cadastrado",(VLOOKUP(H:H,produtos_escape2!$A$2:$B$2794,2,FALSE))))</f>
        <v/>
      </c>
      <c r="M3009" s="593" t="str">
        <f>IF(H:H=0,"",IF(ISERROR(VLOOKUP(H:H,produtos_escape2!$A$2:$D$2794,2,FALSE)),"Código não cadastrado",(VLOOKUP(H:H,produtos_escape2!$A$2:$D$2794,4,FALSE))))</f>
        <v/>
      </c>
      <c r="N3009" s="486"/>
      <c r="O3009" s="176"/>
      <c r="P3009" s="486"/>
      <c r="Q3009" s="247"/>
      <c r="R3009" s="246">
        <f t="shared" si="109"/>
        <v>0</v>
      </c>
      <c r="S3009" s="177"/>
      <c r="T3009" s="182"/>
      <c r="U3009" s="177"/>
      <c r="V3009" s="177"/>
      <c r="W3009" s="177"/>
      <c r="X3009" s="176"/>
      <c r="Y3009" s="177"/>
      <c r="Z3009" s="415"/>
      <c r="AA3009" s="488"/>
      <c r="AB3009" s="594"/>
      <c r="AC3009" s="595"/>
      <c r="AD3009" s="596" t="str">
        <f>IF(AND(AC3009&lt;&gt;"",S3009&lt;&gt;""),NETWORKDAYS(AC3009,S3009,#REF!),"")</f>
        <v/>
      </c>
      <c r="AE3009" s="596" t="str">
        <f ca="1">IF(AND(AD3009="",AC3009=""),"",IF(OR(AD3009&lt;&gt;"",O3009="*CANCELADO"),"",NETWORKDAYS(AC3009,TODAY(),#REF!)))</f>
        <v/>
      </c>
      <c r="AF3009" s="619"/>
    </row>
    <row r="3010" spans="1:32" ht="14.25" customHeight="1">
      <c r="A3010" s="176"/>
      <c r="B3010" s="176"/>
      <c r="C3010" s="177"/>
      <c r="D3010" s="176"/>
      <c r="E3010" s="176"/>
      <c r="F3010" s="259"/>
      <c r="G3010" s="176"/>
      <c r="H3010" s="178"/>
      <c r="I3010" s="592">
        <f t="shared" si="110"/>
        <v>0</v>
      </c>
      <c r="J3010" s="178"/>
      <c r="K3010" s="178"/>
      <c r="L3010" s="275" t="str">
        <f>IF(H:H=0,"",IF(ISERROR(VLOOKUP(H:H,produtos_escape2!$A$2:$B$2794,2,FALSE)),"Código não cadastrado",(VLOOKUP(H:H,produtos_escape2!$A$2:$B$2794,2,FALSE))))</f>
        <v/>
      </c>
      <c r="M3010" s="593" t="str">
        <f>IF(H:H=0,"",IF(ISERROR(VLOOKUP(H:H,produtos_escape2!$A$2:$D$2794,2,FALSE)),"Código não cadastrado",(VLOOKUP(H:H,produtos_escape2!$A$2:$D$2794,4,FALSE))))</f>
        <v/>
      </c>
      <c r="N3010" s="486"/>
      <c r="O3010" s="176"/>
      <c r="P3010" s="486"/>
      <c r="Q3010" s="247"/>
      <c r="R3010" s="246">
        <f t="shared" si="109"/>
        <v>0</v>
      </c>
      <c r="S3010" s="177"/>
      <c r="T3010" s="182"/>
      <c r="U3010" s="177"/>
      <c r="V3010" s="177"/>
      <c r="W3010" s="177"/>
      <c r="X3010" s="176"/>
      <c r="Y3010" s="177"/>
      <c r="Z3010" s="415"/>
      <c r="AA3010" s="488"/>
      <c r="AB3010" s="594"/>
      <c r="AC3010" s="595"/>
      <c r="AD3010" s="596" t="str">
        <f>IF(AND(AC3010&lt;&gt;"",S3010&lt;&gt;""),NETWORKDAYS(AC3010,S3010,#REF!),"")</f>
        <v/>
      </c>
      <c r="AE3010" s="596" t="str">
        <f ca="1">IF(AND(AD3010="",AC3010=""),"",IF(OR(AD3010&lt;&gt;"",O3010="*CANCELADO"),"",NETWORKDAYS(AC3010,TODAY(),#REF!)))</f>
        <v/>
      </c>
      <c r="AF3010" s="619"/>
    </row>
    <row r="3011" spans="1:32" ht="14.25" customHeight="1">
      <c r="A3011" s="176"/>
      <c r="B3011" s="176"/>
      <c r="C3011" s="177"/>
      <c r="D3011" s="176"/>
      <c r="E3011" s="176"/>
      <c r="F3011" s="259"/>
      <c r="G3011" s="176"/>
      <c r="H3011" s="178"/>
      <c r="I3011" s="592">
        <f t="shared" si="110"/>
        <v>0</v>
      </c>
      <c r="J3011" s="178"/>
      <c r="K3011" s="178"/>
      <c r="L3011" s="275" t="str">
        <f>IF(H:H=0,"",IF(ISERROR(VLOOKUP(H:H,produtos_escape2!$A$2:$B$2794,2,FALSE)),"Código não cadastrado",(VLOOKUP(H:H,produtos_escape2!$A$2:$B$2794,2,FALSE))))</f>
        <v/>
      </c>
      <c r="M3011" s="593" t="str">
        <f>IF(H:H=0,"",IF(ISERROR(VLOOKUP(H:H,produtos_escape2!$A$2:$D$2794,2,FALSE)),"Código não cadastrado",(VLOOKUP(H:H,produtos_escape2!$A$2:$D$2794,4,FALSE))))</f>
        <v/>
      </c>
      <c r="N3011" s="486"/>
      <c r="O3011" s="176"/>
      <c r="P3011" s="486"/>
      <c r="Q3011" s="247"/>
      <c r="R3011" s="246">
        <f t="shared" si="109"/>
        <v>0</v>
      </c>
      <c r="S3011" s="177"/>
      <c r="T3011" s="182"/>
      <c r="U3011" s="177"/>
      <c r="V3011" s="177"/>
      <c r="W3011" s="177"/>
      <c r="X3011" s="176"/>
      <c r="Y3011" s="177"/>
      <c r="Z3011" s="415"/>
      <c r="AA3011" s="488"/>
      <c r="AB3011" s="594"/>
      <c r="AC3011" s="595"/>
      <c r="AD3011" s="596" t="str">
        <f>IF(AND(AC3011&lt;&gt;"",S3011&lt;&gt;""),NETWORKDAYS(AC3011,S3011,#REF!),"")</f>
        <v/>
      </c>
      <c r="AE3011" s="596" t="str">
        <f ca="1">IF(AND(AD3011="",AC3011=""),"",IF(OR(AD3011&lt;&gt;"",O3011="*CANCELADO"),"",NETWORKDAYS(AC3011,TODAY(),#REF!)))</f>
        <v/>
      </c>
      <c r="AF3011" s="619"/>
    </row>
    <row r="3012" spans="1:32" ht="14.25" customHeight="1">
      <c r="A3012" s="176"/>
      <c r="B3012" s="176"/>
      <c r="C3012" s="177"/>
      <c r="D3012" s="176"/>
      <c r="E3012" s="176"/>
      <c r="F3012" s="259"/>
      <c r="G3012" s="176"/>
      <c r="H3012" s="178"/>
      <c r="I3012" s="592">
        <f t="shared" si="110"/>
        <v>0</v>
      </c>
      <c r="J3012" s="178"/>
      <c r="K3012" s="178"/>
      <c r="L3012" s="275" t="str">
        <f>IF(H:H=0,"",IF(ISERROR(VLOOKUP(H:H,produtos_escape2!$A$2:$B$2794,2,FALSE)),"Código não cadastrado",(VLOOKUP(H:H,produtos_escape2!$A$2:$B$2794,2,FALSE))))</f>
        <v/>
      </c>
      <c r="M3012" s="593" t="str">
        <f>IF(H:H=0,"",IF(ISERROR(VLOOKUP(H:H,produtos_escape2!$A$2:$D$2794,2,FALSE)),"Código não cadastrado",(VLOOKUP(H:H,produtos_escape2!$A$2:$D$2794,4,FALSE))))</f>
        <v/>
      </c>
      <c r="N3012" s="486"/>
      <c r="O3012" s="176"/>
      <c r="P3012" s="486"/>
      <c r="Q3012" s="247"/>
      <c r="R3012" s="246">
        <f t="shared" si="109"/>
        <v>0</v>
      </c>
      <c r="S3012" s="177"/>
      <c r="T3012" s="182"/>
      <c r="U3012" s="177"/>
      <c r="V3012" s="177"/>
      <c r="W3012" s="177"/>
      <c r="X3012" s="176"/>
      <c r="Y3012" s="177"/>
      <c r="Z3012" s="415"/>
      <c r="AA3012" s="488"/>
      <c r="AB3012" s="594"/>
      <c r="AC3012" s="595"/>
      <c r="AD3012" s="596" t="str">
        <f>IF(AND(AC3012&lt;&gt;"",S3012&lt;&gt;""),NETWORKDAYS(AC3012,S3012,#REF!),"")</f>
        <v/>
      </c>
      <c r="AE3012" s="596" t="str">
        <f ca="1">IF(AND(AD3012="",AC3012=""),"",IF(OR(AD3012&lt;&gt;"",O3012="*CANCELADO"),"",NETWORKDAYS(AC3012,TODAY(),#REF!)))</f>
        <v/>
      </c>
      <c r="AF3012" s="619"/>
    </row>
    <row r="3013" spans="1:32" ht="14.25" customHeight="1">
      <c r="A3013" s="176"/>
      <c r="B3013" s="176"/>
      <c r="C3013" s="177"/>
      <c r="D3013" s="176"/>
      <c r="E3013" s="176"/>
      <c r="F3013" s="259"/>
      <c r="G3013" s="176"/>
      <c r="H3013" s="178"/>
      <c r="I3013" s="592">
        <f t="shared" si="110"/>
        <v>0</v>
      </c>
      <c r="J3013" s="178"/>
      <c r="K3013" s="178"/>
      <c r="L3013" s="275" t="str">
        <f>IF(H:H=0,"",IF(ISERROR(VLOOKUP(H:H,produtos_escape2!$A$2:$B$2794,2,FALSE)),"Código não cadastrado",(VLOOKUP(H:H,produtos_escape2!$A$2:$B$2794,2,FALSE))))</f>
        <v/>
      </c>
      <c r="M3013" s="593" t="str">
        <f>IF(H:H=0,"",IF(ISERROR(VLOOKUP(H:H,produtos_escape2!$A$2:$D$2794,2,FALSE)),"Código não cadastrado",(VLOOKUP(H:H,produtos_escape2!$A$2:$D$2794,4,FALSE))))</f>
        <v/>
      </c>
      <c r="N3013" s="486"/>
      <c r="O3013" s="176"/>
      <c r="P3013" s="486"/>
      <c r="Q3013" s="247"/>
      <c r="R3013" s="246">
        <f t="shared" si="109"/>
        <v>0</v>
      </c>
      <c r="S3013" s="177"/>
      <c r="T3013" s="182"/>
      <c r="U3013" s="177"/>
      <c r="V3013" s="177"/>
      <c r="W3013" s="177"/>
      <c r="X3013" s="176"/>
      <c r="Y3013" s="177"/>
      <c r="Z3013" s="415"/>
      <c r="AA3013" s="488"/>
      <c r="AB3013" s="594"/>
      <c r="AC3013" s="595"/>
      <c r="AD3013" s="596" t="str">
        <f>IF(AND(AC3013&lt;&gt;"",S3013&lt;&gt;""),NETWORKDAYS(AC3013,S3013,#REF!),"")</f>
        <v/>
      </c>
      <c r="AE3013" s="596" t="str">
        <f ca="1">IF(AND(AD3013="",AC3013=""),"",IF(OR(AD3013&lt;&gt;"",O3013="*CANCELADO"),"",NETWORKDAYS(AC3013,TODAY(),#REF!)))</f>
        <v/>
      </c>
      <c r="AF3013" s="619"/>
    </row>
    <row r="3014" spans="1:32" ht="14.25" customHeight="1">
      <c r="A3014" s="176"/>
      <c r="B3014" s="176"/>
      <c r="C3014" s="177"/>
      <c r="D3014" s="176"/>
      <c r="E3014" s="176"/>
      <c r="F3014" s="259"/>
      <c r="G3014" s="176"/>
      <c r="H3014" s="178"/>
      <c r="I3014" s="592">
        <f t="shared" si="110"/>
        <v>0</v>
      </c>
      <c r="J3014" s="178"/>
      <c r="K3014" s="178"/>
      <c r="L3014" s="275" t="str">
        <f>IF(H:H=0,"",IF(ISERROR(VLOOKUP(H:H,produtos_escape2!$A$2:$B$2794,2,FALSE)),"Código não cadastrado",(VLOOKUP(H:H,produtos_escape2!$A$2:$B$2794,2,FALSE))))</f>
        <v/>
      </c>
      <c r="M3014" s="593" t="str">
        <f>IF(H:H=0,"",IF(ISERROR(VLOOKUP(H:H,produtos_escape2!$A$2:$D$2794,2,FALSE)),"Código não cadastrado",(VLOOKUP(H:H,produtos_escape2!$A$2:$D$2794,4,FALSE))))</f>
        <v/>
      </c>
      <c r="N3014" s="486"/>
      <c r="O3014" s="176"/>
      <c r="P3014" s="486"/>
      <c r="Q3014" s="247"/>
      <c r="R3014" s="246">
        <f t="shared" si="109"/>
        <v>0</v>
      </c>
      <c r="S3014" s="177"/>
      <c r="T3014" s="182"/>
      <c r="U3014" s="177"/>
      <c r="V3014" s="177"/>
      <c r="W3014" s="177"/>
      <c r="X3014" s="176"/>
      <c r="Y3014" s="177"/>
      <c r="Z3014" s="415"/>
      <c r="AA3014" s="488"/>
      <c r="AB3014" s="594"/>
      <c r="AC3014" s="595"/>
      <c r="AD3014" s="596" t="str">
        <f>IF(AND(AC3014&lt;&gt;"",S3014&lt;&gt;""),NETWORKDAYS(AC3014,S3014,#REF!),"")</f>
        <v/>
      </c>
      <c r="AE3014" s="596" t="str">
        <f ca="1">IF(AND(AD3014="",AC3014=""),"",IF(OR(AD3014&lt;&gt;"",O3014="*CANCELADO"),"",NETWORKDAYS(AC3014,TODAY(),#REF!)))</f>
        <v/>
      </c>
      <c r="AF3014" s="619"/>
    </row>
    <row r="3015" spans="1:32" ht="14.25" customHeight="1">
      <c r="A3015" s="176"/>
      <c r="B3015" s="176"/>
      <c r="C3015" s="177"/>
      <c r="D3015" s="176"/>
      <c r="E3015" s="176"/>
      <c r="F3015" s="259"/>
      <c r="G3015" s="176"/>
      <c r="H3015" s="178"/>
      <c r="I3015" s="592">
        <f t="shared" si="110"/>
        <v>0</v>
      </c>
      <c r="J3015" s="178"/>
      <c r="K3015" s="178"/>
      <c r="L3015" s="275" t="str">
        <f>IF(H:H=0,"",IF(ISERROR(VLOOKUP(H:H,produtos_escape2!$A$2:$B$2794,2,FALSE)),"Código não cadastrado",(VLOOKUP(H:H,produtos_escape2!$A$2:$B$2794,2,FALSE))))</f>
        <v/>
      </c>
      <c r="M3015" s="593" t="str">
        <f>IF(H:H=0,"",IF(ISERROR(VLOOKUP(H:H,produtos_escape2!$A$2:$D$2794,2,FALSE)),"Código não cadastrado",(VLOOKUP(H:H,produtos_escape2!$A$2:$D$2794,4,FALSE))))</f>
        <v/>
      </c>
      <c r="N3015" s="486"/>
      <c r="O3015" s="176"/>
      <c r="P3015" s="486"/>
      <c r="Q3015" s="247"/>
      <c r="R3015" s="246">
        <f t="shared" si="109"/>
        <v>0</v>
      </c>
      <c r="S3015" s="177"/>
      <c r="T3015" s="182"/>
      <c r="U3015" s="177"/>
      <c r="V3015" s="177"/>
      <c r="W3015" s="177"/>
      <c r="X3015" s="176"/>
      <c r="Y3015" s="177"/>
      <c r="Z3015" s="415"/>
      <c r="AA3015" s="488"/>
      <c r="AB3015" s="594"/>
      <c r="AC3015" s="595"/>
      <c r="AD3015" s="596" t="str">
        <f>IF(AND(AC3015&lt;&gt;"",S3015&lt;&gt;""),NETWORKDAYS(AC3015,S3015,#REF!),"")</f>
        <v/>
      </c>
      <c r="AE3015" s="596" t="str">
        <f ca="1">IF(AND(AD3015="",AC3015=""),"",IF(OR(AD3015&lt;&gt;"",O3015="*CANCELADO"),"",NETWORKDAYS(AC3015,TODAY(),#REF!)))</f>
        <v/>
      </c>
      <c r="AF3015" s="619"/>
    </row>
    <row r="3016" spans="1:32" ht="14.25" customHeight="1">
      <c r="A3016" s="176"/>
      <c r="B3016" s="176"/>
      <c r="C3016" s="177"/>
      <c r="D3016" s="176"/>
      <c r="E3016" s="176"/>
      <c r="F3016" s="259"/>
      <c r="G3016" s="176"/>
      <c r="H3016" s="178"/>
      <c r="I3016" s="592">
        <f t="shared" si="110"/>
        <v>0</v>
      </c>
      <c r="J3016" s="178"/>
      <c r="K3016" s="178"/>
      <c r="L3016" s="275" t="str">
        <f>IF(H:H=0,"",IF(ISERROR(VLOOKUP(H:H,produtos_escape2!$A$2:$B$2794,2,FALSE)),"Código não cadastrado",(VLOOKUP(H:H,produtos_escape2!$A$2:$B$2794,2,FALSE))))</f>
        <v/>
      </c>
      <c r="M3016" s="593" t="str">
        <f>IF(H:H=0,"",IF(ISERROR(VLOOKUP(H:H,produtos_escape2!$A$2:$D$2794,2,FALSE)),"Código não cadastrado",(VLOOKUP(H:H,produtos_escape2!$A$2:$D$2794,4,FALSE))))</f>
        <v/>
      </c>
      <c r="N3016" s="486"/>
      <c r="O3016" s="176"/>
      <c r="P3016" s="486"/>
      <c r="Q3016" s="247"/>
      <c r="R3016" s="246">
        <f t="shared" si="109"/>
        <v>0</v>
      </c>
      <c r="S3016" s="177"/>
      <c r="T3016" s="182"/>
      <c r="U3016" s="177"/>
      <c r="V3016" s="177"/>
      <c r="W3016" s="177"/>
      <c r="X3016" s="176"/>
      <c r="Y3016" s="177"/>
      <c r="Z3016" s="415"/>
      <c r="AA3016" s="488"/>
      <c r="AB3016" s="594"/>
      <c r="AC3016" s="595"/>
      <c r="AD3016" s="596" t="str">
        <f>IF(AND(AC3016&lt;&gt;"",S3016&lt;&gt;""),NETWORKDAYS(AC3016,S3016,#REF!),"")</f>
        <v/>
      </c>
      <c r="AE3016" s="596" t="str">
        <f ca="1">IF(AND(AD3016="",AC3016=""),"",IF(OR(AD3016&lt;&gt;"",O3016="*CANCELADO"),"",NETWORKDAYS(AC3016,TODAY(),#REF!)))</f>
        <v/>
      </c>
      <c r="AF3016" s="619"/>
    </row>
    <row r="3017" spans="1:32" ht="14.25" customHeight="1">
      <c r="A3017" s="176"/>
      <c r="B3017" s="176"/>
      <c r="C3017" s="177"/>
      <c r="D3017" s="176"/>
      <c r="E3017" s="176"/>
      <c r="F3017" s="259"/>
      <c r="G3017" s="176"/>
      <c r="H3017" s="178"/>
      <c r="I3017" s="592">
        <f t="shared" si="110"/>
        <v>0</v>
      </c>
      <c r="J3017" s="178"/>
      <c r="K3017" s="178"/>
      <c r="L3017" s="275" t="str">
        <f>IF(H:H=0,"",IF(ISERROR(VLOOKUP(H:H,produtos_escape2!$A$2:$B$2794,2,FALSE)),"Código não cadastrado",(VLOOKUP(H:H,produtos_escape2!$A$2:$B$2794,2,FALSE))))</f>
        <v/>
      </c>
      <c r="M3017" s="593" t="str">
        <f>IF(H:H=0,"",IF(ISERROR(VLOOKUP(H:H,produtos_escape2!$A$2:$D$2794,2,FALSE)),"Código não cadastrado",(VLOOKUP(H:H,produtos_escape2!$A$2:$D$2794,4,FALSE))))</f>
        <v/>
      </c>
      <c r="N3017" s="486"/>
      <c r="O3017" s="176"/>
      <c r="P3017" s="486"/>
      <c r="Q3017" s="247"/>
      <c r="R3017" s="246">
        <f t="shared" si="109"/>
        <v>0</v>
      </c>
      <c r="S3017" s="177"/>
      <c r="T3017" s="182"/>
      <c r="U3017" s="177"/>
      <c r="V3017" s="177"/>
      <c r="W3017" s="177"/>
      <c r="X3017" s="176"/>
      <c r="Y3017" s="177"/>
      <c r="Z3017" s="415"/>
      <c r="AA3017" s="488"/>
      <c r="AB3017" s="594"/>
      <c r="AC3017" s="595"/>
      <c r="AD3017" s="596" t="str">
        <f>IF(AND(AC3017&lt;&gt;"",S3017&lt;&gt;""),NETWORKDAYS(AC3017,S3017,#REF!),"")</f>
        <v/>
      </c>
      <c r="AE3017" s="596" t="str">
        <f ca="1">IF(AND(AD3017="",AC3017=""),"",IF(OR(AD3017&lt;&gt;"",O3017="*CANCELADO"),"",NETWORKDAYS(AC3017,TODAY(),#REF!)))</f>
        <v/>
      </c>
      <c r="AF3017" s="619"/>
    </row>
    <row r="3018" spans="1:32" ht="14.25" customHeight="1">
      <c r="A3018" s="176"/>
      <c r="B3018" s="176"/>
      <c r="C3018" s="177"/>
      <c r="D3018" s="176"/>
      <c r="E3018" s="176"/>
      <c r="F3018" s="259"/>
      <c r="G3018" s="176"/>
      <c r="H3018" s="178"/>
      <c r="I3018" s="592">
        <f t="shared" si="110"/>
        <v>0</v>
      </c>
      <c r="J3018" s="178"/>
      <c r="K3018" s="178"/>
      <c r="L3018" s="275" t="str">
        <f>IF(H:H=0,"",IF(ISERROR(VLOOKUP(H:H,produtos_escape2!$A$2:$B$2794,2,FALSE)),"Código não cadastrado",(VLOOKUP(H:H,produtos_escape2!$A$2:$B$2794,2,FALSE))))</f>
        <v/>
      </c>
      <c r="M3018" s="593" t="str">
        <f>IF(H:H=0,"",IF(ISERROR(VLOOKUP(H:H,produtos_escape2!$A$2:$D$2794,2,FALSE)),"Código não cadastrado",(VLOOKUP(H:H,produtos_escape2!$A$2:$D$2794,4,FALSE))))</f>
        <v/>
      </c>
      <c r="N3018" s="486"/>
      <c r="O3018" s="176"/>
      <c r="P3018" s="486"/>
      <c r="Q3018" s="247"/>
      <c r="R3018" s="246">
        <f t="shared" si="109"/>
        <v>0</v>
      </c>
      <c r="S3018" s="177"/>
      <c r="T3018" s="182"/>
      <c r="U3018" s="177"/>
      <c r="V3018" s="177"/>
      <c r="W3018" s="177"/>
      <c r="X3018" s="176"/>
      <c r="Y3018" s="177"/>
      <c r="Z3018" s="415"/>
      <c r="AA3018" s="488"/>
      <c r="AB3018" s="594"/>
      <c r="AC3018" s="595"/>
      <c r="AD3018" s="596" t="str">
        <f>IF(AND(AC3018&lt;&gt;"",S3018&lt;&gt;""),NETWORKDAYS(AC3018,S3018,#REF!),"")</f>
        <v/>
      </c>
      <c r="AE3018" s="596" t="str">
        <f ca="1">IF(AND(AD3018="",AC3018=""),"",IF(OR(AD3018&lt;&gt;"",O3018="*CANCELADO"),"",NETWORKDAYS(AC3018,TODAY(),#REF!)))</f>
        <v/>
      </c>
      <c r="AF3018" s="619"/>
    </row>
    <row r="3019" spans="1:32" ht="14.25" customHeight="1">
      <c r="A3019" s="176"/>
      <c r="B3019" s="176"/>
      <c r="C3019" s="177"/>
      <c r="D3019" s="176"/>
      <c r="E3019" s="176"/>
      <c r="F3019" s="259"/>
      <c r="G3019" s="176"/>
      <c r="H3019" s="178"/>
      <c r="I3019" s="592">
        <f t="shared" si="110"/>
        <v>0</v>
      </c>
      <c r="J3019" s="178"/>
      <c r="K3019" s="178"/>
      <c r="L3019" s="275" t="str">
        <f>IF(H:H=0,"",IF(ISERROR(VLOOKUP(H:H,produtos_escape2!$A$2:$B$2794,2,FALSE)),"Código não cadastrado",(VLOOKUP(H:H,produtos_escape2!$A$2:$B$2794,2,FALSE))))</f>
        <v/>
      </c>
      <c r="M3019" s="593" t="str">
        <f>IF(H:H=0,"",IF(ISERROR(VLOOKUP(H:H,produtos_escape2!$A$2:$D$2794,2,FALSE)),"Código não cadastrado",(VLOOKUP(H:H,produtos_escape2!$A$2:$D$2794,4,FALSE))))</f>
        <v/>
      </c>
      <c r="N3019" s="486"/>
      <c r="O3019" s="176"/>
      <c r="P3019" s="486"/>
      <c r="Q3019" s="247"/>
      <c r="R3019" s="246">
        <f t="shared" si="109"/>
        <v>0</v>
      </c>
      <c r="S3019" s="177"/>
      <c r="T3019" s="182"/>
      <c r="U3019" s="177"/>
      <c r="V3019" s="177"/>
      <c r="W3019" s="177"/>
      <c r="X3019" s="176"/>
      <c r="Y3019" s="177"/>
      <c r="Z3019" s="415"/>
      <c r="AA3019" s="488"/>
      <c r="AB3019" s="594"/>
      <c r="AC3019" s="595"/>
      <c r="AD3019" s="596" t="str">
        <f>IF(AND(AC3019&lt;&gt;"",S3019&lt;&gt;""),NETWORKDAYS(AC3019,S3019,#REF!),"")</f>
        <v/>
      </c>
      <c r="AE3019" s="596" t="str">
        <f ca="1">IF(AND(AD3019="",AC3019=""),"",IF(OR(AD3019&lt;&gt;"",O3019="*CANCELADO"),"",NETWORKDAYS(AC3019,TODAY(),#REF!)))</f>
        <v/>
      </c>
      <c r="AF3019" s="619"/>
    </row>
    <row r="3020" spans="1:32" ht="14.25" customHeight="1">
      <c r="A3020" s="176"/>
      <c r="B3020" s="176"/>
      <c r="C3020" s="177"/>
      <c r="D3020" s="176"/>
      <c r="E3020" s="176"/>
      <c r="F3020" s="259"/>
      <c r="G3020" s="176"/>
      <c r="H3020" s="178"/>
      <c r="I3020" s="592">
        <f t="shared" si="110"/>
        <v>0</v>
      </c>
      <c r="J3020" s="178"/>
      <c r="K3020" s="178"/>
      <c r="L3020" s="275" t="str">
        <f>IF(H:H=0,"",IF(ISERROR(VLOOKUP(H:H,produtos_escape2!$A$2:$B$2794,2,FALSE)),"Código não cadastrado",(VLOOKUP(H:H,produtos_escape2!$A$2:$B$2794,2,FALSE))))</f>
        <v/>
      </c>
      <c r="M3020" s="593" t="str">
        <f>IF(H:H=0,"",IF(ISERROR(VLOOKUP(H:H,produtos_escape2!$A$2:$D$2794,2,FALSE)),"Código não cadastrado",(VLOOKUP(H:H,produtos_escape2!$A$2:$D$2794,4,FALSE))))</f>
        <v/>
      </c>
      <c r="N3020" s="486"/>
      <c r="O3020" s="176"/>
      <c r="P3020" s="486"/>
      <c r="Q3020" s="247"/>
      <c r="R3020" s="246">
        <f t="shared" si="109"/>
        <v>0</v>
      </c>
      <c r="S3020" s="177"/>
      <c r="T3020" s="182"/>
      <c r="U3020" s="177"/>
      <c r="V3020" s="177"/>
      <c r="W3020" s="177"/>
      <c r="X3020" s="176"/>
      <c r="Y3020" s="177"/>
      <c r="Z3020" s="415"/>
      <c r="AA3020" s="488"/>
      <c r="AB3020" s="594"/>
      <c r="AC3020" s="595"/>
      <c r="AD3020" s="596" t="str">
        <f>IF(AND(AC3020&lt;&gt;"",S3020&lt;&gt;""),NETWORKDAYS(AC3020,S3020,#REF!),"")</f>
        <v/>
      </c>
      <c r="AE3020" s="596" t="str">
        <f ca="1">IF(AND(AD3020="",AC3020=""),"",IF(OR(AD3020&lt;&gt;"",O3020="*CANCELADO"),"",NETWORKDAYS(AC3020,TODAY(),#REF!)))</f>
        <v/>
      </c>
      <c r="AF3020" s="619"/>
    </row>
    <row r="3021" spans="1:32" ht="14.25" customHeight="1">
      <c r="A3021" s="176"/>
      <c r="B3021" s="176"/>
      <c r="C3021" s="177"/>
      <c r="D3021" s="176"/>
      <c r="E3021" s="176"/>
      <c r="F3021" s="259"/>
      <c r="G3021" s="176"/>
      <c r="H3021" s="178"/>
      <c r="I3021" s="592">
        <f t="shared" si="110"/>
        <v>0</v>
      </c>
      <c r="J3021" s="178"/>
      <c r="K3021" s="178"/>
      <c r="L3021" s="275" t="str">
        <f>IF(H:H=0,"",IF(ISERROR(VLOOKUP(H:H,produtos_escape2!$A$2:$B$2794,2,FALSE)),"Código não cadastrado",(VLOOKUP(H:H,produtos_escape2!$A$2:$B$2794,2,FALSE))))</f>
        <v/>
      </c>
      <c r="M3021" s="593" t="str">
        <f>IF(H:H=0,"",IF(ISERROR(VLOOKUP(H:H,produtos_escape2!$A$2:$D$2794,2,FALSE)),"Código não cadastrado",(VLOOKUP(H:H,produtos_escape2!$A$2:$D$2794,4,FALSE))))</f>
        <v/>
      </c>
      <c r="N3021" s="486"/>
      <c r="O3021" s="176"/>
      <c r="P3021" s="486"/>
      <c r="Q3021" s="247"/>
      <c r="R3021" s="246">
        <f t="shared" si="109"/>
        <v>0</v>
      </c>
      <c r="S3021" s="177"/>
      <c r="T3021" s="182"/>
      <c r="U3021" s="177"/>
      <c r="V3021" s="177"/>
      <c r="W3021" s="177"/>
      <c r="X3021" s="176"/>
      <c r="Y3021" s="177"/>
      <c r="Z3021" s="415"/>
      <c r="AA3021" s="488"/>
      <c r="AB3021" s="594"/>
      <c r="AC3021" s="595"/>
      <c r="AD3021" s="596" t="str">
        <f>IF(AND(AC3021&lt;&gt;"",S3021&lt;&gt;""),NETWORKDAYS(AC3021,S3021,#REF!),"")</f>
        <v/>
      </c>
      <c r="AE3021" s="596" t="str">
        <f ca="1">IF(AND(AD3021="",AC3021=""),"",IF(OR(AD3021&lt;&gt;"",O3021="*CANCELADO"),"",NETWORKDAYS(AC3021,TODAY(),#REF!)))</f>
        <v/>
      </c>
      <c r="AF3021" s="619"/>
    </row>
    <row r="3022" spans="1:32" ht="14.25" customHeight="1">
      <c r="A3022" s="176"/>
      <c r="B3022" s="176"/>
      <c r="C3022" s="177"/>
      <c r="D3022" s="176"/>
      <c r="E3022" s="176"/>
      <c r="F3022" s="259"/>
      <c r="G3022" s="176"/>
      <c r="H3022" s="178"/>
      <c r="I3022" s="592">
        <f t="shared" si="110"/>
        <v>0</v>
      </c>
      <c r="J3022" s="178"/>
      <c r="K3022" s="178"/>
      <c r="L3022" s="275" t="str">
        <f>IF(H:H=0,"",IF(ISERROR(VLOOKUP(H:H,produtos_escape2!$A$2:$B$2794,2,FALSE)),"Código não cadastrado",(VLOOKUP(H:H,produtos_escape2!$A$2:$B$2794,2,FALSE))))</f>
        <v/>
      </c>
      <c r="M3022" s="593" t="str">
        <f>IF(H:H=0,"",IF(ISERROR(VLOOKUP(H:H,produtos_escape2!$A$2:$D$2794,2,FALSE)),"Código não cadastrado",(VLOOKUP(H:H,produtos_escape2!$A$2:$D$2794,4,FALSE))))</f>
        <v/>
      </c>
      <c r="N3022" s="486"/>
      <c r="O3022" s="176"/>
      <c r="P3022" s="486"/>
      <c r="Q3022" s="247"/>
      <c r="R3022" s="246">
        <f t="shared" si="109"/>
        <v>0</v>
      </c>
      <c r="S3022" s="177"/>
      <c r="T3022" s="182"/>
      <c r="U3022" s="177"/>
      <c r="V3022" s="177"/>
      <c r="W3022" s="177"/>
      <c r="X3022" s="176"/>
      <c r="Y3022" s="177"/>
      <c r="Z3022" s="415"/>
      <c r="AA3022" s="488"/>
      <c r="AB3022" s="594"/>
      <c r="AC3022" s="595"/>
      <c r="AD3022" s="596" t="str">
        <f>IF(AND(AC3022&lt;&gt;"",S3022&lt;&gt;""),NETWORKDAYS(AC3022,S3022,#REF!),"")</f>
        <v/>
      </c>
      <c r="AE3022" s="596" t="str">
        <f ca="1">IF(AND(AD3022="",AC3022=""),"",IF(OR(AD3022&lt;&gt;"",O3022="*CANCELADO"),"",NETWORKDAYS(AC3022,TODAY(),#REF!)))</f>
        <v/>
      </c>
      <c r="AF3022" s="619"/>
    </row>
    <row r="3023" spans="1:32" ht="14.25" customHeight="1">
      <c r="A3023" s="176"/>
      <c r="B3023" s="176"/>
      <c r="C3023" s="177"/>
      <c r="D3023" s="176"/>
      <c r="E3023" s="176"/>
      <c r="F3023" s="259"/>
      <c r="G3023" s="176"/>
      <c r="H3023" s="178"/>
      <c r="I3023" s="592">
        <f t="shared" si="110"/>
        <v>0</v>
      </c>
      <c r="J3023" s="178"/>
      <c r="K3023" s="178"/>
      <c r="L3023" s="275" t="str">
        <f>IF(H:H=0,"",IF(ISERROR(VLOOKUP(H:H,produtos_escape2!$A$2:$B$2794,2,FALSE)),"Código não cadastrado",(VLOOKUP(H:H,produtos_escape2!$A$2:$B$2794,2,FALSE))))</f>
        <v/>
      </c>
      <c r="M3023" s="593" t="str">
        <f>IF(H:H=0,"",IF(ISERROR(VLOOKUP(H:H,produtos_escape2!$A$2:$D$2794,2,FALSE)),"Código não cadastrado",(VLOOKUP(H:H,produtos_escape2!$A$2:$D$2794,4,FALSE))))</f>
        <v/>
      </c>
      <c r="N3023" s="486"/>
      <c r="O3023" s="176"/>
      <c r="P3023" s="486"/>
      <c r="Q3023" s="247"/>
      <c r="R3023" s="246">
        <f t="shared" si="109"/>
        <v>0</v>
      </c>
      <c r="S3023" s="177"/>
      <c r="T3023" s="182"/>
      <c r="U3023" s="177"/>
      <c r="V3023" s="177"/>
      <c r="W3023" s="177"/>
      <c r="X3023" s="176"/>
      <c r="Y3023" s="177"/>
      <c r="Z3023" s="415"/>
      <c r="AA3023" s="488"/>
      <c r="AB3023" s="594"/>
      <c r="AC3023" s="595"/>
      <c r="AD3023" s="596" t="str">
        <f>IF(AND(AC3023&lt;&gt;"",S3023&lt;&gt;""),NETWORKDAYS(AC3023,S3023,#REF!),"")</f>
        <v/>
      </c>
      <c r="AE3023" s="596" t="str">
        <f ca="1">IF(AND(AD3023="",AC3023=""),"",IF(OR(AD3023&lt;&gt;"",O3023="*CANCELADO"),"",NETWORKDAYS(AC3023,TODAY(),#REF!)))</f>
        <v/>
      </c>
      <c r="AF3023" s="619"/>
    </row>
    <row r="3024" spans="1:32" ht="14.25" customHeight="1">
      <c r="A3024" s="176"/>
      <c r="B3024" s="176"/>
      <c r="C3024" s="177"/>
      <c r="D3024" s="176"/>
      <c r="E3024" s="176"/>
      <c r="F3024" s="259"/>
      <c r="G3024" s="176"/>
      <c r="H3024" s="178"/>
      <c r="I3024" s="592">
        <f t="shared" si="110"/>
        <v>0</v>
      </c>
      <c r="J3024" s="178"/>
      <c r="K3024" s="178"/>
      <c r="L3024" s="275" t="str">
        <f>IF(H:H=0,"",IF(ISERROR(VLOOKUP(H:H,produtos_escape2!$A$2:$B$2794,2,FALSE)),"Código não cadastrado",(VLOOKUP(H:H,produtos_escape2!$A$2:$B$2794,2,FALSE))))</f>
        <v/>
      </c>
      <c r="M3024" s="593" t="str">
        <f>IF(H:H=0,"",IF(ISERROR(VLOOKUP(H:H,produtos_escape2!$A$2:$D$2794,2,FALSE)),"Código não cadastrado",(VLOOKUP(H:H,produtos_escape2!$A$2:$D$2794,4,FALSE))))</f>
        <v/>
      </c>
      <c r="N3024" s="486"/>
      <c r="O3024" s="176"/>
      <c r="P3024" s="486"/>
      <c r="Q3024" s="247"/>
      <c r="R3024" s="246">
        <f t="shared" si="109"/>
        <v>0</v>
      </c>
      <c r="S3024" s="177"/>
      <c r="T3024" s="182"/>
      <c r="U3024" s="177"/>
      <c r="V3024" s="177"/>
      <c r="W3024" s="177"/>
      <c r="X3024" s="176"/>
      <c r="Y3024" s="177"/>
      <c r="Z3024" s="415"/>
      <c r="AA3024" s="488"/>
      <c r="AB3024" s="594"/>
      <c r="AC3024" s="595"/>
      <c r="AD3024" s="596" t="str">
        <f>IF(AND(AC3024&lt;&gt;"",S3024&lt;&gt;""),NETWORKDAYS(AC3024,S3024,#REF!),"")</f>
        <v/>
      </c>
      <c r="AE3024" s="596" t="str">
        <f ca="1">IF(AND(AD3024="",AC3024=""),"",IF(OR(AD3024&lt;&gt;"",O3024="*CANCELADO"),"",NETWORKDAYS(AC3024,TODAY(),#REF!)))</f>
        <v/>
      </c>
      <c r="AF3024" s="619"/>
    </row>
    <row r="3025" spans="1:32" ht="14.25" customHeight="1">
      <c r="A3025" s="176"/>
      <c r="B3025" s="176"/>
      <c r="C3025" s="177"/>
      <c r="D3025" s="176"/>
      <c r="E3025" s="176"/>
      <c r="F3025" s="259"/>
      <c r="G3025" s="176"/>
      <c r="H3025" s="178"/>
      <c r="I3025" s="592">
        <f t="shared" si="110"/>
        <v>0</v>
      </c>
      <c r="J3025" s="178"/>
      <c r="K3025" s="178"/>
      <c r="L3025" s="275" t="str">
        <f>IF(H:H=0,"",IF(ISERROR(VLOOKUP(H:H,produtos_escape2!$A$2:$B$2794,2,FALSE)),"Código não cadastrado",(VLOOKUP(H:H,produtos_escape2!$A$2:$B$2794,2,FALSE))))</f>
        <v/>
      </c>
      <c r="M3025" s="593" t="str">
        <f>IF(H:H=0,"",IF(ISERROR(VLOOKUP(H:H,produtos_escape2!$A$2:$D$2794,2,FALSE)),"Código não cadastrado",(VLOOKUP(H:H,produtos_escape2!$A$2:$D$2794,4,FALSE))))</f>
        <v/>
      </c>
      <c r="N3025" s="486"/>
      <c r="O3025" s="176"/>
      <c r="P3025" s="486"/>
      <c r="Q3025" s="247"/>
      <c r="R3025" s="246">
        <f t="shared" si="109"/>
        <v>0</v>
      </c>
      <c r="S3025" s="177"/>
      <c r="T3025" s="182"/>
      <c r="U3025" s="177"/>
      <c r="V3025" s="177"/>
      <c r="W3025" s="177"/>
      <c r="X3025" s="176"/>
      <c r="Y3025" s="177"/>
      <c r="Z3025" s="415"/>
      <c r="AA3025" s="488"/>
      <c r="AB3025" s="594"/>
      <c r="AC3025" s="595"/>
      <c r="AD3025" s="596" t="str">
        <f>IF(AND(AC3025&lt;&gt;"",S3025&lt;&gt;""),NETWORKDAYS(AC3025,S3025,#REF!),"")</f>
        <v/>
      </c>
      <c r="AE3025" s="596" t="str">
        <f ca="1">IF(AND(AD3025="",AC3025=""),"",IF(OR(AD3025&lt;&gt;"",O3025="*CANCELADO"),"",NETWORKDAYS(AC3025,TODAY(),#REF!)))</f>
        <v/>
      </c>
      <c r="AF3025" s="619"/>
    </row>
    <row r="3026" spans="1:32" ht="14.25" customHeight="1">
      <c r="A3026" s="176"/>
      <c r="B3026" s="176"/>
      <c r="C3026" s="177"/>
      <c r="D3026" s="176"/>
      <c r="E3026" s="176"/>
      <c r="F3026" s="259"/>
      <c r="G3026" s="176"/>
      <c r="H3026" s="178"/>
      <c r="I3026" s="592">
        <f t="shared" si="110"/>
        <v>0</v>
      </c>
      <c r="J3026" s="178"/>
      <c r="K3026" s="178"/>
      <c r="L3026" s="275" t="str">
        <f>IF(H:H=0,"",IF(ISERROR(VLOOKUP(H:H,produtos_escape2!$A$2:$B$2794,2,FALSE)),"Código não cadastrado",(VLOOKUP(H:H,produtos_escape2!$A$2:$B$2794,2,FALSE))))</f>
        <v/>
      </c>
      <c r="M3026" s="593" t="str">
        <f>IF(H:H=0,"",IF(ISERROR(VLOOKUP(H:H,produtos_escape2!$A$2:$D$2794,2,FALSE)),"Código não cadastrado",(VLOOKUP(H:H,produtos_escape2!$A$2:$D$2794,4,FALSE))))</f>
        <v/>
      </c>
      <c r="N3026" s="486"/>
      <c r="O3026" s="176"/>
      <c r="P3026" s="486"/>
      <c r="Q3026" s="247"/>
      <c r="R3026" s="246">
        <f t="shared" si="109"/>
        <v>0</v>
      </c>
      <c r="S3026" s="177"/>
      <c r="T3026" s="182"/>
      <c r="U3026" s="177"/>
      <c r="V3026" s="177"/>
      <c r="W3026" s="177"/>
      <c r="X3026" s="176"/>
      <c r="Y3026" s="177"/>
      <c r="Z3026" s="415"/>
      <c r="AA3026" s="488"/>
      <c r="AB3026" s="594"/>
      <c r="AC3026" s="595"/>
      <c r="AD3026" s="596" t="str">
        <f>IF(AND(AC3026&lt;&gt;"",S3026&lt;&gt;""),NETWORKDAYS(AC3026,S3026,#REF!),"")</f>
        <v/>
      </c>
      <c r="AE3026" s="596" t="str">
        <f ca="1">IF(AND(AD3026="",AC3026=""),"",IF(OR(AD3026&lt;&gt;"",O3026="*CANCELADO"),"",NETWORKDAYS(AC3026,TODAY(),#REF!)))</f>
        <v/>
      </c>
      <c r="AF3026" s="619"/>
    </row>
    <row r="3027" spans="1:32" ht="14.25" customHeight="1">
      <c r="A3027" s="176"/>
      <c r="B3027" s="176"/>
      <c r="C3027" s="177"/>
      <c r="D3027" s="176"/>
      <c r="E3027" s="176"/>
      <c r="F3027" s="259"/>
      <c r="G3027" s="176"/>
      <c r="H3027" s="178"/>
      <c r="I3027" s="592">
        <f t="shared" si="110"/>
        <v>0</v>
      </c>
      <c r="J3027" s="178"/>
      <c r="K3027" s="178"/>
      <c r="L3027" s="275" t="str">
        <f>IF(H:H=0,"",IF(ISERROR(VLOOKUP(H:H,produtos_escape2!$A$2:$B$2794,2,FALSE)),"Código não cadastrado",(VLOOKUP(H:H,produtos_escape2!$A$2:$B$2794,2,FALSE))))</f>
        <v/>
      </c>
      <c r="M3027" s="593" t="str">
        <f>IF(H:H=0,"",IF(ISERROR(VLOOKUP(H:H,produtos_escape2!$A$2:$D$2794,2,FALSE)),"Código não cadastrado",(VLOOKUP(H:H,produtos_escape2!$A$2:$D$2794,4,FALSE))))</f>
        <v/>
      </c>
      <c r="N3027" s="486"/>
      <c r="O3027" s="176"/>
      <c r="P3027" s="486"/>
      <c r="Q3027" s="247"/>
      <c r="R3027" s="246">
        <f t="shared" si="109"/>
        <v>0</v>
      </c>
      <c r="S3027" s="177"/>
      <c r="T3027" s="182"/>
      <c r="U3027" s="177"/>
      <c r="V3027" s="177"/>
      <c r="W3027" s="177"/>
      <c r="X3027" s="176"/>
      <c r="Y3027" s="177"/>
      <c r="Z3027" s="415"/>
      <c r="AA3027" s="488"/>
      <c r="AB3027" s="594"/>
      <c r="AC3027" s="595"/>
      <c r="AD3027" s="596" t="str">
        <f>IF(AND(AC3027&lt;&gt;"",S3027&lt;&gt;""),NETWORKDAYS(AC3027,S3027,#REF!),"")</f>
        <v/>
      </c>
      <c r="AE3027" s="596" t="str">
        <f ca="1">IF(AND(AD3027="",AC3027=""),"",IF(OR(AD3027&lt;&gt;"",O3027="*CANCELADO"),"",NETWORKDAYS(AC3027,TODAY(),#REF!)))</f>
        <v/>
      </c>
      <c r="AF3027" s="619"/>
    </row>
    <row r="3028" spans="1:32" ht="14.25" customHeight="1">
      <c r="A3028" s="176"/>
      <c r="B3028" s="176"/>
      <c r="C3028" s="177"/>
      <c r="D3028" s="176"/>
      <c r="E3028" s="176"/>
      <c r="F3028" s="259"/>
      <c r="G3028" s="176"/>
      <c r="H3028" s="178"/>
      <c r="I3028" s="592">
        <f t="shared" si="110"/>
        <v>0</v>
      </c>
      <c r="J3028" s="178"/>
      <c r="K3028" s="178"/>
      <c r="L3028" s="275" t="str">
        <f>IF(H:H=0,"",IF(ISERROR(VLOOKUP(H:H,produtos_escape2!$A$2:$B$2794,2,FALSE)),"Código não cadastrado",(VLOOKUP(H:H,produtos_escape2!$A$2:$B$2794,2,FALSE))))</f>
        <v/>
      </c>
      <c r="M3028" s="593" t="str">
        <f>IF(H:H=0,"",IF(ISERROR(VLOOKUP(H:H,produtos_escape2!$A$2:$D$2794,2,FALSE)),"Código não cadastrado",(VLOOKUP(H:H,produtos_escape2!$A$2:$D$2794,4,FALSE))))</f>
        <v/>
      </c>
      <c r="N3028" s="486"/>
      <c r="O3028" s="176"/>
      <c r="P3028" s="486"/>
      <c r="Q3028" s="247"/>
      <c r="R3028" s="246">
        <f t="shared" si="109"/>
        <v>0</v>
      </c>
      <c r="S3028" s="177"/>
      <c r="T3028" s="182"/>
      <c r="U3028" s="177"/>
      <c r="V3028" s="177"/>
      <c r="W3028" s="177"/>
      <c r="X3028" s="176"/>
      <c r="Y3028" s="177"/>
      <c r="Z3028" s="415"/>
      <c r="AA3028" s="488"/>
      <c r="AB3028" s="594"/>
      <c r="AC3028" s="595"/>
      <c r="AD3028" s="596" t="str">
        <f>IF(AND(AC3028&lt;&gt;"",S3028&lt;&gt;""),NETWORKDAYS(AC3028,S3028,#REF!),"")</f>
        <v/>
      </c>
      <c r="AE3028" s="596" t="str">
        <f ca="1">IF(AND(AD3028="",AC3028=""),"",IF(OR(AD3028&lt;&gt;"",O3028="*CANCELADO"),"",NETWORKDAYS(AC3028,TODAY(),#REF!)))</f>
        <v/>
      </c>
      <c r="AF3028" s="619"/>
    </row>
    <row r="3029" spans="1:32" ht="14.25" customHeight="1">
      <c r="A3029" s="176"/>
      <c r="B3029" s="176"/>
      <c r="C3029" s="177"/>
      <c r="D3029" s="176"/>
      <c r="E3029" s="176"/>
      <c r="F3029" s="259"/>
      <c r="G3029" s="176"/>
      <c r="H3029" s="178"/>
      <c r="I3029" s="592">
        <f t="shared" si="110"/>
        <v>0</v>
      </c>
      <c r="J3029" s="178"/>
      <c r="K3029" s="178"/>
      <c r="L3029" s="275" t="str">
        <f>IF(H:H=0,"",IF(ISERROR(VLOOKUP(H:H,produtos_escape2!$A$2:$B$2794,2,FALSE)),"Código não cadastrado",(VLOOKUP(H:H,produtos_escape2!$A$2:$B$2794,2,FALSE))))</f>
        <v/>
      </c>
      <c r="M3029" s="593" t="str">
        <f>IF(H:H=0,"",IF(ISERROR(VLOOKUP(H:H,produtos_escape2!$A$2:$D$2794,2,FALSE)),"Código não cadastrado",(VLOOKUP(H:H,produtos_escape2!$A$2:$D$2794,4,FALSE))))</f>
        <v/>
      </c>
      <c r="N3029" s="486"/>
      <c r="O3029" s="176"/>
      <c r="P3029" s="486"/>
      <c r="Q3029" s="247"/>
      <c r="R3029" s="246">
        <f t="shared" si="109"/>
        <v>0</v>
      </c>
      <c r="S3029" s="177"/>
      <c r="T3029" s="182"/>
      <c r="U3029" s="177"/>
      <c r="V3029" s="177"/>
      <c r="W3029" s="177"/>
      <c r="X3029" s="176"/>
      <c r="Y3029" s="177"/>
      <c r="Z3029" s="415"/>
      <c r="AA3029" s="488"/>
      <c r="AB3029" s="594"/>
      <c r="AC3029" s="595"/>
      <c r="AD3029" s="596" t="str">
        <f>IF(AND(AC3029&lt;&gt;"",S3029&lt;&gt;""),NETWORKDAYS(AC3029,S3029,#REF!),"")</f>
        <v/>
      </c>
      <c r="AE3029" s="596" t="str">
        <f ca="1">IF(AND(AD3029="",AC3029=""),"",IF(OR(AD3029&lt;&gt;"",O3029="*CANCELADO"),"",NETWORKDAYS(AC3029,TODAY(),#REF!)))</f>
        <v/>
      </c>
      <c r="AF3029" s="619"/>
    </row>
    <row r="3030" spans="1:32" ht="14.25" customHeight="1">
      <c r="A3030" s="176"/>
      <c r="B3030" s="176"/>
      <c r="C3030" s="177"/>
      <c r="D3030" s="176"/>
      <c r="E3030" s="176"/>
      <c r="F3030" s="259"/>
      <c r="G3030" s="176"/>
      <c r="H3030" s="178"/>
      <c r="I3030" s="592">
        <f t="shared" si="110"/>
        <v>0</v>
      </c>
      <c r="J3030" s="178"/>
      <c r="K3030" s="178"/>
      <c r="L3030" s="275" t="str">
        <f>IF(H:H=0,"",IF(ISERROR(VLOOKUP(H:H,produtos_escape2!$A$2:$B$2794,2,FALSE)),"Código não cadastrado",(VLOOKUP(H:H,produtos_escape2!$A$2:$B$2794,2,FALSE))))</f>
        <v/>
      </c>
      <c r="M3030" s="593" t="str">
        <f>IF(H:H=0,"",IF(ISERROR(VLOOKUP(H:H,produtos_escape2!$A$2:$D$2794,2,FALSE)),"Código não cadastrado",(VLOOKUP(H:H,produtos_escape2!$A$2:$D$2794,4,FALSE))))</f>
        <v/>
      </c>
      <c r="N3030" s="486"/>
      <c r="O3030" s="176"/>
      <c r="P3030" s="486"/>
      <c r="Q3030" s="247"/>
      <c r="R3030" s="246">
        <f t="shared" si="109"/>
        <v>0</v>
      </c>
      <c r="S3030" s="177"/>
      <c r="T3030" s="182"/>
      <c r="U3030" s="177"/>
      <c r="V3030" s="177"/>
      <c r="W3030" s="177"/>
      <c r="X3030" s="176"/>
      <c r="Y3030" s="177"/>
      <c r="Z3030" s="415"/>
      <c r="AA3030" s="488"/>
      <c r="AB3030" s="594"/>
      <c r="AC3030" s="595"/>
      <c r="AD3030" s="596" t="str">
        <f>IF(AND(AC3030&lt;&gt;"",S3030&lt;&gt;""),NETWORKDAYS(AC3030,S3030,#REF!),"")</f>
        <v/>
      </c>
      <c r="AE3030" s="596" t="str">
        <f ca="1">IF(AND(AD3030="",AC3030=""),"",IF(OR(AD3030&lt;&gt;"",O3030="*CANCELADO"),"",NETWORKDAYS(AC3030,TODAY(),#REF!)))</f>
        <v/>
      </c>
      <c r="AF3030" s="619"/>
    </row>
    <row r="3031" spans="1:32" ht="14.25" customHeight="1">
      <c r="A3031" s="176"/>
      <c r="B3031" s="176"/>
      <c r="C3031" s="177"/>
      <c r="D3031" s="176"/>
      <c r="E3031" s="176"/>
      <c r="F3031" s="259"/>
      <c r="G3031" s="176"/>
      <c r="H3031" s="178"/>
      <c r="I3031" s="592">
        <f t="shared" si="110"/>
        <v>0</v>
      </c>
      <c r="J3031" s="178"/>
      <c r="K3031" s="178"/>
      <c r="L3031" s="275" t="str">
        <f>IF(H:H=0,"",IF(ISERROR(VLOOKUP(H:H,produtos_escape2!$A$2:$B$2794,2,FALSE)),"Código não cadastrado",(VLOOKUP(H:H,produtos_escape2!$A$2:$B$2794,2,FALSE))))</f>
        <v/>
      </c>
      <c r="M3031" s="593" t="str">
        <f>IF(H:H=0,"",IF(ISERROR(VLOOKUP(H:H,produtos_escape2!$A$2:$D$2794,2,FALSE)),"Código não cadastrado",(VLOOKUP(H:H,produtos_escape2!$A$2:$D$2794,4,FALSE))))</f>
        <v/>
      </c>
      <c r="N3031" s="486"/>
      <c r="O3031" s="176"/>
      <c r="P3031" s="486"/>
      <c r="Q3031" s="247"/>
      <c r="R3031" s="246">
        <f t="shared" si="109"/>
        <v>0</v>
      </c>
      <c r="S3031" s="177"/>
      <c r="T3031" s="182"/>
      <c r="U3031" s="177"/>
      <c r="V3031" s="177"/>
      <c r="W3031" s="177"/>
      <c r="X3031" s="176"/>
      <c r="Y3031" s="177"/>
      <c r="Z3031" s="415"/>
      <c r="AA3031" s="488"/>
      <c r="AB3031" s="594"/>
      <c r="AC3031" s="595"/>
      <c r="AD3031" s="596" t="str">
        <f>IF(AND(AC3031&lt;&gt;"",S3031&lt;&gt;""),NETWORKDAYS(AC3031,S3031,#REF!),"")</f>
        <v/>
      </c>
      <c r="AE3031" s="596" t="str">
        <f ca="1">IF(AND(AD3031="",AC3031=""),"",IF(OR(AD3031&lt;&gt;"",O3031="*CANCELADO"),"",NETWORKDAYS(AC3031,TODAY(),#REF!)))</f>
        <v/>
      </c>
      <c r="AF3031" s="619"/>
    </row>
    <row r="3032" spans="1:32" ht="14.25" customHeight="1">
      <c r="A3032" s="176"/>
      <c r="B3032" s="176"/>
      <c r="C3032" s="177"/>
      <c r="D3032" s="176"/>
      <c r="E3032" s="176"/>
      <c r="F3032" s="259"/>
      <c r="G3032" s="176"/>
      <c r="H3032" s="178"/>
      <c r="I3032" s="592">
        <f t="shared" si="110"/>
        <v>0</v>
      </c>
      <c r="J3032" s="178"/>
      <c r="K3032" s="178"/>
      <c r="L3032" s="275" t="str">
        <f>IF(H:H=0,"",IF(ISERROR(VLOOKUP(H:H,produtos_escape2!$A$2:$B$2794,2,FALSE)),"Código não cadastrado",(VLOOKUP(H:H,produtos_escape2!$A$2:$B$2794,2,FALSE))))</f>
        <v/>
      </c>
      <c r="M3032" s="593" t="str">
        <f>IF(H:H=0,"",IF(ISERROR(VLOOKUP(H:H,produtos_escape2!$A$2:$D$2794,2,FALSE)),"Código não cadastrado",(VLOOKUP(H:H,produtos_escape2!$A$2:$D$2794,4,FALSE))))</f>
        <v/>
      </c>
      <c r="N3032" s="486"/>
      <c r="O3032" s="176"/>
      <c r="P3032" s="486"/>
      <c r="Q3032" s="247"/>
      <c r="R3032" s="246">
        <f t="shared" si="109"/>
        <v>0</v>
      </c>
      <c r="S3032" s="177"/>
      <c r="T3032" s="182"/>
      <c r="U3032" s="177"/>
      <c r="V3032" s="177"/>
      <c r="W3032" s="177"/>
      <c r="X3032" s="176"/>
      <c r="Y3032" s="177"/>
      <c r="Z3032" s="415"/>
      <c r="AA3032" s="488"/>
      <c r="AB3032" s="594"/>
      <c r="AC3032" s="595"/>
      <c r="AD3032" s="596" t="str">
        <f>IF(AND(AC3032&lt;&gt;"",S3032&lt;&gt;""),NETWORKDAYS(AC3032,S3032,#REF!),"")</f>
        <v/>
      </c>
      <c r="AE3032" s="596" t="str">
        <f ca="1">IF(AND(AD3032="",AC3032=""),"",IF(OR(AD3032&lt;&gt;"",O3032="*CANCELADO"),"",NETWORKDAYS(AC3032,TODAY(),#REF!)))</f>
        <v/>
      </c>
      <c r="AF3032" s="619"/>
    </row>
    <row r="3033" spans="1:32" ht="14.25" customHeight="1">
      <c r="A3033" s="176"/>
      <c r="B3033" s="176"/>
      <c r="C3033" s="177"/>
      <c r="D3033" s="176"/>
      <c r="E3033" s="176"/>
      <c r="F3033" s="259"/>
      <c r="G3033" s="176"/>
      <c r="H3033" s="178"/>
      <c r="I3033" s="592">
        <f t="shared" si="110"/>
        <v>0</v>
      </c>
      <c r="J3033" s="178"/>
      <c r="K3033" s="178"/>
      <c r="L3033" s="275" t="str">
        <f>IF(H:H=0,"",IF(ISERROR(VLOOKUP(H:H,produtos_escape2!$A$2:$B$2794,2,FALSE)),"Código não cadastrado",(VLOOKUP(H:H,produtos_escape2!$A$2:$B$2794,2,FALSE))))</f>
        <v/>
      </c>
      <c r="M3033" s="593" t="str">
        <f>IF(H:H=0,"",IF(ISERROR(VLOOKUP(H:H,produtos_escape2!$A$2:$D$2794,2,FALSE)),"Código não cadastrado",(VLOOKUP(H:H,produtos_escape2!$A$2:$D$2794,4,FALSE))))</f>
        <v/>
      </c>
      <c r="N3033" s="486"/>
      <c r="O3033" s="176"/>
      <c r="P3033" s="486"/>
      <c r="Q3033" s="247"/>
      <c r="R3033" s="246">
        <f t="shared" si="109"/>
        <v>0</v>
      </c>
      <c r="S3033" s="177"/>
      <c r="T3033" s="182"/>
      <c r="U3033" s="177"/>
      <c r="V3033" s="177"/>
      <c r="W3033" s="177"/>
      <c r="X3033" s="176"/>
      <c r="Y3033" s="177"/>
      <c r="Z3033" s="415"/>
      <c r="AA3033" s="488"/>
      <c r="AB3033" s="594"/>
      <c r="AC3033" s="595"/>
      <c r="AD3033" s="596" t="str">
        <f>IF(AND(AC3033&lt;&gt;"",S3033&lt;&gt;""),NETWORKDAYS(AC3033,S3033,#REF!),"")</f>
        <v/>
      </c>
      <c r="AE3033" s="596" t="str">
        <f ca="1">IF(AND(AD3033="",AC3033=""),"",IF(OR(AD3033&lt;&gt;"",O3033="*CANCELADO"),"",NETWORKDAYS(AC3033,TODAY(),#REF!)))</f>
        <v/>
      </c>
      <c r="AF3033" s="619"/>
    </row>
    <row r="3034" spans="1:32" ht="14.25" customHeight="1">
      <c r="A3034" s="176"/>
      <c r="B3034" s="176"/>
      <c r="C3034" s="177"/>
      <c r="D3034" s="176"/>
      <c r="E3034" s="176"/>
      <c r="F3034" s="259"/>
      <c r="G3034" s="176"/>
      <c r="H3034" s="178"/>
      <c r="I3034" s="592">
        <f t="shared" si="110"/>
        <v>0</v>
      </c>
      <c r="J3034" s="178"/>
      <c r="K3034" s="178"/>
      <c r="L3034" s="275" t="str">
        <f>IF(H:H=0,"",IF(ISERROR(VLOOKUP(H:H,produtos_escape2!$A$2:$B$2794,2,FALSE)),"Código não cadastrado",(VLOOKUP(H:H,produtos_escape2!$A$2:$B$2794,2,FALSE))))</f>
        <v/>
      </c>
      <c r="M3034" s="593" t="str">
        <f>IF(H:H=0,"",IF(ISERROR(VLOOKUP(H:H,produtos_escape2!$A$2:$D$2794,2,FALSE)),"Código não cadastrado",(VLOOKUP(H:H,produtos_escape2!$A$2:$D$2794,4,FALSE))))</f>
        <v/>
      </c>
      <c r="N3034" s="486"/>
      <c r="O3034" s="176"/>
      <c r="P3034" s="486"/>
      <c r="Q3034" s="247"/>
      <c r="R3034" s="246">
        <f t="shared" si="109"/>
        <v>0</v>
      </c>
      <c r="S3034" s="177"/>
      <c r="T3034" s="182"/>
      <c r="U3034" s="177"/>
      <c r="V3034" s="177"/>
      <c r="W3034" s="177"/>
      <c r="X3034" s="176"/>
      <c r="Y3034" s="177"/>
      <c r="Z3034" s="415"/>
      <c r="AA3034" s="488"/>
      <c r="AB3034" s="594"/>
      <c r="AC3034" s="595"/>
      <c r="AD3034" s="596" t="str">
        <f>IF(AND(AC3034&lt;&gt;"",S3034&lt;&gt;""),NETWORKDAYS(AC3034,S3034,#REF!),"")</f>
        <v/>
      </c>
      <c r="AE3034" s="596" t="str">
        <f ca="1">IF(AND(AD3034="",AC3034=""),"",IF(OR(AD3034&lt;&gt;"",O3034="*CANCELADO"),"",NETWORKDAYS(AC3034,TODAY(),#REF!)))</f>
        <v/>
      </c>
      <c r="AF3034" s="619"/>
    </row>
    <row r="3035" spans="1:32" ht="14.25" customHeight="1">
      <c r="A3035" s="176"/>
      <c r="B3035" s="176"/>
      <c r="C3035" s="177"/>
      <c r="D3035" s="176"/>
      <c r="E3035" s="176"/>
      <c r="F3035" s="259"/>
      <c r="G3035" s="176"/>
      <c r="H3035" s="178"/>
      <c r="I3035" s="592">
        <f t="shared" si="110"/>
        <v>0</v>
      </c>
      <c r="J3035" s="178"/>
      <c r="K3035" s="178"/>
      <c r="L3035" s="275" t="str">
        <f>IF(H:H=0,"",IF(ISERROR(VLOOKUP(H:H,produtos_escape2!$A$2:$B$2794,2,FALSE)),"Código não cadastrado",(VLOOKUP(H:H,produtos_escape2!$A$2:$B$2794,2,FALSE))))</f>
        <v/>
      </c>
      <c r="M3035" s="593" t="str">
        <f>IF(H:H=0,"",IF(ISERROR(VLOOKUP(H:H,produtos_escape2!$A$2:$D$2794,2,FALSE)),"Código não cadastrado",(VLOOKUP(H:H,produtos_escape2!$A$2:$D$2794,4,FALSE))))</f>
        <v/>
      </c>
      <c r="N3035" s="486"/>
      <c r="O3035" s="176"/>
      <c r="P3035" s="486"/>
      <c r="Q3035" s="247"/>
      <c r="R3035" s="246">
        <f t="shared" si="109"/>
        <v>0</v>
      </c>
      <c r="S3035" s="177"/>
      <c r="T3035" s="182"/>
      <c r="U3035" s="177"/>
      <c r="V3035" s="177"/>
      <c r="W3035" s="177"/>
      <c r="X3035" s="176"/>
      <c r="Y3035" s="177"/>
      <c r="Z3035" s="415"/>
      <c r="AA3035" s="488"/>
      <c r="AB3035" s="594"/>
      <c r="AC3035" s="595"/>
      <c r="AD3035" s="596" t="str">
        <f>IF(AND(AC3035&lt;&gt;"",S3035&lt;&gt;""),NETWORKDAYS(AC3035,S3035,#REF!),"")</f>
        <v/>
      </c>
      <c r="AE3035" s="596" t="str">
        <f ca="1">IF(AND(AD3035="",AC3035=""),"",IF(OR(AD3035&lt;&gt;"",O3035="*CANCELADO"),"",NETWORKDAYS(AC3035,TODAY(),#REF!)))</f>
        <v/>
      </c>
      <c r="AF3035" s="619"/>
    </row>
    <row r="3036" spans="1:32" ht="14.25" customHeight="1">
      <c r="A3036" s="176"/>
      <c r="B3036" s="176"/>
      <c r="C3036" s="177"/>
      <c r="D3036" s="176"/>
      <c r="E3036" s="176"/>
      <c r="F3036" s="259"/>
      <c r="G3036" s="176"/>
      <c r="H3036" s="178"/>
      <c r="I3036" s="592">
        <f t="shared" si="110"/>
        <v>0</v>
      </c>
      <c r="J3036" s="178"/>
      <c r="K3036" s="178"/>
      <c r="L3036" s="275" t="str">
        <f>IF(H:H=0,"",IF(ISERROR(VLOOKUP(H:H,produtos_escape2!$A$2:$B$2794,2,FALSE)),"Código não cadastrado",(VLOOKUP(H:H,produtos_escape2!$A$2:$B$2794,2,FALSE))))</f>
        <v/>
      </c>
      <c r="M3036" s="593" t="str">
        <f>IF(H:H=0,"",IF(ISERROR(VLOOKUP(H:H,produtos_escape2!$A$2:$D$2794,2,FALSE)),"Código não cadastrado",(VLOOKUP(H:H,produtos_escape2!$A$2:$D$2794,4,FALSE))))</f>
        <v/>
      </c>
      <c r="N3036" s="486"/>
      <c r="O3036" s="176"/>
      <c r="P3036" s="486"/>
      <c r="Q3036" s="247"/>
      <c r="R3036" s="246">
        <f t="shared" si="109"/>
        <v>0</v>
      </c>
      <c r="S3036" s="177"/>
      <c r="T3036" s="182"/>
      <c r="U3036" s="177"/>
      <c r="V3036" s="177"/>
      <c r="W3036" s="177"/>
      <c r="X3036" s="176"/>
      <c r="Y3036" s="177"/>
      <c r="Z3036" s="415"/>
      <c r="AA3036" s="488"/>
      <c r="AB3036" s="594"/>
      <c r="AC3036" s="595"/>
      <c r="AD3036" s="596" t="str">
        <f>IF(AND(AC3036&lt;&gt;"",S3036&lt;&gt;""),NETWORKDAYS(AC3036,S3036,#REF!),"")</f>
        <v/>
      </c>
      <c r="AE3036" s="596" t="str">
        <f ca="1">IF(AND(AD3036="",AC3036=""),"",IF(OR(AD3036&lt;&gt;"",O3036="*CANCELADO"),"",NETWORKDAYS(AC3036,TODAY(),#REF!)))</f>
        <v/>
      </c>
      <c r="AF3036" s="619"/>
    </row>
    <row r="3037" spans="1:32" ht="14.25" customHeight="1">
      <c r="A3037" s="176"/>
      <c r="B3037" s="176"/>
      <c r="C3037" s="177"/>
      <c r="D3037" s="176"/>
      <c r="E3037" s="176"/>
      <c r="F3037" s="259"/>
      <c r="G3037" s="176"/>
      <c r="H3037" s="178"/>
      <c r="I3037" s="592">
        <f t="shared" si="110"/>
        <v>0</v>
      </c>
      <c r="J3037" s="178"/>
      <c r="K3037" s="178"/>
      <c r="L3037" s="275" t="str">
        <f>IF(H:H=0,"",IF(ISERROR(VLOOKUP(H:H,produtos_escape2!$A$2:$B$2794,2,FALSE)),"Código não cadastrado",(VLOOKUP(H:H,produtos_escape2!$A$2:$B$2794,2,FALSE))))</f>
        <v/>
      </c>
      <c r="M3037" s="593" t="str">
        <f>IF(H:H=0,"",IF(ISERROR(VLOOKUP(H:H,produtos_escape2!$A$2:$D$2794,2,FALSE)),"Código não cadastrado",(VLOOKUP(H:H,produtos_escape2!$A$2:$D$2794,4,FALSE))))</f>
        <v/>
      </c>
      <c r="N3037" s="486"/>
      <c r="O3037" s="176"/>
      <c r="P3037" s="486"/>
      <c r="Q3037" s="247"/>
      <c r="R3037" s="246">
        <f t="shared" si="109"/>
        <v>0</v>
      </c>
      <c r="S3037" s="177"/>
      <c r="T3037" s="182"/>
      <c r="U3037" s="177"/>
      <c r="V3037" s="177"/>
      <c r="W3037" s="177"/>
      <c r="X3037" s="176"/>
      <c r="Y3037" s="177"/>
      <c r="Z3037" s="415"/>
      <c r="AA3037" s="488"/>
      <c r="AB3037" s="594"/>
      <c r="AC3037" s="595"/>
      <c r="AD3037" s="596" t="str">
        <f>IF(AND(AC3037&lt;&gt;"",S3037&lt;&gt;""),NETWORKDAYS(AC3037,S3037,#REF!),"")</f>
        <v/>
      </c>
      <c r="AE3037" s="596" t="str">
        <f ca="1">IF(AND(AD3037="",AC3037=""),"",IF(OR(AD3037&lt;&gt;"",O3037="*CANCELADO"),"",NETWORKDAYS(AC3037,TODAY(),#REF!)))</f>
        <v/>
      </c>
      <c r="AF3037" s="619"/>
    </row>
    <row r="3038" spans="1:32" ht="14.25" customHeight="1">
      <c r="A3038" s="176"/>
      <c r="B3038" s="176"/>
      <c r="C3038" s="177"/>
      <c r="D3038" s="176"/>
      <c r="E3038" s="176"/>
      <c r="F3038" s="259"/>
      <c r="G3038" s="176"/>
      <c r="H3038" s="178"/>
      <c r="I3038" s="592">
        <f t="shared" si="110"/>
        <v>0</v>
      </c>
      <c r="J3038" s="178"/>
      <c r="K3038" s="178"/>
      <c r="L3038" s="275" t="str">
        <f>IF(H:H=0,"",IF(ISERROR(VLOOKUP(H:H,produtos_escape2!$A$2:$B$2794,2,FALSE)),"Código não cadastrado",(VLOOKUP(H:H,produtos_escape2!$A$2:$B$2794,2,FALSE))))</f>
        <v/>
      </c>
      <c r="M3038" s="593" t="str">
        <f>IF(H:H=0,"",IF(ISERROR(VLOOKUP(H:H,produtos_escape2!$A$2:$D$2794,2,FALSE)),"Código não cadastrado",(VLOOKUP(H:H,produtos_escape2!$A$2:$D$2794,4,FALSE))))</f>
        <v/>
      </c>
      <c r="N3038" s="486"/>
      <c r="O3038" s="176"/>
      <c r="P3038" s="486"/>
      <c r="Q3038" s="247"/>
      <c r="R3038" s="246">
        <f t="shared" si="109"/>
        <v>0</v>
      </c>
      <c r="S3038" s="177"/>
      <c r="T3038" s="182"/>
      <c r="U3038" s="177"/>
      <c r="V3038" s="177"/>
      <c r="W3038" s="177"/>
      <c r="X3038" s="176"/>
      <c r="Y3038" s="177"/>
      <c r="Z3038" s="415"/>
      <c r="AA3038" s="488"/>
      <c r="AB3038" s="594"/>
      <c r="AC3038" s="595"/>
      <c r="AD3038" s="596" t="str">
        <f>IF(AND(AC3038&lt;&gt;"",S3038&lt;&gt;""),NETWORKDAYS(AC3038,S3038,#REF!),"")</f>
        <v/>
      </c>
      <c r="AE3038" s="596" t="str">
        <f ca="1">IF(AND(AD3038="",AC3038=""),"",IF(OR(AD3038&lt;&gt;"",O3038="*CANCELADO"),"",NETWORKDAYS(AC3038,TODAY(),#REF!)))</f>
        <v/>
      </c>
      <c r="AF3038" s="619"/>
    </row>
    <row r="3039" spans="1:32" ht="14.25" customHeight="1">
      <c r="A3039" s="176"/>
      <c r="B3039" s="176"/>
      <c r="C3039" s="177"/>
      <c r="D3039" s="176"/>
      <c r="E3039" s="176"/>
      <c r="F3039" s="259"/>
      <c r="G3039" s="176"/>
      <c r="H3039" s="178"/>
      <c r="I3039" s="592">
        <f t="shared" si="110"/>
        <v>0</v>
      </c>
      <c r="J3039" s="178"/>
      <c r="K3039" s="178"/>
      <c r="L3039" s="275" t="str">
        <f>IF(H:H=0,"",IF(ISERROR(VLOOKUP(H:H,produtos_escape2!$A$2:$B$2794,2,FALSE)),"Código não cadastrado",(VLOOKUP(H:H,produtos_escape2!$A$2:$B$2794,2,FALSE))))</f>
        <v/>
      </c>
      <c r="M3039" s="593" t="str">
        <f>IF(H:H=0,"",IF(ISERROR(VLOOKUP(H:H,produtos_escape2!$A$2:$D$2794,2,FALSE)),"Código não cadastrado",(VLOOKUP(H:H,produtos_escape2!$A$2:$D$2794,4,FALSE))))</f>
        <v/>
      </c>
      <c r="N3039" s="486"/>
      <c r="O3039" s="176"/>
      <c r="P3039" s="486"/>
      <c r="Q3039" s="247"/>
      <c r="R3039" s="246">
        <f t="shared" si="109"/>
        <v>0</v>
      </c>
      <c r="S3039" s="177"/>
      <c r="T3039" s="182"/>
      <c r="U3039" s="177"/>
      <c r="V3039" s="177"/>
      <c r="W3039" s="177"/>
      <c r="X3039" s="176"/>
      <c r="Y3039" s="177"/>
      <c r="Z3039" s="415"/>
      <c r="AA3039" s="488"/>
      <c r="AB3039" s="594"/>
      <c r="AC3039" s="595"/>
      <c r="AD3039" s="596" t="str">
        <f>IF(AND(AC3039&lt;&gt;"",S3039&lt;&gt;""),NETWORKDAYS(AC3039,S3039,#REF!),"")</f>
        <v/>
      </c>
      <c r="AE3039" s="596" t="str">
        <f ca="1">IF(AND(AD3039="",AC3039=""),"",IF(OR(AD3039&lt;&gt;"",O3039="*CANCELADO"),"",NETWORKDAYS(AC3039,TODAY(),#REF!)))</f>
        <v/>
      </c>
      <c r="AF3039" s="619"/>
    </row>
    <row r="3040" spans="1:32" ht="14.25" customHeight="1">
      <c r="A3040" s="176"/>
      <c r="B3040" s="176"/>
      <c r="C3040" s="177"/>
      <c r="D3040" s="176"/>
      <c r="E3040" s="176"/>
      <c r="F3040" s="259"/>
      <c r="G3040" s="176"/>
      <c r="H3040" s="178"/>
      <c r="I3040" s="592">
        <f t="shared" si="110"/>
        <v>0</v>
      </c>
      <c r="J3040" s="178"/>
      <c r="K3040" s="178"/>
      <c r="L3040" s="275" t="str">
        <f>IF(H:H=0,"",IF(ISERROR(VLOOKUP(H:H,produtos_escape2!$A$2:$B$2794,2,FALSE)),"Código não cadastrado",(VLOOKUP(H:H,produtos_escape2!$A$2:$B$2794,2,FALSE))))</f>
        <v/>
      </c>
      <c r="M3040" s="593" t="str">
        <f>IF(H:H=0,"",IF(ISERROR(VLOOKUP(H:H,produtos_escape2!$A$2:$D$2794,2,FALSE)),"Código não cadastrado",(VLOOKUP(H:H,produtos_escape2!$A$2:$D$2794,4,FALSE))))</f>
        <v/>
      </c>
      <c r="N3040" s="486"/>
      <c r="O3040" s="176"/>
      <c r="P3040" s="486"/>
      <c r="Q3040" s="247"/>
      <c r="R3040" s="246">
        <f t="shared" si="109"/>
        <v>0</v>
      </c>
      <c r="S3040" s="177"/>
      <c r="T3040" s="182"/>
      <c r="U3040" s="177"/>
      <c r="V3040" s="177"/>
      <c r="W3040" s="177"/>
      <c r="X3040" s="176"/>
      <c r="Y3040" s="177"/>
      <c r="Z3040" s="415"/>
      <c r="AA3040" s="488"/>
      <c r="AB3040" s="594"/>
      <c r="AC3040" s="595"/>
      <c r="AD3040" s="596" t="str">
        <f>IF(AND(AC3040&lt;&gt;"",S3040&lt;&gt;""),NETWORKDAYS(AC3040,S3040,#REF!),"")</f>
        <v/>
      </c>
      <c r="AE3040" s="596" t="str">
        <f ca="1">IF(AND(AD3040="",AC3040=""),"",IF(OR(AD3040&lt;&gt;"",O3040="*CANCELADO"),"",NETWORKDAYS(AC3040,TODAY(),#REF!)))</f>
        <v/>
      </c>
      <c r="AF3040" s="619"/>
    </row>
    <row r="3041" spans="1:32" ht="14.25" customHeight="1">
      <c r="A3041" s="176"/>
      <c r="B3041" s="176"/>
      <c r="C3041" s="177"/>
      <c r="D3041" s="176"/>
      <c r="E3041" s="176"/>
      <c r="F3041" s="259"/>
      <c r="G3041" s="176"/>
      <c r="H3041" s="178"/>
      <c r="I3041" s="592">
        <f t="shared" si="110"/>
        <v>0</v>
      </c>
      <c r="J3041" s="178"/>
      <c r="K3041" s="178"/>
      <c r="L3041" s="275" t="str">
        <f>IF(H:H=0,"",IF(ISERROR(VLOOKUP(H:H,produtos_escape2!$A$2:$B$2794,2,FALSE)),"Código não cadastrado",(VLOOKUP(H:H,produtos_escape2!$A$2:$B$2794,2,FALSE))))</f>
        <v/>
      </c>
      <c r="M3041" s="593" t="str">
        <f>IF(H:H=0,"",IF(ISERROR(VLOOKUP(H:H,produtos_escape2!$A$2:$D$2794,2,FALSE)),"Código não cadastrado",(VLOOKUP(H:H,produtos_escape2!$A$2:$D$2794,4,FALSE))))</f>
        <v/>
      </c>
      <c r="N3041" s="486"/>
      <c r="O3041" s="176"/>
      <c r="P3041" s="486"/>
      <c r="Q3041" s="247"/>
      <c r="R3041" s="246">
        <f t="shared" si="109"/>
        <v>0</v>
      </c>
      <c r="S3041" s="177"/>
      <c r="T3041" s="182"/>
      <c r="U3041" s="177"/>
      <c r="V3041" s="177"/>
      <c r="W3041" s="177"/>
      <c r="X3041" s="176"/>
      <c r="Y3041" s="177"/>
      <c r="Z3041" s="415"/>
      <c r="AA3041" s="488"/>
      <c r="AB3041" s="594"/>
      <c r="AC3041" s="595"/>
      <c r="AD3041" s="596" t="str">
        <f>IF(AND(AC3041&lt;&gt;"",S3041&lt;&gt;""),NETWORKDAYS(AC3041,S3041,#REF!),"")</f>
        <v/>
      </c>
      <c r="AE3041" s="596" t="str">
        <f ca="1">IF(AND(AD3041="",AC3041=""),"",IF(OR(AD3041&lt;&gt;"",O3041="*CANCELADO"),"",NETWORKDAYS(AC3041,TODAY(),#REF!)))</f>
        <v/>
      </c>
      <c r="AF3041" s="619"/>
    </row>
    <row r="3042" spans="1:32" ht="14.25" customHeight="1">
      <c r="A3042" s="203"/>
      <c r="B3042" s="203"/>
      <c r="C3042" s="351"/>
      <c r="D3042" s="203"/>
      <c r="E3042" s="203"/>
      <c r="F3042" s="517"/>
      <c r="G3042" s="203"/>
      <c r="H3042" s="178"/>
      <c r="I3042" s="178"/>
      <c r="J3042" s="178"/>
      <c r="K3042" s="178"/>
      <c r="L3042" s="275"/>
      <c r="M3042" s="593"/>
      <c r="N3042" s="203"/>
      <c r="O3042" s="203"/>
      <c r="P3042" s="620"/>
      <c r="Q3042" s="621"/>
      <c r="R3042" s="622">
        <f>SUBTOTAL(109,R3:R3041)</f>
        <v>2921548.6241133334</v>
      </c>
      <c r="S3042" s="351"/>
      <c r="T3042" s="206"/>
      <c r="U3042" s="203"/>
      <c r="V3042" s="203"/>
      <c r="W3042" s="203"/>
      <c r="X3042" s="203"/>
      <c r="Y3042" s="203"/>
      <c r="Z3042" s="598"/>
      <c r="AA3042" s="623"/>
      <c r="AB3042" s="594"/>
      <c r="AC3042" s="595"/>
      <c r="AD3042" s="596"/>
      <c r="AE3042" s="619"/>
      <c r="AF3042" s="619"/>
    </row>
  </sheetData>
  <sheetProtection formatRows="0" sort="0" autoFilter="0"/>
  <autoFilter ref="A2:AF3041"/>
  <sortState ref="A3:AJ1668">
    <sortCondition ref="F813"/>
  </sortState>
  <dataConsolidate/>
  <phoneticPr fontId="120" type="noConversion"/>
  <conditionalFormatting sqref="O2">
    <cfRule type="cellIs" dxfId="4223" priority="25589" stopIfTrue="1" operator="equal">
      <formula>"*CANCELADO"</formula>
    </cfRule>
    <cfRule type="cellIs" dxfId="4222" priority="25590" stopIfTrue="1" operator="equal">
      <formula>"*OBSERVAÇÃO"</formula>
    </cfRule>
  </conditionalFormatting>
  <conditionalFormatting sqref="A713:A835 A837:A843 A845:A958 A960:A973 A3:A373 A1487:A3040">
    <cfRule type="expression" dxfId="4221" priority="25554" stopIfTrue="1">
      <formula>A3=""</formula>
    </cfRule>
    <cfRule type="expression" dxfId="4220" priority="25557" stopIfTrue="1">
      <formula>F3=""</formula>
    </cfRule>
    <cfRule type="expression" dxfId="4219" priority="25560" stopIfTrue="1">
      <formula>AND(F3&lt;&gt;"",S3&lt;&gt;"")</formula>
    </cfRule>
    <cfRule type="expression" dxfId="4218" priority="25561" stopIfTrue="1">
      <formula>F3&lt;&gt;""</formula>
    </cfRule>
  </conditionalFormatting>
  <conditionalFormatting sqref="A351:A355 A349 A340 A343:A344 A357:A373 A713:A835 A837:A843 A845:A958 A960:A973 A1487:A3040">
    <cfRule type="expression" dxfId="4217" priority="25553" stopIfTrue="1">
      <formula>O340="*CANCELADO"</formula>
    </cfRule>
  </conditionalFormatting>
  <conditionalFormatting sqref="AA192:AA193 AA258:AA262 AA229:AA230 AA223:AA227 AA202:AA205 AA200 AA197 AA195 AA183:AA184 AA151:AA153 AA140:AA146 AA269:AA271 AA275:AA284 AA288 AA290:AA293 AA58:AA65 AA47:AA49 AA18:AA20 AA6:AA13 AA67:AA84 AA86:AA97 AA99:AA127 AA178:AA181 AA129:AA133 AA168 AA174:AA175 AA135:AA138 AA214:AA215 AA372:AA375 AA377:AA391 AA405:AA408 AA434:AA441 AA410:AA431 AA400:AA403 AA443:AA474 AA476:AA479 AA486:AA490 AA527:AA536 AA515 AA602:AA627 AA634:AA642 AA644:AA654 AA554:AA558 AA727:AA739 AA741 AA745:AA748 AA753:AA755 AA759:AA780 AA814 AA817 AA821 AA823 AA676:AA689 AA522 AA827:AA834 AA393:AA398 AA837:AA843 AA518:AA520 AA492:AA513 AA897:AA903 AA908:AA942 AA573:AA589 AA524:AA525 AA978:AA984 AA656:AA672 AA960:AA976 AA1006:AA1030 AA845:AA858 AA944:AA958 AA564:AA571 AA562 AA560 AA1133 AA986:AA994 AA996:AA1003 AA1122:AA1131 AA538:AA547 AA629:AA632 AA1135:AA1164 AA1166:AA1176 AA1220 AA1187:AA1188 AA1178:AA1185 AA1222:AA1240 AA1190:AA1218 AA860:AA890 AA1032:AA1120 AA1332:AA1333 AA1242:AA1267 AA1269:AA1330 AA1335:AA3041">
    <cfRule type="expression" dxfId="4216" priority="25551" stopIfTrue="1">
      <formula>O6="*CANCELADO"</formula>
    </cfRule>
    <cfRule type="expression" dxfId="4215" priority="25552" stopIfTrue="1">
      <formula>O6="*OBSERVAÇÃO"</formula>
    </cfRule>
  </conditionalFormatting>
  <conditionalFormatting sqref="O1166:O1176 O1220 O1178:O1179 O1181 O1222:O1240 O1187:O1188 O1195:O1218 O1190:O1193 O1249:O1267 O1332:O1333 O1242:O1246 O1269:O1330 O1391:O3041 O1335:O1389">
    <cfRule type="cellIs" dxfId="4214" priority="25534" stopIfTrue="1" operator="equal">
      <formula>"*CANCELADO"</formula>
    </cfRule>
    <cfRule type="cellIs" dxfId="4213" priority="25535" stopIfTrue="1" operator="equal">
      <formula>"*OBSERVAÇÃO"</formula>
    </cfRule>
  </conditionalFormatting>
  <conditionalFormatting sqref="P86:P96 P154:P161 P191:P194 P207:P211 P233:P242 P280:P283 P285:P295 P316:P322 P299:P310 P495:P504 P727:P738 L3:N3 N518:N522 N897:N903 N492:N515 N758:N835 N707:N755 N860:N890 N908:N942 N944 N573:N654 N946:N958 N524:N536 N656:N705 N960:N976 N837:N843 N845:N858 N564:N571 N562 N560 N978:N1120 N1133 N1122:N1131 N4:N490 L1135:N1164 L538:M1133 N538:N558 L1166:N1176 N1220 L1219:M1221 L1178:N1181 L1222:N1240 L1187:N1188 L1190:N1218 L1446:N3041 L1335:N1440 L1332:N1333 L1441:M1445 L1242:N1267 L1269:N1330 L4:M536">
    <cfRule type="cellIs" dxfId="4212" priority="25012" stopIfTrue="1" operator="equal">
      <formula>"Código não cadastrado"</formula>
    </cfRule>
  </conditionalFormatting>
  <conditionalFormatting sqref="A713:A835 A837:A843 A845:A958 A960:A973 A3:A373 A1487:A3040">
    <cfRule type="expression" dxfId="4211" priority="24991" stopIfTrue="1">
      <formula>A3=""</formula>
    </cfRule>
    <cfRule type="expression" dxfId="4210" priority="24992" stopIfTrue="1">
      <formula>F3=""</formula>
    </cfRule>
    <cfRule type="expression" dxfId="4209" priority="24994" stopIfTrue="1">
      <formula>AND(F3&lt;&gt;"",S3&lt;&gt;"")</formula>
    </cfRule>
    <cfRule type="expression" dxfId="4208" priority="24995" stopIfTrue="1">
      <formula>F3&lt;&gt;""</formula>
    </cfRule>
  </conditionalFormatting>
  <conditionalFormatting sqref="A351:A355 A349 A340 A343:A344 A357:A373 A713:A835 A837:A843 A845:A958 A960:A973 A1487:A3040">
    <cfRule type="expression" dxfId="4207" priority="24988" stopIfTrue="1">
      <formula>O340="*OBSERVAÇÃO"</formula>
    </cfRule>
  </conditionalFormatting>
  <conditionalFormatting sqref="O1166:O1176 O1220 O1178:O1179 O1181 O1184:O1185 O1222:O1240 O1187:O1188 O1195:O1218 O1190:O1193 O1249:O1267 O1332:O1333 O1242:O1246 O1269:O1330 O1391:O3041 O1335:O1389">
    <cfRule type="expression" dxfId="4206" priority="24480" stopIfTrue="1">
      <formula>AND(O1166&lt;&gt;"",Z1166="")</formula>
    </cfRule>
  </conditionalFormatting>
  <conditionalFormatting sqref="I1:K1">
    <cfRule type="cellIs" dxfId="4205" priority="21988" operator="lessThan">
      <formula>0</formula>
    </cfRule>
    <cfRule type="cellIs" dxfId="4204" priority="21989" operator="greaterThan">
      <formula>0</formula>
    </cfRule>
  </conditionalFormatting>
  <conditionalFormatting sqref="A713:A835 A837:A843 A845:A958 A960:A973 A3:A373 A1487:A3040">
    <cfRule type="expression" dxfId="4203" priority="90128" stopIfTrue="1">
      <formula>AND(F3&lt;&gt;"",S3&lt;&gt;"",Y3&lt;&gt;"")</formula>
    </cfRule>
  </conditionalFormatting>
  <conditionalFormatting sqref="H1">
    <cfRule type="cellIs" dxfId="4202" priority="20300" stopIfTrue="1" operator="greaterThan">
      <formula>0</formula>
    </cfRule>
    <cfRule type="cellIs" dxfId="4201" priority="20301" stopIfTrue="1" operator="lessThan">
      <formula>0</formula>
    </cfRule>
  </conditionalFormatting>
  <conditionalFormatting sqref="AA98">
    <cfRule type="expression" dxfId="4200" priority="19181" stopIfTrue="1">
      <formula>O98="*CANCELADO"</formula>
    </cfRule>
    <cfRule type="expression" dxfId="4199" priority="19182" stopIfTrue="1">
      <formula>O98="*OBSERVAÇÃO"</formula>
    </cfRule>
  </conditionalFormatting>
  <conditionalFormatting sqref="AA159">
    <cfRule type="expression" dxfId="4198" priority="19145" stopIfTrue="1">
      <formula>O159="*CANCELADO"</formula>
    </cfRule>
    <cfRule type="expression" dxfId="4197" priority="19146" stopIfTrue="1">
      <formula>O159="*OBSERVAÇÃO"</formula>
    </cfRule>
  </conditionalFormatting>
  <conditionalFormatting sqref="AA147:AA150">
    <cfRule type="expression" dxfId="4196" priority="19104" stopIfTrue="1">
      <formula>O147="*CANCELADO"</formula>
    </cfRule>
    <cfRule type="expression" dxfId="4195" priority="19105" stopIfTrue="1">
      <formula>O147="*OBSERVAÇÃO"</formula>
    </cfRule>
  </conditionalFormatting>
  <conditionalFormatting sqref="AA154">
    <cfRule type="expression" dxfId="4194" priority="19063" stopIfTrue="1">
      <formula>O154="*CANCELADO"</formula>
    </cfRule>
    <cfRule type="expression" dxfId="4193" priority="19064" stopIfTrue="1">
      <formula>O154="*OBSERVAÇÃO"</formula>
    </cfRule>
  </conditionalFormatting>
  <conditionalFormatting sqref="AA155:AA158">
    <cfRule type="expression" dxfId="4192" priority="18981" stopIfTrue="1">
      <formula>O155="*CANCELADO"</formula>
    </cfRule>
    <cfRule type="expression" dxfId="4191" priority="18982" stopIfTrue="1">
      <formula>O155="*OBSERVAÇÃO"</formula>
    </cfRule>
  </conditionalFormatting>
  <conditionalFormatting sqref="AA167">
    <cfRule type="expression" dxfId="4190" priority="18940" stopIfTrue="1">
      <formula>O167="*CANCELADO"</formula>
    </cfRule>
    <cfRule type="expression" dxfId="4189" priority="18941" stopIfTrue="1">
      <formula>O167="*OBSERVAÇÃO"</formula>
    </cfRule>
  </conditionalFormatting>
  <conditionalFormatting sqref="AA160:AA163">
    <cfRule type="expression" dxfId="4188" priority="18899" stopIfTrue="1">
      <formula>O160="*CANCELADO"</formula>
    </cfRule>
    <cfRule type="expression" dxfId="4187" priority="18900" stopIfTrue="1">
      <formula>O160="*OBSERVAÇÃO"</formula>
    </cfRule>
  </conditionalFormatting>
  <conditionalFormatting sqref="AA169:AA172">
    <cfRule type="expression" dxfId="4186" priority="18694" stopIfTrue="1">
      <formula>O169="*CANCELADO"</formula>
    </cfRule>
    <cfRule type="expression" dxfId="4185" priority="18695" stopIfTrue="1">
      <formula>O169="*OBSERVAÇÃO"</formula>
    </cfRule>
  </conditionalFormatting>
  <conditionalFormatting sqref="AA182">
    <cfRule type="expression" dxfId="4184" priority="18489" stopIfTrue="1">
      <formula>O182="*CANCELADO"</formula>
    </cfRule>
    <cfRule type="expression" dxfId="4183" priority="18490" stopIfTrue="1">
      <formula>O182="*OBSERVAÇÃO"</formula>
    </cfRule>
  </conditionalFormatting>
  <conditionalFormatting sqref="AA189:AA191">
    <cfRule type="expression" dxfId="4182" priority="18325" stopIfTrue="1">
      <formula>O189="*CANCELADO"</formula>
    </cfRule>
    <cfRule type="expression" dxfId="4181" priority="18326" stopIfTrue="1">
      <formula>O189="*OBSERVAÇÃO"</formula>
    </cfRule>
  </conditionalFormatting>
  <conditionalFormatting sqref="AA201">
    <cfRule type="expression" dxfId="4180" priority="18120" stopIfTrue="1">
      <formula>O201="*CANCELADO"</formula>
    </cfRule>
    <cfRule type="expression" dxfId="4179" priority="18121" stopIfTrue="1">
      <formula>O201="*OBSERVAÇÃO"</formula>
    </cfRule>
  </conditionalFormatting>
  <conditionalFormatting sqref="AA198">
    <cfRule type="expression" dxfId="4178" priority="18079" stopIfTrue="1">
      <formula>O198="*CANCELADO"</formula>
    </cfRule>
    <cfRule type="expression" dxfId="4177" priority="18080" stopIfTrue="1">
      <formula>O198="*OBSERVAÇÃO"</formula>
    </cfRule>
  </conditionalFormatting>
  <conditionalFormatting sqref="AA207:AA208">
    <cfRule type="expression" dxfId="4176" priority="17874" stopIfTrue="1">
      <formula>O207="*CANCELADO"</formula>
    </cfRule>
    <cfRule type="expression" dxfId="4175" priority="17875" stopIfTrue="1">
      <formula>O207="*OBSERVAÇÃO"</formula>
    </cfRule>
  </conditionalFormatting>
  <conditionalFormatting sqref="AA209">
    <cfRule type="expression" dxfId="4174" priority="17792" stopIfTrue="1">
      <formula>O209="*CANCELADO"</formula>
    </cfRule>
    <cfRule type="expression" dxfId="4173" priority="17793" stopIfTrue="1">
      <formula>O209="*OBSERVAÇÃO"</formula>
    </cfRule>
  </conditionalFormatting>
  <conditionalFormatting sqref="AA216">
    <cfRule type="expression" dxfId="4172" priority="17751" stopIfTrue="1">
      <formula>O216="*CANCELADO"</formula>
    </cfRule>
    <cfRule type="expression" dxfId="4171" priority="17752" stopIfTrue="1">
      <formula>O216="*OBSERVAÇÃO"</formula>
    </cfRule>
  </conditionalFormatting>
  <conditionalFormatting sqref="AA222">
    <cfRule type="expression" dxfId="4170" priority="17710" stopIfTrue="1">
      <formula>O222="*CANCELADO"</formula>
    </cfRule>
    <cfRule type="expression" dxfId="4169" priority="17711" stopIfTrue="1">
      <formula>O222="*OBSERVAÇÃO"</formula>
    </cfRule>
  </conditionalFormatting>
  <conditionalFormatting sqref="AA218:AA221">
    <cfRule type="expression" dxfId="4168" priority="17669" stopIfTrue="1">
      <formula>O218="*CANCELADO"</formula>
    </cfRule>
    <cfRule type="expression" dxfId="4167" priority="17670" stopIfTrue="1">
      <formula>O218="*OBSERVAÇÃO"</formula>
    </cfRule>
  </conditionalFormatting>
  <conditionalFormatting sqref="AA228">
    <cfRule type="expression" dxfId="4166" priority="17587" stopIfTrue="1">
      <formula>O228="*CANCELADO"</formula>
    </cfRule>
    <cfRule type="expression" dxfId="4165" priority="17588" stopIfTrue="1">
      <formula>O228="*OBSERVAÇÃO"</formula>
    </cfRule>
  </conditionalFormatting>
  <conditionalFormatting sqref="AA239">
    <cfRule type="expression" dxfId="4164" priority="17505" stopIfTrue="1">
      <formula>O239="*CANCELADO"</formula>
    </cfRule>
    <cfRule type="expression" dxfId="4163" priority="17506" stopIfTrue="1">
      <formula>O239="*OBSERVAÇÃO"</formula>
    </cfRule>
  </conditionalFormatting>
  <conditionalFormatting sqref="AA231:AA234">
    <cfRule type="expression" dxfId="4162" priority="17382" stopIfTrue="1">
      <formula>O231="*CANCELADO"</formula>
    </cfRule>
    <cfRule type="expression" dxfId="4161" priority="17383" stopIfTrue="1">
      <formula>O231="*OBSERVAÇÃO"</formula>
    </cfRule>
  </conditionalFormatting>
  <conditionalFormatting sqref="AA235:AA238">
    <cfRule type="expression" dxfId="4160" priority="17341" stopIfTrue="1">
      <formula>O235="*CANCELADO"</formula>
    </cfRule>
    <cfRule type="expression" dxfId="4159" priority="17342" stopIfTrue="1">
      <formula>O235="*OBSERVAÇÃO"</formula>
    </cfRule>
  </conditionalFormatting>
  <conditionalFormatting sqref="AA244">
    <cfRule type="expression" dxfId="4158" priority="17300" stopIfTrue="1">
      <formula>O244="*CANCELADO"</formula>
    </cfRule>
    <cfRule type="expression" dxfId="4157" priority="17301" stopIfTrue="1">
      <formula>O244="*OBSERVAÇÃO"</formula>
    </cfRule>
  </conditionalFormatting>
  <conditionalFormatting sqref="AA240:AA243">
    <cfRule type="expression" dxfId="4156" priority="17259" stopIfTrue="1">
      <formula>O240="*CANCELADO"</formula>
    </cfRule>
    <cfRule type="expression" dxfId="4155" priority="17260" stopIfTrue="1">
      <formula>O240="*OBSERVAÇÃO"</formula>
    </cfRule>
  </conditionalFormatting>
  <conditionalFormatting sqref="AA245">
    <cfRule type="expression" dxfId="4154" priority="17218" stopIfTrue="1">
      <formula>O245="*CANCELADO"</formula>
    </cfRule>
    <cfRule type="expression" dxfId="4153" priority="17219" stopIfTrue="1">
      <formula>O245="*OBSERVAÇÃO"</formula>
    </cfRule>
  </conditionalFormatting>
  <conditionalFormatting sqref="AA285 AA287">
    <cfRule type="expression" dxfId="4152" priority="17095" stopIfTrue="1">
      <formula>O285="*CANCELADO"</formula>
    </cfRule>
    <cfRule type="expression" dxfId="4151" priority="17096" stopIfTrue="1">
      <formula>O285="*OBSERVAÇÃO"</formula>
    </cfRule>
  </conditionalFormatting>
  <conditionalFormatting sqref="AA139">
    <cfRule type="expression" dxfId="4150" priority="16930" stopIfTrue="1">
      <formula>O139="*CANCELADO"</formula>
    </cfRule>
    <cfRule type="expression" dxfId="4149" priority="16931" stopIfTrue="1">
      <formula>O139="*OBSERVAÇÃO"</formula>
    </cfRule>
  </conditionalFormatting>
  <conditionalFormatting sqref="AA194">
    <cfRule type="expression" dxfId="4148" priority="16838" stopIfTrue="1">
      <formula>O194="*CANCELADO"</formula>
    </cfRule>
    <cfRule type="expression" dxfId="4147" priority="16839" stopIfTrue="1">
      <formula>O194="*OBSERVAÇÃO"</formula>
    </cfRule>
  </conditionalFormatting>
  <conditionalFormatting sqref="AA246">
    <cfRule type="expression" dxfId="4146" priority="16772" stopIfTrue="1">
      <formula>O246="*CANCELADO"</formula>
    </cfRule>
    <cfRule type="expression" dxfId="4145" priority="16773" stopIfTrue="1">
      <formula>O246="*OBSERVAÇÃO"</formula>
    </cfRule>
  </conditionalFormatting>
  <conditionalFormatting sqref="AA252">
    <cfRule type="expression" dxfId="4144" priority="16731" stopIfTrue="1">
      <formula>O252="*CANCELADO"</formula>
    </cfRule>
    <cfRule type="expression" dxfId="4143" priority="16732" stopIfTrue="1">
      <formula>O252="*OBSERVAÇÃO"</formula>
    </cfRule>
  </conditionalFormatting>
  <conditionalFormatting sqref="AA249:AA251">
    <cfRule type="expression" dxfId="4142" priority="16690" stopIfTrue="1">
      <formula>O249="*CANCELADO"</formula>
    </cfRule>
    <cfRule type="expression" dxfId="4141" priority="16691" stopIfTrue="1">
      <formula>O249="*OBSERVAÇÃO"</formula>
    </cfRule>
  </conditionalFormatting>
  <conditionalFormatting sqref="AA254:AA257">
    <cfRule type="expression" dxfId="4140" priority="16649" stopIfTrue="1">
      <formula>O254="*CANCELADO"</formula>
    </cfRule>
    <cfRule type="expression" dxfId="4139" priority="16650" stopIfTrue="1">
      <formula>O254="*OBSERVAÇÃO"</formula>
    </cfRule>
  </conditionalFormatting>
  <conditionalFormatting sqref="AA267:AA275">
    <cfRule type="expression" dxfId="4138" priority="16485" stopIfTrue="1">
      <formula>O267="*CANCELADO"</formula>
    </cfRule>
    <cfRule type="expression" dxfId="4137" priority="16486" stopIfTrue="1">
      <formula>O267="*OBSERVAÇÃO"</formula>
    </cfRule>
  </conditionalFormatting>
  <conditionalFormatting sqref="AA263:AA266">
    <cfRule type="expression" dxfId="4136" priority="16444" stopIfTrue="1">
      <formula>O263="*CANCELADO"</formula>
    </cfRule>
    <cfRule type="expression" dxfId="4135" priority="16445" stopIfTrue="1">
      <formula>O263="*OBSERVAÇÃO"</formula>
    </cfRule>
  </conditionalFormatting>
  <conditionalFormatting sqref="AA217 AA210:AA212 AA206 AA199 AA196 AA185:AA187 AA176:AA177">
    <cfRule type="expression" dxfId="4134" priority="16359" stopIfTrue="1">
      <formula>O176="*CANCELADO"</formula>
    </cfRule>
    <cfRule type="expression" dxfId="4133" priority="16360" stopIfTrue="1">
      <formula>O176="*OBSERVAÇÃO"</formula>
    </cfRule>
  </conditionalFormatting>
  <conditionalFormatting sqref="AA188">
    <cfRule type="expression" dxfId="4132" priority="16357" stopIfTrue="1">
      <formula>O188="*CANCELADO"</formula>
    </cfRule>
    <cfRule type="expression" dxfId="4131" priority="16358" stopIfTrue="1">
      <formula>O188="*OBSERVAÇÃO"</formula>
    </cfRule>
  </conditionalFormatting>
  <conditionalFormatting sqref="AA166">
    <cfRule type="expression" dxfId="4130" priority="16309" stopIfTrue="1">
      <formula>O166="*CANCELADO"</formula>
    </cfRule>
    <cfRule type="expression" dxfId="4129" priority="16310" stopIfTrue="1">
      <formula>O166="*OBSERVAÇÃO"</formula>
    </cfRule>
  </conditionalFormatting>
  <conditionalFormatting sqref="AA268">
    <cfRule type="expression" dxfId="4128" priority="16225" stopIfTrue="1">
      <formula>O268="*CANCELADO"</formula>
    </cfRule>
    <cfRule type="expression" dxfId="4127" priority="16226" stopIfTrue="1">
      <formula>O268="*OBSERVAÇÃO"</formula>
    </cfRule>
  </conditionalFormatting>
  <conditionalFormatting sqref="AA253">
    <cfRule type="expression" dxfId="4126" priority="16123" stopIfTrue="1">
      <formula>O253="*CANCELADO"</formula>
    </cfRule>
    <cfRule type="expression" dxfId="4125" priority="16124" stopIfTrue="1">
      <formula>O253="*OBSERVAÇÃO"</formula>
    </cfRule>
  </conditionalFormatting>
  <conditionalFormatting sqref="AA286">
    <cfRule type="expression" dxfId="4124" priority="16103" stopIfTrue="1">
      <formula>O286="*CANCELADO"</formula>
    </cfRule>
    <cfRule type="expression" dxfId="4123" priority="16104" stopIfTrue="1">
      <formula>O286="*OBSERVAÇÃO"</formula>
    </cfRule>
  </conditionalFormatting>
  <conditionalFormatting sqref="AA289">
    <cfRule type="expression" dxfId="4122" priority="15980" stopIfTrue="1">
      <formula>O289="*CANCELADO"</formula>
    </cfRule>
    <cfRule type="expression" dxfId="4121" priority="15981" stopIfTrue="1">
      <formula>O289="*OBSERVAÇÃO"</formula>
    </cfRule>
  </conditionalFormatting>
  <conditionalFormatting sqref="AA294">
    <cfRule type="expression" dxfId="4120" priority="14964" stopIfTrue="1">
      <formula>O294="*CANCELADO"</formula>
    </cfRule>
    <cfRule type="expression" dxfId="4119" priority="14965" stopIfTrue="1">
      <formula>O294="*OBSERVAÇÃO"</formula>
    </cfRule>
  </conditionalFormatting>
  <conditionalFormatting sqref="AA295">
    <cfRule type="expression" dxfId="4118" priority="14841" stopIfTrue="1">
      <formula>O295="*CANCELADO"</formula>
    </cfRule>
    <cfRule type="expression" dxfId="4117" priority="14842" stopIfTrue="1">
      <formula>O295="*OBSERVAÇÃO"</formula>
    </cfRule>
  </conditionalFormatting>
  <conditionalFormatting sqref="AA298">
    <cfRule type="expression" dxfId="4116" priority="14800" stopIfTrue="1">
      <formula>O298="*CANCELADO"</formula>
    </cfRule>
    <cfRule type="expression" dxfId="4115" priority="14801" stopIfTrue="1">
      <formula>O298="*OBSERVAÇÃO"</formula>
    </cfRule>
  </conditionalFormatting>
  <conditionalFormatting sqref="AA296">
    <cfRule type="expression" dxfId="4114" priority="14759" stopIfTrue="1">
      <formula>O296="*CANCELADO"</formula>
    </cfRule>
    <cfRule type="expression" dxfId="4113" priority="14760" stopIfTrue="1">
      <formula>O296="*OBSERVAÇÃO"</formula>
    </cfRule>
  </conditionalFormatting>
  <conditionalFormatting sqref="AA299">
    <cfRule type="expression" dxfId="4112" priority="14226" stopIfTrue="1">
      <formula>O299="*CANCELADO"</formula>
    </cfRule>
    <cfRule type="expression" dxfId="4111" priority="14227" stopIfTrue="1">
      <formula>O299="*OBSERVAÇÃO"</formula>
    </cfRule>
  </conditionalFormatting>
  <conditionalFormatting sqref="AA301">
    <cfRule type="expression" dxfId="4110" priority="14185" stopIfTrue="1">
      <formula>O301="*CANCELADO"</formula>
    </cfRule>
    <cfRule type="expression" dxfId="4109" priority="14186" stopIfTrue="1">
      <formula>O301="*OBSERVAÇÃO"</formula>
    </cfRule>
  </conditionalFormatting>
  <conditionalFormatting sqref="AA300">
    <cfRule type="expression" dxfId="4108" priority="14144" stopIfTrue="1">
      <formula>O300="*CANCELADO"</formula>
    </cfRule>
    <cfRule type="expression" dxfId="4107" priority="14145" stopIfTrue="1">
      <formula>O300="*OBSERVAÇÃO"</formula>
    </cfRule>
  </conditionalFormatting>
  <conditionalFormatting sqref="AA304">
    <cfRule type="expression" dxfId="4106" priority="14103" stopIfTrue="1">
      <formula>O304="*CANCELADO"</formula>
    </cfRule>
    <cfRule type="expression" dxfId="4105" priority="14104" stopIfTrue="1">
      <formula>O304="*OBSERVAÇÃO"</formula>
    </cfRule>
  </conditionalFormatting>
  <conditionalFormatting sqref="AA302">
    <cfRule type="expression" dxfId="4104" priority="14062" stopIfTrue="1">
      <formula>O302="*CANCELADO"</formula>
    </cfRule>
    <cfRule type="expression" dxfId="4103" priority="14063" stopIfTrue="1">
      <formula>O302="*OBSERVAÇÃO"</formula>
    </cfRule>
  </conditionalFormatting>
  <conditionalFormatting sqref="AA306">
    <cfRule type="expression" dxfId="4102" priority="14021" stopIfTrue="1">
      <formula>O306="*CANCELADO"</formula>
    </cfRule>
    <cfRule type="expression" dxfId="4101" priority="14022" stopIfTrue="1">
      <formula>O306="*OBSERVAÇÃO"</formula>
    </cfRule>
  </conditionalFormatting>
  <conditionalFormatting sqref="AA305">
    <cfRule type="expression" dxfId="4100" priority="13980" stopIfTrue="1">
      <formula>O305="*CANCELADO"</formula>
    </cfRule>
    <cfRule type="expression" dxfId="4099" priority="13981" stopIfTrue="1">
      <formula>O305="*OBSERVAÇÃO"</formula>
    </cfRule>
  </conditionalFormatting>
  <conditionalFormatting sqref="AA308">
    <cfRule type="expression" dxfId="4098" priority="13939" stopIfTrue="1">
      <formula>O308="*CANCELADO"</formula>
    </cfRule>
    <cfRule type="expression" dxfId="4097" priority="13940" stopIfTrue="1">
      <formula>O308="*OBSERVAÇÃO"</formula>
    </cfRule>
  </conditionalFormatting>
  <conditionalFormatting sqref="AA307">
    <cfRule type="expression" dxfId="4096" priority="13898" stopIfTrue="1">
      <formula>O307="*CANCELADO"</formula>
    </cfRule>
    <cfRule type="expression" dxfId="4095" priority="13899" stopIfTrue="1">
      <formula>O307="*OBSERVAÇÃO"</formula>
    </cfRule>
  </conditionalFormatting>
  <conditionalFormatting sqref="AA309">
    <cfRule type="expression" dxfId="4094" priority="13816" stopIfTrue="1">
      <formula>O309="*CANCELADO"</formula>
    </cfRule>
    <cfRule type="expression" dxfId="4093" priority="13817" stopIfTrue="1">
      <formula>O309="*OBSERVAÇÃO"</formula>
    </cfRule>
  </conditionalFormatting>
  <conditionalFormatting sqref="AA310">
    <cfRule type="expression" dxfId="4092" priority="13488" stopIfTrue="1">
      <formula>O310="*CANCELADO"</formula>
    </cfRule>
    <cfRule type="expression" dxfId="4091" priority="13489" stopIfTrue="1">
      <formula>O310="*OBSERVAÇÃO"</formula>
    </cfRule>
  </conditionalFormatting>
  <conditionalFormatting sqref="AA312">
    <cfRule type="expression" dxfId="4090" priority="13406" stopIfTrue="1">
      <formula>O312="*CANCELADO"</formula>
    </cfRule>
    <cfRule type="expression" dxfId="4089" priority="13407" stopIfTrue="1">
      <formula>O312="*OBSERVAÇÃO"</formula>
    </cfRule>
  </conditionalFormatting>
  <conditionalFormatting sqref="AA311">
    <cfRule type="expression" dxfId="4088" priority="13365" stopIfTrue="1">
      <formula>O311="*CANCELADO"</formula>
    </cfRule>
    <cfRule type="expression" dxfId="4087" priority="13366" stopIfTrue="1">
      <formula>O311="*OBSERVAÇÃO"</formula>
    </cfRule>
  </conditionalFormatting>
  <conditionalFormatting sqref="AA313">
    <cfRule type="expression" dxfId="4086" priority="13201" stopIfTrue="1">
      <formula>O313="*CANCELADO"</formula>
    </cfRule>
    <cfRule type="expression" dxfId="4085" priority="13202" stopIfTrue="1">
      <formula>O313="*OBSERVAÇÃO"</formula>
    </cfRule>
  </conditionalFormatting>
  <conditionalFormatting sqref="AA314">
    <cfRule type="expression" dxfId="4084" priority="12779" stopIfTrue="1">
      <formula>O314="*CANCELADO"</formula>
    </cfRule>
    <cfRule type="expression" dxfId="4083" priority="12780" stopIfTrue="1">
      <formula>O314="*OBSERVAÇÃO"</formula>
    </cfRule>
  </conditionalFormatting>
  <conditionalFormatting sqref="AA316">
    <cfRule type="expression" dxfId="4082" priority="12738" stopIfTrue="1">
      <formula>O316="*CANCELADO"</formula>
    </cfRule>
    <cfRule type="expression" dxfId="4081" priority="12739" stopIfTrue="1">
      <formula>O316="*OBSERVAÇÃO"</formula>
    </cfRule>
  </conditionalFormatting>
  <conditionalFormatting sqref="AA315">
    <cfRule type="expression" dxfId="4080" priority="12697" stopIfTrue="1">
      <formula>O315="*CANCELADO"</formula>
    </cfRule>
    <cfRule type="expression" dxfId="4079" priority="12698" stopIfTrue="1">
      <formula>O315="*OBSERVAÇÃO"</formula>
    </cfRule>
  </conditionalFormatting>
  <conditionalFormatting sqref="AA317">
    <cfRule type="expression" dxfId="4078" priority="12615" stopIfTrue="1">
      <formula>O317="*CANCELADO"</formula>
    </cfRule>
    <cfRule type="expression" dxfId="4077" priority="12616" stopIfTrue="1">
      <formula>O317="*OBSERVAÇÃO"</formula>
    </cfRule>
  </conditionalFormatting>
  <conditionalFormatting sqref="AA319">
    <cfRule type="expression" dxfId="4076" priority="12451" stopIfTrue="1">
      <formula>O319="*CANCELADO"</formula>
    </cfRule>
    <cfRule type="expression" dxfId="4075" priority="12452" stopIfTrue="1">
      <formula>O319="*OBSERVAÇÃO"</formula>
    </cfRule>
  </conditionalFormatting>
  <conditionalFormatting sqref="AA318">
    <cfRule type="expression" dxfId="4074" priority="12410" stopIfTrue="1">
      <formula>O318="*CANCELADO"</formula>
    </cfRule>
    <cfRule type="expression" dxfId="4073" priority="12411" stopIfTrue="1">
      <formula>O318="*OBSERVAÇÃO"</formula>
    </cfRule>
  </conditionalFormatting>
  <conditionalFormatting sqref="AA321">
    <cfRule type="expression" dxfId="4072" priority="12328" stopIfTrue="1">
      <formula>O321="*CANCELADO"</formula>
    </cfRule>
    <cfRule type="expression" dxfId="4071" priority="12329" stopIfTrue="1">
      <formula>O321="*OBSERVAÇÃO"</formula>
    </cfRule>
  </conditionalFormatting>
  <conditionalFormatting sqref="AA341:AA342">
    <cfRule type="expression" dxfId="4070" priority="12164" stopIfTrue="1">
      <formula>O341="*CANCELADO"</formula>
    </cfRule>
    <cfRule type="expression" dxfId="4069" priority="12165" stopIfTrue="1">
      <formula>O341="*OBSERVAÇÃO"</formula>
    </cfRule>
  </conditionalFormatting>
  <conditionalFormatting sqref="A341:A342">
    <cfRule type="expression" dxfId="4068" priority="12149" stopIfTrue="1">
      <formula>A341=""</formula>
    </cfRule>
    <cfRule type="expression" dxfId="4067" priority="12150" stopIfTrue="1">
      <formula>F341=""</formula>
    </cfRule>
    <cfRule type="expression" dxfId="4066" priority="12151" stopIfTrue="1">
      <formula>AND(F341&lt;&gt;"",S341&lt;&gt;"")</formula>
    </cfRule>
    <cfRule type="expression" dxfId="4065" priority="12152" stopIfTrue="1">
      <formula>F341&lt;&gt;""</formula>
    </cfRule>
  </conditionalFormatting>
  <conditionalFormatting sqref="A341:A342">
    <cfRule type="expression" dxfId="4064" priority="12148" stopIfTrue="1">
      <formula>O341="*CANCELADO"</formula>
    </cfRule>
  </conditionalFormatting>
  <conditionalFormatting sqref="A341:A342">
    <cfRule type="expression" dxfId="4063" priority="12144" stopIfTrue="1">
      <formula>A341=""</formula>
    </cfRule>
    <cfRule type="expression" dxfId="4062" priority="12145" stopIfTrue="1">
      <formula>F341=""</formula>
    </cfRule>
    <cfRule type="expression" dxfId="4061" priority="12146" stopIfTrue="1">
      <formula>AND(F341&lt;&gt;"",S341&lt;&gt;"")</formula>
    </cfRule>
    <cfRule type="expression" dxfId="4060" priority="12147" stopIfTrue="1">
      <formula>F341&lt;&gt;""</formula>
    </cfRule>
  </conditionalFormatting>
  <conditionalFormatting sqref="A341:A342">
    <cfRule type="expression" dxfId="4059" priority="12143" stopIfTrue="1">
      <formula>O341="*OBSERVAÇÃO"</formula>
    </cfRule>
  </conditionalFormatting>
  <conditionalFormatting sqref="A341:A342">
    <cfRule type="expression" dxfId="4058" priority="12142" stopIfTrue="1">
      <formula>AND(F341&lt;&gt;"",S341&lt;&gt;"",Y341&lt;&gt;"")</formula>
    </cfRule>
  </conditionalFormatting>
  <conditionalFormatting sqref="A341:A342">
    <cfRule type="expression" dxfId="4057" priority="12138" stopIfTrue="1">
      <formula>A341=""</formula>
    </cfRule>
    <cfRule type="expression" dxfId="4056" priority="12139" stopIfTrue="1">
      <formula>F341=""</formula>
    </cfRule>
    <cfRule type="expression" dxfId="4055" priority="12140" stopIfTrue="1">
      <formula>AND(F341&lt;&gt;"",S341&lt;&gt;"")</formula>
    </cfRule>
    <cfRule type="expression" dxfId="4054" priority="12141" stopIfTrue="1">
      <formula>F341&lt;&gt;""</formula>
    </cfRule>
  </conditionalFormatting>
  <conditionalFormatting sqref="A341:A342">
    <cfRule type="expression" dxfId="4053" priority="12137" stopIfTrue="1">
      <formula>O341="*CANCELADO"</formula>
    </cfRule>
  </conditionalFormatting>
  <conditionalFormatting sqref="A341:A342">
    <cfRule type="expression" dxfId="4052" priority="12133" stopIfTrue="1">
      <formula>A341=""</formula>
    </cfRule>
    <cfRule type="expression" dxfId="4051" priority="12134" stopIfTrue="1">
      <formula>F341=""</formula>
    </cfRule>
    <cfRule type="expression" dxfId="4050" priority="12135" stopIfTrue="1">
      <formula>AND(F341&lt;&gt;"",S341&lt;&gt;"")</formula>
    </cfRule>
    <cfRule type="expression" dxfId="4049" priority="12136" stopIfTrue="1">
      <formula>F341&lt;&gt;""</formula>
    </cfRule>
  </conditionalFormatting>
  <conditionalFormatting sqref="A341:A342">
    <cfRule type="expression" dxfId="4048" priority="12132" stopIfTrue="1">
      <formula>O341="*OBSERVAÇÃO"</formula>
    </cfRule>
  </conditionalFormatting>
  <conditionalFormatting sqref="A341:A342">
    <cfRule type="expression" dxfId="4047" priority="12128" stopIfTrue="1">
      <formula>A341=""</formula>
    </cfRule>
    <cfRule type="expression" dxfId="4046" priority="12129" stopIfTrue="1">
      <formula>F341=""</formula>
    </cfRule>
    <cfRule type="expression" dxfId="4045" priority="12130" stopIfTrue="1">
      <formula>AND(F341&lt;&gt;"",S341&lt;&gt;"")</formula>
    </cfRule>
    <cfRule type="expression" dxfId="4044" priority="12131" stopIfTrue="1">
      <formula>F341&lt;&gt;""</formula>
    </cfRule>
  </conditionalFormatting>
  <conditionalFormatting sqref="A341:A342">
    <cfRule type="expression" dxfId="4043" priority="12127" stopIfTrue="1">
      <formula>O341="*CANCELADO"</formula>
    </cfRule>
  </conditionalFormatting>
  <conditionalFormatting sqref="A341:A342">
    <cfRule type="expression" dxfId="4042" priority="12126" stopIfTrue="1">
      <formula>O341="*OBSERVAÇÃO"</formula>
    </cfRule>
  </conditionalFormatting>
  <conditionalFormatting sqref="A341:A342">
    <cfRule type="expression" dxfId="4041" priority="12125" stopIfTrue="1">
      <formula>AND(F341&lt;&gt;"",S341&lt;&gt;"",Y341&lt;&gt;"")</formula>
    </cfRule>
  </conditionalFormatting>
  <conditionalFormatting sqref="AA371">
    <cfRule type="expression" dxfId="4040" priority="12000" stopIfTrue="1">
      <formula>O371="*CANCELADO"</formula>
    </cfRule>
    <cfRule type="expression" dxfId="4039" priority="12001" stopIfTrue="1">
      <formula>O371="*OBSERVAÇÃO"</formula>
    </cfRule>
  </conditionalFormatting>
  <conditionalFormatting sqref="AA329">
    <cfRule type="expression" dxfId="4038" priority="11959" stopIfTrue="1">
      <formula>O329="*CANCELADO"</formula>
    </cfRule>
    <cfRule type="expression" dxfId="4037" priority="11960" stopIfTrue="1">
      <formula>O329="*OBSERVAÇÃO"</formula>
    </cfRule>
  </conditionalFormatting>
  <conditionalFormatting sqref="AA323">
    <cfRule type="expression" dxfId="4036" priority="11918" stopIfTrue="1">
      <formula>O323="*CANCELADO"</formula>
    </cfRule>
    <cfRule type="expression" dxfId="4035" priority="11919" stopIfTrue="1">
      <formula>O323="*OBSERVAÇÃO"</formula>
    </cfRule>
  </conditionalFormatting>
  <conditionalFormatting sqref="AA322">
    <cfRule type="expression" dxfId="4034" priority="11877" stopIfTrue="1">
      <formula>O322="*CANCELADO"</formula>
    </cfRule>
    <cfRule type="expression" dxfId="4033" priority="11878" stopIfTrue="1">
      <formula>O322="*OBSERVAÇÃO"</formula>
    </cfRule>
  </conditionalFormatting>
  <conditionalFormatting sqref="AA325">
    <cfRule type="expression" dxfId="4032" priority="11836" stopIfTrue="1">
      <formula>O325="*CANCELADO"</formula>
    </cfRule>
    <cfRule type="expression" dxfId="4031" priority="11837" stopIfTrue="1">
      <formula>O325="*OBSERVAÇÃO"</formula>
    </cfRule>
  </conditionalFormatting>
  <conditionalFormatting sqref="AA324">
    <cfRule type="expression" dxfId="4030" priority="11795" stopIfTrue="1">
      <formula>O324="*CANCELADO"</formula>
    </cfRule>
    <cfRule type="expression" dxfId="4029" priority="11796" stopIfTrue="1">
      <formula>O324="*OBSERVAÇÃO"</formula>
    </cfRule>
  </conditionalFormatting>
  <conditionalFormatting sqref="AA327">
    <cfRule type="expression" dxfId="4028" priority="11754" stopIfTrue="1">
      <formula>O327="*CANCELADO"</formula>
    </cfRule>
    <cfRule type="expression" dxfId="4027" priority="11755" stopIfTrue="1">
      <formula>O327="*OBSERVAÇÃO"</formula>
    </cfRule>
  </conditionalFormatting>
  <conditionalFormatting sqref="AA326">
    <cfRule type="expression" dxfId="4026" priority="11713" stopIfTrue="1">
      <formula>O326="*CANCELADO"</formula>
    </cfRule>
    <cfRule type="expression" dxfId="4025" priority="11714" stopIfTrue="1">
      <formula>O326="*OBSERVAÇÃO"</formula>
    </cfRule>
  </conditionalFormatting>
  <conditionalFormatting sqref="AA328">
    <cfRule type="expression" dxfId="4024" priority="11672" stopIfTrue="1">
      <formula>O328="*CANCELADO"</formula>
    </cfRule>
    <cfRule type="expression" dxfId="4023" priority="11673" stopIfTrue="1">
      <formula>O328="*OBSERVAÇÃO"</formula>
    </cfRule>
  </conditionalFormatting>
  <conditionalFormatting sqref="AA331">
    <cfRule type="expression" dxfId="4022" priority="11631" stopIfTrue="1">
      <formula>O331="*CANCELADO"</formula>
    </cfRule>
    <cfRule type="expression" dxfId="4021" priority="11632" stopIfTrue="1">
      <formula>O331="*OBSERVAÇÃO"</formula>
    </cfRule>
  </conditionalFormatting>
  <conditionalFormatting sqref="AA330">
    <cfRule type="expression" dxfId="4020" priority="11590" stopIfTrue="1">
      <formula>O330="*CANCELADO"</formula>
    </cfRule>
    <cfRule type="expression" dxfId="4019" priority="11591" stopIfTrue="1">
      <formula>O330="*OBSERVAÇÃO"</formula>
    </cfRule>
  </conditionalFormatting>
  <conditionalFormatting sqref="AA332">
    <cfRule type="expression" dxfId="4018" priority="11508" stopIfTrue="1">
      <formula>O332="*CANCELADO"</formula>
    </cfRule>
    <cfRule type="expression" dxfId="4017" priority="11509" stopIfTrue="1">
      <formula>O332="*OBSERVAÇÃO"</formula>
    </cfRule>
  </conditionalFormatting>
  <conditionalFormatting sqref="AA334">
    <cfRule type="expression" dxfId="4016" priority="11467" stopIfTrue="1">
      <formula>O334="*CANCELADO"</formula>
    </cfRule>
    <cfRule type="expression" dxfId="4015" priority="11468" stopIfTrue="1">
      <formula>O334="*OBSERVAÇÃO"</formula>
    </cfRule>
  </conditionalFormatting>
  <conditionalFormatting sqref="AA333">
    <cfRule type="expression" dxfId="4014" priority="11426" stopIfTrue="1">
      <formula>O333="*CANCELADO"</formula>
    </cfRule>
    <cfRule type="expression" dxfId="4013" priority="11427" stopIfTrue="1">
      <formula>O333="*OBSERVAÇÃO"</formula>
    </cfRule>
  </conditionalFormatting>
  <conditionalFormatting sqref="AA336">
    <cfRule type="expression" dxfId="4012" priority="11385" stopIfTrue="1">
      <formula>O336="*CANCELADO"</formula>
    </cfRule>
    <cfRule type="expression" dxfId="4011" priority="11386" stopIfTrue="1">
      <formula>O336="*OBSERVAÇÃO"</formula>
    </cfRule>
  </conditionalFormatting>
  <conditionalFormatting sqref="AA335">
    <cfRule type="expression" dxfId="4010" priority="11344" stopIfTrue="1">
      <formula>O335="*CANCELADO"</formula>
    </cfRule>
    <cfRule type="expression" dxfId="4009" priority="11345" stopIfTrue="1">
      <formula>O335="*OBSERVAÇÃO"</formula>
    </cfRule>
  </conditionalFormatting>
  <conditionalFormatting sqref="AA337">
    <cfRule type="expression" dxfId="4008" priority="11303" stopIfTrue="1">
      <formula>O337="*CANCELADO"</formula>
    </cfRule>
    <cfRule type="expression" dxfId="4007" priority="11304" stopIfTrue="1">
      <formula>O337="*OBSERVAÇÃO"</formula>
    </cfRule>
  </conditionalFormatting>
  <conditionalFormatting sqref="AA338">
    <cfRule type="expression" dxfId="4006" priority="11262" stopIfTrue="1">
      <formula>O338="*CANCELADO"</formula>
    </cfRule>
    <cfRule type="expression" dxfId="4005" priority="11263" stopIfTrue="1">
      <formula>O338="*OBSERVAÇÃO"</formula>
    </cfRule>
  </conditionalFormatting>
  <conditionalFormatting sqref="AA339">
    <cfRule type="expression" dxfId="4004" priority="11180" stopIfTrue="1">
      <formula>O339="*CANCELADO"</formula>
    </cfRule>
    <cfRule type="expression" dxfId="4003" priority="11181" stopIfTrue="1">
      <formula>O339="*OBSERVAÇÃO"</formula>
    </cfRule>
  </conditionalFormatting>
  <conditionalFormatting sqref="AA340">
    <cfRule type="expression" dxfId="4002" priority="11098" stopIfTrue="1">
      <formula>O340="*CANCELADO"</formula>
    </cfRule>
    <cfRule type="expression" dxfId="4001" priority="11099" stopIfTrue="1">
      <formula>O340="*OBSERVAÇÃO"</formula>
    </cfRule>
  </conditionalFormatting>
  <conditionalFormatting sqref="AA350">
    <cfRule type="expression" dxfId="4000" priority="10738" stopIfTrue="1">
      <formula>O350="*CANCELADO"</formula>
    </cfRule>
    <cfRule type="expression" dxfId="3999" priority="10739" stopIfTrue="1">
      <formula>O350="*OBSERVAÇÃO"</formula>
    </cfRule>
  </conditionalFormatting>
  <conditionalFormatting sqref="A350">
    <cfRule type="expression" dxfId="3998" priority="10723" stopIfTrue="1">
      <formula>A350=""</formula>
    </cfRule>
    <cfRule type="expression" dxfId="3997" priority="10724" stopIfTrue="1">
      <formula>F350=""</formula>
    </cfRule>
    <cfRule type="expression" dxfId="3996" priority="10725" stopIfTrue="1">
      <formula>AND(F350&lt;&gt;"",S350&lt;&gt;"")</formula>
    </cfRule>
    <cfRule type="expression" dxfId="3995" priority="10726" stopIfTrue="1">
      <formula>F350&lt;&gt;""</formula>
    </cfRule>
  </conditionalFormatting>
  <conditionalFormatting sqref="A350">
    <cfRule type="expression" dxfId="3994" priority="10722" stopIfTrue="1">
      <formula>O350="*CANCELADO"</formula>
    </cfRule>
  </conditionalFormatting>
  <conditionalFormatting sqref="A350">
    <cfRule type="expression" dxfId="3993" priority="10718" stopIfTrue="1">
      <formula>A350=""</formula>
    </cfRule>
    <cfRule type="expression" dxfId="3992" priority="10719" stopIfTrue="1">
      <formula>F350=""</formula>
    </cfRule>
    <cfRule type="expression" dxfId="3991" priority="10720" stopIfTrue="1">
      <formula>AND(F350&lt;&gt;"",S350&lt;&gt;"")</formula>
    </cfRule>
    <cfRule type="expression" dxfId="3990" priority="10721" stopIfTrue="1">
      <formula>F350&lt;&gt;""</formula>
    </cfRule>
  </conditionalFormatting>
  <conditionalFormatting sqref="A350">
    <cfRule type="expression" dxfId="3989" priority="10717" stopIfTrue="1">
      <formula>O350="*OBSERVAÇÃO"</formula>
    </cfRule>
  </conditionalFormatting>
  <conditionalFormatting sqref="A350">
    <cfRule type="expression" dxfId="3988" priority="10716" stopIfTrue="1">
      <formula>AND(F350&lt;&gt;"",S350&lt;&gt;"",Y350&lt;&gt;"")</formula>
    </cfRule>
  </conditionalFormatting>
  <conditionalFormatting sqref="A350">
    <cfRule type="expression" dxfId="3987" priority="10712" stopIfTrue="1">
      <formula>A350=""</formula>
    </cfRule>
    <cfRule type="expression" dxfId="3986" priority="10713" stopIfTrue="1">
      <formula>F350=""</formula>
    </cfRule>
    <cfRule type="expression" dxfId="3985" priority="10714" stopIfTrue="1">
      <formula>AND(F350&lt;&gt;"",S350&lt;&gt;"")</formula>
    </cfRule>
    <cfRule type="expression" dxfId="3984" priority="10715" stopIfTrue="1">
      <formula>F350&lt;&gt;""</formula>
    </cfRule>
  </conditionalFormatting>
  <conditionalFormatting sqref="A350">
    <cfRule type="expression" dxfId="3983" priority="10711" stopIfTrue="1">
      <formula>O350="*CANCELADO"</formula>
    </cfRule>
  </conditionalFormatting>
  <conditionalFormatting sqref="A350">
    <cfRule type="expression" dxfId="3982" priority="10707" stopIfTrue="1">
      <formula>A350=""</formula>
    </cfRule>
    <cfRule type="expression" dxfId="3981" priority="10708" stopIfTrue="1">
      <formula>F350=""</formula>
    </cfRule>
    <cfRule type="expression" dxfId="3980" priority="10709" stopIfTrue="1">
      <formula>AND(F350&lt;&gt;"",S350&lt;&gt;"")</formula>
    </cfRule>
    <cfRule type="expression" dxfId="3979" priority="10710" stopIfTrue="1">
      <formula>F350&lt;&gt;""</formula>
    </cfRule>
  </conditionalFormatting>
  <conditionalFormatting sqref="A350">
    <cfRule type="expression" dxfId="3978" priority="10706" stopIfTrue="1">
      <formula>O350="*OBSERVAÇÃO"</formula>
    </cfRule>
  </conditionalFormatting>
  <conditionalFormatting sqref="A350">
    <cfRule type="expression" dxfId="3977" priority="10702" stopIfTrue="1">
      <formula>A350=""</formula>
    </cfRule>
    <cfRule type="expression" dxfId="3976" priority="10703" stopIfTrue="1">
      <formula>F350=""</formula>
    </cfRule>
    <cfRule type="expression" dxfId="3975" priority="10704" stopIfTrue="1">
      <formula>AND(F350&lt;&gt;"",S350&lt;&gt;"")</formula>
    </cfRule>
    <cfRule type="expression" dxfId="3974" priority="10705" stopIfTrue="1">
      <formula>F350&lt;&gt;""</formula>
    </cfRule>
  </conditionalFormatting>
  <conditionalFormatting sqref="A350">
    <cfRule type="expression" dxfId="3973" priority="10701" stopIfTrue="1">
      <formula>O350="*CANCELADO"</formula>
    </cfRule>
  </conditionalFormatting>
  <conditionalFormatting sqref="A350">
    <cfRule type="expression" dxfId="3972" priority="10700" stopIfTrue="1">
      <formula>O350="*OBSERVAÇÃO"</formula>
    </cfRule>
  </conditionalFormatting>
  <conditionalFormatting sqref="A350">
    <cfRule type="expression" dxfId="3971" priority="10699" stopIfTrue="1">
      <formula>AND(F350&lt;&gt;"",S350&lt;&gt;"",Y350&lt;&gt;"")</formula>
    </cfRule>
  </conditionalFormatting>
  <conditionalFormatting sqref="AA370">
    <cfRule type="expression" dxfId="3970" priority="10656" stopIfTrue="1">
      <formula>O370="*CANCELADO"</formula>
    </cfRule>
    <cfRule type="expression" dxfId="3969" priority="10657" stopIfTrue="1">
      <formula>O370="*OBSERVAÇÃO"</formula>
    </cfRule>
  </conditionalFormatting>
  <conditionalFormatting sqref="AA351">
    <cfRule type="expression" dxfId="3968" priority="10615" stopIfTrue="1">
      <formula>O351="*CANCELADO"</formula>
    </cfRule>
    <cfRule type="expression" dxfId="3967" priority="10616" stopIfTrue="1">
      <formula>O351="*OBSERVAÇÃO"</formula>
    </cfRule>
  </conditionalFormatting>
  <conditionalFormatting sqref="AA348">
    <cfRule type="expression" dxfId="3966" priority="10492" stopIfTrue="1">
      <formula>O348="*CANCELADO"</formula>
    </cfRule>
    <cfRule type="expression" dxfId="3965" priority="10493" stopIfTrue="1">
      <formula>O348="*OBSERVAÇÃO"</formula>
    </cfRule>
  </conditionalFormatting>
  <conditionalFormatting sqref="A348">
    <cfRule type="expression" dxfId="3964" priority="10477" stopIfTrue="1">
      <formula>A348=""</formula>
    </cfRule>
    <cfRule type="expression" dxfId="3963" priority="10478" stopIfTrue="1">
      <formula>F348=""</formula>
    </cfRule>
    <cfRule type="expression" dxfId="3962" priority="10479" stopIfTrue="1">
      <formula>AND(F348&lt;&gt;"",S348&lt;&gt;"")</formula>
    </cfRule>
    <cfRule type="expression" dxfId="3961" priority="10480" stopIfTrue="1">
      <formula>F348&lt;&gt;""</formula>
    </cfRule>
  </conditionalFormatting>
  <conditionalFormatting sqref="A348">
    <cfRule type="expression" dxfId="3960" priority="10476" stopIfTrue="1">
      <formula>O348="*CANCELADO"</formula>
    </cfRule>
  </conditionalFormatting>
  <conditionalFormatting sqref="A348">
    <cfRule type="expression" dxfId="3959" priority="10472" stopIfTrue="1">
      <formula>A348=""</formula>
    </cfRule>
    <cfRule type="expression" dxfId="3958" priority="10473" stopIfTrue="1">
      <formula>F348=""</formula>
    </cfRule>
    <cfRule type="expression" dxfId="3957" priority="10474" stopIfTrue="1">
      <formula>AND(F348&lt;&gt;"",S348&lt;&gt;"")</formula>
    </cfRule>
    <cfRule type="expression" dxfId="3956" priority="10475" stopIfTrue="1">
      <formula>F348&lt;&gt;""</formula>
    </cfRule>
  </conditionalFormatting>
  <conditionalFormatting sqref="A348">
    <cfRule type="expression" dxfId="3955" priority="10471" stopIfTrue="1">
      <formula>O348="*OBSERVAÇÃO"</formula>
    </cfRule>
  </conditionalFormatting>
  <conditionalFormatting sqref="A348">
    <cfRule type="expression" dxfId="3954" priority="10470" stopIfTrue="1">
      <formula>AND(F348&lt;&gt;"",S348&lt;&gt;"",Y348&lt;&gt;"")</formula>
    </cfRule>
  </conditionalFormatting>
  <conditionalFormatting sqref="A348">
    <cfRule type="expression" dxfId="3953" priority="10466" stopIfTrue="1">
      <formula>A348=""</formula>
    </cfRule>
    <cfRule type="expression" dxfId="3952" priority="10467" stopIfTrue="1">
      <formula>F348=""</formula>
    </cfRule>
    <cfRule type="expression" dxfId="3951" priority="10468" stopIfTrue="1">
      <formula>AND(F348&lt;&gt;"",S348&lt;&gt;"")</formula>
    </cfRule>
    <cfRule type="expression" dxfId="3950" priority="10469" stopIfTrue="1">
      <formula>F348&lt;&gt;""</formula>
    </cfRule>
  </conditionalFormatting>
  <conditionalFormatting sqref="A348">
    <cfRule type="expression" dxfId="3949" priority="10465" stopIfTrue="1">
      <formula>O348="*CANCELADO"</formula>
    </cfRule>
  </conditionalFormatting>
  <conditionalFormatting sqref="A348">
    <cfRule type="expression" dxfId="3948" priority="10461" stopIfTrue="1">
      <formula>A348=""</formula>
    </cfRule>
    <cfRule type="expression" dxfId="3947" priority="10462" stopIfTrue="1">
      <formula>F348=""</formula>
    </cfRule>
    <cfRule type="expression" dxfId="3946" priority="10463" stopIfTrue="1">
      <formula>AND(F348&lt;&gt;"",S348&lt;&gt;"")</formula>
    </cfRule>
    <cfRule type="expression" dxfId="3945" priority="10464" stopIfTrue="1">
      <formula>F348&lt;&gt;""</formula>
    </cfRule>
  </conditionalFormatting>
  <conditionalFormatting sqref="A348">
    <cfRule type="expression" dxfId="3944" priority="10460" stopIfTrue="1">
      <formula>O348="*OBSERVAÇÃO"</formula>
    </cfRule>
  </conditionalFormatting>
  <conditionalFormatting sqref="A348">
    <cfRule type="expression" dxfId="3943" priority="10456" stopIfTrue="1">
      <formula>A348=""</formula>
    </cfRule>
    <cfRule type="expression" dxfId="3942" priority="10457" stopIfTrue="1">
      <formula>F348=""</formula>
    </cfRule>
    <cfRule type="expression" dxfId="3941" priority="10458" stopIfTrue="1">
      <formula>AND(F348&lt;&gt;"",S348&lt;&gt;"")</formula>
    </cfRule>
    <cfRule type="expression" dxfId="3940" priority="10459" stopIfTrue="1">
      <formula>F348&lt;&gt;""</formula>
    </cfRule>
  </conditionalFormatting>
  <conditionalFormatting sqref="A348">
    <cfRule type="expression" dxfId="3939" priority="10455" stopIfTrue="1">
      <formula>O348="*CANCELADO"</formula>
    </cfRule>
  </conditionalFormatting>
  <conditionalFormatting sqref="A348">
    <cfRule type="expression" dxfId="3938" priority="10454" stopIfTrue="1">
      <formula>O348="*OBSERVAÇÃO"</formula>
    </cfRule>
  </conditionalFormatting>
  <conditionalFormatting sqref="A348">
    <cfRule type="expression" dxfId="3937" priority="10453" stopIfTrue="1">
      <formula>AND(F348&lt;&gt;"",S348&lt;&gt;"",Y348&lt;&gt;"")</formula>
    </cfRule>
  </conditionalFormatting>
  <conditionalFormatting sqref="AA343">
    <cfRule type="expression" dxfId="3936" priority="10451" stopIfTrue="1">
      <formula>O343="*CANCELADO"</formula>
    </cfRule>
    <cfRule type="expression" dxfId="3935" priority="10452" stopIfTrue="1">
      <formula>O343="*OBSERVAÇÃO"</formula>
    </cfRule>
  </conditionalFormatting>
  <conditionalFormatting sqref="AA345">
    <cfRule type="expression" dxfId="3934" priority="10410" stopIfTrue="1">
      <formula>O345="*CANCELADO"</formula>
    </cfRule>
    <cfRule type="expression" dxfId="3933" priority="10411" stopIfTrue="1">
      <formula>O345="*OBSERVAÇÃO"</formula>
    </cfRule>
  </conditionalFormatting>
  <conditionalFormatting sqref="A345">
    <cfRule type="expression" dxfId="3932" priority="10395" stopIfTrue="1">
      <formula>A345=""</formula>
    </cfRule>
    <cfRule type="expression" dxfId="3931" priority="10396" stopIfTrue="1">
      <formula>F345=""</formula>
    </cfRule>
    <cfRule type="expression" dxfId="3930" priority="10397" stopIfTrue="1">
      <formula>AND(F345&lt;&gt;"",S345&lt;&gt;"")</formula>
    </cfRule>
    <cfRule type="expression" dxfId="3929" priority="10398" stopIfTrue="1">
      <formula>F345&lt;&gt;""</formula>
    </cfRule>
  </conditionalFormatting>
  <conditionalFormatting sqref="A345">
    <cfRule type="expression" dxfId="3928" priority="10394" stopIfTrue="1">
      <formula>O345="*CANCELADO"</formula>
    </cfRule>
  </conditionalFormatting>
  <conditionalFormatting sqref="A345">
    <cfRule type="expression" dxfId="3927" priority="10390" stopIfTrue="1">
      <formula>A345=""</formula>
    </cfRule>
    <cfRule type="expression" dxfId="3926" priority="10391" stopIfTrue="1">
      <formula>F345=""</formula>
    </cfRule>
    <cfRule type="expression" dxfId="3925" priority="10392" stopIfTrue="1">
      <formula>AND(F345&lt;&gt;"",S345&lt;&gt;"")</formula>
    </cfRule>
    <cfRule type="expression" dxfId="3924" priority="10393" stopIfTrue="1">
      <formula>F345&lt;&gt;""</formula>
    </cfRule>
  </conditionalFormatting>
  <conditionalFormatting sqref="A345">
    <cfRule type="expression" dxfId="3923" priority="10389" stopIfTrue="1">
      <formula>O345="*OBSERVAÇÃO"</formula>
    </cfRule>
  </conditionalFormatting>
  <conditionalFormatting sqref="A345">
    <cfRule type="expression" dxfId="3922" priority="10388" stopIfTrue="1">
      <formula>AND(F345&lt;&gt;"",S345&lt;&gt;"",Y345&lt;&gt;"")</formula>
    </cfRule>
  </conditionalFormatting>
  <conditionalFormatting sqref="A345">
    <cfRule type="expression" dxfId="3921" priority="10384" stopIfTrue="1">
      <formula>A345=""</formula>
    </cfRule>
    <cfRule type="expression" dxfId="3920" priority="10385" stopIfTrue="1">
      <formula>F345=""</formula>
    </cfRule>
    <cfRule type="expression" dxfId="3919" priority="10386" stopIfTrue="1">
      <formula>AND(F345&lt;&gt;"",S345&lt;&gt;"")</formula>
    </cfRule>
    <cfRule type="expression" dxfId="3918" priority="10387" stopIfTrue="1">
      <formula>F345&lt;&gt;""</formula>
    </cfRule>
  </conditionalFormatting>
  <conditionalFormatting sqref="A345">
    <cfRule type="expression" dxfId="3917" priority="10383" stopIfTrue="1">
      <formula>O345="*CANCELADO"</formula>
    </cfRule>
  </conditionalFormatting>
  <conditionalFormatting sqref="A345">
    <cfRule type="expression" dxfId="3916" priority="10379" stopIfTrue="1">
      <formula>A345=""</formula>
    </cfRule>
    <cfRule type="expression" dxfId="3915" priority="10380" stopIfTrue="1">
      <formula>F345=""</formula>
    </cfRule>
    <cfRule type="expression" dxfId="3914" priority="10381" stopIfTrue="1">
      <formula>AND(F345&lt;&gt;"",S345&lt;&gt;"")</formula>
    </cfRule>
    <cfRule type="expression" dxfId="3913" priority="10382" stopIfTrue="1">
      <formula>F345&lt;&gt;""</formula>
    </cfRule>
  </conditionalFormatting>
  <conditionalFormatting sqref="A345">
    <cfRule type="expression" dxfId="3912" priority="10378" stopIfTrue="1">
      <formula>O345="*OBSERVAÇÃO"</formula>
    </cfRule>
  </conditionalFormatting>
  <conditionalFormatting sqref="A345">
    <cfRule type="expression" dxfId="3911" priority="10374" stopIfTrue="1">
      <formula>A345=""</formula>
    </cfRule>
    <cfRule type="expression" dxfId="3910" priority="10375" stopIfTrue="1">
      <formula>F345=""</formula>
    </cfRule>
    <cfRule type="expression" dxfId="3909" priority="10376" stopIfTrue="1">
      <formula>AND(F345&lt;&gt;"",S345&lt;&gt;"")</formula>
    </cfRule>
    <cfRule type="expression" dxfId="3908" priority="10377" stopIfTrue="1">
      <formula>F345&lt;&gt;""</formula>
    </cfRule>
  </conditionalFormatting>
  <conditionalFormatting sqref="A345">
    <cfRule type="expression" dxfId="3907" priority="10373" stopIfTrue="1">
      <formula>O345="*CANCELADO"</formula>
    </cfRule>
  </conditionalFormatting>
  <conditionalFormatting sqref="A345">
    <cfRule type="expression" dxfId="3906" priority="10372" stopIfTrue="1">
      <formula>O345="*OBSERVAÇÃO"</formula>
    </cfRule>
  </conditionalFormatting>
  <conditionalFormatting sqref="A345">
    <cfRule type="expression" dxfId="3905" priority="10371" stopIfTrue="1">
      <formula>AND(F345&lt;&gt;"",S345&lt;&gt;"",Y345&lt;&gt;"")</formula>
    </cfRule>
  </conditionalFormatting>
  <conditionalFormatting sqref="AA344">
    <cfRule type="expression" dxfId="3904" priority="10369" stopIfTrue="1">
      <formula>O344="*CANCELADO"</formula>
    </cfRule>
    <cfRule type="expression" dxfId="3903" priority="10370" stopIfTrue="1">
      <formula>O344="*OBSERVAÇÃO"</formula>
    </cfRule>
  </conditionalFormatting>
  <conditionalFormatting sqref="AA347">
    <cfRule type="expression" dxfId="3902" priority="10328" stopIfTrue="1">
      <formula>O347="*CANCELADO"</formula>
    </cfRule>
    <cfRule type="expression" dxfId="3901" priority="10329" stopIfTrue="1">
      <formula>O347="*OBSERVAÇÃO"</formula>
    </cfRule>
  </conditionalFormatting>
  <conditionalFormatting sqref="A347">
    <cfRule type="expression" dxfId="3900" priority="10313" stopIfTrue="1">
      <formula>A347=""</formula>
    </cfRule>
    <cfRule type="expression" dxfId="3899" priority="10314" stopIfTrue="1">
      <formula>F347=""</formula>
    </cfRule>
    <cfRule type="expression" dxfId="3898" priority="10315" stopIfTrue="1">
      <formula>AND(F347&lt;&gt;"",S347&lt;&gt;"")</formula>
    </cfRule>
    <cfRule type="expression" dxfId="3897" priority="10316" stopIfTrue="1">
      <formula>F347&lt;&gt;""</formula>
    </cfRule>
  </conditionalFormatting>
  <conditionalFormatting sqref="A347">
    <cfRule type="expression" dxfId="3896" priority="10312" stopIfTrue="1">
      <formula>O347="*CANCELADO"</formula>
    </cfRule>
  </conditionalFormatting>
  <conditionalFormatting sqref="A347">
    <cfRule type="expression" dxfId="3895" priority="10308" stopIfTrue="1">
      <formula>A347=""</formula>
    </cfRule>
    <cfRule type="expression" dxfId="3894" priority="10309" stopIfTrue="1">
      <formula>F347=""</formula>
    </cfRule>
    <cfRule type="expression" dxfId="3893" priority="10310" stopIfTrue="1">
      <formula>AND(F347&lt;&gt;"",S347&lt;&gt;"")</formula>
    </cfRule>
    <cfRule type="expression" dxfId="3892" priority="10311" stopIfTrue="1">
      <formula>F347&lt;&gt;""</formula>
    </cfRule>
  </conditionalFormatting>
  <conditionalFormatting sqref="A347">
    <cfRule type="expression" dxfId="3891" priority="10307" stopIfTrue="1">
      <formula>O347="*OBSERVAÇÃO"</formula>
    </cfRule>
  </conditionalFormatting>
  <conditionalFormatting sqref="A347">
    <cfRule type="expression" dxfId="3890" priority="10306" stopIfTrue="1">
      <formula>AND(F347&lt;&gt;"",S347&lt;&gt;"",Y347&lt;&gt;"")</formula>
    </cfRule>
  </conditionalFormatting>
  <conditionalFormatting sqref="A347">
    <cfRule type="expression" dxfId="3889" priority="10302" stopIfTrue="1">
      <formula>A347=""</formula>
    </cfRule>
    <cfRule type="expression" dxfId="3888" priority="10303" stopIfTrue="1">
      <formula>F347=""</formula>
    </cfRule>
    <cfRule type="expression" dxfId="3887" priority="10304" stopIfTrue="1">
      <formula>AND(F347&lt;&gt;"",S347&lt;&gt;"")</formula>
    </cfRule>
    <cfRule type="expression" dxfId="3886" priority="10305" stopIfTrue="1">
      <formula>F347&lt;&gt;""</formula>
    </cfRule>
  </conditionalFormatting>
  <conditionalFormatting sqref="A347">
    <cfRule type="expression" dxfId="3885" priority="10301" stopIfTrue="1">
      <formula>O347="*CANCELADO"</formula>
    </cfRule>
  </conditionalFormatting>
  <conditionalFormatting sqref="A347">
    <cfRule type="expression" dxfId="3884" priority="10297" stopIfTrue="1">
      <formula>A347=""</formula>
    </cfRule>
    <cfRule type="expression" dxfId="3883" priority="10298" stopIfTrue="1">
      <formula>F347=""</formula>
    </cfRule>
    <cfRule type="expression" dxfId="3882" priority="10299" stopIfTrue="1">
      <formula>AND(F347&lt;&gt;"",S347&lt;&gt;"")</formula>
    </cfRule>
    <cfRule type="expression" dxfId="3881" priority="10300" stopIfTrue="1">
      <formula>F347&lt;&gt;""</formula>
    </cfRule>
  </conditionalFormatting>
  <conditionalFormatting sqref="A347">
    <cfRule type="expression" dxfId="3880" priority="10296" stopIfTrue="1">
      <formula>O347="*OBSERVAÇÃO"</formula>
    </cfRule>
  </conditionalFormatting>
  <conditionalFormatting sqref="A347">
    <cfRule type="expression" dxfId="3879" priority="10292" stopIfTrue="1">
      <formula>A347=""</formula>
    </cfRule>
    <cfRule type="expression" dxfId="3878" priority="10293" stopIfTrue="1">
      <formula>F347=""</formula>
    </cfRule>
    <cfRule type="expression" dxfId="3877" priority="10294" stopIfTrue="1">
      <formula>AND(F347&lt;&gt;"",S347&lt;&gt;"")</formula>
    </cfRule>
    <cfRule type="expression" dxfId="3876" priority="10295" stopIfTrue="1">
      <formula>F347&lt;&gt;""</formula>
    </cfRule>
  </conditionalFormatting>
  <conditionalFormatting sqref="A347">
    <cfRule type="expression" dxfId="3875" priority="10291" stopIfTrue="1">
      <formula>O347="*CANCELADO"</formula>
    </cfRule>
  </conditionalFormatting>
  <conditionalFormatting sqref="A347">
    <cfRule type="expression" dxfId="3874" priority="10290" stopIfTrue="1">
      <formula>O347="*OBSERVAÇÃO"</formula>
    </cfRule>
  </conditionalFormatting>
  <conditionalFormatting sqref="A347">
    <cfRule type="expression" dxfId="3873" priority="10289" stopIfTrue="1">
      <formula>AND(F347&lt;&gt;"",S347&lt;&gt;"",Y347&lt;&gt;"")</formula>
    </cfRule>
  </conditionalFormatting>
  <conditionalFormatting sqref="AA346">
    <cfRule type="expression" dxfId="3872" priority="10287" stopIfTrue="1">
      <formula>O346="*CANCELADO"</formula>
    </cfRule>
    <cfRule type="expression" dxfId="3871" priority="10288" stopIfTrue="1">
      <formula>O346="*OBSERVAÇÃO"</formula>
    </cfRule>
  </conditionalFormatting>
  <conditionalFormatting sqref="A346">
    <cfRule type="expression" dxfId="3870" priority="10272" stopIfTrue="1">
      <formula>A346=""</formula>
    </cfRule>
    <cfRule type="expression" dxfId="3869" priority="10273" stopIfTrue="1">
      <formula>F346=""</formula>
    </cfRule>
    <cfRule type="expression" dxfId="3868" priority="10274" stopIfTrue="1">
      <formula>AND(F346&lt;&gt;"",S346&lt;&gt;"")</formula>
    </cfRule>
    <cfRule type="expression" dxfId="3867" priority="10275" stopIfTrue="1">
      <formula>F346&lt;&gt;""</formula>
    </cfRule>
  </conditionalFormatting>
  <conditionalFormatting sqref="A346">
    <cfRule type="expression" dxfId="3866" priority="10271" stopIfTrue="1">
      <formula>O346="*CANCELADO"</formula>
    </cfRule>
  </conditionalFormatting>
  <conditionalFormatting sqref="A346">
    <cfRule type="expression" dxfId="3865" priority="10267" stopIfTrue="1">
      <formula>A346=""</formula>
    </cfRule>
    <cfRule type="expression" dxfId="3864" priority="10268" stopIfTrue="1">
      <formula>F346=""</formula>
    </cfRule>
    <cfRule type="expression" dxfId="3863" priority="10269" stopIfTrue="1">
      <formula>AND(F346&lt;&gt;"",S346&lt;&gt;"")</formula>
    </cfRule>
    <cfRule type="expression" dxfId="3862" priority="10270" stopIfTrue="1">
      <formula>F346&lt;&gt;""</formula>
    </cfRule>
  </conditionalFormatting>
  <conditionalFormatting sqref="A346">
    <cfRule type="expression" dxfId="3861" priority="10266" stopIfTrue="1">
      <formula>O346="*OBSERVAÇÃO"</formula>
    </cfRule>
  </conditionalFormatting>
  <conditionalFormatting sqref="A346">
    <cfRule type="expression" dxfId="3860" priority="10265" stopIfTrue="1">
      <formula>AND(F346&lt;&gt;"",S346&lt;&gt;"",Y346&lt;&gt;"")</formula>
    </cfRule>
  </conditionalFormatting>
  <conditionalFormatting sqref="A346">
    <cfRule type="expression" dxfId="3859" priority="10261" stopIfTrue="1">
      <formula>A346=""</formula>
    </cfRule>
    <cfRule type="expression" dxfId="3858" priority="10262" stopIfTrue="1">
      <formula>F346=""</formula>
    </cfRule>
    <cfRule type="expression" dxfId="3857" priority="10263" stopIfTrue="1">
      <formula>AND(F346&lt;&gt;"",S346&lt;&gt;"")</formula>
    </cfRule>
    <cfRule type="expression" dxfId="3856" priority="10264" stopIfTrue="1">
      <formula>F346&lt;&gt;""</formula>
    </cfRule>
  </conditionalFormatting>
  <conditionalFormatting sqref="A346">
    <cfRule type="expression" dxfId="3855" priority="10260" stopIfTrue="1">
      <formula>O346="*CANCELADO"</formula>
    </cfRule>
  </conditionalFormatting>
  <conditionalFormatting sqref="A346">
    <cfRule type="expression" dxfId="3854" priority="10256" stopIfTrue="1">
      <formula>A346=""</formula>
    </cfRule>
    <cfRule type="expression" dxfId="3853" priority="10257" stopIfTrue="1">
      <formula>F346=""</formula>
    </cfRule>
    <cfRule type="expression" dxfId="3852" priority="10258" stopIfTrue="1">
      <formula>AND(F346&lt;&gt;"",S346&lt;&gt;"")</formula>
    </cfRule>
    <cfRule type="expression" dxfId="3851" priority="10259" stopIfTrue="1">
      <formula>F346&lt;&gt;""</formula>
    </cfRule>
  </conditionalFormatting>
  <conditionalFormatting sqref="A346">
    <cfRule type="expression" dxfId="3850" priority="10255" stopIfTrue="1">
      <formula>O346="*OBSERVAÇÃO"</formula>
    </cfRule>
  </conditionalFormatting>
  <conditionalFormatting sqref="A346">
    <cfRule type="expression" dxfId="3849" priority="10251" stopIfTrue="1">
      <formula>A346=""</formula>
    </cfRule>
    <cfRule type="expression" dxfId="3848" priority="10252" stopIfTrue="1">
      <formula>F346=""</formula>
    </cfRule>
    <cfRule type="expression" dxfId="3847" priority="10253" stopIfTrue="1">
      <formula>AND(F346&lt;&gt;"",S346&lt;&gt;"")</formula>
    </cfRule>
    <cfRule type="expression" dxfId="3846" priority="10254" stopIfTrue="1">
      <formula>F346&lt;&gt;""</formula>
    </cfRule>
  </conditionalFormatting>
  <conditionalFormatting sqref="A346">
    <cfRule type="expression" dxfId="3845" priority="10250" stopIfTrue="1">
      <formula>O346="*CANCELADO"</formula>
    </cfRule>
  </conditionalFormatting>
  <conditionalFormatting sqref="A346">
    <cfRule type="expression" dxfId="3844" priority="10249" stopIfTrue="1">
      <formula>O346="*OBSERVAÇÃO"</formula>
    </cfRule>
  </conditionalFormatting>
  <conditionalFormatting sqref="A346">
    <cfRule type="expression" dxfId="3843" priority="10248" stopIfTrue="1">
      <formula>AND(F346&lt;&gt;"",S346&lt;&gt;"",Y346&lt;&gt;"")</formula>
    </cfRule>
  </conditionalFormatting>
  <conditionalFormatting sqref="AA349">
    <cfRule type="expression" dxfId="3842" priority="10205" stopIfTrue="1">
      <formula>O349="*CANCELADO"</formula>
    </cfRule>
    <cfRule type="expression" dxfId="3841" priority="10206" stopIfTrue="1">
      <formula>O349="*OBSERVAÇÃO"</formula>
    </cfRule>
  </conditionalFormatting>
  <conditionalFormatting sqref="A356">
    <cfRule type="expression" dxfId="3840" priority="9903" stopIfTrue="1">
      <formula>A356=""</formula>
    </cfRule>
    <cfRule type="expression" dxfId="3839" priority="9904" stopIfTrue="1">
      <formula>F356=""</formula>
    </cfRule>
    <cfRule type="expression" dxfId="3838" priority="9905" stopIfTrue="1">
      <formula>AND(F356&lt;&gt;"",S356&lt;&gt;"")</formula>
    </cfRule>
    <cfRule type="expression" dxfId="3837" priority="9906" stopIfTrue="1">
      <formula>F356&lt;&gt;""</formula>
    </cfRule>
  </conditionalFormatting>
  <conditionalFormatting sqref="A356">
    <cfRule type="expression" dxfId="3836" priority="9902" stopIfTrue="1">
      <formula>O356="*CANCELADO"</formula>
    </cfRule>
  </conditionalFormatting>
  <conditionalFormatting sqref="A356">
    <cfRule type="expression" dxfId="3835" priority="9898" stopIfTrue="1">
      <formula>A356=""</formula>
    </cfRule>
    <cfRule type="expression" dxfId="3834" priority="9899" stopIfTrue="1">
      <formula>F356=""</formula>
    </cfRule>
    <cfRule type="expression" dxfId="3833" priority="9900" stopIfTrue="1">
      <formula>AND(F356&lt;&gt;"",S356&lt;&gt;"")</formula>
    </cfRule>
    <cfRule type="expression" dxfId="3832" priority="9901" stopIfTrue="1">
      <formula>F356&lt;&gt;""</formula>
    </cfRule>
  </conditionalFormatting>
  <conditionalFormatting sqref="A356">
    <cfRule type="expression" dxfId="3831" priority="9897" stopIfTrue="1">
      <formula>O356="*OBSERVAÇÃO"</formula>
    </cfRule>
  </conditionalFormatting>
  <conditionalFormatting sqref="A356">
    <cfRule type="expression" dxfId="3830" priority="9896" stopIfTrue="1">
      <formula>AND(F356&lt;&gt;"",S356&lt;&gt;"",Y356&lt;&gt;"")</formula>
    </cfRule>
  </conditionalFormatting>
  <conditionalFormatting sqref="A356">
    <cfRule type="expression" dxfId="3829" priority="9892" stopIfTrue="1">
      <formula>A356=""</formula>
    </cfRule>
    <cfRule type="expression" dxfId="3828" priority="9893" stopIfTrue="1">
      <formula>F356=""</formula>
    </cfRule>
    <cfRule type="expression" dxfId="3827" priority="9894" stopIfTrue="1">
      <formula>AND(F356&lt;&gt;"",S356&lt;&gt;"")</formula>
    </cfRule>
    <cfRule type="expression" dxfId="3826" priority="9895" stopIfTrue="1">
      <formula>F356&lt;&gt;""</formula>
    </cfRule>
  </conditionalFormatting>
  <conditionalFormatting sqref="A356">
    <cfRule type="expression" dxfId="3825" priority="9891" stopIfTrue="1">
      <formula>O356="*CANCELADO"</formula>
    </cfRule>
  </conditionalFormatting>
  <conditionalFormatting sqref="A356">
    <cfRule type="expression" dxfId="3824" priority="9887" stopIfTrue="1">
      <formula>A356=""</formula>
    </cfRule>
    <cfRule type="expression" dxfId="3823" priority="9888" stopIfTrue="1">
      <formula>F356=""</formula>
    </cfRule>
    <cfRule type="expression" dxfId="3822" priority="9889" stopIfTrue="1">
      <formula>AND(F356&lt;&gt;"",S356&lt;&gt;"")</formula>
    </cfRule>
    <cfRule type="expression" dxfId="3821" priority="9890" stopIfTrue="1">
      <formula>F356&lt;&gt;""</formula>
    </cfRule>
  </conditionalFormatting>
  <conditionalFormatting sqref="A356">
    <cfRule type="expression" dxfId="3820" priority="9886" stopIfTrue="1">
      <formula>O356="*OBSERVAÇÃO"</formula>
    </cfRule>
  </conditionalFormatting>
  <conditionalFormatting sqref="A356">
    <cfRule type="expression" dxfId="3819" priority="9882" stopIfTrue="1">
      <formula>A356=""</formula>
    </cfRule>
    <cfRule type="expression" dxfId="3818" priority="9883" stopIfTrue="1">
      <formula>F356=""</formula>
    </cfRule>
    <cfRule type="expression" dxfId="3817" priority="9884" stopIfTrue="1">
      <formula>AND(F356&lt;&gt;"",S356&lt;&gt;"")</formula>
    </cfRule>
    <cfRule type="expression" dxfId="3816" priority="9885" stopIfTrue="1">
      <formula>F356&lt;&gt;""</formula>
    </cfRule>
  </conditionalFormatting>
  <conditionalFormatting sqref="A356">
    <cfRule type="expression" dxfId="3815" priority="9881" stopIfTrue="1">
      <formula>O356="*CANCELADO"</formula>
    </cfRule>
  </conditionalFormatting>
  <conditionalFormatting sqref="A356">
    <cfRule type="expression" dxfId="3814" priority="9880" stopIfTrue="1">
      <formula>O356="*OBSERVAÇÃO"</formula>
    </cfRule>
  </conditionalFormatting>
  <conditionalFormatting sqref="A356">
    <cfRule type="expression" dxfId="3813" priority="9879" stopIfTrue="1">
      <formula>AND(F356&lt;&gt;"",S356&lt;&gt;"",Y356&lt;&gt;"")</formula>
    </cfRule>
  </conditionalFormatting>
  <conditionalFormatting sqref="AA352">
    <cfRule type="expression" dxfId="3812" priority="9795" stopIfTrue="1">
      <formula>O352="*CANCELADO"</formula>
    </cfRule>
    <cfRule type="expression" dxfId="3811" priority="9796" stopIfTrue="1">
      <formula>O352="*OBSERVAÇÃO"</formula>
    </cfRule>
  </conditionalFormatting>
  <conditionalFormatting sqref="AA353">
    <cfRule type="expression" dxfId="3810" priority="9713" stopIfTrue="1">
      <formula>O353="*CANCELADO"</formula>
    </cfRule>
    <cfRule type="expression" dxfId="3809" priority="9714" stopIfTrue="1">
      <formula>O353="*OBSERVAÇÃO"</formula>
    </cfRule>
  </conditionalFormatting>
  <conditionalFormatting sqref="A355:A371">
    <cfRule type="expression" dxfId="3808" priority="9616" stopIfTrue="1">
      <formula>A355=""</formula>
    </cfRule>
    <cfRule type="expression" dxfId="3807" priority="9617" stopIfTrue="1">
      <formula>F355=""</formula>
    </cfRule>
    <cfRule type="expression" dxfId="3806" priority="9618" stopIfTrue="1">
      <formula>AND(F355&lt;&gt;"",S355&lt;&gt;"")</formula>
    </cfRule>
    <cfRule type="expression" dxfId="3805" priority="9619" stopIfTrue="1">
      <formula>F355&lt;&gt;""</formula>
    </cfRule>
  </conditionalFormatting>
  <conditionalFormatting sqref="A355:A371">
    <cfRule type="expression" dxfId="3804" priority="9615" stopIfTrue="1">
      <formula>O355="*CANCELADO"</formula>
    </cfRule>
  </conditionalFormatting>
  <conditionalFormatting sqref="A355:A371">
    <cfRule type="expression" dxfId="3803" priority="9611" stopIfTrue="1">
      <formula>A355=""</formula>
    </cfRule>
    <cfRule type="expression" dxfId="3802" priority="9612" stopIfTrue="1">
      <formula>F355=""</formula>
    </cfRule>
    <cfRule type="expression" dxfId="3801" priority="9613" stopIfTrue="1">
      <formula>AND(F355&lt;&gt;"",S355&lt;&gt;"")</formula>
    </cfRule>
    <cfRule type="expression" dxfId="3800" priority="9614" stopIfTrue="1">
      <formula>F355&lt;&gt;""</formula>
    </cfRule>
  </conditionalFormatting>
  <conditionalFormatting sqref="A355:A371">
    <cfRule type="expression" dxfId="3799" priority="9610" stopIfTrue="1">
      <formula>O355="*OBSERVAÇÃO"</formula>
    </cfRule>
  </conditionalFormatting>
  <conditionalFormatting sqref="A355:A371">
    <cfRule type="expression" dxfId="3798" priority="9609" stopIfTrue="1">
      <formula>AND(F355&lt;&gt;"",S355&lt;&gt;"",Y355&lt;&gt;"")</formula>
    </cfRule>
  </conditionalFormatting>
  <conditionalFormatting sqref="A355:A371">
    <cfRule type="expression" dxfId="3797" priority="9605" stopIfTrue="1">
      <formula>A355=""</formula>
    </cfRule>
    <cfRule type="expression" dxfId="3796" priority="9606" stopIfTrue="1">
      <formula>F355=""</formula>
    </cfRule>
    <cfRule type="expression" dxfId="3795" priority="9607" stopIfTrue="1">
      <formula>AND(F355&lt;&gt;"",S355&lt;&gt;"")</formula>
    </cfRule>
    <cfRule type="expression" dxfId="3794" priority="9608" stopIfTrue="1">
      <formula>F355&lt;&gt;""</formula>
    </cfRule>
  </conditionalFormatting>
  <conditionalFormatting sqref="A355:A371">
    <cfRule type="expression" dxfId="3793" priority="9604" stopIfTrue="1">
      <formula>O355="*CANCELADO"</formula>
    </cfRule>
  </conditionalFormatting>
  <conditionalFormatting sqref="A355:A371">
    <cfRule type="expression" dxfId="3792" priority="9600" stopIfTrue="1">
      <formula>A355=""</formula>
    </cfRule>
    <cfRule type="expression" dxfId="3791" priority="9601" stopIfTrue="1">
      <formula>F355=""</formula>
    </cfRule>
    <cfRule type="expression" dxfId="3790" priority="9602" stopIfTrue="1">
      <formula>AND(F355&lt;&gt;"",S355&lt;&gt;"")</formula>
    </cfRule>
    <cfRule type="expression" dxfId="3789" priority="9603" stopIfTrue="1">
      <formula>F355&lt;&gt;""</formula>
    </cfRule>
  </conditionalFormatting>
  <conditionalFormatting sqref="A355:A371">
    <cfRule type="expression" dxfId="3788" priority="9599" stopIfTrue="1">
      <formula>O355="*OBSERVAÇÃO"</formula>
    </cfRule>
  </conditionalFormatting>
  <conditionalFormatting sqref="A355:A371">
    <cfRule type="expression" dxfId="3787" priority="9595" stopIfTrue="1">
      <formula>A355=""</formula>
    </cfRule>
    <cfRule type="expression" dxfId="3786" priority="9596" stopIfTrue="1">
      <formula>F355=""</formula>
    </cfRule>
    <cfRule type="expression" dxfId="3785" priority="9597" stopIfTrue="1">
      <formula>AND(F355&lt;&gt;"",S355&lt;&gt;"")</formula>
    </cfRule>
    <cfRule type="expression" dxfId="3784" priority="9598" stopIfTrue="1">
      <formula>F355&lt;&gt;""</formula>
    </cfRule>
  </conditionalFormatting>
  <conditionalFormatting sqref="A355:A371">
    <cfRule type="expression" dxfId="3783" priority="9594" stopIfTrue="1">
      <formula>O355="*CANCELADO"</formula>
    </cfRule>
  </conditionalFormatting>
  <conditionalFormatting sqref="A355:A371">
    <cfRule type="expression" dxfId="3782" priority="9593" stopIfTrue="1">
      <formula>O355="*OBSERVAÇÃO"</formula>
    </cfRule>
  </conditionalFormatting>
  <conditionalFormatting sqref="A355:A371">
    <cfRule type="expression" dxfId="3781" priority="9592" stopIfTrue="1">
      <formula>AND(F355&lt;&gt;"",S355&lt;&gt;"",Y355&lt;&gt;"")</formula>
    </cfRule>
  </conditionalFormatting>
  <conditionalFormatting sqref="AA368">
    <cfRule type="expression" dxfId="3780" priority="9590" stopIfTrue="1">
      <formula>O368="*CANCELADO"</formula>
    </cfRule>
    <cfRule type="expression" dxfId="3779" priority="9591" stopIfTrue="1">
      <formula>O368="*OBSERVAÇÃO"</formula>
    </cfRule>
  </conditionalFormatting>
  <conditionalFormatting sqref="AA369">
    <cfRule type="expression" dxfId="3778" priority="9508" stopIfTrue="1">
      <formula>O369="*CANCELADO"</formula>
    </cfRule>
    <cfRule type="expression" dxfId="3777" priority="9509" stopIfTrue="1">
      <formula>O369="*OBSERVAÇÃO"</formula>
    </cfRule>
  </conditionalFormatting>
  <conditionalFormatting sqref="AA362">
    <cfRule type="expression" dxfId="3776" priority="9467" stopIfTrue="1">
      <formula>O362="*CANCELADO"</formula>
    </cfRule>
    <cfRule type="expression" dxfId="3775" priority="9468" stopIfTrue="1">
      <formula>O362="*OBSERVAÇÃO"</formula>
    </cfRule>
  </conditionalFormatting>
  <conditionalFormatting sqref="AA363">
    <cfRule type="expression" dxfId="3774" priority="9426" stopIfTrue="1">
      <formula>O363="*CANCELADO"</formula>
    </cfRule>
    <cfRule type="expression" dxfId="3773" priority="9427" stopIfTrue="1">
      <formula>O363="*OBSERVAÇÃO"</formula>
    </cfRule>
  </conditionalFormatting>
  <conditionalFormatting sqref="AA366">
    <cfRule type="expression" dxfId="3772" priority="9385" stopIfTrue="1">
      <formula>O366="*CANCELADO"</formula>
    </cfRule>
    <cfRule type="expression" dxfId="3771" priority="9386" stopIfTrue="1">
      <formula>O366="*OBSERVAÇÃO"</formula>
    </cfRule>
  </conditionalFormatting>
  <conditionalFormatting sqref="AA364">
    <cfRule type="expression" dxfId="3770" priority="9344" stopIfTrue="1">
      <formula>O364="*CANCELADO"</formula>
    </cfRule>
    <cfRule type="expression" dxfId="3769" priority="9345" stopIfTrue="1">
      <formula>O364="*OBSERVAÇÃO"</formula>
    </cfRule>
  </conditionalFormatting>
  <conditionalFormatting sqref="AA365">
    <cfRule type="expression" dxfId="3768" priority="9139" stopIfTrue="1">
      <formula>O365="*CANCELADO"</formula>
    </cfRule>
    <cfRule type="expression" dxfId="3767" priority="9140" stopIfTrue="1">
      <formula>O365="*OBSERVAÇÃO"</formula>
    </cfRule>
  </conditionalFormatting>
  <conditionalFormatting sqref="AA367">
    <cfRule type="expression" dxfId="3766" priority="9098" stopIfTrue="1">
      <formula>O367="*CANCELADO"</formula>
    </cfRule>
    <cfRule type="expression" dxfId="3765" priority="9099" stopIfTrue="1">
      <formula>O367="*OBSERVAÇÃO"</formula>
    </cfRule>
  </conditionalFormatting>
  <conditionalFormatting sqref="AA4:AA5">
    <cfRule type="expression" dxfId="3764" priority="8912" stopIfTrue="1">
      <formula>O4="*CANCELADO"</formula>
    </cfRule>
    <cfRule type="expression" dxfId="3763" priority="8913" stopIfTrue="1">
      <formula>O4="*OBSERVAÇÃO"</formula>
    </cfRule>
  </conditionalFormatting>
  <conditionalFormatting sqref="AA14 AA17">
    <cfRule type="expression" dxfId="3762" priority="8893" stopIfTrue="1">
      <formula>O14="*CANCELADO"</formula>
    </cfRule>
    <cfRule type="expression" dxfId="3761" priority="8894" stopIfTrue="1">
      <formula>O14="*OBSERVAÇÃO"</formula>
    </cfRule>
  </conditionalFormatting>
  <conditionalFormatting sqref="A3">
    <cfRule type="expression" dxfId="3760" priority="8839" stopIfTrue="1">
      <formula>A3=""</formula>
    </cfRule>
    <cfRule type="expression" dxfId="3759" priority="8840" stopIfTrue="1">
      <formula>F3=""</formula>
    </cfRule>
    <cfRule type="expression" dxfId="3758" priority="8841" stopIfTrue="1">
      <formula>AND(F3&lt;&gt;"",S3&lt;&gt;"")</formula>
    </cfRule>
    <cfRule type="expression" dxfId="3757" priority="8842" stopIfTrue="1">
      <formula>F3&lt;&gt;""</formula>
    </cfRule>
  </conditionalFormatting>
  <conditionalFormatting sqref="A3">
    <cfRule type="expression" dxfId="3756" priority="8838" stopIfTrue="1">
      <formula>O3="*CANCELADO"</formula>
    </cfRule>
  </conditionalFormatting>
  <conditionalFormatting sqref="A3">
    <cfRule type="expression" dxfId="3755" priority="8834" stopIfTrue="1">
      <formula>A3=""</formula>
    </cfRule>
    <cfRule type="expression" dxfId="3754" priority="8835" stopIfTrue="1">
      <formula>F3=""</formula>
    </cfRule>
    <cfRule type="expression" dxfId="3753" priority="8836" stopIfTrue="1">
      <formula>AND(F3&lt;&gt;"",S3&lt;&gt;"")</formula>
    </cfRule>
    <cfRule type="expression" dxfId="3752" priority="8837" stopIfTrue="1">
      <formula>F3&lt;&gt;""</formula>
    </cfRule>
  </conditionalFormatting>
  <conditionalFormatting sqref="A3">
    <cfRule type="expression" dxfId="3751" priority="8833" stopIfTrue="1">
      <formula>O3="*OBSERVAÇÃO"</formula>
    </cfRule>
  </conditionalFormatting>
  <conditionalFormatting sqref="A3">
    <cfRule type="expression" dxfId="3750" priority="8832" stopIfTrue="1">
      <formula>AND(F3&lt;&gt;"",S3&lt;&gt;"",Y3&lt;&gt;"")</formula>
    </cfRule>
  </conditionalFormatting>
  <conditionalFormatting sqref="A3">
    <cfRule type="expression" dxfId="3749" priority="8828" stopIfTrue="1">
      <formula>A3=""</formula>
    </cfRule>
    <cfRule type="expression" dxfId="3748" priority="8829" stopIfTrue="1">
      <formula>F3=""</formula>
    </cfRule>
    <cfRule type="expression" dxfId="3747" priority="8830" stopIfTrue="1">
      <formula>AND(F3&lt;&gt;"",S3&lt;&gt;"")</formula>
    </cfRule>
    <cfRule type="expression" dxfId="3746" priority="8831" stopIfTrue="1">
      <formula>F3&lt;&gt;""</formula>
    </cfRule>
  </conditionalFormatting>
  <conditionalFormatting sqref="A3">
    <cfRule type="expression" dxfId="3745" priority="8827" stopIfTrue="1">
      <formula>O3="*CANCELADO"</formula>
    </cfRule>
  </conditionalFormatting>
  <conditionalFormatting sqref="A3">
    <cfRule type="expression" dxfId="3744" priority="8823" stopIfTrue="1">
      <formula>A3=""</formula>
    </cfRule>
    <cfRule type="expression" dxfId="3743" priority="8824" stopIfTrue="1">
      <formula>F3=""</formula>
    </cfRule>
    <cfRule type="expression" dxfId="3742" priority="8825" stopIfTrue="1">
      <formula>AND(F3&lt;&gt;"",S3&lt;&gt;"")</formula>
    </cfRule>
    <cfRule type="expression" dxfId="3741" priority="8826" stopIfTrue="1">
      <formula>F3&lt;&gt;""</formula>
    </cfRule>
  </conditionalFormatting>
  <conditionalFormatting sqref="A3">
    <cfRule type="expression" dxfId="3740" priority="8822" stopIfTrue="1">
      <formula>O3="*OBSERVAÇÃO"</formula>
    </cfRule>
  </conditionalFormatting>
  <conditionalFormatting sqref="A3">
    <cfRule type="expression" dxfId="3739" priority="8818" stopIfTrue="1">
      <formula>A3=""</formula>
    </cfRule>
    <cfRule type="expression" dxfId="3738" priority="8819" stopIfTrue="1">
      <formula>F3=""</formula>
    </cfRule>
    <cfRule type="expression" dxfId="3737" priority="8820" stopIfTrue="1">
      <formula>AND(F3&lt;&gt;"",S3&lt;&gt;"")</formula>
    </cfRule>
    <cfRule type="expression" dxfId="3736" priority="8821" stopIfTrue="1">
      <formula>F3&lt;&gt;""</formula>
    </cfRule>
  </conditionalFormatting>
  <conditionalFormatting sqref="A3">
    <cfRule type="expression" dxfId="3735" priority="8817" stopIfTrue="1">
      <formula>O3="*CANCELADO"</formula>
    </cfRule>
  </conditionalFormatting>
  <conditionalFormatting sqref="A3">
    <cfRule type="expression" dxfId="3734" priority="8816" stopIfTrue="1">
      <formula>O3="*OBSERVAÇÃO"</formula>
    </cfRule>
  </conditionalFormatting>
  <conditionalFormatting sqref="A3">
    <cfRule type="expression" dxfId="3733" priority="8815" stopIfTrue="1">
      <formula>AND(F3&lt;&gt;"",S3&lt;&gt;"",Y3&lt;&gt;"")</formula>
    </cfRule>
  </conditionalFormatting>
  <conditionalFormatting sqref="AA3">
    <cfRule type="expression" dxfId="3732" priority="8813" stopIfTrue="1">
      <formula>O3="*CANCELADO"</formula>
    </cfRule>
    <cfRule type="expression" dxfId="3731" priority="8814" stopIfTrue="1">
      <formula>O3="*OBSERVAÇÃO"</formula>
    </cfRule>
  </conditionalFormatting>
  <conditionalFormatting sqref="AA15">
    <cfRule type="expression" dxfId="3730" priority="8811" stopIfTrue="1">
      <formula>O15="*CANCELADO"</formula>
    </cfRule>
    <cfRule type="expression" dxfId="3729" priority="8812" stopIfTrue="1">
      <formula>O15="*OBSERVAÇÃO"</formula>
    </cfRule>
  </conditionalFormatting>
  <conditionalFormatting sqref="AA21">
    <cfRule type="expression" dxfId="3728" priority="8783" stopIfTrue="1">
      <formula>O21="*CANCELADO"</formula>
    </cfRule>
    <cfRule type="expression" dxfId="3727" priority="8784" stopIfTrue="1">
      <formula>O21="*OBSERVAÇÃO"</formula>
    </cfRule>
  </conditionalFormatting>
  <conditionalFormatting sqref="AA22">
    <cfRule type="expression" dxfId="3726" priority="8745" stopIfTrue="1">
      <formula>O22="*CANCELADO"</formula>
    </cfRule>
    <cfRule type="expression" dxfId="3725" priority="8746" stopIfTrue="1">
      <formula>O22="*OBSERVAÇÃO"</formula>
    </cfRule>
  </conditionalFormatting>
  <conditionalFormatting sqref="AA24">
    <cfRule type="expression" dxfId="3724" priority="8714" stopIfTrue="1">
      <formula>O24="*CANCELADO"</formula>
    </cfRule>
    <cfRule type="expression" dxfId="3723" priority="8715" stopIfTrue="1">
      <formula>O24="*OBSERVAÇÃO"</formula>
    </cfRule>
  </conditionalFormatting>
  <conditionalFormatting sqref="AA23">
    <cfRule type="expression" dxfId="3722" priority="8683" stopIfTrue="1">
      <formula>O23="*CANCELADO"</formula>
    </cfRule>
    <cfRule type="expression" dxfId="3721" priority="8684" stopIfTrue="1">
      <formula>O23="*OBSERVAÇÃO"</formula>
    </cfRule>
  </conditionalFormatting>
  <conditionalFormatting sqref="AA26">
    <cfRule type="expression" dxfId="3720" priority="8611" stopIfTrue="1">
      <formula>O26="*CANCELADO"</formula>
    </cfRule>
    <cfRule type="expression" dxfId="3719" priority="8612" stopIfTrue="1">
      <formula>O26="*OBSERVAÇÃO"</formula>
    </cfRule>
  </conditionalFormatting>
  <conditionalFormatting sqref="AA25">
    <cfRule type="expression" dxfId="3718" priority="8598" stopIfTrue="1">
      <formula>O25="*CANCELADO"</formula>
    </cfRule>
    <cfRule type="expression" dxfId="3717" priority="8599" stopIfTrue="1">
      <formula>O25="*OBSERVAÇÃO"</formula>
    </cfRule>
  </conditionalFormatting>
  <conditionalFormatting sqref="AA28">
    <cfRule type="expression" dxfId="3716" priority="8585" stopIfTrue="1">
      <formula>O28="*CANCELADO"</formula>
    </cfRule>
    <cfRule type="expression" dxfId="3715" priority="8586" stopIfTrue="1">
      <formula>O28="*OBSERVAÇÃO"</formula>
    </cfRule>
  </conditionalFormatting>
  <conditionalFormatting sqref="AA27">
    <cfRule type="expression" dxfId="3714" priority="8544" stopIfTrue="1">
      <formula>O27="*CANCELADO"</formula>
    </cfRule>
    <cfRule type="expression" dxfId="3713" priority="8545" stopIfTrue="1">
      <formula>O27="*OBSERVAÇÃO"</formula>
    </cfRule>
  </conditionalFormatting>
  <conditionalFormatting sqref="AA30">
    <cfRule type="expression" dxfId="3712" priority="8531" stopIfTrue="1">
      <formula>O30="*CANCELADO"</formula>
    </cfRule>
    <cfRule type="expression" dxfId="3711" priority="8532" stopIfTrue="1">
      <formula>O30="*OBSERVAÇÃO"</formula>
    </cfRule>
  </conditionalFormatting>
  <conditionalFormatting sqref="AA29">
    <cfRule type="expression" dxfId="3710" priority="8518" stopIfTrue="1">
      <formula>O29="*CANCELADO"</formula>
    </cfRule>
    <cfRule type="expression" dxfId="3709" priority="8519" stopIfTrue="1">
      <formula>O29="*OBSERVAÇÃO"</formula>
    </cfRule>
  </conditionalFormatting>
  <conditionalFormatting sqref="AA32">
    <cfRule type="expression" dxfId="3708" priority="8477" stopIfTrue="1">
      <formula>O32="*CANCELADO"</formula>
    </cfRule>
    <cfRule type="expression" dxfId="3707" priority="8478" stopIfTrue="1">
      <formula>O32="*OBSERVAÇÃO"</formula>
    </cfRule>
  </conditionalFormatting>
  <conditionalFormatting sqref="AA31">
    <cfRule type="expression" dxfId="3706" priority="8464" stopIfTrue="1">
      <formula>O31="*CANCELADO"</formula>
    </cfRule>
    <cfRule type="expression" dxfId="3705" priority="8465" stopIfTrue="1">
      <formula>O31="*OBSERVAÇÃO"</formula>
    </cfRule>
  </conditionalFormatting>
  <conditionalFormatting sqref="AA33">
    <cfRule type="expression" dxfId="3704" priority="8451" stopIfTrue="1">
      <formula>O33="*CANCELADO"</formula>
    </cfRule>
    <cfRule type="expression" dxfId="3703" priority="8452" stopIfTrue="1">
      <formula>O33="*OBSERVAÇÃO"</formula>
    </cfRule>
  </conditionalFormatting>
  <conditionalFormatting sqref="AA34">
    <cfRule type="expression" dxfId="3702" priority="8253" stopIfTrue="1">
      <formula>O34="*CANCELADO"</formula>
    </cfRule>
    <cfRule type="expression" dxfId="3701" priority="8254" stopIfTrue="1">
      <formula>O34="*OBSERVAÇÃO"</formula>
    </cfRule>
  </conditionalFormatting>
  <conditionalFormatting sqref="AA36">
    <cfRule type="expression" dxfId="3700" priority="8240" stopIfTrue="1">
      <formula>O36="*CANCELADO"</formula>
    </cfRule>
    <cfRule type="expression" dxfId="3699" priority="8241" stopIfTrue="1">
      <formula>O36="*OBSERVAÇÃO"</formula>
    </cfRule>
  </conditionalFormatting>
  <conditionalFormatting sqref="AA38">
    <cfRule type="expression" dxfId="3698" priority="8131" stopIfTrue="1">
      <formula>O38="*CANCELADO"</formula>
    </cfRule>
    <cfRule type="expression" dxfId="3697" priority="8132" stopIfTrue="1">
      <formula>O38="*OBSERVAÇÃO"</formula>
    </cfRule>
  </conditionalFormatting>
  <conditionalFormatting sqref="AA37">
    <cfRule type="expression" dxfId="3696" priority="8090" stopIfTrue="1">
      <formula>O37="*CANCELADO"</formula>
    </cfRule>
    <cfRule type="expression" dxfId="3695" priority="8091" stopIfTrue="1">
      <formula>O37="*OBSERVAÇÃO"</formula>
    </cfRule>
  </conditionalFormatting>
  <conditionalFormatting sqref="AA42">
    <cfRule type="expression" dxfId="3694" priority="7954" stopIfTrue="1">
      <formula>O42="*CANCELADO"</formula>
    </cfRule>
    <cfRule type="expression" dxfId="3693" priority="7955" stopIfTrue="1">
      <formula>O42="*OBSERVAÇÃO"</formula>
    </cfRule>
  </conditionalFormatting>
  <conditionalFormatting sqref="AA40">
    <cfRule type="expression" dxfId="3692" priority="7920" stopIfTrue="1">
      <formula>O40="*CANCELADO"</formula>
    </cfRule>
    <cfRule type="expression" dxfId="3691" priority="7921" stopIfTrue="1">
      <formula>O40="*OBSERVAÇÃO"</formula>
    </cfRule>
  </conditionalFormatting>
  <conditionalFormatting sqref="AA39">
    <cfRule type="expression" dxfId="3690" priority="7879" stopIfTrue="1">
      <formula>O39="*CANCELADO"</formula>
    </cfRule>
    <cfRule type="expression" dxfId="3689" priority="7880" stopIfTrue="1">
      <formula>O39="*OBSERVAÇÃO"</formula>
    </cfRule>
  </conditionalFormatting>
  <conditionalFormatting sqref="AA41">
    <cfRule type="expression" dxfId="3688" priority="7709" stopIfTrue="1">
      <formula>O41="*CANCELADO"</formula>
    </cfRule>
    <cfRule type="expression" dxfId="3687" priority="7710" stopIfTrue="1">
      <formula>O41="*OBSERVAÇÃO"</formula>
    </cfRule>
  </conditionalFormatting>
  <conditionalFormatting sqref="AA43">
    <cfRule type="expression" dxfId="3686" priority="7635" stopIfTrue="1">
      <formula>O43="*CANCELADO"</formula>
    </cfRule>
    <cfRule type="expression" dxfId="3685" priority="7636" stopIfTrue="1">
      <formula>O43="*OBSERVAÇÃO"</formula>
    </cfRule>
  </conditionalFormatting>
  <conditionalFormatting sqref="AA57">
    <cfRule type="expression" dxfId="3684" priority="7360" stopIfTrue="1">
      <formula>O57="*CANCELADO"</formula>
    </cfRule>
    <cfRule type="expression" dxfId="3683" priority="7361" stopIfTrue="1">
      <formula>O57="*OBSERVAÇÃO"</formula>
    </cfRule>
  </conditionalFormatting>
  <conditionalFormatting sqref="AA46">
    <cfRule type="expression" dxfId="3682" priority="7354" stopIfTrue="1">
      <formula>O46="*CANCELADO"</formula>
    </cfRule>
    <cfRule type="expression" dxfId="3681" priority="7355" stopIfTrue="1">
      <formula>O46="*OBSERVAÇÃO"</formula>
    </cfRule>
  </conditionalFormatting>
  <conditionalFormatting sqref="AA44">
    <cfRule type="expression" dxfId="3680" priority="7335" stopIfTrue="1">
      <formula>O44="*CANCELADO"</formula>
    </cfRule>
    <cfRule type="expression" dxfId="3679" priority="7336" stopIfTrue="1">
      <formula>O44="*OBSERVAÇÃO"</formula>
    </cfRule>
  </conditionalFormatting>
  <conditionalFormatting sqref="AA45">
    <cfRule type="expression" dxfId="3678" priority="7159" stopIfTrue="1">
      <formula>O45="*CANCELADO"</formula>
    </cfRule>
    <cfRule type="expression" dxfId="3677" priority="7160" stopIfTrue="1">
      <formula>O45="*OBSERVAÇÃO"</formula>
    </cfRule>
  </conditionalFormatting>
  <conditionalFormatting sqref="AA50">
    <cfRule type="expression" dxfId="3676" priority="7130" stopIfTrue="1">
      <formula>O50="*CANCELADO"</formula>
    </cfRule>
    <cfRule type="expression" dxfId="3675" priority="7131" stopIfTrue="1">
      <formula>O50="*OBSERVAÇÃO"</formula>
    </cfRule>
  </conditionalFormatting>
  <conditionalFormatting sqref="AA55">
    <cfRule type="expression" dxfId="3674" priority="6934" stopIfTrue="1">
      <formula>O55="*CANCELADO"</formula>
    </cfRule>
    <cfRule type="expression" dxfId="3673" priority="6935" stopIfTrue="1">
      <formula>O55="*OBSERVAÇÃO"</formula>
    </cfRule>
  </conditionalFormatting>
  <conditionalFormatting sqref="AA56">
    <cfRule type="expression" dxfId="3672" priority="6921" stopIfTrue="1">
      <formula>O56="*CANCELADO"</formula>
    </cfRule>
    <cfRule type="expression" dxfId="3671" priority="6922" stopIfTrue="1">
      <formula>O56="*OBSERVAÇÃO"</formula>
    </cfRule>
  </conditionalFormatting>
  <conditionalFormatting sqref="AA51">
    <cfRule type="expression" dxfId="3670" priority="6908" stopIfTrue="1">
      <formula>O51="*CANCELADO"</formula>
    </cfRule>
    <cfRule type="expression" dxfId="3669" priority="6909" stopIfTrue="1">
      <formula>O51="*OBSERVAÇÃO"</formula>
    </cfRule>
  </conditionalFormatting>
  <conditionalFormatting sqref="AA54">
    <cfRule type="expression" dxfId="3668" priority="6882" stopIfTrue="1">
      <formula>O54="*CANCELADO"</formula>
    </cfRule>
    <cfRule type="expression" dxfId="3667" priority="6883" stopIfTrue="1">
      <formula>O54="*OBSERVAÇÃO"</formula>
    </cfRule>
  </conditionalFormatting>
  <conditionalFormatting sqref="AA53">
    <cfRule type="expression" dxfId="3666" priority="6830" stopIfTrue="1">
      <formula>O53="*CANCELADO"</formula>
    </cfRule>
    <cfRule type="expression" dxfId="3665" priority="6831" stopIfTrue="1">
      <formula>O53="*OBSERVAÇÃO"</formula>
    </cfRule>
  </conditionalFormatting>
  <conditionalFormatting sqref="AA52">
    <cfRule type="expression" dxfId="3664" priority="6789" stopIfTrue="1">
      <formula>O52="*CANCELADO"</formula>
    </cfRule>
    <cfRule type="expression" dxfId="3663" priority="6790" stopIfTrue="1">
      <formula>O52="*OBSERVAÇÃO"</formula>
    </cfRule>
  </conditionalFormatting>
  <conditionalFormatting sqref="F67:F84 F3:F15 F86:F122 F124:F127 F129:F133 F166:F172 F174:F191 F135:F163 F17:F65 F193:F212 F214:F246 F298:F302 F249:F295 F321 F304:F319 F323:F375 F433:F441 F410:F431 F377:F408 F443:F479 F486:F490 F505:F513 F527:F536 F515 F602:F654 F676:F686 F688:F690 F704 F727:F739 F746:F755 F823 F814:F821 F522 F830:F834 F837:F843 F518:F520 F877:F890 F492:F494 F758:F780 F897:F906 F908:F912 F914:F915 F860:F865 F918:F935 F938 F940:F942 F573:F589 F944:F958 F524:F525 F978:F986 F656:F672 F960:F976 F845:F858 F564:F571 F562 F560 F988:F1086 F1088:F1120 F1122:F1131 F538:F558 F1135:F1164 F1166:F1176 F1220 F1187:F1188 F1178:F1185 F1222:F1240 F1190:F1218 F1293:F1330 F1332:F1333 F1242:F1267 F1269:F1291 F1335:F1384 F1386:F3040">
    <cfRule type="expression" dxfId="3662" priority="91735" stopIfTrue="1">
      <formula>O3="*OBSERVAÇÃO"</formula>
    </cfRule>
    <cfRule type="expression" dxfId="3661" priority="91736" stopIfTrue="1">
      <formula>O3="*CANCELADO"</formula>
    </cfRule>
    <cfRule type="expression" priority="91737" stopIfTrue="1">
      <formula>A3=""</formula>
    </cfRule>
    <cfRule type="expression" dxfId="3660" priority="91738" stopIfTrue="1">
      <formula>F3=""</formula>
    </cfRule>
    <cfRule type="expression" dxfId="3659" priority="91739" stopIfTrue="1">
      <formula>AND(F3&lt;&gt;"",S3&lt;&gt;"",Y3&lt;&gt;"")</formula>
    </cfRule>
    <cfRule type="expression" dxfId="3658" priority="91740" stopIfTrue="1">
      <formula>AND(F3&lt;&gt;"",S3&lt;&gt;"")</formula>
    </cfRule>
    <cfRule type="expression" dxfId="3657" priority="91741" stopIfTrue="1">
      <formula>F3&lt;&gt;""</formula>
    </cfRule>
  </conditionalFormatting>
  <conditionalFormatting sqref="AA354:AA361">
    <cfRule type="expression" dxfId="3656" priority="6176" stopIfTrue="1">
      <formula>O354="*CANCELADO"</formula>
    </cfRule>
    <cfRule type="expression" dxfId="3655" priority="6177" stopIfTrue="1">
      <formula>O354="*OBSERVAÇÃO"</formula>
    </cfRule>
  </conditionalFormatting>
  <conditionalFormatting sqref="AA66">
    <cfRule type="expression" dxfId="3654" priority="6169" stopIfTrue="1">
      <formula>O66="*CANCELADO"</formula>
    </cfRule>
    <cfRule type="expression" dxfId="3653" priority="6170" stopIfTrue="1">
      <formula>O66="*OBSERVAÇÃO"</formula>
    </cfRule>
  </conditionalFormatting>
  <conditionalFormatting sqref="F66">
    <cfRule type="expression" dxfId="3652" priority="6152" stopIfTrue="1">
      <formula>O66="*OBSERVAÇÃO"</formula>
    </cfRule>
    <cfRule type="expression" dxfId="3651" priority="6153" stopIfTrue="1">
      <formula>O66="*CANCELADO"</formula>
    </cfRule>
    <cfRule type="expression" priority="6154" stopIfTrue="1">
      <formula>A66=""</formula>
    </cfRule>
    <cfRule type="expression" dxfId="3650" priority="6155" stopIfTrue="1">
      <formula>F66=""</formula>
    </cfRule>
    <cfRule type="expression" dxfId="3649" priority="6156" stopIfTrue="1">
      <formula>AND(F66&lt;&gt;"",S66&lt;&gt;"",Y66&lt;&gt;"")</formula>
    </cfRule>
    <cfRule type="expression" dxfId="3648" priority="6157" stopIfTrue="1">
      <formula>AND(F66&lt;&gt;"",S66&lt;&gt;"")</formula>
    </cfRule>
    <cfRule type="expression" dxfId="3647" priority="6158" stopIfTrue="1">
      <formula>F66&lt;&gt;""</formula>
    </cfRule>
  </conditionalFormatting>
  <conditionalFormatting sqref="AA35">
    <cfRule type="expression" dxfId="3646" priority="6150" stopIfTrue="1">
      <formula>O35="*CANCELADO"</formula>
    </cfRule>
    <cfRule type="expression" dxfId="3645" priority="6151" stopIfTrue="1">
      <formula>O35="*OBSERVAÇÃO"</formula>
    </cfRule>
  </conditionalFormatting>
  <conditionalFormatting sqref="AA85">
    <cfRule type="expression" dxfId="3644" priority="6140" stopIfTrue="1">
      <formula>O85="*CANCELADO"</formula>
    </cfRule>
    <cfRule type="expression" dxfId="3643" priority="6141" stopIfTrue="1">
      <formula>O85="*OBSERVAÇÃO"</formula>
    </cfRule>
  </conditionalFormatting>
  <conditionalFormatting sqref="F85">
    <cfRule type="expression" dxfId="3642" priority="6122" stopIfTrue="1">
      <formula>O85="*OBSERVAÇÃO"</formula>
    </cfRule>
    <cfRule type="expression" dxfId="3641" priority="6123" stopIfTrue="1">
      <formula>O85="*CANCELADO"</formula>
    </cfRule>
    <cfRule type="expression" priority="6124" stopIfTrue="1">
      <formula>A85=""</formula>
    </cfRule>
    <cfRule type="expression" dxfId="3640" priority="6125" stopIfTrue="1">
      <formula>F85=""</formula>
    </cfRule>
    <cfRule type="expression" dxfId="3639" priority="6126" stopIfTrue="1">
      <formula>AND(F85&lt;&gt;"",S85&lt;&gt;"",Y85&lt;&gt;"")</formula>
    </cfRule>
    <cfRule type="expression" dxfId="3638" priority="6127" stopIfTrue="1">
      <formula>AND(F85&lt;&gt;"",S85&lt;&gt;"")</formula>
    </cfRule>
    <cfRule type="expression" dxfId="3637" priority="6128" stopIfTrue="1">
      <formula>F85&lt;&gt;""</formula>
    </cfRule>
  </conditionalFormatting>
  <conditionalFormatting sqref="F123">
    <cfRule type="expression" dxfId="3636" priority="6091" stopIfTrue="1">
      <formula>O123="*OBSERVAÇÃO"</formula>
    </cfRule>
    <cfRule type="expression" dxfId="3635" priority="6092" stopIfTrue="1">
      <formula>O123="*CANCELADO"</formula>
    </cfRule>
    <cfRule type="expression" priority="6093" stopIfTrue="1">
      <formula>A123=""</formula>
    </cfRule>
    <cfRule type="expression" dxfId="3634" priority="6094" stopIfTrue="1">
      <formula>F123=""</formula>
    </cfRule>
    <cfRule type="expression" dxfId="3633" priority="6095" stopIfTrue="1">
      <formula>AND(F123&lt;&gt;"",S123&lt;&gt;"",Y123&lt;&gt;"")</formula>
    </cfRule>
    <cfRule type="expression" dxfId="3632" priority="6096" stopIfTrue="1">
      <formula>AND(F123&lt;&gt;"",S123&lt;&gt;"")</formula>
    </cfRule>
    <cfRule type="expression" dxfId="3631" priority="6097" stopIfTrue="1">
      <formula>F123&lt;&gt;""</formula>
    </cfRule>
  </conditionalFormatting>
  <conditionalFormatting sqref="AA128">
    <cfRule type="expression" dxfId="3630" priority="5947" stopIfTrue="1">
      <formula>O128="*CANCELADO"</formula>
    </cfRule>
    <cfRule type="expression" dxfId="3629" priority="5948" stopIfTrue="1">
      <formula>O128="*OBSERVAÇÃO"</formula>
    </cfRule>
  </conditionalFormatting>
  <conditionalFormatting sqref="F128">
    <cfRule type="expression" dxfId="3628" priority="5930" stopIfTrue="1">
      <formula>O128="*OBSERVAÇÃO"</formula>
    </cfRule>
    <cfRule type="expression" dxfId="3627" priority="5931" stopIfTrue="1">
      <formula>O128="*CANCELADO"</formula>
    </cfRule>
    <cfRule type="expression" priority="5932" stopIfTrue="1">
      <formula>A128=""</formula>
    </cfRule>
    <cfRule type="expression" dxfId="3626" priority="5933" stopIfTrue="1">
      <formula>F128=""</formula>
    </cfRule>
    <cfRule type="expression" dxfId="3625" priority="5934" stopIfTrue="1">
      <formula>AND(F128&lt;&gt;"",S128&lt;&gt;"",Y128&lt;&gt;"")</formula>
    </cfRule>
    <cfRule type="expression" dxfId="3624" priority="5935" stopIfTrue="1">
      <formula>AND(F128&lt;&gt;"",S128&lt;&gt;"")</formula>
    </cfRule>
    <cfRule type="expression" dxfId="3623" priority="5936" stopIfTrue="1">
      <formula>F128&lt;&gt;""</formula>
    </cfRule>
  </conditionalFormatting>
  <conditionalFormatting sqref="A3:A373">
    <cfRule type="expression" dxfId="3622" priority="5912" stopIfTrue="1">
      <formula>O3="*CANCELADO"</formula>
    </cfRule>
  </conditionalFormatting>
  <conditionalFormatting sqref="A3:A373">
    <cfRule type="expression" dxfId="3621" priority="5907" stopIfTrue="1">
      <formula>O3="*OBSERVAÇÃO"</formula>
    </cfRule>
  </conditionalFormatting>
  <conditionalFormatting sqref="A3:A373">
    <cfRule type="expression" dxfId="3620" priority="5901" stopIfTrue="1">
      <formula>O3="*CANCELADO"</formula>
    </cfRule>
  </conditionalFormatting>
  <conditionalFormatting sqref="A3:A373">
    <cfRule type="expression" dxfId="3619" priority="5896" stopIfTrue="1">
      <formula>O3="*OBSERVAÇÃO"</formula>
    </cfRule>
  </conditionalFormatting>
  <conditionalFormatting sqref="A3:A373">
    <cfRule type="expression" dxfId="3618" priority="5891" stopIfTrue="1">
      <formula>O3="*CANCELADO"</formula>
    </cfRule>
  </conditionalFormatting>
  <conditionalFormatting sqref="A3:A373">
    <cfRule type="expression" dxfId="3617" priority="5890" stopIfTrue="1">
      <formula>O3="*OBSERVAÇÃO"</formula>
    </cfRule>
  </conditionalFormatting>
  <conditionalFormatting sqref="AA164:AA165">
    <cfRule type="expression" dxfId="3616" priority="5882" stopIfTrue="1">
      <formula>O164="*CANCELADO"</formula>
    </cfRule>
    <cfRule type="expression" dxfId="3615" priority="5883" stopIfTrue="1">
      <formula>O164="*OBSERVAÇÃO"</formula>
    </cfRule>
  </conditionalFormatting>
  <conditionalFormatting sqref="F164:F165">
    <cfRule type="expression" dxfId="3614" priority="5834" stopIfTrue="1">
      <formula>O164="*OBSERVAÇÃO"</formula>
    </cfRule>
    <cfRule type="expression" dxfId="3613" priority="5835" stopIfTrue="1">
      <formula>O164="*CANCELADO"</formula>
    </cfRule>
    <cfRule type="expression" priority="5836" stopIfTrue="1">
      <formula>A164=""</formula>
    </cfRule>
    <cfRule type="expression" dxfId="3612" priority="5837" stopIfTrue="1">
      <formula>F164=""</formula>
    </cfRule>
    <cfRule type="expression" dxfId="3611" priority="5838" stopIfTrue="1">
      <formula>AND(F164&lt;&gt;"",S164&lt;&gt;"",Y164&lt;&gt;"")</formula>
    </cfRule>
    <cfRule type="expression" dxfId="3610" priority="5839" stopIfTrue="1">
      <formula>AND(F164&lt;&gt;"",S164&lt;&gt;"")</formula>
    </cfRule>
    <cfRule type="expression" dxfId="3609" priority="5840" stopIfTrue="1">
      <formula>F164&lt;&gt;""</formula>
    </cfRule>
  </conditionalFormatting>
  <conditionalFormatting sqref="F192">
    <cfRule type="expression" dxfId="3608" priority="5763" stopIfTrue="1">
      <formula>O192="*OBSERVAÇÃO"</formula>
    </cfRule>
    <cfRule type="expression" dxfId="3607" priority="5764" stopIfTrue="1">
      <formula>O192="*CANCELADO"</formula>
    </cfRule>
    <cfRule type="expression" priority="5765" stopIfTrue="1">
      <formula>A192=""</formula>
    </cfRule>
    <cfRule type="expression" dxfId="3606" priority="5766" stopIfTrue="1">
      <formula>F192=""</formula>
    </cfRule>
    <cfRule type="expression" dxfId="3605" priority="5767" stopIfTrue="1">
      <formula>AND(F192&lt;&gt;"",S192&lt;&gt;"",Y192&lt;&gt;"")</formula>
    </cfRule>
    <cfRule type="expression" dxfId="3604" priority="5768" stopIfTrue="1">
      <formula>AND(F192&lt;&gt;"",S192&lt;&gt;"")</formula>
    </cfRule>
    <cfRule type="expression" dxfId="3603" priority="5769" stopIfTrue="1">
      <formula>F192&lt;&gt;""</formula>
    </cfRule>
  </conditionalFormatting>
  <conditionalFormatting sqref="AA173">
    <cfRule type="expression" dxfId="3602" priority="5732" stopIfTrue="1">
      <formula>O173="*CANCELADO"</formula>
    </cfRule>
    <cfRule type="expression" dxfId="3601" priority="5733" stopIfTrue="1">
      <formula>O173="*OBSERVAÇÃO"</formula>
    </cfRule>
  </conditionalFormatting>
  <conditionalFormatting sqref="F173">
    <cfRule type="expression" dxfId="3600" priority="5725" stopIfTrue="1">
      <formula>O173="*OBSERVAÇÃO"</formula>
    </cfRule>
    <cfRule type="expression" dxfId="3599" priority="5726" stopIfTrue="1">
      <formula>O173="*CANCELADO"</formula>
    </cfRule>
    <cfRule type="expression" priority="5727" stopIfTrue="1">
      <formula>A173=""</formula>
    </cfRule>
    <cfRule type="expression" dxfId="3598" priority="5728" stopIfTrue="1">
      <formula>F173=""</formula>
    </cfRule>
    <cfRule type="expression" dxfId="3597" priority="5729" stopIfTrue="1">
      <formula>AND(F173&lt;&gt;"",S173&lt;&gt;"",Y173&lt;&gt;"")</formula>
    </cfRule>
    <cfRule type="expression" dxfId="3596" priority="5730" stopIfTrue="1">
      <formula>AND(F173&lt;&gt;"",S173&lt;&gt;"")</formula>
    </cfRule>
    <cfRule type="expression" dxfId="3595" priority="5731" stopIfTrue="1">
      <formula>F173&lt;&gt;""</formula>
    </cfRule>
  </conditionalFormatting>
  <conditionalFormatting sqref="AA134">
    <cfRule type="expression" dxfId="3594" priority="5669" stopIfTrue="1">
      <formula>O134="*CANCELADO"</formula>
    </cfRule>
    <cfRule type="expression" dxfId="3593" priority="5670" stopIfTrue="1">
      <formula>O134="*OBSERVAÇÃO"</formula>
    </cfRule>
  </conditionalFormatting>
  <conditionalFormatting sqref="F134">
    <cfRule type="expression" dxfId="3592" priority="5652" stopIfTrue="1">
      <formula>O134="*OBSERVAÇÃO"</formula>
    </cfRule>
    <cfRule type="expression" dxfId="3591" priority="5653" stopIfTrue="1">
      <formula>O134="*CANCELADO"</formula>
    </cfRule>
    <cfRule type="expression" priority="5654" stopIfTrue="1">
      <formula>A134=""</formula>
    </cfRule>
    <cfRule type="expression" dxfId="3590" priority="5655" stopIfTrue="1">
      <formula>F134=""</formula>
    </cfRule>
    <cfRule type="expression" dxfId="3589" priority="5656" stopIfTrue="1">
      <formula>AND(F134&lt;&gt;"",S134&lt;&gt;"",Y134&lt;&gt;"")</formula>
    </cfRule>
    <cfRule type="expression" dxfId="3588" priority="5657" stopIfTrue="1">
      <formula>AND(F134&lt;&gt;"",S134&lt;&gt;"")</formula>
    </cfRule>
    <cfRule type="expression" dxfId="3587" priority="5658" stopIfTrue="1">
      <formula>F134&lt;&gt;""</formula>
    </cfRule>
  </conditionalFormatting>
  <conditionalFormatting sqref="AA16">
    <cfRule type="expression" dxfId="3586" priority="5649" stopIfTrue="1">
      <formula>O16="*CANCELADO"</formula>
    </cfRule>
    <cfRule type="expression" dxfId="3585" priority="5650" stopIfTrue="1">
      <formula>O16="*OBSERVAÇÃO"</formula>
    </cfRule>
  </conditionalFormatting>
  <conditionalFormatting sqref="F16">
    <cfRule type="expression" dxfId="3584" priority="5638" stopIfTrue="1">
      <formula>O16="*OBSERVAÇÃO"</formula>
    </cfRule>
    <cfRule type="expression" dxfId="3583" priority="5639" stopIfTrue="1">
      <formula>O16="*CANCELADO"</formula>
    </cfRule>
    <cfRule type="expression" priority="5640" stopIfTrue="1">
      <formula>A16=""</formula>
    </cfRule>
    <cfRule type="expression" dxfId="3582" priority="5641" stopIfTrue="1">
      <formula>F16=""</formula>
    </cfRule>
    <cfRule type="expression" dxfId="3581" priority="5642" stopIfTrue="1">
      <formula>AND(F16&lt;&gt;"",S16&lt;&gt;"",Y16&lt;&gt;"")</formula>
    </cfRule>
    <cfRule type="expression" dxfId="3580" priority="5643" stopIfTrue="1">
      <formula>AND(F16&lt;&gt;"",S16&lt;&gt;"")</formula>
    </cfRule>
    <cfRule type="expression" dxfId="3579" priority="5644" stopIfTrue="1">
      <formula>F16&lt;&gt;""</formula>
    </cfRule>
  </conditionalFormatting>
  <conditionalFormatting sqref="AA213">
    <cfRule type="expression" dxfId="3578" priority="5573" stopIfTrue="1">
      <formula>O213="*CANCELADO"</formula>
    </cfRule>
    <cfRule type="expression" dxfId="3577" priority="5574" stopIfTrue="1">
      <formula>O213="*OBSERVAÇÃO"</formula>
    </cfRule>
  </conditionalFormatting>
  <conditionalFormatting sqref="F213">
    <cfRule type="expression" dxfId="3576" priority="5566" stopIfTrue="1">
      <formula>O213="*OBSERVAÇÃO"</formula>
    </cfRule>
    <cfRule type="expression" dxfId="3575" priority="5567" stopIfTrue="1">
      <formula>O213="*CANCELADO"</formula>
    </cfRule>
    <cfRule type="expression" priority="5568" stopIfTrue="1">
      <formula>A213=""</formula>
    </cfRule>
    <cfRule type="expression" dxfId="3574" priority="5569" stopIfTrue="1">
      <formula>F213=""</formula>
    </cfRule>
    <cfRule type="expression" dxfId="3573" priority="5570" stopIfTrue="1">
      <formula>AND(F213&lt;&gt;"",S213&lt;&gt;"",Y213&lt;&gt;"")</formula>
    </cfRule>
    <cfRule type="expression" dxfId="3572" priority="5571" stopIfTrue="1">
      <formula>AND(F213&lt;&gt;"",S213&lt;&gt;"")</formula>
    </cfRule>
    <cfRule type="expression" dxfId="3571" priority="5572" stopIfTrue="1">
      <formula>F213&lt;&gt;""</formula>
    </cfRule>
  </conditionalFormatting>
  <conditionalFormatting sqref="F289">
    <cfRule type="expression" dxfId="3570" priority="5469" stopIfTrue="1">
      <formula>O289="*OBSERVAÇÃO"</formula>
    </cfRule>
    <cfRule type="expression" dxfId="3569" priority="5470" stopIfTrue="1">
      <formula>O289="*CANCELADO"</formula>
    </cfRule>
    <cfRule type="expression" priority="5471" stopIfTrue="1">
      <formula>A289=""</formula>
    </cfRule>
    <cfRule type="expression" dxfId="3568" priority="5472" stopIfTrue="1">
      <formula>F289=""</formula>
    </cfRule>
    <cfRule type="expression" dxfId="3567" priority="5473" stopIfTrue="1">
      <formula>AND(F289&lt;&gt;"",S289&lt;&gt;"",Y289&lt;&gt;"")</formula>
    </cfRule>
    <cfRule type="expression" dxfId="3566" priority="5474" stopIfTrue="1">
      <formula>AND(F289&lt;&gt;"",S289&lt;&gt;"")</formula>
    </cfRule>
    <cfRule type="expression" dxfId="3565" priority="5475" stopIfTrue="1">
      <formula>F289&lt;&gt;""</formula>
    </cfRule>
  </conditionalFormatting>
  <conditionalFormatting sqref="F290">
    <cfRule type="expression" dxfId="3564" priority="5462" stopIfTrue="1">
      <formula>O290="*OBSERVAÇÃO"</formula>
    </cfRule>
    <cfRule type="expression" dxfId="3563" priority="5463" stopIfTrue="1">
      <formula>O290="*CANCELADO"</formula>
    </cfRule>
    <cfRule type="expression" priority="5464" stopIfTrue="1">
      <formula>A290=""</formula>
    </cfRule>
    <cfRule type="expression" dxfId="3562" priority="5465" stopIfTrue="1">
      <formula>F290=""</formula>
    </cfRule>
    <cfRule type="expression" dxfId="3561" priority="5466" stopIfTrue="1">
      <formula>AND(F290&lt;&gt;"",S290&lt;&gt;"",Y290&lt;&gt;"")</formula>
    </cfRule>
    <cfRule type="expression" dxfId="3560" priority="5467" stopIfTrue="1">
      <formula>AND(F290&lt;&gt;"",S290&lt;&gt;"")</formula>
    </cfRule>
    <cfRule type="expression" dxfId="3559" priority="5468" stopIfTrue="1">
      <formula>F290&lt;&gt;""</formula>
    </cfRule>
  </conditionalFormatting>
  <conditionalFormatting sqref="F291">
    <cfRule type="expression" dxfId="3558" priority="5455" stopIfTrue="1">
      <formula>O291="*OBSERVAÇÃO"</formula>
    </cfRule>
    <cfRule type="expression" dxfId="3557" priority="5456" stopIfTrue="1">
      <formula>O291="*CANCELADO"</formula>
    </cfRule>
    <cfRule type="expression" priority="5457" stopIfTrue="1">
      <formula>A291=""</formula>
    </cfRule>
    <cfRule type="expression" dxfId="3556" priority="5458" stopIfTrue="1">
      <formula>F291=""</formula>
    </cfRule>
    <cfRule type="expression" dxfId="3555" priority="5459" stopIfTrue="1">
      <formula>AND(F291&lt;&gt;"",S291&lt;&gt;"",Y291&lt;&gt;"")</formula>
    </cfRule>
    <cfRule type="expression" dxfId="3554" priority="5460" stopIfTrue="1">
      <formula>AND(F291&lt;&gt;"",S291&lt;&gt;"")</formula>
    </cfRule>
    <cfRule type="expression" dxfId="3553" priority="5461" stopIfTrue="1">
      <formula>F291&lt;&gt;""</formula>
    </cfRule>
  </conditionalFormatting>
  <conditionalFormatting sqref="F292">
    <cfRule type="expression" dxfId="3552" priority="5448" stopIfTrue="1">
      <formula>O292="*OBSERVAÇÃO"</formula>
    </cfRule>
    <cfRule type="expression" dxfId="3551" priority="5449" stopIfTrue="1">
      <formula>O292="*CANCELADO"</formula>
    </cfRule>
    <cfRule type="expression" priority="5450" stopIfTrue="1">
      <formula>A292=""</formula>
    </cfRule>
    <cfRule type="expression" dxfId="3550" priority="5451" stopIfTrue="1">
      <formula>F292=""</formula>
    </cfRule>
    <cfRule type="expression" dxfId="3549" priority="5452" stopIfTrue="1">
      <formula>AND(F292&lt;&gt;"",S292&lt;&gt;"",Y292&lt;&gt;"")</formula>
    </cfRule>
    <cfRule type="expression" dxfId="3548" priority="5453" stopIfTrue="1">
      <formula>AND(F292&lt;&gt;"",S292&lt;&gt;"")</formula>
    </cfRule>
    <cfRule type="expression" dxfId="3547" priority="5454" stopIfTrue="1">
      <formula>F292&lt;&gt;""</formula>
    </cfRule>
  </conditionalFormatting>
  <conditionalFormatting sqref="F293">
    <cfRule type="expression" dxfId="3546" priority="5434" stopIfTrue="1">
      <formula>O293="*OBSERVAÇÃO"</formula>
    </cfRule>
    <cfRule type="expression" dxfId="3545" priority="5435" stopIfTrue="1">
      <formula>O293="*CANCELADO"</formula>
    </cfRule>
    <cfRule type="expression" priority="5436" stopIfTrue="1">
      <formula>A293=""</formula>
    </cfRule>
    <cfRule type="expression" dxfId="3544" priority="5437" stopIfTrue="1">
      <formula>F293=""</formula>
    </cfRule>
    <cfRule type="expression" dxfId="3543" priority="5438" stopIfTrue="1">
      <formula>AND(F293&lt;&gt;"",S293&lt;&gt;"",Y293&lt;&gt;"")</formula>
    </cfRule>
    <cfRule type="expression" dxfId="3542" priority="5439" stopIfTrue="1">
      <formula>AND(F293&lt;&gt;"",S293&lt;&gt;"")</formula>
    </cfRule>
    <cfRule type="expression" dxfId="3541" priority="5440" stopIfTrue="1">
      <formula>F293&lt;&gt;""</formula>
    </cfRule>
  </conditionalFormatting>
  <conditionalFormatting sqref="F294">
    <cfRule type="expression" dxfId="3540" priority="5427" stopIfTrue="1">
      <formula>O294="*OBSERVAÇÃO"</formula>
    </cfRule>
    <cfRule type="expression" dxfId="3539" priority="5428" stopIfTrue="1">
      <formula>O294="*CANCELADO"</formula>
    </cfRule>
    <cfRule type="expression" priority="5429" stopIfTrue="1">
      <formula>A294=""</formula>
    </cfRule>
    <cfRule type="expression" dxfId="3538" priority="5430" stopIfTrue="1">
      <formula>F294=""</formula>
    </cfRule>
    <cfRule type="expression" dxfId="3537" priority="5431" stopIfTrue="1">
      <formula>AND(F294&lt;&gt;"",S294&lt;&gt;"",Y294&lt;&gt;"")</formula>
    </cfRule>
    <cfRule type="expression" dxfId="3536" priority="5432" stopIfTrue="1">
      <formula>AND(F294&lt;&gt;"",S294&lt;&gt;"")</formula>
    </cfRule>
    <cfRule type="expression" dxfId="3535" priority="5433" stopIfTrue="1">
      <formula>F294&lt;&gt;""</formula>
    </cfRule>
  </conditionalFormatting>
  <conditionalFormatting sqref="F296">
    <cfRule type="expression" dxfId="3534" priority="5420" stopIfTrue="1">
      <formula>O296="*OBSERVAÇÃO"</formula>
    </cfRule>
    <cfRule type="expression" dxfId="3533" priority="5421" stopIfTrue="1">
      <formula>O296="*CANCELADO"</formula>
    </cfRule>
    <cfRule type="expression" priority="5422" stopIfTrue="1">
      <formula>A296=""</formula>
    </cfRule>
    <cfRule type="expression" dxfId="3532" priority="5423" stopIfTrue="1">
      <formula>F296=""</formula>
    </cfRule>
    <cfRule type="expression" dxfId="3531" priority="5424" stopIfTrue="1">
      <formula>AND(F296&lt;&gt;"",S296&lt;&gt;"",Y296&lt;&gt;"")</formula>
    </cfRule>
    <cfRule type="expression" dxfId="3530" priority="5425" stopIfTrue="1">
      <formula>AND(F296&lt;&gt;"",S296&lt;&gt;"")</formula>
    </cfRule>
    <cfRule type="expression" dxfId="3529" priority="5426" stopIfTrue="1">
      <formula>F296&lt;&gt;""</formula>
    </cfRule>
  </conditionalFormatting>
  <conditionalFormatting sqref="F295">
    <cfRule type="expression" dxfId="3528" priority="5413" stopIfTrue="1">
      <formula>O295="*OBSERVAÇÃO"</formula>
    </cfRule>
    <cfRule type="expression" dxfId="3527" priority="5414" stopIfTrue="1">
      <formula>O295="*CANCELADO"</formula>
    </cfRule>
    <cfRule type="expression" priority="5415" stopIfTrue="1">
      <formula>A295=""</formula>
    </cfRule>
    <cfRule type="expression" dxfId="3526" priority="5416" stopIfTrue="1">
      <formula>F295=""</formula>
    </cfRule>
    <cfRule type="expression" dxfId="3525" priority="5417" stopIfTrue="1">
      <formula>AND(F295&lt;&gt;"",S295&lt;&gt;"",Y295&lt;&gt;"")</formula>
    </cfRule>
    <cfRule type="expression" dxfId="3524" priority="5418" stopIfTrue="1">
      <formula>AND(F295&lt;&gt;"",S295&lt;&gt;"")</formula>
    </cfRule>
    <cfRule type="expression" dxfId="3523" priority="5419" stopIfTrue="1">
      <formula>F295&lt;&gt;""</formula>
    </cfRule>
  </conditionalFormatting>
  <conditionalFormatting sqref="AA274">
    <cfRule type="expression" dxfId="3522" priority="5402" stopIfTrue="1">
      <formula>O274="*CANCELADO"</formula>
    </cfRule>
    <cfRule type="expression" dxfId="3521" priority="5403" stopIfTrue="1">
      <formula>O274="*OBSERVAÇÃO"</formula>
    </cfRule>
  </conditionalFormatting>
  <conditionalFormatting sqref="F322">
    <cfRule type="expression" dxfId="3520" priority="5384" stopIfTrue="1">
      <formula>O322="*OBSERVAÇÃO"</formula>
    </cfRule>
    <cfRule type="expression" dxfId="3519" priority="5385" stopIfTrue="1">
      <formula>O322="*CANCELADO"</formula>
    </cfRule>
    <cfRule type="expression" priority="5386" stopIfTrue="1">
      <formula>A322=""</formula>
    </cfRule>
    <cfRule type="expression" dxfId="3518" priority="5387" stopIfTrue="1">
      <formula>F322=""</formula>
    </cfRule>
    <cfRule type="expression" dxfId="3517" priority="5388" stopIfTrue="1">
      <formula>AND(F322&lt;&gt;"",S322&lt;&gt;"",Y322&lt;&gt;"")</formula>
    </cfRule>
    <cfRule type="expression" dxfId="3516" priority="5389" stopIfTrue="1">
      <formula>AND(F322&lt;&gt;"",S322&lt;&gt;"")</formula>
    </cfRule>
    <cfRule type="expression" dxfId="3515" priority="5390" stopIfTrue="1">
      <formula>F322&lt;&gt;""</formula>
    </cfRule>
  </conditionalFormatting>
  <conditionalFormatting sqref="AA248">
    <cfRule type="expression" dxfId="3514" priority="5329" stopIfTrue="1">
      <formula>O248="*CANCELADO"</formula>
    </cfRule>
    <cfRule type="expression" dxfId="3513" priority="5330" stopIfTrue="1">
      <formula>O248="*OBSERVAÇÃO"</formula>
    </cfRule>
  </conditionalFormatting>
  <conditionalFormatting sqref="F248">
    <cfRule type="expression" dxfId="3512" priority="5318" stopIfTrue="1">
      <formula>O248="*OBSERVAÇÃO"</formula>
    </cfRule>
    <cfRule type="expression" dxfId="3511" priority="5319" stopIfTrue="1">
      <formula>O248="*CANCELADO"</formula>
    </cfRule>
    <cfRule type="expression" priority="5320" stopIfTrue="1">
      <formula>A248=""</formula>
    </cfRule>
    <cfRule type="expression" dxfId="3510" priority="5321" stopIfTrue="1">
      <formula>F248=""</formula>
    </cfRule>
    <cfRule type="expression" dxfId="3509" priority="5322" stopIfTrue="1">
      <formula>AND(F248&lt;&gt;"",S248&lt;&gt;"",Y248&lt;&gt;"")</formula>
    </cfRule>
    <cfRule type="expression" dxfId="3508" priority="5323" stopIfTrue="1">
      <formula>AND(F248&lt;&gt;"",S248&lt;&gt;"")</formula>
    </cfRule>
    <cfRule type="expression" dxfId="3507" priority="5324" stopIfTrue="1">
      <formula>F248&lt;&gt;""</formula>
    </cfRule>
  </conditionalFormatting>
  <conditionalFormatting sqref="AA320">
    <cfRule type="expression" dxfId="3506" priority="5312" stopIfTrue="1">
      <formula>O320="*CANCELADO"</formula>
    </cfRule>
    <cfRule type="expression" dxfId="3505" priority="5313" stopIfTrue="1">
      <formula>O320="*OBSERVAÇÃO"</formula>
    </cfRule>
  </conditionalFormatting>
  <conditionalFormatting sqref="F320">
    <cfRule type="expression" dxfId="3504" priority="5274" stopIfTrue="1">
      <formula>O320="*OBSERVAÇÃO"</formula>
    </cfRule>
    <cfRule type="expression" dxfId="3503" priority="5275" stopIfTrue="1">
      <formula>O320="*CANCELADO"</formula>
    </cfRule>
    <cfRule type="expression" priority="5276" stopIfTrue="1">
      <formula>A320=""</formula>
    </cfRule>
    <cfRule type="expression" dxfId="3502" priority="5277" stopIfTrue="1">
      <formula>F320=""</formula>
    </cfRule>
    <cfRule type="expression" dxfId="3501" priority="5278" stopIfTrue="1">
      <formula>AND(F320&lt;&gt;"",S320&lt;&gt;"",Y320&lt;&gt;"")</formula>
    </cfRule>
    <cfRule type="expression" dxfId="3500" priority="5279" stopIfTrue="1">
      <formula>AND(F320&lt;&gt;"",S320&lt;&gt;"")</formula>
    </cfRule>
    <cfRule type="expression" dxfId="3499" priority="5280" stopIfTrue="1">
      <formula>F320&lt;&gt;""</formula>
    </cfRule>
  </conditionalFormatting>
  <conditionalFormatting sqref="A5:A106">
    <cfRule type="expression" dxfId="3498" priority="5259" stopIfTrue="1">
      <formula>A5=""</formula>
    </cfRule>
    <cfRule type="expression" dxfId="3497" priority="5260" stopIfTrue="1">
      <formula>F5=""</formula>
    </cfRule>
    <cfRule type="expression" dxfId="3496" priority="5261" stopIfTrue="1">
      <formula>AND(F5&lt;&gt;"",S5&lt;&gt;"")</formula>
    </cfRule>
    <cfRule type="expression" dxfId="3495" priority="5262" stopIfTrue="1">
      <formula>F5&lt;&gt;""</formula>
    </cfRule>
  </conditionalFormatting>
  <conditionalFormatting sqref="A5:A106">
    <cfRule type="expression" dxfId="3494" priority="5258" stopIfTrue="1">
      <formula>O5="*CANCELADO"</formula>
    </cfRule>
  </conditionalFormatting>
  <conditionalFormatting sqref="A5:A106">
    <cfRule type="expression" dxfId="3493" priority="5254" stopIfTrue="1">
      <formula>A5=""</formula>
    </cfRule>
    <cfRule type="expression" dxfId="3492" priority="5255" stopIfTrue="1">
      <formula>F5=""</formula>
    </cfRule>
    <cfRule type="expression" dxfId="3491" priority="5256" stopIfTrue="1">
      <formula>AND(F5&lt;&gt;"",S5&lt;&gt;"")</formula>
    </cfRule>
    <cfRule type="expression" dxfId="3490" priority="5257" stopIfTrue="1">
      <formula>F5&lt;&gt;""</formula>
    </cfRule>
  </conditionalFormatting>
  <conditionalFormatting sqref="A5:A106">
    <cfRule type="expression" dxfId="3489" priority="5253" stopIfTrue="1">
      <formula>O5="*OBSERVAÇÃO"</formula>
    </cfRule>
  </conditionalFormatting>
  <conditionalFormatting sqref="A5:A106">
    <cfRule type="expression" dxfId="3488" priority="5252" stopIfTrue="1">
      <formula>AND(F5&lt;&gt;"",S5&lt;&gt;"",Y5&lt;&gt;"")</formula>
    </cfRule>
  </conditionalFormatting>
  <conditionalFormatting sqref="A5:A106">
    <cfRule type="expression" dxfId="3487" priority="5248" stopIfTrue="1">
      <formula>A5=""</formula>
    </cfRule>
    <cfRule type="expression" dxfId="3486" priority="5249" stopIfTrue="1">
      <formula>F5=""</formula>
    </cfRule>
    <cfRule type="expression" dxfId="3485" priority="5250" stopIfTrue="1">
      <formula>AND(F5&lt;&gt;"",S5&lt;&gt;"")</formula>
    </cfRule>
    <cfRule type="expression" dxfId="3484" priority="5251" stopIfTrue="1">
      <formula>F5&lt;&gt;""</formula>
    </cfRule>
  </conditionalFormatting>
  <conditionalFormatting sqref="A5:A106">
    <cfRule type="expression" dxfId="3483" priority="5247" stopIfTrue="1">
      <formula>O5="*CANCELADO"</formula>
    </cfRule>
  </conditionalFormatting>
  <conditionalFormatting sqref="A5:A106">
    <cfRule type="expression" dxfId="3482" priority="5243" stopIfTrue="1">
      <formula>A5=""</formula>
    </cfRule>
    <cfRule type="expression" dxfId="3481" priority="5244" stopIfTrue="1">
      <formula>F5=""</formula>
    </cfRule>
    <cfRule type="expression" dxfId="3480" priority="5245" stopIfTrue="1">
      <formula>AND(F5&lt;&gt;"",S5&lt;&gt;"")</formula>
    </cfRule>
    <cfRule type="expression" dxfId="3479" priority="5246" stopIfTrue="1">
      <formula>F5&lt;&gt;""</formula>
    </cfRule>
  </conditionalFormatting>
  <conditionalFormatting sqref="A5:A106">
    <cfRule type="expression" dxfId="3478" priority="5242" stopIfTrue="1">
      <formula>O5="*OBSERVAÇÃO"</formula>
    </cfRule>
  </conditionalFormatting>
  <conditionalFormatting sqref="A5:A106">
    <cfRule type="expression" dxfId="3477" priority="5238" stopIfTrue="1">
      <formula>A5=""</formula>
    </cfRule>
    <cfRule type="expression" dxfId="3476" priority="5239" stopIfTrue="1">
      <formula>F5=""</formula>
    </cfRule>
    <cfRule type="expression" dxfId="3475" priority="5240" stopIfTrue="1">
      <formula>AND(F5&lt;&gt;"",S5&lt;&gt;"")</formula>
    </cfRule>
    <cfRule type="expression" dxfId="3474" priority="5241" stopIfTrue="1">
      <formula>F5&lt;&gt;""</formula>
    </cfRule>
  </conditionalFormatting>
  <conditionalFormatting sqref="A5:A106">
    <cfRule type="expression" dxfId="3473" priority="5237" stopIfTrue="1">
      <formula>O5="*CANCELADO"</formula>
    </cfRule>
  </conditionalFormatting>
  <conditionalFormatting sqref="A5:A106">
    <cfRule type="expression" dxfId="3472" priority="5236" stopIfTrue="1">
      <formula>O5="*OBSERVAÇÃO"</formula>
    </cfRule>
  </conditionalFormatting>
  <conditionalFormatting sqref="A5:A106">
    <cfRule type="expression" dxfId="3471" priority="5235" stopIfTrue="1">
      <formula>AND(F5&lt;&gt;"",S5&lt;&gt;"",Y5&lt;&gt;"")</formula>
    </cfRule>
  </conditionalFormatting>
  <conditionalFormatting sqref="A302:A373 A713:A835 A837:A843 A845:A958">
    <cfRule type="expression" dxfId="3470" priority="5231" stopIfTrue="1">
      <formula>A302=""</formula>
    </cfRule>
    <cfRule type="expression" dxfId="3469" priority="5232" stopIfTrue="1">
      <formula>F302=""</formula>
    </cfRule>
    <cfRule type="expression" dxfId="3468" priority="5233" stopIfTrue="1">
      <formula>AND(F302&lt;&gt;"",S302&lt;&gt;"")</formula>
    </cfRule>
    <cfRule type="expression" dxfId="3467" priority="5234" stopIfTrue="1">
      <formula>F302&lt;&gt;""</formula>
    </cfRule>
  </conditionalFormatting>
  <conditionalFormatting sqref="A302:A373 A713:A835 A837:A843 A845:A958">
    <cfRule type="expression" dxfId="3466" priority="5230" stopIfTrue="1">
      <formula>O302="*CANCELADO"</formula>
    </cfRule>
  </conditionalFormatting>
  <conditionalFormatting sqref="A302:A373 A713:A835 A837:A843 A845:A958">
    <cfRule type="expression" dxfId="3465" priority="5226" stopIfTrue="1">
      <formula>A302=""</formula>
    </cfRule>
    <cfRule type="expression" dxfId="3464" priority="5227" stopIfTrue="1">
      <formula>F302=""</formula>
    </cfRule>
    <cfRule type="expression" dxfId="3463" priority="5228" stopIfTrue="1">
      <formula>AND(F302&lt;&gt;"",S302&lt;&gt;"")</formula>
    </cfRule>
    <cfRule type="expression" dxfId="3462" priority="5229" stopIfTrue="1">
      <formula>F302&lt;&gt;""</formula>
    </cfRule>
  </conditionalFormatting>
  <conditionalFormatting sqref="A302:A373 A713:A835 A837:A843 A845:A958">
    <cfRule type="expression" dxfId="3461" priority="5225" stopIfTrue="1">
      <formula>O302="*OBSERVAÇÃO"</formula>
    </cfRule>
  </conditionalFormatting>
  <conditionalFormatting sqref="A302:A373 A713:A835 A837:A843 A845:A958">
    <cfRule type="expression" dxfId="3460" priority="5224" stopIfTrue="1">
      <formula>AND(F302&lt;&gt;"",S302&lt;&gt;"",Y302&lt;&gt;"")</formula>
    </cfRule>
  </conditionalFormatting>
  <conditionalFormatting sqref="A302:A373 A713:A835 A837:A843 A845:A958">
    <cfRule type="expression" dxfId="3459" priority="5220" stopIfTrue="1">
      <formula>A302=""</formula>
    </cfRule>
    <cfRule type="expression" dxfId="3458" priority="5221" stopIfTrue="1">
      <formula>F302=""</formula>
    </cfRule>
    <cfRule type="expression" dxfId="3457" priority="5222" stopIfTrue="1">
      <formula>AND(F302&lt;&gt;"",S302&lt;&gt;"")</formula>
    </cfRule>
    <cfRule type="expression" dxfId="3456" priority="5223" stopIfTrue="1">
      <formula>F302&lt;&gt;""</formula>
    </cfRule>
  </conditionalFormatting>
  <conditionalFormatting sqref="A302:A373 A713:A835 A837:A843 A845:A958">
    <cfRule type="expression" dxfId="3455" priority="5219" stopIfTrue="1">
      <formula>O302="*CANCELADO"</formula>
    </cfRule>
  </conditionalFormatting>
  <conditionalFormatting sqref="A302:A373 A713:A835 A837:A843 A845:A958">
    <cfRule type="expression" dxfId="3454" priority="5215" stopIfTrue="1">
      <formula>A302=""</formula>
    </cfRule>
    <cfRule type="expression" dxfId="3453" priority="5216" stopIfTrue="1">
      <formula>F302=""</formula>
    </cfRule>
    <cfRule type="expression" dxfId="3452" priority="5217" stopIfTrue="1">
      <formula>AND(F302&lt;&gt;"",S302&lt;&gt;"")</formula>
    </cfRule>
    <cfRule type="expression" dxfId="3451" priority="5218" stopIfTrue="1">
      <formula>F302&lt;&gt;""</formula>
    </cfRule>
  </conditionalFormatting>
  <conditionalFormatting sqref="A302:A373 A713:A835 A837:A843 A845:A958">
    <cfRule type="expression" dxfId="3450" priority="5214" stopIfTrue="1">
      <formula>O302="*OBSERVAÇÃO"</formula>
    </cfRule>
  </conditionalFormatting>
  <conditionalFormatting sqref="A302:A373 A713:A835 A837:A843 A845:A958">
    <cfRule type="expression" dxfId="3449" priority="5213" stopIfTrue="1">
      <formula>AND(F302&lt;&gt;"",S302&lt;&gt;"",Y302&lt;&gt;"")</formula>
    </cfRule>
  </conditionalFormatting>
  <conditionalFormatting sqref="A302:A373 A713:A835 A837:A843 A845:A958">
    <cfRule type="expression" dxfId="3448" priority="5209" stopIfTrue="1">
      <formula>A302=""</formula>
    </cfRule>
    <cfRule type="expression" dxfId="3447" priority="5210" stopIfTrue="1">
      <formula>F302=""</formula>
    </cfRule>
    <cfRule type="expression" dxfId="3446" priority="5211" stopIfTrue="1">
      <formula>AND(F302&lt;&gt;"",S302&lt;&gt;"")</formula>
    </cfRule>
    <cfRule type="expression" dxfId="3445" priority="5212" stopIfTrue="1">
      <formula>F302&lt;&gt;""</formula>
    </cfRule>
  </conditionalFormatting>
  <conditionalFormatting sqref="A302:A373 A713:A835 A837:A843 A845:A958">
    <cfRule type="expression" dxfId="3444" priority="5208" stopIfTrue="1">
      <formula>O302="*CANCELADO"</formula>
    </cfRule>
  </conditionalFormatting>
  <conditionalFormatting sqref="A302:A373 A713:A835 A837:A843 A845:A958">
    <cfRule type="expression" dxfId="3443" priority="5204" stopIfTrue="1">
      <formula>A302=""</formula>
    </cfRule>
    <cfRule type="expression" dxfId="3442" priority="5205" stopIfTrue="1">
      <formula>F302=""</formula>
    </cfRule>
    <cfRule type="expression" dxfId="3441" priority="5206" stopIfTrue="1">
      <formula>AND(F302&lt;&gt;"",S302&lt;&gt;"")</formula>
    </cfRule>
    <cfRule type="expression" dxfId="3440" priority="5207" stopIfTrue="1">
      <formula>F302&lt;&gt;""</formula>
    </cfRule>
  </conditionalFormatting>
  <conditionalFormatting sqref="A302:A373 A713:A835 A837:A843 A845:A958">
    <cfRule type="expression" dxfId="3439" priority="5203" stopIfTrue="1">
      <formula>O302="*OBSERVAÇÃO"</formula>
    </cfRule>
  </conditionalFormatting>
  <conditionalFormatting sqref="A302:A373 A713:A835 A837:A843 A845:A958">
    <cfRule type="expression" dxfId="3438" priority="5199" stopIfTrue="1">
      <formula>A302=""</formula>
    </cfRule>
    <cfRule type="expression" dxfId="3437" priority="5200" stopIfTrue="1">
      <formula>F302=""</formula>
    </cfRule>
    <cfRule type="expression" dxfId="3436" priority="5201" stopIfTrue="1">
      <formula>AND(F302&lt;&gt;"",S302&lt;&gt;"")</formula>
    </cfRule>
    <cfRule type="expression" dxfId="3435" priority="5202" stopIfTrue="1">
      <formula>F302&lt;&gt;""</formula>
    </cfRule>
  </conditionalFormatting>
  <conditionalFormatting sqref="A302:A373 A713:A835 A837:A843 A845:A958">
    <cfRule type="expression" dxfId="3434" priority="5198" stopIfTrue="1">
      <formula>O302="*CANCELADO"</formula>
    </cfRule>
  </conditionalFormatting>
  <conditionalFormatting sqref="A302:A373 A713:A835 A837:A843 A845:A958">
    <cfRule type="expression" dxfId="3433" priority="5197" stopIfTrue="1">
      <formula>O302="*OBSERVAÇÃO"</formula>
    </cfRule>
  </conditionalFormatting>
  <conditionalFormatting sqref="A302:A373 A713:A835 A837:A843 A845:A958">
    <cfRule type="expression" dxfId="3432" priority="5196" stopIfTrue="1">
      <formula>AND(F302&lt;&gt;"",S302&lt;&gt;"",Y302&lt;&gt;"")</formula>
    </cfRule>
  </conditionalFormatting>
  <conditionalFormatting sqref="AA303">
    <cfRule type="expression" dxfId="3431" priority="5190" stopIfTrue="1">
      <formula>O303="*CANCELADO"</formula>
    </cfRule>
    <cfRule type="expression" dxfId="3430" priority="5191" stopIfTrue="1">
      <formula>O303="*OBSERVAÇÃO"</formula>
    </cfRule>
  </conditionalFormatting>
  <conditionalFormatting sqref="F303">
    <cfRule type="expression" dxfId="3429" priority="5182" stopIfTrue="1">
      <formula>O303="*OBSERVAÇÃO"</formula>
    </cfRule>
    <cfRule type="expression" dxfId="3428" priority="5183" stopIfTrue="1">
      <formula>O303="*CANCELADO"</formula>
    </cfRule>
    <cfRule type="expression" priority="5184" stopIfTrue="1">
      <formula>A303=""</formula>
    </cfRule>
    <cfRule type="expression" dxfId="3427" priority="5185" stopIfTrue="1">
      <formula>F303=""</formula>
    </cfRule>
    <cfRule type="expression" dxfId="3426" priority="5186" stopIfTrue="1">
      <formula>AND(F303&lt;&gt;"",S303&lt;&gt;"",Y303&lt;&gt;"")</formula>
    </cfRule>
    <cfRule type="expression" dxfId="3425" priority="5187" stopIfTrue="1">
      <formula>AND(F303&lt;&gt;"",S303&lt;&gt;"")</formula>
    </cfRule>
    <cfRule type="expression" dxfId="3424" priority="5188" stopIfTrue="1">
      <formula>F303&lt;&gt;""</formula>
    </cfRule>
  </conditionalFormatting>
  <conditionalFormatting sqref="A303">
    <cfRule type="expression" dxfId="3423" priority="5177" stopIfTrue="1">
      <formula>A303=""</formula>
    </cfRule>
    <cfRule type="expression" dxfId="3422" priority="5178" stopIfTrue="1">
      <formula>F303=""</formula>
    </cfRule>
    <cfRule type="expression" dxfId="3421" priority="5179" stopIfTrue="1">
      <formula>AND(F303&lt;&gt;"",S303&lt;&gt;"")</formula>
    </cfRule>
    <cfRule type="expression" dxfId="3420" priority="5180" stopIfTrue="1">
      <formula>F303&lt;&gt;""</formula>
    </cfRule>
  </conditionalFormatting>
  <conditionalFormatting sqref="A303">
    <cfRule type="expression" dxfId="3419" priority="5176" stopIfTrue="1">
      <formula>O303="*CANCELADO"</formula>
    </cfRule>
  </conditionalFormatting>
  <conditionalFormatting sqref="A303">
    <cfRule type="expression" dxfId="3418" priority="5172" stopIfTrue="1">
      <formula>A303=""</formula>
    </cfRule>
    <cfRule type="expression" dxfId="3417" priority="5173" stopIfTrue="1">
      <formula>F303=""</formula>
    </cfRule>
    <cfRule type="expression" dxfId="3416" priority="5174" stopIfTrue="1">
      <formula>AND(F303&lt;&gt;"",S303&lt;&gt;"")</formula>
    </cfRule>
    <cfRule type="expression" dxfId="3415" priority="5175" stopIfTrue="1">
      <formula>F303&lt;&gt;""</formula>
    </cfRule>
  </conditionalFormatting>
  <conditionalFormatting sqref="A303">
    <cfRule type="expression" dxfId="3414" priority="5171" stopIfTrue="1">
      <formula>O303="*OBSERVAÇÃO"</formula>
    </cfRule>
  </conditionalFormatting>
  <conditionalFormatting sqref="A303">
    <cfRule type="expression" dxfId="3413" priority="5170" stopIfTrue="1">
      <formula>AND(F303&lt;&gt;"",S303&lt;&gt;"",Y303&lt;&gt;"")</formula>
    </cfRule>
  </conditionalFormatting>
  <conditionalFormatting sqref="A303">
    <cfRule type="expression" dxfId="3412" priority="5166" stopIfTrue="1">
      <formula>A303=""</formula>
    </cfRule>
    <cfRule type="expression" dxfId="3411" priority="5167" stopIfTrue="1">
      <formula>F303=""</formula>
    </cfRule>
    <cfRule type="expression" dxfId="3410" priority="5168" stopIfTrue="1">
      <formula>AND(F303&lt;&gt;"",S303&lt;&gt;"")</formula>
    </cfRule>
    <cfRule type="expression" dxfId="3409" priority="5169" stopIfTrue="1">
      <formula>F303&lt;&gt;""</formula>
    </cfRule>
  </conditionalFormatting>
  <conditionalFormatting sqref="A303">
    <cfRule type="expression" dxfId="3408" priority="5165" stopIfTrue="1">
      <formula>O303="*CANCELADO"</formula>
    </cfRule>
  </conditionalFormatting>
  <conditionalFormatting sqref="A303">
    <cfRule type="expression" dxfId="3407" priority="5161" stopIfTrue="1">
      <formula>A303=""</formula>
    </cfRule>
    <cfRule type="expression" dxfId="3406" priority="5162" stopIfTrue="1">
      <formula>F303=""</formula>
    </cfRule>
    <cfRule type="expression" dxfId="3405" priority="5163" stopIfTrue="1">
      <formula>AND(F303&lt;&gt;"",S303&lt;&gt;"")</formula>
    </cfRule>
    <cfRule type="expression" dxfId="3404" priority="5164" stopIfTrue="1">
      <formula>F303&lt;&gt;""</formula>
    </cfRule>
  </conditionalFormatting>
  <conditionalFormatting sqref="A303">
    <cfRule type="expression" dxfId="3403" priority="5160" stopIfTrue="1">
      <formula>O303="*OBSERVAÇÃO"</formula>
    </cfRule>
  </conditionalFormatting>
  <conditionalFormatting sqref="A303">
    <cfRule type="expression" dxfId="3402" priority="5159" stopIfTrue="1">
      <formula>AND(F303&lt;&gt;"",S303&lt;&gt;"",Y303&lt;&gt;"")</formula>
    </cfRule>
  </conditionalFormatting>
  <conditionalFormatting sqref="A303">
    <cfRule type="expression" dxfId="3401" priority="5155" stopIfTrue="1">
      <formula>A303=""</formula>
    </cfRule>
    <cfRule type="expression" dxfId="3400" priority="5156" stopIfTrue="1">
      <formula>F303=""</formula>
    </cfRule>
    <cfRule type="expression" dxfId="3399" priority="5157" stopIfTrue="1">
      <formula>AND(F303&lt;&gt;"",S303&lt;&gt;"")</formula>
    </cfRule>
    <cfRule type="expression" dxfId="3398" priority="5158" stopIfTrue="1">
      <formula>F303&lt;&gt;""</formula>
    </cfRule>
  </conditionalFormatting>
  <conditionalFormatting sqref="A303">
    <cfRule type="expression" dxfId="3397" priority="5154" stopIfTrue="1">
      <formula>O303="*CANCELADO"</formula>
    </cfRule>
  </conditionalFormatting>
  <conditionalFormatting sqref="A303">
    <cfRule type="expression" dxfId="3396" priority="5150" stopIfTrue="1">
      <formula>A303=""</formula>
    </cfRule>
    <cfRule type="expression" dxfId="3395" priority="5151" stopIfTrue="1">
      <formula>F303=""</formula>
    </cfRule>
    <cfRule type="expression" dxfId="3394" priority="5152" stopIfTrue="1">
      <formula>AND(F303&lt;&gt;"",S303&lt;&gt;"")</formula>
    </cfRule>
    <cfRule type="expression" dxfId="3393" priority="5153" stopIfTrue="1">
      <formula>F303&lt;&gt;""</formula>
    </cfRule>
  </conditionalFormatting>
  <conditionalFormatting sqref="A303">
    <cfRule type="expression" dxfId="3392" priority="5149" stopIfTrue="1">
      <formula>O303="*OBSERVAÇÃO"</formula>
    </cfRule>
  </conditionalFormatting>
  <conditionalFormatting sqref="A303">
    <cfRule type="expression" dxfId="3391" priority="5145" stopIfTrue="1">
      <formula>A303=""</formula>
    </cfRule>
    <cfRule type="expression" dxfId="3390" priority="5146" stopIfTrue="1">
      <formula>F303=""</formula>
    </cfRule>
    <cfRule type="expression" dxfId="3389" priority="5147" stopIfTrue="1">
      <formula>AND(F303&lt;&gt;"",S303&lt;&gt;"")</formula>
    </cfRule>
    <cfRule type="expression" dxfId="3388" priority="5148" stopIfTrue="1">
      <formula>F303&lt;&gt;""</formula>
    </cfRule>
  </conditionalFormatting>
  <conditionalFormatting sqref="A303">
    <cfRule type="expression" dxfId="3387" priority="5144" stopIfTrue="1">
      <formula>O303="*CANCELADO"</formula>
    </cfRule>
  </conditionalFormatting>
  <conditionalFormatting sqref="A303">
    <cfRule type="expression" dxfId="3386" priority="5143" stopIfTrue="1">
      <formula>O303="*OBSERVAÇÃO"</formula>
    </cfRule>
  </conditionalFormatting>
  <conditionalFormatting sqref="A303">
    <cfRule type="expression" dxfId="3385" priority="5142" stopIfTrue="1">
      <formula>AND(F303&lt;&gt;"",S303&lt;&gt;"",Y303&lt;&gt;"")</formula>
    </cfRule>
  </conditionalFormatting>
  <conditionalFormatting sqref="AA392">
    <cfRule type="expression" dxfId="3384" priority="5102" stopIfTrue="1">
      <formula>O392="*CANCELADO"</formula>
    </cfRule>
    <cfRule type="expression" dxfId="3383" priority="5103" stopIfTrue="1">
      <formula>O392="*OBSERVAÇÃO"</formula>
    </cfRule>
  </conditionalFormatting>
  <conditionalFormatting sqref="AA376">
    <cfRule type="expression" dxfId="3382" priority="5095" stopIfTrue="1">
      <formula>O376="*CANCELADO"</formula>
    </cfRule>
    <cfRule type="expression" dxfId="3381" priority="5096" stopIfTrue="1">
      <formula>O376="*OBSERVAÇÃO"</formula>
    </cfRule>
  </conditionalFormatting>
  <conditionalFormatting sqref="F376">
    <cfRule type="expression" dxfId="3380" priority="5081" stopIfTrue="1">
      <formula>O376="*OBSERVAÇÃO"</formula>
    </cfRule>
    <cfRule type="expression" dxfId="3379" priority="5082" stopIfTrue="1">
      <formula>O376="*CANCELADO"</formula>
    </cfRule>
    <cfRule type="expression" priority="5083" stopIfTrue="1">
      <formula>A376=""</formula>
    </cfRule>
    <cfRule type="expression" dxfId="3378" priority="5084" stopIfTrue="1">
      <formula>F376=""</formula>
    </cfRule>
    <cfRule type="expression" dxfId="3377" priority="5085" stopIfTrue="1">
      <formula>AND(F376&lt;&gt;"",S376&lt;&gt;"",Y376&lt;&gt;"")</formula>
    </cfRule>
    <cfRule type="expression" dxfId="3376" priority="5086" stopIfTrue="1">
      <formula>AND(F376&lt;&gt;"",S376&lt;&gt;"")</formula>
    </cfRule>
    <cfRule type="expression" dxfId="3375" priority="5087" stopIfTrue="1">
      <formula>F376&lt;&gt;""</formula>
    </cfRule>
  </conditionalFormatting>
  <conditionalFormatting sqref="AA297">
    <cfRule type="expression" dxfId="3374" priority="5075" stopIfTrue="1">
      <formula>O297="*CANCELADO"</formula>
    </cfRule>
    <cfRule type="expression" dxfId="3373" priority="5076" stopIfTrue="1">
      <formula>O297="*OBSERVAÇÃO"</formula>
    </cfRule>
  </conditionalFormatting>
  <conditionalFormatting sqref="F297">
    <cfRule type="expression" dxfId="3372" priority="5064" stopIfTrue="1">
      <formula>O297="*OBSERVAÇÃO"</formula>
    </cfRule>
    <cfRule type="expression" dxfId="3371" priority="5065" stopIfTrue="1">
      <formula>O297="*CANCELADO"</formula>
    </cfRule>
    <cfRule type="expression" priority="5066" stopIfTrue="1">
      <formula>A297=""</formula>
    </cfRule>
    <cfRule type="expression" dxfId="3370" priority="5067" stopIfTrue="1">
      <formula>F297=""</formula>
    </cfRule>
    <cfRule type="expression" dxfId="3369" priority="5068" stopIfTrue="1">
      <formula>AND(F297&lt;&gt;"",S297&lt;&gt;"",Y297&lt;&gt;"")</formula>
    </cfRule>
    <cfRule type="expression" dxfId="3368" priority="5069" stopIfTrue="1">
      <formula>AND(F297&lt;&gt;"",S297&lt;&gt;"")</formula>
    </cfRule>
    <cfRule type="expression" dxfId="3367" priority="5070" stopIfTrue="1">
      <formula>F297&lt;&gt;""</formula>
    </cfRule>
  </conditionalFormatting>
  <conditionalFormatting sqref="AA399">
    <cfRule type="expression" dxfId="3366" priority="5017" stopIfTrue="1">
      <formula>O399="*CANCELADO"</formula>
    </cfRule>
    <cfRule type="expression" dxfId="3365" priority="5018" stopIfTrue="1">
      <formula>O399="*OBSERVAÇÃO"</formula>
    </cfRule>
  </conditionalFormatting>
  <conditionalFormatting sqref="AA399">
    <cfRule type="expression" dxfId="3364" priority="5015" stopIfTrue="1">
      <formula>O399="*CANCELADO"</formula>
    </cfRule>
    <cfRule type="expression" dxfId="3363" priority="5016" stopIfTrue="1">
      <formula>O399="*OBSERVAÇÃO"</formula>
    </cfRule>
  </conditionalFormatting>
  <conditionalFormatting sqref="AA404">
    <cfRule type="expression" dxfId="3362" priority="5013" stopIfTrue="1">
      <formula>O404="*CANCELADO"</formula>
    </cfRule>
    <cfRule type="expression" dxfId="3361" priority="5014" stopIfTrue="1">
      <formula>O404="*OBSERVAÇÃO"</formula>
    </cfRule>
  </conditionalFormatting>
  <conditionalFormatting sqref="AA432">
    <cfRule type="expression" dxfId="3360" priority="5003" stopIfTrue="1">
      <formula>O432="*CANCELADO"</formula>
    </cfRule>
    <cfRule type="expression" dxfId="3359" priority="5004" stopIfTrue="1">
      <formula>O432="*OBSERVAÇÃO"</formula>
    </cfRule>
  </conditionalFormatting>
  <conditionalFormatting sqref="F432">
    <cfRule type="expression" dxfId="3358" priority="4986" stopIfTrue="1">
      <formula>O432="*OBSERVAÇÃO"</formula>
    </cfRule>
    <cfRule type="expression" dxfId="3357" priority="4987" stopIfTrue="1">
      <formula>O432="*CANCELADO"</formula>
    </cfRule>
    <cfRule type="expression" priority="4988" stopIfTrue="1">
      <formula>A432=""</formula>
    </cfRule>
    <cfRule type="expression" dxfId="3356" priority="4989" stopIfTrue="1">
      <formula>F432=""</formula>
    </cfRule>
    <cfRule type="expression" dxfId="3355" priority="4990" stopIfTrue="1">
      <formula>AND(F432&lt;&gt;"",S432&lt;&gt;"",Y432&lt;&gt;"")</formula>
    </cfRule>
    <cfRule type="expression" dxfId="3354" priority="4991" stopIfTrue="1">
      <formula>AND(F432&lt;&gt;"",S432&lt;&gt;"")</formula>
    </cfRule>
    <cfRule type="expression" dxfId="3353" priority="4992" stopIfTrue="1">
      <formula>F432&lt;&gt;""</formula>
    </cfRule>
  </conditionalFormatting>
  <conditionalFormatting sqref="AA409">
    <cfRule type="expression" dxfId="3352" priority="4979" stopIfTrue="1">
      <formula>O409="*CANCELADO"</formula>
    </cfRule>
    <cfRule type="expression" dxfId="3351" priority="4980" stopIfTrue="1">
      <formula>O409="*OBSERVAÇÃO"</formula>
    </cfRule>
  </conditionalFormatting>
  <conditionalFormatting sqref="F409">
    <cfRule type="expression" dxfId="3350" priority="4962" stopIfTrue="1">
      <formula>O409="*OBSERVAÇÃO"</formula>
    </cfRule>
    <cfRule type="expression" dxfId="3349" priority="4963" stopIfTrue="1">
      <formula>O409="*CANCELADO"</formula>
    </cfRule>
    <cfRule type="expression" priority="4964" stopIfTrue="1">
      <formula>A409=""</formula>
    </cfRule>
    <cfRule type="expression" dxfId="3348" priority="4965" stopIfTrue="1">
      <formula>F409=""</formula>
    </cfRule>
    <cfRule type="expression" dxfId="3347" priority="4966" stopIfTrue="1">
      <formula>AND(F409&lt;&gt;"",S409&lt;&gt;"",Y409&lt;&gt;"")</formula>
    </cfRule>
    <cfRule type="expression" dxfId="3346" priority="4967" stopIfTrue="1">
      <formula>AND(F409&lt;&gt;"",S409&lt;&gt;"")</formula>
    </cfRule>
    <cfRule type="expression" dxfId="3345" priority="4968" stopIfTrue="1">
      <formula>F409&lt;&gt;""</formula>
    </cfRule>
  </conditionalFormatting>
  <conditionalFormatting sqref="AA247">
    <cfRule type="expression" dxfId="3344" priority="4959" stopIfTrue="1">
      <formula>O247="*CANCELADO"</formula>
    </cfRule>
    <cfRule type="expression" dxfId="3343" priority="4960" stopIfTrue="1">
      <formula>O247="*OBSERVAÇÃO"</formula>
    </cfRule>
  </conditionalFormatting>
  <conditionalFormatting sqref="F247">
    <cfRule type="expression" dxfId="3342" priority="4948" stopIfTrue="1">
      <formula>O247="*OBSERVAÇÃO"</formula>
    </cfRule>
    <cfRule type="expression" dxfId="3341" priority="4949" stopIfTrue="1">
      <formula>O247="*CANCELADO"</formula>
    </cfRule>
    <cfRule type="expression" priority="4950" stopIfTrue="1">
      <formula>A247=""</formula>
    </cfRule>
    <cfRule type="expression" dxfId="3340" priority="4951" stopIfTrue="1">
      <formula>F247=""</formula>
    </cfRule>
    <cfRule type="expression" dxfId="3339" priority="4952" stopIfTrue="1">
      <formula>AND(F247&lt;&gt;"",S247&lt;&gt;"",Y247&lt;&gt;"")</formula>
    </cfRule>
    <cfRule type="expression" dxfId="3338" priority="4953" stopIfTrue="1">
      <formula>AND(F247&lt;&gt;"",S247&lt;&gt;"")</formula>
    </cfRule>
    <cfRule type="expression" dxfId="3337" priority="4954" stopIfTrue="1">
      <formula>F247&lt;&gt;""</formula>
    </cfRule>
  </conditionalFormatting>
  <conditionalFormatting sqref="AA442">
    <cfRule type="expression" dxfId="3336" priority="4899" stopIfTrue="1">
      <formula>O442="*CANCELADO"</formula>
    </cfRule>
    <cfRule type="expression" dxfId="3335" priority="4900" stopIfTrue="1">
      <formula>O442="*OBSERVAÇÃO"</formula>
    </cfRule>
  </conditionalFormatting>
  <conditionalFormatting sqref="F442">
    <cfRule type="expression" dxfId="3334" priority="4882" stopIfTrue="1">
      <formula>O442="*OBSERVAÇÃO"</formula>
    </cfRule>
    <cfRule type="expression" dxfId="3333" priority="4883" stopIfTrue="1">
      <formula>O442="*CANCELADO"</formula>
    </cfRule>
    <cfRule type="expression" priority="4884" stopIfTrue="1">
      <formula>A442=""</formula>
    </cfRule>
    <cfRule type="expression" dxfId="3332" priority="4885" stopIfTrue="1">
      <formula>F442=""</formula>
    </cfRule>
    <cfRule type="expression" dxfId="3331" priority="4886" stopIfTrue="1">
      <formula>AND(F442&lt;&gt;"",S442&lt;&gt;"",Y442&lt;&gt;"")</formula>
    </cfRule>
    <cfRule type="expression" dxfId="3330" priority="4887" stopIfTrue="1">
      <formula>AND(F442&lt;&gt;"",S442&lt;&gt;"")</formula>
    </cfRule>
    <cfRule type="expression" dxfId="3329" priority="4888" stopIfTrue="1">
      <formula>F442&lt;&gt;""</formula>
    </cfRule>
  </conditionalFormatting>
  <conditionalFormatting sqref="A107:A301">
    <cfRule type="expression" dxfId="3328" priority="4873" stopIfTrue="1">
      <formula>A107=""</formula>
    </cfRule>
    <cfRule type="expression" dxfId="3327" priority="4874" stopIfTrue="1">
      <formula>F107=""</formula>
    </cfRule>
    <cfRule type="expression" dxfId="3326" priority="4875" stopIfTrue="1">
      <formula>AND(F107&lt;&gt;"",S107&lt;&gt;"")</formula>
    </cfRule>
    <cfRule type="expression" dxfId="3325" priority="4876" stopIfTrue="1">
      <formula>F107&lt;&gt;""</formula>
    </cfRule>
  </conditionalFormatting>
  <conditionalFormatting sqref="A107:A301">
    <cfRule type="expression" dxfId="3324" priority="4872" stopIfTrue="1">
      <formula>O107="*CANCELADO"</formula>
    </cfRule>
  </conditionalFormatting>
  <conditionalFormatting sqref="A107:A301">
    <cfRule type="expression" dxfId="3323" priority="4868" stopIfTrue="1">
      <formula>A107=""</formula>
    </cfRule>
    <cfRule type="expression" dxfId="3322" priority="4869" stopIfTrue="1">
      <formula>F107=""</formula>
    </cfRule>
    <cfRule type="expression" dxfId="3321" priority="4870" stopIfTrue="1">
      <formula>AND(F107&lt;&gt;"",S107&lt;&gt;"")</formula>
    </cfRule>
    <cfRule type="expression" dxfId="3320" priority="4871" stopIfTrue="1">
      <formula>F107&lt;&gt;""</formula>
    </cfRule>
  </conditionalFormatting>
  <conditionalFormatting sqref="A107:A301">
    <cfRule type="expression" dxfId="3319" priority="4867" stopIfTrue="1">
      <formula>O107="*OBSERVAÇÃO"</formula>
    </cfRule>
  </conditionalFormatting>
  <conditionalFormatting sqref="A107:A301">
    <cfRule type="expression" dxfId="3318" priority="4866" stopIfTrue="1">
      <formula>AND(F107&lt;&gt;"",S107&lt;&gt;"",Y107&lt;&gt;"")</formula>
    </cfRule>
  </conditionalFormatting>
  <conditionalFormatting sqref="A107:A301">
    <cfRule type="expression" dxfId="3317" priority="4862" stopIfTrue="1">
      <formula>A107=""</formula>
    </cfRule>
    <cfRule type="expression" dxfId="3316" priority="4863" stopIfTrue="1">
      <formula>F107=""</formula>
    </cfRule>
    <cfRule type="expression" dxfId="3315" priority="4864" stopIfTrue="1">
      <formula>AND(F107&lt;&gt;"",S107&lt;&gt;"")</formula>
    </cfRule>
    <cfRule type="expression" dxfId="3314" priority="4865" stopIfTrue="1">
      <formula>F107&lt;&gt;""</formula>
    </cfRule>
  </conditionalFormatting>
  <conditionalFormatting sqref="A107:A301">
    <cfRule type="expression" dxfId="3313" priority="4861" stopIfTrue="1">
      <formula>O107="*CANCELADO"</formula>
    </cfRule>
  </conditionalFormatting>
  <conditionalFormatting sqref="A107:A301">
    <cfRule type="expression" dxfId="3312" priority="4857" stopIfTrue="1">
      <formula>A107=""</formula>
    </cfRule>
    <cfRule type="expression" dxfId="3311" priority="4858" stopIfTrue="1">
      <formula>F107=""</formula>
    </cfRule>
    <cfRule type="expression" dxfId="3310" priority="4859" stopIfTrue="1">
      <formula>AND(F107&lt;&gt;"",S107&lt;&gt;"")</formula>
    </cfRule>
    <cfRule type="expression" dxfId="3309" priority="4860" stopIfTrue="1">
      <formula>F107&lt;&gt;""</formula>
    </cfRule>
  </conditionalFormatting>
  <conditionalFormatting sqref="A107:A301">
    <cfRule type="expression" dxfId="3308" priority="4856" stopIfTrue="1">
      <formula>O107="*OBSERVAÇÃO"</formula>
    </cfRule>
  </conditionalFormatting>
  <conditionalFormatting sqref="A107:A301">
    <cfRule type="expression" dxfId="3307" priority="4855" stopIfTrue="1">
      <formula>AND(F107&lt;&gt;"",S107&lt;&gt;"",Y107&lt;&gt;"")</formula>
    </cfRule>
  </conditionalFormatting>
  <conditionalFormatting sqref="A107:A301">
    <cfRule type="expression" dxfId="3306" priority="4851" stopIfTrue="1">
      <formula>A107=""</formula>
    </cfRule>
    <cfRule type="expression" dxfId="3305" priority="4852" stopIfTrue="1">
      <formula>F107=""</formula>
    </cfRule>
    <cfRule type="expression" dxfId="3304" priority="4853" stopIfTrue="1">
      <formula>AND(F107&lt;&gt;"",S107&lt;&gt;"")</formula>
    </cfRule>
    <cfRule type="expression" dxfId="3303" priority="4854" stopIfTrue="1">
      <formula>F107&lt;&gt;""</formula>
    </cfRule>
  </conditionalFormatting>
  <conditionalFormatting sqref="A107:A301">
    <cfRule type="expression" dxfId="3302" priority="4850" stopIfTrue="1">
      <formula>O107="*CANCELADO"</formula>
    </cfRule>
  </conditionalFormatting>
  <conditionalFormatting sqref="A107:A301">
    <cfRule type="expression" dxfId="3301" priority="4846" stopIfTrue="1">
      <formula>A107=""</formula>
    </cfRule>
    <cfRule type="expression" dxfId="3300" priority="4847" stopIfTrue="1">
      <formula>F107=""</formula>
    </cfRule>
    <cfRule type="expression" dxfId="3299" priority="4848" stopIfTrue="1">
      <formula>AND(F107&lt;&gt;"",S107&lt;&gt;"")</formula>
    </cfRule>
    <cfRule type="expression" dxfId="3298" priority="4849" stopIfTrue="1">
      <formula>F107&lt;&gt;""</formula>
    </cfRule>
  </conditionalFormatting>
  <conditionalFormatting sqref="A107:A301">
    <cfRule type="expression" dxfId="3297" priority="4845" stopIfTrue="1">
      <formula>O107="*OBSERVAÇÃO"</formula>
    </cfRule>
  </conditionalFormatting>
  <conditionalFormatting sqref="A107:A301">
    <cfRule type="expression" dxfId="3296" priority="4841" stopIfTrue="1">
      <formula>A107=""</formula>
    </cfRule>
    <cfRule type="expression" dxfId="3295" priority="4842" stopIfTrue="1">
      <formula>F107=""</formula>
    </cfRule>
    <cfRule type="expression" dxfId="3294" priority="4843" stopIfTrue="1">
      <formula>AND(F107&lt;&gt;"",S107&lt;&gt;"")</formula>
    </cfRule>
    <cfRule type="expression" dxfId="3293" priority="4844" stopIfTrue="1">
      <formula>F107&lt;&gt;""</formula>
    </cfRule>
  </conditionalFormatting>
  <conditionalFormatting sqref="A107:A301">
    <cfRule type="expression" dxfId="3292" priority="4840" stopIfTrue="1">
      <formula>O107="*CANCELADO"</formula>
    </cfRule>
  </conditionalFormatting>
  <conditionalFormatting sqref="A107:A301">
    <cfRule type="expression" dxfId="3291" priority="4839" stopIfTrue="1">
      <formula>O107="*OBSERVAÇÃO"</formula>
    </cfRule>
  </conditionalFormatting>
  <conditionalFormatting sqref="A107:A301">
    <cfRule type="expression" dxfId="3290" priority="4838" stopIfTrue="1">
      <formula>AND(F107&lt;&gt;"",S107&lt;&gt;"",Y107&lt;&gt;"")</formula>
    </cfRule>
  </conditionalFormatting>
  <conditionalFormatting sqref="AA480:AA481 AA485">
    <cfRule type="expression" dxfId="3289" priority="4809" stopIfTrue="1">
      <formula>O480="*CANCELADO"</formula>
    </cfRule>
    <cfRule type="expression" dxfId="3288" priority="4810" stopIfTrue="1">
      <formula>O480="*OBSERVAÇÃO"</formula>
    </cfRule>
  </conditionalFormatting>
  <conditionalFormatting sqref="F480:F481 F485">
    <cfRule type="expression" dxfId="3287" priority="4792" stopIfTrue="1">
      <formula>O480="*OBSERVAÇÃO"</formula>
    </cfRule>
    <cfRule type="expression" dxfId="3286" priority="4793" stopIfTrue="1">
      <formula>O480="*CANCELADO"</formula>
    </cfRule>
    <cfRule type="expression" priority="4794" stopIfTrue="1">
      <formula>A480=""</formula>
    </cfRule>
    <cfRule type="expression" dxfId="3285" priority="4795" stopIfTrue="1">
      <formula>F480=""</formula>
    </cfRule>
    <cfRule type="expression" dxfId="3284" priority="4796" stopIfTrue="1">
      <formula>AND(F480&lt;&gt;"",S480&lt;&gt;"",Y480&lt;&gt;"")</formula>
    </cfRule>
    <cfRule type="expression" dxfId="3283" priority="4797" stopIfTrue="1">
      <formula>AND(F480&lt;&gt;"",S480&lt;&gt;"")</formula>
    </cfRule>
    <cfRule type="expression" dxfId="3282" priority="4798" stopIfTrue="1">
      <formula>F480&lt;&gt;""</formula>
    </cfRule>
  </conditionalFormatting>
  <conditionalFormatting sqref="AA482">
    <cfRule type="expression" dxfId="3281" priority="4785" stopIfTrue="1">
      <formula>O482="*CANCELADO"</formula>
    </cfRule>
    <cfRule type="expression" dxfId="3280" priority="4786" stopIfTrue="1">
      <formula>O482="*OBSERVAÇÃO"</formula>
    </cfRule>
  </conditionalFormatting>
  <conditionalFormatting sqref="F482">
    <cfRule type="expression" dxfId="3279" priority="4768" stopIfTrue="1">
      <formula>O482="*OBSERVAÇÃO"</formula>
    </cfRule>
    <cfRule type="expression" dxfId="3278" priority="4769" stopIfTrue="1">
      <formula>O482="*CANCELADO"</formula>
    </cfRule>
    <cfRule type="expression" priority="4770" stopIfTrue="1">
      <formula>A482=""</formula>
    </cfRule>
    <cfRule type="expression" dxfId="3277" priority="4771" stopIfTrue="1">
      <formula>F482=""</formula>
    </cfRule>
    <cfRule type="expression" dxfId="3276" priority="4772" stopIfTrue="1">
      <formula>AND(F482&lt;&gt;"",S482&lt;&gt;"",Y482&lt;&gt;"")</formula>
    </cfRule>
    <cfRule type="expression" dxfId="3275" priority="4773" stopIfTrue="1">
      <formula>AND(F482&lt;&gt;"",S482&lt;&gt;"")</formula>
    </cfRule>
    <cfRule type="expression" dxfId="3274" priority="4774" stopIfTrue="1">
      <formula>F482&lt;&gt;""</formula>
    </cfRule>
  </conditionalFormatting>
  <conditionalFormatting sqref="AA483:AA484">
    <cfRule type="expression" dxfId="3273" priority="4761" stopIfTrue="1">
      <formula>O483="*CANCELADO"</formula>
    </cfRule>
    <cfRule type="expression" dxfId="3272" priority="4762" stopIfTrue="1">
      <formula>O483="*OBSERVAÇÃO"</formula>
    </cfRule>
  </conditionalFormatting>
  <conditionalFormatting sqref="F483:F484">
    <cfRule type="expression" dxfId="3271" priority="4744" stopIfTrue="1">
      <formula>O483="*OBSERVAÇÃO"</formula>
    </cfRule>
    <cfRule type="expression" dxfId="3270" priority="4745" stopIfTrue="1">
      <formula>O483="*CANCELADO"</formula>
    </cfRule>
    <cfRule type="expression" priority="4746" stopIfTrue="1">
      <formula>A483=""</formula>
    </cfRule>
    <cfRule type="expression" dxfId="3269" priority="4747" stopIfTrue="1">
      <formula>F483=""</formula>
    </cfRule>
    <cfRule type="expression" dxfId="3268" priority="4748" stopIfTrue="1">
      <formula>AND(F483&lt;&gt;"",S483&lt;&gt;"",Y483&lt;&gt;"")</formula>
    </cfRule>
    <cfRule type="expression" dxfId="3267" priority="4749" stopIfTrue="1">
      <formula>AND(F483&lt;&gt;"",S483&lt;&gt;"")</formula>
    </cfRule>
    <cfRule type="expression" dxfId="3266" priority="4750" stopIfTrue="1">
      <formula>F483&lt;&gt;""</formula>
    </cfRule>
  </conditionalFormatting>
  <conditionalFormatting sqref="AA475">
    <cfRule type="expression" dxfId="3265" priority="4718" stopIfTrue="1">
      <formula>O475="*CANCELADO"</formula>
    </cfRule>
    <cfRule type="expression" dxfId="3264" priority="4719" stopIfTrue="1">
      <formula>O475="*OBSERVAÇÃO"</formula>
    </cfRule>
  </conditionalFormatting>
  <conditionalFormatting sqref="AA433">
    <cfRule type="expression" dxfId="3263" priority="4710" stopIfTrue="1">
      <formula>O433="*CANCELADO"</formula>
    </cfRule>
    <cfRule type="expression" dxfId="3262" priority="4711" stopIfTrue="1">
      <formula>O433="*OBSERVAÇÃO"</formula>
    </cfRule>
  </conditionalFormatting>
  <conditionalFormatting sqref="AA526">
    <cfRule type="expression" dxfId="3261" priority="4679" stopIfTrue="1">
      <formula>O526="*CANCELADO"</formula>
    </cfRule>
    <cfRule type="expression" dxfId="3260" priority="4680" stopIfTrue="1">
      <formula>O526="*OBSERVAÇÃO"</formula>
    </cfRule>
  </conditionalFormatting>
  <conditionalFormatting sqref="F526">
    <cfRule type="expression" dxfId="3259" priority="4662" stopIfTrue="1">
      <formula>O526="*OBSERVAÇÃO"</formula>
    </cfRule>
    <cfRule type="expression" dxfId="3258" priority="4663" stopIfTrue="1">
      <formula>O526="*CANCELADO"</formula>
    </cfRule>
    <cfRule type="expression" priority="4664" stopIfTrue="1">
      <formula>A526=""</formula>
    </cfRule>
    <cfRule type="expression" dxfId="3257" priority="4665" stopIfTrue="1">
      <formula>F526=""</formula>
    </cfRule>
    <cfRule type="expression" dxfId="3256" priority="4666" stopIfTrue="1">
      <formula>AND(F526&lt;&gt;"",S526&lt;&gt;"",Y526&lt;&gt;"")</formula>
    </cfRule>
    <cfRule type="expression" dxfId="3255" priority="4667" stopIfTrue="1">
      <formula>AND(F526&lt;&gt;"",S526&lt;&gt;"")</formula>
    </cfRule>
    <cfRule type="expression" dxfId="3254" priority="4668" stopIfTrue="1">
      <formula>F526&lt;&gt;""</formula>
    </cfRule>
  </conditionalFormatting>
  <conditionalFormatting sqref="F495:F504">
    <cfRule type="expression" dxfId="3253" priority="4643" stopIfTrue="1">
      <formula>O495="*OBSERVAÇÃO"</formula>
    </cfRule>
    <cfRule type="expression" dxfId="3252" priority="4644" stopIfTrue="1">
      <formula>O495="*CANCELADO"</formula>
    </cfRule>
    <cfRule type="expression" priority="4645" stopIfTrue="1">
      <formula>A495=""</formula>
    </cfRule>
    <cfRule type="expression" dxfId="3251" priority="4646" stopIfTrue="1">
      <formula>F495=""</formula>
    </cfRule>
    <cfRule type="expression" dxfId="3250" priority="4647" stopIfTrue="1">
      <formula>AND(F495&lt;&gt;"",S495&lt;&gt;"",Y495&lt;&gt;"")</formula>
    </cfRule>
    <cfRule type="expression" dxfId="3249" priority="4648" stopIfTrue="1">
      <formula>AND(F495&lt;&gt;"",S495&lt;&gt;"")</formula>
    </cfRule>
    <cfRule type="expression" dxfId="3248" priority="4649" stopIfTrue="1">
      <formula>F495&lt;&gt;""</formula>
    </cfRule>
  </conditionalFormatting>
  <conditionalFormatting sqref="AA590:AA601">
    <cfRule type="expression" dxfId="3247" priority="4529" stopIfTrue="1">
      <formula>O590="*CANCELADO"</formula>
    </cfRule>
    <cfRule type="expression" dxfId="3246" priority="4530" stopIfTrue="1">
      <formula>O590="*OBSERVAÇÃO"</formula>
    </cfRule>
  </conditionalFormatting>
  <conditionalFormatting sqref="F590:F601">
    <cfRule type="expression" dxfId="3245" priority="4512" stopIfTrue="1">
      <formula>O590="*OBSERVAÇÃO"</formula>
    </cfRule>
    <cfRule type="expression" dxfId="3244" priority="4513" stopIfTrue="1">
      <formula>O590="*CANCELADO"</formula>
    </cfRule>
    <cfRule type="expression" priority="4514" stopIfTrue="1">
      <formula>A590=""</formula>
    </cfRule>
    <cfRule type="expression" dxfId="3243" priority="4515" stopIfTrue="1">
      <formula>F590=""</formula>
    </cfRule>
    <cfRule type="expression" dxfId="3242" priority="4516" stopIfTrue="1">
      <formula>AND(F590&lt;&gt;"",S590&lt;&gt;"",Y590&lt;&gt;"")</formula>
    </cfRule>
    <cfRule type="expression" dxfId="3241" priority="4517" stopIfTrue="1">
      <formula>AND(F590&lt;&gt;"",S590&lt;&gt;"")</formula>
    </cfRule>
    <cfRule type="expression" dxfId="3240" priority="4518" stopIfTrue="1">
      <formula>F590&lt;&gt;""</formula>
    </cfRule>
  </conditionalFormatting>
  <conditionalFormatting sqref="AA521">
    <cfRule type="expression" dxfId="3239" priority="4505" stopIfTrue="1">
      <formula>O521="*CANCELADO"</formula>
    </cfRule>
    <cfRule type="expression" dxfId="3238" priority="4506" stopIfTrue="1">
      <formula>O521="*OBSERVAÇÃO"</formula>
    </cfRule>
  </conditionalFormatting>
  <conditionalFormatting sqref="F521">
    <cfRule type="expression" dxfId="3237" priority="4488" stopIfTrue="1">
      <formula>O521="*OBSERVAÇÃO"</formula>
    </cfRule>
    <cfRule type="expression" dxfId="3236" priority="4489" stopIfTrue="1">
      <formula>O521="*CANCELADO"</formula>
    </cfRule>
    <cfRule type="expression" priority="4490" stopIfTrue="1">
      <formula>A521=""</formula>
    </cfRule>
    <cfRule type="expression" dxfId="3235" priority="4491" stopIfTrue="1">
      <formula>F521=""</formula>
    </cfRule>
    <cfRule type="expression" dxfId="3234" priority="4492" stopIfTrue="1">
      <formula>AND(F521&lt;&gt;"",S521&lt;&gt;"",Y521&lt;&gt;"")</formula>
    </cfRule>
    <cfRule type="expression" dxfId="3233" priority="4493" stopIfTrue="1">
      <formula>AND(F521&lt;&gt;"",S521&lt;&gt;"")</formula>
    </cfRule>
    <cfRule type="expression" dxfId="3232" priority="4494" stopIfTrue="1">
      <formula>F521&lt;&gt;""</formula>
    </cfRule>
  </conditionalFormatting>
  <conditionalFormatting sqref="AA514">
    <cfRule type="expression" dxfId="3231" priority="4481" stopIfTrue="1">
      <formula>O514="*CANCELADO"</formula>
    </cfRule>
    <cfRule type="expression" dxfId="3230" priority="4482" stopIfTrue="1">
      <formula>O514="*OBSERVAÇÃO"</formula>
    </cfRule>
  </conditionalFormatting>
  <conditionalFormatting sqref="F514">
    <cfRule type="expression" dxfId="3229" priority="4464" stopIfTrue="1">
      <formula>O514="*OBSERVAÇÃO"</formula>
    </cfRule>
    <cfRule type="expression" dxfId="3228" priority="4465" stopIfTrue="1">
      <formula>O514="*CANCELADO"</formula>
    </cfRule>
    <cfRule type="expression" priority="4466" stopIfTrue="1">
      <formula>A514=""</formula>
    </cfRule>
    <cfRule type="expression" dxfId="3227" priority="4467" stopIfTrue="1">
      <formula>F514=""</formula>
    </cfRule>
    <cfRule type="expression" dxfId="3226" priority="4468" stopIfTrue="1">
      <formula>AND(F514&lt;&gt;"",S514&lt;&gt;"",Y514&lt;&gt;"")</formula>
    </cfRule>
    <cfRule type="expression" dxfId="3225" priority="4469" stopIfTrue="1">
      <formula>AND(F514&lt;&gt;"",S514&lt;&gt;"")</formula>
    </cfRule>
    <cfRule type="expression" dxfId="3224" priority="4470" stopIfTrue="1">
      <formula>F514&lt;&gt;""</formula>
    </cfRule>
  </conditionalFormatting>
  <conditionalFormatting sqref="AA633">
    <cfRule type="expression" dxfId="3223" priority="4415" stopIfTrue="1">
      <formula>O633="*CANCELADO"</formula>
    </cfRule>
    <cfRule type="expression" dxfId="3222" priority="4416" stopIfTrue="1">
      <formula>O633="*OBSERVAÇÃO"</formula>
    </cfRule>
  </conditionalFormatting>
  <conditionalFormatting sqref="AA674:AA675">
    <cfRule type="expression" dxfId="3221" priority="4345" stopIfTrue="1">
      <formula>O674="*CANCELADO"</formula>
    </cfRule>
    <cfRule type="expression" dxfId="3220" priority="4346" stopIfTrue="1">
      <formula>O674="*OBSERVAÇÃO"</formula>
    </cfRule>
  </conditionalFormatting>
  <conditionalFormatting sqref="AA673">
    <cfRule type="expression" dxfId="3219" priority="4282" stopIfTrue="1">
      <formula>O673="*CANCELADO"</formula>
    </cfRule>
    <cfRule type="expression" dxfId="3218" priority="4283" stopIfTrue="1">
      <formula>O673="*OBSERVAÇÃO"</formula>
    </cfRule>
  </conditionalFormatting>
  <conditionalFormatting sqref="F673">
    <cfRule type="expression" dxfId="3217" priority="4265" stopIfTrue="1">
      <formula>O673="*OBSERVAÇÃO"</formula>
    </cfRule>
    <cfRule type="expression" dxfId="3216" priority="4266" stopIfTrue="1">
      <formula>O673="*CANCELADO"</formula>
    </cfRule>
    <cfRule type="expression" priority="4267" stopIfTrue="1">
      <formula>A673=""</formula>
    </cfRule>
    <cfRule type="expression" dxfId="3215" priority="4268" stopIfTrue="1">
      <formula>F673=""</formula>
    </cfRule>
    <cfRule type="expression" dxfId="3214" priority="4269" stopIfTrue="1">
      <formula>AND(F673&lt;&gt;"",S673&lt;&gt;"",Y673&lt;&gt;"")</formula>
    </cfRule>
    <cfRule type="expression" dxfId="3213" priority="4270" stopIfTrue="1">
      <formula>AND(F673&lt;&gt;"",S673&lt;&gt;"")</formula>
    </cfRule>
    <cfRule type="expression" dxfId="3212" priority="4271" stopIfTrue="1">
      <formula>F673&lt;&gt;""</formula>
    </cfRule>
  </conditionalFormatting>
  <conditionalFormatting sqref="F674">
    <cfRule type="expression" dxfId="3211" priority="4116" stopIfTrue="1">
      <formula>O674="*OBSERVAÇÃO"</formula>
    </cfRule>
    <cfRule type="expression" dxfId="3210" priority="4117" stopIfTrue="1">
      <formula>O674="*CANCELADO"</formula>
    </cfRule>
    <cfRule type="expression" priority="4118" stopIfTrue="1">
      <formula>A674=""</formula>
    </cfRule>
    <cfRule type="expression" dxfId="3209" priority="4119" stopIfTrue="1">
      <formula>F674=""</formula>
    </cfRule>
    <cfRule type="expression" dxfId="3208" priority="4120" stopIfTrue="1">
      <formula>AND(F674&lt;&gt;"",S674&lt;&gt;"",Y674&lt;&gt;"")</formula>
    </cfRule>
    <cfRule type="expression" dxfId="3207" priority="4121" stopIfTrue="1">
      <formula>AND(F674&lt;&gt;"",S674&lt;&gt;"")</formula>
    </cfRule>
    <cfRule type="expression" dxfId="3206" priority="4122" stopIfTrue="1">
      <formula>F674&lt;&gt;""</formula>
    </cfRule>
  </conditionalFormatting>
  <conditionalFormatting sqref="F675">
    <cfRule type="expression" dxfId="3205" priority="4109" stopIfTrue="1">
      <formula>O675="*OBSERVAÇÃO"</formula>
    </cfRule>
    <cfRule type="expression" dxfId="3204" priority="4110" stopIfTrue="1">
      <formula>O675="*CANCELADO"</formula>
    </cfRule>
    <cfRule type="expression" priority="4111" stopIfTrue="1">
      <formula>A675=""</formula>
    </cfRule>
    <cfRule type="expression" dxfId="3203" priority="4112" stopIfTrue="1">
      <formula>F675=""</formula>
    </cfRule>
    <cfRule type="expression" dxfId="3202" priority="4113" stopIfTrue="1">
      <formula>AND(F675&lt;&gt;"",S675&lt;&gt;"",Y675&lt;&gt;"")</formula>
    </cfRule>
    <cfRule type="expression" dxfId="3201" priority="4114" stopIfTrue="1">
      <formula>AND(F675&lt;&gt;"",S675&lt;&gt;"")</formula>
    </cfRule>
    <cfRule type="expression" dxfId="3200" priority="4115" stopIfTrue="1">
      <formula>F675&lt;&gt;""</formula>
    </cfRule>
  </conditionalFormatting>
  <conditionalFormatting sqref="F687">
    <cfRule type="expression" dxfId="3199" priority="4091" stopIfTrue="1">
      <formula>O687="*OBSERVAÇÃO"</formula>
    </cfRule>
    <cfRule type="expression" dxfId="3198" priority="4092" stopIfTrue="1">
      <formula>O687="*CANCELADO"</formula>
    </cfRule>
    <cfRule type="expression" priority="4093" stopIfTrue="1">
      <formula>A687=""</formula>
    </cfRule>
    <cfRule type="expression" dxfId="3197" priority="4094" stopIfTrue="1">
      <formula>F687=""</formula>
    </cfRule>
    <cfRule type="expression" dxfId="3196" priority="4095" stopIfTrue="1">
      <formula>AND(F687&lt;&gt;"",S687&lt;&gt;"",Y687&lt;&gt;"")</formula>
    </cfRule>
    <cfRule type="expression" dxfId="3195" priority="4096" stopIfTrue="1">
      <formula>AND(F687&lt;&gt;"",S687&lt;&gt;"")</formula>
    </cfRule>
    <cfRule type="expression" dxfId="3194" priority="4097" stopIfTrue="1">
      <formula>F687&lt;&gt;""</formula>
    </cfRule>
  </conditionalFormatting>
  <conditionalFormatting sqref="AA643">
    <cfRule type="expression" dxfId="3193" priority="4049" stopIfTrue="1">
      <formula>O643="*CANCELADO"</formula>
    </cfRule>
    <cfRule type="expression" dxfId="3192" priority="4050" stopIfTrue="1">
      <formula>O643="*OBSERVAÇÃO"</formula>
    </cfRule>
  </conditionalFormatting>
  <conditionalFormatting sqref="AA551">
    <cfRule type="expression" dxfId="3191" priority="4005" stopIfTrue="1">
      <formula>O551="*CANCELADO"</formula>
    </cfRule>
    <cfRule type="expression" dxfId="3190" priority="4006" stopIfTrue="1">
      <formula>O551="*OBSERVAÇÃO"</formula>
    </cfRule>
  </conditionalFormatting>
  <conditionalFormatting sqref="AA550">
    <cfRule type="expression" dxfId="3189" priority="3999" stopIfTrue="1">
      <formula>O550="*CANCELADO"</formula>
    </cfRule>
    <cfRule type="expression" dxfId="3188" priority="4000" stopIfTrue="1">
      <formula>O550="*OBSERVAÇÃO"</formula>
    </cfRule>
  </conditionalFormatting>
  <conditionalFormatting sqref="AA549">
    <cfRule type="expression" dxfId="3187" priority="3997" stopIfTrue="1">
      <formula>O549="*CANCELADO"</formula>
    </cfRule>
    <cfRule type="expression" dxfId="3186" priority="3998" stopIfTrue="1">
      <formula>O549="*OBSERVAÇÃO"</formula>
    </cfRule>
  </conditionalFormatting>
  <conditionalFormatting sqref="AA548">
    <cfRule type="expression" dxfId="3185" priority="3995" stopIfTrue="1">
      <formula>O548="*CANCELADO"</formula>
    </cfRule>
    <cfRule type="expression" dxfId="3184" priority="3996" stopIfTrue="1">
      <formula>O548="*OBSERVAÇÃO"</formula>
    </cfRule>
  </conditionalFormatting>
  <conditionalFormatting sqref="AA553">
    <cfRule type="expression" dxfId="3183" priority="3993" stopIfTrue="1">
      <formula>O553="*CANCELADO"</formula>
    </cfRule>
    <cfRule type="expression" dxfId="3182" priority="3994" stopIfTrue="1">
      <formula>O553="*OBSERVAÇÃO"</formula>
    </cfRule>
  </conditionalFormatting>
  <conditionalFormatting sqref="AA552">
    <cfRule type="expression" dxfId="3181" priority="3991" stopIfTrue="1">
      <formula>O552="*CANCELADO"</formula>
    </cfRule>
    <cfRule type="expression" dxfId="3180" priority="3992" stopIfTrue="1">
      <formula>O552="*OBSERVAÇÃO"</formula>
    </cfRule>
  </conditionalFormatting>
  <conditionalFormatting sqref="A722 A727">
    <cfRule type="expression" dxfId="3179" priority="3987" stopIfTrue="1">
      <formula>A722=""</formula>
    </cfRule>
    <cfRule type="expression" dxfId="3178" priority="3988" stopIfTrue="1">
      <formula>F722=""</formula>
    </cfRule>
    <cfRule type="expression" dxfId="3177" priority="3989" stopIfTrue="1">
      <formula>AND(F722&lt;&gt;"",S722&lt;&gt;"")</formula>
    </cfRule>
    <cfRule type="expression" dxfId="3176" priority="3990" stopIfTrue="1">
      <formula>F722&lt;&gt;""</formula>
    </cfRule>
  </conditionalFormatting>
  <conditionalFormatting sqref="A722 A727">
    <cfRule type="expression" dxfId="3175" priority="3986" stopIfTrue="1">
      <formula>O722="*CANCELADO"</formula>
    </cfRule>
  </conditionalFormatting>
  <conditionalFormatting sqref="AA721:AA722 AA691:AA703 AA708:AA709">
    <cfRule type="expression" dxfId="3174" priority="3984" stopIfTrue="1">
      <formula>O691="*CANCELADO"</formula>
    </cfRule>
    <cfRule type="expression" dxfId="3173" priority="3985" stopIfTrue="1">
      <formula>O691="*OBSERVAÇÃO"</formula>
    </cfRule>
  </conditionalFormatting>
  <conditionalFormatting sqref="A722 A727">
    <cfRule type="expression" dxfId="3172" priority="3977" stopIfTrue="1">
      <formula>A722=""</formula>
    </cfRule>
    <cfRule type="expression" dxfId="3171" priority="3978" stopIfTrue="1">
      <formula>F722=""</formula>
    </cfRule>
    <cfRule type="expression" dxfId="3170" priority="3979" stopIfTrue="1">
      <formula>AND(F722&lt;&gt;"",S722&lt;&gt;"")</formula>
    </cfRule>
    <cfRule type="expression" dxfId="3169" priority="3980" stopIfTrue="1">
      <formula>F722&lt;&gt;""</formula>
    </cfRule>
  </conditionalFormatting>
  <conditionalFormatting sqref="A722 A727">
    <cfRule type="expression" dxfId="3168" priority="3976" stopIfTrue="1">
      <formula>O722="*OBSERVAÇÃO"</formula>
    </cfRule>
  </conditionalFormatting>
  <conditionalFormatting sqref="A722 A727">
    <cfRule type="expression" dxfId="3167" priority="3974" stopIfTrue="1">
      <formula>AND(F722&lt;&gt;"",S722&lt;&gt;"",Y722&lt;&gt;"")</formula>
    </cfRule>
  </conditionalFormatting>
  <conditionalFormatting sqref="F691 F699:F701 F709 F722">
    <cfRule type="expression" dxfId="3166" priority="3967" stopIfTrue="1">
      <formula>O691="*OBSERVAÇÃO"</formula>
    </cfRule>
    <cfRule type="expression" dxfId="3165" priority="3968" stopIfTrue="1">
      <formula>O691="*CANCELADO"</formula>
    </cfRule>
    <cfRule type="expression" priority="3969" stopIfTrue="1">
      <formula>A691=""</formula>
    </cfRule>
    <cfRule type="expression" dxfId="3164" priority="3970" stopIfTrue="1">
      <formula>F691=""</formula>
    </cfRule>
    <cfRule type="expression" dxfId="3163" priority="3971" stopIfTrue="1">
      <formula>AND(F691&lt;&gt;"",S691&lt;&gt;"",Y691&lt;&gt;"")</formula>
    </cfRule>
    <cfRule type="expression" dxfId="3162" priority="3972" stopIfTrue="1">
      <formula>AND(F691&lt;&gt;"",S691&lt;&gt;"")</formula>
    </cfRule>
    <cfRule type="expression" dxfId="3161" priority="3973" stopIfTrue="1">
      <formula>F691&lt;&gt;""</formula>
    </cfRule>
  </conditionalFormatting>
  <conditionalFormatting sqref="A722">
    <cfRule type="expression" dxfId="3160" priority="3963" stopIfTrue="1">
      <formula>A722=""</formula>
    </cfRule>
    <cfRule type="expression" dxfId="3159" priority="3964" stopIfTrue="1">
      <formula>F722=""</formula>
    </cfRule>
    <cfRule type="expression" dxfId="3158" priority="3965" stopIfTrue="1">
      <formula>AND(F722&lt;&gt;"",S722&lt;&gt;"")</formula>
    </cfRule>
    <cfRule type="expression" dxfId="3157" priority="3966" stopIfTrue="1">
      <formula>F722&lt;&gt;""</formula>
    </cfRule>
  </conditionalFormatting>
  <conditionalFormatting sqref="A722">
    <cfRule type="expression" dxfId="3156" priority="3962" stopIfTrue="1">
      <formula>O722="*CANCELADO"</formula>
    </cfRule>
  </conditionalFormatting>
  <conditionalFormatting sqref="A722">
    <cfRule type="expression" dxfId="3155" priority="3958" stopIfTrue="1">
      <formula>A722=""</formula>
    </cfRule>
    <cfRule type="expression" dxfId="3154" priority="3959" stopIfTrue="1">
      <formula>F722=""</formula>
    </cfRule>
    <cfRule type="expression" dxfId="3153" priority="3960" stopIfTrue="1">
      <formula>AND(F722&lt;&gt;"",S722&lt;&gt;"")</formula>
    </cfRule>
    <cfRule type="expression" dxfId="3152" priority="3961" stopIfTrue="1">
      <formula>F722&lt;&gt;""</formula>
    </cfRule>
  </conditionalFormatting>
  <conditionalFormatting sqref="A722">
    <cfRule type="expression" dxfId="3151" priority="3957" stopIfTrue="1">
      <formula>O722="*OBSERVAÇÃO"</formula>
    </cfRule>
  </conditionalFormatting>
  <conditionalFormatting sqref="A722">
    <cfRule type="expression" dxfId="3150" priority="3956" stopIfTrue="1">
      <formula>AND(F722&lt;&gt;"",S722&lt;&gt;"",Y722&lt;&gt;"")</formula>
    </cfRule>
  </conditionalFormatting>
  <conditionalFormatting sqref="A722">
    <cfRule type="expression" dxfId="3149" priority="3952" stopIfTrue="1">
      <formula>A722=""</formula>
    </cfRule>
    <cfRule type="expression" dxfId="3148" priority="3953" stopIfTrue="1">
      <formula>F722=""</formula>
    </cfRule>
    <cfRule type="expression" dxfId="3147" priority="3954" stopIfTrue="1">
      <formula>AND(F722&lt;&gt;"",S722&lt;&gt;"")</formula>
    </cfRule>
    <cfRule type="expression" dxfId="3146" priority="3955" stopIfTrue="1">
      <formula>F722&lt;&gt;""</formula>
    </cfRule>
  </conditionalFormatting>
  <conditionalFormatting sqref="A722">
    <cfRule type="expression" dxfId="3145" priority="3951" stopIfTrue="1">
      <formula>O722="*CANCELADO"</formula>
    </cfRule>
  </conditionalFormatting>
  <conditionalFormatting sqref="A722">
    <cfRule type="expression" dxfId="3144" priority="3947" stopIfTrue="1">
      <formula>A722=""</formula>
    </cfRule>
    <cfRule type="expression" dxfId="3143" priority="3948" stopIfTrue="1">
      <formula>F722=""</formula>
    </cfRule>
    <cfRule type="expression" dxfId="3142" priority="3949" stopIfTrue="1">
      <formula>AND(F722&lt;&gt;"",S722&lt;&gt;"")</formula>
    </cfRule>
    <cfRule type="expression" dxfId="3141" priority="3950" stopIfTrue="1">
      <formula>F722&lt;&gt;""</formula>
    </cfRule>
  </conditionalFormatting>
  <conditionalFormatting sqref="A722">
    <cfRule type="expression" dxfId="3140" priority="3946" stopIfTrue="1">
      <formula>O722="*OBSERVAÇÃO"</formula>
    </cfRule>
  </conditionalFormatting>
  <conditionalFormatting sqref="A722">
    <cfRule type="expression" dxfId="3139" priority="3945" stopIfTrue="1">
      <formula>AND(F722&lt;&gt;"",S722&lt;&gt;"",Y722&lt;&gt;"")</formula>
    </cfRule>
  </conditionalFormatting>
  <conditionalFormatting sqref="A722">
    <cfRule type="expression" dxfId="3138" priority="3941" stopIfTrue="1">
      <formula>A722=""</formula>
    </cfRule>
    <cfRule type="expression" dxfId="3137" priority="3942" stopIfTrue="1">
      <formula>F722=""</formula>
    </cfRule>
    <cfRule type="expression" dxfId="3136" priority="3943" stopIfTrue="1">
      <formula>AND(F722&lt;&gt;"",S722&lt;&gt;"")</formula>
    </cfRule>
    <cfRule type="expression" dxfId="3135" priority="3944" stopIfTrue="1">
      <formula>F722&lt;&gt;""</formula>
    </cfRule>
  </conditionalFormatting>
  <conditionalFormatting sqref="A722">
    <cfRule type="expression" dxfId="3134" priority="3940" stopIfTrue="1">
      <formula>O722="*CANCELADO"</formula>
    </cfRule>
  </conditionalFormatting>
  <conditionalFormatting sqref="A722">
    <cfRule type="expression" dxfId="3133" priority="3936" stopIfTrue="1">
      <formula>A722=""</formula>
    </cfRule>
    <cfRule type="expression" dxfId="3132" priority="3937" stopIfTrue="1">
      <formula>F722=""</formula>
    </cfRule>
    <cfRule type="expression" dxfId="3131" priority="3938" stopIfTrue="1">
      <formula>AND(F722&lt;&gt;"",S722&lt;&gt;"")</formula>
    </cfRule>
    <cfRule type="expression" dxfId="3130" priority="3939" stopIfTrue="1">
      <formula>F722&lt;&gt;""</formula>
    </cfRule>
  </conditionalFormatting>
  <conditionalFormatting sqref="A722">
    <cfRule type="expression" dxfId="3129" priority="3935" stopIfTrue="1">
      <formula>O722="*OBSERVAÇÃO"</formula>
    </cfRule>
  </conditionalFormatting>
  <conditionalFormatting sqref="A722">
    <cfRule type="expression" dxfId="3128" priority="3931" stopIfTrue="1">
      <formula>A722=""</formula>
    </cfRule>
    <cfRule type="expression" dxfId="3127" priority="3932" stopIfTrue="1">
      <formula>F722=""</formula>
    </cfRule>
    <cfRule type="expression" dxfId="3126" priority="3933" stopIfTrue="1">
      <formula>AND(F722&lt;&gt;"",S722&lt;&gt;"")</formula>
    </cfRule>
    <cfRule type="expression" dxfId="3125" priority="3934" stopIfTrue="1">
      <formula>F722&lt;&gt;""</formula>
    </cfRule>
  </conditionalFormatting>
  <conditionalFormatting sqref="A722">
    <cfRule type="expression" dxfId="3124" priority="3930" stopIfTrue="1">
      <formula>O722="*CANCELADO"</formula>
    </cfRule>
  </conditionalFormatting>
  <conditionalFormatting sqref="A722">
    <cfRule type="expression" dxfId="3123" priority="3929" stopIfTrue="1">
      <formula>O722="*OBSERVAÇÃO"</formula>
    </cfRule>
  </conditionalFormatting>
  <conditionalFormatting sqref="A722">
    <cfRule type="expression" dxfId="3122" priority="3928" stopIfTrue="1">
      <formula>AND(F722&lt;&gt;"",S722&lt;&gt;"",Y722&lt;&gt;"")</formula>
    </cfRule>
  </conditionalFormatting>
  <conditionalFormatting sqref="F692:F698">
    <cfRule type="expression" dxfId="3121" priority="3910" stopIfTrue="1">
      <formula>O692="*OBSERVAÇÃO"</formula>
    </cfRule>
    <cfRule type="expression" dxfId="3120" priority="3911" stopIfTrue="1">
      <formula>O692="*CANCELADO"</formula>
    </cfRule>
    <cfRule type="expression" priority="3912" stopIfTrue="1">
      <formula>A692=""</formula>
    </cfRule>
    <cfRule type="expression" dxfId="3119" priority="3913" stopIfTrue="1">
      <formula>F692=""</formula>
    </cfRule>
    <cfRule type="expression" dxfId="3118" priority="3914" stopIfTrue="1">
      <formula>AND(F692&lt;&gt;"",S692&lt;&gt;"",Y692&lt;&gt;"")</formula>
    </cfRule>
    <cfRule type="expression" dxfId="3117" priority="3915" stopIfTrue="1">
      <formula>AND(F692&lt;&gt;"",S692&lt;&gt;"")</formula>
    </cfRule>
    <cfRule type="expression" dxfId="3116" priority="3916" stopIfTrue="1">
      <formula>F692&lt;&gt;""</formula>
    </cfRule>
  </conditionalFormatting>
  <conditionalFormatting sqref="F702:F703">
    <cfRule type="expression" dxfId="3115" priority="3853" stopIfTrue="1">
      <formula>O702="*OBSERVAÇÃO"</formula>
    </cfRule>
    <cfRule type="expression" dxfId="3114" priority="3854" stopIfTrue="1">
      <formula>O702="*CANCELADO"</formula>
    </cfRule>
    <cfRule type="expression" priority="3855" stopIfTrue="1">
      <formula>A702=""</formula>
    </cfRule>
    <cfRule type="expression" dxfId="3113" priority="3856" stopIfTrue="1">
      <formula>F702=""</formula>
    </cfRule>
    <cfRule type="expression" dxfId="3112" priority="3857" stopIfTrue="1">
      <formula>AND(F702&lt;&gt;"",S702&lt;&gt;"",Y702&lt;&gt;"")</formula>
    </cfRule>
    <cfRule type="expression" dxfId="3111" priority="3858" stopIfTrue="1">
      <formula>AND(F702&lt;&gt;"",S702&lt;&gt;"")</formula>
    </cfRule>
    <cfRule type="expression" dxfId="3110" priority="3859" stopIfTrue="1">
      <formula>F702&lt;&gt;""</formula>
    </cfRule>
  </conditionalFormatting>
  <conditionalFormatting sqref="AA707">
    <cfRule type="expression" dxfId="3109" priority="3807" stopIfTrue="1">
      <formula>O707="*CANCELADO"</formula>
    </cfRule>
    <cfRule type="expression" dxfId="3108" priority="3808" stopIfTrue="1">
      <formula>O707="*OBSERVAÇÃO"</formula>
    </cfRule>
  </conditionalFormatting>
  <conditionalFormatting sqref="F707">
    <cfRule type="expression" dxfId="3107" priority="3793" stopIfTrue="1">
      <formula>O707="*OBSERVAÇÃO"</formula>
    </cfRule>
    <cfRule type="expression" dxfId="3106" priority="3794" stopIfTrue="1">
      <formula>O707="*CANCELADO"</formula>
    </cfRule>
    <cfRule type="expression" priority="3795" stopIfTrue="1">
      <formula>A707=""</formula>
    </cfRule>
    <cfRule type="expression" dxfId="3105" priority="3796" stopIfTrue="1">
      <formula>F707=""</formula>
    </cfRule>
    <cfRule type="expression" dxfId="3104" priority="3797" stopIfTrue="1">
      <formula>AND(F707&lt;&gt;"",S707&lt;&gt;"",Y707&lt;&gt;"")</formula>
    </cfRule>
    <cfRule type="expression" dxfId="3103" priority="3798" stopIfTrue="1">
      <formula>AND(F707&lt;&gt;"",S707&lt;&gt;"")</formula>
    </cfRule>
    <cfRule type="expression" dxfId="3102" priority="3799" stopIfTrue="1">
      <formula>F707&lt;&gt;""</formula>
    </cfRule>
  </conditionalFormatting>
  <conditionalFormatting sqref="F708">
    <cfRule type="expression" dxfId="3101" priority="3736" stopIfTrue="1">
      <formula>O708="*OBSERVAÇÃO"</formula>
    </cfRule>
    <cfRule type="expression" dxfId="3100" priority="3737" stopIfTrue="1">
      <formula>O708="*CANCELADO"</formula>
    </cfRule>
    <cfRule type="expression" priority="3738" stopIfTrue="1">
      <formula>A708=""</formula>
    </cfRule>
    <cfRule type="expression" dxfId="3099" priority="3739" stopIfTrue="1">
      <formula>F708=""</formula>
    </cfRule>
    <cfRule type="expression" dxfId="3098" priority="3740" stopIfTrue="1">
      <formula>AND(F708&lt;&gt;"",S708&lt;&gt;"",Y708&lt;&gt;"")</formula>
    </cfRule>
    <cfRule type="expression" dxfId="3097" priority="3741" stopIfTrue="1">
      <formula>AND(F708&lt;&gt;"",S708&lt;&gt;"")</formula>
    </cfRule>
    <cfRule type="expression" dxfId="3096" priority="3742" stopIfTrue="1">
      <formula>F708&lt;&gt;""</formula>
    </cfRule>
  </conditionalFormatting>
  <conditionalFormatting sqref="AA701:AA704">
    <cfRule type="expression" dxfId="3095" priority="3623" stopIfTrue="1">
      <formula>O701="*CANCELADO"</formula>
    </cfRule>
    <cfRule type="expression" dxfId="3094" priority="3624" stopIfTrue="1">
      <formula>O701="*OBSERVAÇÃO"</formula>
    </cfRule>
  </conditionalFormatting>
  <conditionalFormatting sqref="A3041">
    <cfRule type="expression" dxfId="3093" priority="3619" stopIfTrue="1">
      <formula>A3041=""</formula>
    </cfRule>
    <cfRule type="expression" dxfId="3092" priority="3620" stopIfTrue="1">
      <formula>F3041=""</formula>
    </cfRule>
    <cfRule type="expression" dxfId="3091" priority="3621" stopIfTrue="1">
      <formula>AND(F3041&lt;&gt;"",S3041&lt;&gt;"")</formula>
    </cfRule>
    <cfRule type="expression" dxfId="3090" priority="3622" stopIfTrue="1">
      <formula>F3041&lt;&gt;""</formula>
    </cfRule>
  </conditionalFormatting>
  <conditionalFormatting sqref="A3041">
    <cfRule type="expression" dxfId="3089" priority="3618" stopIfTrue="1">
      <formula>O3041="*CANCELADO"</formula>
    </cfRule>
  </conditionalFormatting>
  <conditionalFormatting sqref="A3041">
    <cfRule type="expression" dxfId="3088" priority="3614" stopIfTrue="1">
      <formula>A3041=""</formula>
    </cfRule>
    <cfRule type="expression" dxfId="3087" priority="3615" stopIfTrue="1">
      <formula>F3041=""</formula>
    </cfRule>
    <cfRule type="expression" dxfId="3086" priority="3616" stopIfTrue="1">
      <formula>AND(F3041&lt;&gt;"",S3041&lt;&gt;"")</formula>
    </cfRule>
    <cfRule type="expression" dxfId="3085" priority="3617" stopIfTrue="1">
      <formula>F3041&lt;&gt;""</formula>
    </cfRule>
  </conditionalFormatting>
  <conditionalFormatting sqref="A3041">
    <cfRule type="expression" dxfId="3084" priority="3613" stopIfTrue="1">
      <formula>O3041="*OBSERVAÇÃO"</formula>
    </cfRule>
  </conditionalFormatting>
  <conditionalFormatting sqref="A3041">
    <cfRule type="expression" dxfId="3083" priority="3612" stopIfTrue="1">
      <formula>AND(F3041&lt;&gt;"",S3041&lt;&gt;"",Y3041&lt;&gt;"")</formula>
    </cfRule>
  </conditionalFormatting>
  <conditionalFormatting sqref="F3041">
    <cfRule type="expression" dxfId="3082" priority="3605" stopIfTrue="1">
      <formula>O3041="*OBSERVAÇÃO"</formula>
    </cfRule>
    <cfRule type="expression" dxfId="3081" priority="3606" stopIfTrue="1">
      <formula>O3041="*CANCELADO"</formula>
    </cfRule>
    <cfRule type="expression" priority="3607" stopIfTrue="1">
      <formula>A3041=""</formula>
    </cfRule>
    <cfRule type="expression" dxfId="3080" priority="3608" stopIfTrue="1">
      <formula>F3041=""</formula>
    </cfRule>
    <cfRule type="expression" dxfId="3079" priority="3609" stopIfTrue="1">
      <formula>AND(F3041&lt;&gt;"",S3041&lt;&gt;"",Y3041&lt;&gt;"")</formula>
    </cfRule>
    <cfRule type="expression" dxfId="3078" priority="3610" stopIfTrue="1">
      <formula>AND(F3041&lt;&gt;"",S3041&lt;&gt;"")</formula>
    </cfRule>
    <cfRule type="expression" dxfId="3077" priority="3611" stopIfTrue="1">
      <formula>F3041&lt;&gt;""</formula>
    </cfRule>
  </conditionalFormatting>
  <conditionalFormatting sqref="A728:A738">
    <cfRule type="expression" dxfId="3076" priority="3532" stopIfTrue="1">
      <formula>A728=""</formula>
    </cfRule>
    <cfRule type="expression" dxfId="3075" priority="3533" stopIfTrue="1">
      <formula>F728=""</formula>
    </cfRule>
    <cfRule type="expression" dxfId="3074" priority="3534" stopIfTrue="1">
      <formula>AND(F728&lt;&gt;"",S728&lt;&gt;"")</formula>
    </cfRule>
    <cfRule type="expression" dxfId="3073" priority="3535" stopIfTrue="1">
      <formula>F728&lt;&gt;""</formula>
    </cfRule>
  </conditionalFormatting>
  <conditionalFormatting sqref="A728:A738">
    <cfRule type="expression" dxfId="3072" priority="3531" stopIfTrue="1">
      <formula>O728="*CANCELADO"</formula>
    </cfRule>
  </conditionalFormatting>
  <conditionalFormatting sqref="A728:A738">
    <cfRule type="expression" dxfId="3071" priority="3527" stopIfTrue="1">
      <formula>A728=""</formula>
    </cfRule>
    <cfRule type="expression" dxfId="3070" priority="3528" stopIfTrue="1">
      <formula>F728=""</formula>
    </cfRule>
    <cfRule type="expression" dxfId="3069" priority="3529" stopIfTrue="1">
      <formula>AND(F728&lt;&gt;"",S728&lt;&gt;"")</formula>
    </cfRule>
    <cfRule type="expression" dxfId="3068" priority="3530" stopIfTrue="1">
      <formula>F728&lt;&gt;""</formula>
    </cfRule>
  </conditionalFormatting>
  <conditionalFormatting sqref="A728:A738">
    <cfRule type="expression" dxfId="3067" priority="3526" stopIfTrue="1">
      <formula>O728="*OBSERVAÇÃO"</formula>
    </cfRule>
  </conditionalFormatting>
  <conditionalFormatting sqref="A728:A738">
    <cfRule type="expression" dxfId="3066" priority="3525" stopIfTrue="1">
      <formula>AND(F728&lt;&gt;"",S728&lt;&gt;"",Y728&lt;&gt;"")</formula>
    </cfRule>
  </conditionalFormatting>
  <conditionalFormatting sqref="AA710:AA720">
    <cfRule type="expression" dxfId="3065" priority="3514" stopIfTrue="1">
      <formula>O710="*CANCELADO"</formula>
    </cfRule>
    <cfRule type="expression" dxfId="3064" priority="3515" stopIfTrue="1">
      <formula>O710="*OBSERVAÇÃO"</formula>
    </cfRule>
  </conditionalFormatting>
  <conditionalFormatting sqref="F710">
    <cfRule type="expression" dxfId="3063" priority="3500" stopIfTrue="1">
      <formula>O710="*OBSERVAÇÃO"</formula>
    </cfRule>
    <cfRule type="expression" dxfId="3062" priority="3501" stopIfTrue="1">
      <formula>O710="*CANCELADO"</formula>
    </cfRule>
    <cfRule type="expression" priority="3502" stopIfTrue="1">
      <formula>A710=""</formula>
    </cfRule>
    <cfRule type="expression" dxfId="3061" priority="3503" stopIfTrue="1">
      <formula>F710=""</formula>
    </cfRule>
    <cfRule type="expression" dxfId="3060" priority="3504" stopIfTrue="1">
      <formula>AND(F710&lt;&gt;"",S710&lt;&gt;"",Y710&lt;&gt;"")</formula>
    </cfRule>
    <cfRule type="expression" dxfId="3059" priority="3505" stopIfTrue="1">
      <formula>AND(F710&lt;&gt;"",S710&lt;&gt;"")</formula>
    </cfRule>
    <cfRule type="expression" dxfId="3058" priority="3506" stopIfTrue="1">
      <formula>F710&lt;&gt;""</formula>
    </cfRule>
  </conditionalFormatting>
  <conditionalFormatting sqref="A713:A721">
    <cfRule type="expression" dxfId="3057" priority="3457" stopIfTrue="1">
      <formula>A713=""</formula>
    </cfRule>
    <cfRule type="expression" dxfId="3056" priority="3458" stopIfTrue="1">
      <formula>F713=""</formula>
    </cfRule>
    <cfRule type="expression" dxfId="3055" priority="3459" stopIfTrue="1">
      <formula>AND(F713&lt;&gt;"",S713&lt;&gt;"")</formula>
    </cfRule>
    <cfRule type="expression" dxfId="3054" priority="3460" stopIfTrue="1">
      <formula>F713&lt;&gt;""</formula>
    </cfRule>
  </conditionalFormatting>
  <conditionalFormatting sqref="A713:A721">
    <cfRule type="expression" dxfId="3053" priority="3456" stopIfTrue="1">
      <formula>O713="*CANCELADO"</formula>
    </cfRule>
  </conditionalFormatting>
  <conditionalFormatting sqref="A713:A721">
    <cfRule type="expression" dxfId="3052" priority="3452" stopIfTrue="1">
      <formula>A713=""</formula>
    </cfRule>
    <cfRule type="expression" dxfId="3051" priority="3453" stopIfTrue="1">
      <formula>F713=""</formula>
    </cfRule>
    <cfRule type="expression" dxfId="3050" priority="3454" stopIfTrue="1">
      <formula>AND(F713&lt;&gt;"",S713&lt;&gt;"")</formula>
    </cfRule>
    <cfRule type="expression" dxfId="3049" priority="3455" stopIfTrue="1">
      <formula>F713&lt;&gt;""</formula>
    </cfRule>
  </conditionalFormatting>
  <conditionalFormatting sqref="A713:A721">
    <cfRule type="expression" dxfId="3048" priority="3451" stopIfTrue="1">
      <formula>O713="*OBSERVAÇÃO"</formula>
    </cfRule>
  </conditionalFormatting>
  <conditionalFormatting sqref="A713:A721">
    <cfRule type="expression" dxfId="3047" priority="3450" stopIfTrue="1">
      <formula>AND(F713&lt;&gt;"",S713&lt;&gt;"",Y713&lt;&gt;"")</formula>
    </cfRule>
  </conditionalFormatting>
  <conditionalFormatting sqref="F711:F721">
    <cfRule type="expression" dxfId="3046" priority="3443" stopIfTrue="1">
      <formula>O711="*OBSERVAÇÃO"</formula>
    </cfRule>
    <cfRule type="expression" dxfId="3045" priority="3444" stopIfTrue="1">
      <formula>O711="*CANCELADO"</formula>
    </cfRule>
    <cfRule type="expression" priority="3445" stopIfTrue="1">
      <formula>A711=""</formula>
    </cfRule>
    <cfRule type="expression" dxfId="3044" priority="3446" stopIfTrue="1">
      <formula>F711=""</formula>
    </cfRule>
    <cfRule type="expression" dxfId="3043" priority="3447" stopIfTrue="1">
      <formula>AND(F711&lt;&gt;"",S711&lt;&gt;"",Y711&lt;&gt;"")</formula>
    </cfRule>
    <cfRule type="expression" dxfId="3042" priority="3448" stopIfTrue="1">
      <formula>AND(F711&lt;&gt;"",S711&lt;&gt;"")</formula>
    </cfRule>
    <cfRule type="expression" dxfId="3041" priority="3449" stopIfTrue="1">
      <formula>F711&lt;&gt;""</formula>
    </cfRule>
  </conditionalFormatting>
  <conditionalFormatting sqref="A713:A721">
    <cfRule type="expression" dxfId="3040" priority="3439" stopIfTrue="1">
      <formula>A713=""</formula>
    </cfRule>
    <cfRule type="expression" dxfId="3039" priority="3440" stopIfTrue="1">
      <formula>F713=""</formula>
    </cfRule>
    <cfRule type="expression" dxfId="3038" priority="3441" stopIfTrue="1">
      <formula>AND(F713&lt;&gt;"",S713&lt;&gt;"")</formula>
    </cfRule>
    <cfRule type="expression" dxfId="3037" priority="3442" stopIfTrue="1">
      <formula>F713&lt;&gt;""</formula>
    </cfRule>
  </conditionalFormatting>
  <conditionalFormatting sqref="A713:A721">
    <cfRule type="expression" dxfId="3036" priority="3438" stopIfTrue="1">
      <formula>O713="*CANCELADO"</formula>
    </cfRule>
  </conditionalFormatting>
  <conditionalFormatting sqref="A713:A721">
    <cfRule type="expression" dxfId="3035" priority="3434" stopIfTrue="1">
      <formula>A713=""</formula>
    </cfRule>
    <cfRule type="expression" dxfId="3034" priority="3435" stopIfTrue="1">
      <formula>F713=""</formula>
    </cfRule>
    <cfRule type="expression" dxfId="3033" priority="3436" stopIfTrue="1">
      <formula>AND(F713&lt;&gt;"",S713&lt;&gt;"")</formula>
    </cfRule>
    <cfRule type="expression" dxfId="3032" priority="3437" stopIfTrue="1">
      <formula>F713&lt;&gt;""</formula>
    </cfRule>
  </conditionalFormatting>
  <conditionalFormatting sqref="A713:A721">
    <cfRule type="expression" dxfId="3031" priority="3433" stopIfTrue="1">
      <formula>O713="*OBSERVAÇÃO"</formula>
    </cfRule>
  </conditionalFormatting>
  <conditionalFormatting sqref="A713:A721">
    <cfRule type="expression" dxfId="3030" priority="3432" stopIfTrue="1">
      <formula>AND(F713&lt;&gt;"",S713&lt;&gt;"",Y713&lt;&gt;"")</formula>
    </cfRule>
  </conditionalFormatting>
  <conditionalFormatting sqref="A713:A721">
    <cfRule type="expression" dxfId="3029" priority="3428" stopIfTrue="1">
      <formula>A713=""</formula>
    </cfRule>
    <cfRule type="expression" dxfId="3028" priority="3429" stopIfTrue="1">
      <formula>F713=""</formula>
    </cfRule>
    <cfRule type="expression" dxfId="3027" priority="3430" stopIfTrue="1">
      <formula>AND(F713&lt;&gt;"",S713&lt;&gt;"")</formula>
    </cfRule>
    <cfRule type="expression" dxfId="3026" priority="3431" stopIfTrue="1">
      <formula>F713&lt;&gt;""</formula>
    </cfRule>
  </conditionalFormatting>
  <conditionalFormatting sqref="A713:A721">
    <cfRule type="expression" dxfId="3025" priority="3427" stopIfTrue="1">
      <formula>O713="*CANCELADO"</formula>
    </cfRule>
  </conditionalFormatting>
  <conditionalFormatting sqref="A713:A721">
    <cfRule type="expression" dxfId="3024" priority="3423" stopIfTrue="1">
      <formula>A713=""</formula>
    </cfRule>
    <cfRule type="expression" dxfId="3023" priority="3424" stopIfTrue="1">
      <formula>F713=""</formula>
    </cfRule>
    <cfRule type="expression" dxfId="3022" priority="3425" stopIfTrue="1">
      <formula>AND(F713&lt;&gt;"",S713&lt;&gt;"")</formula>
    </cfRule>
    <cfRule type="expression" dxfId="3021" priority="3426" stopIfTrue="1">
      <formula>F713&lt;&gt;""</formula>
    </cfRule>
  </conditionalFormatting>
  <conditionalFormatting sqref="A713:A721">
    <cfRule type="expression" dxfId="3020" priority="3422" stopIfTrue="1">
      <formula>O713="*OBSERVAÇÃO"</formula>
    </cfRule>
  </conditionalFormatting>
  <conditionalFormatting sqref="A713:A721">
    <cfRule type="expression" dxfId="3019" priority="3421" stopIfTrue="1">
      <formula>AND(F713&lt;&gt;"",S713&lt;&gt;"",Y713&lt;&gt;"")</formula>
    </cfRule>
  </conditionalFormatting>
  <conditionalFormatting sqref="A713:A721">
    <cfRule type="expression" dxfId="3018" priority="3417" stopIfTrue="1">
      <formula>A713=""</formula>
    </cfRule>
    <cfRule type="expression" dxfId="3017" priority="3418" stopIfTrue="1">
      <formula>F713=""</formula>
    </cfRule>
    <cfRule type="expression" dxfId="3016" priority="3419" stopIfTrue="1">
      <formula>AND(F713&lt;&gt;"",S713&lt;&gt;"")</formula>
    </cfRule>
    <cfRule type="expression" dxfId="3015" priority="3420" stopIfTrue="1">
      <formula>F713&lt;&gt;""</formula>
    </cfRule>
  </conditionalFormatting>
  <conditionalFormatting sqref="A713:A721">
    <cfRule type="expression" dxfId="3014" priority="3416" stopIfTrue="1">
      <formula>O713="*CANCELADO"</formula>
    </cfRule>
  </conditionalFormatting>
  <conditionalFormatting sqref="A713:A721">
    <cfRule type="expression" dxfId="3013" priority="3412" stopIfTrue="1">
      <formula>A713=""</formula>
    </cfRule>
    <cfRule type="expression" dxfId="3012" priority="3413" stopIfTrue="1">
      <formula>F713=""</formula>
    </cfRule>
    <cfRule type="expression" dxfId="3011" priority="3414" stopIfTrue="1">
      <formula>AND(F713&lt;&gt;"",S713&lt;&gt;"")</formula>
    </cfRule>
    <cfRule type="expression" dxfId="3010" priority="3415" stopIfTrue="1">
      <formula>F713&lt;&gt;""</formula>
    </cfRule>
  </conditionalFormatting>
  <conditionalFormatting sqref="A713:A721">
    <cfRule type="expression" dxfId="3009" priority="3411" stopIfTrue="1">
      <formula>O713="*OBSERVAÇÃO"</formula>
    </cfRule>
  </conditionalFormatting>
  <conditionalFormatting sqref="A713:A721">
    <cfRule type="expression" dxfId="3008" priority="3407" stopIfTrue="1">
      <formula>A713=""</formula>
    </cfRule>
    <cfRule type="expression" dxfId="3007" priority="3408" stopIfTrue="1">
      <formula>F713=""</formula>
    </cfRule>
    <cfRule type="expression" dxfId="3006" priority="3409" stopIfTrue="1">
      <formula>AND(F713&lt;&gt;"",S713&lt;&gt;"")</formula>
    </cfRule>
    <cfRule type="expression" dxfId="3005" priority="3410" stopIfTrue="1">
      <formula>F713&lt;&gt;""</formula>
    </cfRule>
  </conditionalFormatting>
  <conditionalFormatting sqref="A713:A721">
    <cfRule type="expression" dxfId="3004" priority="3406" stopIfTrue="1">
      <formula>O713="*CANCELADO"</formula>
    </cfRule>
  </conditionalFormatting>
  <conditionalFormatting sqref="A713:A721">
    <cfRule type="expression" dxfId="3003" priority="3405" stopIfTrue="1">
      <formula>O713="*OBSERVAÇÃO"</formula>
    </cfRule>
  </conditionalFormatting>
  <conditionalFormatting sqref="A713:A721">
    <cfRule type="expression" dxfId="3002" priority="3404" stopIfTrue="1">
      <formula>AND(F713&lt;&gt;"",S713&lt;&gt;"",Y713&lt;&gt;"")</formula>
    </cfRule>
  </conditionalFormatting>
  <conditionalFormatting sqref="A723">
    <cfRule type="expression" dxfId="3001" priority="3396" stopIfTrue="1">
      <formula>A723=""</formula>
    </cfRule>
    <cfRule type="expression" dxfId="3000" priority="3397" stopIfTrue="1">
      <formula>F723=""</formula>
    </cfRule>
    <cfRule type="expression" dxfId="2999" priority="3398" stopIfTrue="1">
      <formula>AND(F723&lt;&gt;"",S723&lt;&gt;"")</formula>
    </cfRule>
    <cfRule type="expression" dxfId="2998" priority="3399" stopIfTrue="1">
      <formula>F723&lt;&gt;""</formula>
    </cfRule>
  </conditionalFormatting>
  <conditionalFormatting sqref="A723">
    <cfRule type="expression" dxfId="2997" priority="3395" stopIfTrue="1">
      <formula>O723="*CANCELADO"</formula>
    </cfRule>
  </conditionalFormatting>
  <conditionalFormatting sqref="AA723:AA726">
    <cfRule type="expression" dxfId="2996" priority="3393" stopIfTrue="1">
      <formula>O723="*CANCELADO"</formula>
    </cfRule>
    <cfRule type="expression" dxfId="2995" priority="3394" stopIfTrue="1">
      <formula>O723="*OBSERVAÇÃO"</formula>
    </cfRule>
  </conditionalFormatting>
  <conditionalFormatting sqref="A723">
    <cfRule type="expression" dxfId="2994" priority="3388" stopIfTrue="1">
      <formula>A723=""</formula>
    </cfRule>
    <cfRule type="expression" dxfId="2993" priority="3389" stopIfTrue="1">
      <formula>F723=""</formula>
    </cfRule>
    <cfRule type="expression" dxfId="2992" priority="3390" stopIfTrue="1">
      <formula>AND(F723&lt;&gt;"",S723&lt;&gt;"")</formula>
    </cfRule>
    <cfRule type="expression" dxfId="2991" priority="3391" stopIfTrue="1">
      <formula>F723&lt;&gt;""</formula>
    </cfRule>
  </conditionalFormatting>
  <conditionalFormatting sqref="A723">
    <cfRule type="expression" dxfId="2990" priority="3387" stopIfTrue="1">
      <formula>O723="*OBSERVAÇÃO"</formula>
    </cfRule>
  </conditionalFormatting>
  <conditionalFormatting sqref="A723">
    <cfRule type="expression" dxfId="2989" priority="3386" stopIfTrue="1">
      <formula>AND(F723&lt;&gt;"",S723&lt;&gt;"",Y723&lt;&gt;"")</formula>
    </cfRule>
  </conditionalFormatting>
  <conditionalFormatting sqref="F723:F726">
    <cfRule type="expression" dxfId="2988" priority="3379" stopIfTrue="1">
      <formula>O723="*OBSERVAÇÃO"</formula>
    </cfRule>
    <cfRule type="expression" dxfId="2987" priority="3380" stopIfTrue="1">
      <formula>O723="*CANCELADO"</formula>
    </cfRule>
    <cfRule type="expression" priority="3381" stopIfTrue="1">
      <formula>A723=""</formula>
    </cfRule>
    <cfRule type="expression" dxfId="2986" priority="3382" stopIfTrue="1">
      <formula>F723=""</formula>
    </cfRule>
    <cfRule type="expression" dxfId="2985" priority="3383" stopIfTrue="1">
      <formula>AND(F723&lt;&gt;"",S723&lt;&gt;"",Y723&lt;&gt;"")</formula>
    </cfRule>
    <cfRule type="expression" dxfId="2984" priority="3384" stopIfTrue="1">
      <formula>AND(F723&lt;&gt;"",S723&lt;&gt;"")</formula>
    </cfRule>
    <cfRule type="expression" dxfId="2983" priority="3385" stopIfTrue="1">
      <formula>F723&lt;&gt;""</formula>
    </cfRule>
  </conditionalFormatting>
  <conditionalFormatting sqref="A740">
    <cfRule type="expression" dxfId="2982" priority="3364" stopIfTrue="1">
      <formula>A740=""</formula>
    </cfRule>
    <cfRule type="expression" dxfId="2981" priority="3365" stopIfTrue="1">
      <formula>F740=""</formula>
    </cfRule>
    <cfRule type="expression" dxfId="2980" priority="3366" stopIfTrue="1">
      <formula>AND(F740&lt;&gt;"",S740&lt;&gt;"")</formula>
    </cfRule>
    <cfRule type="expression" dxfId="2979" priority="3367" stopIfTrue="1">
      <formula>F740&lt;&gt;""</formula>
    </cfRule>
  </conditionalFormatting>
  <conditionalFormatting sqref="A740">
    <cfRule type="expression" dxfId="2978" priority="3363" stopIfTrue="1">
      <formula>O740="*CANCELADO"</formula>
    </cfRule>
  </conditionalFormatting>
  <conditionalFormatting sqref="AA740">
    <cfRule type="expression" dxfId="2977" priority="3361" stopIfTrue="1">
      <formula>O740="*CANCELADO"</formula>
    </cfRule>
    <cfRule type="expression" dxfId="2976" priority="3362" stopIfTrue="1">
      <formula>O740="*OBSERVAÇÃO"</formula>
    </cfRule>
  </conditionalFormatting>
  <conditionalFormatting sqref="A740">
    <cfRule type="expression" dxfId="2975" priority="3354" stopIfTrue="1">
      <formula>A740=""</formula>
    </cfRule>
    <cfRule type="expression" dxfId="2974" priority="3355" stopIfTrue="1">
      <formula>F740=""</formula>
    </cfRule>
    <cfRule type="expression" dxfId="2973" priority="3356" stopIfTrue="1">
      <formula>AND(F740&lt;&gt;"",S740&lt;&gt;"")</formula>
    </cfRule>
    <cfRule type="expression" dxfId="2972" priority="3357" stopIfTrue="1">
      <formula>F740&lt;&gt;""</formula>
    </cfRule>
  </conditionalFormatting>
  <conditionalFormatting sqref="A740">
    <cfRule type="expression" dxfId="2971" priority="3353" stopIfTrue="1">
      <formula>O740="*OBSERVAÇÃO"</formula>
    </cfRule>
  </conditionalFormatting>
  <conditionalFormatting sqref="A740">
    <cfRule type="expression" dxfId="2970" priority="3351" stopIfTrue="1">
      <formula>AND(F740&lt;&gt;"",S740&lt;&gt;"",Y740&lt;&gt;"")</formula>
    </cfRule>
  </conditionalFormatting>
  <conditionalFormatting sqref="F740">
    <cfRule type="expression" dxfId="2969" priority="3344" stopIfTrue="1">
      <formula>O740="*OBSERVAÇÃO"</formula>
    </cfRule>
    <cfRule type="expression" dxfId="2968" priority="3345" stopIfTrue="1">
      <formula>O740="*CANCELADO"</formula>
    </cfRule>
    <cfRule type="expression" priority="3346" stopIfTrue="1">
      <formula>A740=""</formula>
    </cfRule>
    <cfRule type="expression" dxfId="2967" priority="3347" stopIfTrue="1">
      <formula>F740=""</formula>
    </cfRule>
    <cfRule type="expression" dxfId="2966" priority="3348" stopIfTrue="1">
      <formula>AND(F740&lt;&gt;"",S740&lt;&gt;"",Y740&lt;&gt;"")</formula>
    </cfRule>
    <cfRule type="expression" dxfId="2965" priority="3349" stopIfTrue="1">
      <formula>AND(F740&lt;&gt;"",S740&lt;&gt;"")</formula>
    </cfRule>
    <cfRule type="expression" dxfId="2964" priority="3350" stopIfTrue="1">
      <formula>F740&lt;&gt;""</formula>
    </cfRule>
  </conditionalFormatting>
  <conditionalFormatting sqref="A741">
    <cfRule type="expression" dxfId="2963" priority="3340" stopIfTrue="1">
      <formula>A741=""</formula>
    </cfRule>
    <cfRule type="expression" dxfId="2962" priority="3341" stopIfTrue="1">
      <formula>F741=""</formula>
    </cfRule>
    <cfRule type="expression" dxfId="2961" priority="3342" stopIfTrue="1">
      <formula>AND(F741&lt;&gt;"",S741&lt;&gt;"")</formula>
    </cfRule>
    <cfRule type="expression" dxfId="2960" priority="3343" stopIfTrue="1">
      <formula>F741&lt;&gt;""</formula>
    </cfRule>
  </conditionalFormatting>
  <conditionalFormatting sqref="A741">
    <cfRule type="expression" dxfId="2959" priority="3339" stopIfTrue="1">
      <formula>O741="*CANCELADO"</formula>
    </cfRule>
  </conditionalFormatting>
  <conditionalFormatting sqref="A741">
    <cfRule type="expression" dxfId="2958" priority="3335" stopIfTrue="1">
      <formula>A741=""</formula>
    </cfRule>
    <cfRule type="expression" dxfId="2957" priority="3336" stopIfTrue="1">
      <formula>F741=""</formula>
    </cfRule>
    <cfRule type="expression" dxfId="2956" priority="3337" stopIfTrue="1">
      <formula>AND(F741&lt;&gt;"",S741&lt;&gt;"")</formula>
    </cfRule>
    <cfRule type="expression" dxfId="2955" priority="3338" stopIfTrue="1">
      <formula>F741&lt;&gt;""</formula>
    </cfRule>
  </conditionalFormatting>
  <conditionalFormatting sqref="A741">
    <cfRule type="expression" dxfId="2954" priority="3334" stopIfTrue="1">
      <formula>O741="*OBSERVAÇÃO"</formula>
    </cfRule>
  </conditionalFormatting>
  <conditionalFormatting sqref="A741">
    <cfRule type="expression" dxfId="2953" priority="3333" stopIfTrue="1">
      <formula>AND(F741&lt;&gt;"",S741&lt;&gt;"",Y741&lt;&gt;"")</formula>
    </cfRule>
  </conditionalFormatting>
  <conditionalFormatting sqref="F741">
    <cfRule type="expression" dxfId="2952" priority="3326" stopIfTrue="1">
      <formula>O741="*OBSERVAÇÃO"</formula>
    </cfRule>
    <cfRule type="expression" dxfId="2951" priority="3327" stopIfTrue="1">
      <formula>O741="*CANCELADO"</formula>
    </cfRule>
    <cfRule type="expression" priority="3328" stopIfTrue="1">
      <formula>A741=""</formula>
    </cfRule>
    <cfRule type="expression" dxfId="2950" priority="3329" stopIfTrue="1">
      <formula>F741=""</formula>
    </cfRule>
    <cfRule type="expression" dxfId="2949" priority="3330" stopIfTrue="1">
      <formula>AND(F741&lt;&gt;"",S741&lt;&gt;"",Y741&lt;&gt;"")</formula>
    </cfRule>
    <cfRule type="expression" dxfId="2948" priority="3331" stopIfTrue="1">
      <formula>AND(F741&lt;&gt;"",S741&lt;&gt;"")</formula>
    </cfRule>
    <cfRule type="expression" dxfId="2947" priority="3332" stopIfTrue="1">
      <formula>F741&lt;&gt;""</formula>
    </cfRule>
  </conditionalFormatting>
  <conditionalFormatting sqref="A742">
    <cfRule type="expression" dxfId="2946" priority="3322" stopIfTrue="1">
      <formula>A742=""</formula>
    </cfRule>
    <cfRule type="expression" dxfId="2945" priority="3323" stopIfTrue="1">
      <formula>F742=""</formula>
    </cfRule>
    <cfRule type="expression" dxfId="2944" priority="3324" stopIfTrue="1">
      <formula>AND(F742&lt;&gt;"",S742&lt;&gt;"")</formula>
    </cfRule>
    <cfRule type="expression" dxfId="2943" priority="3325" stopIfTrue="1">
      <formula>F742&lt;&gt;""</formula>
    </cfRule>
  </conditionalFormatting>
  <conditionalFormatting sqref="A742">
    <cfRule type="expression" dxfId="2942" priority="3321" stopIfTrue="1">
      <formula>O742="*CANCELADO"</formula>
    </cfRule>
  </conditionalFormatting>
  <conditionalFormatting sqref="AA742:AA744">
    <cfRule type="expression" dxfId="2941" priority="3319" stopIfTrue="1">
      <formula>O742="*CANCELADO"</formula>
    </cfRule>
    <cfRule type="expression" dxfId="2940" priority="3320" stopIfTrue="1">
      <formula>O742="*OBSERVAÇÃO"</formula>
    </cfRule>
  </conditionalFormatting>
  <conditionalFormatting sqref="A742">
    <cfRule type="expression" dxfId="2939" priority="3312" stopIfTrue="1">
      <formula>A742=""</formula>
    </cfRule>
    <cfRule type="expression" dxfId="2938" priority="3313" stopIfTrue="1">
      <formula>F742=""</formula>
    </cfRule>
    <cfRule type="expression" dxfId="2937" priority="3314" stopIfTrue="1">
      <formula>AND(F742&lt;&gt;"",S742&lt;&gt;"")</formula>
    </cfRule>
    <cfRule type="expression" dxfId="2936" priority="3315" stopIfTrue="1">
      <formula>F742&lt;&gt;""</formula>
    </cfRule>
  </conditionalFormatting>
  <conditionalFormatting sqref="A742">
    <cfRule type="expression" dxfId="2935" priority="3311" stopIfTrue="1">
      <formula>O742="*OBSERVAÇÃO"</formula>
    </cfRule>
  </conditionalFormatting>
  <conditionalFormatting sqref="A742">
    <cfRule type="expression" dxfId="2934" priority="3309" stopIfTrue="1">
      <formula>AND(F742&lt;&gt;"",S742&lt;&gt;"",Y742&lt;&gt;"")</formula>
    </cfRule>
  </conditionalFormatting>
  <conditionalFormatting sqref="F742">
    <cfRule type="expression" dxfId="2933" priority="3302" stopIfTrue="1">
      <formula>O742="*OBSERVAÇÃO"</formula>
    </cfRule>
    <cfRule type="expression" dxfId="2932" priority="3303" stopIfTrue="1">
      <formula>O742="*CANCELADO"</formula>
    </cfRule>
    <cfRule type="expression" priority="3304" stopIfTrue="1">
      <formula>A742=""</formula>
    </cfRule>
    <cfRule type="expression" dxfId="2931" priority="3305" stopIfTrue="1">
      <formula>F742=""</formula>
    </cfRule>
    <cfRule type="expression" dxfId="2930" priority="3306" stopIfTrue="1">
      <formula>AND(F742&lt;&gt;"",S742&lt;&gt;"",Y742&lt;&gt;"")</formula>
    </cfRule>
    <cfRule type="expression" dxfId="2929" priority="3307" stopIfTrue="1">
      <formula>AND(F742&lt;&gt;"",S742&lt;&gt;"")</formula>
    </cfRule>
    <cfRule type="expression" dxfId="2928" priority="3308" stopIfTrue="1">
      <formula>F742&lt;&gt;""</formula>
    </cfRule>
  </conditionalFormatting>
  <conditionalFormatting sqref="A743:A745">
    <cfRule type="expression" dxfId="2927" priority="3298" stopIfTrue="1">
      <formula>A743=""</formula>
    </cfRule>
    <cfRule type="expression" dxfId="2926" priority="3299" stopIfTrue="1">
      <formula>F743=""</formula>
    </cfRule>
    <cfRule type="expression" dxfId="2925" priority="3300" stopIfTrue="1">
      <formula>AND(F743&lt;&gt;"",S743&lt;&gt;"")</formula>
    </cfRule>
    <cfRule type="expression" dxfId="2924" priority="3301" stopIfTrue="1">
      <formula>F743&lt;&gt;""</formula>
    </cfRule>
  </conditionalFormatting>
  <conditionalFormatting sqref="A743:A745">
    <cfRule type="expression" dxfId="2923" priority="3297" stopIfTrue="1">
      <formula>O743="*CANCELADO"</formula>
    </cfRule>
  </conditionalFormatting>
  <conditionalFormatting sqref="A743:A745">
    <cfRule type="expression" dxfId="2922" priority="3293" stopIfTrue="1">
      <formula>A743=""</formula>
    </cfRule>
    <cfRule type="expression" dxfId="2921" priority="3294" stopIfTrue="1">
      <formula>F743=""</formula>
    </cfRule>
    <cfRule type="expression" dxfId="2920" priority="3295" stopIfTrue="1">
      <formula>AND(F743&lt;&gt;"",S743&lt;&gt;"")</formula>
    </cfRule>
    <cfRule type="expression" dxfId="2919" priority="3296" stopIfTrue="1">
      <formula>F743&lt;&gt;""</formula>
    </cfRule>
  </conditionalFormatting>
  <conditionalFormatting sqref="A743:A745">
    <cfRule type="expression" dxfId="2918" priority="3292" stopIfTrue="1">
      <formula>O743="*OBSERVAÇÃO"</formula>
    </cfRule>
  </conditionalFormatting>
  <conditionalFormatting sqref="A743:A745">
    <cfRule type="expression" dxfId="2917" priority="3291" stopIfTrue="1">
      <formula>AND(F743&lt;&gt;"",S743&lt;&gt;"",Y743&lt;&gt;"")</formula>
    </cfRule>
  </conditionalFormatting>
  <conditionalFormatting sqref="F743:F745">
    <cfRule type="expression" dxfId="2916" priority="3284" stopIfTrue="1">
      <formula>O743="*OBSERVAÇÃO"</formula>
    </cfRule>
    <cfRule type="expression" dxfId="2915" priority="3285" stopIfTrue="1">
      <formula>O743="*CANCELADO"</formula>
    </cfRule>
    <cfRule type="expression" priority="3286" stopIfTrue="1">
      <formula>A743=""</formula>
    </cfRule>
    <cfRule type="expression" dxfId="2914" priority="3287" stopIfTrue="1">
      <formula>F743=""</formula>
    </cfRule>
    <cfRule type="expression" dxfId="2913" priority="3288" stopIfTrue="1">
      <formula>AND(F743&lt;&gt;"",S743&lt;&gt;"",Y743&lt;&gt;"")</formula>
    </cfRule>
    <cfRule type="expression" dxfId="2912" priority="3289" stopIfTrue="1">
      <formula>AND(F743&lt;&gt;"",S743&lt;&gt;"")</formula>
    </cfRule>
    <cfRule type="expression" dxfId="2911" priority="3290" stopIfTrue="1">
      <formula>F743&lt;&gt;""</formula>
    </cfRule>
  </conditionalFormatting>
  <conditionalFormatting sqref="A747">
    <cfRule type="expression" dxfId="2910" priority="3280" stopIfTrue="1">
      <formula>A747=""</formula>
    </cfRule>
    <cfRule type="expression" dxfId="2909" priority="3281" stopIfTrue="1">
      <formula>F747=""</formula>
    </cfRule>
    <cfRule type="expression" dxfId="2908" priority="3282" stopIfTrue="1">
      <formula>AND(F747&lt;&gt;"",S747&lt;&gt;"")</formula>
    </cfRule>
    <cfRule type="expression" dxfId="2907" priority="3283" stopIfTrue="1">
      <formula>F747&lt;&gt;""</formula>
    </cfRule>
  </conditionalFormatting>
  <conditionalFormatting sqref="A747">
    <cfRule type="expression" dxfId="2906" priority="3279" stopIfTrue="1">
      <formula>O747="*CANCELADO"</formula>
    </cfRule>
  </conditionalFormatting>
  <conditionalFormatting sqref="A747">
    <cfRule type="expression" dxfId="2905" priority="3275" stopIfTrue="1">
      <formula>A747=""</formula>
    </cfRule>
    <cfRule type="expression" dxfId="2904" priority="3276" stopIfTrue="1">
      <formula>F747=""</formula>
    </cfRule>
    <cfRule type="expression" dxfId="2903" priority="3277" stopIfTrue="1">
      <formula>AND(F747&lt;&gt;"",S747&lt;&gt;"")</formula>
    </cfRule>
    <cfRule type="expression" dxfId="2902" priority="3278" stopIfTrue="1">
      <formula>F747&lt;&gt;""</formula>
    </cfRule>
  </conditionalFormatting>
  <conditionalFormatting sqref="A747">
    <cfRule type="expression" dxfId="2901" priority="3274" stopIfTrue="1">
      <formula>O747="*OBSERVAÇÃO"</formula>
    </cfRule>
  </conditionalFormatting>
  <conditionalFormatting sqref="A747">
    <cfRule type="expression" dxfId="2900" priority="3273" stopIfTrue="1">
      <formula>AND(F747&lt;&gt;"",S747&lt;&gt;"",Y747&lt;&gt;"")</formula>
    </cfRule>
  </conditionalFormatting>
  <conditionalFormatting sqref="AA749">
    <cfRule type="expression" dxfId="2899" priority="3271" stopIfTrue="1">
      <formula>O749="*CANCELADO"</formula>
    </cfRule>
    <cfRule type="expression" dxfId="2898" priority="3272" stopIfTrue="1">
      <formula>O749="*OBSERVAÇÃO"</formula>
    </cfRule>
  </conditionalFormatting>
  <conditionalFormatting sqref="AA750">
    <cfRule type="expression" dxfId="2897" priority="3269" stopIfTrue="1">
      <formula>O750="*CANCELADO"</formula>
    </cfRule>
    <cfRule type="expression" dxfId="2896" priority="3270" stopIfTrue="1">
      <formula>O750="*OBSERVAÇÃO"</formula>
    </cfRule>
  </conditionalFormatting>
  <conditionalFormatting sqref="AA751">
    <cfRule type="expression" dxfId="2895" priority="3267" stopIfTrue="1">
      <formula>O751="*CANCELADO"</formula>
    </cfRule>
    <cfRule type="expression" dxfId="2894" priority="3268" stopIfTrue="1">
      <formula>O751="*OBSERVAÇÃO"</formula>
    </cfRule>
  </conditionalFormatting>
  <conditionalFormatting sqref="AA752">
    <cfRule type="expression" dxfId="2893" priority="3265" stopIfTrue="1">
      <formula>O752="*CANCELADO"</formula>
    </cfRule>
    <cfRule type="expression" dxfId="2892" priority="3266" stopIfTrue="1">
      <formula>O752="*OBSERVAÇÃO"</formula>
    </cfRule>
  </conditionalFormatting>
  <conditionalFormatting sqref="A781">
    <cfRule type="expression" dxfId="2891" priority="3208" stopIfTrue="1">
      <formula>A781=""</formula>
    </cfRule>
    <cfRule type="expression" dxfId="2890" priority="3209" stopIfTrue="1">
      <formula>F781=""</formula>
    </cfRule>
    <cfRule type="expression" dxfId="2889" priority="3210" stopIfTrue="1">
      <formula>AND(F781&lt;&gt;"",S781&lt;&gt;"")</formula>
    </cfRule>
    <cfRule type="expression" dxfId="2888" priority="3211" stopIfTrue="1">
      <formula>F781&lt;&gt;""</formula>
    </cfRule>
  </conditionalFormatting>
  <conditionalFormatting sqref="A781">
    <cfRule type="expression" dxfId="2887" priority="3207" stopIfTrue="1">
      <formula>O781="*CANCELADO"</formula>
    </cfRule>
  </conditionalFormatting>
  <conditionalFormatting sqref="AA781">
    <cfRule type="expression" dxfId="2886" priority="3205" stopIfTrue="1">
      <formula>O781="*CANCELADO"</formula>
    </cfRule>
    <cfRule type="expression" dxfId="2885" priority="3206" stopIfTrue="1">
      <formula>O781="*OBSERVAÇÃO"</formula>
    </cfRule>
  </conditionalFormatting>
  <conditionalFormatting sqref="A781">
    <cfRule type="expression" dxfId="2884" priority="3198" stopIfTrue="1">
      <formula>A781=""</formula>
    </cfRule>
    <cfRule type="expression" dxfId="2883" priority="3199" stopIfTrue="1">
      <formula>F781=""</formula>
    </cfRule>
    <cfRule type="expression" dxfId="2882" priority="3200" stopIfTrue="1">
      <formula>AND(F781&lt;&gt;"",S781&lt;&gt;"")</formula>
    </cfRule>
    <cfRule type="expression" dxfId="2881" priority="3201" stopIfTrue="1">
      <formula>F781&lt;&gt;""</formula>
    </cfRule>
  </conditionalFormatting>
  <conditionalFormatting sqref="A781">
    <cfRule type="expression" dxfId="2880" priority="3197" stopIfTrue="1">
      <formula>O781="*OBSERVAÇÃO"</formula>
    </cfRule>
  </conditionalFormatting>
  <conditionalFormatting sqref="A781">
    <cfRule type="expression" dxfId="2879" priority="3195" stopIfTrue="1">
      <formula>AND(F781&lt;&gt;"",S781&lt;&gt;"",Y781&lt;&gt;"")</formula>
    </cfRule>
  </conditionalFormatting>
  <conditionalFormatting sqref="F781">
    <cfRule type="expression" dxfId="2878" priority="3188" stopIfTrue="1">
      <formula>O781="*OBSERVAÇÃO"</formula>
    </cfRule>
    <cfRule type="expression" dxfId="2877" priority="3189" stopIfTrue="1">
      <formula>O781="*CANCELADO"</formula>
    </cfRule>
    <cfRule type="expression" priority="3190" stopIfTrue="1">
      <formula>A781=""</formula>
    </cfRule>
    <cfRule type="expression" dxfId="2876" priority="3191" stopIfTrue="1">
      <formula>F781=""</formula>
    </cfRule>
    <cfRule type="expression" dxfId="2875" priority="3192" stopIfTrue="1">
      <formula>AND(F781&lt;&gt;"",S781&lt;&gt;"",Y781&lt;&gt;"")</formula>
    </cfRule>
    <cfRule type="expression" dxfId="2874" priority="3193" stopIfTrue="1">
      <formula>AND(F781&lt;&gt;"",S781&lt;&gt;"")</formula>
    </cfRule>
    <cfRule type="expression" dxfId="2873" priority="3194" stopIfTrue="1">
      <formula>F781&lt;&gt;""</formula>
    </cfRule>
  </conditionalFormatting>
  <conditionalFormatting sqref="A782">
    <cfRule type="expression" dxfId="2872" priority="3184" stopIfTrue="1">
      <formula>A782=""</formula>
    </cfRule>
    <cfRule type="expression" dxfId="2871" priority="3185" stopIfTrue="1">
      <formula>F782=""</formula>
    </cfRule>
    <cfRule type="expression" dxfId="2870" priority="3186" stopIfTrue="1">
      <formula>AND(F782&lt;&gt;"",S782&lt;&gt;"")</formula>
    </cfRule>
    <cfRule type="expression" dxfId="2869" priority="3187" stopIfTrue="1">
      <formula>F782&lt;&gt;""</formula>
    </cfRule>
  </conditionalFormatting>
  <conditionalFormatting sqref="A782">
    <cfRule type="expression" dxfId="2868" priority="3183" stopIfTrue="1">
      <formula>O782="*CANCELADO"</formula>
    </cfRule>
  </conditionalFormatting>
  <conditionalFormatting sqref="AA782">
    <cfRule type="expression" dxfId="2867" priority="3181" stopIfTrue="1">
      <formula>O782="*CANCELADO"</formula>
    </cfRule>
    <cfRule type="expression" dxfId="2866" priority="3182" stopIfTrue="1">
      <formula>O782="*OBSERVAÇÃO"</formula>
    </cfRule>
  </conditionalFormatting>
  <conditionalFormatting sqref="A782">
    <cfRule type="expression" dxfId="2865" priority="3174" stopIfTrue="1">
      <formula>A782=""</formula>
    </cfRule>
    <cfRule type="expression" dxfId="2864" priority="3175" stopIfTrue="1">
      <formula>F782=""</formula>
    </cfRule>
    <cfRule type="expression" dxfId="2863" priority="3176" stopIfTrue="1">
      <formula>AND(F782&lt;&gt;"",S782&lt;&gt;"")</formula>
    </cfRule>
    <cfRule type="expression" dxfId="2862" priority="3177" stopIfTrue="1">
      <formula>F782&lt;&gt;""</formula>
    </cfRule>
  </conditionalFormatting>
  <conditionalFormatting sqref="A782">
    <cfRule type="expression" dxfId="2861" priority="3173" stopIfTrue="1">
      <formula>O782="*OBSERVAÇÃO"</formula>
    </cfRule>
  </conditionalFormatting>
  <conditionalFormatting sqref="A782">
    <cfRule type="expression" dxfId="2860" priority="3171" stopIfTrue="1">
      <formula>AND(F782&lt;&gt;"",S782&lt;&gt;"",Y782&lt;&gt;"")</formula>
    </cfRule>
  </conditionalFormatting>
  <conditionalFormatting sqref="F782">
    <cfRule type="expression" dxfId="2859" priority="3164" stopIfTrue="1">
      <formula>O782="*OBSERVAÇÃO"</formula>
    </cfRule>
    <cfRule type="expression" dxfId="2858" priority="3165" stopIfTrue="1">
      <formula>O782="*CANCELADO"</formula>
    </cfRule>
    <cfRule type="expression" priority="3166" stopIfTrue="1">
      <formula>A782=""</formula>
    </cfRule>
    <cfRule type="expression" dxfId="2857" priority="3167" stopIfTrue="1">
      <formula>F782=""</formula>
    </cfRule>
    <cfRule type="expression" dxfId="2856" priority="3168" stopIfTrue="1">
      <formula>AND(F782&lt;&gt;"",S782&lt;&gt;"",Y782&lt;&gt;"")</formula>
    </cfRule>
    <cfRule type="expression" dxfId="2855" priority="3169" stopIfTrue="1">
      <formula>AND(F782&lt;&gt;"",S782&lt;&gt;"")</formula>
    </cfRule>
    <cfRule type="expression" dxfId="2854" priority="3170" stopIfTrue="1">
      <formula>F782&lt;&gt;""</formula>
    </cfRule>
  </conditionalFormatting>
  <conditionalFormatting sqref="A783">
    <cfRule type="expression" dxfId="2853" priority="3109" stopIfTrue="1">
      <formula>A783=""</formula>
    </cfRule>
    <cfRule type="expression" dxfId="2852" priority="3110" stopIfTrue="1">
      <formula>F783=""</formula>
    </cfRule>
    <cfRule type="expression" dxfId="2851" priority="3111" stopIfTrue="1">
      <formula>AND(F783&lt;&gt;"",S783&lt;&gt;"")</formula>
    </cfRule>
    <cfRule type="expression" dxfId="2850" priority="3112" stopIfTrue="1">
      <formula>F783&lt;&gt;""</formula>
    </cfRule>
  </conditionalFormatting>
  <conditionalFormatting sqref="A783">
    <cfRule type="expression" dxfId="2849" priority="3108" stopIfTrue="1">
      <formula>O783="*CANCELADO"</formula>
    </cfRule>
  </conditionalFormatting>
  <conditionalFormatting sqref="A783">
    <cfRule type="expression" dxfId="2848" priority="3099" stopIfTrue="1">
      <formula>A783=""</formula>
    </cfRule>
    <cfRule type="expression" dxfId="2847" priority="3100" stopIfTrue="1">
      <formula>F783=""</formula>
    </cfRule>
    <cfRule type="expression" dxfId="2846" priority="3101" stopIfTrue="1">
      <formula>AND(F783&lt;&gt;"",S783&lt;&gt;"")</formula>
    </cfRule>
    <cfRule type="expression" dxfId="2845" priority="3102" stopIfTrue="1">
      <formula>F783&lt;&gt;""</formula>
    </cfRule>
  </conditionalFormatting>
  <conditionalFormatting sqref="A783">
    <cfRule type="expression" dxfId="2844" priority="3098" stopIfTrue="1">
      <formula>O783="*OBSERVAÇÃO"</formula>
    </cfRule>
  </conditionalFormatting>
  <conditionalFormatting sqref="A783">
    <cfRule type="expression" dxfId="2843" priority="3096" stopIfTrue="1">
      <formula>AND(F783&lt;&gt;"",S783&lt;&gt;"",Y783&lt;&gt;"")</formula>
    </cfRule>
  </conditionalFormatting>
  <conditionalFormatting sqref="F783:F794">
    <cfRule type="expression" dxfId="2842" priority="3089" stopIfTrue="1">
      <formula>O783="*OBSERVAÇÃO"</formula>
    </cfRule>
    <cfRule type="expression" dxfId="2841" priority="3090" stopIfTrue="1">
      <formula>O783="*CANCELADO"</formula>
    </cfRule>
    <cfRule type="expression" priority="3091" stopIfTrue="1">
      <formula>A783=""</formula>
    </cfRule>
    <cfRule type="expression" dxfId="2840" priority="3092" stopIfTrue="1">
      <formula>F783=""</formula>
    </cfRule>
    <cfRule type="expression" dxfId="2839" priority="3093" stopIfTrue="1">
      <formula>AND(F783&lt;&gt;"",S783&lt;&gt;"",Y783&lt;&gt;"")</formula>
    </cfRule>
    <cfRule type="expression" dxfId="2838" priority="3094" stopIfTrue="1">
      <formula>AND(F783&lt;&gt;"",S783&lt;&gt;"")</formula>
    </cfRule>
    <cfRule type="expression" dxfId="2837" priority="3095" stopIfTrue="1">
      <formula>F783&lt;&gt;""</formula>
    </cfRule>
  </conditionalFormatting>
  <conditionalFormatting sqref="AA795 AA807">
    <cfRule type="expression" dxfId="2836" priority="3087" stopIfTrue="1">
      <formula>O795="*CANCELADO"</formula>
    </cfRule>
    <cfRule type="expression" dxfId="2835" priority="3088" stopIfTrue="1">
      <formula>O795="*OBSERVAÇÃO"</formula>
    </cfRule>
  </conditionalFormatting>
  <conditionalFormatting sqref="F795:F813">
    <cfRule type="expression" dxfId="2834" priority="3077" stopIfTrue="1">
      <formula>O795="*OBSERVAÇÃO"</formula>
    </cfRule>
    <cfRule type="expression" dxfId="2833" priority="3078" stopIfTrue="1">
      <formula>O795="*CANCELADO"</formula>
    </cfRule>
    <cfRule type="expression" priority="3079" stopIfTrue="1">
      <formula>A795=""</formula>
    </cfRule>
    <cfRule type="expression" dxfId="2832" priority="3080" stopIfTrue="1">
      <formula>F795=""</formula>
    </cfRule>
    <cfRule type="expression" dxfId="2831" priority="3081" stopIfTrue="1">
      <formula>AND(F795&lt;&gt;"",S795&lt;&gt;"",Y795&lt;&gt;"")</formula>
    </cfRule>
    <cfRule type="expression" dxfId="2830" priority="3082" stopIfTrue="1">
      <formula>AND(F795&lt;&gt;"",S795&lt;&gt;"")</formula>
    </cfRule>
    <cfRule type="expression" dxfId="2829" priority="3083" stopIfTrue="1">
      <formula>F795&lt;&gt;""</formula>
    </cfRule>
  </conditionalFormatting>
  <conditionalFormatting sqref="A795">
    <cfRule type="expression" dxfId="2828" priority="3073" stopIfTrue="1">
      <formula>A795=""</formula>
    </cfRule>
    <cfRule type="expression" dxfId="2827" priority="3074" stopIfTrue="1">
      <formula>F795=""</formula>
    </cfRule>
    <cfRule type="expression" dxfId="2826" priority="3075" stopIfTrue="1">
      <formula>AND(F795&lt;&gt;"",S795&lt;&gt;"")</formula>
    </cfRule>
    <cfRule type="expression" dxfId="2825" priority="3076" stopIfTrue="1">
      <formula>F795&lt;&gt;""</formula>
    </cfRule>
  </conditionalFormatting>
  <conditionalFormatting sqref="A795">
    <cfRule type="expression" dxfId="2824" priority="3072" stopIfTrue="1">
      <formula>O795="*CANCELADO"</formula>
    </cfRule>
  </conditionalFormatting>
  <conditionalFormatting sqref="A795">
    <cfRule type="expression" dxfId="2823" priority="3068" stopIfTrue="1">
      <formula>A795=""</formula>
    </cfRule>
    <cfRule type="expression" dxfId="2822" priority="3069" stopIfTrue="1">
      <formula>F795=""</formula>
    </cfRule>
    <cfRule type="expression" dxfId="2821" priority="3070" stopIfTrue="1">
      <formula>AND(F795&lt;&gt;"",S795&lt;&gt;"")</formula>
    </cfRule>
    <cfRule type="expression" dxfId="2820" priority="3071" stopIfTrue="1">
      <formula>F795&lt;&gt;""</formula>
    </cfRule>
  </conditionalFormatting>
  <conditionalFormatting sqref="A795">
    <cfRule type="expression" dxfId="2819" priority="3067" stopIfTrue="1">
      <formula>O795="*OBSERVAÇÃO"</formula>
    </cfRule>
  </conditionalFormatting>
  <conditionalFormatting sqref="A795">
    <cfRule type="expression" dxfId="2818" priority="3066" stopIfTrue="1">
      <formula>AND(F795&lt;&gt;"",S795&lt;&gt;"",Y795&lt;&gt;"")</formula>
    </cfRule>
  </conditionalFormatting>
  <conditionalFormatting sqref="A807">
    <cfRule type="expression" dxfId="2817" priority="3062" stopIfTrue="1">
      <formula>A807=""</formula>
    </cfRule>
    <cfRule type="expression" dxfId="2816" priority="3063" stopIfTrue="1">
      <formula>F807=""</formula>
    </cfRule>
    <cfRule type="expression" dxfId="2815" priority="3064" stopIfTrue="1">
      <formula>AND(F807&lt;&gt;"",S807&lt;&gt;"")</formula>
    </cfRule>
    <cfRule type="expression" dxfId="2814" priority="3065" stopIfTrue="1">
      <formula>F807&lt;&gt;""</formula>
    </cfRule>
  </conditionalFormatting>
  <conditionalFormatting sqref="A807">
    <cfRule type="expression" dxfId="2813" priority="3061" stopIfTrue="1">
      <formula>O807="*CANCELADO"</formula>
    </cfRule>
  </conditionalFormatting>
  <conditionalFormatting sqref="A807">
    <cfRule type="expression" dxfId="2812" priority="3057" stopIfTrue="1">
      <formula>A807=""</formula>
    </cfRule>
    <cfRule type="expression" dxfId="2811" priority="3058" stopIfTrue="1">
      <formula>F807=""</formula>
    </cfRule>
    <cfRule type="expression" dxfId="2810" priority="3059" stopIfTrue="1">
      <formula>AND(F807&lt;&gt;"",S807&lt;&gt;"")</formula>
    </cfRule>
    <cfRule type="expression" dxfId="2809" priority="3060" stopIfTrue="1">
      <formula>F807&lt;&gt;""</formula>
    </cfRule>
  </conditionalFormatting>
  <conditionalFormatting sqref="A807">
    <cfRule type="expression" dxfId="2808" priority="3056" stopIfTrue="1">
      <formula>O807="*OBSERVAÇÃO"</formula>
    </cfRule>
  </conditionalFormatting>
  <conditionalFormatting sqref="A807">
    <cfRule type="expression" dxfId="2807" priority="3055" stopIfTrue="1">
      <formula>AND(F807&lt;&gt;"",S807&lt;&gt;"",Y807&lt;&gt;"")</formula>
    </cfRule>
  </conditionalFormatting>
  <conditionalFormatting sqref="A784:A794">
    <cfRule type="expression" dxfId="2806" priority="3049" stopIfTrue="1">
      <formula>A784=""</formula>
    </cfRule>
    <cfRule type="expression" dxfId="2805" priority="3050" stopIfTrue="1">
      <formula>F784=""</formula>
    </cfRule>
    <cfRule type="expression" dxfId="2804" priority="3051" stopIfTrue="1">
      <formula>AND(F784&lt;&gt;"",S784&lt;&gt;"")</formula>
    </cfRule>
    <cfRule type="expression" dxfId="2803" priority="3052" stopIfTrue="1">
      <formula>F784&lt;&gt;""</formula>
    </cfRule>
  </conditionalFormatting>
  <conditionalFormatting sqref="A784:A794">
    <cfRule type="expression" dxfId="2802" priority="3048" stopIfTrue="1">
      <formula>O784="*CANCELADO"</formula>
    </cfRule>
  </conditionalFormatting>
  <conditionalFormatting sqref="AA784:AA824">
    <cfRule type="expression" dxfId="2801" priority="3046" stopIfTrue="1">
      <formula>O784="*CANCELADO"</formula>
    </cfRule>
    <cfRule type="expression" dxfId="2800" priority="3047" stopIfTrue="1">
      <formula>O784="*OBSERVAÇÃO"</formula>
    </cfRule>
  </conditionalFormatting>
  <conditionalFormatting sqref="A784:A794">
    <cfRule type="expression" dxfId="2799" priority="3039" stopIfTrue="1">
      <formula>A784=""</formula>
    </cfRule>
    <cfRule type="expression" dxfId="2798" priority="3040" stopIfTrue="1">
      <formula>F784=""</formula>
    </cfRule>
    <cfRule type="expression" dxfId="2797" priority="3041" stopIfTrue="1">
      <formula>AND(F784&lt;&gt;"",S784&lt;&gt;"")</formula>
    </cfRule>
    <cfRule type="expression" dxfId="2796" priority="3042" stopIfTrue="1">
      <formula>F784&lt;&gt;""</formula>
    </cfRule>
  </conditionalFormatting>
  <conditionalFormatting sqref="A784:A794">
    <cfRule type="expression" dxfId="2795" priority="3038" stopIfTrue="1">
      <formula>O784="*OBSERVAÇÃO"</formula>
    </cfRule>
  </conditionalFormatting>
  <conditionalFormatting sqref="A784:A794">
    <cfRule type="expression" dxfId="2794" priority="3036" stopIfTrue="1">
      <formula>AND(F784&lt;&gt;"",S784&lt;&gt;"",Y784&lt;&gt;"")</formula>
    </cfRule>
  </conditionalFormatting>
  <conditionalFormatting sqref="F784:F794">
    <cfRule type="expression" dxfId="2793" priority="3029" stopIfTrue="1">
      <formula>O784="*OBSERVAÇÃO"</formula>
    </cfRule>
    <cfRule type="expression" dxfId="2792" priority="3030" stopIfTrue="1">
      <formula>O784="*CANCELADO"</formula>
    </cfRule>
    <cfRule type="expression" priority="3031" stopIfTrue="1">
      <formula>A784=""</formula>
    </cfRule>
    <cfRule type="expression" dxfId="2791" priority="3032" stopIfTrue="1">
      <formula>F784=""</formula>
    </cfRule>
    <cfRule type="expression" dxfId="2790" priority="3033" stopIfTrue="1">
      <formula>AND(F784&lt;&gt;"",S784&lt;&gt;"",Y784&lt;&gt;"")</formula>
    </cfRule>
    <cfRule type="expression" dxfId="2789" priority="3034" stopIfTrue="1">
      <formula>AND(F784&lt;&gt;"",S784&lt;&gt;"")</formula>
    </cfRule>
    <cfRule type="expression" dxfId="2788" priority="3035" stopIfTrue="1">
      <formula>F784&lt;&gt;""</formula>
    </cfRule>
  </conditionalFormatting>
  <conditionalFormatting sqref="AA796:AA806">
    <cfRule type="expression" dxfId="2787" priority="3025" stopIfTrue="1">
      <formula>O796="*CANCELADO"</formula>
    </cfRule>
    <cfRule type="expression" dxfId="2786" priority="3026" stopIfTrue="1">
      <formula>O796="*OBSERVAÇÃO"</formula>
    </cfRule>
  </conditionalFormatting>
  <conditionalFormatting sqref="F796:F806">
    <cfRule type="expression" dxfId="2785" priority="3015" stopIfTrue="1">
      <formula>O796="*OBSERVAÇÃO"</formula>
    </cfRule>
    <cfRule type="expression" dxfId="2784" priority="3016" stopIfTrue="1">
      <formula>O796="*CANCELADO"</formula>
    </cfRule>
    <cfRule type="expression" priority="3017" stopIfTrue="1">
      <formula>A796=""</formula>
    </cfRule>
    <cfRule type="expression" dxfId="2783" priority="3018" stopIfTrue="1">
      <formula>F796=""</formula>
    </cfRule>
    <cfRule type="expression" dxfId="2782" priority="3019" stopIfTrue="1">
      <formula>AND(F796&lt;&gt;"",S796&lt;&gt;"",Y796&lt;&gt;"")</formula>
    </cfRule>
    <cfRule type="expression" dxfId="2781" priority="3020" stopIfTrue="1">
      <formula>AND(F796&lt;&gt;"",S796&lt;&gt;"")</formula>
    </cfRule>
    <cfRule type="expression" dxfId="2780" priority="3021" stopIfTrue="1">
      <formula>F796&lt;&gt;""</formula>
    </cfRule>
  </conditionalFormatting>
  <conditionalFormatting sqref="A796:A806">
    <cfRule type="expression" dxfId="2779" priority="3011" stopIfTrue="1">
      <formula>A796=""</formula>
    </cfRule>
    <cfRule type="expression" dxfId="2778" priority="3012" stopIfTrue="1">
      <formula>F796=""</formula>
    </cfRule>
    <cfRule type="expression" dxfId="2777" priority="3013" stopIfTrue="1">
      <formula>AND(F796&lt;&gt;"",S796&lt;&gt;"")</formula>
    </cfRule>
    <cfRule type="expression" dxfId="2776" priority="3014" stopIfTrue="1">
      <formula>F796&lt;&gt;""</formula>
    </cfRule>
  </conditionalFormatting>
  <conditionalFormatting sqref="A796:A806">
    <cfRule type="expression" dxfId="2775" priority="3010" stopIfTrue="1">
      <formula>O796="*CANCELADO"</formula>
    </cfRule>
  </conditionalFormatting>
  <conditionalFormatting sqref="A796:A806">
    <cfRule type="expression" dxfId="2774" priority="3006" stopIfTrue="1">
      <formula>A796=""</formula>
    </cfRule>
    <cfRule type="expression" dxfId="2773" priority="3007" stopIfTrue="1">
      <formula>F796=""</formula>
    </cfRule>
    <cfRule type="expression" dxfId="2772" priority="3008" stopIfTrue="1">
      <formula>AND(F796&lt;&gt;"",S796&lt;&gt;"")</formula>
    </cfRule>
    <cfRule type="expression" dxfId="2771" priority="3009" stopIfTrue="1">
      <formula>F796&lt;&gt;""</formula>
    </cfRule>
  </conditionalFormatting>
  <conditionalFormatting sqref="A796:A806">
    <cfRule type="expression" dxfId="2770" priority="3005" stopIfTrue="1">
      <formula>O796="*OBSERVAÇÃO"</formula>
    </cfRule>
  </conditionalFormatting>
  <conditionalFormatting sqref="A796:A806">
    <cfRule type="expression" dxfId="2769" priority="3004" stopIfTrue="1">
      <formula>AND(F796&lt;&gt;"",S796&lt;&gt;"",Y796&lt;&gt;"")</formula>
    </cfRule>
  </conditionalFormatting>
  <conditionalFormatting sqref="AA808:AA813">
    <cfRule type="expression" dxfId="2768" priority="2999" stopIfTrue="1">
      <formula>O808="*CANCELADO"</formula>
    </cfRule>
    <cfRule type="expression" dxfId="2767" priority="3000" stopIfTrue="1">
      <formula>O808="*OBSERVAÇÃO"</formula>
    </cfRule>
  </conditionalFormatting>
  <conditionalFormatting sqref="F808:F813">
    <cfRule type="expression" dxfId="2766" priority="2989" stopIfTrue="1">
      <formula>O808="*OBSERVAÇÃO"</formula>
    </cfRule>
    <cfRule type="expression" dxfId="2765" priority="2990" stopIfTrue="1">
      <formula>O808="*CANCELADO"</formula>
    </cfRule>
    <cfRule type="expression" priority="2991" stopIfTrue="1">
      <formula>A808=""</formula>
    </cfRule>
    <cfRule type="expression" dxfId="2764" priority="2992" stopIfTrue="1">
      <formula>F808=""</formula>
    </cfRule>
    <cfRule type="expression" dxfId="2763" priority="2993" stopIfTrue="1">
      <formula>AND(F808&lt;&gt;"",S808&lt;&gt;"",Y808&lt;&gt;"")</formula>
    </cfRule>
    <cfRule type="expression" dxfId="2762" priority="2994" stopIfTrue="1">
      <formula>AND(F808&lt;&gt;"",S808&lt;&gt;"")</formula>
    </cfRule>
    <cfRule type="expression" dxfId="2761" priority="2995" stopIfTrue="1">
      <formula>F808&lt;&gt;""</formula>
    </cfRule>
  </conditionalFormatting>
  <conditionalFormatting sqref="A808:A813">
    <cfRule type="expression" dxfId="2760" priority="2985" stopIfTrue="1">
      <formula>A808=""</formula>
    </cfRule>
    <cfRule type="expression" dxfId="2759" priority="2986" stopIfTrue="1">
      <formula>F808=""</formula>
    </cfRule>
    <cfRule type="expression" dxfId="2758" priority="2987" stopIfTrue="1">
      <formula>AND(F808&lt;&gt;"",S808&lt;&gt;"")</formula>
    </cfRule>
    <cfRule type="expression" dxfId="2757" priority="2988" stopIfTrue="1">
      <formula>F808&lt;&gt;""</formula>
    </cfRule>
  </conditionalFormatting>
  <conditionalFormatting sqref="A808:A813">
    <cfRule type="expression" dxfId="2756" priority="2984" stopIfTrue="1">
      <formula>O808="*CANCELADO"</formula>
    </cfRule>
  </conditionalFormatting>
  <conditionalFormatting sqref="A808:A813">
    <cfRule type="expression" dxfId="2755" priority="2980" stopIfTrue="1">
      <formula>A808=""</formula>
    </cfRule>
    <cfRule type="expression" dxfId="2754" priority="2981" stopIfTrue="1">
      <formula>F808=""</formula>
    </cfRule>
    <cfRule type="expression" dxfId="2753" priority="2982" stopIfTrue="1">
      <formula>AND(F808&lt;&gt;"",S808&lt;&gt;"")</formula>
    </cfRule>
    <cfRule type="expression" dxfId="2752" priority="2983" stopIfTrue="1">
      <formula>F808&lt;&gt;""</formula>
    </cfRule>
  </conditionalFormatting>
  <conditionalFormatting sqref="A808:A813">
    <cfRule type="expression" dxfId="2751" priority="2979" stopIfTrue="1">
      <formula>O808="*OBSERVAÇÃO"</formula>
    </cfRule>
  </conditionalFormatting>
  <conditionalFormatting sqref="A808:A813">
    <cfRule type="expression" dxfId="2750" priority="2978" stopIfTrue="1">
      <formula>AND(F808&lt;&gt;"",S808&lt;&gt;"",Y808&lt;&gt;"")</formula>
    </cfRule>
  </conditionalFormatting>
  <conditionalFormatting sqref="A815:A816">
    <cfRule type="expression" dxfId="2749" priority="2974" stopIfTrue="1">
      <formula>A815=""</formula>
    </cfRule>
    <cfRule type="expression" dxfId="2748" priority="2975" stopIfTrue="1">
      <formula>F815=""</formula>
    </cfRule>
    <cfRule type="expression" dxfId="2747" priority="2976" stopIfTrue="1">
      <formula>AND(F815&lt;&gt;"",S815&lt;&gt;"")</formula>
    </cfRule>
    <cfRule type="expression" dxfId="2746" priority="2977" stopIfTrue="1">
      <formula>F815&lt;&gt;""</formula>
    </cfRule>
  </conditionalFormatting>
  <conditionalFormatting sqref="A815:A816">
    <cfRule type="expression" dxfId="2745" priority="2973" stopIfTrue="1">
      <formula>O815="*CANCELADO"</formula>
    </cfRule>
  </conditionalFormatting>
  <conditionalFormatting sqref="AA815:AA816">
    <cfRule type="expression" dxfId="2744" priority="2971" stopIfTrue="1">
      <formula>O815="*CANCELADO"</formula>
    </cfRule>
    <cfRule type="expression" dxfId="2743" priority="2972" stopIfTrue="1">
      <formula>O815="*OBSERVAÇÃO"</formula>
    </cfRule>
  </conditionalFormatting>
  <conditionalFormatting sqref="A815:A816">
    <cfRule type="expression" dxfId="2742" priority="2964" stopIfTrue="1">
      <formula>A815=""</formula>
    </cfRule>
    <cfRule type="expression" dxfId="2741" priority="2965" stopIfTrue="1">
      <formula>F815=""</formula>
    </cfRule>
    <cfRule type="expression" dxfId="2740" priority="2966" stopIfTrue="1">
      <formula>AND(F815&lt;&gt;"",S815&lt;&gt;"")</formula>
    </cfRule>
    <cfRule type="expression" dxfId="2739" priority="2967" stopIfTrue="1">
      <formula>F815&lt;&gt;""</formula>
    </cfRule>
  </conditionalFormatting>
  <conditionalFormatting sqref="A815:A816">
    <cfRule type="expression" dxfId="2738" priority="2963" stopIfTrue="1">
      <formula>O815="*OBSERVAÇÃO"</formula>
    </cfRule>
  </conditionalFormatting>
  <conditionalFormatting sqref="A815:A816">
    <cfRule type="expression" dxfId="2737" priority="2961" stopIfTrue="1">
      <formula>AND(F815&lt;&gt;"",S815&lt;&gt;"",Y815&lt;&gt;"")</formula>
    </cfRule>
  </conditionalFormatting>
  <conditionalFormatting sqref="F815:F816">
    <cfRule type="expression" dxfId="2736" priority="2954" stopIfTrue="1">
      <formula>O815="*OBSERVAÇÃO"</formula>
    </cfRule>
    <cfRule type="expression" dxfId="2735" priority="2955" stopIfTrue="1">
      <formula>O815="*CANCELADO"</formula>
    </cfRule>
    <cfRule type="expression" priority="2956" stopIfTrue="1">
      <formula>A815=""</formula>
    </cfRule>
    <cfRule type="expression" dxfId="2734" priority="2957" stopIfTrue="1">
      <formula>F815=""</formula>
    </cfRule>
    <cfRule type="expression" dxfId="2733" priority="2958" stopIfTrue="1">
      <formula>AND(F815&lt;&gt;"",S815&lt;&gt;"",Y815&lt;&gt;"")</formula>
    </cfRule>
    <cfRule type="expression" dxfId="2732" priority="2959" stopIfTrue="1">
      <formula>AND(F815&lt;&gt;"",S815&lt;&gt;"")</formula>
    </cfRule>
    <cfRule type="expression" dxfId="2731" priority="2960" stopIfTrue="1">
      <formula>F815&lt;&gt;""</formula>
    </cfRule>
  </conditionalFormatting>
  <conditionalFormatting sqref="A818:A820">
    <cfRule type="expression" dxfId="2730" priority="2949" stopIfTrue="1">
      <formula>A818=""</formula>
    </cfRule>
    <cfRule type="expression" dxfId="2729" priority="2950" stopIfTrue="1">
      <formula>F818=""</formula>
    </cfRule>
    <cfRule type="expression" dxfId="2728" priority="2951" stopIfTrue="1">
      <formula>AND(F818&lt;&gt;"",S818&lt;&gt;"")</formula>
    </cfRule>
    <cfRule type="expression" dxfId="2727" priority="2952" stopIfTrue="1">
      <formula>F818&lt;&gt;""</formula>
    </cfRule>
  </conditionalFormatting>
  <conditionalFormatting sqref="A818:A820">
    <cfRule type="expression" dxfId="2726" priority="2948" stopIfTrue="1">
      <formula>O818="*CANCELADO"</formula>
    </cfRule>
  </conditionalFormatting>
  <conditionalFormatting sqref="AA818:AA820">
    <cfRule type="expression" dxfId="2725" priority="2946" stopIfTrue="1">
      <formula>O818="*CANCELADO"</formula>
    </cfRule>
    <cfRule type="expression" dxfId="2724" priority="2947" stopIfTrue="1">
      <formula>O818="*OBSERVAÇÃO"</formula>
    </cfRule>
  </conditionalFormatting>
  <conditionalFormatting sqref="A818:A820">
    <cfRule type="expression" dxfId="2723" priority="2939" stopIfTrue="1">
      <formula>A818=""</formula>
    </cfRule>
    <cfRule type="expression" dxfId="2722" priority="2940" stopIfTrue="1">
      <formula>F818=""</formula>
    </cfRule>
    <cfRule type="expression" dxfId="2721" priority="2941" stopIfTrue="1">
      <formula>AND(F818&lt;&gt;"",S818&lt;&gt;"")</formula>
    </cfRule>
    <cfRule type="expression" dxfId="2720" priority="2942" stopIfTrue="1">
      <formula>F818&lt;&gt;""</formula>
    </cfRule>
  </conditionalFormatting>
  <conditionalFormatting sqref="A818:A820">
    <cfRule type="expression" dxfId="2719" priority="2938" stopIfTrue="1">
      <formula>O818="*OBSERVAÇÃO"</formula>
    </cfRule>
  </conditionalFormatting>
  <conditionalFormatting sqref="A818:A820">
    <cfRule type="expression" dxfId="2718" priority="2936" stopIfTrue="1">
      <formula>AND(F818&lt;&gt;"",S818&lt;&gt;"",Y818&lt;&gt;"")</formula>
    </cfRule>
  </conditionalFormatting>
  <conditionalFormatting sqref="F818:F820">
    <cfRule type="expression" dxfId="2717" priority="2929" stopIfTrue="1">
      <formula>O818="*OBSERVAÇÃO"</formula>
    </cfRule>
    <cfRule type="expression" dxfId="2716" priority="2930" stopIfTrue="1">
      <formula>O818="*CANCELADO"</formula>
    </cfRule>
    <cfRule type="expression" priority="2931" stopIfTrue="1">
      <formula>A818=""</formula>
    </cfRule>
    <cfRule type="expression" dxfId="2715" priority="2932" stopIfTrue="1">
      <formula>F818=""</formula>
    </cfRule>
    <cfRule type="expression" dxfId="2714" priority="2933" stopIfTrue="1">
      <formula>AND(F818&lt;&gt;"",S818&lt;&gt;"",Y818&lt;&gt;"")</formula>
    </cfRule>
    <cfRule type="expression" dxfId="2713" priority="2934" stopIfTrue="1">
      <formula>AND(F818&lt;&gt;"",S818&lt;&gt;"")</formula>
    </cfRule>
    <cfRule type="expression" dxfId="2712" priority="2935" stopIfTrue="1">
      <formula>F818&lt;&gt;""</formula>
    </cfRule>
  </conditionalFormatting>
  <conditionalFormatting sqref="A822">
    <cfRule type="expression" dxfId="2711" priority="2924" stopIfTrue="1">
      <formula>A822=""</formula>
    </cfRule>
    <cfRule type="expression" dxfId="2710" priority="2925" stopIfTrue="1">
      <formula>F822=""</formula>
    </cfRule>
    <cfRule type="expression" dxfId="2709" priority="2926" stopIfTrue="1">
      <formula>AND(F822&lt;&gt;"",S822&lt;&gt;"")</formula>
    </cfRule>
    <cfRule type="expression" dxfId="2708" priority="2927" stopIfTrue="1">
      <formula>F822&lt;&gt;""</formula>
    </cfRule>
  </conditionalFormatting>
  <conditionalFormatting sqref="A822">
    <cfRule type="expression" dxfId="2707" priority="2923" stopIfTrue="1">
      <formula>O822="*CANCELADO"</formula>
    </cfRule>
  </conditionalFormatting>
  <conditionalFormatting sqref="AA822">
    <cfRule type="expression" dxfId="2706" priority="2921" stopIfTrue="1">
      <formula>O822="*CANCELADO"</formula>
    </cfRule>
    <cfRule type="expression" dxfId="2705" priority="2922" stopIfTrue="1">
      <formula>O822="*OBSERVAÇÃO"</formula>
    </cfRule>
  </conditionalFormatting>
  <conditionalFormatting sqref="A822">
    <cfRule type="expression" dxfId="2704" priority="2914" stopIfTrue="1">
      <formula>A822=""</formula>
    </cfRule>
    <cfRule type="expression" dxfId="2703" priority="2915" stopIfTrue="1">
      <formula>F822=""</formula>
    </cfRule>
    <cfRule type="expression" dxfId="2702" priority="2916" stopIfTrue="1">
      <formula>AND(F822&lt;&gt;"",S822&lt;&gt;"")</formula>
    </cfRule>
    <cfRule type="expression" dxfId="2701" priority="2917" stopIfTrue="1">
      <formula>F822&lt;&gt;""</formula>
    </cfRule>
  </conditionalFormatting>
  <conditionalFormatting sqref="A822">
    <cfRule type="expression" dxfId="2700" priority="2913" stopIfTrue="1">
      <formula>O822="*OBSERVAÇÃO"</formula>
    </cfRule>
  </conditionalFormatting>
  <conditionalFormatting sqref="A822">
    <cfRule type="expression" dxfId="2699" priority="2911" stopIfTrue="1">
      <formula>AND(F822&lt;&gt;"",S822&lt;&gt;"",Y822&lt;&gt;"")</formula>
    </cfRule>
  </conditionalFormatting>
  <conditionalFormatting sqref="F822">
    <cfRule type="expression" dxfId="2698" priority="2904" stopIfTrue="1">
      <formula>O822="*OBSERVAÇÃO"</formula>
    </cfRule>
    <cfRule type="expression" dxfId="2697" priority="2905" stopIfTrue="1">
      <formula>O822="*CANCELADO"</formula>
    </cfRule>
    <cfRule type="expression" priority="2906" stopIfTrue="1">
      <formula>A822=""</formula>
    </cfRule>
    <cfRule type="expression" dxfId="2696" priority="2907" stopIfTrue="1">
      <formula>F822=""</formula>
    </cfRule>
    <cfRule type="expression" dxfId="2695" priority="2908" stopIfTrue="1">
      <formula>AND(F822&lt;&gt;"",S822&lt;&gt;"",Y822&lt;&gt;"")</formula>
    </cfRule>
    <cfRule type="expression" dxfId="2694" priority="2909" stopIfTrue="1">
      <formula>AND(F822&lt;&gt;"",S822&lt;&gt;"")</formula>
    </cfRule>
    <cfRule type="expression" dxfId="2693" priority="2910" stopIfTrue="1">
      <formula>F822&lt;&gt;""</formula>
    </cfRule>
  </conditionalFormatting>
  <conditionalFormatting sqref="A824">
    <cfRule type="expression" dxfId="2692" priority="2898" stopIfTrue="1">
      <formula>A824=""</formula>
    </cfRule>
    <cfRule type="expression" dxfId="2691" priority="2899" stopIfTrue="1">
      <formula>F824=""</formula>
    </cfRule>
    <cfRule type="expression" dxfId="2690" priority="2900" stopIfTrue="1">
      <formula>AND(F824&lt;&gt;"",S824&lt;&gt;"")</formula>
    </cfRule>
    <cfRule type="expression" dxfId="2689" priority="2901" stopIfTrue="1">
      <formula>F824&lt;&gt;""</formula>
    </cfRule>
  </conditionalFormatting>
  <conditionalFormatting sqref="A824">
    <cfRule type="expression" dxfId="2688" priority="2897" stopIfTrue="1">
      <formula>O824="*CANCELADO"</formula>
    </cfRule>
  </conditionalFormatting>
  <conditionalFormatting sqref="AA824">
    <cfRule type="expression" dxfId="2687" priority="2895" stopIfTrue="1">
      <formula>O824="*CANCELADO"</formula>
    </cfRule>
    <cfRule type="expression" dxfId="2686" priority="2896" stopIfTrue="1">
      <formula>O824="*OBSERVAÇÃO"</formula>
    </cfRule>
  </conditionalFormatting>
  <conditionalFormatting sqref="A824">
    <cfRule type="expression" dxfId="2685" priority="2888" stopIfTrue="1">
      <formula>A824=""</formula>
    </cfRule>
    <cfRule type="expression" dxfId="2684" priority="2889" stopIfTrue="1">
      <formula>F824=""</formula>
    </cfRule>
    <cfRule type="expression" dxfId="2683" priority="2890" stopIfTrue="1">
      <formula>AND(F824&lt;&gt;"",S824&lt;&gt;"")</formula>
    </cfRule>
    <cfRule type="expression" dxfId="2682" priority="2891" stopIfTrue="1">
      <formula>F824&lt;&gt;""</formula>
    </cfRule>
  </conditionalFormatting>
  <conditionalFormatting sqref="A824">
    <cfRule type="expression" dxfId="2681" priority="2887" stopIfTrue="1">
      <formula>O824="*OBSERVAÇÃO"</formula>
    </cfRule>
  </conditionalFormatting>
  <conditionalFormatting sqref="A824">
    <cfRule type="expression" dxfId="2680" priority="2885" stopIfTrue="1">
      <formula>AND(F824&lt;&gt;"",S824&lt;&gt;"",Y824&lt;&gt;"")</formula>
    </cfRule>
  </conditionalFormatting>
  <conditionalFormatting sqref="F824">
    <cfRule type="expression" dxfId="2679" priority="2878" stopIfTrue="1">
      <formula>O824="*OBSERVAÇÃO"</formula>
    </cfRule>
    <cfRule type="expression" dxfId="2678" priority="2879" stopIfTrue="1">
      <formula>O824="*CANCELADO"</formula>
    </cfRule>
    <cfRule type="expression" priority="2880" stopIfTrue="1">
      <formula>A824=""</formula>
    </cfRule>
    <cfRule type="expression" dxfId="2677" priority="2881" stopIfTrue="1">
      <formula>F824=""</formula>
    </cfRule>
    <cfRule type="expression" dxfId="2676" priority="2882" stopIfTrue="1">
      <formula>AND(F824&lt;&gt;"",S824&lt;&gt;"",Y824&lt;&gt;"")</formula>
    </cfRule>
    <cfRule type="expression" dxfId="2675" priority="2883" stopIfTrue="1">
      <formula>AND(F824&lt;&gt;"",S824&lt;&gt;"")</formula>
    </cfRule>
    <cfRule type="expression" dxfId="2674" priority="2884" stopIfTrue="1">
      <formula>F824&lt;&gt;""</formula>
    </cfRule>
  </conditionalFormatting>
  <conditionalFormatting sqref="A825">
    <cfRule type="expression" dxfId="2673" priority="2850" stopIfTrue="1">
      <formula>A825=""</formula>
    </cfRule>
    <cfRule type="expression" dxfId="2672" priority="2851" stopIfTrue="1">
      <formula>F825=""</formula>
    </cfRule>
    <cfRule type="expression" dxfId="2671" priority="2852" stopIfTrue="1">
      <formula>AND(F825&lt;&gt;"",S825&lt;&gt;"")</formula>
    </cfRule>
    <cfRule type="expression" dxfId="2670" priority="2853" stopIfTrue="1">
      <formula>F825&lt;&gt;""</formula>
    </cfRule>
  </conditionalFormatting>
  <conditionalFormatting sqref="A825">
    <cfRule type="expression" dxfId="2669" priority="2849" stopIfTrue="1">
      <formula>O825="*CANCELADO"</formula>
    </cfRule>
  </conditionalFormatting>
  <conditionalFormatting sqref="AA825">
    <cfRule type="expression" dxfId="2668" priority="2847" stopIfTrue="1">
      <formula>O825="*CANCELADO"</formula>
    </cfRule>
    <cfRule type="expression" dxfId="2667" priority="2848" stopIfTrue="1">
      <formula>O825="*OBSERVAÇÃO"</formula>
    </cfRule>
  </conditionalFormatting>
  <conditionalFormatting sqref="A825">
    <cfRule type="expression" dxfId="2666" priority="2840" stopIfTrue="1">
      <formula>A825=""</formula>
    </cfRule>
    <cfRule type="expression" dxfId="2665" priority="2841" stopIfTrue="1">
      <formula>F825=""</formula>
    </cfRule>
    <cfRule type="expression" dxfId="2664" priority="2842" stopIfTrue="1">
      <formula>AND(F825&lt;&gt;"",S825&lt;&gt;"")</formula>
    </cfRule>
    <cfRule type="expression" dxfId="2663" priority="2843" stopIfTrue="1">
      <formula>F825&lt;&gt;""</formula>
    </cfRule>
  </conditionalFormatting>
  <conditionalFormatting sqref="A825">
    <cfRule type="expression" dxfId="2662" priority="2839" stopIfTrue="1">
      <formula>O825="*OBSERVAÇÃO"</formula>
    </cfRule>
  </conditionalFormatting>
  <conditionalFormatting sqref="A825">
    <cfRule type="expression" dxfId="2661" priority="2837" stopIfTrue="1">
      <formula>AND(F825&lt;&gt;"",S825&lt;&gt;"",Y825&lt;&gt;"")</formula>
    </cfRule>
  </conditionalFormatting>
  <conditionalFormatting sqref="F825">
    <cfRule type="expression" dxfId="2660" priority="2830" stopIfTrue="1">
      <formula>O825="*OBSERVAÇÃO"</formula>
    </cfRule>
    <cfRule type="expression" dxfId="2659" priority="2831" stopIfTrue="1">
      <formula>O825="*CANCELADO"</formula>
    </cfRule>
    <cfRule type="expression" priority="2832" stopIfTrue="1">
      <formula>A825=""</formula>
    </cfRule>
    <cfRule type="expression" dxfId="2658" priority="2833" stopIfTrue="1">
      <formula>F825=""</formula>
    </cfRule>
    <cfRule type="expression" dxfId="2657" priority="2834" stopIfTrue="1">
      <formula>AND(F825&lt;&gt;"",S825&lt;&gt;"",Y825&lt;&gt;"")</formula>
    </cfRule>
    <cfRule type="expression" dxfId="2656" priority="2835" stopIfTrue="1">
      <formula>AND(F825&lt;&gt;"",S825&lt;&gt;"")</formula>
    </cfRule>
    <cfRule type="expression" dxfId="2655" priority="2836" stopIfTrue="1">
      <formula>F825&lt;&gt;""</formula>
    </cfRule>
  </conditionalFormatting>
  <conditionalFormatting sqref="A826">
    <cfRule type="expression" dxfId="2654" priority="2826" stopIfTrue="1">
      <formula>A826=""</formula>
    </cfRule>
    <cfRule type="expression" dxfId="2653" priority="2827" stopIfTrue="1">
      <formula>F826=""</formula>
    </cfRule>
    <cfRule type="expression" dxfId="2652" priority="2828" stopIfTrue="1">
      <formula>AND(F826&lt;&gt;"",S826&lt;&gt;"")</formula>
    </cfRule>
    <cfRule type="expression" dxfId="2651" priority="2829" stopIfTrue="1">
      <formula>F826&lt;&gt;""</formula>
    </cfRule>
  </conditionalFormatting>
  <conditionalFormatting sqref="A826">
    <cfRule type="expression" dxfId="2650" priority="2825" stopIfTrue="1">
      <formula>O826="*CANCELADO"</formula>
    </cfRule>
  </conditionalFormatting>
  <conditionalFormatting sqref="AA826">
    <cfRule type="expression" dxfId="2649" priority="2823" stopIfTrue="1">
      <formula>O826="*CANCELADO"</formula>
    </cfRule>
    <cfRule type="expression" dxfId="2648" priority="2824" stopIfTrue="1">
      <formula>O826="*OBSERVAÇÃO"</formula>
    </cfRule>
  </conditionalFormatting>
  <conditionalFormatting sqref="A826">
    <cfRule type="expression" dxfId="2647" priority="2816" stopIfTrue="1">
      <formula>A826=""</formula>
    </cfRule>
    <cfRule type="expression" dxfId="2646" priority="2817" stopIfTrue="1">
      <formula>F826=""</formula>
    </cfRule>
    <cfRule type="expression" dxfId="2645" priority="2818" stopIfTrue="1">
      <formula>AND(F826&lt;&gt;"",S826&lt;&gt;"")</formula>
    </cfRule>
    <cfRule type="expression" dxfId="2644" priority="2819" stopIfTrue="1">
      <formula>F826&lt;&gt;""</formula>
    </cfRule>
  </conditionalFormatting>
  <conditionalFormatting sqref="A826">
    <cfRule type="expression" dxfId="2643" priority="2815" stopIfTrue="1">
      <formula>O826="*OBSERVAÇÃO"</formula>
    </cfRule>
  </conditionalFormatting>
  <conditionalFormatting sqref="A826">
    <cfRule type="expression" dxfId="2642" priority="2813" stopIfTrue="1">
      <formula>AND(F826&lt;&gt;"",S826&lt;&gt;"",Y826&lt;&gt;"")</formula>
    </cfRule>
  </conditionalFormatting>
  <conditionalFormatting sqref="F826">
    <cfRule type="expression" dxfId="2641" priority="2806" stopIfTrue="1">
      <formula>O826="*OBSERVAÇÃO"</formula>
    </cfRule>
    <cfRule type="expression" dxfId="2640" priority="2807" stopIfTrue="1">
      <formula>O826="*CANCELADO"</formula>
    </cfRule>
    <cfRule type="expression" priority="2808" stopIfTrue="1">
      <formula>A826=""</formula>
    </cfRule>
    <cfRule type="expression" dxfId="2639" priority="2809" stopIfTrue="1">
      <formula>F826=""</formula>
    </cfRule>
    <cfRule type="expression" dxfId="2638" priority="2810" stopIfTrue="1">
      <formula>AND(F826&lt;&gt;"",S826&lt;&gt;"",Y826&lt;&gt;"")</formula>
    </cfRule>
    <cfRule type="expression" dxfId="2637" priority="2811" stopIfTrue="1">
      <formula>AND(F826&lt;&gt;"",S826&lt;&gt;"")</formula>
    </cfRule>
    <cfRule type="expression" dxfId="2636" priority="2812" stopIfTrue="1">
      <formula>F826&lt;&gt;""</formula>
    </cfRule>
  </conditionalFormatting>
  <conditionalFormatting sqref="A827">
    <cfRule type="expression" dxfId="2635" priority="2769" stopIfTrue="1">
      <formula>A827=""</formula>
    </cfRule>
    <cfRule type="expression" dxfId="2634" priority="2770" stopIfTrue="1">
      <formula>F827=""</formula>
    </cfRule>
    <cfRule type="expression" dxfId="2633" priority="2771" stopIfTrue="1">
      <formula>AND(F827&lt;&gt;"",S827&lt;&gt;"")</formula>
    </cfRule>
    <cfRule type="expression" dxfId="2632" priority="2772" stopIfTrue="1">
      <formula>F827&lt;&gt;""</formula>
    </cfRule>
  </conditionalFormatting>
  <conditionalFormatting sqref="A827">
    <cfRule type="expression" dxfId="2631" priority="2768" stopIfTrue="1">
      <formula>O827="*CANCELADO"</formula>
    </cfRule>
  </conditionalFormatting>
  <conditionalFormatting sqref="A827">
    <cfRule type="expression" dxfId="2630" priority="2764" stopIfTrue="1">
      <formula>A827=""</formula>
    </cfRule>
    <cfRule type="expression" dxfId="2629" priority="2765" stopIfTrue="1">
      <formula>F827=""</formula>
    </cfRule>
    <cfRule type="expression" dxfId="2628" priority="2766" stopIfTrue="1">
      <formula>AND(F827&lt;&gt;"",S827&lt;&gt;"")</formula>
    </cfRule>
    <cfRule type="expression" dxfId="2627" priority="2767" stopIfTrue="1">
      <formula>F827&lt;&gt;""</formula>
    </cfRule>
  </conditionalFormatting>
  <conditionalFormatting sqref="A827">
    <cfRule type="expression" dxfId="2626" priority="2763" stopIfTrue="1">
      <formula>O827="*OBSERVAÇÃO"</formula>
    </cfRule>
  </conditionalFormatting>
  <conditionalFormatting sqref="A827">
    <cfRule type="expression" dxfId="2625" priority="2762" stopIfTrue="1">
      <formula>AND(F827&lt;&gt;"",S827&lt;&gt;"",Y827&lt;&gt;"")</formula>
    </cfRule>
  </conditionalFormatting>
  <conditionalFormatting sqref="F827">
    <cfRule type="expression" dxfId="2624" priority="2755" stopIfTrue="1">
      <formula>O827="*OBSERVAÇÃO"</formula>
    </cfRule>
    <cfRule type="expression" dxfId="2623" priority="2756" stopIfTrue="1">
      <formula>O827="*CANCELADO"</formula>
    </cfRule>
    <cfRule type="expression" priority="2757" stopIfTrue="1">
      <formula>A827=""</formula>
    </cfRule>
    <cfRule type="expression" dxfId="2622" priority="2758" stopIfTrue="1">
      <formula>F827=""</formula>
    </cfRule>
    <cfRule type="expression" dxfId="2621" priority="2759" stopIfTrue="1">
      <formula>AND(F827&lt;&gt;"",S827&lt;&gt;"",Y827&lt;&gt;"")</formula>
    </cfRule>
    <cfRule type="expression" dxfId="2620" priority="2760" stopIfTrue="1">
      <formula>AND(F827&lt;&gt;"",S827&lt;&gt;"")</formula>
    </cfRule>
    <cfRule type="expression" dxfId="2619" priority="2761" stopIfTrue="1">
      <formula>F827&lt;&gt;""</formula>
    </cfRule>
  </conditionalFormatting>
  <conditionalFormatting sqref="A823:A835 A837:A843 A845:A869">
    <cfRule type="expression" dxfId="2618" priority="2751" stopIfTrue="1">
      <formula>A823=""</formula>
    </cfRule>
    <cfRule type="expression" dxfId="2617" priority="2752" stopIfTrue="1">
      <formula>F823=""</formula>
    </cfRule>
    <cfRule type="expression" dxfId="2616" priority="2753" stopIfTrue="1">
      <formula>AND(F823&lt;&gt;"",S823&lt;&gt;"")</formula>
    </cfRule>
    <cfRule type="expression" dxfId="2615" priority="2754" stopIfTrue="1">
      <formula>F823&lt;&gt;""</formula>
    </cfRule>
  </conditionalFormatting>
  <conditionalFormatting sqref="A823:A835 A837:A843 A845:A869">
    <cfRule type="expression" dxfId="2614" priority="2750" stopIfTrue="1">
      <formula>O823="*CANCELADO"</formula>
    </cfRule>
  </conditionalFormatting>
  <conditionalFormatting sqref="A823:A835 A837:A843 A845:A869">
    <cfRule type="expression" dxfId="2613" priority="2746" stopIfTrue="1">
      <formula>A823=""</formula>
    </cfRule>
    <cfRule type="expression" dxfId="2612" priority="2747" stopIfTrue="1">
      <formula>F823=""</formula>
    </cfRule>
    <cfRule type="expression" dxfId="2611" priority="2748" stopIfTrue="1">
      <formula>AND(F823&lt;&gt;"",S823&lt;&gt;"")</formula>
    </cfRule>
    <cfRule type="expression" dxfId="2610" priority="2749" stopIfTrue="1">
      <formula>F823&lt;&gt;""</formula>
    </cfRule>
  </conditionalFormatting>
  <conditionalFormatting sqref="A823:A835 A837:A843 A845:A869">
    <cfRule type="expression" dxfId="2609" priority="2745" stopIfTrue="1">
      <formula>O823="*OBSERVAÇÃO"</formula>
    </cfRule>
  </conditionalFormatting>
  <conditionalFormatting sqref="A823:A835 A837:A843 A845:A869">
    <cfRule type="expression" dxfId="2608" priority="2744" stopIfTrue="1">
      <formula>AND(F823&lt;&gt;"",S823&lt;&gt;"",Y823&lt;&gt;"")</formula>
    </cfRule>
  </conditionalFormatting>
  <conditionalFormatting sqref="F828">
    <cfRule type="expression" dxfId="2607" priority="2737" stopIfTrue="1">
      <formula>O828="*OBSERVAÇÃO"</formula>
    </cfRule>
    <cfRule type="expression" dxfId="2606" priority="2738" stopIfTrue="1">
      <formula>O828="*CANCELADO"</formula>
    </cfRule>
    <cfRule type="expression" priority="2739" stopIfTrue="1">
      <formula>A828=""</formula>
    </cfRule>
    <cfRule type="expression" dxfId="2605" priority="2740" stopIfTrue="1">
      <formula>F828=""</formula>
    </cfRule>
    <cfRule type="expression" dxfId="2604" priority="2741" stopIfTrue="1">
      <formula>AND(F828&lt;&gt;"",S828&lt;&gt;"",Y828&lt;&gt;"")</formula>
    </cfRule>
    <cfRule type="expression" dxfId="2603" priority="2742" stopIfTrue="1">
      <formula>AND(F828&lt;&gt;"",S828&lt;&gt;"")</formula>
    </cfRule>
    <cfRule type="expression" dxfId="2602" priority="2743" stopIfTrue="1">
      <formula>F828&lt;&gt;""</formula>
    </cfRule>
  </conditionalFormatting>
  <conditionalFormatting sqref="A829">
    <cfRule type="expression" dxfId="2601" priority="2733" stopIfTrue="1">
      <formula>A829=""</formula>
    </cfRule>
    <cfRule type="expression" dxfId="2600" priority="2734" stopIfTrue="1">
      <formula>F829=""</formula>
    </cfRule>
    <cfRule type="expression" dxfId="2599" priority="2735" stopIfTrue="1">
      <formula>AND(F829&lt;&gt;"",S829&lt;&gt;"")</formula>
    </cfRule>
    <cfRule type="expression" dxfId="2598" priority="2736" stopIfTrue="1">
      <formula>F829&lt;&gt;""</formula>
    </cfRule>
  </conditionalFormatting>
  <conditionalFormatting sqref="A829">
    <cfRule type="expression" dxfId="2597" priority="2732" stopIfTrue="1">
      <formula>O829="*CANCELADO"</formula>
    </cfRule>
  </conditionalFormatting>
  <conditionalFormatting sqref="A829">
    <cfRule type="expression" dxfId="2596" priority="2728" stopIfTrue="1">
      <formula>A829=""</formula>
    </cfRule>
    <cfRule type="expression" dxfId="2595" priority="2729" stopIfTrue="1">
      <formula>F829=""</formula>
    </cfRule>
    <cfRule type="expression" dxfId="2594" priority="2730" stopIfTrue="1">
      <formula>AND(F829&lt;&gt;"",S829&lt;&gt;"")</formula>
    </cfRule>
    <cfRule type="expression" dxfId="2593" priority="2731" stopIfTrue="1">
      <formula>F829&lt;&gt;""</formula>
    </cfRule>
  </conditionalFormatting>
  <conditionalFormatting sqref="A829">
    <cfRule type="expression" dxfId="2592" priority="2727" stopIfTrue="1">
      <formula>O829="*OBSERVAÇÃO"</formula>
    </cfRule>
  </conditionalFormatting>
  <conditionalFormatting sqref="A829">
    <cfRule type="expression" dxfId="2591" priority="2726" stopIfTrue="1">
      <formula>AND(F829&lt;&gt;"",S829&lt;&gt;"",Y829&lt;&gt;"")</formula>
    </cfRule>
  </conditionalFormatting>
  <conditionalFormatting sqref="F829">
    <cfRule type="expression" dxfId="2590" priority="2719" stopIfTrue="1">
      <formula>O829="*OBSERVAÇÃO"</formula>
    </cfRule>
    <cfRule type="expression" dxfId="2589" priority="2720" stopIfTrue="1">
      <formula>O829="*CANCELADO"</formula>
    </cfRule>
    <cfRule type="expression" priority="2721" stopIfTrue="1">
      <formula>A829=""</formula>
    </cfRule>
    <cfRule type="expression" dxfId="2588" priority="2722" stopIfTrue="1">
      <formula>F829=""</formula>
    </cfRule>
    <cfRule type="expression" dxfId="2587" priority="2723" stopIfTrue="1">
      <formula>AND(F829&lt;&gt;"",S829&lt;&gt;"",Y829&lt;&gt;"")</formula>
    </cfRule>
    <cfRule type="expression" dxfId="2586" priority="2724" stopIfTrue="1">
      <formula>AND(F829&lt;&gt;"",S829&lt;&gt;"")</formula>
    </cfRule>
    <cfRule type="expression" dxfId="2585" priority="2725" stopIfTrue="1">
      <formula>F829&lt;&gt;""</formula>
    </cfRule>
  </conditionalFormatting>
  <conditionalFormatting sqref="A833">
    <cfRule type="expression" dxfId="2584" priority="2715" stopIfTrue="1">
      <formula>A833=""</formula>
    </cfRule>
    <cfRule type="expression" dxfId="2583" priority="2716" stopIfTrue="1">
      <formula>F833=""</formula>
    </cfRule>
    <cfRule type="expression" dxfId="2582" priority="2717" stopIfTrue="1">
      <formula>AND(F833&lt;&gt;"",S833&lt;&gt;"")</formula>
    </cfRule>
    <cfRule type="expression" dxfId="2581" priority="2718" stopIfTrue="1">
      <formula>F833&lt;&gt;""</formula>
    </cfRule>
  </conditionalFormatting>
  <conditionalFormatting sqref="A833">
    <cfRule type="expression" dxfId="2580" priority="2714" stopIfTrue="1">
      <formula>O833="*CANCELADO"</formula>
    </cfRule>
  </conditionalFormatting>
  <conditionalFormatting sqref="A833">
    <cfRule type="expression" dxfId="2579" priority="2710" stopIfTrue="1">
      <formula>A833=""</formula>
    </cfRule>
    <cfRule type="expression" dxfId="2578" priority="2711" stopIfTrue="1">
      <formula>F833=""</formula>
    </cfRule>
    <cfRule type="expression" dxfId="2577" priority="2712" stopIfTrue="1">
      <formula>AND(F833&lt;&gt;"",S833&lt;&gt;"")</formula>
    </cfRule>
    <cfRule type="expression" dxfId="2576" priority="2713" stopIfTrue="1">
      <formula>F833&lt;&gt;""</formula>
    </cfRule>
  </conditionalFormatting>
  <conditionalFormatting sqref="A833">
    <cfRule type="expression" dxfId="2575" priority="2709" stopIfTrue="1">
      <formula>O833="*OBSERVAÇÃO"</formula>
    </cfRule>
  </conditionalFormatting>
  <conditionalFormatting sqref="A833">
    <cfRule type="expression" dxfId="2574" priority="2708" stopIfTrue="1">
      <formula>AND(F833&lt;&gt;"",S833&lt;&gt;"",Y833&lt;&gt;"")</formula>
    </cfRule>
  </conditionalFormatting>
  <conditionalFormatting sqref="A835 A837">
    <cfRule type="expression" dxfId="2573" priority="2704" stopIfTrue="1">
      <formula>A835=""</formula>
    </cfRule>
    <cfRule type="expression" dxfId="2572" priority="2705" stopIfTrue="1">
      <formula>F835=""</formula>
    </cfRule>
    <cfRule type="expression" dxfId="2571" priority="2706" stopIfTrue="1">
      <formula>AND(F835&lt;&gt;"",S835&lt;&gt;"")</formula>
    </cfRule>
    <cfRule type="expression" dxfId="2570" priority="2707" stopIfTrue="1">
      <formula>F835&lt;&gt;""</formula>
    </cfRule>
  </conditionalFormatting>
  <conditionalFormatting sqref="A835 A837">
    <cfRule type="expression" dxfId="2569" priority="2703" stopIfTrue="1">
      <formula>O835="*CANCELADO"</formula>
    </cfRule>
  </conditionalFormatting>
  <conditionalFormatting sqref="AA835">
    <cfRule type="expression" dxfId="2568" priority="2701" stopIfTrue="1">
      <formula>O835="*CANCELADO"</formula>
    </cfRule>
    <cfRule type="expression" dxfId="2567" priority="2702" stopIfTrue="1">
      <formula>O835="*OBSERVAÇÃO"</formula>
    </cfRule>
  </conditionalFormatting>
  <conditionalFormatting sqref="A835 A837">
    <cfRule type="expression" dxfId="2566" priority="2694" stopIfTrue="1">
      <formula>A835=""</formula>
    </cfRule>
    <cfRule type="expression" dxfId="2565" priority="2695" stopIfTrue="1">
      <formula>F835=""</formula>
    </cfRule>
    <cfRule type="expression" dxfId="2564" priority="2696" stopIfTrue="1">
      <formula>AND(F835&lt;&gt;"",S835&lt;&gt;"")</formula>
    </cfRule>
    <cfRule type="expression" dxfId="2563" priority="2697" stopIfTrue="1">
      <formula>F835&lt;&gt;""</formula>
    </cfRule>
  </conditionalFormatting>
  <conditionalFormatting sqref="A835 A837">
    <cfRule type="expression" dxfId="2562" priority="2693" stopIfTrue="1">
      <formula>O835="*OBSERVAÇÃO"</formula>
    </cfRule>
  </conditionalFormatting>
  <conditionalFormatting sqref="A835 A837">
    <cfRule type="expression" dxfId="2561" priority="2691" stopIfTrue="1">
      <formula>AND(F835&lt;&gt;"",S835&lt;&gt;"",Y835&lt;&gt;"")</formula>
    </cfRule>
  </conditionalFormatting>
  <conditionalFormatting sqref="F835">
    <cfRule type="expression" dxfId="2560" priority="2684" stopIfTrue="1">
      <formula>O835="*OBSERVAÇÃO"</formula>
    </cfRule>
    <cfRule type="expression" dxfId="2559" priority="2685" stopIfTrue="1">
      <formula>O835="*CANCELADO"</formula>
    </cfRule>
    <cfRule type="expression" priority="2686" stopIfTrue="1">
      <formula>A835=""</formula>
    </cfRule>
    <cfRule type="expression" dxfId="2558" priority="2687" stopIfTrue="1">
      <formula>F835=""</formula>
    </cfRule>
    <cfRule type="expression" dxfId="2557" priority="2688" stopIfTrue="1">
      <formula>AND(F835&lt;&gt;"",S835&lt;&gt;"",Y835&lt;&gt;"")</formula>
    </cfRule>
    <cfRule type="expression" dxfId="2556" priority="2689" stopIfTrue="1">
      <formula>AND(F835&lt;&gt;"",S835&lt;&gt;"")</formula>
    </cfRule>
    <cfRule type="expression" dxfId="2555" priority="2690" stopIfTrue="1">
      <formula>F835&lt;&gt;""</formula>
    </cfRule>
  </conditionalFormatting>
  <conditionalFormatting sqref="AA705">
    <cfRule type="expression" dxfId="2554" priority="2673" stopIfTrue="1">
      <formula>O705="*CANCELADO"</formula>
    </cfRule>
    <cfRule type="expression" dxfId="2553" priority="2674" stopIfTrue="1">
      <formula>O705="*OBSERVAÇÃO"</formula>
    </cfRule>
  </conditionalFormatting>
  <conditionalFormatting sqref="F705">
    <cfRule type="expression" dxfId="2552" priority="2659" stopIfTrue="1">
      <formula>O705="*OBSERVAÇÃO"</formula>
    </cfRule>
    <cfRule type="expression" dxfId="2551" priority="2660" stopIfTrue="1">
      <formula>O705="*CANCELADO"</formula>
    </cfRule>
    <cfRule type="expression" priority="2661" stopIfTrue="1">
      <formula>A705=""</formula>
    </cfRule>
    <cfRule type="expression" dxfId="2550" priority="2662" stopIfTrue="1">
      <formula>F705=""</formula>
    </cfRule>
    <cfRule type="expression" dxfId="2549" priority="2663" stopIfTrue="1">
      <formula>AND(F705&lt;&gt;"",S705&lt;&gt;"",Y705&lt;&gt;"")</formula>
    </cfRule>
    <cfRule type="expression" dxfId="2548" priority="2664" stopIfTrue="1">
      <formula>AND(F705&lt;&gt;"",S705&lt;&gt;"")</formula>
    </cfRule>
    <cfRule type="expression" dxfId="2547" priority="2665" stopIfTrue="1">
      <formula>F705&lt;&gt;""</formula>
    </cfRule>
  </conditionalFormatting>
  <conditionalFormatting sqref="AA383">
    <cfRule type="expression" dxfId="2546" priority="2618" stopIfTrue="1">
      <formula>O383="*CANCELADO"</formula>
    </cfRule>
    <cfRule type="expression" dxfId="2545" priority="2619" stopIfTrue="1">
      <formula>O383="*OBSERVAÇÃO"</formula>
    </cfRule>
  </conditionalFormatting>
  <conditionalFormatting sqref="AA395">
    <cfRule type="expression" dxfId="2544" priority="2616" stopIfTrue="1">
      <formula>O395="*CANCELADO"</formula>
    </cfRule>
    <cfRule type="expression" dxfId="2543" priority="2617" stopIfTrue="1">
      <formula>O395="*OBSERVAÇÃO"</formula>
    </cfRule>
  </conditionalFormatting>
  <conditionalFormatting sqref="AA516">
    <cfRule type="expression" dxfId="2542" priority="2609" stopIfTrue="1">
      <formula>O516="*CANCELADO"</formula>
    </cfRule>
    <cfRule type="expression" dxfId="2541" priority="2610" stopIfTrue="1">
      <formula>O516="*OBSERVAÇÃO"</formula>
    </cfRule>
  </conditionalFormatting>
  <conditionalFormatting sqref="N516">
    <cfRule type="cellIs" dxfId="2540" priority="2606" stopIfTrue="1" operator="equal">
      <formula>"Código não cadastrado"</formula>
    </cfRule>
  </conditionalFormatting>
  <conditionalFormatting sqref="F516">
    <cfRule type="expression" dxfId="2539" priority="2592" stopIfTrue="1">
      <formula>O516="*OBSERVAÇÃO"</formula>
    </cfRule>
    <cfRule type="expression" dxfId="2538" priority="2593" stopIfTrue="1">
      <formula>O516="*CANCELADO"</formula>
    </cfRule>
    <cfRule type="expression" priority="2594" stopIfTrue="1">
      <formula>A516=""</formula>
    </cfRule>
    <cfRule type="expression" dxfId="2537" priority="2595" stopIfTrue="1">
      <formula>F516=""</formula>
    </cfRule>
    <cfRule type="expression" dxfId="2536" priority="2596" stopIfTrue="1">
      <formula>AND(F516&lt;&gt;"",S516&lt;&gt;"",Y516&lt;&gt;"")</formula>
    </cfRule>
    <cfRule type="expression" dxfId="2535" priority="2597" stopIfTrue="1">
      <formula>AND(F516&lt;&gt;"",S516&lt;&gt;"")</formula>
    </cfRule>
    <cfRule type="expression" dxfId="2534" priority="2598" stopIfTrue="1">
      <formula>F516&lt;&gt;""</formula>
    </cfRule>
  </conditionalFormatting>
  <conditionalFormatting sqref="A866:A876">
    <cfRule type="expression" dxfId="2533" priority="2549" stopIfTrue="1">
      <formula>A866=""</formula>
    </cfRule>
    <cfRule type="expression" dxfId="2532" priority="2550" stopIfTrue="1">
      <formula>F866=""</formula>
    </cfRule>
    <cfRule type="expression" dxfId="2531" priority="2551" stopIfTrue="1">
      <formula>AND(F866&lt;&gt;"",S866&lt;&gt;"")</formula>
    </cfRule>
    <cfRule type="expression" dxfId="2530" priority="2552" stopIfTrue="1">
      <formula>F866&lt;&gt;""</formula>
    </cfRule>
  </conditionalFormatting>
  <conditionalFormatting sqref="A866:A876">
    <cfRule type="expression" dxfId="2529" priority="2548" stopIfTrue="1">
      <formula>O866="*CANCELADO"</formula>
    </cfRule>
  </conditionalFormatting>
  <conditionalFormatting sqref="A866:A876">
    <cfRule type="expression" dxfId="2528" priority="2544" stopIfTrue="1">
      <formula>A866=""</formula>
    </cfRule>
    <cfRule type="expression" dxfId="2527" priority="2545" stopIfTrue="1">
      <formula>F866=""</formula>
    </cfRule>
    <cfRule type="expression" dxfId="2526" priority="2546" stopIfTrue="1">
      <formula>AND(F866&lt;&gt;"",S866&lt;&gt;"")</formula>
    </cfRule>
    <cfRule type="expression" dxfId="2525" priority="2547" stopIfTrue="1">
      <formula>F866&lt;&gt;""</formula>
    </cfRule>
  </conditionalFormatting>
  <conditionalFormatting sqref="A866:A876">
    <cfRule type="expression" dxfId="2524" priority="2543" stopIfTrue="1">
      <formula>O866="*OBSERVAÇÃO"</formula>
    </cfRule>
  </conditionalFormatting>
  <conditionalFormatting sqref="A866:A876">
    <cfRule type="expression" dxfId="2523" priority="2542" stopIfTrue="1">
      <formula>AND(F866&lt;&gt;"",S866&lt;&gt;"",Y866&lt;&gt;"")</formula>
    </cfRule>
  </conditionalFormatting>
  <conditionalFormatting sqref="F866:F876">
    <cfRule type="expression" dxfId="2522" priority="2535" stopIfTrue="1">
      <formula>O866="*OBSERVAÇÃO"</formula>
    </cfRule>
    <cfRule type="expression" dxfId="2521" priority="2536" stopIfTrue="1">
      <formula>O866="*CANCELADO"</formula>
    </cfRule>
    <cfRule type="expression" priority="2537" stopIfTrue="1">
      <formula>A866=""</formula>
    </cfRule>
    <cfRule type="expression" dxfId="2520" priority="2538" stopIfTrue="1">
      <formula>F866=""</formula>
    </cfRule>
    <cfRule type="expression" dxfId="2519" priority="2539" stopIfTrue="1">
      <formula>AND(F866&lt;&gt;"",S866&lt;&gt;"",Y866&lt;&gt;"")</formula>
    </cfRule>
    <cfRule type="expression" dxfId="2518" priority="2540" stopIfTrue="1">
      <formula>AND(F866&lt;&gt;"",S866&lt;&gt;"")</formula>
    </cfRule>
    <cfRule type="expression" dxfId="2517" priority="2541" stopIfTrue="1">
      <formula>F866&lt;&gt;""</formula>
    </cfRule>
  </conditionalFormatting>
  <conditionalFormatting sqref="A891">
    <cfRule type="expression" dxfId="2516" priority="2489" stopIfTrue="1">
      <formula>A891=""</formula>
    </cfRule>
    <cfRule type="expression" dxfId="2515" priority="2490" stopIfTrue="1">
      <formula>F891=""</formula>
    </cfRule>
    <cfRule type="expression" dxfId="2514" priority="2491" stopIfTrue="1">
      <formula>AND(F891&lt;&gt;"",S891&lt;&gt;"")</formula>
    </cfRule>
    <cfRule type="expression" dxfId="2513" priority="2492" stopIfTrue="1">
      <formula>F891&lt;&gt;""</formula>
    </cfRule>
  </conditionalFormatting>
  <conditionalFormatting sqref="A891">
    <cfRule type="expression" dxfId="2512" priority="2488" stopIfTrue="1">
      <formula>O891="*CANCELADO"</formula>
    </cfRule>
  </conditionalFormatting>
  <conditionalFormatting sqref="AA891">
    <cfRule type="expression" dxfId="2511" priority="2486" stopIfTrue="1">
      <formula>O891="*CANCELADO"</formula>
    </cfRule>
    <cfRule type="expression" dxfId="2510" priority="2487" stopIfTrue="1">
      <formula>O891="*OBSERVAÇÃO"</formula>
    </cfRule>
  </conditionalFormatting>
  <conditionalFormatting sqref="N891">
    <cfRule type="cellIs" dxfId="2509" priority="2483" stopIfTrue="1" operator="equal">
      <formula>"Código não cadastrado"</formula>
    </cfRule>
  </conditionalFormatting>
  <conditionalFormatting sqref="A891">
    <cfRule type="expression" dxfId="2508" priority="2479" stopIfTrue="1">
      <formula>A891=""</formula>
    </cfRule>
    <cfRule type="expression" dxfId="2507" priority="2480" stopIfTrue="1">
      <formula>F891=""</formula>
    </cfRule>
    <cfRule type="expression" dxfId="2506" priority="2481" stopIfTrue="1">
      <formula>AND(F891&lt;&gt;"",S891&lt;&gt;"")</formula>
    </cfRule>
    <cfRule type="expression" dxfId="2505" priority="2482" stopIfTrue="1">
      <formula>F891&lt;&gt;""</formula>
    </cfRule>
  </conditionalFormatting>
  <conditionalFormatting sqref="A891">
    <cfRule type="expression" dxfId="2504" priority="2478" stopIfTrue="1">
      <formula>O891="*OBSERVAÇÃO"</formula>
    </cfRule>
  </conditionalFormatting>
  <conditionalFormatting sqref="A891">
    <cfRule type="expression" dxfId="2503" priority="2476" stopIfTrue="1">
      <formula>AND(F891&lt;&gt;"",S891&lt;&gt;"",Y891&lt;&gt;"")</formula>
    </cfRule>
  </conditionalFormatting>
  <conditionalFormatting sqref="F891">
    <cfRule type="expression" dxfId="2502" priority="2469" stopIfTrue="1">
      <formula>O891="*OBSERVAÇÃO"</formula>
    </cfRule>
    <cfRule type="expression" dxfId="2501" priority="2470" stopIfTrue="1">
      <formula>O891="*CANCELADO"</formula>
    </cfRule>
    <cfRule type="expression" priority="2471" stopIfTrue="1">
      <formula>A891=""</formula>
    </cfRule>
    <cfRule type="expression" dxfId="2500" priority="2472" stopIfTrue="1">
      <formula>F891=""</formula>
    </cfRule>
    <cfRule type="expression" dxfId="2499" priority="2473" stopIfTrue="1">
      <formula>AND(F891&lt;&gt;"",S891&lt;&gt;"",Y891&lt;&gt;"")</formula>
    </cfRule>
    <cfRule type="expression" dxfId="2498" priority="2474" stopIfTrue="1">
      <formula>AND(F891&lt;&gt;"",S891&lt;&gt;"")</formula>
    </cfRule>
    <cfRule type="expression" dxfId="2497" priority="2475" stopIfTrue="1">
      <formula>F891&lt;&gt;""</formula>
    </cfRule>
  </conditionalFormatting>
  <conditionalFormatting sqref="AA892:AA896">
    <cfRule type="expression" dxfId="2496" priority="2467" stopIfTrue="1">
      <formula>O892="*CANCELADO"</formula>
    </cfRule>
    <cfRule type="expression" dxfId="2495" priority="2468" stopIfTrue="1">
      <formula>O892="*OBSERVAÇÃO"</formula>
    </cfRule>
  </conditionalFormatting>
  <conditionalFormatting sqref="N892:N896">
    <cfRule type="cellIs" dxfId="2494" priority="2464" stopIfTrue="1" operator="equal">
      <formula>"Código não cadastrado"</formula>
    </cfRule>
  </conditionalFormatting>
  <conditionalFormatting sqref="A892:A896">
    <cfRule type="expression" dxfId="2493" priority="2462" stopIfTrue="1">
      <formula>AND(F892&lt;&gt;"",S892&lt;&gt;"",Y892&lt;&gt;"")</formula>
    </cfRule>
  </conditionalFormatting>
  <conditionalFormatting sqref="A892:A896">
    <cfRule type="expression" dxfId="2492" priority="2458" stopIfTrue="1">
      <formula>A892=""</formula>
    </cfRule>
    <cfRule type="expression" dxfId="2491" priority="2459" stopIfTrue="1">
      <formula>F892=""</formula>
    </cfRule>
    <cfRule type="expression" dxfId="2490" priority="2460" stopIfTrue="1">
      <formula>AND(F892&lt;&gt;"",S892&lt;&gt;"")</formula>
    </cfRule>
    <cfRule type="expression" dxfId="2489" priority="2461" stopIfTrue="1">
      <formula>F892&lt;&gt;""</formula>
    </cfRule>
  </conditionalFormatting>
  <conditionalFormatting sqref="A892:A896">
    <cfRule type="expression" dxfId="2488" priority="2457" stopIfTrue="1">
      <formula>O892="*CANCELADO"</formula>
    </cfRule>
  </conditionalFormatting>
  <conditionalFormatting sqref="A892:A896">
    <cfRule type="expression" dxfId="2487" priority="2453" stopIfTrue="1">
      <formula>A892=""</formula>
    </cfRule>
    <cfRule type="expression" dxfId="2486" priority="2454" stopIfTrue="1">
      <formula>F892=""</formula>
    </cfRule>
    <cfRule type="expression" dxfId="2485" priority="2455" stopIfTrue="1">
      <formula>AND(F892&lt;&gt;"",S892&lt;&gt;"")</formula>
    </cfRule>
    <cfRule type="expression" dxfId="2484" priority="2456" stopIfTrue="1">
      <formula>F892&lt;&gt;""</formula>
    </cfRule>
  </conditionalFormatting>
  <conditionalFormatting sqref="A892:A896">
    <cfRule type="expression" dxfId="2483" priority="2452" stopIfTrue="1">
      <formula>O892="*OBSERVAÇÃO"</formula>
    </cfRule>
  </conditionalFormatting>
  <conditionalFormatting sqref="F892:F896">
    <cfRule type="expression" dxfId="2482" priority="2445" stopIfTrue="1">
      <formula>O892="*OBSERVAÇÃO"</formula>
    </cfRule>
    <cfRule type="expression" dxfId="2481" priority="2446" stopIfTrue="1">
      <formula>O892="*CANCELADO"</formula>
    </cfRule>
    <cfRule type="expression" priority="2447" stopIfTrue="1">
      <formula>A892=""</formula>
    </cfRule>
    <cfRule type="expression" dxfId="2480" priority="2448" stopIfTrue="1">
      <formula>F892=""</formula>
    </cfRule>
    <cfRule type="expression" dxfId="2479" priority="2449" stopIfTrue="1">
      <formula>AND(F892&lt;&gt;"",S892&lt;&gt;"",Y892&lt;&gt;"")</formula>
    </cfRule>
    <cfRule type="expression" dxfId="2478" priority="2450" stopIfTrue="1">
      <formula>AND(F892&lt;&gt;"",S892&lt;&gt;"")</formula>
    </cfRule>
    <cfRule type="expression" dxfId="2477" priority="2451" stopIfTrue="1">
      <formula>F892&lt;&gt;""</formula>
    </cfRule>
  </conditionalFormatting>
  <conditionalFormatting sqref="A898">
    <cfRule type="expression" dxfId="2476" priority="2441" stopIfTrue="1">
      <formula>A898=""</formula>
    </cfRule>
    <cfRule type="expression" dxfId="2475" priority="2442" stopIfTrue="1">
      <formula>F898=""</formula>
    </cfRule>
    <cfRule type="expression" dxfId="2474" priority="2443" stopIfTrue="1">
      <formula>AND(F898&lt;&gt;"",S898&lt;&gt;"")</formula>
    </cfRule>
    <cfRule type="expression" dxfId="2473" priority="2444" stopIfTrue="1">
      <formula>F898&lt;&gt;""</formula>
    </cfRule>
  </conditionalFormatting>
  <conditionalFormatting sqref="A898">
    <cfRule type="expression" dxfId="2472" priority="2440" stopIfTrue="1">
      <formula>O898="*CANCELADO"</formula>
    </cfRule>
  </conditionalFormatting>
  <conditionalFormatting sqref="A898">
    <cfRule type="expression" dxfId="2471" priority="2436" stopIfTrue="1">
      <formula>A898=""</formula>
    </cfRule>
    <cfRule type="expression" dxfId="2470" priority="2437" stopIfTrue="1">
      <formula>F898=""</formula>
    </cfRule>
    <cfRule type="expression" dxfId="2469" priority="2438" stopIfTrue="1">
      <formula>AND(F898&lt;&gt;"",S898&lt;&gt;"")</formula>
    </cfRule>
    <cfRule type="expression" dxfId="2468" priority="2439" stopIfTrue="1">
      <formula>F898&lt;&gt;""</formula>
    </cfRule>
  </conditionalFormatting>
  <conditionalFormatting sqref="A898">
    <cfRule type="expression" dxfId="2467" priority="2435" stopIfTrue="1">
      <formula>O898="*OBSERVAÇÃO"</formula>
    </cfRule>
  </conditionalFormatting>
  <conditionalFormatting sqref="A898">
    <cfRule type="expression" dxfId="2466" priority="2434" stopIfTrue="1">
      <formula>AND(F898&lt;&gt;"",S898&lt;&gt;"",Y898&lt;&gt;"")</formula>
    </cfRule>
  </conditionalFormatting>
  <conditionalFormatting sqref="AA491">
    <cfRule type="expression" dxfId="2465" priority="2427" stopIfTrue="1">
      <formula>O491="*CANCELADO"</formula>
    </cfRule>
    <cfRule type="expression" dxfId="2464" priority="2428" stopIfTrue="1">
      <formula>O491="*OBSERVAÇÃO"</formula>
    </cfRule>
  </conditionalFormatting>
  <conditionalFormatting sqref="N491">
    <cfRule type="cellIs" dxfId="2463" priority="2424" stopIfTrue="1" operator="equal">
      <formula>"Código não cadastrado"</formula>
    </cfRule>
  </conditionalFormatting>
  <conditionalFormatting sqref="F491">
    <cfRule type="expression" dxfId="2462" priority="2410" stopIfTrue="1">
      <formula>O491="*OBSERVAÇÃO"</formula>
    </cfRule>
    <cfRule type="expression" dxfId="2461" priority="2411" stopIfTrue="1">
      <formula>O491="*CANCELADO"</formula>
    </cfRule>
    <cfRule type="expression" priority="2412" stopIfTrue="1">
      <formula>A491=""</formula>
    </cfRule>
    <cfRule type="expression" dxfId="2460" priority="2413" stopIfTrue="1">
      <formula>F491=""</formula>
    </cfRule>
    <cfRule type="expression" dxfId="2459" priority="2414" stopIfTrue="1">
      <formula>AND(F491&lt;&gt;"",S491&lt;&gt;"",Y491&lt;&gt;"")</formula>
    </cfRule>
    <cfRule type="expression" dxfId="2458" priority="2415" stopIfTrue="1">
      <formula>AND(F491&lt;&gt;"",S491&lt;&gt;"")</formula>
    </cfRule>
    <cfRule type="expression" dxfId="2457" priority="2416" stopIfTrue="1">
      <formula>F491&lt;&gt;""</formula>
    </cfRule>
  </conditionalFormatting>
  <conditionalFormatting sqref="A757">
    <cfRule type="expression" dxfId="2456" priority="2367" stopIfTrue="1">
      <formula>A757=""</formula>
    </cfRule>
    <cfRule type="expression" dxfId="2455" priority="2368" stopIfTrue="1">
      <formula>F757=""</formula>
    </cfRule>
    <cfRule type="expression" dxfId="2454" priority="2369" stopIfTrue="1">
      <formula>AND(F757&lt;&gt;"",S757&lt;&gt;"")</formula>
    </cfRule>
    <cfRule type="expression" dxfId="2453" priority="2370" stopIfTrue="1">
      <formula>F757&lt;&gt;""</formula>
    </cfRule>
  </conditionalFormatting>
  <conditionalFormatting sqref="A757">
    <cfRule type="expression" dxfId="2452" priority="2366" stopIfTrue="1">
      <formula>O757="*CANCELADO"</formula>
    </cfRule>
  </conditionalFormatting>
  <conditionalFormatting sqref="AA757">
    <cfRule type="expression" dxfId="2451" priority="2364" stopIfTrue="1">
      <formula>O757="*CANCELADO"</formula>
    </cfRule>
    <cfRule type="expression" dxfId="2450" priority="2365" stopIfTrue="1">
      <formula>O757="*OBSERVAÇÃO"</formula>
    </cfRule>
  </conditionalFormatting>
  <conditionalFormatting sqref="N757">
    <cfRule type="cellIs" dxfId="2449" priority="2361" stopIfTrue="1" operator="equal">
      <formula>"Código não cadastrado"</formula>
    </cfRule>
  </conditionalFormatting>
  <conditionalFormatting sqref="A757">
    <cfRule type="expression" dxfId="2448" priority="2357" stopIfTrue="1">
      <formula>A757=""</formula>
    </cfRule>
    <cfRule type="expression" dxfId="2447" priority="2358" stopIfTrue="1">
      <formula>F757=""</formula>
    </cfRule>
    <cfRule type="expression" dxfId="2446" priority="2359" stopIfTrue="1">
      <formula>AND(F757&lt;&gt;"",S757&lt;&gt;"")</formula>
    </cfRule>
    <cfRule type="expression" dxfId="2445" priority="2360" stopIfTrue="1">
      <formula>F757&lt;&gt;""</formula>
    </cfRule>
  </conditionalFormatting>
  <conditionalFormatting sqref="A757">
    <cfRule type="expression" dxfId="2444" priority="2356" stopIfTrue="1">
      <formula>O757="*OBSERVAÇÃO"</formula>
    </cfRule>
  </conditionalFormatting>
  <conditionalFormatting sqref="A757">
    <cfRule type="expression" dxfId="2443" priority="2354" stopIfTrue="1">
      <formula>AND(F757&lt;&gt;"",S757&lt;&gt;"",Y757&lt;&gt;"")</formula>
    </cfRule>
  </conditionalFormatting>
  <conditionalFormatting sqref="F757">
    <cfRule type="expression" dxfId="2442" priority="2347" stopIfTrue="1">
      <formula>O757="*OBSERVAÇÃO"</formula>
    </cfRule>
    <cfRule type="expression" dxfId="2441" priority="2348" stopIfTrue="1">
      <formula>O757="*CANCELADO"</formula>
    </cfRule>
    <cfRule type="expression" priority="2349" stopIfTrue="1">
      <formula>A757=""</formula>
    </cfRule>
    <cfRule type="expression" dxfId="2440" priority="2350" stopIfTrue="1">
      <formula>F757=""</formula>
    </cfRule>
    <cfRule type="expression" dxfId="2439" priority="2351" stopIfTrue="1">
      <formula>AND(F757&lt;&gt;"",S757&lt;&gt;"",Y757&lt;&gt;"")</formula>
    </cfRule>
    <cfRule type="expression" dxfId="2438" priority="2352" stopIfTrue="1">
      <formula>AND(F757&lt;&gt;"",S757&lt;&gt;"")</formula>
    </cfRule>
    <cfRule type="expression" dxfId="2437" priority="2353" stopIfTrue="1">
      <formula>F757&lt;&gt;""</formula>
    </cfRule>
  </conditionalFormatting>
  <conditionalFormatting sqref="A757">
    <cfRule type="expression" dxfId="2436" priority="2343" stopIfTrue="1">
      <formula>A757=""</formula>
    </cfRule>
    <cfRule type="expression" dxfId="2435" priority="2344" stopIfTrue="1">
      <formula>F757=""</formula>
    </cfRule>
    <cfRule type="expression" dxfId="2434" priority="2345" stopIfTrue="1">
      <formula>AND(F757&lt;&gt;"",S757&lt;&gt;"")</formula>
    </cfRule>
    <cfRule type="expression" dxfId="2433" priority="2346" stopIfTrue="1">
      <formula>F757&lt;&gt;""</formula>
    </cfRule>
  </conditionalFormatting>
  <conditionalFormatting sqref="A757">
    <cfRule type="expression" dxfId="2432" priority="2342" stopIfTrue="1">
      <formula>O757="*CANCELADO"</formula>
    </cfRule>
  </conditionalFormatting>
  <conditionalFormatting sqref="A757">
    <cfRule type="expression" dxfId="2431" priority="2338" stopIfTrue="1">
      <formula>A757=""</formula>
    </cfRule>
    <cfRule type="expression" dxfId="2430" priority="2339" stopIfTrue="1">
      <formula>F757=""</formula>
    </cfRule>
    <cfRule type="expression" dxfId="2429" priority="2340" stopIfTrue="1">
      <formula>AND(F757&lt;&gt;"",S757&lt;&gt;"")</formula>
    </cfRule>
    <cfRule type="expression" dxfId="2428" priority="2341" stopIfTrue="1">
      <formula>F757&lt;&gt;""</formula>
    </cfRule>
  </conditionalFormatting>
  <conditionalFormatting sqref="A757">
    <cfRule type="expression" dxfId="2427" priority="2337" stopIfTrue="1">
      <formula>O757="*OBSERVAÇÃO"</formula>
    </cfRule>
  </conditionalFormatting>
  <conditionalFormatting sqref="A757">
    <cfRule type="expression" dxfId="2426" priority="2336" stopIfTrue="1">
      <formula>AND(F757&lt;&gt;"",S757&lt;&gt;"",Y757&lt;&gt;"")</formula>
    </cfRule>
  </conditionalFormatting>
  <conditionalFormatting sqref="A757">
    <cfRule type="expression" dxfId="2425" priority="2332" stopIfTrue="1">
      <formula>A757=""</formula>
    </cfRule>
    <cfRule type="expression" dxfId="2424" priority="2333" stopIfTrue="1">
      <formula>F757=""</formula>
    </cfRule>
    <cfRule type="expression" dxfId="2423" priority="2334" stopIfTrue="1">
      <formula>AND(F757&lt;&gt;"",S757&lt;&gt;"")</formula>
    </cfRule>
    <cfRule type="expression" dxfId="2422" priority="2335" stopIfTrue="1">
      <formula>F757&lt;&gt;""</formula>
    </cfRule>
  </conditionalFormatting>
  <conditionalFormatting sqref="A757">
    <cfRule type="expression" dxfId="2421" priority="2331" stopIfTrue="1">
      <formula>O757="*CANCELADO"</formula>
    </cfRule>
  </conditionalFormatting>
  <conditionalFormatting sqref="A757">
    <cfRule type="expression" dxfId="2420" priority="2327" stopIfTrue="1">
      <formula>A757=""</formula>
    </cfRule>
    <cfRule type="expression" dxfId="2419" priority="2328" stopIfTrue="1">
      <formula>F757=""</formula>
    </cfRule>
    <cfRule type="expression" dxfId="2418" priority="2329" stopIfTrue="1">
      <formula>AND(F757&lt;&gt;"",S757&lt;&gt;"")</formula>
    </cfRule>
    <cfRule type="expression" dxfId="2417" priority="2330" stopIfTrue="1">
      <formula>F757&lt;&gt;""</formula>
    </cfRule>
  </conditionalFormatting>
  <conditionalFormatting sqref="A757">
    <cfRule type="expression" dxfId="2416" priority="2326" stopIfTrue="1">
      <formula>O757="*OBSERVAÇÃO"</formula>
    </cfRule>
  </conditionalFormatting>
  <conditionalFormatting sqref="A757">
    <cfRule type="expression" dxfId="2415" priority="2325" stopIfTrue="1">
      <formula>AND(F757&lt;&gt;"",S757&lt;&gt;"",Y757&lt;&gt;"")</formula>
    </cfRule>
  </conditionalFormatting>
  <conditionalFormatting sqref="A757">
    <cfRule type="expression" dxfId="2414" priority="2321" stopIfTrue="1">
      <formula>A757=""</formula>
    </cfRule>
    <cfRule type="expression" dxfId="2413" priority="2322" stopIfTrue="1">
      <formula>F757=""</formula>
    </cfRule>
    <cfRule type="expression" dxfId="2412" priority="2323" stopIfTrue="1">
      <formula>AND(F757&lt;&gt;"",S757&lt;&gt;"")</formula>
    </cfRule>
    <cfRule type="expression" dxfId="2411" priority="2324" stopIfTrue="1">
      <formula>F757&lt;&gt;""</formula>
    </cfRule>
  </conditionalFormatting>
  <conditionalFormatting sqref="A757">
    <cfRule type="expression" dxfId="2410" priority="2320" stopIfTrue="1">
      <formula>O757="*CANCELADO"</formula>
    </cfRule>
  </conditionalFormatting>
  <conditionalFormatting sqref="A757">
    <cfRule type="expression" dxfId="2409" priority="2316" stopIfTrue="1">
      <formula>A757=""</formula>
    </cfRule>
    <cfRule type="expression" dxfId="2408" priority="2317" stopIfTrue="1">
      <formula>F757=""</formula>
    </cfRule>
    <cfRule type="expression" dxfId="2407" priority="2318" stopIfTrue="1">
      <formula>AND(F757&lt;&gt;"",S757&lt;&gt;"")</formula>
    </cfRule>
    <cfRule type="expression" dxfId="2406" priority="2319" stopIfTrue="1">
      <formula>F757&lt;&gt;""</formula>
    </cfRule>
  </conditionalFormatting>
  <conditionalFormatting sqref="A757">
    <cfRule type="expression" dxfId="2405" priority="2315" stopIfTrue="1">
      <formula>O757="*OBSERVAÇÃO"</formula>
    </cfRule>
  </conditionalFormatting>
  <conditionalFormatting sqref="A757">
    <cfRule type="expression" dxfId="2404" priority="2311" stopIfTrue="1">
      <formula>A757=""</formula>
    </cfRule>
    <cfRule type="expression" dxfId="2403" priority="2312" stopIfTrue="1">
      <formula>F757=""</formula>
    </cfRule>
    <cfRule type="expression" dxfId="2402" priority="2313" stopIfTrue="1">
      <formula>AND(F757&lt;&gt;"",S757&lt;&gt;"")</formula>
    </cfRule>
    <cfRule type="expression" dxfId="2401" priority="2314" stopIfTrue="1">
      <formula>F757&lt;&gt;""</formula>
    </cfRule>
  </conditionalFormatting>
  <conditionalFormatting sqref="A757">
    <cfRule type="expression" dxfId="2400" priority="2310" stopIfTrue="1">
      <formula>O757="*CANCELADO"</formula>
    </cfRule>
  </conditionalFormatting>
  <conditionalFormatting sqref="A757">
    <cfRule type="expression" dxfId="2399" priority="2309" stopIfTrue="1">
      <formula>O757="*OBSERVAÇÃO"</formula>
    </cfRule>
  </conditionalFormatting>
  <conditionalFormatting sqref="A757">
    <cfRule type="expression" dxfId="2398" priority="2308" stopIfTrue="1">
      <formula>AND(F757&lt;&gt;"",S757&lt;&gt;"",Y757&lt;&gt;"")</formula>
    </cfRule>
  </conditionalFormatting>
  <conditionalFormatting sqref="N706">
    <cfRule type="cellIs" dxfId="2397" priority="2300" stopIfTrue="1" operator="equal">
      <formula>"Código não cadastrado"</formula>
    </cfRule>
  </conditionalFormatting>
  <conditionalFormatting sqref="AA706">
    <cfRule type="expression" dxfId="2396" priority="2247" stopIfTrue="1">
      <formula>O706="*CANCELADO"</formula>
    </cfRule>
    <cfRule type="expression" dxfId="2395" priority="2248" stopIfTrue="1">
      <formula>O706="*OBSERVAÇÃO"</formula>
    </cfRule>
  </conditionalFormatting>
  <conditionalFormatting sqref="F706">
    <cfRule type="expression" dxfId="2394" priority="2234" stopIfTrue="1">
      <formula>O706="*OBSERVAÇÃO"</formula>
    </cfRule>
    <cfRule type="expression" dxfId="2393" priority="2235" stopIfTrue="1">
      <formula>O706="*CANCELADO"</formula>
    </cfRule>
    <cfRule type="expression" priority="2236" stopIfTrue="1">
      <formula>A706=""</formula>
    </cfRule>
    <cfRule type="expression" dxfId="2392" priority="2237" stopIfTrue="1">
      <formula>F706=""</formula>
    </cfRule>
    <cfRule type="expression" dxfId="2391" priority="2238" stopIfTrue="1">
      <formula>AND(F706&lt;&gt;"",S706&lt;&gt;"",Y706&lt;&gt;"")</formula>
    </cfRule>
    <cfRule type="expression" dxfId="2390" priority="2239" stopIfTrue="1">
      <formula>AND(F706&lt;&gt;"",S706&lt;&gt;"")</formula>
    </cfRule>
    <cfRule type="expression" dxfId="2389" priority="2240" stopIfTrue="1">
      <formula>F706&lt;&gt;""</formula>
    </cfRule>
  </conditionalFormatting>
  <conditionalFormatting sqref="A904:A906">
    <cfRule type="expression" dxfId="2388" priority="2191" stopIfTrue="1">
      <formula>A904=""</formula>
    </cfRule>
    <cfRule type="expression" dxfId="2387" priority="2192" stopIfTrue="1">
      <formula>F904=""</formula>
    </cfRule>
    <cfRule type="expression" dxfId="2386" priority="2193" stopIfTrue="1">
      <formula>AND(F904&lt;&gt;"",S904&lt;&gt;"")</formula>
    </cfRule>
    <cfRule type="expression" dxfId="2385" priority="2194" stopIfTrue="1">
      <formula>F904&lt;&gt;""</formula>
    </cfRule>
  </conditionalFormatting>
  <conditionalFormatting sqref="A904:A906">
    <cfRule type="expression" dxfId="2384" priority="2190" stopIfTrue="1">
      <formula>O904="*CANCELADO"</formula>
    </cfRule>
  </conditionalFormatting>
  <conditionalFormatting sqref="AA904:AA907">
    <cfRule type="expression" dxfId="2383" priority="2188" stopIfTrue="1">
      <formula>O904="*CANCELADO"</formula>
    </cfRule>
    <cfRule type="expression" dxfId="2382" priority="2189" stopIfTrue="1">
      <formula>O904="*OBSERVAÇÃO"</formula>
    </cfRule>
  </conditionalFormatting>
  <conditionalFormatting sqref="N904:N906">
    <cfRule type="cellIs" dxfId="2381" priority="2185" stopIfTrue="1" operator="equal">
      <formula>"Código não cadastrado"</formula>
    </cfRule>
  </conditionalFormatting>
  <conditionalFormatting sqref="A904:A906">
    <cfRule type="expression" dxfId="2380" priority="2181" stopIfTrue="1">
      <formula>A904=""</formula>
    </cfRule>
    <cfRule type="expression" dxfId="2379" priority="2182" stopIfTrue="1">
      <formula>F904=""</formula>
    </cfRule>
    <cfRule type="expression" dxfId="2378" priority="2183" stopIfTrue="1">
      <formula>AND(F904&lt;&gt;"",S904&lt;&gt;"")</formula>
    </cfRule>
    <cfRule type="expression" dxfId="2377" priority="2184" stopIfTrue="1">
      <formula>F904&lt;&gt;""</formula>
    </cfRule>
  </conditionalFormatting>
  <conditionalFormatting sqref="A904:A906">
    <cfRule type="expression" dxfId="2376" priority="2180" stopIfTrue="1">
      <formula>O904="*OBSERVAÇÃO"</formula>
    </cfRule>
  </conditionalFormatting>
  <conditionalFormatting sqref="A904:A906">
    <cfRule type="expression" dxfId="2375" priority="2178" stopIfTrue="1">
      <formula>AND(F904&lt;&gt;"",S904&lt;&gt;"",Y904&lt;&gt;"")</formula>
    </cfRule>
  </conditionalFormatting>
  <conditionalFormatting sqref="F904:F906">
    <cfRule type="expression" dxfId="2374" priority="2171" stopIfTrue="1">
      <formula>O904="*OBSERVAÇÃO"</formula>
    </cfRule>
    <cfRule type="expression" dxfId="2373" priority="2172" stopIfTrue="1">
      <formula>O904="*CANCELADO"</formula>
    </cfRule>
    <cfRule type="expression" priority="2173" stopIfTrue="1">
      <formula>A904=""</formula>
    </cfRule>
    <cfRule type="expression" dxfId="2372" priority="2174" stopIfTrue="1">
      <formula>F904=""</formula>
    </cfRule>
    <cfRule type="expression" dxfId="2371" priority="2175" stopIfTrue="1">
      <formula>AND(F904&lt;&gt;"",S904&lt;&gt;"",Y904&lt;&gt;"")</formula>
    </cfRule>
    <cfRule type="expression" dxfId="2370" priority="2176" stopIfTrue="1">
      <formula>AND(F904&lt;&gt;"",S904&lt;&gt;"")</formula>
    </cfRule>
    <cfRule type="expression" dxfId="2369" priority="2177" stopIfTrue="1">
      <formula>F904&lt;&gt;""</formula>
    </cfRule>
  </conditionalFormatting>
  <conditionalFormatting sqref="A907">
    <cfRule type="expression" dxfId="2368" priority="2167" stopIfTrue="1">
      <formula>A907=""</formula>
    </cfRule>
    <cfRule type="expression" dxfId="2367" priority="2168" stopIfTrue="1">
      <formula>F907=""</formula>
    </cfRule>
    <cfRule type="expression" dxfId="2366" priority="2169" stopIfTrue="1">
      <formula>AND(F907&lt;&gt;"",S907&lt;&gt;"")</formula>
    </cfRule>
    <cfRule type="expression" dxfId="2365" priority="2170" stopIfTrue="1">
      <formula>F907&lt;&gt;""</formula>
    </cfRule>
  </conditionalFormatting>
  <conditionalFormatting sqref="A907">
    <cfRule type="expression" dxfId="2364" priority="2166" stopIfTrue="1">
      <formula>O907="*CANCELADO"</formula>
    </cfRule>
  </conditionalFormatting>
  <conditionalFormatting sqref="AA907">
    <cfRule type="expression" dxfId="2363" priority="2164" stopIfTrue="1">
      <formula>O907="*CANCELADO"</formula>
    </cfRule>
    <cfRule type="expression" dxfId="2362" priority="2165" stopIfTrue="1">
      <formula>O907="*OBSERVAÇÃO"</formula>
    </cfRule>
  </conditionalFormatting>
  <conditionalFormatting sqref="N907">
    <cfRule type="cellIs" dxfId="2361" priority="2161" stopIfTrue="1" operator="equal">
      <formula>"Código não cadastrado"</formula>
    </cfRule>
  </conditionalFormatting>
  <conditionalFormatting sqref="A907">
    <cfRule type="expression" dxfId="2360" priority="2157" stopIfTrue="1">
      <formula>A907=""</formula>
    </cfRule>
    <cfRule type="expression" dxfId="2359" priority="2158" stopIfTrue="1">
      <formula>F907=""</formula>
    </cfRule>
    <cfRule type="expression" dxfId="2358" priority="2159" stopIfTrue="1">
      <formula>AND(F907&lt;&gt;"",S907&lt;&gt;"")</formula>
    </cfRule>
    <cfRule type="expression" dxfId="2357" priority="2160" stopIfTrue="1">
      <formula>F907&lt;&gt;""</formula>
    </cfRule>
  </conditionalFormatting>
  <conditionalFormatting sqref="A907">
    <cfRule type="expression" dxfId="2356" priority="2156" stopIfTrue="1">
      <formula>O907="*OBSERVAÇÃO"</formula>
    </cfRule>
  </conditionalFormatting>
  <conditionalFormatting sqref="A907">
    <cfRule type="expression" dxfId="2355" priority="2154" stopIfTrue="1">
      <formula>AND(F907&lt;&gt;"",S907&lt;&gt;"",Y907&lt;&gt;"")</formula>
    </cfRule>
  </conditionalFormatting>
  <conditionalFormatting sqref="F907">
    <cfRule type="expression" dxfId="2354" priority="2147" stopIfTrue="1">
      <formula>O907="*OBSERVAÇÃO"</formula>
    </cfRule>
    <cfRule type="expression" dxfId="2353" priority="2148" stopIfTrue="1">
      <formula>O907="*CANCELADO"</formula>
    </cfRule>
    <cfRule type="expression" priority="2149" stopIfTrue="1">
      <formula>A907=""</formula>
    </cfRule>
    <cfRule type="expression" dxfId="2352" priority="2150" stopIfTrue="1">
      <formula>F907=""</formula>
    </cfRule>
    <cfRule type="expression" dxfId="2351" priority="2151" stopIfTrue="1">
      <formula>AND(F907&lt;&gt;"",S907&lt;&gt;"",Y907&lt;&gt;"")</formula>
    </cfRule>
    <cfRule type="expression" dxfId="2350" priority="2152" stopIfTrue="1">
      <formula>AND(F907&lt;&gt;"",S907&lt;&gt;"")</formula>
    </cfRule>
    <cfRule type="expression" dxfId="2349" priority="2153" stopIfTrue="1">
      <formula>F907&lt;&gt;""</formula>
    </cfRule>
  </conditionalFormatting>
  <conditionalFormatting sqref="A913">
    <cfRule type="expression" dxfId="2348" priority="2143" stopIfTrue="1">
      <formula>A913=""</formula>
    </cfRule>
    <cfRule type="expression" dxfId="2347" priority="2144" stopIfTrue="1">
      <formula>F913=""</formula>
    </cfRule>
    <cfRule type="expression" dxfId="2346" priority="2145" stopIfTrue="1">
      <formula>AND(F913&lt;&gt;"",S913&lt;&gt;"")</formula>
    </cfRule>
    <cfRule type="expression" dxfId="2345" priority="2146" stopIfTrue="1">
      <formula>F913&lt;&gt;""</formula>
    </cfRule>
  </conditionalFormatting>
  <conditionalFormatting sqref="A913">
    <cfRule type="expression" dxfId="2344" priority="2142" stopIfTrue="1">
      <formula>O913="*CANCELADO"</formula>
    </cfRule>
  </conditionalFormatting>
  <conditionalFormatting sqref="A913">
    <cfRule type="expression" dxfId="2343" priority="2138" stopIfTrue="1">
      <formula>A913=""</formula>
    </cfRule>
    <cfRule type="expression" dxfId="2342" priority="2139" stopIfTrue="1">
      <formula>F913=""</formula>
    </cfRule>
    <cfRule type="expression" dxfId="2341" priority="2140" stopIfTrue="1">
      <formula>AND(F913&lt;&gt;"",S913&lt;&gt;"")</formula>
    </cfRule>
    <cfRule type="expression" dxfId="2340" priority="2141" stopIfTrue="1">
      <formula>F913&lt;&gt;""</formula>
    </cfRule>
  </conditionalFormatting>
  <conditionalFormatting sqref="A913">
    <cfRule type="expression" dxfId="2339" priority="2137" stopIfTrue="1">
      <formula>O913="*OBSERVAÇÃO"</formula>
    </cfRule>
  </conditionalFormatting>
  <conditionalFormatting sqref="A913">
    <cfRule type="expression" dxfId="2338" priority="2136" stopIfTrue="1">
      <formula>AND(F913&lt;&gt;"",S913&lt;&gt;"",Y913&lt;&gt;"")</formula>
    </cfRule>
  </conditionalFormatting>
  <conditionalFormatting sqref="F913">
    <cfRule type="expression" dxfId="2337" priority="2129" stopIfTrue="1">
      <formula>O913="*OBSERVAÇÃO"</formula>
    </cfRule>
    <cfRule type="expression" dxfId="2336" priority="2130" stopIfTrue="1">
      <formula>O913="*CANCELADO"</formula>
    </cfRule>
    <cfRule type="expression" priority="2131" stopIfTrue="1">
      <formula>A913=""</formula>
    </cfRule>
    <cfRule type="expression" dxfId="2335" priority="2132" stopIfTrue="1">
      <formula>F913=""</formula>
    </cfRule>
    <cfRule type="expression" dxfId="2334" priority="2133" stopIfTrue="1">
      <formula>AND(F913&lt;&gt;"",S913&lt;&gt;"",Y913&lt;&gt;"")</formula>
    </cfRule>
    <cfRule type="expression" dxfId="2333" priority="2134" stopIfTrue="1">
      <formula>AND(F913&lt;&gt;"",S913&lt;&gt;"")</formula>
    </cfRule>
    <cfRule type="expression" dxfId="2332" priority="2135" stopIfTrue="1">
      <formula>F913&lt;&gt;""</formula>
    </cfRule>
  </conditionalFormatting>
  <conditionalFormatting sqref="A916:A917">
    <cfRule type="expression" dxfId="2331" priority="2125" stopIfTrue="1">
      <formula>A916=""</formula>
    </cfRule>
    <cfRule type="expression" dxfId="2330" priority="2126" stopIfTrue="1">
      <formula>F916=""</formula>
    </cfRule>
    <cfRule type="expression" dxfId="2329" priority="2127" stopIfTrue="1">
      <formula>AND(F916&lt;&gt;"",S916&lt;&gt;"")</formula>
    </cfRule>
    <cfRule type="expression" dxfId="2328" priority="2128" stopIfTrue="1">
      <formula>F916&lt;&gt;""</formula>
    </cfRule>
  </conditionalFormatting>
  <conditionalFormatting sqref="A916:A917">
    <cfRule type="expression" dxfId="2327" priority="2124" stopIfTrue="1">
      <formula>O916="*CANCELADO"</formula>
    </cfRule>
  </conditionalFormatting>
  <conditionalFormatting sqref="A916:A917">
    <cfRule type="expression" dxfId="2326" priority="2120" stopIfTrue="1">
      <formula>A916=""</formula>
    </cfRule>
    <cfRule type="expression" dxfId="2325" priority="2121" stopIfTrue="1">
      <formula>F916=""</formula>
    </cfRule>
    <cfRule type="expression" dxfId="2324" priority="2122" stopIfTrue="1">
      <formula>AND(F916&lt;&gt;"",S916&lt;&gt;"")</formula>
    </cfRule>
    <cfRule type="expression" dxfId="2323" priority="2123" stopIfTrue="1">
      <formula>F916&lt;&gt;""</formula>
    </cfRule>
  </conditionalFormatting>
  <conditionalFormatting sqref="A916:A917">
    <cfRule type="expression" dxfId="2322" priority="2119" stopIfTrue="1">
      <formula>O916="*OBSERVAÇÃO"</formula>
    </cfRule>
  </conditionalFormatting>
  <conditionalFormatting sqref="A916:A917">
    <cfRule type="expression" dxfId="2321" priority="2118" stopIfTrue="1">
      <formula>AND(F916&lt;&gt;"",S916&lt;&gt;"",Y916&lt;&gt;"")</formula>
    </cfRule>
  </conditionalFormatting>
  <conditionalFormatting sqref="F916:F917">
    <cfRule type="expression" dxfId="2320" priority="2111" stopIfTrue="1">
      <formula>O916="*OBSERVAÇÃO"</formula>
    </cfRule>
    <cfRule type="expression" dxfId="2319" priority="2112" stopIfTrue="1">
      <formula>O916="*CANCELADO"</formula>
    </cfRule>
    <cfRule type="expression" priority="2113" stopIfTrue="1">
      <formula>A916=""</formula>
    </cfRule>
    <cfRule type="expression" dxfId="2318" priority="2114" stopIfTrue="1">
      <formula>F916=""</formula>
    </cfRule>
    <cfRule type="expression" dxfId="2317" priority="2115" stopIfTrue="1">
      <formula>AND(F916&lt;&gt;"",S916&lt;&gt;"",Y916&lt;&gt;"")</formula>
    </cfRule>
    <cfRule type="expression" dxfId="2316" priority="2116" stopIfTrue="1">
      <formula>AND(F916&lt;&gt;"",S916&lt;&gt;"")</formula>
    </cfRule>
    <cfRule type="expression" dxfId="2315" priority="2117" stopIfTrue="1">
      <formula>F916&lt;&gt;""</formula>
    </cfRule>
  </conditionalFormatting>
  <conditionalFormatting sqref="A859">
    <cfRule type="expression" dxfId="2314" priority="2107" stopIfTrue="1">
      <formula>A859=""</formula>
    </cfRule>
    <cfRule type="expression" dxfId="2313" priority="2108" stopIfTrue="1">
      <formula>F859=""</formula>
    </cfRule>
    <cfRule type="expression" dxfId="2312" priority="2109" stopIfTrue="1">
      <formula>AND(F859&lt;&gt;"",S859&lt;&gt;"")</formula>
    </cfRule>
    <cfRule type="expression" dxfId="2311" priority="2110" stopIfTrue="1">
      <formula>F859&lt;&gt;""</formula>
    </cfRule>
  </conditionalFormatting>
  <conditionalFormatting sqref="A859">
    <cfRule type="expression" dxfId="2310" priority="2106" stopIfTrue="1">
      <formula>O859="*CANCELADO"</formula>
    </cfRule>
  </conditionalFormatting>
  <conditionalFormatting sqref="AA859">
    <cfRule type="expression" dxfId="2309" priority="2104" stopIfTrue="1">
      <formula>O859="*CANCELADO"</formula>
    </cfRule>
    <cfRule type="expression" dxfId="2308" priority="2105" stopIfTrue="1">
      <formula>O859="*OBSERVAÇÃO"</formula>
    </cfRule>
  </conditionalFormatting>
  <conditionalFormatting sqref="N859">
    <cfRule type="cellIs" dxfId="2307" priority="2101" stopIfTrue="1" operator="equal">
      <formula>"Código não cadastrado"</formula>
    </cfRule>
  </conditionalFormatting>
  <conditionalFormatting sqref="A859">
    <cfRule type="expression" dxfId="2306" priority="2097" stopIfTrue="1">
      <formula>A859=""</formula>
    </cfRule>
    <cfRule type="expression" dxfId="2305" priority="2098" stopIfTrue="1">
      <formula>F859=""</formula>
    </cfRule>
    <cfRule type="expression" dxfId="2304" priority="2099" stopIfTrue="1">
      <formula>AND(F859&lt;&gt;"",S859&lt;&gt;"")</formula>
    </cfRule>
    <cfRule type="expression" dxfId="2303" priority="2100" stopIfTrue="1">
      <formula>F859&lt;&gt;""</formula>
    </cfRule>
  </conditionalFormatting>
  <conditionalFormatting sqref="A859">
    <cfRule type="expression" dxfId="2302" priority="2096" stopIfTrue="1">
      <formula>O859="*OBSERVAÇÃO"</formula>
    </cfRule>
  </conditionalFormatting>
  <conditionalFormatting sqref="A859">
    <cfRule type="expression" dxfId="2301" priority="2094" stopIfTrue="1">
      <formula>AND(F859&lt;&gt;"",S859&lt;&gt;"",Y859&lt;&gt;"")</formula>
    </cfRule>
  </conditionalFormatting>
  <conditionalFormatting sqref="F859">
    <cfRule type="expression" dxfId="2300" priority="2087" stopIfTrue="1">
      <formula>O859="*OBSERVAÇÃO"</formula>
    </cfRule>
    <cfRule type="expression" dxfId="2299" priority="2088" stopIfTrue="1">
      <formula>O859="*CANCELADO"</formula>
    </cfRule>
    <cfRule type="expression" priority="2089" stopIfTrue="1">
      <formula>A859=""</formula>
    </cfRule>
    <cfRule type="expression" dxfId="2298" priority="2090" stopIfTrue="1">
      <formula>F859=""</formula>
    </cfRule>
    <cfRule type="expression" dxfId="2297" priority="2091" stopIfTrue="1">
      <formula>AND(F859&lt;&gt;"",S859&lt;&gt;"",Y859&lt;&gt;"")</formula>
    </cfRule>
    <cfRule type="expression" dxfId="2296" priority="2092" stopIfTrue="1">
      <formula>AND(F859&lt;&gt;"",S859&lt;&gt;"")</formula>
    </cfRule>
    <cfRule type="expression" dxfId="2295" priority="2093" stopIfTrue="1">
      <formula>F859&lt;&gt;""</formula>
    </cfRule>
  </conditionalFormatting>
  <conditionalFormatting sqref="A936:A937">
    <cfRule type="expression" dxfId="2294" priority="2080" stopIfTrue="1">
      <formula>A936=""</formula>
    </cfRule>
    <cfRule type="expression" dxfId="2293" priority="2081" stopIfTrue="1">
      <formula>F936=""</formula>
    </cfRule>
    <cfRule type="expression" dxfId="2292" priority="2082" stopIfTrue="1">
      <formula>AND(F936&lt;&gt;"",S936&lt;&gt;"")</formula>
    </cfRule>
    <cfRule type="expression" dxfId="2291" priority="2083" stopIfTrue="1">
      <formula>F936&lt;&gt;""</formula>
    </cfRule>
  </conditionalFormatting>
  <conditionalFormatting sqref="A936:A937">
    <cfRule type="expression" dxfId="2290" priority="2079" stopIfTrue="1">
      <formula>O936="*CANCELADO"</formula>
    </cfRule>
  </conditionalFormatting>
  <conditionalFormatting sqref="A936:A937">
    <cfRule type="expression" dxfId="2289" priority="2075" stopIfTrue="1">
      <formula>A936=""</formula>
    </cfRule>
    <cfRule type="expression" dxfId="2288" priority="2076" stopIfTrue="1">
      <formula>F936=""</formula>
    </cfRule>
    <cfRule type="expression" dxfId="2287" priority="2077" stopIfTrue="1">
      <formula>AND(F936&lt;&gt;"",S936&lt;&gt;"")</formula>
    </cfRule>
    <cfRule type="expression" dxfId="2286" priority="2078" stopIfTrue="1">
      <formula>F936&lt;&gt;""</formula>
    </cfRule>
  </conditionalFormatting>
  <conditionalFormatting sqref="A936:A937">
    <cfRule type="expression" dxfId="2285" priority="2074" stopIfTrue="1">
      <formula>O936="*OBSERVAÇÃO"</formula>
    </cfRule>
  </conditionalFormatting>
  <conditionalFormatting sqref="A936:A937">
    <cfRule type="expression" dxfId="2284" priority="2073" stopIfTrue="1">
      <formula>AND(F936&lt;&gt;"",S936&lt;&gt;"",Y936&lt;&gt;"")</formula>
    </cfRule>
  </conditionalFormatting>
  <conditionalFormatting sqref="F936:F937">
    <cfRule type="expression" dxfId="2283" priority="2066" stopIfTrue="1">
      <formula>O936="*OBSERVAÇÃO"</formula>
    </cfRule>
    <cfRule type="expression" dxfId="2282" priority="2067" stopIfTrue="1">
      <formula>O936="*CANCELADO"</formula>
    </cfRule>
    <cfRule type="expression" priority="2068" stopIfTrue="1">
      <formula>A936=""</formula>
    </cfRule>
    <cfRule type="expression" dxfId="2281" priority="2069" stopIfTrue="1">
      <formula>F936=""</formula>
    </cfRule>
    <cfRule type="expression" dxfId="2280" priority="2070" stopIfTrue="1">
      <formula>AND(F936&lt;&gt;"",S936&lt;&gt;"",Y936&lt;&gt;"")</formula>
    </cfRule>
    <cfRule type="expression" dxfId="2279" priority="2071" stopIfTrue="1">
      <formula>AND(F936&lt;&gt;"",S936&lt;&gt;"")</formula>
    </cfRule>
    <cfRule type="expression" dxfId="2278" priority="2072" stopIfTrue="1">
      <formula>F936&lt;&gt;""</formula>
    </cfRule>
  </conditionalFormatting>
  <conditionalFormatting sqref="A939">
    <cfRule type="expression" dxfId="2277" priority="2062" stopIfTrue="1">
      <formula>A939=""</formula>
    </cfRule>
    <cfRule type="expression" dxfId="2276" priority="2063" stopIfTrue="1">
      <formula>F939=""</formula>
    </cfRule>
    <cfRule type="expression" dxfId="2275" priority="2064" stopIfTrue="1">
      <formula>AND(F939&lt;&gt;"",S939&lt;&gt;"")</formula>
    </cfRule>
    <cfRule type="expression" dxfId="2274" priority="2065" stopIfTrue="1">
      <formula>F939&lt;&gt;""</formula>
    </cfRule>
  </conditionalFormatting>
  <conditionalFormatting sqref="A939">
    <cfRule type="expression" dxfId="2273" priority="2061" stopIfTrue="1">
      <formula>O939="*CANCELADO"</formula>
    </cfRule>
  </conditionalFormatting>
  <conditionalFormatting sqref="A939">
    <cfRule type="expression" dxfId="2272" priority="2057" stopIfTrue="1">
      <formula>A939=""</formula>
    </cfRule>
    <cfRule type="expression" dxfId="2271" priority="2058" stopIfTrue="1">
      <formula>F939=""</formula>
    </cfRule>
    <cfRule type="expression" dxfId="2270" priority="2059" stopIfTrue="1">
      <formula>AND(F939&lt;&gt;"",S939&lt;&gt;"")</formula>
    </cfRule>
    <cfRule type="expression" dxfId="2269" priority="2060" stopIfTrue="1">
      <formula>F939&lt;&gt;""</formula>
    </cfRule>
  </conditionalFormatting>
  <conditionalFormatting sqref="A939">
    <cfRule type="expression" dxfId="2268" priority="2056" stopIfTrue="1">
      <formula>O939="*OBSERVAÇÃO"</formula>
    </cfRule>
  </conditionalFormatting>
  <conditionalFormatting sqref="A939">
    <cfRule type="expression" dxfId="2267" priority="2055" stopIfTrue="1">
      <formula>AND(F939&lt;&gt;"",S939&lt;&gt;"",Y939&lt;&gt;"")</formula>
    </cfRule>
  </conditionalFormatting>
  <conditionalFormatting sqref="F939">
    <cfRule type="expression" dxfId="2266" priority="2048" stopIfTrue="1">
      <formula>O939="*OBSERVAÇÃO"</formula>
    </cfRule>
    <cfRule type="expression" dxfId="2265" priority="2049" stopIfTrue="1">
      <formula>O939="*CANCELADO"</formula>
    </cfRule>
    <cfRule type="expression" priority="2050" stopIfTrue="1">
      <formula>A939=""</formula>
    </cfRule>
    <cfRule type="expression" dxfId="2264" priority="2051" stopIfTrue="1">
      <formula>F939=""</formula>
    </cfRule>
    <cfRule type="expression" dxfId="2263" priority="2052" stopIfTrue="1">
      <formula>AND(F939&lt;&gt;"",S939&lt;&gt;"",Y939&lt;&gt;"")</formula>
    </cfRule>
    <cfRule type="expression" dxfId="2262" priority="2053" stopIfTrue="1">
      <formula>AND(F939&lt;&gt;"",S939&lt;&gt;"")</formula>
    </cfRule>
    <cfRule type="expression" dxfId="2261" priority="2054" stopIfTrue="1">
      <formula>F939&lt;&gt;""</formula>
    </cfRule>
  </conditionalFormatting>
  <conditionalFormatting sqref="A946">
    <cfRule type="expression" dxfId="2260" priority="2044" stopIfTrue="1">
      <formula>A946=""</formula>
    </cfRule>
    <cfRule type="expression" dxfId="2259" priority="2045" stopIfTrue="1">
      <formula>F946=""</formula>
    </cfRule>
    <cfRule type="expression" dxfId="2258" priority="2046" stopIfTrue="1">
      <formula>AND(F946&lt;&gt;"",S946&lt;&gt;"")</formula>
    </cfRule>
    <cfRule type="expression" dxfId="2257" priority="2047" stopIfTrue="1">
      <formula>F946&lt;&gt;""</formula>
    </cfRule>
  </conditionalFormatting>
  <conditionalFormatting sqref="A946">
    <cfRule type="expression" dxfId="2256" priority="2043" stopIfTrue="1">
      <formula>O946="*CANCELADO"</formula>
    </cfRule>
  </conditionalFormatting>
  <conditionalFormatting sqref="A946">
    <cfRule type="expression" dxfId="2255" priority="2039" stopIfTrue="1">
      <formula>A946=""</formula>
    </cfRule>
    <cfRule type="expression" dxfId="2254" priority="2040" stopIfTrue="1">
      <formula>F946=""</formula>
    </cfRule>
    <cfRule type="expression" dxfId="2253" priority="2041" stopIfTrue="1">
      <formula>AND(F946&lt;&gt;"",S946&lt;&gt;"")</formula>
    </cfRule>
    <cfRule type="expression" dxfId="2252" priority="2042" stopIfTrue="1">
      <formula>F946&lt;&gt;""</formula>
    </cfRule>
  </conditionalFormatting>
  <conditionalFormatting sqref="A946">
    <cfRule type="expression" dxfId="2251" priority="2038" stopIfTrue="1">
      <formula>O946="*OBSERVAÇÃO"</formula>
    </cfRule>
  </conditionalFormatting>
  <conditionalFormatting sqref="A946">
    <cfRule type="expression" dxfId="2250" priority="2037" stopIfTrue="1">
      <formula>AND(F946&lt;&gt;"",S946&lt;&gt;"",Y946&lt;&gt;"")</formula>
    </cfRule>
  </conditionalFormatting>
  <conditionalFormatting sqref="A945">
    <cfRule type="expression" dxfId="2249" priority="2033" stopIfTrue="1">
      <formula>A945=""</formula>
    </cfRule>
    <cfRule type="expression" dxfId="2248" priority="2034" stopIfTrue="1">
      <formula>F945=""</formula>
    </cfRule>
    <cfRule type="expression" dxfId="2247" priority="2035" stopIfTrue="1">
      <formula>AND(F945&lt;&gt;"",S945&lt;&gt;"")</formula>
    </cfRule>
    <cfRule type="expression" dxfId="2246" priority="2036" stopIfTrue="1">
      <formula>F945&lt;&gt;""</formula>
    </cfRule>
  </conditionalFormatting>
  <conditionalFormatting sqref="A945">
    <cfRule type="expression" dxfId="2245" priority="2032" stopIfTrue="1">
      <formula>O945="*CANCELADO"</formula>
    </cfRule>
  </conditionalFormatting>
  <conditionalFormatting sqref="A945">
    <cfRule type="expression" dxfId="2244" priority="2028" stopIfTrue="1">
      <formula>A945=""</formula>
    </cfRule>
    <cfRule type="expression" dxfId="2243" priority="2029" stopIfTrue="1">
      <formula>F945=""</formula>
    </cfRule>
    <cfRule type="expression" dxfId="2242" priority="2030" stopIfTrue="1">
      <formula>AND(F945&lt;&gt;"",S945&lt;&gt;"")</formula>
    </cfRule>
    <cfRule type="expression" dxfId="2241" priority="2031" stopIfTrue="1">
      <formula>F945&lt;&gt;""</formula>
    </cfRule>
  </conditionalFormatting>
  <conditionalFormatting sqref="A945">
    <cfRule type="expression" dxfId="2240" priority="2027" stopIfTrue="1">
      <formula>O945="*OBSERVAÇÃO"</formula>
    </cfRule>
  </conditionalFormatting>
  <conditionalFormatting sqref="A945">
    <cfRule type="expression" dxfId="2239" priority="2026" stopIfTrue="1">
      <formula>AND(F945&lt;&gt;"",S945&lt;&gt;"",Y945&lt;&gt;"")</formula>
    </cfRule>
  </conditionalFormatting>
  <conditionalFormatting sqref="N945">
    <cfRule type="cellIs" dxfId="2238" priority="2025" stopIfTrue="1" operator="equal">
      <formula>"Código não cadastrado"</formula>
    </cfRule>
  </conditionalFormatting>
  <conditionalFormatting sqref="A943">
    <cfRule type="expression" dxfId="2237" priority="2021" stopIfTrue="1">
      <formula>A943=""</formula>
    </cfRule>
    <cfRule type="expression" dxfId="2236" priority="2022" stopIfTrue="1">
      <formula>F943=""</formula>
    </cfRule>
    <cfRule type="expression" dxfId="2235" priority="2023" stopIfTrue="1">
      <formula>AND(F943&lt;&gt;"",S943&lt;&gt;"")</formula>
    </cfRule>
    <cfRule type="expression" dxfId="2234" priority="2024" stopIfTrue="1">
      <formula>F943&lt;&gt;""</formula>
    </cfRule>
  </conditionalFormatting>
  <conditionalFormatting sqref="A943">
    <cfRule type="expression" dxfId="2233" priority="2020" stopIfTrue="1">
      <formula>O943="*CANCELADO"</formula>
    </cfRule>
  </conditionalFormatting>
  <conditionalFormatting sqref="AA943">
    <cfRule type="expression" dxfId="2232" priority="2018" stopIfTrue="1">
      <formula>O943="*CANCELADO"</formula>
    </cfRule>
    <cfRule type="expression" dxfId="2231" priority="2019" stopIfTrue="1">
      <formula>O943="*OBSERVAÇÃO"</formula>
    </cfRule>
  </conditionalFormatting>
  <conditionalFormatting sqref="N943">
    <cfRule type="cellIs" dxfId="2230" priority="2015" stopIfTrue="1" operator="equal">
      <formula>"Código não cadastrado"</formula>
    </cfRule>
  </conditionalFormatting>
  <conditionalFormatting sqref="A943">
    <cfRule type="expression" dxfId="2229" priority="2011" stopIfTrue="1">
      <formula>A943=""</formula>
    </cfRule>
    <cfRule type="expression" dxfId="2228" priority="2012" stopIfTrue="1">
      <formula>F943=""</formula>
    </cfRule>
    <cfRule type="expression" dxfId="2227" priority="2013" stopIfTrue="1">
      <formula>AND(F943&lt;&gt;"",S943&lt;&gt;"")</formula>
    </cfRule>
    <cfRule type="expression" dxfId="2226" priority="2014" stopIfTrue="1">
      <formula>F943&lt;&gt;""</formula>
    </cfRule>
  </conditionalFormatting>
  <conditionalFormatting sqref="A943">
    <cfRule type="expression" dxfId="2225" priority="2010" stopIfTrue="1">
      <formula>O943="*OBSERVAÇÃO"</formula>
    </cfRule>
  </conditionalFormatting>
  <conditionalFormatting sqref="A943">
    <cfRule type="expression" dxfId="2224" priority="2008" stopIfTrue="1">
      <formula>AND(F943&lt;&gt;"",S943&lt;&gt;"",Y943&lt;&gt;"")</formula>
    </cfRule>
  </conditionalFormatting>
  <conditionalFormatting sqref="F943">
    <cfRule type="expression" dxfId="2223" priority="2001" stopIfTrue="1">
      <formula>O943="*OBSERVAÇÃO"</formula>
    </cfRule>
    <cfRule type="expression" dxfId="2222" priority="2002" stopIfTrue="1">
      <formula>O943="*CANCELADO"</formula>
    </cfRule>
    <cfRule type="expression" priority="2003" stopIfTrue="1">
      <formula>A943=""</formula>
    </cfRule>
    <cfRule type="expression" dxfId="2221" priority="2004" stopIfTrue="1">
      <formula>F943=""</formula>
    </cfRule>
    <cfRule type="expression" dxfId="2220" priority="2005" stopIfTrue="1">
      <formula>AND(F943&lt;&gt;"",S943&lt;&gt;"",Y943&lt;&gt;"")</formula>
    </cfRule>
    <cfRule type="expression" dxfId="2219" priority="2006" stopIfTrue="1">
      <formula>AND(F943&lt;&gt;"",S943&lt;&gt;"")</formula>
    </cfRule>
    <cfRule type="expression" dxfId="2218" priority="2007" stopIfTrue="1">
      <formula>F943&lt;&gt;""</formula>
    </cfRule>
  </conditionalFormatting>
  <conditionalFormatting sqref="A944">
    <cfRule type="expression" dxfId="2217" priority="1997" stopIfTrue="1">
      <formula>A944=""</formula>
    </cfRule>
    <cfRule type="expression" dxfId="2216" priority="1998" stopIfTrue="1">
      <formula>F944=""</formula>
    </cfRule>
    <cfRule type="expression" dxfId="2215" priority="1999" stopIfTrue="1">
      <formula>AND(F944&lt;&gt;"",S944&lt;&gt;"")</formula>
    </cfRule>
    <cfRule type="expression" dxfId="2214" priority="2000" stopIfTrue="1">
      <formula>F944&lt;&gt;""</formula>
    </cfRule>
  </conditionalFormatting>
  <conditionalFormatting sqref="A944">
    <cfRule type="expression" dxfId="2213" priority="1996" stopIfTrue="1">
      <formula>O944="*CANCELADO"</formula>
    </cfRule>
  </conditionalFormatting>
  <conditionalFormatting sqref="A944">
    <cfRule type="expression" dxfId="2212" priority="1992" stopIfTrue="1">
      <formula>A944=""</formula>
    </cfRule>
    <cfRule type="expression" dxfId="2211" priority="1993" stopIfTrue="1">
      <formula>F944=""</formula>
    </cfRule>
    <cfRule type="expression" dxfId="2210" priority="1994" stopIfTrue="1">
      <formula>AND(F944&lt;&gt;"",S944&lt;&gt;"")</formula>
    </cfRule>
    <cfRule type="expression" dxfId="2209" priority="1995" stopIfTrue="1">
      <formula>F944&lt;&gt;""</formula>
    </cfRule>
  </conditionalFormatting>
  <conditionalFormatting sqref="A944">
    <cfRule type="expression" dxfId="2208" priority="1991" stopIfTrue="1">
      <formula>O944="*OBSERVAÇÃO"</formula>
    </cfRule>
  </conditionalFormatting>
  <conditionalFormatting sqref="A944">
    <cfRule type="expression" dxfId="2207" priority="1990" stopIfTrue="1">
      <formula>AND(F944&lt;&gt;"",S944&lt;&gt;"",Y944&lt;&gt;"")</formula>
    </cfRule>
  </conditionalFormatting>
  <conditionalFormatting sqref="A948">
    <cfRule type="expression" dxfId="2206" priority="1986" stopIfTrue="1">
      <formula>A948=""</formula>
    </cfRule>
    <cfRule type="expression" dxfId="2205" priority="1987" stopIfTrue="1">
      <formula>F948=""</formula>
    </cfRule>
    <cfRule type="expression" dxfId="2204" priority="1988" stopIfTrue="1">
      <formula>AND(F948&lt;&gt;"",S948&lt;&gt;"")</formula>
    </cfRule>
    <cfRule type="expression" dxfId="2203" priority="1989" stopIfTrue="1">
      <formula>F948&lt;&gt;""</formula>
    </cfRule>
  </conditionalFormatting>
  <conditionalFormatting sqref="A948">
    <cfRule type="expression" dxfId="2202" priority="1985" stopIfTrue="1">
      <formula>O948="*CANCELADO"</formula>
    </cfRule>
  </conditionalFormatting>
  <conditionalFormatting sqref="A948">
    <cfRule type="expression" dxfId="2201" priority="1981" stopIfTrue="1">
      <formula>A948=""</formula>
    </cfRule>
    <cfRule type="expression" dxfId="2200" priority="1982" stopIfTrue="1">
      <formula>F948=""</formula>
    </cfRule>
    <cfRule type="expression" dxfId="2199" priority="1983" stopIfTrue="1">
      <formula>AND(F948&lt;&gt;"",S948&lt;&gt;"")</formula>
    </cfRule>
    <cfRule type="expression" dxfId="2198" priority="1984" stopIfTrue="1">
      <formula>F948&lt;&gt;""</formula>
    </cfRule>
  </conditionalFormatting>
  <conditionalFormatting sqref="A948">
    <cfRule type="expression" dxfId="2197" priority="1980" stopIfTrue="1">
      <formula>O948="*OBSERVAÇÃO"</formula>
    </cfRule>
  </conditionalFormatting>
  <conditionalFormatting sqref="A948">
    <cfRule type="expression" dxfId="2196" priority="1979" stopIfTrue="1">
      <formula>AND(F948&lt;&gt;"",S948&lt;&gt;"",Y948&lt;&gt;"")</formula>
    </cfRule>
  </conditionalFormatting>
  <conditionalFormatting sqref="A950">
    <cfRule type="expression" dxfId="2195" priority="1975" stopIfTrue="1">
      <formula>A950=""</formula>
    </cfRule>
    <cfRule type="expression" dxfId="2194" priority="1976" stopIfTrue="1">
      <formula>F950=""</formula>
    </cfRule>
    <cfRule type="expression" dxfId="2193" priority="1977" stopIfTrue="1">
      <formula>AND(F950&lt;&gt;"",S950&lt;&gt;"")</formula>
    </cfRule>
    <cfRule type="expression" dxfId="2192" priority="1978" stopIfTrue="1">
      <formula>F950&lt;&gt;""</formula>
    </cfRule>
  </conditionalFormatting>
  <conditionalFormatting sqref="A950">
    <cfRule type="expression" dxfId="2191" priority="1974" stopIfTrue="1">
      <formula>O950="*CANCELADO"</formula>
    </cfRule>
  </conditionalFormatting>
  <conditionalFormatting sqref="A950">
    <cfRule type="expression" dxfId="2190" priority="1970" stopIfTrue="1">
      <formula>A950=""</formula>
    </cfRule>
    <cfRule type="expression" dxfId="2189" priority="1971" stopIfTrue="1">
      <formula>F950=""</formula>
    </cfRule>
    <cfRule type="expression" dxfId="2188" priority="1972" stopIfTrue="1">
      <formula>AND(F950&lt;&gt;"",S950&lt;&gt;"")</formula>
    </cfRule>
    <cfRule type="expression" dxfId="2187" priority="1973" stopIfTrue="1">
      <formula>F950&lt;&gt;""</formula>
    </cfRule>
  </conditionalFormatting>
  <conditionalFormatting sqref="A950">
    <cfRule type="expression" dxfId="2186" priority="1969" stopIfTrue="1">
      <formula>O950="*OBSERVAÇÃO"</formula>
    </cfRule>
  </conditionalFormatting>
  <conditionalFormatting sqref="A950">
    <cfRule type="expression" dxfId="2185" priority="1968" stopIfTrue="1">
      <formula>AND(F950&lt;&gt;"",S950&lt;&gt;"",Y950&lt;&gt;"")</formula>
    </cfRule>
  </conditionalFormatting>
  <conditionalFormatting sqref="AA572">
    <cfRule type="expression" dxfId="2184" priority="1961" stopIfTrue="1">
      <formula>O572="*CANCELADO"</formula>
    </cfRule>
    <cfRule type="expression" dxfId="2183" priority="1962" stopIfTrue="1">
      <formula>O572="*OBSERVAÇÃO"</formula>
    </cfRule>
  </conditionalFormatting>
  <conditionalFormatting sqref="N572">
    <cfRule type="cellIs" dxfId="2182" priority="1958" stopIfTrue="1" operator="equal">
      <formula>"Código não cadastrado"</formula>
    </cfRule>
  </conditionalFormatting>
  <conditionalFormatting sqref="F572">
    <cfRule type="expression" dxfId="2181" priority="1944" stopIfTrue="1">
      <formula>O572="*OBSERVAÇÃO"</formula>
    </cfRule>
    <cfRule type="expression" dxfId="2180" priority="1945" stopIfTrue="1">
      <formula>O572="*CANCELADO"</formula>
    </cfRule>
    <cfRule type="expression" priority="1946" stopIfTrue="1">
      <formula>A572=""</formula>
    </cfRule>
    <cfRule type="expression" dxfId="2179" priority="1947" stopIfTrue="1">
      <formula>F572=""</formula>
    </cfRule>
    <cfRule type="expression" dxfId="2178" priority="1948" stopIfTrue="1">
      <formula>AND(F572&lt;&gt;"",S572&lt;&gt;"",Y572&lt;&gt;"")</formula>
    </cfRule>
    <cfRule type="expression" dxfId="2177" priority="1949" stopIfTrue="1">
      <formula>AND(F572&lt;&gt;"",S572&lt;&gt;"")</formula>
    </cfRule>
    <cfRule type="expression" dxfId="2176" priority="1950" stopIfTrue="1">
      <formula>F572&lt;&gt;""</formula>
    </cfRule>
  </conditionalFormatting>
  <conditionalFormatting sqref="A756">
    <cfRule type="expression" dxfId="2175" priority="1901" stopIfTrue="1">
      <formula>A756=""</formula>
    </cfRule>
    <cfRule type="expression" dxfId="2174" priority="1902" stopIfTrue="1">
      <formula>F756=""</formula>
    </cfRule>
    <cfRule type="expression" dxfId="2173" priority="1903" stopIfTrue="1">
      <formula>AND(F756&lt;&gt;"",S756&lt;&gt;"")</formula>
    </cfRule>
    <cfRule type="expression" dxfId="2172" priority="1904" stopIfTrue="1">
      <formula>F756&lt;&gt;""</formula>
    </cfRule>
  </conditionalFormatting>
  <conditionalFormatting sqref="A756">
    <cfRule type="expression" dxfId="2171" priority="1900" stopIfTrue="1">
      <formula>O756="*CANCELADO"</formula>
    </cfRule>
  </conditionalFormatting>
  <conditionalFormatting sqref="AA756">
    <cfRule type="expression" dxfId="2170" priority="1898" stopIfTrue="1">
      <formula>O756="*CANCELADO"</formula>
    </cfRule>
    <cfRule type="expression" dxfId="2169" priority="1899" stopIfTrue="1">
      <formula>O756="*OBSERVAÇÃO"</formula>
    </cfRule>
  </conditionalFormatting>
  <conditionalFormatting sqref="N756">
    <cfRule type="cellIs" dxfId="2168" priority="1895" stopIfTrue="1" operator="equal">
      <formula>"Código não cadastrado"</formula>
    </cfRule>
  </conditionalFormatting>
  <conditionalFormatting sqref="A756">
    <cfRule type="expression" dxfId="2167" priority="1891" stopIfTrue="1">
      <formula>A756=""</formula>
    </cfRule>
    <cfRule type="expression" dxfId="2166" priority="1892" stopIfTrue="1">
      <formula>F756=""</formula>
    </cfRule>
    <cfRule type="expression" dxfId="2165" priority="1893" stopIfTrue="1">
      <formula>AND(F756&lt;&gt;"",S756&lt;&gt;"")</formula>
    </cfRule>
    <cfRule type="expression" dxfId="2164" priority="1894" stopIfTrue="1">
      <formula>F756&lt;&gt;""</formula>
    </cfRule>
  </conditionalFormatting>
  <conditionalFormatting sqref="A756">
    <cfRule type="expression" dxfId="2163" priority="1890" stopIfTrue="1">
      <formula>O756="*OBSERVAÇÃO"</formula>
    </cfRule>
  </conditionalFormatting>
  <conditionalFormatting sqref="A756">
    <cfRule type="expression" dxfId="2162" priority="1888" stopIfTrue="1">
      <formula>AND(F756&lt;&gt;"",S756&lt;&gt;"",Y756&lt;&gt;"")</formula>
    </cfRule>
  </conditionalFormatting>
  <conditionalFormatting sqref="F756">
    <cfRule type="expression" dxfId="2161" priority="1881" stopIfTrue="1">
      <formula>O756="*OBSERVAÇÃO"</formula>
    </cfRule>
    <cfRule type="expression" dxfId="2160" priority="1882" stopIfTrue="1">
      <formula>O756="*CANCELADO"</formula>
    </cfRule>
    <cfRule type="expression" priority="1883" stopIfTrue="1">
      <formula>A756=""</formula>
    </cfRule>
    <cfRule type="expression" dxfId="2159" priority="1884" stopIfTrue="1">
      <formula>F756=""</formula>
    </cfRule>
    <cfRule type="expression" dxfId="2158" priority="1885" stopIfTrue="1">
      <formula>AND(F756&lt;&gt;"",S756&lt;&gt;"",Y756&lt;&gt;"")</formula>
    </cfRule>
    <cfRule type="expression" dxfId="2157" priority="1886" stopIfTrue="1">
      <formula>AND(F756&lt;&gt;"",S756&lt;&gt;"")</formula>
    </cfRule>
    <cfRule type="expression" dxfId="2156" priority="1887" stopIfTrue="1">
      <formula>F756&lt;&gt;""</formula>
    </cfRule>
  </conditionalFormatting>
  <conditionalFormatting sqref="A756">
    <cfRule type="expression" dxfId="2155" priority="1877" stopIfTrue="1">
      <formula>A756=""</formula>
    </cfRule>
    <cfRule type="expression" dxfId="2154" priority="1878" stopIfTrue="1">
      <formula>F756=""</formula>
    </cfRule>
    <cfRule type="expression" dxfId="2153" priority="1879" stopIfTrue="1">
      <formula>AND(F756&lt;&gt;"",S756&lt;&gt;"")</formula>
    </cfRule>
    <cfRule type="expression" dxfId="2152" priority="1880" stopIfTrue="1">
      <formula>F756&lt;&gt;""</formula>
    </cfRule>
  </conditionalFormatting>
  <conditionalFormatting sqref="A756">
    <cfRule type="expression" dxfId="2151" priority="1876" stopIfTrue="1">
      <formula>O756="*CANCELADO"</formula>
    </cfRule>
  </conditionalFormatting>
  <conditionalFormatting sqref="A756">
    <cfRule type="expression" dxfId="2150" priority="1872" stopIfTrue="1">
      <formula>A756=""</formula>
    </cfRule>
    <cfRule type="expression" dxfId="2149" priority="1873" stopIfTrue="1">
      <formula>F756=""</formula>
    </cfRule>
    <cfRule type="expression" dxfId="2148" priority="1874" stopIfTrue="1">
      <formula>AND(F756&lt;&gt;"",S756&lt;&gt;"")</formula>
    </cfRule>
    <cfRule type="expression" dxfId="2147" priority="1875" stopIfTrue="1">
      <formula>F756&lt;&gt;""</formula>
    </cfRule>
  </conditionalFormatting>
  <conditionalFormatting sqref="A756">
    <cfRule type="expression" dxfId="2146" priority="1871" stopIfTrue="1">
      <formula>O756="*OBSERVAÇÃO"</formula>
    </cfRule>
  </conditionalFormatting>
  <conditionalFormatting sqref="A756">
    <cfRule type="expression" dxfId="2145" priority="1870" stopIfTrue="1">
      <formula>AND(F756&lt;&gt;"",S756&lt;&gt;"",Y756&lt;&gt;"")</formula>
    </cfRule>
  </conditionalFormatting>
  <conditionalFormatting sqref="A756">
    <cfRule type="expression" dxfId="2144" priority="1866" stopIfTrue="1">
      <formula>A756=""</formula>
    </cfRule>
    <cfRule type="expression" dxfId="2143" priority="1867" stopIfTrue="1">
      <formula>F756=""</formula>
    </cfRule>
    <cfRule type="expression" dxfId="2142" priority="1868" stopIfTrue="1">
      <formula>AND(F756&lt;&gt;"",S756&lt;&gt;"")</formula>
    </cfRule>
    <cfRule type="expression" dxfId="2141" priority="1869" stopIfTrue="1">
      <formula>F756&lt;&gt;""</formula>
    </cfRule>
  </conditionalFormatting>
  <conditionalFormatting sqref="A756">
    <cfRule type="expression" dxfId="2140" priority="1865" stopIfTrue="1">
      <formula>O756="*CANCELADO"</formula>
    </cfRule>
  </conditionalFormatting>
  <conditionalFormatting sqref="A756">
    <cfRule type="expression" dxfId="2139" priority="1861" stopIfTrue="1">
      <formula>A756=""</formula>
    </cfRule>
    <cfRule type="expression" dxfId="2138" priority="1862" stopIfTrue="1">
      <formula>F756=""</formula>
    </cfRule>
    <cfRule type="expression" dxfId="2137" priority="1863" stopIfTrue="1">
      <formula>AND(F756&lt;&gt;"",S756&lt;&gt;"")</formula>
    </cfRule>
    <cfRule type="expression" dxfId="2136" priority="1864" stopIfTrue="1">
      <formula>F756&lt;&gt;""</formula>
    </cfRule>
  </conditionalFormatting>
  <conditionalFormatting sqref="A756">
    <cfRule type="expression" dxfId="2135" priority="1860" stopIfTrue="1">
      <formula>O756="*OBSERVAÇÃO"</formula>
    </cfRule>
  </conditionalFormatting>
  <conditionalFormatting sqref="A756">
    <cfRule type="expression" dxfId="2134" priority="1859" stopIfTrue="1">
      <formula>AND(F756&lt;&gt;"",S756&lt;&gt;"",Y756&lt;&gt;"")</formula>
    </cfRule>
  </conditionalFormatting>
  <conditionalFormatting sqref="A756">
    <cfRule type="expression" dxfId="2133" priority="1855" stopIfTrue="1">
      <formula>A756=""</formula>
    </cfRule>
    <cfRule type="expression" dxfId="2132" priority="1856" stopIfTrue="1">
      <formula>F756=""</formula>
    </cfRule>
    <cfRule type="expression" dxfId="2131" priority="1857" stopIfTrue="1">
      <formula>AND(F756&lt;&gt;"",S756&lt;&gt;"")</formula>
    </cfRule>
    <cfRule type="expression" dxfId="2130" priority="1858" stopIfTrue="1">
      <formula>F756&lt;&gt;""</formula>
    </cfRule>
  </conditionalFormatting>
  <conditionalFormatting sqref="A756">
    <cfRule type="expression" dxfId="2129" priority="1854" stopIfTrue="1">
      <formula>O756="*CANCELADO"</formula>
    </cfRule>
  </conditionalFormatting>
  <conditionalFormatting sqref="A756">
    <cfRule type="expression" dxfId="2128" priority="1850" stopIfTrue="1">
      <formula>A756=""</formula>
    </cfRule>
    <cfRule type="expression" dxfId="2127" priority="1851" stopIfTrue="1">
      <formula>F756=""</formula>
    </cfRule>
    <cfRule type="expression" dxfId="2126" priority="1852" stopIfTrue="1">
      <formula>AND(F756&lt;&gt;"",S756&lt;&gt;"")</formula>
    </cfRule>
    <cfRule type="expression" dxfId="2125" priority="1853" stopIfTrue="1">
      <formula>F756&lt;&gt;""</formula>
    </cfRule>
  </conditionalFormatting>
  <conditionalFormatting sqref="A756">
    <cfRule type="expression" dxfId="2124" priority="1849" stopIfTrue="1">
      <formula>O756="*OBSERVAÇÃO"</formula>
    </cfRule>
  </conditionalFormatting>
  <conditionalFormatting sqref="A756">
    <cfRule type="expression" dxfId="2123" priority="1845" stopIfTrue="1">
      <formula>A756=""</formula>
    </cfRule>
    <cfRule type="expression" dxfId="2122" priority="1846" stopIfTrue="1">
      <formula>F756=""</formula>
    </cfRule>
    <cfRule type="expression" dxfId="2121" priority="1847" stopIfTrue="1">
      <formula>AND(F756&lt;&gt;"",S756&lt;&gt;"")</formula>
    </cfRule>
    <cfRule type="expression" dxfId="2120" priority="1848" stopIfTrue="1">
      <formula>F756&lt;&gt;""</formula>
    </cfRule>
  </conditionalFormatting>
  <conditionalFormatting sqref="A756">
    <cfRule type="expression" dxfId="2119" priority="1844" stopIfTrue="1">
      <formula>O756="*CANCELADO"</formula>
    </cfRule>
  </conditionalFormatting>
  <conditionalFormatting sqref="A756">
    <cfRule type="expression" dxfId="2118" priority="1843" stopIfTrue="1">
      <formula>O756="*OBSERVAÇÃO"</formula>
    </cfRule>
  </conditionalFormatting>
  <conditionalFormatting sqref="A756">
    <cfRule type="expression" dxfId="2117" priority="1842" stopIfTrue="1">
      <formula>AND(F756&lt;&gt;"",S756&lt;&gt;"",Y756&lt;&gt;"")</formula>
    </cfRule>
  </conditionalFormatting>
  <conditionalFormatting sqref="AA523">
    <cfRule type="expression" dxfId="2116" priority="1835" stopIfTrue="1">
      <formula>O523="*CANCELADO"</formula>
    </cfRule>
    <cfRule type="expression" dxfId="2115" priority="1836" stopIfTrue="1">
      <formula>O523="*OBSERVAÇÃO"</formula>
    </cfRule>
  </conditionalFormatting>
  <conditionalFormatting sqref="N523">
    <cfRule type="cellIs" dxfId="2114" priority="1832" stopIfTrue="1" operator="equal">
      <formula>"Código não cadastrado"</formula>
    </cfRule>
  </conditionalFormatting>
  <conditionalFormatting sqref="F523">
    <cfRule type="expression" dxfId="2113" priority="1819" stopIfTrue="1">
      <formula>O523="*OBSERVAÇÃO"</formula>
    </cfRule>
    <cfRule type="expression" dxfId="2112" priority="1820" stopIfTrue="1">
      <formula>O523="*CANCELADO"</formula>
    </cfRule>
    <cfRule type="expression" priority="1821" stopIfTrue="1">
      <formula>A523=""</formula>
    </cfRule>
    <cfRule type="expression" dxfId="2111" priority="1822" stopIfTrue="1">
      <formula>F523=""</formula>
    </cfRule>
    <cfRule type="expression" dxfId="2110" priority="1823" stopIfTrue="1">
      <formula>AND(F523&lt;&gt;"",S523&lt;&gt;"",Y523&lt;&gt;"")</formula>
    </cfRule>
    <cfRule type="expression" dxfId="2109" priority="1824" stopIfTrue="1">
      <formula>AND(F523&lt;&gt;"",S523&lt;&gt;"")</formula>
    </cfRule>
    <cfRule type="expression" dxfId="2108" priority="1825" stopIfTrue="1">
      <formula>F523&lt;&gt;""</formula>
    </cfRule>
  </conditionalFormatting>
  <conditionalFormatting sqref="AA977">
    <cfRule type="expression" dxfId="2107" priority="1771" stopIfTrue="1">
      <formula>O977="*CANCELADO"</formula>
    </cfRule>
    <cfRule type="expression" dxfId="2106" priority="1772" stopIfTrue="1">
      <formula>O977="*OBSERVAÇÃO"</formula>
    </cfRule>
  </conditionalFormatting>
  <conditionalFormatting sqref="N977">
    <cfRule type="cellIs" dxfId="2105" priority="1768" stopIfTrue="1" operator="equal">
      <formula>"Código não cadastrado"</formula>
    </cfRule>
  </conditionalFormatting>
  <conditionalFormatting sqref="F977">
    <cfRule type="expression" dxfId="2104" priority="1754" stopIfTrue="1">
      <formula>O977="*OBSERVAÇÃO"</formula>
    </cfRule>
    <cfRule type="expression" dxfId="2103" priority="1755" stopIfTrue="1">
      <formula>O977="*CANCELADO"</formula>
    </cfRule>
    <cfRule type="expression" priority="1756" stopIfTrue="1">
      <formula>A977=""</formula>
    </cfRule>
    <cfRule type="expression" dxfId="2102" priority="1757" stopIfTrue="1">
      <formula>F977=""</formula>
    </cfRule>
    <cfRule type="expression" dxfId="2101" priority="1758" stopIfTrue="1">
      <formula>AND(F977&lt;&gt;"",S977&lt;&gt;"",Y977&lt;&gt;"")</formula>
    </cfRule>
    <cfRule type="expression" dxfId="2100" priority="1759" stopIfTrue="1">
      <formula>AND(F977&lt;&gt;"",S977&lt;&gt;"")</formula>
    </cfRule>
    <cfRule type="expression" dxfId="2099" priority="1760" stopIfTrue="1">
      <formula>F977&lt;&gt;""</formula>
    </cfRule>
  </conditionalFormatting>
  <conditionalFormatting sqref="F987">
    <cfRule type="expression" dxfId="2098" priority="1697" stopIfTrue="1">
      <formula>O987="*OBSERVAÇÃO"</formula>
    </cfRule>
    <cfRule type="expression" dxfId="2097" priority="1698" stopIfTrue="1">
      <formula>O987="*CANCELADO"</formula>
    </cfRule>
    <cfRule type="expression" priority="1699" stopIfTrue="1">
      <formula>A987=""</formula>
    </cfRule>
    <cfRule type="expression" dxfId="2096" priority="1700" stopIfTrue="1">
      <formula>F987=""</formula>
    </cfRule>
    <cfRule type="expression" dxfId="2095" priority="1701" stopIfTrue="1">
      <formula>AND(F987&lt;&gt;"",S987&lt;&gt;"",Y987&lt;&gt;"")</formula>
    </cfRule>
    <cfRule type="expression" dxfId="2094" priority="1702" stopIfTrue="1">
      <formula>AND(F987&lt;&gt;"",S987&lt;&gt;"")</formula>
    </cfRule>
    <cfRule type="expression" dxfId="2093" priority="1703" stopIfTrue="1">
      <formula>F987&lt;&gt;""</formula>
    </cfRule>
  </conditionalFormatting>
  <conditionalFormatting sqref="AA655">
    <cfRule type="expression" dxfId="2092" priority="1690" stopIfTrue="1">
      <formula>O655="*CANCELADO"</formula>
    </cfRule>
    <cfRule type="expression" dxfId="2091" priority="1691" stopIfTrue="1">
      <formula>O655="*OBSERVAÇÃO"</formula>
    </cfRule>
  </conditionalFormatting>
  <conditionalFormatting sqref="N655">
    <cfRule type="cellIs" dxfId="2090" priority="1687" stopIfTrue="1" operator="equal">
      <formula>"Código não cadastrado"</formula>
    </cfRule>
  </conditionalFormatting>
  <conditionalFormatting sqref="F655">
    <cfRule type="expression" dxfId="2089" priority="1673" stopIfTrue="1">
      <formula>O655="*OBSERVAÇÃO"</formula>
    </cfRule>
    <cfRule type="expression" dxfId="2088" priority="1674" stopIfTrue="1">
      <formula>O655="*CANCELADO"</formula>
    </cfRule>
    <cfRule type="expression" priority="1675" stopIfTrue="1">
      <formula>A655=""</formula>
    </cfRule>
    <cfRule type="expression" dxfId="2087" priority="1676" stopIfTrue="1">
      <formula>F655=""</formula>
    </cfRule>
    <cfRule type="expression" dxfId="2086" priority="1677" stopIfTrue="1">
      <formula>AND(F655&lt;&gt;"",S655&lt;&gt;"",Y655&lt;&gt;"")</formula>
    </cfRule>
    <cfRule type="expression" dxfId="2085" priority="1678" stopIfTrue="1">
      <formula>AND(F655&lt;&gt;"",S655&lt;&gt;"")</formula>
    </cfRule>
    <cfRule type="expression" dxfId="2084" priority="1679" stopIfTrue="1">
      <formula>F655&lt;&gt;""</formula>
    </cfRule>
  </conditionalFormatting>
  <conditionalFormatting sqref="A882:A958 A960:A973">
    <cfRule type="expression" dxfId="2083" priority="1624" stopIfTrue="1">
      <formula>A882=""</formula>
    </cfRule>
    <cfRule type="expression" dxfId="2082" priority="1625" stopIfTrue="1">
      <formula>F882=""</formula>
    </cfRule>
    <cfRule type="expression" dxfId="2081" priority="1626" stopIfTrue="1">
      <formula>AND(F882&lt;&gt;"",S882&lt;&gt;"")</formula>
    </cfRule>
    <cfRule type="expression" dxfId="2080" priority="1627" stopIfTrue="1">
      <formula>F882&lt;&gt;""</formula>
    </cfRule>
  </conditionalFormatting>
  <conditionalFormatting sqref="A882:A958 A960:A973">
    <cfRule type="expression" dxfId="2079" priority="1623" stopIfTrue="1">
      <formula>O882="*CANCELADO"</formula>
    </cfRule>
  </conditionalFormatting>
  <conditionalFormatting sqref="A882:A958 A960:A973">
    <cfRule type="expression" dxfId="2078" priority="1619" stopIfTrue="1">
      <formula>A882=""</formula>
    </cfRule>
    <cfRule type="expression" dxfId="2077" priority="1620" stopIfTrue="1">
      <formula>F882=""</formula>
    </cfRule>
    <cfRule type="expression" dxfId="2076" priority="1621" stopIfTrue="1">
      <formula>AND(F882&lt;&gt;"",S882&lt;&gt;"")</formula>
    </cfRule>
    <cfRule type="expression" dxfId="2075" priority="1622" stopIfTrue="1">
      <formula>F882&lt;&gt;""</formula>
    </cfRule>
  </conditionalFormatting>
  <conditionalFormatting sqref="A882:A958 A960:A973">
    <cfRule type="expression" dxfId="2074" priority="1618" stopIfTrue="1">
      <formula>O882="*OBSERVAÇÃO"</formula>
    </cfRule>
  </conditionalFormatting>
  <conditionalFormatting sqref="A882:A958 A960:A973">
    <cfRule type="expression" dxfId="2073" priority="1617" stopIfTrue="1">
      <formula>AND(F882&lt;&gt;"",S882&lt;&gt;"",Y882&lt;&gt;"")</formula>
    </cfRule>
  </conditionalFormatting>
  <conditionalFormatting sqref="A882:A958 A960:A973">
    <cfRule type="expression" dxfId="2072" priority="1613" stopIfTrue="1">
      <formula>A882=""</formula>
    </cfRule>
    <cfRule type="expression" dxfId="2071" priority="1614" stopIfTrue="1">
      <formula>F882=""</formula>
    </cfRule>
    <cfRule type="expression" dxfId="2070" priority="1615" stopIfTrue="1">
      <formula>AND(F882&lt;&gt;"",S882&lt;&gt;"")</formula>
    </cfRule>
    <cfRule type="expression" dxfId="2069" priority="1616" stopIfTrue="1">
      <formula>F882&lt;&gt;""</formula>
    </cfRule>
  </conditionalFormatting>
  <conditionalFormatting sqref="A882:A958 A960:A973">
    <cfRule type="expression" dxfId="2068" priority="1612" stopIfTrue="1">
      <formula>O882="*CANCELADO"</formula>
    </cfRule>
  </conditionalFormatting>
  <conditionalFormatting sqref="A882:A958 A960:A973">
    <cfRule type="expression" dxfId="2067" priority="1608" stopIfTrue="1">
      <formula>A882=""</formula>
    </cfRule>
    <cfRule type="expression" dxfId="2066" priority="1609" stopIfTrue="1">
      <formula>F882=""</formula>
    </cfRule>
    <cfRule type="expression" dxfId="2065" priority="1610" stopIfTrue="1">
      <formula>AND(F882&lt;&gt;"",S882&lt;&gt;"")</formula>
    </cfRule>
    <cfRule type="expression" dxfId="2064" priority="1611" stopIfTrue="1">
      <formula>F882&lt;&gt;""</formula>
    </cfRule>
  </conditionalFormatting>
  <conditionalFormatting sqref="A882:A958 A960:A973">
    <cfRule type="expression" dxfId="2063" priority="1607" stopIfTrue="1">
      <formula>O882="*OBSERVAÇÃO"</formula>
    </cfRule>
  </conditionalFormatting>
  <conditionalFormatting sqref="A882:A958 A960:A973">
    <cfRule type="expression" dxfId="2062" priority="1606" stopIfTrue="1">
      <formula>AND(F882&lt;&gt;"",S882&lt;&gt;"",Y882&lt;&gt;"")</formula>
    </cfRule>
  </conditionalFormatting>
  <conditionalFormatting sqref="A882:A958 A960:A973">
    <cfRule type="expression" dxfId="2061" priority="1602" stopIfTrue="1">
      <formula>A882=""</formula>
    </cfRule>
    <cfRule type="expression" dxfId="2060" priority="1603" stopIfTrue="1">
      <formula>F882=""</formula>
    </cfRule>
    <cfRule type="expression" dxfId="2059" priority="1604" stopIfTrue="1">
      <formula>AND(F882&lt;&gt;"",S882&lt;&gt;"")</formula>
    </cfRule>
    <cfRule type="expression" dxfId="2058" priority="1605" stopIfTrue="1">
      <formula>F882&lt;&gt;""</formula>
    </cfRule>
  </conditionalFormatting>
  <conditionalFormatting sqref="A882:A958 A960:A973">
    <cfRule type="expression" dxfId="2057" priority="1601" stopIfTrue="1">
      <formula>O882="*CANCELADO"</formula>
    </cfRule>
  </conditionalFormatting>
  <conditionalFormatting sqref="A882:A958 A960:A973">
    <cfRule type="expression" dxfId="2056" priority="1597" stopIfTrue="1">
      <formula>A882=""</formula>
    </cfRule>
    <cfRule type="expression" dxfId="2055" priority="1598" stopIfTrue="1">
      <formula>F882=""</formula>
    </cfRule>
    <cfRule type="expression" dxfId="2054" priority="1599" stopIfTrue="1">
      <formula>AND(F882&lt;&gt;"",S882&lt;&gt;"")</formula>
    </cfRule>
    <cfRule type="expression" dxfId="2053" priority="1600" stopIfTrue="1">
      <formula>F882&lt;&gt;""</formula>
    </cfRule>
  </conditionalFormatting>
  <conditionalFormatting sqref="A882:A958 A960:A973">
    <cfRule type="expression" dxfId="2052" priority="1596" stopIfTrue="1">
      <formula>O882="*OBSERVAÇÃO"</formula>
    </cfRule>
  </conditionalFormatting>
  <conditionalFormatting sqref="A882:A958 A960:A973">
    <cfRule type="expression" dxfId="2051" priority="1592" stopIfTrue="1">
      <formula>A882=""</formula>
    </cfRule>
    <cfRule type="expression" dxfId="2050" priority="1593" stopIfTrue="1">
      <formula>F882=""</formula>
    </cfRule>
    <cfRule type="expression" dxfId="2049" priority="1594" stopIfTrue="1">
      <formula>AND(F882&lt;&gt;"",S882&lt;&gt;"")</formula>
    </cfRule>
    <cfRule type="expression" dxfId="2048" priority="1595" stopIfTrue="1">
      <formula>F882&lt;&gt;""</formula>
    </cfRule>
  </conditionalFormatting>
  <conditionalFormatting sqref="A882:A958 A960:A973">
    <cfRule type="expression" dxfId="2047" priority="1591" stopIfTrue="1">
      <formula>O882="*CANCELADO"</formula>
    </cfRule>
  </conditionalFormatting>
  <conditionalFormatting sqref="A882:A958 A960:A973">
    <cfRule type="expression" dxfId="2046" priority="1590" stopIfTrue="1">
      <formula>O882="*OBSERVAÇÃO"</formula>
    </cfRule>
  </conditionalFormatting>
  <conditionalFormatting sqref="A882:A958 A960:A973">
    <cfRule type="expression" dxfId="2045" priority="1589" stopIfTrue="1">
      <formula>AND(F882&lt;&gt;"",S882&lt;&gt;"",Y882&lt;&gt;"")</formula>
    </cfRule>
  </conditionalFormatting>
  <conditionalFormatting sqref="A374:A516 A518:A536 A564:A712 A562 A560 A538:A558">
    <cfRule type="expression" dxfId="2044" priority="1585" stopIfTrue="1">
      <formula>A374=""</formula>
    </cfRule>
    <cfRule type="expression" dxfId="2043" priority="1586" stopIfTrue="1">
      <formula>F374=""</formula>
    </cfRule>
    <cfRule type="expression" dxfId="2042" priority="1587" stopIfTrue="1">
      <formula>AND(F374&lt;&gt;"",S374&lt;&gt;"")</formula>
    </cfRule>
    <cfRule type="expression" dxfId="2041" priority="1588" stopIfTrue="1">
      <formula>F374&lt;&gt;""</formula>
    </cfRule>
  </conditionalFormatting>
  <conditionalFormatting sqref="A374:A516 A518:A536 A564:A712 A562 A560 A538:A558">
    <cfRule type="expression" dxfId="2040" priority="1581" stopIfTrue="1">
      <formula>A374=""</formula>
    </cfRule>
    <cfRule type="expression" dxfId="2039" priority="1582" stopIfTrue="1">
      <formula>F374=""</formula>
    </cfRule>
    <cfRule type="expression" dxfId="2038" priority="1583" stopIfTrue="1">
      <formula>AND(F374&lt;&gt;"",S374&lt;&gt;"")</formula>
    </cfRule>
    <cfRule type="expression" dxfId="2037" priority="1584" stopIfTrue="1">
      <formula>F374&lt;&gt;""</formula>
    </cfRule>
  </conditionalFormatting>
  <conditionalFormatting sqref="A374:A516 A518:A536 A564:A712 A562 A560 A538:A558">
    <cfRule type="expression" dxfId="2036" priority="1580" stopIfTrue="1">
      <formula>AND(F374&lt;&gt;"",S374&lt;&gt;"",Y374&lt;&gt;"")</formula>
    </cfRule>
  </conditionalFormatting>
  <conditionalFormatting sqref="A374:A516 A518:A536 A564:A712 A562 A560 A538:A558">
    <cfRule type="expression" dxfId="2035" priority="1579" stopIfTrue="1">
      <formula>O374="*CANCELADO"</formula>
    </cfRule>
  </conditionalFormatting>
  <conditionalFormatting sqref="A374:A516 A518:A536 A564:A712 A562 A560 A538:A558">
    <cfRule type="expression" dxfId="2034" priority="1578" stopIfTrue="1">
      <formula>O374="*OBSERVAÇÃO"</formula>
    </cfRule>
  </conditionalFormatting>
  <conditionalFormatting sqref="A374:A516 A518:A536 A564:A712 A562 A560 A538:A558">
    <cfRule type="expression" dxfId="2033" priority="1577" stopIfTrue="1">
      <formula>O374="*CANCELADO"</formula>
    </cfRule>
  </conditionalFormatting>
  <conditionalFormatting sqref="A374:A516 A518:A536 A564:A712 A562 A560 A538:A558">
    <cfRule type="expression" dxfId="2032" priority="1576" stopIfTrue="1">
      <formula>O374="*OBSERVAÇÃO"</formula>
    </cfRule>
  </conditionalFormatting>
  <conditionalFormatting sqref="A374:A516 A518:A536 A564:A712 A562 A560 A538:A558">
    <cfRule type="expression" dxfId="2031" priority="1575" stopIfTrue="1">
      <formula>O374="*CANCELADO"</formula>
    </cfRule>
  </conditionalFormatting>
  <conditionalFormatting sqref="A374:A516 A518:A536 A564:A712 A562 A560 A538:A558">
    <cfRule type="expression" dxfId="2030" priority="1574" stopIfTrue="1">
      <formula>O374="*OBSERVAÇÃO"</formula>
    </cfRule>
  </conditionalFormatting>
  <conditionalFormatting sqref="A374:A516 A518:A536 A564:A712 A562 A560 A538:A558">
    <cfRule type="expression" dxfId="2029" priority="1570" stopIfTrue="1">
      <formula>A374=""</formula>
    </cfRule>
    <cfRule type="expression" dxfId="2028" priority="1571" stopIfTrue="1">
      <formula>F374=""</formula>
    </cfRule>
    <cfRule type="expression" dxfId="2027" priority="1572" stopIfTrue="1">
      <formula>AND(F374&lt;&gt;"",S374&lt;&gt;"")</formula>
    </cfRule>
    <cfRule type="expression" dxfId="2026" priority="1573" stopIfTrue="1">
      <formula>F374&lt;&gt;""</formula>
    </cfRule>
  </conditionalFormatting>
  <conditionalFormatting sqref="A374:A516 A518:A536 A564:A712 A562 A560 A538:A558">
    <cfRule type="expression" dxfId="2025" priority="1569" stopIfTrue="1">
      <formula>O374="*CANCELADO"</formula>
    </cfRule>
  </conditionalFormatting>
  <conditionalFormatting sqref="A374:A516 A518:A536 A564:A712 A562 A560 A538:A558">
    <cfRule type="expression" dxfId="2024" priority="1565" stopIfTrue="1">
      <formula>A374=""</formula>
    </cfRule>
    <cfRule type="expression" dxfId="2023" priority="1566" stopIfTrue="1">
      <formula>F374=""</formula>
    </cfRule>
    <cfRule type="expression" dxfId="2022" priority="1567" stopIfTrue="1">
      <formula>AND(F374&lt;&gt;"",S374&lt;&gt;"")</formula>
    </cfRule>
    <cfRule type="expression" dxfId="2021" priority="1568" stopIfTrue="1">
      <formula>F374&lt;&gt;""</formula>
    </cfRule>
  </conditionalFormatting>
  <conditionalFormatting sqref="A374:A516 A518:A536 A564:A712 A562 A560 A538:A558">
    <cfRule type="expression" dxfId="2020" priority="1564" stopIfTrue="1">
      <formula>O374="*OBSERVAÇÃO"</formula>
    </cfRule>
  </conditionalFormatting>
  <conditionalFormatting sqref="A374:A516 A518:A536 A564:A712 A562 A560 A538:A558">
    <cfRule type="expression" dxfId="2019" priority="1563" stopIfTrue="1">
      <formula>AND(F374&lt;&gt;"",S374&lt;&gt;"",Y374&lt;&gt;"")</formula>
    </cfRule>
  </conditionalFormatting>
  <conditionalFormatting sqref="A374:A516 A518:A536 A564:A712 A562 A560 A538:A558">
    <cfRule type="expression" dxfId="2018" priority="1559" stopIfTrue="1">
      <formula>A374=""</formula>
    </cfRule>
    <cfRule type="expression" dxfId="2017" priority="1560" stopIfTrue="1">
      <formula>F374=""</formula>
    </cfRule>
    <cfRule type="expression" dxfId="2016" priority="1561" stopIfTrue="1">
      <formula>AND(F374&lt;&gt;"",S374&lt;&gt;"")</formula>
    </cfRule>
    <cfRule type="expression" dxfId="2015" priority="1562" stopIfTrue="1">
      <formula>F374&lt;&gt;""</formula>
    </cfRule>
  </conditionalFormatting>
  <conditionalFormatting sqref="A374:A516 A518:A536 A564:A712 A562 A560 A538:A558">
    <cfRule type="expression" dxfId="2014" priority="1558" stopIfTrue="1">
      <formula>O374="*CANCELADO"</formula>
    </cfRule>
  </conditionalFormatting>
  <conditionalFormatting sqref="A374:A516 A518:A536 A564:A712 A562 A560 A538:A558">
    <cfRule type="expression" dxfId="2013" priority="1554" stopIfTrue="1">
      <formula>A374=""</formula>
    </cfRule>
    <cfRule type="expression" dxfId="2012" priority="1555" stopIfTrue="1">
      <formula>F374=""</formula>
    </cfRule>
    <cfRule type="expression" dxfId="2011" priority="1556" stopIfTrue="1">
      <formula>AND(F374&lt;&gt;"",S374&lt;&gt;"")</formula>
    </cfRule>
    <cfRule type="expression" dxfId="2010" priority="1557" stopIfTrue="1">
      <formula>F374&lt;&gt;""</formula>
    </cfRule>
  </conditionalFormatting>
  <conditionalFormatting sqref="A374:A516 A518:A536 A564:A712 A562 A560 A538:A558">
    <cfRule type="expression" dxfId="2009" priority="1553" stopIfTrue="1">
      <formula>O374="*OBSERVAÇÃO"</formula>
    </cfRule>
  </conditionalFormatting>
  <conditionalFormatting sqref="A374:A516 A518:A536 A564:A712 A562 A560 A538:A558">
    <cfRule type="expression" dxfId="2008" priority="1549" stopIfTrue="1">
      <formula>A374=""</formula>
    </cfRule>
    <cfRule type="expression" dxfId="2007" priority="1550" stopIfTrue="1">
      <formula>F374=""</formula>
    </cfRule>
    <cfRule type="expression" dxfId="2006" priority="1551" stopIfTrue="1">
      <formula>AND(F374&lt;&gt;"",S374&lt;&gt;"")</formula>
    </cfRule>
    <cfRule type="expression" dxfId="2005" priority="1552" stopIfTrue="1">
      <formula>F374&lt;&gt;""</formula>
    </cfRule>
  </conditionalFormatting>
  <conditionalFormatting sqref="A374:A516 A518:A536 A564:A712 A562 A560 A538:A558">
    <cfRule type="expression" dxfId="2004" priority="1548" stopIfTrue="1">
      <formula>O374="*CANCELADO"</formula>
    </cfRule>
  </conditionalFormatting>
  <conditionalFormatting sqref="A374:A516 A518:A536 A564:A712 A562 A560 A538:A558">
    <cfRule type="expression" dxfId="2003" priority="1547" stopIfTrue="1">
      <formula>O374="*OBSERVAÇÃO"</formula>
    </cfRule>
  </conditionalFormatting>
  <conditionalFormatting sqref="A374:A516 A518:A536 A564:A712 A562 A560 A538:A558">
    <cfRule type="expression" dxfId="2002" priority="1546" stopIfTrue="1">
      <formula>AND(F374&lt;&gt;"",S374&lt;&gt;"",Y374&lt;&gt;"")</formula>
    </cfRule>
  </conditionalFormatting>
  <conditionalFormatting sqref="A739:A746">
    <cfRule type="expression" dxfId="2001" priority="1542" stopIfTrue="1">
      <formula>A739=""</formula>
    </cfRule>
    <cfRule type="expression" dxfId="2000" priority="1543" stopIfTrue="1">
      <formula>F739=""</formula>
    </cfRule>
    <cfRule type="expression" dxfId="1999" priority="1544" stopIfTrue="1">
      <formula>AND(F739&lt;&gt;"",S739&lt;&gt;"")</formula>
    </cfRule>
    <cfRule type="expression" dxfId="1998" priority="1545" stopIfTrue="1">
      <formula>F739&lt;&gt;""</formula>
    </cfRule>
  </conditionalFormatting>
  <conditionalFormatting sqref="A739:A746">
    <cfRule type="expression" dxfId="1997" priority="1541" stopIfTrue="1">
      <formula>O739="*CANCELADO"</formula>
    </cfRule>
  </conditionalFormatting>
  <conditionalFormatting sqref="A739:A746">
    <cfRule type="expression" dxfId="1996" priority="1537" stopIfTrue="1">
      <formula>A739=""</formula>
    </cfRule>
    <cfRule type="expression" dxfId="1995" priority="1538" stopIfTrue="1">
      <formula>F739=""</formula>
    </cfRule>
    <cfRule type="expression" dxfId="1994" priority="1539" stopIfTrue="1">
      <formula>AND(F739&lt;&gt;"",S739&lt;&gt;"")</formula>
    </cfRule>
    <cfRule type="expression" dxfId="1993" priority="1540" stopIfTrue="1">
      <formula>F739&lt;&gt;""</formula>
    </cfRule>
  </conditionalFormatting>
  <conditionalFormatting sqref="A739:A746">
    <cfRule type="expression" dxfId="1992" priority="1536" stopIfTrue="1">
      <formula>O739="*OBSERVAÇÃO"</formula>
    </cfRule>
  </conditionalFormatting>
  <conditionalFormatting sqref="A739:A746">
    <cfRule type="expression" dxfId="1991" priority="1535" stopIfTrue="1">
      <formula>AND(F739&lt;&gt;"",S739&lt;&gt;"",Y739&lt;&gt;"")</formula>
    </cfRule>
  </conditionalFormatting>
  <conditionalFormatting sqref="A729">
    <cfRule type="expression" dxfId="1990" priority="1531" stopIfTrue="1">
      <formula>A729=""</formula>
    </cfRule>
    <cfRule type="expression" dxfId="1989" priority="1532" stopIfTrue="1">
      <formula>F729=""</formula>
    </cfRule>
    <cfRule type="expression" dxfId="1988" priority="1533" stopIfTrue="1">
      <formula>AND(F729&lt;&gt;"",S729&lt;&gt;"")</formula>
    </cfRule>
    <cfRule type="expression" dxfId="1987" priority="1534" stopIfTrue="1">
      <formula>F729&lt;&gt;""</formula>
    </cfRule>
  </conditionalFormatting>
  <conditionalFormatting sqref="A729">
    <cfRule type="expression" dxfId="1986" priority="1530" stopIfTrue="1">
      <formula>O729="*CANCELADO"</formula>
    </cfRule>
  </conditionalFormatting>
  <conditionalFormatting sqref="A729">
    <cfRule type="expression" dxfId="1985" priority="1526" stopIfTrue="1">
      <formula>A729=""</formula>
    </cfRule>
    <cfRule type="expression" dxfId="1984" priority="1527" stopIfTrue="1">
      <formula>F729=""</formula>
    </cfRule>
    <cfRule type="expression" dxfId="1983" priority="1528" stopIfTrue="1">
      <formula>AND(F729&lt;&gt;"",S729&lt;&gt;"")</formula>
    </cfRule>
    <cfRule type="expression" dxfId="1982" priority="1529" stopIfTrue="1">
      <formula>F729&lt;&gt;""</formula>
    </cfRule>
  </conditionalFormatting>
  <conditionalFormatting sqref="A729">
    <cfRule type="expression" dxfId="1981" priority="1525" stopIfTrue="1">
      <formula>O729="*OBSERVAÇÃO"</formula>
    </cfRule>
  </conditionalFormatting>
  <conditionalFormatting sqref="A729">
    <cfRule type="expression" dxfId="1980" priority="1524" stopIfTrue="1">
      <formula>AND(F729&lt;&gt;"",S729&lt;&gt;"",Y729&lt;&gt;"")</formula>
    </cfRule>
  </conditionalFormatting>
  <conditionalFormatting sqref="A729">
    <cfRule type="expression" dxfId="1979" priority="1520" stopIfTrue="1">
      <formula>A729=""</formula>
    </cfRule>
    <cfRule type="expression" dxfId="1978" priority="1521" stopIfTrue="1">
      <formula>F729=""</formula>
    </cfRule>
    <cfRule type="expression" dxfId="1977" priority="1522" stopIfTrue="1">
      <formula>AND(F729&lt;&gt;"",S729&lt;&gt;"")</formula>
    </cfRule>
    <cfRule type="expression" dxfId="1976" priority="1523" stopIfTrue="1">
      <formula>F729&lt;&gt;""</formula>
    </cfRule>
  </conditionalFormatting>
  <conditionalFormatting sqref="A729">
    <cfRule type="expression" dxfId="1975" priority="1519" stopIfTrue="1">
      <formula>O729="*CANCELADO"</formula>
    </cfRule>
  </conditionalFormatting>
  <conditionalFormatting sqref="A729">
    <cfRule type="expression" dxfId="1974" priority="1515" stopIfTrue="1">
      <formula>A729=""</formula>
    </cfRule>
    <cfRule type="expression" dxfId="1973" priority="1516" stopIfTrue="1">
      <formula>F729=""</formula>
    </cfRule>
    <cfRule type="expression" dxfId="1972" priority="1517" stopIfTrue="1">
      <formula>AND(F729&lt;&gt;"",S729&lt;&gt;"")</formula>
    </cfRule>
    <cfRule type="expression" dxfId="1971" priority="1518" stopIfTrue="1">
      <formula>F729&lt;&gt;""</formula>
    </cfRule>
  </conditionalFormatting>
  <conditionalFormatting sqref="A729">
    <cfRule type="expression" dxfId="1970" priority="1514" stopIfTrue="1">
      <formula>O729="*OBSERVAÇÃO"</formula>
    </cfRule>
  </conditionalFormatting>
  <conditionalFormatting sqref="A729">
    <cfRule type="expression" dxfId="1969" priority="1513" stopIfTrue="1">
      <formula>AND(F729&lt;&gt;"",S729&lt;&gt;"",Y729&lt;&gt;"")</formula>
    </cfRule>
  </conditionalFormatting>
  <conditionalFormatting sqref="A729">
    <cfRule type="expression" dxfId="1968" priority="1509" stopIfTrue="1">
      <formula>A729=""</formula>
    </cfRule>
    <cfRule type="expression" dxfId="1967" priority="1510" stopIfTrue="1">
      <formula>F729=""</formula>
    </cfRule>
    <cfRule type="expression" dxfId="1966" priority="1511" stopIfTrue="1">
      <formula>AND(F729&lt;&gt;"",S729&lt;&gt;"")</formula>
    </cfRule>
    <cfRule type="expression" dxfId="1965" priority="1512" stopIfTrue="1">
      <formula>F729&lt;&gt;""</formula>
    </cfRule>
  </conditionalFormatting>
  <conditionalFormatting sqref="A729">
    <cfRule type="expression" dxfId="1964" priority="1508" stopIfTrue="1">
      <formula>O729="*CANCELADO"</formula>
    </cfRule>
  </conditionalFormatting>
  <conditionalFormatting sqref="A729">
    <cfRule type="expression" dxfId="1963" priority="1504" stopIfTrue="1">
      <formula>A729=""</formula>
    </cfRule>
    <cfRule type="expression" dxfId="1962" priority="1505" stopIfTrue="1">
      <formula>F729=""</formula>
    </cfRule>
    <cfRule type="expression" dxfId="1961" priority="1506" stopIfTrue="1">
      <formula>AND(F729&lt;&gt;"",S729&lt;&gt;"")</formula>
    </cfRule>
    <cfRule type="expression" dxfId="1960" priority="1507" stopIfTrue="1">
      <formula>F729&lt;&gt;""</formula>
    </cfRule>
  </conditionalFormatting>
  <conditionalFormatting sqref="A729">
    <cfRule type="expression" dxfId="1959" priority="1503" stopIfTrue="1">
      <formula>O729="*OBSERVAÇÃO"</formula>
    </cfRule>
  </conditionalFormatting>
  <conditionalFormatting sqref="A729">
    <cfRule type="expression" dxfId="1958" priority="1502" stopIfTrue="1">
      <formula>AND(F729&lt;&gt;"",S729&lt;&gt;"",Y729&lt;&gt;"")</formula>
    </cfRule>
  </conditionalFormatting>
  <conditionalFormatting sqref="A729">
    <cfRule type="expression" dxfId="1957" priority="1498" stopIfTrue="1">
      <formula>A729=""</formula>
    </cfRule>
    <cfRule type="expression" dxfId="1956" priority="1499" stopIfTrue="1">
      <formula>F729=""</formula>
    </cfRule>
    <cfRule type="expression" dxfId="1955" priority="1500" stopIfTrue="1">
      <formula>AND(F729&lt;&gt;"",S729&lt;&gt;"")</formula>
    </cfRule>
    <cfRule type="expression" dxfId="1954" priority="1501" stopIfTrue="1">
      <formula>F729&lt;&gt;""</formula>
    </cfRule>
  </conditionalFormatting>
  <conditionalFormatting sqref="A729">
    <cfRule type="expression" dxfId="1953" priority="1497" stopIfTrue="1">
      <formula>O729="*CANCELADO"</formula>
    </cfRule>
  </conditionalFormatting>
  <conditionalFormatting sqref="A729">
    <cfRule type="expression" dxfId="1952" priority="1493" stopIfTrue="1">
      <formula>A729=""</formula>
    </cfRule>
    <cfRule type="expression" dxfId="1951" priority="1494" stopIfTrue="1">
      <formula>F729=""</formula>
    </cfRule>
    <cfRule type="expression" dxfId="1950" priority="1495" stopIfTrue="1">
      <formula>AND(F729&lt;&gt;"",S729&lt;&gt;"")</formula>
    </cfRule>
    <cfRule type="expression" dxfId="1949" priority="1496" stopIfTrue="1">
      <formula>F729&lt;&gt;""</formula>
    </cfRule>
  </conditionalFormatting>
  <conditionalFormatting sqref="A729">
    <cfRule type="expression" dxfId="1948" priority="1492" stopIfTrue="1">
      <formula>O729="*OBSERVAÇÃO"</formula>
    </cfRule>
  </conditionalFormatting>
  <conditionalFormatting sqref="A729">
    <cfRule type="expression" dxfId="1947" priority="1488" stopIfTrue="1">
      <formula>A729=""</formula>
    </cfRule>
    <cfRule type="expression" dxfId="1946" priority="1489" stopIfTrue="1">
      <formula>F729=""</formula>
    </cfRule>
    <cfRule type="expression" dxfId="1945" priority="1490" stopIfTrue="1">
      <formula>AND(F729&lt;&gt;"",S729&lt;&gt;"")</formula>
    </cfRule>
    <cfRule type="expression" dxfId="1944" priority="1491" stopIfTrue="1">
      <formula>F729&lt;&gt;""</formula>
    </cfRule>
  </conditionalFormatting>
  <conditionalFormatting sqref="A729">
    <cfRule type="expression" dxfId="1943" priority="1487" stopIfTrue="1">
      <formula>O729="*CANCELADO"</formula>
    </cfRule>
  </conditionalFormatting>
  <conditionalFormatting sqref="A729">
    <cfRule type="expression" dxfId="1942" priority="1486" stopIfTrue="1">
      <formula>O729="*OBSERVAÇÃO"</formula>
    </cfRule>
  </conditionalFormatting>
  <conditionalFormatting sqref="A729">
    <cfRule type="expression" dxfId="1941" priority="1485" stopIfTrue="1">
      <formula>AND(F729&lt;&gt;"",S729&lt;&gt;"",Y729&lt;&gt;"")</formula>
    </cfRule>
  </conditionalFormatting>
  <conditionalFormatting sqref="A735:A835 A837:A843 A845:A958">
    <cfRule type="expression" dxfId="1940" priority="1481" stopIfTrue="1">
      <formula>A735=""</formula>
    </cfRule>
    <cfRule type="expression" dxfId="1939" priority="1482" stopIfTrue="1">
      <formula>F735=""</formula>
    </cfRule>
    <cfRule type="expression" dxfId="1938" priority="1483" stopIfTrue="1">
      <formula>AND(F735&lt;&gt;"",S735&lt;&gt;"")</formula>
    </cfRule>
    <cfRule type="expression" dxfId="1937" priority="1484" stopIfTrue="1">
      <formula>F735&lt;&gt;""</formula>
    </cfRule>
  </conditionalFormatting>
  <conditionalFormatting sqref="A735:A835 A837:A843 A845:A958">
    <cfRule type="expression" dxfId="1936" priority="1480" stopIfTrue="1">
      <formula>O735="*CANCELADO"</formula>
    </cfRule>
  </conditionalFormatting>
  <conditionalFormatting sqref="A735:A835 A837:A843 A845:A958">
    <cfRule type="expression" dxfId="1935" priority="1476" stopIfTrue="1">
      <formula>A735=""</formula>
    </cfRule>
    <cfRule type="expression" dxfId="1934" priority="1477" stopIfTrue="1">
      <formula>F735=""</formula>
    </cfRule>
    <cfRule type="expression" dxfId="1933" priority="1478" stopIfTrue="1">
      <formula>AND(F735&lt;&gt;"",S735&lt;&gt;"")</formula>
    </cfRule>
    <cfRule type="expression" dxfId="1932" priority="1479" stopIfTrue="1">
      <formula>F735&lt;&gt;""</formula>
    </cfRule>
  </conditionalFormatting>
  <conditionalFormatting sqref="A735:A835 A837:A843 A845:A958">
    <cfRule type="expression" dxfId="1931" priority="1475" stopIfTrue="1">
      <formula>O735="*OBSERVAÇÃO"</formula>
    </cfRule>
  </conditionalFormatting>
  <conditionalFormatting sqref="A735:A835 A837:A843 A845:A958">
    <cfRule type="expression" dxfId="1930" priority="1474" stopIfTrue="1">
      <formula>AND(F735&lt;&gt;"",S735&lt;&gt;"",Y735&lt;&gt;"")</formula>
    </cfRule>
  </conditionalFormatting>
  <conditionalFormatting sqref="A735:A835 A837:A843 A845:A958">
    <cfRule type="expression" dxfId="1929" priority="1470" stopIfTrue="1">
      <formula>A735=""</formula>
    </cfRule>
    <cfRule type="expression" dxfId="1928" priority="1471" stopIfTrue="1">
      <formula>F735=""</formula>
    </cfRule>
    <cfRule type="expression" dxfId="1927" priority="1472" stopIfTrue="1">
      <formula>AND(F735&lt;&gt;"",S735&lt;&gt;"")</formula>
    </cfRule>
    <cfRule type="expression" dxfId="1926" priority="1473" stopIfTrue="1">
      <formula>F735&lt;&gt;""</formula>
    </cfRule>
  </conditionalFormatting>
  <conditionalFormatting sqref="A735:A835 A837:A843 A845:A958">
    <cfRule type="expression" dxfId="1925" priority="1469" stopIfTrue="1">
      <formula>O735="*CANCELADO"</formula>
    </cfRule>
  </conditionalFormatting>
  <conditionalFormatting sqref="A735:A835 A837:A843 A845:A958">
    <cfRule type="expression" dxfId="1924" priority="1465" stopIfTrue="1">
      <formula>A735=""</formula>
    </cfRule>
    <cfRule type="expression" dxfId="1923" priority="1466" stopIfTrue="1">
      <formula>F735=""</formula>
    </cfRule>
    <cfRule type="expression" dxfId="1922" priority="1467" stopIfTrue="1">
      <formula>AND(F735&lt;&gt;"",S735&lt;&gt;"")</formula>
    </cfRule>
    <cfRule type="expression" dxfId="1921" priority="1468" stopIfTrue="1">
      <formula>F735&lt;&gt;""</formula>
    </cfRule>
  </conditionalFormatting>
  <conditionalFormatting sqref="A735:A835 A837:A843 A845:A958">
    <cfRule type="expression" dxfId="1920" priority="1464" stopIfTrue="1">
      <formula>O735="*OBSERVAÇÃO"</formula>
    </cfRule>
  </conditionalFormatting>
  <conditionalFormatting sqref="A735:A835 A837:A843 A845:A958">
    <cfRule type="expression" dxfId="1919" priority="1463" stopIfTrue="1">
      <formula>AND(F735&lt;&gt;"",S735&lt;&gt;"",Y735&lt;&gt;"")</formula>
    </cfRule>
  </conditionalFormatting>
  <conditionalFormatting sqref="A735:A835 A837:A843 A845:A958">
    <cfRule type="expression" dxfId="1918" priority="1459" stopIfTrue="1">
      <formula>A735=""</formula>
    </cfRule>
    <cfRule type="expression" dxfId="1917" priority="1460" stopIfTrue="1">
      <formula>F735=""</formula>
    </cfRule>
    <cfRule type="expression" dxfId="1916" priority="1461" stopIfTrue="1">
      <formula>AND(F735&lt;&gt;"",S735&lt;&gt;"")</formula>
    </cfRule>
    <cfRule type="expression" dxfId="1915" priority="1462" stopIfTrue="1">
      <formula>F735&lt;&gt;""</formula>
    </cfRule>
  </conditionalFormatting>
  <conditionalFormatting sqref="A735:A835 A837:A843 A845:A958">
    <cfRule type="expression" dxfId="1914" priority="1458" stopIfTrue="1">
      <formula>O735="*CANCELADO"</formula>
    </cfRule>
  </conditionalFormatting>
  <conditionalFormatting sqref="A735:A835 A837:A843 A845:A958">
    <cfRule type="expression" dxfId="1913" priority="1454" stopIfTrue="1">
      <formula>A735=""</formula>
    </cfRule>
    <cfRule type="expression" dxfId="1912" priority="1455" stopIfTrue="1">
      <formula>F735=""</formula>
    </cfRule>
    <cfRule type="expression" dxfId="1911" priority="1456" stopIfTrue="1">
      <formula>AND(F735&lt;&gt;"",S735&lt;&gt;"")</formula>
    </cfRule>
    <cfRule type="expression" dxfId="1910" priority="1457" stopIfTrue="1">
      <formula>F735&lt;&gt;""</formula>
    </cfRule>
  </conditionalFormatting>
  <conditionalFormatting sqref="A735:A835 A837:A843 A845:A958">
    <cfRule type="expression" dxfId="1909" priority="1453" stopIfTrue="1">
      <formula>O735="*OBSERVAÇÃO"</formula>
    </cfRule>
  </conditionalFormatting>
  <conditionalFormatting sqref="A735:A835 A837:A843 A845:A958">
    <cfRule type="expression" dxfId="1908" priority="1452" stopIfTrue="1">
      <formula>AND(F735&lt;&gt;"",S735&lt;&gt;"",Y735&lt;&gt;"")</formula>
    </cfRule>
  </conditionalFormatting>
  <conditionalFormatting sqref="A735:A835 A837:A843 A845:A958">
    <cfRule type="expression" dxfId="1907" priority="1448" stopIfTrue="1">
      <formula>A735=""</formula>
    </cfRule>
    <cfRule type="expression" dxfId="1906" priority="1449" stopIfTrue="1">
      <formula>F735=""</formula>
    </cfRule>
    <cfRule type="expression" dxfId="1905" priority="1450" stopIfTrue="1">
      <formula>AND(F735&lt;&gt;"",S735&lt;&gt;"")</formula>
    </cfRule>
    <cfRule type="expression" dxfId="1904" priority="1451" stopIfTrue="1">
      <formula>F735&lt;&gt;""</formula>
    </cfRule>
  </conditionalFormatting>
  <conditionalFormatting sqref="A735:A835 A837:A843 A845:A958">
    <cfRule type="expression" dxfId="1903" priority="1447" stopIfTrue="1">
      <formula>O735="*CANCELADO"</formula>
    </cfRule>
  </conditionalFormatting>
  <conditionalFormatting sqref="A735:A835 A837:A843 A845:A958">
    <cfRule type="expression" dxfId="1902" priority="1443" stopIfTrue="1">
      <formula>A735=""</formula>
    </cfRule>
    <cfRule type="expression" dxfId="1901" priority="1444" stopIfTrue="1">
      <formula>F735=""</formula>
    </cfRule>
    <cfRule type="expression" dxfId="1900" priority="1445" stopIfTrue="1">
      <formula>AND(F735&lt;&gt;"",S735&lt;&gt;"")</formula>
    </cfRule>
    <cfRule type="expression" dxfId="1899" priority="1446" stopIfTrue="1">
      <formula>F735&lt;&gt;""</formula>
    </cfRule>
  </conditionalFormatting>
  <conditionalFormatting sqref="A735:A835 A837:A843 A845:A958">
    <cfRule type="expression" dxfId="1898" priority="1442" stopIfTrue="1">
      <formula>O735="*OBSERVAÇÃO"</formula>
    </cfRule>
  </conditionalFormatting>
  <conditionalFormatting sqref="A735:A835 A837:A843 A845:A958">
    <cfRule type="expression" dxfId="1897" priority="1438" stopIfTrue="1">
      <formula>A735=""</formula>
    </cfRule>
    <cfRule type="expression" dxfId="1896" priority="1439" stopIfTrue="1">
      <formula>F735=""</formula>
    </cfRule>
    <cfRule type="expression" dxfId="1895" priority="1440" stopIfTrue="1">
      <formula>AND(F735&lt;&gt;"",S735&lt;&gt;"")</formula>
    </cfRule>
    <cfRule type="expression" dxfId="1894" priority="1441" stopIfTrue="1">
      <formula>F735&lt;&gt;""</formula>
    </cfRule>
  </conditionalFormatting>
  <conditionalFormatting sqref="A735:A835 A837:A843 A845:A958">
    <cfRule type="expression" dxfId="1893" priority="1437" stopIfTrue="1">
      <formula>O735="*CANCELADO"</formula>
    </cfRule>
  </conditionalFormatting>
  <conditionalFormatting sqref="A735:A835 A837:A843 A845:A958">
    <cfRule type="expression" dxfId="1892" priority="1436" stopIfTrue="1">
      <formula>O735="*OBSERVAÇÃO"</formula>
    </cfRule>
  </conditionalFormatting>
  <conditionalFormatting sqref="A735:A835 A837:A843 A845:A958">
    <cfRule type="expression" dxfId="1891" priority="1435" stopIfTrue="1">
      <formula>AND(F735&lt;&gt;"",S735&lt;&gt;"",Y735&lt;&gt;"")</formula>
    </cfRule>
  </conditionalFormatting>
  <conditionalFormatting sqref="A959">
    <cfRule type="expression" dxfId="1890" priority="1431" stopIfTrue="1">
      <formula>A959=""</formula>
    </cfRule>
    <cfRule type="expression" dxfId="1889" priority="1432" stopIfTrue="1">
      <formula>F959=""</formula>
    </cfRule>
    <cfRule type="expression" dxfId="1888" priority="1433" stopIfTrue="1">
      <formula>AND(F959&lt;&gt;"",S959&lt;&gt;"")</formula>
    </cfRule>
    <cfRule type="expression" dxfId="1887" priority="1434" stopIfTrue="1">
      <formula>F959&lt;&gt;""</formula>
    </cfRule>
  </conditionalFormatting>
  <conditionalFormatting sqref="A959">
    <cfRule type="expression" dxfId="1886" priority="1430" stopIfTrue="1">
      <formula>O959="*CANCELADO"</formula>
    </cfRule>
  </conditionalFormatting>
  <conditionalFormatting sqref="AA959">
    <cfRule type="expression" dxfId="1885" priority="1428" stopIfTrue="1">
      <formula>O959="*CANCELADO"</formula>
    </cfRule>
    <cfRule type="expression" dxfId="1884" priority="1429" stopIfTrue="1">
      <formula>O959="*OBSERVAÇÃO"</formula>
    </cfRule>
  </conditionalFormatting>
  <conditionalFormatting sqref="N959">
    <cfRule type="cellIs" dxfId="1883" priority="1425" stopIfTrue="1" operator="equal">
      <formula>"Código não cadastrado"</formula>
    </cfRule>
  </conditionalFormatting>
  <conditionalFormatting sqref="A959">
    <cfRule type="expression" dxfId="1882" priority="1421" stopIfTrue="1">
      <formula>A959=""</formula>
    </cfRule>
    <cfRule type="expression" dxfId="1881" priority="1422" stopIfTrue="1">
      <formula>F959=""</formula>
    </cfRule>
    <cfRule type="expression" dxfId="1880" priority="1423" stopIfTrue="1">
      <formula>AND(F959&lt;&gt;"",S959&lt;&gt;"")</formula>
    </cfRule>
    <cfRule type="expression" dxfId="1879" priority="1424" stopIfTrue="1">
      <formula>F959&lt;&gt;""</formula>
    </cfRule>
  </conditionalFormatting>
  <conditionalFormatting sqref="A959">
    <cfRule type="expression" dxfId="1878" priority="1420" stopIfTrue="1">
      <formula>O959="*OBSERVAÇÃO"</formula>
    </cfRule>
  </conditionalFormatting>
  <conditionalFormatting sqref="A959">
    <cfRule type="expression" dxfId="1877" priority="1418" stopIfTrue="1">
      <formula>AND(F959&lt;&gt;"",S959&lt;&gt;"",Y959&lt;&gt;"")</formula>
    </cfRule>
  </conditionalFormatting>
  <conditionalFormatting sqref="F959">
    <cfRule type="expression" dxfId="1876" priority="1411" stopIfTrue="1">
      <formula>O959="*OBSERVAÇÃO"</formula>
    </cfRule>
    <cfRule type="expression" dxfId="1875" priority="1412" stopIfTrue="1">
      <formula>O959="*CANCELADO"</formula>
    </cfRule>
    <cfRule type="expression" priority="1413" stopIfTrue="1">
      <formula>A959=""</formula>
    </cfRule>
    <cfRule type="expression" dxfId="1874" priority="1414" stopIfTrue="1">
      <formula>F959=""</formula>
    </cfRule>
    <cfRule type="expression" dxfId="1873" priority="1415" stopIfTrue="1">
      <formula>AND(F959&lt;&gt;"",S959&lt;&gt;"",Y959&lt;&gt;"")</formula>
    </cfRule>
    <cfRule type="expression" dxfId="1872" priority="1416" stopIfTrue="1">
      <formula>AND(F959&lt;&gt;"",S959&lt;&gt;"")</formula>
    </cfRule>
    <cfRule type="expression" dxfId="1871" priority="1417" stopIfTrue="1">
      <formula>F959&lt;&gt;""</formula>
    </cfRule>
  </conditionalFormatting>
  <conditionalFormatting sqref="A959">
    <cfRule type="expression" dxfId="1870" priority="1407" stopIfTrue="1">
      <formula>A959=""</formula>
    </cfRule>
    <cfRule type="expression" dxfId="1869" priority="1408" stopIfTrue="1">
      <formula>F959=""</formula>
    </cfRule>
    <cfRule type="expression" dxfId="1868" priority="1409" stopIfTrue="1">
      <formula>AND(F959&lt;&gt;"",S959&lt;&gt;"")</formula>
    </cfRule>
    <cfRule type="expression" dxfId="1867" priority="1410" stopIfTrue="1">
      <formula>F959&lt;&gt;""</formula>
    </cfRule>
  </conditionalFormatting>
  <conditionalFormatting sqref="A959">
    <cfRule type="expression" dxfId="1866" priority="1406" stopIfTrue="1">
      <formula>O959="*CANCELADO"</formula>
    </cfRule>
  </conditionalFormatting>
  <conditionalFormatting sqref="A959">
    <cfRule type="expression" dxfId="1865" priority="1402" stopIfTrue="1">
      <formula>A959=""</formula>
    </cfRule>
    <cfRule type="expression" dxfId="1864" priority="1403" stopIfTrue="1">
      <formula>F959=""</formula>
    </cfRule>
    <cfRule type="expression" dxfId="1863" priority="1404" stopIfTrue="1">
      <formula>AND(F959&lt;&gt;"",S959&lt;&gt;"")</formula>
    </cfRule>
    <cfRule type="expression" dxfId="1862" priority="1405" stopIfTrue="1">
      <formula>F959&lt;&gt;""</formula>
    </cfRule>
  </conditionalFormatting>
  <conditionalFormatting sqref="A959">
    <cfRule type="expression" dxfId="1861" priority="1401" stopIfTrue="1">
      <formula>O959="*OBSERVAÇÃO"</formula>
    </cfRule>
  </conditionalFormatting>
  <conditionalFormatting sqref="A959">
    <cfRule type="expression" dxfId="1860" priority="1400" stopIfTrue="1">
      <formula>AND(F959&lt;&gt;"",S959&lt;&gt;"",Y959&lt;&gt;"")</formula>
    </cfRule>
  </conditionalFormatting>
  <conditionalFormatting sqref="A959">
    <cfRule type="expression" dxfId="1859" priority="1396" stopIfTrue="1">
      <formula>A959=""</formula>
    </cfRule>
    <cfRule type="expression" dxfId="1858" priority="1397" stopIfTrue="1">
      <formula>F959=""</formula>
    </cfRule>
    <cfRule type="expression" dxfId="1857" priority="1398" stopIfTrue="1">
      <formula>AND(F959&lt;&gt;"",S959&lt;&gt;"")</formula>
    </cfRule>
    <cfRule type="expression" dxfId="1856" priority="1399" stopIfTrue="1">
      <formula>F959&lt;&gt;""</formula>
    </cfRule>
  </conditionalFormatting>
  <conditionalFormatting sqref="A959">
    <cfRule type="expression" dxfId="1855" priority="1395" stopIfTrue="1">
      <formula>O959="*CANCELADO"</formula>
    </cfRule>
  </conditionalFormatting>
  <conditionalFormatting sqref="A959">
    <cfRule type="expression" dxfId="1854" priority="1391" stopIfTrue="1">
      <formula>A959=""</formula>
    </cfRule>
    <cfRule type="expression" dxfId="1853" priority="1392" stopIfTrue="1">
      <formula>F959=""</formula>
    </cfRule>
    <cfRule type="expression" dxfId="1852" priority="1393" stopIfTrue="1">
      <formula>AND(F959&lt;&gt;"",S959&lt;&gt;"")</formula>
    </cfRule>
    <cfRule type="expression" dxfId="1851" priority="1394" stopIfTrue="1">
      <formula>F959&lt;&gt;""</formula>
    </cfRule>
  </conditionalFormatting>
  <conditionalFormatting sqref="A959">
    <cfRule type="expression" dxfId="1850" priority="1390" stopIfTrue="1">
      <formula>O959="*OBSERVAÇÃO"</formula>
    </cfRule>
  </conditionalFormatting>
  <conditionalFormatting sqref="A959">
    <cfRule type="expression" dxfId="1849" priority="1389" stopIfTrue="1">
      <formula>AND(F959&lt;&gt;"",S959&lt;&gt;"",Y959&lt;&gt;"")</formula>
    </cfRule>
  </conditionalFormatting>
  <conditionalFormatting sqref="A959">
    <cfRule type="expression" dxfId="1848" priority="1385" stopIfTrue="1">
      <formula>A959=""</formula>
    </cfRule>
    <cfRule type="expression" dxfId="1847" priority="1386" stopIfTrue="1">
      <formula>F959=""</formula>
    </cfRule>
    <cfRule type="expression" dxfId="1846" priority="1387" stopIfTrue="1">
      <formula>AND(F959&lt;&gt;"",S959&lt;&gt;"")</formula>
    </cfRule>
    <cfRule type="expression" dxfId="1845" priority="1388" stopIfTrue="1">
      <formula>F959&lt;&gt;""</formula>
    </cfRule>
  </conditionalFormatting>
  <conditionalFormatting sqref="A959">
    <cfRule type="expression" dxfId="1844" priority="1384" stopIfTrue="1">
      <formula>O959="*CANCELADO"</formula>
    </cfRule>
  </conditionalFormatting>
  <conditionalFormatting sqref="A959">
    <cfRule type="expression" dxfId="1843" priority="1380" stopIfTrue="1">
      <formula>A959=""</formula>
    </cfRule>
    <cfRule type="expression" dxfId="1842" priority="1381" stopIfTrue="1">
      <formula>F959=""</formula>
    </cfRule>
    <cfRule type="expression" dxfId="1841" priority="1382" stopIfTrue="1">
      <formula>AND(F959&lt;&gt;"",S959&lt;&gt;"")</formula>
    </cfRule>
    <cfRule type="expression" dxfId="1840" priority="1383" stopIfTrue="1">
      <formula>F959&lt;&gt;""</formula>
    </cfRule>
  </conditionalFormatting>
  <conditionalFormatting sqref="A959">
    <cfRule type="expression" dxfId="1839" priority="1379" stopIfTrue="1">
      <formula>O959="*OBSERVAÇÃO"</formula>
    </cfRule>
  </conditionalFormatting>
  <conditionalFormatting sqref="A959">
    <cfRule type="expression" dxfId="1838" priority="1375" stopIfTrue="1">
      <formula>A959=""</formula>
    </cfRule>
    <cfRule type="expression" dxfId="1837" priority="1376" stopIfTrue="1">
      <formula>F959=""</formula>
    </cfRule>
    <cfRule type="expression" dxfId="1836" priority="1377" stopIfTrue="1">
      <formula>AND(F959&lt;&gt;"",S959&lt;&gt;"")</formula>
    </cfRule>
    <cfRule type="expression" dxfId="1835" priority="1378" stopIfTrue="1">
      <formula>F959&lt;&gt;""</formula>
    </cfRule>
  </conditionalFormatting>
  <conditionalFormatting sqref="A959">
    <cfRule type="expression" dxfId="1834" priority="1374" stopIfTrue="1">
      <formula>O959="*CANCELADO"</formula>
    </cfRule>
  </conditionalFormatting>
  <conditionalFormatting sqref="A959">
    <cfRule type="expression" dxfId="1833" priority="1373" stopIfTrue="1">
      <formula>O959="*OBSERVAÇÃO"</formula>
    </cfRule>
  </conditionalFormatting>
  <conditionalFormatting sqref="A959">
    <cfRule type="expression" dxfId="1832" priority="1372" stopIfTrue="1">
      <formula>AND(F959&lt;&gt;"",S959&lt;&gt;"",Y959&lt;&gt;"")</formula>
    </cfRule>
  </conditionalFormatting>
  <conditionalFormatting sqref="A959">
    <cfRule type="expression" dxfId="1831" priority="1368" stopIfTrue="1">
      <formula>A959=""</formula>
    </cfRule>
    <cfRule type="expression" dxfId="1830" priority="1369" stopIfTrue="1">
      <formula>F959=""</formula>
    </cfRule>
    <cfRule type="expression" dxfId="1829" priority="1370" stopIfTrue="1">
      <formula>AND(F959&lt;&gt;"",S959&lt;&gt;"")</formula>
    </cfRule>
    <cfRule type="expression" dxfId="1828" priority="1371" stopIfTrue="1">
      <formula>F959&lt;&gt;""</formula>
    </cfRule>
  </conditionalFormatting>
  <conditionalFormatting sqref="A959">
    <cfRule type="expression" dxfId="1827" priority="1367" stopIfTrue="1">
      <formula>O959="*CANCELADO"</formula>
    </cfRule>
  </conditionalFormatting>
  <conditionalFormatting sqref="A959">
    <cfRule type="expression" dxfId="1826" priority="1363" stopIfTrue="1">
      <formula>A959=""</formula>
    </cfRule>
    <cfRule type="expression" dxfId="1825" priority="1364" stopIfTrue="1">
      <formula>F959=""</formula>
    </cfRule>
    <cfRule type="expression" dxfId="1824" priority="1365" stopIfTrue="1">
      <formula>AND(F959&lt;&gt;"",S959&lt;&gt;"")</formula>
    </cfRule>
    <cfRule type="expression" dxfId="1823" priority="1366" stopIfTrue="1">
      <formula>F959&lt;&gt;""</formula>
    </cfRule>
  </conditionalFormatting>
  <conditionalFormatting sqref="A959">
    <cfRule type="expression" dxfId="1822" priority="1362" stopIfTrue="1">
      <formula>O959="*OBSERVAÇÃO"</formula>
    </cfRule>
  </conditionalFormatting>
  <conditionalFormatting sqref="A959">
    <cfRule type="expression" dxfId="1821" priority="1361" stopIfTrue="1">
      <formula>AND(F959&lt;&gt;"",S959&lt;&gt;"",Y959&lt;&gt;"")</formula>
    </cfRule>
  </conditionalFormatting>
  <conditionalFormatting sqref="A959">
    <cfRule type="expression" dxfId="1820" priority="1357" stopIfTrue="1">
      <formula>A959=""</formula>
    </cfRule>
    <cfRule type="expression" dxfId="1819" priority="1358" stopIfTrue="1">
      <formula>F959=""</formula>
    </cfRule>
    <cfRule type="expression" dxfId="1818" priority="1359" stopIfTrue="1">
      <formula>AND(F959&lt;&gt;"",S959&lt;&gt;"")</formula>
    </cfRule>
    <cfRule type="expression" dxfId="1817" priority="1360" stopIfTrue="1">
      <formula>F959&lt;&gt;""</formula>
    </cfRule>
  </conditionalFormatting>
  <conditionalFormatting sqref="A959">
    <cfRule type="expression" dxfId="1816" priority="1356" stopIfTrue="1">
      <formula>O959="*CANCELADO"</formula>
    </cfRule>
  </conditionalFormatting>
  <conditionalFormatting sqref="A959">
    <cfRule type="expression" dxfId="1815" priority="1352" stopIfTrue="1">
      <formula>A959=""</formula>
    </cfRule>
    <cfRule type="expression" dxfId="1814" priority="1353" stopIfTrue="1">
      <formula>F959=""</formula>
    </cfRule>
    <cfRule type="expression" dxfId="1813" priority="1354" stopIfTrue="1">
      <formula>AND(F959&lt;&gt;"",S959&lt;&gt;"")</formula>
    </cfRule>
    <cfRule type="expression" dxfId="1812" priority="1355" stopIfTrue="1">
      <formula>F959&lt;&gt;""</formula>
    </cfRule>
  </conditionalFormatting>
  <conditionalFormatting sqref="A959">
    <cfRule type="expression" dxfId="1811" priority="1351" stopIfTrue="1">
      <formula>O959="*OBSERVAÇÃO"</formula>
    </cfRule>
  </conditionalFormatting>
  <conditionalFormatting sqref="A959">
    <cfRule type="expression" dxfId="1810" priority="1350" stopIfTrue="1">
      <formula>AND(F959&lt;&gt;"",S959&lt;&gt;"",Y959&lt;&gt;"")</formula>
    </cfRule>
  </conditionalFormatting>
  <conditionalFormatting sqref="A959">
    <cfRule type="expression" dxfId="1809" priority="1346" stopIfTrue="1">
      <formula>A959=""</formula>
    </cfRule>
    <cfRule type="expression" dxfId="1808" priority="1347" stopIfTrue="1">
      <formula>F959=""</formula>
    </cfRule>
    <cfRule type="expression" dxfId="1807" priority="1348" stopIfTrue="1">
      <formula>AND(F959&lt;&gt;"",S959&lt;&gt;"")</formula>
    </cfRule>
    <cfRule type="expression" dxfId="1806" priority="1349" stopIfTrue="1">
      <formula>F959&lt;&gt;""</formula>
    </cfRule>
  </conditionalFormatting>
  <conditionalFormatting sqref="A959">
    <cfRule type="expression" dxfId="1805" priority="1345" stopIfTrue="1">
      <formula>O959="*CANCELADO"</formula>
    </cfRule>
  </conditionalFormatting>
  <conditionalFormatting sqref="A959">
    <cfRule type="expression" dxfId="1804" priority="1341" stopIfTrue="1">
      <formula>A959=""</formula>
    </cfRule>
    <cfRule type="expression" dxfId="1803" priority="1342" stopIfTrue="1">
      <formula>F959=""</formula>
    </cfRule>
    <cfRule type="expression" dxfId="1802" priority="1343" stopIfTrue="1">
      <formula>AND(F959&lt;&gt;"",S959&lt;&gt;"")</formula>
    </cfRule>
    <cfRule type="expression" dxfId="1801" priority="1344" stopIfTrue="1">
      <formula>F959&lt;&gt;""</formula>
    </cfRule>
  </conditionalFormatting>
  <conditionalFormatting sqref="A959">
    <cfRule type="expression" dxfId="1800" priority="1340" stopIfTrue="1">
      <formula>O959="*OBSERVAÇÃO"</formula>
    </cfRule>
  </conditionalFormatting>
  <conditionalFormatting sqref="A959">
    <cfRule type="expression" dxfId="1799" priority="1336" stopIfTrue="1">
      <formula>A959=""</formula>
    </cfRule>
    <cfRule type="expression" dxfId="1798" priority="1337" stopIfTrue="1">
      <formula>F959=""</formula>
    </cfRule>
    <cfRule type="expression" dxfId="1797" priority="1338" stopIfTrue="1">
      <formula>AND(F959&lt;&gt;"",S959&lt;&gt;"")</formula>
    </cfRule>
    <cfRule type="expression" dxfId="1796" priority="1339" stopIfTrue="1">
      <formula>F959&lt;&gt;""</formula>
    </cfRule>
  </conditionalFormatting>
  <conditionalFormatting sqref="A959">
    <cfRule type="expression" dxfId="1795" priority="1335" stopIfTrue="1">
      <formula>O959="*CANCELADO"</formula>
    </cfRule>
  </conditionalFormatting>
  <conditionalFormatting sqref="A959">
    <cfRule type="expression" dxfId="1794" priority="1334" stopIfTrue="1">
      <formula>O959="*OBSERVAÇÃO"</formula>
    </cfRule>
  </conditionalFormatting>
  <conditionalFormatting sqref="A959">
    <cfRule type="expression" dxfId="1793" priority="1333" stopIfTrue="1">
      <formula>AND(F959&lt;&gt;"",S959&lt;&gt;"",Y959&lt;&gt;"")</formula>
    </cfRule>
  </conditionalFormatting>
  <conditionalFormatting sqref="A959">
    <cfRule type="expression" dxfId="1792" priority="1329" stopIfTrue="1">
      <formula>A959=""</formula>
    </cfRule>
    <cfRule type="expression" dxfId="1791" priority="1330" stopIfTrue="1">
      <formula>F959=""</formula>
    </cfRule>
    <cfRule type="expression" dxfId="1790" priority="1331" stopIfTrue="1">
      <formula>AND(F959&lt;&gt;"",S959&lt;&gt;"")</formula>
    </cfRule>
    <cfRule type="expression" dxfId="1789" priority="1332" stopIfTrue="1">
      <formula>F959&lt;&gt;""</formula>
    </cfRule>
  </conditionalFormatting>
  <conditionalFormatting sqref="A959">
    <cfRule type="expression" dxfId="1788" priority="1328" stopIfTrue="1">
      <formula>O959="*CANCELADO"</formula>
    </cfRule>
  </conditionalFormatting>
  <conditionalFormatting sqref="A959">
    <cfRule type="expression" dxfId="1787" priority="1324" stopIfTrue="1">
      <formula>A959=""</formula>
    </cfRule>
    <cfRule type="expression" dxfId="1786" priority="1325" stopIfTrue="1">
      <formula>F959=""</formula>
    </cfRule>
    <cfRule type="expression" dxfId="1785" priority="1326" stopIfTrue="1">
      <formula>AND(F959&lt;&gt;"",S959&lt;&gt;"")</formula>
    </cfRule>
    <cfRule type="expression" dxfId="1784" priority="1327" stopIfTrue="1">
      <formula>F959&lt;&gt;""</formula>
    </cfRule>
  </conditionalFormatting>
  <conditionalFormatting sqref="A959">
    <cfRule type="expression" dxfId="1783" priority="1323" stopIfTrue="1">
      <formula>O959="*OBSERVAÇÃO"</formula>
    </cfRule>
  </conditionalFormatting>
  <conditionalFormatting sqref="A959">
    <cfRule type="expression" dxfId="1782" priority="1322" stopIfTrue="1">
      <formula>AND(F959&lt;&gt;"",S959&lt;&gt;"",Y959&lt;&gt;"")</formula>
    </cfRule>
  </conditionalFormatting>
  <conditionalFormatting sqref="A959">
    <cfRule type="expression" dxfId="1781" priority="1318" stopIfTrue="1">
      <formula>A959=""</formula>
    </cfRule>
    <cfRule type="expression" dxfId="1780" priority="1319" stopIfTrue="1">
      <formula>F959=""</formula>
    </cfRule>
    <cfRule type="expression" dxfId="1779" priority="1320" stopIfTrue="1">
      <formula>AND(F959&lt;&gt;"",S959&lt;&gt;"")</formula>
    </cfRule>
    <cfRule type="expression" dxfId="1778" priority="1321" stopIfTrue="1">
      <formula>F959&lt;&gt;""</formula>
    </cfRule>
  </conditionalFormatting>
  <conditionalFormatting sqref="A959">
    <cfRule type="expression" dxfId="1777" priority="1317" stopIfTrue="1">
      <formula>O959="*CANCELADO"</formula>
    </cfRule>
  </conditionalFormatting>
  <conditionalFormatting sqref="A959">
    <cfRule type="expression" dxfId="1776" priority="1313" stopIfTrue="1">
      <formula>A959=""</formula>
    </cfRule>
    <cfRule type="expression" dxfId="1775" priority="1314" stopIfTrue="1">
      <formula>F959=""</formula>
    </cfRule>
    <cfRule type="expression" dxfId="1774" priority="1315" stopIfTrue="1">
      <formula>AND(F959&lt;&gt;"",S959&lt;&gt;"")</formula>
    </cfRule>
    <cfRule type="expression" dxfId="1773" priority="1316" stopIfTrue="1">
      <formula>F959&lt;&gt;""</formula>
    </cfRule>
  </conditionalFormatting>
  <conditionalFormatting sqref="A959">
    <cfRule type="expression" dxfId="1772" priority="1312" stopIfTrue="1">
      <formula>O959="*OBSERVAÇÃO"</formula>
    </cfRule>
  </conditionalFormatting>
  <conditionalFormatting sqref="A959">
    <cfRule type="expression" dxfId="1771" priority="1311" stopIfTrue="1">
      <formula>AND(F959&lt;&gt;"",S959&lt;&gt;"",Y959&lt;&gt;"")</formula>
    </cfRule>
  </conditionalFormatting>
  <conditionalFormatting sqref="A959">
    <cfRule type="expression" dxfId="1770" priority="1307" stopIfTrue="1">
      <formula>A959=""</formula>
    </cfRule>
    <cfRule type="expression" dxfId="1769" priority="1308" stopIfTrue="1">
      <formula>F959=""</formula>
    </cfRule>
    <cfRule type="expression" dxfId="1768" priority="1309" stopIfTrue="1">
      <formula>AND(F959&lt;&gt;"",S959&lt;&gt;"")</formula>
    </cfRule>
    <cfRule type="expression" dxfId="1767" priority="1310" stopIfTrue="1">
      <formula>F959&lt;&gt;""</formula>
    </cfRule>
  </conditionalFormatting>
  <conditionalFormatting sqref="A959">
    <cfRule type="expression" dxfId="1766" priority="1306" stopIfTrue="1">
      <formula>O959="*CANCELADO"</formula>
    </cfRule>
  </conditionalFormatting>
  <conditionalFormatting sqref="A959">
    <cfRule type="expression" dxfId="1765" priority="1302" stopIfTrue="1">
      <formula>A959=""</formula>
    </cfRule>
    <cfRule type="expression" dxfId="1764" priority="1303" stopIfTrue="1">
      <formula>F959=""</formula>
    </cfRule>
    <cfRule type="expression" dxfId="1763" priority="1304" stopIfTrue="1">
      <formula>AND(F959&lt;&gt;"",S959&lt;&gt;"")</formula>
    </cfRule>
    <cfRule type="expression" dxfId="1762" priority="1305" stopIfTrue="1">
      <formula>F959&lt;&gt;""</formula>
    </cfRule>
  </conditionalFormatting>
  <conditionalFormatting sqref="A959">
    <cfRule type="expression" dxfId="1761" priority="1301" stopIfTrue="1">
      <formula>O959="*OBSERVAÇÃO"</formula>
    </cfRule>
  </conditionalFormatting>
  <conditionalFormatting sqref="A959">
    <cfRule type="expression" dxfId="1760" priority="1300" stopIfTrue="1">
      <formula>AND(F959&lt;&gt;"",S959&lt;&gt;"",Y959&lt;&gt;"")</formula>
    </cfRule>
  </conditionalFormatting>
  <conditionalFormatting sqref="A959">
    <cfRule type="expression" dxfId="1759" priority="1296" stopIfTrue="1">
      <formula>A959=""</formula>
    </cfRule>
    <cfRule type="expression" dxfId="1758" priority="1297" stopIfTrue="1">
      <formula>F959=""</formula>
    </cfRule>
    <cfRule type="expression" dxfId="1757" priority="1298" stopIfTrue="1">
      <formula>AND(F959&lt;&gt;"",S959&lt;&gt;"")</formula>
    </cfRule>
    <cfRule type="expression" dxfId="1756" priority="1299" stopIfTrue="1">
      <formula>F959&lt;&gt;""</formula>
    </cfRule>
  </conditionalFormatting>
  <conditionalFormatting sqref="A959">
    <cfRule type="expression" dxfId="1755" priority="1295" stopIfTrue="1">
      <formula>O959="*CANCELADO"</formula>
    </cfRule>
  </conditionalFormatting>
  <conditionalFormatting sqref="A959">
    <cfRule type="expression" dxfId="1754" priority="1291" stopIfTrue="1">
      <formula>A959=""</formula>
    </cfRule>
    <cfRule type="expression" dxfId="1753" priority="1292" stopIfTrue="1">
      <formula>F959=""</formula>
    </cfRule>
    <cfRule type="expression" dxfId="1752" priority="1293" stopIfTrue="1">
      <formula>AND(F959&lt;&gt;"",S959&lt;&gt;"")</formula>
    </cfRule>
    <cfRule type="expression" dxfId="1751" priority="1294" stopIfTrue="1">
      <formula>F959&lt;&gt;""</formula>
    </cfRule>
  </conditionalFormatting>
  <conditionalFormatting sqref="A959">
    <cfRule type="expression" dxfId="1750" priority="1290" stopIfTrue="1">
      <formula>O959="*OBSERVAÇÃO"</formula>
    </cfRule>
  </conditionalFormatting>
  <conditionalFormatting sqref="A959">
    <cfRule type="expression" dxfId="1749" priority="1286" stopIfTrue="1">
      <formula>A959=""</formula>
    </cfRule>
    <cfRule type="expression" dxfId="1748" priority="1287" stopIfTrue="1">
      <formula>F959=""</formula>
    </cfRule>
    <cfRule type="expression" dxfId="1747" priority="1288" stopIfTrue="1">
      <formula>AND(F959&lt;&gt;"",S959&lt;&gt;"")</formula>
    </cfRule>
    <cfRule type="expression" dxfId="1746" priority="1289" stopIfTrue="1">
      <formula>F959&lt;&gt;""</formula>
    </cfRule>
  </conditionalFormatting>
  <conditionalFormatting sqref="A959">
    <cfRule type="expression" dxfId="1745" priority="1285" stopIfTrue="1">
      <formula>O959="*CANCELADO"</formula>
    </cfRule>
  </conditionalFormatting>
  <conditionalFormatting sqref="A959">
    <cfRule type="expression" dxfId="1744" priority="1284" stopIfTrue="1">
      <formula>O959="*OBSERVAÇÃO"</formula>
    </cfRule>
  </conditionalFormatting>
  <conditionalFormatting sqref="A959">
    <cfRule type="expression" dxfId="1743" priority="1283" stopIfTrue="1">
      <formula>AND(F959&lt;&gt;"",S959&lt;&gt;"",Y959&lt;&gt;"")</formula>
    </cfRule>
  </conditionalFormatting>
  <conditionalFormatting sqref="A836">
    <cfRule type="expression" dxfId="1742" priority="1279" stopIfTrue="1">
      <formula>A836=""</formula>
    </cfRule>
    <cfRule type="expression" dxfId="1741" priority="1280" stopIfTrue="1">
      <formula>F836=""</formula>
    </cfRule>
    <cfRule type="expression" dxfId="1740" priority="1281" stopIfTrue="1">
      <formula>AND(F836&lt;&gt;"",S836&lt;&gt;"")</formula>
    </cfRule>
    <cfRule type="expression" dxfId="1739" priority="1282" stopIfTrue="1">
      <formula>F836&lt;&gt;""</formula>
    </cfRule>
  </conditionalFormatting>
  <conditionalFormatting sqref="A836">
    <cfRule type="expression" dxfId="1738" priority="1278" stopIfTrue="1">
      <formula>O836="*CANCELADO"</formula>
    </cfRule>
  </conditionalFormatting>
  <conditionalFormatting sqref="AA836">
    <cfRule type="expression" dxfId="1737" priority="1276" stopIfTrue="1">
      <formula>O836="*CANCELADO"</formula>
    </cfRule>
    <cfRule type="expression" dxfId="1736" priority="1277" stopIfTrue="1">
      <formula>O836="*OBSERVAÇÃO"</formula>
    </cfRule>
  </conditionalFormatting>
  <conditionalFormatting sqref="N836">
    <cfRule type="cellIs" dxfId="1735" priority="1273" stopIfTrue="1" operator="equal">
      <formula>"Código não cadastrado"</formula>
    </cfRule>
  </conditionalFormatting>
  <conditionalFormatting sqref="A836">
    <cfRule type="expression" dxfId="1734" priority="1269" stopIfTrue="1">
      <formula>A836=""</formula>
    </cfRule>
    <cfRule type="expression" dxfId="1733" priority="1270" stopIfTrue="1">
      <formula>F836=""</formula>
    </cfRule>
    <cfRule type="expression" dxfId="1732" priority="1271" stopIfTrue="1">
      <formula>AND(F836&lt;&gt;"",S836&lt;&gt;"")</formula>
    </cfRule>
    <cfRule type="expression" dxfId="1731" priority="1272" stopIfTrue="1">
      <formula>F836&lt;&gt;""</formula>
    </cfRule>
  </conditionalFormatting>
  <conditionalFormatting sqref="A836">
    <cfRule type="expression" dxfId="1730" priority="1268" stopIfTrue="1">
      <formula>O836="*OBSERVAÇÃO"</formula>
    </cfRule>
  </conditionalFormatting>
  <conditionalFormatting sqref="A836">
    <cfRule type="expression" dxfId="1729" priority="1266" stopIfTrue="1">
      <formula>AND(F836&lt;&gt;"",S836&lt;&gt;"",Y836&lt;&gt;"")</formula>
    </cfRule>
  </conditionalFormatting>
  <conditionalFormatting sqref="F836">
    <cfRule type="expression" dxfId="1728" priority="1259" stopIfTrue="1">
      <formula>O836="*OBSERVAÇÃO"</formula>
    </cfRule>
    <cfRule type="expression" dxfId="1727" priority="1260" stopIfTrue="1">
      <formula>O836="*CANCELADO"</formula>
    </cfRule>
    <cfRule type="expression" priority="1261" stopIfTrue="1">
      <formula>A836=""</formula>
    </cfRule>
    <cfRule type="expression" dxfId="1726" priority="1262" stopIfTrue="1">
      <formula>F836=""</formula>
    </cfRule>
    <cfRule type="expression" dxfId="1725" priority="1263" stopIfTrue="1">
      <formula>AND(F836&lt;&gt;"",S836&lt;&gt;"",Y836&lt;&gt;"")</formula>
    </cfRule>
    <cfRule type="expression" dxfId="1724" priority="1264" stopIfTrue="1">
      <formula>AND(F836&lt;&gt;"",S836&lt;&gt;"")</formula>
    </cfRule>
    <cfRule type="expression" dxfId="1723" priority="1265" stopIfTrue="1">
      <formula>F836&lt;&gt;""</formula>
    </cfRule>
  </conditionalFormatting>
  <conditionalFormatting sqref="A836">
    <cfRule type="expression" dxfId="1722" priority="1255" stopIfTrue="1">
      <formula>A836=""</formula>
    </cfRule>
    <cfRule type="expression" dxfId="1721" priority="1256" stopIfTrue="1">
      <formula>F836=""</formula>
    </cfRule>
    <cfRule type="expression" dxfId="1720" priority="1257" stopIfTrue="1">
      <formula>AND(F836&lt;&gt;"",S836&lt;&gt;"")</formula>
    </cfRule>
    <cfRule type="expression" dxfId="1719" priority="1258" stopIfTrue="1">
      <formula>F836&lt;&gt;""</formula>
    </cfRule>
  </conditionalFormatting>
  <conditionalFormatting sqref="A836">
    <cfRule type="expression" dxfId="1718" priority="1254" stopIfTrue="1">
      <formula>O836="*CANCELADO"</formula>
    </cfRule>
  </conditionalFormatting>
  <conditionalFormatting sqref="A836">
    <cfRule type="expression" dxfId="1717" priority="1250" stopIfTrue="1">
      <formula>A836=""</formula>
    </cfRule>
    <cfRule type="expression" dxfId="1716" priority="1251" stopIfTrue="1">
      <formula>F836=""</formula>
    </cfRule>
    <cfRule type="expression" dxfId="1715" priority="1252" stopIfTrue="1">
      <formula>AND(F836&lt;&gt;"",S836&lt;&gt;"")</formula>
    </cfRule>
    <cfRule type="expression" dxfId="1714" priority="1253" stopIfTrue="1">
      <formula>F836&lt;&gt;""</formula>
    </cfRule>
  </conditionalFormatting>
  <conditionalFormatting sqref="A836">
    <cfRule type="expression" dxfId="1713" priority="1249" stopIfTrue="1">
      <formula>O836="*OBSERVAÇÃO"</formula>
    </cfRule>
  </conditionalFormatting>
  <conditionalFormatting sqref="A836">
    <cfRule type="expression" dxfId="1712" priority="1248" stopIfTrue="1">
      <formula>AND(F836&lt;&gt;"",S836&lt;&gt;"",Y836&lt;&gt;"")</formula>
    </cfRule>
  </conditionalFormatting>
  <conditionalFormatting sqref="A836">
    <cfRule type="expression" dxfId="1711" priority="1244" stopIfTrue="1">
      <formula>A836=""</formula>
    </cfRule>
    <cfRule type="expression" dxfId="1710" priority="1245" stopIfTrue="1">
      <formula>F836=""</formula>
    </cfRule>
    <cfRule type="expression" dxfId="1709" priority="1246" stopIfTrue="1">
      <formula>AND(F836&lt;&gt;"",S836&lt;&gt;"")</formula>
    </cfRule>
    <cfRule type="expression" dxfId="1708" priority="1247" stopIfTrue="1">
      <formula>F836&lt;&gt;""</formula>
    </cfRule>
  </conditionalFormatting>
  <conditionalFormatting sqref="A836">
    <cfRule type="expression" dxfId="1707" priority="1243" stopIfTrue="1">
      <formula>O836="*CANCELADO"</formula>
    </cfRule>
  </conditionalFormatting>
  <conditionalFormatting sqref="A836">
    <cfRule type="expression" dxfId="1706" priority="1239" stopIfTrue="1">
      <formula>A836=""</formula>
    </cfRule>
    <cfRule type="expression" dxfId="1705" priority="1240" stopIfTrue="1">
      <formula>F836=""</formula>
    </cfRule>
    <cfRule type="expression" dxfId="1704" priority="1241" stopIfTrue="1">
      <formula>AND(F836&lt;&gt;"",S836&lt;&gt;"")</formula>
    </cfRule>
    <cfRule type="expression" dxfId="1703" priority="1242" stopIfTrue="1">
      <formula>F836&lt;&gt;""</formula>
    </cfRule>
  </conditionalFormatting>
  <conditionalFormatting sqref="A836">
    <cfRule type="expression" dxfId="1702" priority="1238" stopIfTrue="1">
      <formula>O836="*OBSERVAÇÃO"</formula>
    </cfRule>
  </conditionalFormatting>
  <conditionalFormatting sqref="A836">
    <cfRule type="expression" dxfId="1701" priority="1237" stopIfTrue="1">
      <formula>AND(F836&lt;&gt;"",S836&lt;&gt;"",Y836&lt;&gt;"")</formula>
    </cfRule>
  </conditionalFormatting>
  <conditionalFormatting sqref="A836">
    <cfRule type="expression" dxfId="1700" priority="1233" stopIfTrue="1">
      <formula>A836=""</formula>
    </cfRule>
    <cfRule type="expression" dxfId="1699" priority="1234" stopIfTrue="1">
      <formula>F836=""</formula>
    </cfRule>
    <cfRule type="expression" dxfId="1698" priority="1235" stopIfTrue="1">
      <formula>AND(F836&lt;&gt;"",S836&lt;&gt;"")</formula>
    </cfRule>
    <cfRule type="expression" dxfId="1697" priority="1236" stopIfTrue="1">
      <formula>F836&lt;&gt;""</formula>
    </cfRule>
  </conditionalFormatting>
  <conditionalFormatting sqref="A836">
    <cfRule type="expression" dxfId="1696" priority="1232" stopIfTrue="1">
      <formula>O836="*CANCELADO"</formula>
    </cfRule>
  </conditionalFormatting>
  <conditionalFormatting sqref="A836">
    <cfRule type="expression" dxfId="1695" priority="1228" stopIfTrue="1">
      <formula>A836=""</formula>
    </cfRule>
    <cfRule type="expression" dxfId="1694" priority="1229" stopIfTrue="1">
      <formula>F836=""</formula>
    </cfRule>
    <cfRule type="expression" dxfId="1693" priority="1230" stopIfTrue="1">
      <formula>AND(F836&lt;&gt;"",S836&lt;&gt;"")</formula>
    </cfRule>
    <cfRule type="expression" dxfId="1692" priority="1231" stopIfTrue="1">
      <formula>F836&lt;&gt;""</formula>
    </cfRule>
  </conditionalFormatting>
  <conditionalFormatting sqref="A836">
    <cfRule type="expression" dxfId="1691" priority="1227" stopIfTrue="1">
      <formula>O836="*OBSERVAÇÃO"</formula>
    </cfRule>
  </conditionalFormatting>
  <conditionalFormatting sqref="A836">
    <cfRule type="expression" dxfId="1690" priority="1223" stopIfTrue="1">
      <formula>A836=""</formula>
    </cfRule>
    <cfRule type="expression" dxfId="1689" priority="1224" stopIfTrue="1">
      <formula>F836=""</formula>
    </cfRule>
    <cfRule type="expression" dxfId="1688" priority="1225" stopIfTrue="1">
      <formula>AND(F836&lt;&gt;"",S836&lt;&gt;"")</formula>
    </cfRule>
    <cfRule type="expression" dxfId="1687" priority="1226" stopIfTrue="1">
      <formula>F836&lt;&gt;""</formula>
    </cfRule>
  </conditionalFormatting>
  <conditionalFormatting sqref="A836">
    <cfRule type="expression" dxfId="1686" priority="1222" stopIfTrue="1">
      <formula>O836="*CANCELADO"</formula>
    </cfRule>
  </conditionalFormatting>
  <conditionalFormatting sqref="A836">
    <cfRule type="expression" dxfId="1685" priority="1221" stopIfTrue="1">
      <formula>O836="*OBSERVAÇÃO"</formula>
    </cfRule>
  </conditionalFormatting>
  <conditionalFormatting sqref="A836">
    <cfRule type="expression" dxfId="1684" priority="1220" stopIfTrue="1">
      <formula>AND(F836&lt;&gt;"",S836&lt;&gt;"",Y836&lt;&gt;"")</formula>
    </cfRule>
  </conditionalFormatting>
  <conditionalFormatting sqref="A836">
    <cfRule type="expression" dxfId="1683" priority="1216" stopIfTrue="1">
      <formula>A836=""</formula>
    </cfRule>
    <cfRule type="expression" dxfId="1682" priority="1217" stopIfTrue="1">
      <formula>F836=""</formula>
    </cfRule>
    <cfRule type="expression" dxfId="1681" priority="1218" stopIfTrue="1">
      <formula>AND(F836&lt;&gt;"",S836&lt;&gt;"")</formula>
    </cfRule>
    <cfRule type="expression" dxfId="1680" priority="1219" stopIfTrue="1">
      <formula>F836&lt;&gt;""</formula>
    </cfRule>
  </conditionalFormatting>
  <conditionalFormatting sqref="A836">
    <cfRule type="expression" dxfId="1679" priority="1215" stopIfTrue="1">
      <formula>O836="*CANCELADO"</formula>
    </cfRule>
  </conditionalFormatting>
  <conditionalFormatting sqref="A836">
    <cfRule type="expression" dxfId="1678" priority="1211" stopIfTrue="1">
      <formula>A836=""</formula>
    </cfRule>
    <cfRule type="expression" dxfId="1677" priority="1212" stopIfTrue="1">
      <formula>F836=""</formula>
    </cfRule>
    <cfRule type="expression" dxfId="1676" priority="1213" stopIfTrue="1">
      <formula>AND(F836&lt;&gt;"",S836&lt;&gt;"")</formula>
    </cfRule>
    <cfRule type="expression" dxfId="1675" priority="1214" stopIfTrue="1">
      <formula>F836&lt;&gt;""</formula>
    </cfRule>
  </conditionalFormatting>
  <conditionalFormatting sqref="A836">
    <cfRule type="expression" dxfId="1674" priority="1210" stopIfTrue="1">
      <formula>O836="*OBSERVAÇÃO"</formula>
    </cfRule>
  </conditionalFormatting>
  <conditionalFormatting sqref="A836">
    <cfRule type="expression" dxfId="1673" priority="1209" stopIfTrue="1">
      <formula>AND(F836&lt;&gt;"",S836&lt;&gt;"",Y836&lt;&gt;"")</formula>
    </cfRule>
  </conditionalFormatting>
  <conditionalFormatting sqref="A836">
    <cfRule type="expression" dxfId="1672" priority="1205" stopIfTrue="1">
      <formula>A836=""</formula>
    </cfRule>
    <cfRule type="expression" dxfId="1671" priority="1206" stopIfTrue="1">
      <formula>F836=""</formula>
    </cfRule>
    <cfRule type="expression" dxfId="1670" priority="1207" stopIfTrue="1">
      <formula>AND(F836&lt;&gt;"",S836&lt;&gt;"")</formula>
    </cfRule>
    <cfRule type="expression" dxfId="1669" priority="1208" stopIfTrue="1">
      <formula>F836&lt;&gt;""</formula>
    </cfRule>
  </conditionalFormatting>
  <conditionalFormatting sqref="A836">
    <cfRule type="expression" dxfId="1668" priority="1204" stopIfTrue="1">
      <formula>O836="*CANCELADO"</formula>
    </cfRule>
  </conditionalFormatting>
  <conditionalFormatting sqref="A836">
    <cfRule type="expression" dxfId="1667" priority="1200" stopIfTrue="1">
      <formula>A836=""</formula>
    </cfRule>
    <cfRule type="expression" dxfId="1666" priority="1201" stopIfTrue="1">
      <formula>F836=""</formula>
    </cfRule>
    <cfRule type="expression" dxfId="1665" priority="1202" stopIfTrue="1">
      <formula>AND(F836&lt;&gt;"",S836&lt;&gt;"")</formula>
    </cfRule>
    <cfRule type="expression" dxfId="1664" priority="1203" stopIfTrue="1">
      <formula>F836&lt;&gt;""</formula>
    </cfRule>
  </conditionalFormatting>
  <conditionalFormatting sqref="A836">
    <cfRule type="expression" dxfId="1663" priority="1199" stopIfTrue="1">
      <formula>O836="*OBSERVAÇÃO"</formula>
    </cfRule>
  </conditionalFormatting>
  <conditionalFormatting sqref="A836">
    <cfRule type="expression" dxfId="1662" priority="1197" stopIfTrue="1">
      <formula>AND(F836&lt;&gt;"",S836&lt;&gt;"",Y836&lt;&gt;"")</formula>
    </cfRule>
  </conditionalFormatting>
  <conditionalFormatting sqref="A836">
    <cfRule type="expression" dxfId="1661" priority="1193" stopIfTrue="1">
      <formula>A836=""</formula>
    </cfRule>
    <cfRule type="expression" dxfId="1660" priority="1194" stopIfTrue="1">
      <formula>F836=""</formula>
    </cfRule>
    <cfRule type="expression" dxfId="1659" priority="1195" stopIfTrue="1">
      <formula>AND(F836&lt;&gt;"",S836&lt;&gt;"")</formula>
    </cfRule>
    <cfRule type="expression" dxfId="1658" priority="1196" stopIfTrue="1">
      <formula>F836&lt;&gt;""</formula>
    </cfRule>
  </conditionalFormatting>
  <conditionalFormatting sqref="A836">
    <cfRule type="expression" dxfId="1657" priority="1192" stopIfTrue="1">
      <formula>O836="*CANCELADO"</formula>
    </cfRule>
  </conditionalFormatting>
  <conditionalFormatting sqref="A836">
    <cfRule type="expression" dxfId="1656" priority="1188" stopIfTrue="1">
      <formula>A836=""</formula>
    </cfRule>
    <cfRule type="expression" dxfId="1655" priority="1189" stopIfTrue="1">
      <formula>F836=""</formula>
    </cfRule>
    <cfRule type="expression" dxfId="1654" priority="1190" stopIfTrue="1">
      <formula>AND(F836&lt;&gt;"",S836&lt;&gt;"")</formula>
    </cfRule>
    <cfRule type="expression" dxfId="1653" priority="1191" stopIfTrue="1">
      <formula>F836&lt;&gt;""</formula>
    </cfRule>
  </conditionalFormatting>
  <conditionalFormatting sqref="A836">
    <cfRule type="expression" dxfId="1652" priority="1187" stopIfTrue="1">
      <formula>O836="*OBSERVAÇÃO"</formula>
    </cfRule>
  </conditionalFormatting>
  <conditionalFormatting sqref="A836">
    <cfRule type="expression" dxfId="1651" priority="1186" stopIfTrue="1">
      <formula>AND(F836&lt;&gt;"",S836&lt;&gt;"",Y836&lt;&gt;"")</formula>
    </cfRule>
  </conditionalFormatting>
  <conditionalFormatting sqref="A836">
    <cfRule type="expression" dxfId="1650" priority="1182" stopIfTrue="1">
      <formula>A836=""</formula>
    </cfRule>
    <cfRule type="expression" dxfId="1649" priority="1183" stopIfTrue="1">
      <formula>F836=""</formula>
    </cfRule>
    <cfRule type="expression" dxfId="1648" priority="1184" stopIfTrue="1">
      <formula>AND(F836&lt;&gt;"",S836&lt;&gt;"")</formula>
    </cfRule>
    <cfRule type="expression" dxfId="1647" priority="1185" stopIfTrue="1">
      <formula>F836&lt;&gt;""</formula>
    </cfRule>
  </conditionalFormatting>
  <conditionalFormatting sqref="A836">
    <cfRule type="expression" dxfId="1646" priority="1181" stopIfTrue="1">
      <formula>O836="*CANCELADO"</formula>
    </cfRule>
  </conditionalFormatting>
  <conditionalFormatting sqref="A836">
    <cfRule type="expression" dxfId="1645" priority="1177" stopIfTrue="1">
      <formula>A836=""</formula>
    </cfRule>
    <cfRule type="expression" dxfId="1644" priority="1178" stopIfTrue="1">
      <formula>F836=""</formula>
    </cfRule>
    <cfRule type="expression" dxfId="1643" priority="1179" stopIfTrue="1">
      <formula>AND(F836&lt;&gt;"",S836&lt;&gt;"")</formula>
    </cfRule>
    <cfRule type="expression" dxfId="1642" priority="1180" stopIfTrue="1">
      <formula>F836&lt;&gt;""</formula>
    </cfRule>
  </conditionalFormatting>
  <conditionalFormatting sqref="A836">
    <cfRule type="expression" dxfId="1641" priority="1176" stopIfTrue="1">
      <formula>O836="*OBSERVAÇÃO"</formula>
    </cfRule>
  </conditionalFormatting>
  <conditionalFormatting sqref="A836">
    <cfRule type="expression" dxfId="1640" priority="1175" stopIfTrue="1">
      <formula>AND(F836&lt;&gt;"",S836&lt;&gt;"",Y836&lt;&gt;"")</formula>
    </cfRule>
  </conditionalFormatting>
  <conditionalFormatting sqref="A836">
    <cfRule type="expression" dxfId="1639" priority="1171" stopIfTrue="1">
      <formula>A836=""</formula>
    </cfRule>
    <cfRule type="expression" dxfId="1638" priority="1172" stopIfTrue="1">
      <formula>F836=""</formula>
    </cfRule>
    <cfRule type="expression" dxfId="1637" priority="1173" stopIfTrue="1">
      <formula>AND(F836&lt;&gt;"",S836&lt;&gt;"")</formula>
    </cfRule>
    <cfRule type="expression" dxfId="1636" priority="1174" stopIfTrue="1">
      <formula>F836&lt;&gt;""</formula>
    </cfRule>
  </conditionalFormatting>
  <conditionalFormatting sqref="A836">
    <cfRule type="expression" dxfId="1635" priority="1170" stopIfTrue="1">
      <formula>O836="*CANCELADO"</formula>
    </cfRule>
  </conditionalFormatting>
  <conditionalFormatting sqref="A836">
    <cfRule type="expression" dxfId="1634" priority="1166" stopIfTrue="1">
      <formula>A836=""</formula>
    </cfRule>
    <cfRule type="expression" dxfId="1633" priority="1167" stopIfTrue="1">
      <formula>F836=""</formula>
    </cfRule>
    <cfRule type="expression" dxfId="1632" priority="1168" stopIfTrue="1">
      <formula>AND(F836&lt;&gt;"",S836&lt;&gt;"")</formula>
    </cfRule>
    <cfRule type="expression" dxfId="1631" priority="1169" stopIfTrue="1">
      <formula>F836&lt;&gt;""</formula>
    </cfRule>
  </conditionalFormatting>
  <conditionalFormatting sqref="A836">
    <cfRule type="expression" dxfId="1630" priority="1165" stopIfTrue="1">
      <formula>O836="*OBSERVAÇÃO"</formula>
    </cfRule>
  </conditionalFormatting>
  <conditionalFormatting sqref="A836">
    <cfRule type="expression" dxfId="1629" priority="1164" stopIfTrue="1">
      <formula>AND(F836&lt;&gt;"",S836&lt;&gt;"",Y836&lt;&gt;"")</formula>
    </cfRule>
  </conditionalFormatting>
  <conditionalFormatting sqref="A836">
    <cfRule type="expression" dxfId="1628" priority="1160" stopIfTrue="1">
      <formula>A836=""</formula>
    </cfRule>
    <cfRule type="expression" dxfId="1627" priority="1161" stopIfTrue="1">
      <formula>F836=""</formula>
    </cfRule>
    <cfRule type="expression" dxfId="1626" priority="1162" stopIfTrue="1">
      <formula>AND(F836&lt;&gt;"",S836&lt;&gt;"")</formula>
    </cfRule>
    <cfRule type="expression" dxfId="1625" priority="1163" stopIfTrue="1">
      <formula>F836&lt;&gt;""</formula>
    </cfRule>
  </conditionalFormatting>
  <conditionalFormatting sqref="A836">
    <cfRule type="expression" dxfId="1624" priority="1159" stopIfTrue="1">
      <formula>O836="*CANCELADO"</formula>
    </cfRule>
  </conditionalFormatting>
  <conditionalFormatting sqref="A836">
    <cfRule type="expression" dxfId="1623" priority="1155" stopIfTrue="1">
      <formula>A836=""</formula>
    </cfRule>
    <cfRule type="expression" dxfId="1622" priority="1156" stopIfTrue="1">
      <formula>F836=""</formula>
    </cfRule>
    <cfRule type="expression" dxfId="1621" priority="1157" stopIfTrue="1">
      <formula>AND(F836&lt;&gt;"",S836&lt;&gt;"")</formula>
    </cfRule>
    <cfRule type="expression" dxfId="1620" priority="1158" stopIfTrue="1">
      <formula>F836&lt;&gt;""</formula>
    </cfRule>
  </conditionalFormatting>
  <conditionalFormatting sqref="A836">
    <cfRule type="expression" dxfId="1619" priority="1154" stopIfTrue="1">
      <formula>O836="*OBSERVAÇÃO"</formula>
    </cfRule>
  </conditionalFormatting>
  <conditionalFormatting sqref="A836">
    <cfRule type="expression" dxfId="1618" priority="1150" stopIfTrue="1">
      <formula>A836=""</formula>
    </cfRule>
    <cfRule type="expression" dxfId="1617" priority="1151" stopIfTrue="1">
      <formula>F836=""</formula>
    </cfRule>
    <cfRule type="expression" dxfId="1616" priority="1152" stopIfTrue="1">
      <formula>AND(F836&lt;&gt;"",S836&lt;&gt;"")</formula>
    </cfRule>
    <cfRule type="expression" dxfId="1615" priority="1153" stopIfTrue="1">
      <formula>F836&lt;&gt;""</formula>
    </cfRule>
  </conditionalFormatting>
  <conditionalFormatting sqref="A836">
    <cfRule type="expression" dxfId="1614" priority="1149" stopIfTrue="1">
      <formula>O836="*CANCELADO"</formula>
    </cfRule>
  </conditionalFormatting>
  <conditionalFormatting sqref="A836">
    <cfRule type="expression" dxfId="1613" priority="1148" stopIfTrue="1">
      <formula>O836="*OBSERVAÇÃO"</formula>
    </cfRule>
  </conditionalFormatting>
  <conditionalFormatting sqref="A836">
    <cfRule type="expression" dxfId="1612" priority="1147" stopIfTrue="1">
      <formula>AND(F836&lt;&gt;"",S836&lt;&gt;"",Y836&lt;&gt;"")</formula>
    </cfRule>
  </conditionalFormatting>
  <conditionalFormatting sqref="AA517">
    <cfRule type="expression" dxfId="1611" priority="1145" stopIfTrue="1">
      <formula>O517="*CANCELADO"</formula>
    </cfRule>
    <cfRule type="expression" dxfId="1610" priority="1146" stopIfTrue="1">
      <formula>O517="*OBSERVAÇÃO"</formula>
    </cfRule>
  </conditionalFormatting>
  <conditionalFormatting sqref="N517">
    <cfRule type="cellIs" dxfId="1609" priority="1142" stopIfTrue="1" operator="equal">
      <formula>"Código não cadastrado"</formula>
    </cfRule>
  </conditionalFormatting>
  <conditionalFormatting sqref="F517">
    <cfRule type="expression" dxfId="1608" priority="1134" stopIfTrue="1">
      <formula>O517="*OBSERVAÇÃO"</formula>
    </cfRule>
    <cfRule type="expression" dxfId="1607" priority="1135" stopIfTrue="1">
      <formula>O517="*CANCELADO"</formula>
    </cfRule>
    <cfRule type="expression" priority="1136" stopIfTrue="1">
      <formula>A517=""</formula>
    </cfRule>
    <cfRule type="expression" dxfId="1606" priority="1137" stopIfTrue="1">
      <formula>F517=""</formula>
    </cfRule>
    <cfRule type="expression" dxfId="1605" priority="1138" stopIfTrue="1">
      <formula>AND(F517&lt;&gt;"",S517&lt;&gt;"",Y517&lt;&gt;"")</formula>
    </cfRule>
    <cfRule type="expression" dxfId="1604" priority="1139" stopIfTrue="1">
      <formula>AND(F517&lt;&gt;"",S517&lt;&gt;"")</formula>
    </cfRule>
    <cfRule type="expression" dxfId="1603" priority="1140" stopIfTrue="1">
      <formula>F517&lt;&gt;""</formula>
    </cfRule>
  </conditionalFormatting>
  <conditionalFormatting sqref="A517">
    <cfRule type="expression" dxfId="1602" priority="1130" stopIfTrue="1">
      <formula>A517=""</formula>
    </cfRule>
    <cfRule type="expression" dxfId="1601" priority="1131" stopIfTrue="1">
      <formula>F517=""</formula>
    </cfRule>
    <cfRule type="expression" dxfId="1600" priority="1132" stopIfTrue="1">
      <formula>AND(F517&lt;&gt;"",S517&lt;&gt;"")</formula>
    </cfRule>
    <cfRule type="expression" dxfId="1599" priority="1133" stopIfTrue="1">
      <formula>F517&lt;&gt;""</formula>
    </cfRule>
  </conditionalFormatting>
  <conditionalFormatting sqref="A517">
    <cfRule type="expression" dxfId="1598" priority="1126" stopIfTrue="1">
      <formula>A517=""</formula>
    </cfRule>
    <cfRule type="expression" dxfId="1597" priority="1127" stopIfTrue="1">
      <formula>F517=""</formula>
    </cfRule>
    <cfRule type="expression" dxfId="1596" priority="1128" stopIfTrue="1">
      <formula>AND(F517&lt;&gt;"",S517&lt;&gt;"")</formula>
    </cfRule>
    <cfRule type="expression" dxfId="1595" priority="1129" stopIfTrue="1">
      <formula>F517&lt;&gt;""</formula>
    </cfRule>
  </conditionalFormatting>
  <conditionalFormatting sqref="A517">
    <cfRule type="expression" dxfId="1594" priority="1125" stopIfTrue="1">
      <formula>AND(F517&lt;&gt;"",S517&lt;&gt;"",Y517&lt;&gt;"")</formula>
    </cfRule>
  </conditionalFormatting>
  <conditionalFormatting sqref="A517">
    <cfRule type="expression" dxfId="1593" priority="1124" stopIfTrue="1">
      <formula>O517="*CANCELADO"</formula>
    </cfRule>
  </conditionalFormatting>
  <conditionalFormatting sqref="A517">
    <cfRule type="expression" dxfId="1592" priority="1123" stopIfTrue="1">
      <formula>O517="*OBSERVAÇÃO"</formula>
    </cfRule>
  </conditionalFormatting>
  <conditionalFormatting sqref="A517">
    <cfRule type="expression" dxfId="1591" priority="1122" stopIfTrue="1">
      <formula>O517="*CANCELADO"</formula>
    </cfRule>
  </conditionalFormatting>
  <conditionalFormatting sqref="A517">
    <cfRule type="expression" dxfId="1590" priority="1121" stopIfTrue="1">
      <formula>O517="*OBSERVAÇÃO"</formula>
    </cfRule>
  </conditionalFormatting>
  <conditionalFormatting sqref="A517">
    <cfRule type="expression" dxfId="1589" priority="1120" stopIfTrue="1">
      <formula>O517="*CANCELADO"</formula>
    </cfRule>
  </conditionalFormatting>
  <conditionalFormatting sqref="A517">
    <cfRule type="expression" dxfId="1588" priority="1119" stopIfTrue="1">
      <formula>O517="*OBSERVAÇÃO"</formula>
    </cfRule>
  </conditionalFormatting>
  <conditionalFormatting sqref="A517">
    <cfRule type="expression" dxfId="1587" priority="1115" stopIfTrue="1">
      <formula>A517=""</formula>
    </cfRule>
    <cfRule type="expression" dxfId="1586" priority="1116" stopIfTrue="1">
      <formula>F517=""</formula>
    </cfRule>
    <cfRule type="expression" dxfId="1585" priority="1117" stopIfTrue="1">
      <formula>AND(F517&lt;&gt;"",S517&lt;&gt;"")</formula>
    </cfRule>
    <cfRule type="expression" dxfId="1584" priority="1118" stopIfTrue="1">
      <formula>F517&lt;&gt;""</formula>
    </cfRule>
  </conditionalFormatting>
  <conditionalFormatting sqref="A517">
    <cfRule type="expression" dxfId="1583" priority="1114" stopIfTrue="1">
      <formula>O517="*CANCELADO"</formula>
    </cfRule>
  </conditionalFormatting>
  <conditionalFormatting sqref="A517">
    <cfRule type="expression" dxfId="1582" priority="1110" stopIfTrue="1">
      <formula>A517=""</formula>
    </cfRule>
    <cfRule type="expression" dxfId="1581" priority="1111" stopIfTrue="1">
      <formula>F517=""</formula>
    </cfRule>
    <cfRule type="expression" dxfId="1580" priority="1112" stopIfTrue="1">
      <formula>AND(F517&lt;&gt;"",S517&lt;&gt;"")</formula>
    </cfRule>
    <cfRule type="expression" dxfId="1579" priority="1113" stopIfTrue="1">
      <formula>F517&lt;&gt;""</formula>
    </cfRule>
  </conditionalFormatting>
  <conditionalFormatting sqref="A517">
    <cfRule type="expression" dxfId="1578" priority="1109" stopIfTrue="1">
      <formula>O517="*OBSERVAÇÃO"</formula>
    </cfRule>
  </conditionalFormatting>
  <conditionalFormatting sqref="A517">
    <cfRule type="expression" dxfId="1577" priority="1108" stopIfTrue="1">
      <formula>AND(F517&lt;&gt;"",S517&lt;&gt;"",Y517&lt;&gt;"")</formula>
    </cfRule>
  </conditionalFormatting>
  <conditionalFormatting sqref="A517">
    <cfRule type="expression" dxfId="1576" priority="1104" stopIfTrue="1">
      <formula>A517=""</formula>
    </cfRule>
    <cfRule type="expression" dxfId="1575" priority="1105" stopIfTrue="1">
      <formula>F517=""</formula>
    </cfRule>
    <cfRule type="expression" dxfId="1574" priority="1106" stopIfTrue="1">
      <formula>AND(F517&lt;&gt;"",S517&lt;&gt;"")</formula>
    </cfRule>
    <cfRule type="expression" dxfId="1573" priority="1107" stopIfTrue="1">
      <formula>F517&lt;&gt;""</formula>
    </cfRule>
  </conditionalFormatting>
  <conditionalFormatting sqref="A517">
    <cfRule type="expression" dxfId="1572" priority="1103" stopIfTrue="1">
      <formula>O517="*CANCELADO"</formula>
    </cfRule>
  </conditionalFormatting>
  <conditionalFormatting sqref="A517">
    <cfRule type="expression" dxfId="1571" priority="1099" stopIfTrue="1">
      <formula>A517=""</formula>
    </cfRule>
    <cfRule type="expression" dxfId="1570" priority="1100" stopIfTrue="1">
      <formula>F517=""</formula>
    </cfRule>
    <cfRule type="expression" dxfId="1569" priority="1101" stopIfTrue="1">
      <formula>AND(F517&lt;&gt;"",S517&lt;&gt;"")</formula>
    </cfRule>
    <cfRule type="expression" dxfId="1568" priority="1102" stopIfTrue="1">
      <formula>F517&lt;&gt;""</formula>
    </cfRule>
  </conditionalFormatting>
  <conditionalFormatting sqref="A517">
    <cfRule type="expression" dxfId="1567" priority="1098" stopIfTrue="1">
      <formula>O517="*OBSERVAÇÃO"</formula>
    </cfRule>
  </conditionalFormatting>
  <conditionalFormatting sqref="A517">
    <cfRule type="expression" dxfId="1566" priority="1094" stopIfTrue="1">
      <formula>A517=""</formula>
    </cfRule>
    <cfRule type="expression" dxfId="1565" priority="1095" stopIfTrue="1">
      <formula>F517=""</formula>
    </cfRule>
    <cfRule type="expression" dxfId="1564" priority="1096" stopIfTrue="1">
      <formula>AND(F517&lt;&gt;"",S517&lt;&gt;"")</formula>
    </cfRule>
    <cfRule type="expression" dxfId="1563" priority="1097" stopIfTrue="1">
      <formula>F517&lt;&gt;""</formula>
    </cfRule>
  </conditionalFormatting>
  <conditionalFormatting sqref="A517">
    <cfRule type="expression" dxfId="1562" priority="1093" stopIfTrue="1">
      <formula>O517="*CANCELADO"</formula>
    </cfRule>
  </conditionalFormatting>
  <conditionalFormatting sqref="A517">
    <cfRule type="expression" dxfId="1561" priority="1092" stopIfTrue="1">
      <formula>O517="*OBSERVAÇÃO"</formula>
    </cfRule>
  </conditionalFormatting>
  <conditionalFormatting sqref="A517">
    <cfRule type="expression" dxfId="1560" priority="1091" stopIfTrue="1">
      <formula>AND(F517&lt;&gt;"",S517&lt;&gt;"",Y517&lt;&gt;"")</formula>
    </cfRule>
  </conditionalFormatting>
  <conditionalFormatting sqref="A844">
    <cfRule type="expression" dxfId="1559" priority="1076" stopIfTrue="1">
      <formula>A844=""</formula>
    </cfRule>
    <cfRule type="expression" dxfId="1558" priority="1077" stopIfTrue="1">
      <formula>F844=""</formula>
    </cfRule>
    <cfRule type="expression" dxfId="1557" priority="1078" stopIfTrue="1">
      <formula>AND(F844&lt;&gt;"",S844&lt;&gt;"")</formula>
    </cfRule>
    <cfRule type="expression" dxfId="1556" priority="1079" stopIfTrue="1">
      <formula>F844&lt;&gt;""</formula>
    </cfRule>
  </conditionalFormatting>
  <conditionalFormatting sqref="A844">
    <cfRule type="expression" dxfId="1555" priority="1075" stopIfTrue="1">
      <formula>O844="*CANCELADO"</formula>
    </cfRule>
  </conditionalFormatting>
  <conditionalFormatting sqref="AA844">
    <cfRule type="expression" dxfId="1554" priority="1073" stopIfTrue="1">
      <formula>O844="*CANCELADO"</formula>
    </cfRule>
    <cfRule type="expression" dxfId="1553" priority="1074" stopIfTrue="1">
      <formula>O844="*OBSERVAÇÃO"</formula>
    </cfRule>
  </conditionalFormatting>
  <conditionalFormatting sqref="N844">
    <cfRule type="cellIs" dxfId="1552" priority="1070" stopIfTrue="1" operator="equal">
      <formula>"Código não cadastrado"</formula>
    </cfRule>
  </conditionalFormatting>
  <conditionalFormatting sqref="A844">
    <cfRule type="expression" dxfId="1551" priority="1066" stopIfTrue="1">
      <formula>A844=""</formula>
    </cfRule>
    <cfRule type="expression" dxfId="1550" priority="1067" stopIfTrue="1">
      <formula>F844=""</formula>
    </cfRule>
    <cfRule type="expression" dxfId="1549" priority="1068" stopIfTrue="1">
      <formula>AND(F844&lt;&gt;"",S844&lt;&gt;"")</formula>
    </cfRule>
    <cfRule type="expression" dxfId="1548" priority="1069" stopIfTrue="1">
      <formula>F844&lt;&gt;""</formula>
    </cfRule>
  </conditionalFormatting>
  <conditionalFormatting sqref="A844">
    <cfRule type="expression" dxfId="1547" priority="1065" stopIfTrue="1">
      <formula>O844="*OBSERVAÇÃO"</formula>
    </cfRule>
  </conditionalFormatting>
  <conditionalFormatting sqref="A844">
    <cfRule type="expression" dxfId="1546" priority="1063" stopIfTrue="1">
      <formula>AND(F844&lt;&gt;"",S844&lt;&gt;"",Y844&lt;&gt;"")</formula>
    </cfRule>
  </conditionalFormatting>
  <conditionalFormatting sqref="F844">
    <cfRule type="expression" dxfId="1545" priority="1056" stopIfTrue="1">
      <formula>O844="*OBSERVAÇÃO"</formula>
    </cfRule>
    <cfRule type="expression" dxfId="1544" priority="1057" stopIfTrue="1">
      <formula>O844="*CANCELADO"</formula>
    </cfRule>
    <cfRule type="expression" priority="1058" stopIfTrue="1">
      <formula>A844=""</formula>
    </cfRule>
    <cfRule type="expression" dxfId="1543" priority="1059" stopIfTrue="1">
      <formula>F844=""</formula>
    </cfRule>
    <cfRule type="expression" dxfId="1542" priority="1060" stopIfTrue="1">
      <formula>AND(F844&lt;&gt;"",S844&lt;&gt;"",Y844&lt;&gt;"")</formula>
    </cfRule>
    <cfRule type="expression" dxfId="1541" priority="1061" stopIfTrue="1">
      <formula>AND(F844&lt;&gt;"",S844&lt;&gt;"")</formula>
    </cfRule>
    <cfRule type="expression" dxfId="1540" priority="1062" stopIfTrue="1">
      <formula>F844&lt;&gt;""</formula>
    </cfRule>
  </conditionalFormatting>
  <conditionalFormatting sqref="A844">
    <cfRule type="expression" dxfId="1539" priority="1052" stopIfTrue="1">
      <formula>A844=""</formula>
    </cfRule>
    <cfRule type="expression" dxfId="1538" priority="1053" stopIfTrue="1">
      <formula>F844=""</formula>
    </cfRule>
    <cfRule type="expression" dxfId="1537" priority="1054" stopIfTrue="1">
      <formula>AND(F844&lt;&gt;"",S844&lt;&gt;"")</formula>
    </cfRule>
    <cfRule type="expression" dxfId="1536" priority="1055" stopIfTrue="1">
      <formula>F844&lt;&gt;""</formula>
    </cfRule>
  </conditionalFormatting>
  <conditionalFormatting sqref="A844">
    <cfRule type="expression" dxfId="1535" priority="1051" stopIfTrue="1">
      <formula>O844="*CANCELADO"</formula>
    </cfRule>
  </conditionalFormatting>
  <conditionalFormatting sqref="A844">
    <cfRule type="expression" dxfId="1534" priority="1047" stopIfTrue="1">
      <formula>A844=""</formula>
    </cfRule>
    <cfRule type="expression" dxfId="1533" priority="1048" stopIfTrue="1">
      <formula>F844=""</formula>
    </cfRule>
    <cfRule type="expression" dxfId="1532" priority="1049" stopIfTrue="1">
      <formula>AND(F844&lt;&gt;"",S844&lt;&gt;"")</formula>
    </cfRule>
    <cfRule type="expression" dxfId="1531" priority="1050" stopIfTrue="1">
      <formula>F844&lt;&gt;""</formula>
    </cfRule>
  </conditionalFormatting>
  <conditionalFormatting sqref="A844">
    <cfRule type="expression" dxfId="1530" priority="1046" stopIfTrue="1">
      <formula>O844="*OBSERVAÇÃO"</formula>
    </cfRule>
  </conditionalFormatting>
  <conditionalFormatting sqref="A844">
    <cfRule type="expression" dxfId="1529" priority="1045" stopIfTrue="1">
      <formula>AND(F844&lt;&gt;"",S844&lt;&gt;"",Y844&lt;&gt;"")</formula>
    </cfRule>
  </conditionalFormatting>
  <conditionalFormatting sqref="A844">
    <cfRule type="expression" dxfId="1528" priority="1041" stopIfTrue="1">
      <formula>A844=""</formula>
    </cfRule>
    <cfRule type="expression" dxfId="1527" priority="1042" stopIfTrue="1">
      <formula>F844=""</formula>
    </cfRule>
    <cfRule type="expression" dxfId="1526" priority="1043" stopIfTrue="1">
      <formula>AND(F844&lt;&gt;"",S844&lt;&gt;"")</formula>
    </cfRule>
    <cfRule type="expression" dxfId="1525" priority="1044" stopIfTrue="1">
      <formula>F844&lt;&gt;""</formula>
    </cfRule>
  </conditionalFormatting>
  <conditionalFormatting sqref="A844">
    <cfRule type="expression" dxfId="1524" priority="1040" stopIfTrue="1">
      <formula>O844="*CANCELADO"</formula>
    </cfRule>
  </conditionalFormatting>
  <conditionalFormatting sqref="A844">
    <cfRule type="expression" dxfId="1523" priority="1036" stopIfTrue="1">
      <formula>A844=""</formula>
    </cfRule>
    <cfRule type="expression" dxfId="1522" priority="1037" stopIfTrue="1">
      <formula>F844=""</formula>
    </cfRule>
    <cfRule type="expression" dxfId="1521" priority="1038" stopIfTrue="1">
      <formula>AND(F844&lt;&gt;"",S844&lt;&gt;"")</formula>
    </cfRule>
    <cfRule type="expression" dxfId="1520" priority="1039" stopIfTrue="1">
      <formula>F844&lt;&gt;""</formula>
    </cfRule>
  </conditionalFormatting>
  <conditionalFormatting sqref="A844">
    <cfRule type="expression" dxfId="1519" priority="1035" stopIfTrue="1">
      <formula>O844="*OBSERVAÇÃO"</formula>
    </cfRule>
  </conditionalFormatting>
  <conditionalFormatting sqref="A844">
    <cfRule type="expression" dxfId="1518" priority="1034" stopIfTrue="1">
      <formula>AND(F844&lt;&gt;"",S844&lt;&gt;"",Y844&lt;&gt;"")</formula>
    </cfRule>
  </conditionalFormatting>
  <conditionalFormatting sqref="A844">
    <cfRule type="expression" dxfId="1517" priority="1030" stopIfTrue="1">
      <formula>A844=""</formula>
    </cfRule>
    <cfRule type="expression" dxfId="1516" priority="1031" stopIfTrue="1">
      <formula>F844=""</formula>
    </cfRule>
    <cfRule type="expression" dxfId="1515" priority="1032" stopIfTrue="1">
      <formula>AND(F844&lt;&gt;"",S844&lt;&gt;"")</formula>
    </cfRule>
    <cfRule type="expression" dxfId="1514" priority="1033" stopIfTrue="1">
      <formula>F844&lt;&gt;""</formula>
    </cfRule>
  </conditionalFormatting>
  <conditionalFormatting sqref="A844">
    <cfRule type="expression" dxfId="1513" priority="1029" stopIfTrue="1">
      <formula>O844="*CANCELADO"</formula>
    </cfRule>
  </conditionalFormatting>
  <conditionalFormatting sqref="A844">
    <cfRule type="expression" dxfId="1512" priority="1025" stopIfTrue="1">
      <formula>A844=""</formula>
    </cfRule>
    <cfRule type="expression" dxfId="1511" priority="1026" stopIfTrue="1">
      <formula>F844=""</formula>
    </cfRule>
    <cfRule type="expression" dxfId="1510" priority="1027" stopIfTrue="1">
      <formula>AND(F844&lt;&gt;"",S844&lt;&gt;"")</formula>
    </cfRule>
    <cfRule type="expression" dxfId="1509" priority="1028" stopIfTrue="1">
      <formula>F844&lt;&gt;""</formula>
    </cfRule>
  </conditionalFormatting>
  <conditionalFormatting sqref="A844">
    <cfRule type="expression" dxfId="1508" priority="1024" stopIfTrue="1">
      <formula>O844="*OBSERVAÇÃO"</formula>
    </cfRule>
  </conditionalFormatting>
  <conditionalFormatting sqref="A844">
    <cfRule type="expression" dxfId="1507" priority="1020" stopIfTrue="1">
      <formula>A844=""</formula>
    </cfRule>
    <cfRule type="expression" dxfId="1506" priority="1021" stopIfTrue="1">
      <formula>F844=""</formula>
    </cfRule>
    <cfRule type="expression" dxfId="1505" priority="1022" stopIfTrue="1">
      <formula>AND(F844&lt;&gt;"",S844&lt;&gt;"")</formula>
    </cfRule>
    <cfRule type="expression" dxfId="1504" priority="1023" stopIfTrue="1">
      <formula>F844&lt;&gt;""</formula>
    </cfRule>
  </conditionalFormatting>
  <conditionalFormatting sqref="A844">
    <cfRule type="expression" dxfId="1503" priority="1019" stopIfTrue="1">
      <formula>O844="*CANCELADO"</formula>
    </cfRule>
  </conditionalFormatting>
  <conditionalFormatting sqref="A844">
    <cfRule type="expression" dxfId="1502" priority="1018" stopIfTrue="1">
      <formula>O844="*OBSERVAÇÃO"</formula>
    </cfRule>
  </conditionalFormatting>
  <conditionalFormatting sqref="A844">
    <cfRule type="expression" dxfId="1501" priority="1017" stopIfTrue="1">
      <formula>AND(F844&lt;&gt;"",S844&lt;&gt;"",Y844&lt;&gt;"")</formula>
    </cfRule>
  </conditionalFormatting>
  <conditionalFormatting sqref="A844">
    <cfRule type="expression" dxfId="1500" priority="1013" stopIfTrue="1">
      <formula>A844=""</formula>
    </cfRule>
    <cfRule type="expression" dxfId="1499" priority="1014" stopIfTrue="1">
      <formula>F844=""</formula>
    </cfRule>
    <cfRule type="expression" dxfId="1498" priority="1015" stopIfTrue="1">
      <formula>AND(F844&lt;&gt;"",S844&lt;&gt;"")</formula>
    </cfRule>
    <cfRule type="expression" dxfId="1497" priority="1016" stopIfTrue="1">
      <formula>F844&lt;&gt;""</formula>
    </cfRule>
  </conditionalFormatting>
  <conditionalFormatting sqref="A844">
    <cfRule type="expression" dxfId="1496" priority="1012" stopIfTrue="1">
      <formula>O844="*CANCELADO"</formula>
    </cfRule>
  </conditionalFormatting>
  <conditionalFormatting sqref="A844">
    <cfRule type="expression" dxfId="1495" priority="1008" stopIfTrue="1">
      <formula>A844=""</formula>
    </cfRule>
    <cfRule type="expression" dxfId="1494" priority="1009" stopIfTrue="1">
      <formula>F844=""</formula>
    </cfRule>
    <cfRule type="expression" dxfId="1493" priority="1010" stopIfTrue="1">
      <formula>AND(F844&lt;&gt;"",S844&lt;&gt;"")</formula>
    </cfRule>
    <cfRule type="expression" dxfId="1492" priority="1011" stopIfTrue="1">
      <formula>F844&lt;&gt;""</formula>
    </cfRule>
  </conditionalFormatting>
  <conditionalFormatting sqref="A844">
    <cfRule type="expression" dxfId="1491" priority="1007" stopIfTrue="1">
      <formula>O844="*OBSERVAÇÃO"</formula>
    </cfRule>
  </conditionalFormatting>
  <conditionalFormatting sqref="A844">
    <cfRule type="expression" dxfId="1490" priority="1006" stopIfTrue="1">
      <formula>AND(F844&lt;&gt;"",S844&lt;&gt;"",Y844&lt;&gt;"")</formula>
    </cfRule>
  </conditionalFormatting>
  <conditionalFormatting sqref="A844">
    <cfRule type="expression" dxfId="1489" priority="1002" stopIfTrue="1">
      <formula>A844=""</formula>
    </cfRule>
    <cfRule type="expression" dxfId="1488" priority="1003" stopIfTrue="1">
      <formula>F844=""</formula>
    </cfRule>
    <cfRule type="expression" dxfId="1487" priority="1004" stopIfTrue="1">
      <formula>AND(F844&lt;&gt;"",S844&lt;&gt;"")</formula>
    </cfRule>
    <cfRule type="expression" dxfId="1486" priority="1005" stopIfTrue="1">
      <formula>F844&lt;&gt;""</formula>
    </cfRule>
  </conditionalFormatting>
  <conditionalFormatting sqref="A844">
    <cfRule type="expression" dxfId="1485" priority="1001" stopIfTrue="1">
      <formula>O844="*CANCELADO"</formula>
    </cfRule>
  </conditionalFormatting>
  <conditionalFormatting sqref="A844">
    <cfRule type="expression" dxfId="1484" priority="997" stopIfTrue="1">
      <formula>A844=""</formula>
    </cfRule>
    <cfRule type="expression" dxfId="1483" priority="998" stopIfTrue="1">
      <formula>F844=""</formula>
    </cfRule>
    <cfRule type="expression" dxfId="1482" priority="999" stopIfTrue="1">
      <formula>AND(F844&lt;&gt;"",S844&lt;&gt;"")</formula>
    </cfRule>
    <cfRule type="expression" dxfId="1481" priority="1000" stopIfTrue="1">
      <formula>F844&lt;&gt;""</formula>
    </cfRule>
  </conditionalFormatting>
  <conditionalFormatting sqref="A844">
    <cfRule type="expression" dxfId="1480" priority="996" stopIfTrue="1">
      <formula>O844="*OBSERVAÇÃO"</formula>
    </cfRule>
  </conditionalFormatting>
  <conditionalFormatting sqref="A844">
    <cfRule type="expression" dxfId="1479" priority="995" stopIfTrue="1">
      <formula>AND(F844&lt;&gt;"",S844&lt;&gt;"",Y844&lt;&gt;"")</formula>
    </cfRule>
  </conditionalFormatting>
  <conditionalFormatting sqref="A844">
    <cfRule type="expression" dxfId="1478" priority="991" stopIfTrue="1">
      <formula>A844=""</formula>
    </cfRule>
    <cfRule type="expression" dxfId="1477" priority="992" stopIfTrue="1">
      <formula>F844=""</formula>
    </cfRule>
    <cfRule type="expression" dxfId="1476" priority="993" stopIfTrue="1">
      <formula>AND(F844&lt;&gt;"",S844&lt;&gt;"")</formula>
    </cfRule>
    <cfRule type="expression" dxfId="1475" priority="994" stopIfTrue="1">
      <formula>F844&lt;&gt;""</formula>
    </cfRule>
  </conditionalFormatting>
  <conditionalFormatting sqref="A844">
    <cfRule type="expression" dxfId="1474" priority="990" stopIfTrue="1">
      <formula>O844="*CANCELADO"</formula>
    </cfRule>
  </conditionalFormatting>
  <conditionalFormatting sqref="A844">
    <cfRule type="expression" dxfId="1473" priority="986" stopIfTrue="1">
      <formula>A844=""</formula>
    </cfRule>
    <cfRule type="expression" dxfId="1472" priority="987" stopIfTrue="1">
      <formula>F844=""</formula>
    </cfRule>
    <cfRule type="expression" dxfId="1471" priority="988" stopIfTrue="1">
      <formula>AND(F844&lt;&gt;"",S844&lt;&gt;"")</formula>
    </cfRule>
    <cfRule type="expression" dxfId="1470" priority="989" stopIfTrue="1">
      <formula>F844&lt;&gt;""</formula>
    </cfRule>
  </conditionalFormatting>
  <conditionalFormatting sqref="A844">
    <cfRule type="expression" dxfId="1469" priority="985" stopIfTrue="1">
      <formula>O844="*OBSERVAÇÃO"</formula>
    </cfRule>
  </conditionalFormatting>
  <conditionalFormatting sqref="A844">
    <cfRule type="expression" dxfId="1468" priority="984" stopIfTrue="1">
      <formula>AND(F844&lt;&gt;"",S844&lt;&gt;"",Y844&lt;&gt;"")</formula>
    </cfRule>
  </conditionalFormatting>
  <conditionalFormatting sqref="A844">
    <cfRule type="expression" dxfId="1467" priority="980" stopIfTrue="1">
      <formula>A844=""</formula>
    </cfRule>
    <cfRule type="expression" dxfId="1466" priority="981" stopIfTrue="1">
      <formula>F844=""</formula>
    </cfRule>
    <cfRule type="expression" dxfId="1465" priority="982" stopIfTrue="1">
      <formula>AND(F844&lt;&gt;"",S844&lt;&gt;"")</formula>
    </cfRule>
    <cfRule type="expression" dxfId="1464" priority="983" stopIfTrue="1">
      <formula>F844&lt;&gt;""</formula>
    </cfRule>
  </conditionalFormatting>
  <conditionalFormatting sqref="A844">
    <cfRule type="expression" dxfId="1463" priority="979" stopIfTrue="1">
      <formula>O844="*CANCELADO"</formula>
    </cfRule>
  </conditionalFormatting>
  <conditionalFormatting sqref="A844">
    <cfRule type="expression" dxfId="1462" priority="975" stopIfTrue="1">
      <formula>A844=""</formula>
    </cfRule>
    <cfRule type="expression" dxfId="1461" priority="976" stopIfTrue="1">
      <formula>F844=""</formula>
    </cfRule>
    <cfRule type="expression" dxfId="1460" priority="977" stopIfTrue="1">
      <formula>AND(F844&lt;&gt;"",S844&lt;&gt;"")</formula>
    </cfRule>
    <cfRule type="expression" dxfId="1459" priority="978" stopIfTrue="1">
      <formula>F844&lt;&gt;""</formula>
    </cfRule>
  </conditionalFormatting>
  <conditionalFormatting sqref="A844">
    <cfRule type="expression" dxfId="1458" priority="974" stopIfTrue="1">
      <formula>O844="*OBSERVAÇÃO"</formula>
    </cfRule>
  </conditionalFormatting>
  <conditionalFormatting sqref="A844">
    <cfRule type="expression" dxfId="1457" priority="973" stopIfTrue="1">
      <formula>AND(F844&lt;&gt;"",S844&lt;&gt;"",Y844&lt;&gt;"")</formula>
    </cfRule>
  </conditionalFormatting>
  <conditionalFormatting sqref="A844">
    <cfRule type="expression" dxfId="1456" priority="969" stopIfTrue="1">
      <formula>A844=""</formula>
    </cfRule>
    <cfRule type="expression" dxfId="1455" priority="970" stopIfTrue="1">
      <formula>F844=""</formula>
    </cfRule>
    <cfRule type="expression" dxfId="1454" priority="971" stopIfTrue="1">
      <formula>AND(F844&lt;&gt;"",S844&lt;&gt;"")</formula>
    </cfRule>
    <cfRule type="expression" dxfId="1453" priority="972" stopIfTrue="1">
      <formula>F844&lt;&gt;""</formula>
    </cfRule>
  </conditionalFormatting>
  <conditionalFormatting sqref="A844">
    <cfRule type="expression" dxfId="1452" priority="968" stopIfTrue="1">
      <formula>O844="*CANCELADO"</formula>
    </cfRule>
  </conditionalFormatting>
  <conditionalFormatting sqref="A844">
    <cfRule type="expression" dxfId="1451" priority="964" stopIfTrue="1">
      <formula>A844=""</formula>
    </cfRule>
    <cfRule type="expression" dxfId="1450" priority="965" stopIfTrue="1">
      <formula>F844=""</formula>
    </cfRule>
    <cfRule type="expression" dxfId="1449" priority="966" stopIfTrue="1">
      <formula>AND(F844&lt;&gt;"",S844&lt;&gt;"")</formula>
    </cfRule>
    <cfRule type="expression" dxfId="1448" priority="967" stopIfTrue="1">
      <formula>F844&lt;&gt;""</formula>
    </cfRule>
  </conditionalFormatting>
  <conditionalFormatting sqref="A844">
    <cfRule type="expression" dxfId="1447" priority="963" stopIfTrue="1">
      <formula>O844="*OBSERVAÇÃO"</formula>
    </cfRule>
  </conditionalFormatting>
  <conditionalFormatting sqref="A844">
    <cfRule type="expression" dxfId="1446" priority="959" stopIfTrue="1">
      <formula>A844=""</formula>
    </cfRule>
    <cfRule type="expression" dxfId="1445" priority="960" stopIfTrue="1">
      <formula>F844=""</formula>
    </cfRule>
    <cfRule type="expression" dxfId="1444" priority="961" stopIfTrue="1">
      <formula>AND(F844&lt;&gt;"",S844&lt;&gt;"")</formula>
    </cfRule>
    <cfRule type="expression" dxfId="1443" priority="962" stopIfTrue="1">
      <formula>F844&lt;&gt;""</formula>
    </cfRule>
  </conditionalFormatting>
  <conditionalFormatting sqref="A844">
    <cfRule type="expression" dxfId="1442" priority="958" stopIfTrue="1">
      <formula>O844="*CANCELADO"</formula>
    </cfRule>
  </conditionalFormatting>
  <conditionalFormatting sqref="A844">
    <cfRule type="expression" dxfId="1441" priority="957" stopIfTrue="1">
      <formula>O844="*OBSERVAÇÃO"</formula>
    </cfRule>
  </conditionalFormatting>
  <conditionalFormatting sqref="A844">
    <cfRule type="expression" dxfId="1440" priority="956" stopIfTrue="1">
      <formula>AND(F844&lt;&gt;"",S844&lt;&gt;"",Y844&lt;&gt;"")</formula>
    </cfRule>
  </conditionalFormatting>
  <conditionalFormatting sqref="AA563">
    <cfRule type="expression" dxfId="1439" priority="954" stopIfTrue="1">
      <formula>O563="*CANCELADO"</formula>
    </cfRule>
    <cfRule type="expression" dxfId="1438" priority="955" stopIfTrue="1">
      <formula>O563="*OBSERVAÇÃO"</formula>
    </cfRule>
  </conditionalFormatting>
  <conditionalFormatting sqref="N563">
    <cfRule type="cellIs" dxfId="1437" priority="951" stopIfTrue="1" operator="equal">
      <formula>"Código não cadastrado"</formula>
    </cfRule>
  </conditionalFormatting>
  <conditionalFormatting sqref="F563">
    <cfRule type="expression" dxfId="1436" priority="943" stopIfTrue="1">
      <formula>O563="*OBSERVAÇÃO"</formula>
    </cfRule>
    <cfRule type="expression" dxfId="1435" priority="944" stopIfTrue="1">
      <formula>O563="*CANCELADO"</formula>
    </cfRule>
    <cfRule type="expression" priority="945" stopIfTrue="1">
      <formula>A563=""</formula>
    </cfRule>
    <cfRule type="expression" dxfId="1434" priority="946" stopIfTrue="1">
      <formula>F563=""</formula>
    </cfRule>
    <cfRule type="expression" dxfId="1433" priority="947" stopIfTrue="1">
      <formula>AND(F563&lt;&gt;"",S563&lt;&gt;"",Y563&lt;&gt;"")</formula>
    </cfRule>
    <cfRule type="expression" dxfId="1432" priority="948" stopIfTrue="1">
      <formula>AND(F563&lt;&gt;"",S563&lt;&gt;"")</formula>
    </cfRule>
    <cfRule type="expression" dxfId="1431" priority="949" stopIfTrue="1">
      <formula>F563&lt;&gt;""</formula>
    </cfRule>
  </conditionalFormatting>
  <conditionalFormatting sqref="A563">
    <cfRule type="expression" dxfId="1430" priority="939" stopIfTrue="1">
      <formula>A563=""</formula>
    </cfRule>
    <cfRule type="expression" dxfId="1429" priority="940" stopIfTrue="1">
      <formula>F563=""</formula>
    </cfRule>
    <cfRule type="expression" dxfId="1428" priority="941" stopIfTrue="1">
      <formula>AND(F563&lt;&gt;"",S563&lt;&gt;"")</formula>
    </cfRule>
    <cfRule type="expression" dxfId="1427" priority="942" stopIfTrue="1">
      <formula>F563&lt;&gt;""</formula>
    </cfRule>
  </conditionalFormatting>
  <conditionalFormatting sqref="A563">
    <cfRule type="expression" dxfId="1426" priority="935" stopIfTrue="1">
      <formula>A563=""</formula>
    </cfRule>
    <cfRule type="expression" dxfId="1425" priority="936" stopIfTrue="1">
      <formula>F563=""</formula>
    </cfRule>
    <cfRule type="expression" dxfId="1424" priority="937" stopIfTrue="1">
      <formula>AND(F563&lt;&gt;"",S563&lt;&gt;"")</formula>
    </cfRule>
    <cfRule type="expression" dxfId="1423" priority="938" stopIfTrue="1">
      <formula>F563&lt;&gt;""</formula>
    </cfRule>
  </conditionalFormatting>
  <conditionalFormatting sqref="A563">
    <cfRule type="expression" dxfId="1422" priority="934" stopIfTrue="1">
      <formula>AND(F563&lt;&gt;"",S563&lt;&gt;"",Y563&lt;&gt;"")</formula>
    </cfRule>
  </conditionalFormatting>
  <conditionalFormatting sqref="A563">
    <cfRule type="expression" dxfId="1421" priority="933" stopIfTrue="1">
      <formula>O563="*CANCELADO"</formula>
    </cfRule>
  </conditionalFormatting>
  <conditionalFormatting sqref="A563">
    <cfRule type="expression" dxfId="1420" priority="932" stopIfTrue="1">
      <formula>O563="*OBSERVAÇÃO"</formula>
    </cfRule>
  </conditionalFormatting>
  <conditionalFormatting sqref="A563">
    <cfRule type="expression" dxfId="1419" priority="931" stopIfTrue="1">
      <formula>O563="*CANCELADO"</formula>
    </cfRule>
  </conditionalFormatting>
  <conditionalFormatting sqref="A563">
    <cfRule type="expression" dxfId="1418" priority="930" stopIfTrue="1">
      <formula>O563="*OBSERVAÇÃO"</formula>
    </cfRule>
  </conditionalFormatting>
  <conditionalFormatting sqref="A563">
    <cfRule type="expression" dxfId="1417" priority="929" stopIfTrue="1">
      <formula>O563="*CANCELADO"</formula>
    </cfRule>
  </conditionalFormatting>
  <conditionalFormatting sqref="A563">
    <cfRule type="expression" dxfId="1416" priority="928" stopIfTrue="1">
      <formula>O563="*OBSERVAÇÃO"</formula>
    </cfRule>
  </conditionalFormatting>
  <conditionalFormatting sqref="A563">
    <cfRule type="expression" dxfId="1415" priority="924" stopIfTrue="1">
      <formula>A563=""</formula>
    </cfRule>
    <cfRule type="expression" dxfId="1414" priority="925" stopIfTrue="1">
      <formula>F563=""</formula>
    </cfRule>
    <cfRule type="expression" dxfId="1413" priority="926" stopIfTrue="1">
      <formula>AND(F563&lt;&gt;"",S563&lt;&gt;"")</formula>
    </cfRule>
    <cfRule type="expression" dxfId="1412" priority="927" stopIfTrue="1">
      <formula>F563&lt;&gt;""</formula>
    </cfRule>
  </conditionalFormatting>
  <conditionalFormatting sqref="A563">
    <cfRule type="expression" dxfId="1411" priority="923" stopIfTrue="1">
      <formula>O563="*CANCELADO"</formula>
    </cfRule>
  </conditionalFormatting>
  <conditionalFormatting sqref="A563">
    <cfRule type="expression" dxfId="1410" priority="919" stopIfTrue="1">
      <formula>A563=""</formula>
    </cfRule>
    <cfRule type="expression" dxfId="1409" priority="920" stopIfTrue="1">
      <formula>F563=""</formula>
    </cfRule>
    <cfRule type="expression" dxfId="1408" priority="921" stopIfTrue="1">
      <formula>AND(F563&lt;&gt;"",S563&lt;&gt;"")</formula>
    </cfRule>
    <cfRule type="expression" dxfId="1407" priority="922" stopIfTrue="1">
      <formula>F563&lt;&gt;""</formula>
    </cfRule>
  </conditionalFormatting>
  <conditionalFormatting sqref="A563">
    <cfRule type="expression" dxfId="1406" priority="918" stopIfTrue="1">
      <formula>O563="*OBSERVAÇÃO"</formula>
    </cfRule>
  </conditionalFormatting>
  <conditionalFormatting sqref="A563">
    <cfRule type="expression" dxfId="1405" priority="917" stopIfTrue="1">
      <formula>AND(F563&lt;&gt;"",S563&lt;&gt;"",Y563&lt;&gt;"")</formula>
    </cfRule>
  </conditionalFormatting>
  <conditionalFormatting sqref="A563">
    <cfRule type="expression" dxfId="1404" priority="913" stopIfTrue="1">
      <formula>A563=""</formula>
    </cfRule>
    <cfRule type="expression" dxfId="1403" priority="914" stopIfTrue="1">
      <formula>F563=""</formula>
    </cfRule>
    <cfRule type="expression" dxfId="1402" priority="915" stopIfTrue="1">
      <formula>AND(F563&lt;&gt;"",S563&lt;&gt;"")</formula>
    </cfRule>
    <cfRule type="expression" dxfId="1401" priority="916" stopIfTrue="1">
      <formula>F563&lt;&gt;""</formula>
    </cfRule>
  </conditionalFormatting>
  <conditionalFormatting sqref="A563">
    <cfRule type="expression" dxfId="1400" priority="912" stopIfTrue="1">
      <formula>O563="*CANCELADO"</formula>
    </cfRule>
  </conditionalFormatting>
  <conditionalFormatting sqref="A563">
    <cfRule type="expression" dxfId="1399" priority="908" stopIfTrue="1">
      <formula>A563=""</formula>
    </cfRule>
    <cfRule type="expression" dxfId="1398" priority="909" stopIfTrue="1">
      <formula>F563=""</formula>
    </cfRule>
    <cfRule type="expression" dxfId="1397" priority="910" stopIfTrue="1">
      <formula>AND(F563&lt;&gt;"",S563&lt;&gt;"")</formula>
    </cfRule>
    <cfRule type="expression" dxfId="1396" priority="911" stopIfTrue="1">
      <formula>F563&lt;&gt;""</formula>
    </cfRule>
  </conditionalFormatting>
  <conditionalFormatting sqref="A563">
    <cfRule type="expression" dxfId="1395" priority="907" stopIfTrue="1">
      <formula>O563="*OBSERVAÇÃO"</formula>
    </cfRule>
  </conditionalFormatting>
  <conditionalFormatting sqref="A563">
    <cfRule type="expression" dxfId="1394" priority="903" stopIfTrue="1">
      <formula>A563=""</formula>
    </cfRule>
    <cfRule type="expression" dxfId="1393" priority="904" stopIfTrue="1">
      <formula>F563=""</formula>
    </cfRule>
    <cfRule type="expression" dxfId="1392" priority="905" stopIfTrue="1">
      <formula>AND(F563&lt;&gt;"",S563&lt;&gt;"")</formula>
    </cfRule>
    <cfRule type="expression" dxfId="1391" priority="906" stopIfTrue="1">
      <formula>F563&lt;&gt;""</formula>
    </cfRule>
  </conditionalFormatting>
  <conditionalFormatting sqref="A563">
    <cfRule type="expression" dxfId="1390" priority="902" stopIfTrue="1">
      <formula>O563="*CANCELADO"</formula>
    </cfRule>
  </conditionalFormatting>
  <conditionalFormatting sqref="A563">
    <cfRule type="expression" dxfId="1389" priority="901" stopIfTrue="1">
      <formula>O563="*OBSERVAÇÃO"</formula>
    </cfRule>
  </conditionalFormatting>
  <conditionalFormatting sqref="A563">
    <cfRule type="expression" dxfId="1388" priority="900" stopIfTrue="1">
      <formula>AND(F563&lt;&gt;"",S563&lt;&gt;"",Y563&lt;&gt;"")</formula>
    </cfRule>
  </conditionalFormatting>
  <conditionalFormatting sqref="AA561">
    <cfRule type="expression" dxfId="1387" priority="898" stopIfTrue="1">
      <formula>O561="*CANCELADO"</formula>
    </cfRule>
    <cfRule type="expression" dxfId="1386" priority="899" stopIfTrue="1">
      <formula>O561="*OBSERVAÇÃO"</formula>
    </cfRule>
  </conditionalFormatting>
  <conditionalFormatting sqref="N561">
    <cfRule type="cellIs" dxfId="1385" priority="895" stopIfTrue="1" operator="equal">
      <formula>"Código não cadastrado"</formula>
    </cfRule>
  </conditionalFormatting>
  <conditionalFormatting sqref="F561">
    <cfRule type="expression" dxfId="1384" priority="887" stopIfTrue="1">
      <formula>O561="*OBSERVAÇÃO"</formula>
    </cfRule>
    <cfRule type="expression" dxfId="1383" priority="888" stopIfTrue="1">
      <formula>O561="*CANCELADO"</formula>
    </cfRule>
    <cfRule type="expression" priority="889" stopIfTrue="1">
      <formula>A561=""</formula>
    </cfRule>
    <cfRule type="expression" dxfId="1382" priority="890" stopIfTrue="1">
      <formula>F561=""</formula>
    </cfRule>
    <cfRule type="expression" dxfId="1381" priority="891" stopIfTrue="1">
      <formula>AND(F561&lt;&gt;"",S561&lt;&gt;"",Y561&lt;&gt;"")</formula>
    </cfRule>
    <cfRule type="expression" dxfId="1380" priority="892" stopIfTrue="1">
      <formula>AND(F561&lt;&gt;"",S561&lt;&gt;"")</formula>
    </cfRule>
    <cfRule type="expression" dxfId="1379" priority="893" stopIfTrue="1">
      <formula>F561&lt;&gt;""</formula>
    </cfRule>
  </conditionalFormatting>
  <conditionalFormatting sqref="A561">
    <cfRule type="expression" dxfId="1378" priority="883" stopIfTrue="1">
      <formula>A561=""</formula>
    </cfRule>
    <cfRule type="expression" dxfId="1377" priority="884" stopIfTrue="1">
      <formula>F561=""</formula>
    </cfRule>
    <cfRule type="expression" dxfId="1376" priority="885" stopIfTrue="1">
      <formula>AND(F561&lt;&gt;"",S561&lt;&gt;"")</formula>
    </cfRule>
    <cfRule type="expression" dxfId="1375" priority="886" stopIfTrue="1">
      <formula>F561&lt;&gt;""</formula>
    </cfRule>
  </conditionalFormatting>
  <conditionalFormatting sqref="A561">
    <cfRule type="expression" dxfId="1374" priority="879" stopIfTrue="1">
      <formula>A561=""</formula>
    </cfRule>
    <cfRule type="expression" dxfId="1373" priority="880" stopIfTrue="1">
      <formula>F561=""</formula>
    </cfRule>
    <cfRule type="expression" dxfId="1372" priority="881" stopIfTrue="1">
      <formula>AND(F561&lt;&gt;"",S561&lt;&gt;"")</formula>
    </cfRule>
    <cfRule type="expression" dxfId="1371" priority="882" stopIfTrue="1">
      <formula>F561&lt;&gt;""</formula>
    </cfRule>
  </conditionalFormatting>
  <conditionalFormatting sqref="A561">
    <cfRule type="expression" dxfId="1370" priority="878" stopIfTrue="1">
      <formula>AND(F561&lt;&gt;"",S561&lt;&gt;"",Y561&lt;&gt;"")</formula>
    </cfRule>
  </conditionalFormatting>
  <conditionalFormatting sqref="A561">
    <cfRule type="expression" dxfId="1369" priority="877" stopIfTrue="1">
      <formula>O561="*CANCELADO"</formula>
    </cfRule>
  </conditionalFormatting>
  <conditionalFormatting sqref="A561">
    <cfRule type="expression" dxfId="1368" priority="876" stopIfTrue="1">
      <formula>O561="*OBSERVAÇÃO"</formula>
    </cfRule>
  </conditionalFormatting>
  <conditionalFormatting sqref="A561">
    <cfRule type="expression" dxfId="1367" priority="875" stopIfTrue="1">
      <formula>O561="*CANCELADO"</formula>
    </cfRule>
  </conditionalFormatting>
  <conditionalFormatting sqref="A561">
    <cfRule type="expression" dxfId="1366" priority="874" stopIfTrue="1">
      <formula>O561="*OBSERVAÇÃO"</formula>
    </cfRule>
  </conditionalFormatting>
  <conditionalFormatting sqref="A561">
    <cfRule type="expression" dxfId="1365" priority="873" stopIfTrue="1">
      <formula>O561="*CANCELADO"</formula>
    </cfRule>
  </conditionalFormatting>
  <conditionalFormatting sqref="A561">
    <cfRule type="expression" dxfId="1364" priority="872" stopIfTrue="1">
      <formula>O561="*OBSERVAÇÃO"</formula>
    </cfRule>
  </conditionalFormatting>
  <conditionalFormatting sqref="A561">
    <cfRule type="expression" dxfId="1363" priority="868" stopIfTrue="1">
      <formula>A561=""</formula>
    </cfRule>
    <cfRule type="expression" dxfId="1362" priority="869" stopIfTrue="1">
      <formula>F561=""</formula>
    </cfRule>
    <cfRule type="expression" dxfId="1361" priority="870" stopIfTrue="1">
      <formula>AND(F561&lt;&gt;"",S561&lt;&gt;"")</formula>
    </cfRule>
    <cfRule type="expression" dxfId="1360" priority="871" stopIfTrue="1">
      <formula>F561&lt;&gt;""</formula>
    </cfRule>
  </conditionalFormatting>
  <conditionalFormatting sqref="A561">
    <cfRule type="expression" dxfId="1359" priority="867" stopIfTrue="1">
      <formula>O561="*CANCELADO"</formula>
    </cfRule>
  </conditionalFormatting>
  <conditionalFormatting sqref="A561">
    <cfRule type="expression" dxfId="1358" priority="863" stopIfTrue="1">
      <formula>A561=""</formula>
    </cfRule>
    <cfRule type="expression" dxfId="1357" priority="864" stopIfTrue="1">
      <formula>F561=""</formula>
    </cfRule>
    <cfRule type="expression" dxfId="1356" priority="865" stopIfTrue="1">
      <formula>AND(F561&lt;&gt;"",S561&lt;&gt;"")</formula>
    </cfRule>
    <cfRule type="expression" dxfId="1355" priority="866" stopIfTrue="1">
      <formula>F561&lt;&gt;""</formula>
    </cfRule>
  </conditionalFormatting>
  <conditionalFormatting sqref="A561">
    <cfRule type="expression" dxfId="1354" priority="862" stopIfTrue="1">
      <formula>O561="*OBSERVAÇÃO"</formula>
    </cfRule>
  </conditionalFormatting>
  <conditionalFormatting sqref="A561">
    <cfRule type="expression" dxfId="1353" priority="861" stopIfTrue="1">
      <formula>AND(F561&lt;&gt;"",S561&lt;&gt;"",Y561&lt;&gt;"")</formula>
    </cfRule>
  </conditionalFormatting>
  <conditionalFormatting sqref="A561">
    <cfRule type="expression" dxfId="1352" priority="857" stopIfTrue="1">
      <formula>A561=""</formula>
    </cfRule>
    <cfRule type="expression" dxfId="1351" priority="858" stopIfTrue="1">
      <formula>F561=""</formula>
    </cfRule>
    <cfRule type="expression" dxfId="1350" priority="859" stopIfTrue="1">
      <formula>AND(F561&lt;&gt;"",S561&lt;&gt;"")</formula>
    </cfRule>
    <cfRule type="expression" dxfId="1349" priority="860" stopIfTrue="1">
      <formula>F561&lt;&gt;""</formula>
    </cfRule>
  </conditionalFormatting>
  <conditionalFormatting sqref="A561">
    <cfRule type="expression" dxfId="1348" priority="856" stopIfTrue="1">
      <formula>O561="*CANCELADO"</formula>
    </cfRule>
  </conditionalFormatting>
  <conditionalFormatting sqref="A561">
    <cfRule type="expression" dxfId="1347" priority="852" stopIfTrue="1">
      <formula>A561=""</formula>
    </cfRule>
    <cfRule type="expression" dxfId="1346" priority="853" stopIfTrue="1">
      <formula>F561=""</formula>
    </cfRule>
    <cfRule type="expression" dxfId="1345" priority="854" stopIfTrue="1">
      <formula>AND(F561&lt;&gt;"",S561&lt;&gt;"")</formula>
    </cfRule>
    <cfRule type="expression" dxfId="1344" priority="855" stopIfTrue="1">
      <formula>F561&lt;&gt;""</formula>
    </cfRule>
  </conditionalFormatting>
  <conditionalFormatting sqref="A561">
    <cfRule type="expression" dxfId="1343" priority="851" stopIfTrue="1">
      <formula>O561="*OBSERVAÇÃO"</formula>
    </cfRule>
  </conditionalFormatting>
  <conditionalFormatting sqref="A561">
    <cfRule type="expression" dxfId="1342" priority="847" stopIfTrue="1">
      <formula>A561=""</formula>
    </cfRule>
    <cfRule type="expression" dxfId="1341" priority="848" stopIfTrue="1">
      <formula>F561=""</formula>
    </cfRule>
    <cfRule type="expression" dxfId="1340" priority="849" stopIfTrue="1">
      <formula>AND(F561&lt;&gt;"",S561&lt;&gt;"")</formula>
    </cfRule>
    <cfRule type="expression" dxfId="1339" priority="850" stopIfTrue="1">
      <formula>F561&lt;&gt;""</formula>
    </cfRule>
  </conditionalFormatting>
  <conditionalFormatting sqref="A561">
    <cfRule type="expression" dxfId="1338" priority="846" stopIfTrue="1">
      <formula>O561="*CANCELADO"</formula>
    </cfRule>
  </conditionalFormatting>
  <conditionalFormatting sqref="A561">
    <cfRule type="expression" dxfId="1337" priority="845" stopIfTrue="1">
      <formula>O561="*OBSERVAÇÃO"</formula>
    </cfRule>
  </conditionalFormatting>
  <conditionalFormatting sqref="A561">
    <cfRule type="expression" dxfId="1336" priority="844" stopIfTrue="1">
      <formula>AND(F561&lt;&gt;"",S561&lt;&gt;"",Y561&lt;&gt;"")</formula>
    </cfRule>
  </conditionalFormatting>
  <conditionalFormatting sqref="AA559">
    <cfRule type="expression" dxfId="1335" priority="842" stopIfTrue="1">
      <formula>O559="*CANCELADO"</formula>
    </cfRule>
    <cfRule type="expression" dxfId="1334" priority="843" stopIfTrue="1">
      <formula>O559="*OBSERVAÇÃO"</formula>
    </cfRule>
  </conditionalFormatting>
  <conditionalFormatting sqref="N559">
    <cfRule type="cellIs" dxfId="1333" priority="839" stopIfTrue="1" operator="equal">
      <formula>"Código não cadastrado"</formula>
    </cfRule>
  </conditionalFormatting>
  <conditionalFormatting sqref="F559">
    <cfRule type="expression" dxfId="1332" priority="831" stopIfTrue="1">
      <formula>O559="*OBSERVAÇÃO"</formula>
    </cfRule>
    <cfRule type="expression" dxfId="1331" priority="832" stopIfTrue="1">
      <formula>O559="*CANCELADO"</formula>
    </cfRule>
    <cfRule type="expression" priority="833" stopIfTrue="1">
      <formula>A559=""</formula>
    </cfRule>
    <cfRule type="expression" dxfId="1330" priority="834" stopIfTrue="1">
      <formula>F559=""</formula>
    </cfRule>
    <cfRule type="expression" dxfId="1329" priority="835" stopIfTrue="1">
      <formula>AND(F559&lt;&gt;"",S559&lt;&gt;"",Y559&lt;&gt;"")</formula>
    </cfRule>
    <cfRule type="expression" dxfId="1328" priority="836" stopIfTrue="1">
      <formula>AND(F559&lt;&gt;"",S559&lt;&gt;"")</formula>
    </cfRule>
    <cfRule type="expression" dxfId="1327" priority="837" stopIfTrue="1">
      <formula>F559&lt;&gt;""</formula>
    </cfRule>
  </conditionalFormatting>
  <conditionalFormatting sqref="A559">
    <cfRule type="expression" dxfId="1326" priority="827" stopIfTrue="1">
      <formula>A559=""</formula>
    </cfRule>
    <cfRule type="expression" dxfId="1325" priority="828" stopIfTrue="1">
      <formula>F559=""</formula>
    </cfRule>
    <cfRule type="expression" dxfId="1324" priority="829" stopIfTrue="1">
      <formula>AND(F559&lt;&gt;"",S559&lt;&gt;"")</formula>
    </cfRule>
    <cfRule type="expression" dxfId="1323" priority="830" stopIfTrue="1">
      <formula>F559&lt;&gt;""</formula>
    </cfRule>
  </conditionalFormatting>
  <conditionalFormatting sqref="A559">
    <cfRule type="expression" dxfId="1322" priority="823" stopIfTrue="1">
      <formula>A559=""</formula>
    </cfRule>
    <cfRule type="expression" dxfId="1321" priority="824" stopIfTrue="1">
      <formula>F559=""</formula>
    </cfRule>
    <cfRule type="expression" dxfId="1320" priority="825" stopIfTrue="1">
      <formula>AND(F559&lt;&gt;"",S559&lt;&gt;"")</formula>
    </cfRule>
    <cfRule type="expression" dxfId="1319" priority="826" stopIfTrue="1">
      <formula>F559&lt;&gt;""</formula>
    </cfRule>
  </conditionalFormatting>
  <conditionalFormatting sqref="A559">
    <cfRule type="expression" dxfId="1318" priority="822" stopIfTrue="1">
      <formula>AND(F559&lt;&gt;"",S559&lt;&gt;"",Y559&lt;&gt;"")</formula>
    </cfRule>
  </conditionalFormatting>
  <conditionalFormatting sqref="A559">
    <cfRule type="expression" dxfId="1317" priority="821" stopIfTrue="1">
      <formula>O559="*CANCELADO"</formula>
    </cfRule>
  </conditionalFormatting>
  <conditionalFormatting sqref="A559">
    <cfRule type="expression" dxfId="1316" priority="820" stopIfTrue="1">
      <formula>O559="*OBSERVAÇÃO"</formula>
    </cfRule>
  </conditionalFormatting>
  <conditionalFormatting sqref="A559">
    <cfRule type="expression" dxfId="1315" priority="819" stopIfTrue="1">
      <formula>O559="*CANCELADO"</formula>
    </cfRule>
  </conditionalFormatting>
  <conditionalFormatting sqref="A559">
    <cfRule type="expression" dxfId="1314" priority="818" stopIfTrue="1">
      <formula>O559="*OBSERVAÇÃO"</formula>
    </cfRule>
  </conditionalFormatting>
  <conditionalFormatting sqref="A559">
    <cfRule type="expression" dxfId="1313" priority="817" stopIfTrue="1">
      <formula>O559="*CANCELADO"</formula>
    </cfRule>
  </conditionalFormatting>
  <conditionalFormatting sqref="A559">
    <cfRule type="expression" dxfId="1312" priority="816" stopIfTrue="1">
      <formula>O559="*OBSERVAÇÃO"</formula>
    </cfRule>
  </conditionalFormatting>
  <conditionalFormatting sqref="A559">
    <cfRule type="expression" dxfId="1311" priority="812" stopIfTrue="1">
      <formula>A559=""</formula>
    </cfRule>
    <cfRule type="expression" dxfId="1310" priority="813" stopIfTrue="1">
      <formula>F559=""</formula>
    </cfRule>
    <cfRule type="expression" dxfId="1309" priority="814" stopIfTrue="1">
      <formula>AND(F559&lt;&gt;"",S559&lt;&gt;"")</formula>
    </cfRule>
    <cfRule type="expression" dxfId="1308" priority="815" stopIfTrue="1">
      <formula>F559&lt;&gt;""</formula>
    </cfRule>
  </conditionalFormatting>
  <conditionalFormatting sqref="A559">
    <cfRule type="expression" dxfId="1307" priority="811" stopIfTrue="1">
      <formula>O559="*CANCELADO"</formula>
    </cfRule>
  </conditionalFormatting>
  <conditionalFormatting sqref="A559">
    <cfRule type="expression" dxfId="1306" priority="807" stopIfTrue="1">
      <formula>A559=""</formula>
    </cfRule>
    <cfRule type="expression" dxfId="1305" priority="808" stopIfTrue="1">
      <formula>F559=""</formula>
    </cfRule>
    <cfRule type="expression" dxfId="1304" priority="809" stopIfTrue="1">
      <formula>AND(F559&lt;&gt;"",S559&lt;&gt;"")</formula>
    </cfRule>
    <cfRule type="expression" dxfId="1303" priority="810" stopIfTrue="1">
      <formula>F559&lt;&gt;""</formula>
    </cfRule>
  </conditionalFormatting>
  <conditionalFormatting sqref="A559">
    <cfRule type="expression" dxfId="1302" priority="806" stopIfTrue="1">
      <formula>O559="*OBSERVAÇÃO"</formula>
    </cfRule>
  </conditionalFormatting>
  <conditionalFormatting sqref="A559">
    <cfRule type="expression" dxfId="1301" priority="805" stopIfTrue="1">
      <formula>AND(F559&lt;&gt;"",S559&lt;&gt;"",Y559&lt;&gt;"")</formula>
    </cfRule>
  </conditionalFormatting>
  <conditionalFormatting sqref="A559">
    <cfRule type="expression" dxfId="1300" priority="801" stopIfTrue="1">
      <formula>A559=""</formula>
    </cfRule>
    <cfRule type="expression" dxfId="1299" priority="802" stopIfTrue="1">
      <formula>F559=""</formula>
    </cfRule>
    <cfRule type="expression" dxfId="1298" priority="803" stopIfTrue="1">
      <formula>AND(F559&lt;&gt;"",S559&lt;&gt;"")</formula>
    </cfRule>
    <cfRule type="expression" dxfId="1297" priority="804" stopIfTrue="1">
      <formula>F559&lt;&gt;""</formula>
    </cfRule>
  </conditionalFormatting>
  <conditionalFormatting sqref="A559">
    <cfRule type="expression" dxfId="1296" priority="800" stopIfTrue="1">
      <formula>O559="*CANCELADO"</formula>
    </cfRule>
  </conditionalFormatting>
  <conditionalFormatting sqref="A559">
    <cfRule type="expression" dxfId="1295" priority="796" stopIfTrue="1">
      <formula>A559=""</formula>
    </cfRule>
    <cfRule type="expression" dxfId="1294" priority="797" stopIfTrue="1">
      <formula>F559=""</formula>
    </cfRule>
    <cfRule type="expression" dxfId="1293" priority="798" stopIfTrue="1">
      <formula>AND(F559&lt;&gt;"",S559&lt;&gt;"")</formula>
    </cfRule>
    <cfRule type="expression" dxfId="1292" priority="799" stopIfTrue="1">
      <formula>F559&lt;&gt;""</formula>
    </cfRule>
  </conditionalFormatting>
  <conditionalFormatting sqref="A559">
    <cfRule type="expression" dxfId="1291" priority="795" stopIfTrue="1">
      <formula>O559="*OBSERVAÇÃO"</formula>
    </cfRule>
  </conditionalFormatting>
  <conditionalFormatting sqref="A559">
    <cfRule type="expression" dxfId="1290" priority="791" stopIfTrue="1">
      <formula>A559=""</formula>
    </cfRule>
    <cfRule type="expression" dxfId="1289" priority="792" stopIfTrue="1">
      <formula>F559=""</formula>
    </cfRule>
    <cfRule type="expression" dxfId="1288" priority="793" stopIfTrue="1">
      <formula>AND(F559&lt;&gt;"",S559&lt;&gt;"")</formula>
    </cfRule>
    <cfRule type="expression" dxfId="1287" priority="794" stopIfTrue="1">
      <formula>F559&lt;&gt;""</formula>
    </cfRule>
  </conditionalFormatting>
  <conditionalFormatting sqref="A559">
    <cfRule type="expression" dxfId="1286" priority="790" stopIfTrue="1">
      <formula>O559="*CANCELADO"</formula>
    </cfRule>
  </conditionalFormatting>
  <conditionalFormatting sqref="A559">
    <cfRule type="expression" dxfId="1285" priority="789" stopIfTrue="1">
      <formula>O559="*OBSERVAÇÃO"</formula>
    </cfRule>
  </conditionalFormatting>
  <conditionalFormatting sqref="A559">
    <cfRule type="expression" dxfId="1284" priority="788" stopIfTrue="1">
      <formula>AND(F559&lt;&gt;"",S559&lt;&gt;"",Y559&lt;&gt;"")</formula>
    </cfRule>
  </conditionalFormatting>
  <conditionalFormatting sqref="F1087">
    <cfRule type="expression" dxfId="1283" priority="758" stopIfTrue="1">
      <formula>O1087="*OBSERVAÇÃO"</formula>
    </cfRule>
    <cfRule type="expression" dxfId="1282" priority="759" stopIfTrue="1">
      <formula>O1087="*CANCELADO"</formula>
    </cfRule>
    <cfRule type="expression" priority="760" stopIfTrue="1">
      <formula>A1087=""</formula>
    </cfRule>
    <cfRule type="expression" dxfId="1281" priority="761" stopIfTrue="1">
      <formula>F1087=""</formula>
    </cfRule>
    <cfRule type="expression" dxfId="1280" priority="762" stopIfTrue="1">
      <formula>AND(F1087&lt;&gt;"",S1087&lt;&gt;"",Y1087&lt;&gt;"")</formula>
    </cfRule>
    <cfRule type="expression" dxfId="1279" priority="763" stopIfTrue="1">
      <formula>AND(F1087&lt;&gt;"",S1087&lt;&gt;"")</formula>
    </cfRule>
    <cfRule type="expression" dxfId="1278" priority="764" stopIfTrue="1">
      <formula>F1087&lt;&gt;""</formula>
    </cfRule>
  </conditionalFormatting>
  <conditionalFormatting sqref="AA1121">
    <cfRule type="expression" dxfId="1277" priority="751" stopIfTrue="1">
      <formula>O1121="*CANCELADO"</formula>
    </cfRule>
    <cfRule type="expression" dxfId="1276" priority="752" stopIfTrue="1">
      <formula>O1121="*OBSERVAÇÃO"</formula>
    </cfRule>
  </conditionalFormatting>
  <conditionalFormatting sqref="N1121">
    <cfRule type="cellIs" dxfId="1275" priority="748" stopIfTrue="1" operator="equal">
      <formula>"Código não cadastrado"</formula>
    </cfRule>
  </conditionalFormatting>
  <conditionalFormatting sqref="F1121">
    <cfRule type="expression" dxfId="1274" priority="727" stopIfTrue="1">
      <formula>O1121="*OBSERVAÇÃO"</formula>
    </cfRule>
    <cfRule type="expression" dxfId="1273" priority="728" stopIfTrue="1">
      <formula>O1121="*CANCELADO"</formula>
    </cfRule>
    <cfRule type="expression" priority="729" stopIfTrue="1">
      <formula>A1121=""</formula>
    </cfRule>
    <cfRule type="expression" dxfId="1272" priority="730" stopIfTrue="1">
      <formula>F1121=""</formula>
    </cfRule>
    <cfRule type="expression" dxfId="1271" priority="731" stopIfTrue="1">
      <formula>AND(F1121&lt;&gt;"",S1121&lt;&gt;"",Y1121&lt;&gt;"")</formula>
    </cfRule>
    <cfRule type="expression" dxfId="1270" priority="732" stopIfTrue="1">
      <formula>AND(F1121&lt;&gt;"",S1121&lt;&gt;"")</formula>
    </cfRule>
    <cfRule type="expression" dxfId="1269" priority="733" stopIfTrue="1">
      <formula>F1121&lt;&gt;""</formula>
    </cfRule>
  </conditionalFormatting>
  <conditionalFormatting sqref="AA1132">
    <cfRule type="expression" dxfId="1268" priority="720" stopIfTrue="1">
      <formula>O1132="*CANCELADO"</formula>
    </cfRule>
    <cfRule type="expression" dxfId="1267" priority="721" stopIfTrue="1">
      <formula>O1132="*OBSERVAÇÃO"</formula>
    </cfRule>
  </conditionalFormatting>
  <conditionalFormatting sqref="N1132">
    <cfRule type="cellIs" dxfId="1266" priority="717" stopIfTrue="1" operator="equal">
      <formula>"Código não cadastrado"</formula>
    </cfRule>
  </conditionalFormatting>
  <conditionalFormatting sqref="F1132">
    <cfRule type="expression" dxfId="1265" priority="703" stopIfTrue="1">
      <formula>O1132="*OBSERVAÇÃO"</formula>
    </cfRule>
    <cfRule type="expression" dxfId="1264" priority="704" stopIfTrue="1">
      <formula>O1132="*CANCELADO"</formula>
    </cfRule>
    <cfRule type="expression" priority="705" stopIfTrue="1">
      <formula>A1132=""</formula>
    </cfRule>
    <cfRule type="expression" dxfId="1263" priority="706" stopIfTrue="1">
      <formula>F1132=""</formula>
    </cfRule>
    <cfRule type="expression" dxfId="1262" priority="707" stopIfTrue="1">
      <formula>AND(F1132&lt;&gt;"",S1132&lt;&gt;"",Y1132&lt;&gt;"")</formula>
    </cfRule>
    <cfRule type="expression" dxfId="1261" priority="708" stopIfTrue="1">
      <formula>AND(F1132&lt;&gt;"",S1132&lt;&gt;"")</formula>
    </cfRule>
    <cfRule type="expression" dxfId="1260" priority="709" stopIfTrue="1">
      <formula>F1132&lt;&gt;""</formula>
    </cfRule>
  </conditionalFormatting>
  <conditionalFormatting sqref="AA1134">
    <cfRule type="expression" dxfId="1259" priority="696" stopIfTrue="1">
      <formula>O1134="*CANCELADO"</formula>
    </cfRule>
    <cfRule type="expression" dxfId="1258" priority="697" stopIfTrue="1">
      <formula>O1134="*OBSERVAÇÃO"</formula>
    </cfRule>
  </conditionalFormatting>
  <conditionalFormatting sqref="L1134:N1134">
    <cfRule type="cellIs" dxfId="1257" priority="693" stopIfTrue="1" operator="equal">
      <formula>"Código não cadastrado"</formula>
    </cfRule>
  </conditionalFormatting>
  <conditionalFormatting sqref="F1133:F1134">
    <cfRule type="expression" dxfId="1256" priority="672" stopIfTrue="1">
      <formula>O1133="*OBSERVAÇÃO"</formula>
    </cfRule>
    <cfRule type="expression" dxfId="1255" priority="673" stopIfTrue="1">
      <formula>O1133="*CANCELADO"</formula>
    </cfRule>
    <cfRule type="expression" priority="674" stopIfTrue="1">
      <formula>A1133=""</formula>
    </cfRule>
    <cfRule type="expression" dxfId="1254" priority="675" stopIfTrue="1">
      <formula>F1133=""</formula>
    </cfRule>
    <cfRule type="expression" dxfId="1253" priority="676" stopIfTrue="1">
      <formula>AND(F1133&lt;&gt;"",S1133&lt;&gt;"",Y1133&lt;&gt;"")</formula>
    </cfRule>
    <cfRule type="expression" dxfId="1252" priority="677" stopIfTrue="1">
      <formula>AND(F1133&lt;&gt;"",S1133&lt;&gt;"")</formula>
    </cfRule>
    <cfRule type="expression" dxfId="1251" priority="678" stopIfTrue="1">
      <formula>F1133&lt;&gt;""</formula>
    </cfRule>
  </conditionalFormatting>
  <conditionalFormatting sqref="A974:A1150 A1152:A1163">
    <cfRule type="expression" dxfId="1250" priority="665" stopIfTrue="1">
      <formula>A974=""</formula>
    </cfRule>
    <cfRule type="expression" dxfId="1249" priority="666" stopIfTrue="1">
      <formula>F974=""</formula>
    </cfRule>
    <cfRule type="expression" dxfId="1248" priority="667" stopIfTrue="1">
      <formula>AND(F974&lt;&gt;"",S974&lt;&gt;"")</formula>
    </cfRule>
    <cfRule type="expression" dxfId="1247" priority="668" stopIfTrue="1">
      <formula>F974&lt;&gt;""</formula>
    </cfRule>
  </conditionalFormatting>
  <conditionalFormatting sqref="A974:A1150 A1152:A1163">
    <cfRule type="expression" dxfId="1246" priority="664" stopIfTrue="1">
      <formula>O974="*CANCELADO"</formula>
    </cfRule>
  </conditionalFormatting>
  <conditionalFormatting sqref="A974:A1150 A1152:A1163">
    <cfRule type="expression" dxfId="1245" priority="660" stopIfTrue="1">
      <formula>A974=""</formula>
    </cfRule>
    <cfRule type="expression" dxfId="1244" priority="661" stopIfTrue="1">
      <formula>F974=""</formula>
    </cfRule>
    <cfRule type="expression" dxfId="1243" priority="662" stopIfTrue="1">
      <formula>AND(F974&lt;&gt;"",S974&lt;&gt;"")</formula>
    </cfRule>
    <cfRule type="expression" dxfId="1242" priority="663" stopIfTrue="1">
      <formula>F974&lt;&gt;""</formula>
    </cfRule>
  </conditionalFormatting>
  <conditionalFormatting sqref="A974:A1150 A1152:A1163">
    <cfRule type="expression" dxfId="1241" priority="659" stopIfTrue="1">
      <formula>O974="*OBSERVAÇÃO"</formula>
    </cfRule>
  </conditionalFormatting>
  <conditionalFormatting sqref="A974:A1150 A1152:A1163">
    <cfRule type="expression" dxfId="1240" priority="658" stopIfTrue="1">
      <formula>AND(F974&lt;&gt;"",S974&lt;&gt;"",Y974&lt;&gt;"")</formula>
    </cfRule>
  </conditionalFormatting>
  <conditionalFormatting sqref="A974:A1150 A1152:A1163">
    <cfRule type="expression" dxfId="1239" priority="654" stopIfTrue="1">
      <formula>A974=""</formula>
    </cfRule>
    <cfRule type="expression" dxfId="1238" priority="655" stopIfTrue="1">
      <formula>F974=""</formula>
    </cfRule>
    <cfRule type="expression" dxfId="1237" priority="656" stopIfTrue="1">
      <formula>AND(F974&lt;&gt;"",S974&lt;&gt;"")</formula>
    </cfRule>
    <cfRule type="expression" dxfId="1236" priority="657" stopIfTrue="1">
      <formula>F974&lt;&gt;""</formula>
    </cfRule>
  </conditionalFormatting>
  <conditionalFormatting sqref="A974:A1150 A1152:A1163">
    <cfRule type="expression" dxfId="1235" priority="653" stopIfTrue="1">
      <formula>O974="*CANCELADO"</formula>
    </cfRule>
  </conditionalFormatting>
  <conditionalFormatting sqref="A974:A1150 A1152:A1163">
    <cfRule type="expression" dxfId="1234" priority="649" stopIfTrue="1">
      <formula>A974=""</formula>
    </cfRule>
    <cfRule type="expression" dxfId="1233" priority="650" stopIfTrue="1">
      <formula>F974=""</formula>
    </cfRule>
    <cfRule type="expression" dxfId="1232" priority="651" stopIfTrue="1">
      <formula>AND(F974&lt;&gt;"",S974&lt;&gt;"")</formula>
    </cfRule>
    <cfRule type="expression" dxfId="1231" priority="652" stopIfTrue="1">
      <formula>F974&lt;&gt;""</formula>
    </cfRule>
  </conditionalFormatting>
  <conditionalFormatting sqref="A974:A1150 A1152:A1163">
    <cfRule type="expression" dxfId="1230" priority="648" stopIfTrue="1">
      <formula>O974="*OBSERVAÇÃO"</formula>
    </cfRule>
  </conditionalFormatting>
  <conditionalFormatting sqref="A974:A1150 A1152:A1163">
    <cfRule type="expression" dxfId="1229" priority="647" stopIfTrue="1">
      <formula>AND(F974&lt;&gt;"",S974&lt;&gt;"",Y974&lt;&gt;"")</formula>
    </cfRule>
  </conditionalFormatting>
  <conditionalFormatting sqref="A974:A1150 A1152:A1163">
    <cfRule type="expression" dxfId="1228" priority="643" stopIfTrue="1">
      <formula>A974=""</formula>
    </cfRule>
    <cfRule type="expression" dxfId="1227" priority="644" stopIfTrue="1">
      <formula>F974=""</formula>
    </cfRule>
    <cfRule type="expression" dxfId="1226" priority="645" stopIfTrue="1">
      <formula>AND(F974&lt;&gt;"",S974&lt;&gt;"")</formula>
    </cfRule>
    <cfRule type="expression" dxfId="1225" priority="646" stopIfTrue="1">
      <formula>F974&lt;&gt;""</formula>
    </cfRule>
  </conditionalFormatting>
  <conditionalFormatting sqref="A974:A1150 A1152:A1163">
    <cfRule type="expression" dxfId="1224" priority="642" stopIfTrue="1">
      <formula>O974="*CANCELADO"</formula>
    </cfRule>
  </conditionalFormatting>
  <conditionalFormatting sqref="A974:A1150 A1152:A1163">
    <cfRule type="expression" dxfId="1223" priority="638" stopIfTrue="1">
      <formula>A974=""</formula>
    </cfRule>
    <cfRule type="expression" dxfId="1222" priority="639" stopIfTrue="1">
      <formula>F974=""</formula>
    </cfRule>
    <cfRule type="expression" dxfId="1221" priority="640" stopIfTrue="1">
      <formula>AND(F974&lt;&gt;"",S974&lt;&gt;"")</formula>
    </cfRule>
    <cfRule type="expression" dxfId="1220" priority="641" stopIfTrue="1">
      <formula>F974&lt;&gt;""</formula>
    </cfRule>
  </conditionalFormatting>
  <conditionalFormatting sqref="A974:A1150 A1152:A1163">
    <cfRule type="expression" dxfId="1219" priority="637" stopIfTrue="1">
      <formula>O974="*OBSERVAÇÃO"</formula>
    </cfRule>
  </conditionalFormatting>
  <conditionalFormatting sqref="A974:A1150 A1152:A1163">
    <cfRule type="expression" dxfId="1218" priority="636" stopIfTrue="1">
      <formula>AND(F974&lt;&gt;"",S974&lt;&gt;"",Y974&lt;&gt;"")</formula>
    </cfRule>
  </conditionalFormatting>
  <conditionalFormatting sqref="A974:A1150 A1152:A1163">
    <cfRule type="expression" dxfId="1217" priority="632" stopIfTrue="1">
      <formula>A974=""</formula>
    </cfRule>
    <cfRule type="expression" dxfId="1216" priority="633" stopIfTrue="1">
      <formula>F974=""</formula>
    </cfRule>
    <cfRule type="expression" dxfId="1215" priority="634" stopIfTrue="1">
      <formula>AND(F974&lt;&gt;"",S974&lt;&gt;"")</formula>
    </cfRule>
    <cfRule type="expression" dxfId="1214" priority="635" stopIfTrue="1">
      <formula>F974&lt;&gt;""</formula>
    </cfRule>
  </conditionalFormatting>
  <conditionalFormatting sqref="A974:A1150 A1152:A1163">
    <cfRule type="expression" dxfId="1213" priority="631" stopIfTrue="1">
      <formula>O974="*CANCELADO"</formula>
    </cfRule>
  </conditionalFormatting>
  <conditionalFormatting sqref="A974:A1150 A1152:A1163">
    <cfRule type="expression" dxfId="1212" priority="627" stopIfTrue="1">
      <formula>A974=""</formula>
    </cfRule>
    <cfRule type="expression" dxfId="1211" priority="628" stopIfTrue="1">
      <formula>F974=""</formula>
    </cfRule>
    <cfRule type="expression" dxfId="1210" priority="629" stopIfTrue="1">
      <formula>AND(F974&lt;&gt;"",S974&lt;&gt;"")</formula>
    </cfRule>
    <cfRule type="expression" dxfId="1209" priority="630" stopIfTrue="1">
      <formula>F974&lt;&gt;""</formula>
    </cfRule>
  </conditionalFormatting>
  <conditionalFormatting sqref="A974:A1150 A1152:A1163">
    <cfRule type="expression" dxfId="1208" priority="626" stopIfTrue="1">
      <formula>O974="*OBSERVAÇÃO"</formula>
    </cfRule>
  </conditionalFormatting>
  <conditionalFormatting sqref="A974:A1150 A1152:A1163">
    <cfRule type="expression" dxfId="1207" priority="622" stopIfTrue="1">
      <formula>A974=""</formula>
    </cfRule>
    <cfRule type="expression" dxfId="1206" priority="623" stopIfTrue="1">
      <formula>F974=""</formula>
    </cfRule>
    <cfRule type="expression" dxfId="1205" priority="624" stopIfTrue="1">
      <formula>AND(F974&lt;&gt;"",S974&lt;&gt;"")</formula>
    </cfRule>
    <cfRule type="expression" dxfId="1204" priority="625" stopIfTrue="1">
      <formula>F974&lt;&gt;""</formula>
    </cfRule>
  </conditionalFormatting>
  <conditionalFormatting sqref="A974:A1150 A1152:A1163">
    <cfRule type="expression" dxfId="1203" priority="621" stopIfTrue="1">
      <formula>O974="*CANCELADO"</formula>
    </cfRule>
  </conditionalFormatting>
  <conditionalFormatting sqref="A974:A1150 A1152:A1163">
    <cfRule type="expression" dxfId="1202" priority="620" stopIfTrue="1">
      <formula>O974="*OBSERVAÇÃO"</formula>
    </cfRule>
  </conditionalFormatting>
  <conditionalFormatting sqref="A974:A1150 A1152:A1163">
    <cfRule type="expression" dxfId="1201" priority="619" stopIfTrue="1">
      <formula>AND(F974&lt;&gt;"",S974&lt;&gt;"",Y974&lt;&gt;"")</formula>
    </cfRule>
  </conditionalFormatting>
  <conditionalFormatting sqref="A1151">
    <cfRule type="expression" dxfId="1200" priority="615" stopIfTrue="1">
      <formula>A1151=""</formula>
    </cfRule>
    <cfRule type="expression" dxfId="1199" priority="616" stopIfTrue="1">
      <formula>F1151=""</formula>
    </cfRule>
    <cfRule type="expression" dxfId="1198" priority="617" stopIfTrue="1">
      <formula>AND(F1151&lt;&gt;"",S1151&lt;&gt;"")</formula>
    </cfRule>
    <cfRule type="expression" dxfId="1197" priority="618" stopIfTrue="1">
      <formula>F1151&lt;&gt;""</formula>
    </cfRule>
  </conditionalFormatting>
  <conditionalFormatting sqref="A1151">
    <cfRule type="expression" dxfId="1196" priority="614" stopIfTrue="1">
      <formula>O1151="*CANCELADO"</formula>
    </cfRule>
  </conditionalFormatting>
  <conditionalFormatting sqref="A1151">
    <cfRule type="expression" dxfId="1195" priority="610" stopIfTrue="1">
      <formula>A1151=""</formula>
    </cfRule>
    <cfRule type="expression" dxfId="1194" priority="611" stopIfTrue="1">
      <formula>F1151=""</formula>
    </cfRule>
    <cfRule type="expression" dxfId="1193" priority="612" stopIfTrue="1">
      <formula>AND(F1151&lt;&gt;"",S1151&lt;&gt;"")</formula>
    </cfRule>
    <cfRule type="expression" dxfId="1192" priority="613" stopIfTrue="1">
      <formula>F1151&lt;&gt;""</formula>
    </cfRule>
  </conditionalFormatting>
  <conditionalFormatting sqref="A1151">
    <cfRule type="expression" dxfId="1191" priority="609" stopIfTrue="1">
      <formula>O1151="*OBSERVAÇÃO"</formula>
    </cfRule>
  </conditionalFormatting>
  <conditionalFormatting sqref="A1151">
    <cfRule type="expression" dxfId="1190" priority="608" stopIfTrue="1">
      <formula>AND(F1151&lt;&gt;"",S1151&lt;&gt;"",Y1151&lt;&gt;"")</formula>
    </cfRule>
  </conditionalFormatting>
  <conditionalFormatting sqref="A1151">
    <cfRule type="expression" dxfId="1189" priority="604" stopIfTrue="1">
      <formula>A1151=""</formula>
    </cfRule>
    <cfRule type="expression" dxfId="1188" priority="605" stopIfTrue="1">
      <formula>F1151=""</formula>
    </cfRule>
    <cfRule type="expression" dxfId="1187" priority="606" stopIfTrue="1">
      <formula>AND(F1151&lt;&gt;"",S1151&lt;&gt;"")</formula>
    </cfRule>
    <cfRule type="expression" dxfId="1186" priority="607" stopIfTrue="1">
      <formula>F1151&lt;&gt;""</formula>
    </cfRule>
  </conditionalFormatting>
  <conditionalFormatting sqref="A1151">
    <cfRule type="expression" dxfId="1185" priority="603" stopIfTrue="1">
      <formula>O1151="*CANCELADO"</formula>
    </cfRule>
  </conditionalFormatting>
  <conditionalFormatting sqref="A1151">
    <cfRule type="expression" dxfId="1184" priority="599" stopIfTrue="1">
      <formula>A1151=""</formula>
    </cfRule>
    <cfRule type="expression" dxfId="1183" priority="600" stopIfTrue="1">
      <formula>F1151=""</formula>
    </cfRule>
    <cfRule type="expression" dxfId="1182" priority="601" stopIfTrue="1">
      <formula>AND(F1151&lt;&gt;"",S1151&lt;&gt;"")</formula>
    </cfRule>
    <cfRule type="expression" dxfId="1181" priority="602" stopIfTrue="1">
      <formula>F1151&lt;&gt;""</formula>
    </cfRule>
  </conditionalFormatting>
  <conditionalFormatting sqref="A1151">
    <cfRule type="expression" dxfId="1180" priority="598" stopIfTrue="1">
      <formula>O1151="*OBSERVAÇÃO"</formula>
    </cfRule>
  </conditionalFormatting>
  <conditionalFormatting sqref="A1151">
    <cfRule type="expression" dxfId="1179" priority="597" stopIfTrue="1">
      <formula>AND(F1151&lt;&gt;"",S1151&lt;&gt;"",Y1151&lt;&gt;"")</formula>
    </cfRule>
  </conditionalFormatting>
  <conditionalFormatting sqref="A1151">
    <cfRule type="expression" dxfId="1178" priority="593" stopIfTrue="1">
      <formula>A1151=""</formula>
    </cfRule>
    <cfRule type="expression" dxfId="1177" priority="594" stopIfTrue="1">
      <formula>F1151=""</formula>
    </cfRule>
    <cfRule type="expression" dxfId="1176" priority="595" stopIfTrue="1">
      <formula>AND(F1151&lt;&gt;"",S1151&lt;&gt;"")</formula>
    </cfRule>
    <cfRule type="expression" dxfId="1175" priority="596" stopIfTrue="1">
      <formula>F1151&lt;&gt;""</formula>
    </cfRule>
  </conditionalFormatting>
  <conditionalFormatting sqref="A1151">
    <cfRule type="expression" dxfId="1174" priority="592" stopIfTrue="1">
      <formula>O1151="*CANCELADO"</formula>
    </cfRule>
  </conditionalFormatting>
  <conditionalFormatting sqref="A1151">
    <cfRule type="expression" dxfId="1173" priority="588" stopIfTrue="1">
      <formula>A1151=""</formula>
    </cfRule>
    <cfRule type="expression" dxfId="1172" priority="589" stopIfTrue="1">
      <formula>F1151=""</formula>
    </cfRule>
    <cfRule type="expression" dxfId="1171" priority="590" stopIfTrue="1">
      <formula>AND(F1151&lt;&gt;"",S1151&lt;&gt;"")</formula>
    </cfRule>
    <cfRule type="expression" dxfId="1170" priority="591" stopIfTrue="1">
      <formula>F1151&lt;&gt;""</formula>
    </cfRule>
  </conditionalFormatting>
  <conditionalFormatting sqref="A1151">
    <cfRule type="expression" dxfId="1169" priority="587" stopIfTrue="1">
      <formula>O1151="*OBSERVAÇÃO"</formula>
    </cfRule>
  </conditionalFormatting>
  <conditionalFormatting sqref="A1151">
    <cfRule type="expression" dxfId="1168" priority="586" stopIfTrue="1">
      <formula>AND(F1151&lt;&gt;"",S1151&lt;&gt;"",Y1151&lt;&gt;"")</formula>
    </cfRule>
  </conditionalFormatting>
  <conditionalFormatting sqref="A1151">
    <cfRule type="expression" dxfId="1167" priority="582" stopIfTrue="1">
      <formula>A1151=""</formula>
    </cfRule>
    <cfRule type="expression" dxfId="1166" priority="583" stopIfTrue="1">
      <formula>F1151=""</formula>
    </cfRule>
    <cfRule type="expression" dxfId="1165" priority="584" stopIfTrue="1">
      <formula>AND(F1151&lt;&gt;"",S1151&lt;&gt;"")</formula>
    </cfRule>
    <cfRule type="expression" dxfId="1164" priority="585" stopIfTrue="1">
      <formula>F1151&lt;&gt;""</formula>
    </cfRule>
  </conditionalFormatting>
  <conditionalFormatting sqref="A1151">
    <cfRule type="expression" dxfId="1163" priority="581" stopIfTrue="1">
      <formula>O1151="*CANCELADO"</formula>
    </cfRule>
  </conditionalFormatting>
  <conditionalFormatting sqref="A1151">
    <cfRule type="expression" dxfId="1162" priority="577" stopIfTrue="1">
      <formula>A1151=""</formula>
    </cfRule>
    <cfRule type="expression" dxfId="1161" priority="578" stopIfTrue="1">
      <formula>F1151=""</formula>
    </cfRule>
    <cfRule type="expression" dxfId="1160" priority="579" stopIfTrue="1">
      <formula>AND(F1151&lt;&gt;"",S1151&lt;&gt;"")</formula>
    </cfRule>
    <cfRule type="expression" dxfId="1159" priority="580" stopIfTrue="1">
      <formula>F1151&lt;&gt;""</formula>
    </cfRule>
  </conditionalFormatting>
  <conditionalFormatting sqref="A1151">
    <cfRule type="expression" dxfId="1158" priority="576" stopIfTrue="1">
      <formula>O1151="*OBSERVAÇÃO"</formula>
    </cfRule>
  </conditionalFormatting>
  <conditionalFormatting sqref="A1151">
    <cfRule type="expression" dxfId="1157" priority="572" stopIfTrue="1">
      <formula>A1151=""</formula>
    </cfRule>
    <cfRule type="expression" dxfId="1156" priority="573" stopIfTrue="1">
      <formula>F1151=""</formula>
    </cfRule>
    <cfRule type="expression" dxfId="1155" priority="574" stopIfTrue="1">
      <formula>AND(F1151&lt;&gt;"",S1151&lt;&gt;"")</formula>
    </cfRule>
    <cfRule type="expression" dxfId="1154" priority="575" stopIfTrue="1">
      <formula>F1151&lt;&gt;""</formula>
    </cfRule>
  </conditionalFormatting>
  <conditionalFormatting sqref="A1151">
    <cfRule type="expression" dxfId="1153" priority="571" stopIfTrue="1">
      <formula>O1151="*CANCELADO"</formula>
    </cfRule>
  </conditionalFormatting>
  <conditionalFormatting sqref="A1151">
    <cfRule type="expression" dxfId="1152" priority="570" stopIfTrue="1">
      <formula>O1151="*OBSERVAÇÃO"</formula>
    </cfRule>
  </conditionalFormatting>
  <conditionalFormatting sqref="A1151">
    <cfRule type="expression" dxfId="1151" priority="569" stopIfTrue="1">
      <formula>AND(F1151&lt;&gt;"",S1151&lt;&gt;"",Y1151&lt;&gt;"")</formula>
    </cfRule>
  </conditionalFormatting>
  <conditionalFormatting sqref="AA1031">
    <cfRule type="expression" dxfId="1150" priority="567" stopIfTrue="1">
      <formula>O1031="*CANCELADO"</formula>
    </cfRule>
    <cfRule type="expression" dxfId="1149" priority="568" stopIfTrue="1">
      <formula>O1031="*OBSERVAÇÃO"</formula>
    </cfRule>
  </conditionalFormatting>
  <conditionalFormatting sqref="O1167:O1176 O1220 O1178:O1179 O1181 O1222:O1240 O1187:O1188 O1195:O1218 O1190:O1193 O1249:O1267 O1332:O1333 O1242:O1246 O1269:O1330 O1391:O1831 O1335:O1389">
    <cfRule type="cellIs" dxfId="1148" priority="566" operator="equal">
      <formula>"*SUSPENSO"</formula>
    </cfRule>
  </conditionalFormatting>
  <conditionalFormatting sqref="O1166">
    <cfRule type="cellIs" dxfId="1147" priority="565" operator="equal">
      <formula>"*SUSPENSO"</formula>
    </cfRule>
  </conditionalFormatting>
  <conditionalFormatting sqref="O3:O536 O538:O1164">
    <cfRule type="cellIs" dxfId="1146" priority="562" stopIfTrue="1" operator="equal">
      <formula>"*CANCELADO"</formula>
    </cfRule>
    <cfRule type="cellIs" dxfId="1145" priority="563" stopIfTrue="1" operator="equal">
      <formula>"*OBSERVAÇÃO"</formula>
    </cfRule>
  </conditionalFormatting>
  <conditionalFormatting sqref="O3:O536 O538:O1164">
    <cfRule type="expression" dxfId="1144" priority="561" stopIfTrue="1">
      <formula>AND(O3&lt;&gt;"",Z3="")</formula>
    </cfRule>
  </conditionalFormatting>
  <conditionalFormatting sqref="O3:O536 O538:O1164">
    <cfRule type="cellIs" dxfId="1143" priority="560" operator="equal">
      <formula>"*SUSPENSO"</formula>
    </cfRule>
  </conditionalFormatting>
  <conditionalFormatting sqref="AA783">
    <cfRule type="expression" dxfId="1142" priority="558" stopIfTrue="1">
      <formula>O783="*CANCELADO"</formula>
    </cfRule>
    <cfRule type="expression" dxfId="1141" priority="559" stopIfTrue="1">
      <formula>O783="*OBSERVAÇÃO"</formula>
    </cfRule>
  </conditionalFormatting>
  <conditionalFormatting sqref="AA1165">
    <cfRule type="expression" dxfId="1140" priority="556" stopIfTrue="1">
      <formula>O1165="*CANCELADO"</formula>
    </cfRule>
    <cfRule type="expression" dxfId="1139" priority="557" stopIfTrue="1">
      <formula>O1165="*OBSERVAÇÃO"</formula>
    </cfRule>
  </conditionalFormatting>
  <conditionalFormatting sqref="L1165:N1165">
    <cfRule type="cellIs" dxfId="1138" priority="555" stopIfTrue="1" operator="equal">
      <formula>"Código não cadastrado"</formula>
    </cfRule>
  </conditionalFormatting>
  <conditionalFormatting sqref="F1165">
    <cfRule type="expression" dxfId="1137" priority="548" stopIfTrue="1">
      <formula>O1165="*OBSERVAÇÃO"</formula>
    </cfRule>
    <cfRule type="expression" dxfId="1136" priority="549" stopIfTrue="1">
      <formula>O1165="*CANCELADO"</formula>
    </cfRule>
    <cfRule type="expression" priority="550" stopIfTrue="1">
      <formula>A1165=""</formula>
    </cfRule>
    <cfRule type="expression" dxfId="1135" priority="551" stopIfTrue="1">
      <formula>F1165=""</formula>
    </cfRule>
    <cfRule type="expression" dxfId="1134" priority="552" stopIfTrue="1">
      <formula>AND(F1165&lt;&gt;"",S1165&lt;&gt;"",Y1165&lt;&gt;"")</formula>
    </cfRule>
    <cfRule type="expression" dxfId="1133" priority="553" stopIfTrue="1">
      <formula>AND(F1165&lt;&gt;"",S1165&lt;&gt;"")</formula>
    </cfRule>
    <cfRule type="expression" dxfId="1132" priority="554" stopIfTrue="1">
      <formula>F1165&lt;&gt;""</formula>
    </cfRule>
  </conditionalFormatting>
  <conditionalFormatting sqref="O1165">
    <cfRule type="cellIs" dxfId="1131" priority="496" stopIfTrue="1" operator="equal">
      <formula>"*CANCELADO"</formula>
    </cfRule>
    <cfRule type="cellIs" dxfId="1130" priority="497" stopIfTrue="1" operator="equal">
      <formula>"*OBSERVAÇÃO"</formula>
    </cfRule>
  </conditionalFormatting>
  <conditionalFormatting sqref="O1165">
    <cfRule type="expression" dxfId="1129" priority="495" stopIfTrue="1">
      <formula>AND(O1165&lt;&gt;"",Z1165="")</formula>
    </cfRule>
  </conditionalFormatting>
  <conditionalFormatting sqref="O1165">
    <cfRule type="cellIs" dxfId="1128" priority="494" operator="equal">
      <formula>"*SUSPENSO"</formula>
    </cfRule>
  </conditionalFormatting>
  <conditionalFormatting sqref="AA537">
    <cfRule type="expression" dxfId="1127" priority="492" stopIfTrue="1">
      <formula>O537="*CANCELADO"</formula>
    </cfRule>
    <cfRule type="expression" dxfId="1126" priority="493" stopIfTrue="1">
      <formula>O537="*OBSERVAÇÃO"</formula>
    </cfRule>
  </conditionalFormatting>
  <conditionalFormatting sqref="L537:N537">
    <cfRule type="cellIs" dxfId="1125" priority="491" stopIfTrue="1" operator="equal">
      <formula>"Código não cadastrado"</formula>
    </cfRule>
  </conditionalFormatting>
  <conditionalFormatting sqref="F537">
    <cfRule type="expression" dxfId="1124" priority="484" stopIfTrue="1">
      <formula>O537="*OBSERVAÇÃO"</formula>
    </cfRule>
    <cfRule type="expression" dxfId="1123" priority="485" stopIfTrue="1">
      <formula>O537="*CANCELADO"</formula>
    </cfRule>
    <cfRule type="expression" priority="486" stopIfTrue="1">
      <formula>A537=""</formula>
    </cfRule>
    <cfRule type="expression" dxfId="1122" priority="487" stopIfTrue="1">
      <formula>F537=""</formula>
    </cfRule>
    <cfRule type="expression" dxfId="1121" priority="488" stopIfTrue="1">
      <formula>AND(F537&lt;&gt;"",S537&lt;&gt;"",Y537&lt;&gt;"")</formula>
    </cfRule>
    <cfRule type="expression" dxfId="1120" priority="489" stopIfTrue="1">
      <formula>AND(F537&lt;&gt;"",S537&lt;&gt;"")</formula>
    </cfRule>
    <cfRule type="expression" dxfId="1119" priority="490" stopIfTrue="1">
      <formula>F537&lt;&gt;""</formula>
    </cfRule>
  </conditionalFormatting>
  <conditionalFormatting sqref="A537">
    <cfRule type="expression" dxfId="1118" priority="480" stopIfTrue="1">
      <formula>A537=""</formula>
    </cfRule>
    <cfRule type="expression" dxfId="1117" priority="481" stopIfTrue="1">
      <formula>F537=""</formula>
    </cfRule>
    <cfRule type="expression" dxfId="1116" priority="482" stopIfTrue="1">
      <formula>AND(F537&lt;&gt;"",S537&lt;&gt;"")</formula>
    </cfRule>
    <cfRule type="expression" dxfId="1115" priority="483" stopIfTrue="1">
      <formula>F537&lt;&gt;""</formula>
    </cfRule>
  </conditionalFormatting>
  <conditionalFormatting sqref="A537">
    <cfRule type="expression" dxfId="1114" priority="476" stopIfTrue="1">
      <formula>A537=""</formula>
    </cfRule>
    <cfRule type="expression" dxfId="1113" priority="477" stopIfTrue="1">
      <formula>F537=""</formula>
    </cfRule>
    <cfRule type="expression" dxfId="1112" priority="478" stopIfTrue="1">
      <formula>AND(F537&lt;&gt;"",S537&lt;&gt;"")</formula>
    </cfRule>
    <cfRule type="expression" dxfId="1111" priority="479" stopIfTrue="1">
      <formula>F537&lt;&gt;""</formula>
    </cfRule>
  </conditionalFormatting>
  <conditionalFormatting sqref="A537">
    <cfRule type="expression" dxfId="1110" priority="475" stopIfTrue="1">
      <formula>AND(F537&lt;&gt;"",S537&lt;&gt;"",Y537&lt;&gt;"")</formula>
    </cfRule>
  </conditionalFormatting>
  <conditionalFormatting sqref="A537">
    <cfRule type="expression" dxfId="1109" priority="474" stopIfTrue="1">
      <formula>O537="*CANCELADO"</formula>
    </cfRule>
  </conditionalFormatting>
  <conditionalFormatting sqref="A537">
    <cfRule type="expression" dxfId="1108" priority="473" stopIfTrue="1">
      <formula>O537="*OBSERVAÇÃO"</formula>
    </cfRule>
  </conditionalFormatting>
  <conditionalFormatting sqref="A537">
    <cfRule type="expression" dxfId="1107" priority="472" stopIfTrue="1">
      <formula>O537="*CANCELADO"</formula>
    </cfRule>
  </conditionalFormatting>
  <conditionalFormatting sqref="A537">
    <cfRule type="expression" dxfId="1106" priority="471" stopIfTrue="1">
      <formula>O537="*OBSERVAÇÃO"</formula>
    </cfRule>
  </conditionalFormatting>
  <conditionalFormatting sqref="A537">
    <cfRule type="expression" dxfId="1105" priority="470" stopIfTrue="1">
      <formula>O537="*CANCELADO"</formula>
    </cfRule>
  </conditionalFormatting>
  <conditionalFormatting sqref="A537">
    <cfRule type="expression" dxfId="1104" priority="469" stopIfTrue="1">
      <formula>O537="*OBSERVAÇÃO"</formula>
    </cfRule>
  </conditionalFormatting>
  <conditionalFormatting sqref="A537">
    <cfRule type="expression" dxfId="1103" priority="465" stopIfTrue="1">
      <formula>A537=""</formula>
    </cfRule>
    <cfRule type="expression" dxfId="1102" priority="466" stopIfTrue="1">
      <formula>F537=""</formula>
    </cfRule>
    <cfRule type="expression" dxfId="1101" priority="467" stopIfTrue="1">
      <formula>AND(F537&lt;&gt;"",S537&lt;&gt;"")</formula>
    </cfRule>
    <cfRule type="expression" dxfId="1100" priority="468" stopIfTrue="1">
      <formula>F537&lt;&gt;""</formula>
    </cfRule>
  </conditionalFormatting>
  <conditionalFormatting sqref="A537">
    <cfRule type="expression" dxfId="1099" priority="464" stopIfTrue="1">
      <formula>O537="*CANCELADO"</formula>
    </cfRule>
  </conditionalFormatting>
  <conditionalFormatting sqref="A537">
    <cfRule type="expression" dxfId="1098" priority="460" stopIfTrue="1">
      <formula>A537=""</formula>
    </cfRule>
    <cfRule type="expression" dxfId="1097" priority="461" stopIfTrue="1">
      <formula>F537=""</formula>
    </cfRule>
    <cfRule type="expression" dxfId="1096" priority="462" stopIfTrue="1">
      <formula>AND(F537&lt;&gt;"",S537&lt;&gt;"")</formula>
    </cfRule>
    <cfRule type="expression" dxfId="1095" priority="463" stopIfTrue="1">
      <formula>F537&lt;&gt;""</formula>
    </cfRule>
  </conditionalFormatting>
  <conditionalFormatting sqref="A537">
    <cfRule type="expression" dxfId="1094" priority="459" stopIfTrue="1">
      <formula>O537="*OBSERVAÇÃO"</formula>
    </cfRule>
  </conditionalFormatting>
  <conditionalFormatting sqref="A537">
    <cfRule type="expression" dxfId="1093" priority="458" stopIfTrue="1">
      <formula>AND(F537&lt;&gt;"",S537&lt;&gt;"",Y537&lt;&gt;"")</formula>
    </cfRule>
  </conditionalFormatting>
  <conditionalFormatting sqref="A537">
    <cfRule type="expression" dxfId="1092" priority="454" stopIfTrue="1">
      <formula>A537=""</formula>
    </cfRule>
    <cfRule type="expression" dxfId="1091" priority="455" stopIfTrue="1">
      <formula>F537=""</formula>
    </cfRule>
    <cfRule type="expression" dxfId="1090" priority="456" stopIfTrue="1">
      <formula>AND(F537&lt;&gt;"",S537&lt;&gt;"")</formula>
    </cfRule>
    <cfRule type="expression" dxfId="1089" priority="457" stopIfTrue="1">
      <formula>F537&lt;&gt;""</formula>
    </cfRule>
  </conditionalFormatting>
  <conditionalFormatting sqref="A537">
    <cfRule type="expression" dxfId="1088" priority="453" stopIfTrue="1">
      <formula>O537="*CANCELADO"</formula>
    </cfRule>
  </conditionalFormatting>
  <conditionalFormatting sqref="A537">
    <cfRule type="expression" dxfId="1087" priority="449" stopIfTrue="1">
      <formula>A537=""</formula>
    </cfRule>
    <cfRule type="expression" dxfId="1086" priority="450" stopIfTrue="1">
      <formula>F537=""</formula>
    </cfRule>
    <cfRule type="expression" dxfId="1085" priority="451" stopIfTrue="1">
      <formula>AND(F537&lt;&gt;"",S537&lt;&gt;"")</formula>
    </cfRule>
    <cfRule type="expression" dxfId="1084" priority="452" stopIfTrue="1">
      <formula>F537&lt;&gt;""</formula>
    </cfRule>
  </conditionalFormatting>
  <conditionalFormatting sqref="A537">
    <cfRule type="expression" dxfId="1083" priority="448" stopIfTrue="1">
      <formula>O537="*OBSERVAÇÃO"</formula>
    </cfRule>
  </conditionalFormatting>
  <conditionalFormatting sqref="A537">
    <cfRule type="expression" dxfId="1082" priority="444" stopIfTrue="1">
      <formula>A537=""</formula>
    </cfRule>
    <cfRule type="expression" dxfId="1081" priority="445" stopIfTrue="1">
      <formula>F537=""</formula>
    </cfRule>
    <cfRule type="expression" dxfId="1080" priority="446" stopIfTrue="1">
      <formula>AND(F537&lt;&gt;"",S537&lt;&gt;"")</formula>
    </cfRule>
    <cfRule type="expression" dxfId="1079" priority="447" stopIfTrue="1">
      <formula>F537&lt;&gt;""</formula>
    </cfRule>
  </conditionalFormatting>
  <conditionalFormatting sqref="A537">
    <cfRule type="expression" dxfId="1078" priority="443" stopIfTrue="1">
      <formula>O537="*CANCELADO"</formula>
    </cfRule>
  </conditionalFormatting>
  <conditionalFormatting sqref="A537">
    <cfRule type="expression" dxfId="1077" priority="442" stopIfTrue="1">
      <formula>O537="*OBSERVAÇÃO"</formula>
    </cfRule>
  </conditionalFormatting>
  <conditionalFormatting sqref="A537">
    <cfRule type="expression" dxfId="1076" priority="441" stopIfTrue="1">
      <formula>AND(F537&lt;&gt;"",S537&lt;&gt;"",Y537&lt;&gt;"")</formula>
    </cfRule>
  </conditionalFormatting>
  <conditionalFormatting sqref="O537">
    <cfRule type="cellIs" dxfId="1075" priority="439" stopIfTrue="1" operator="equal">
      <formula>"*CANCELADO"</formula>
    </cfRule>
    <cfRule type="cellIs" dxfId="1074" priority="440" stopIfTrue="1" operator="equal">
      <formula>"*OBSERVAÇÃO"</formula>
    </cfRule>
  </conditionalFormatting>
  <conditionalFormatting sqref="O537">
    <cfRule type="expression" dxfId="1073" priority="438" stopIfTrue="1">
      <formula>AND(O537&lt;&gt;"",Z537="")</formula>
    </cfRule>
  </conditionalFormatting>
  <conditionalFormatting sqref="O537">
    <cfRule type="cellIs" dxfId="1072" priority="437" operator="equal">
      <formula>"*SUSPENSO"</formula>
    </cfRule>
  </conditionalFormatting>
  <conditionalFormatting sqref="D1196">
    <cfRule type="cellIs" dxfId="1071" priority="436" stopIfTrue="1" operator="equal">
      <formula>"Código não cadastrado"</formula>
    </cfRule>
  </conditionalFormatting>
  <conditionalFormatting sqref="B1196:G1196">
    <cfRule type="cellIs" dxfId="1070" priority="435" stopIfTrue="1" operator="equal">
      <formula>"Código não cadastrado"</formula>
    </cfRule>
  </conditionalFormatting>
  <conditionalFormatting sqref="AA1186">
    <cfRule type="expression" dxfId="1069" priority="428" stopIfTrue="1">
      <formula>O1186="*CANCELADO"</formula>
    </cfRule>
    <cfRule type="expression" dxfId="1068" priority="429" stopIfTrue="1">
      <formula>O1186="*OBSERVAÇÃO"</formula>
    </cfRule>
  </conditionalFormatting>
  <conditionalFormatting sqref="O1186">
    <cfRule type="cellIs" dxfId="1067" priority="426" stopIfTrue="1" operator="equal">
      <formula>"*CANCELADO"</formula>
    </cfRule>
    <cfRule type="cellIs" dxfId="1066" priority="427" stopIfTrue="1" operator="equal">
      <formula>"*OBSERVAÇÃO"</formula>
    </cfRule>
  </conditionalFormatting>
  <conditionalFormatting sqref="L1186:N1186">
    <cfRule type="cellIs" dxfId="1065" priority="425" stopIfTrue="1" operator="equal">
      <formula>"Código não cadastrado"</formula>
    </cfRule>
  </conditionalFormatting>
  <conditionalFormatting sqref="O1186">
    <cfRule type="expression" dxfId="1064" priority="419" stopIfTrue="1">
      <formula>AND(O1186&lt;&gt;"",Z1186="")</formula>
    </cfRule>
  </conditionalFormatting>
  <conditionalFormatting sqref="F1186">
    <cfRule type="expression" dxfId="1063" priority="411" stopIfTrue="1">
      <formula>O1186="*OBSERVAÇÃO"</formula>
    </cfRule>
    <cfRule type="expression" dxfId="1062" priority="412" stopIfTrue="1">
      <formula>O1186="*CANCELADO"</formula>
    </cfRule>
    <cfRule type="expression" priority="413" stopIfTrue="1">
      <formula>A1186=""</formula>
    </cfRule>
    <cfRule type="expression" dxfId="1061" priority="414" stopIfTrue="1">
      <formula>F1186=""</formula>
    </cfRule>
    <cfRule type="expression" dxfId="1060" priority="415" stopIfTrue="1">
      <formula>AND(F1186&lt;&gt;"",S1186&lt;&gt;"",Y1186&lt;&gt;"")</formula>
    </cfRule>
    <cfRule type="expression" dxfId="1059" priority="416" stopIfTrue="1">
      <formula>AND(F1186&lt;&gt;"",S1186&lt;&gt;"")</formula>
    </cfRule>
    <cfRule type="expression" dxfId="1058" priority="417" stopIfTrue="1">
      <formula>F1186&lt;&gt;""</formula>
    </cfRule>
  </conditionalFormatting>
  <conditionalFormatting sqref="O1186">
    <cfRule type="cellIs" dxfId="1057" priority="410" operator="equal">
      <formula>"*SUSPENSO"</formula>
    </cfRule>
  </conditionalFormatting>
  <conditionalFormatting sqref="O1184:O1185">
    <cfRule type="cellIs" dxfId="1056" priority="401" stopIfTrue="1" operator="equal">
      <formula>"*CANCELADO"</formula>
    </cfRule>
    <cfRule type="cellIs" dxfId="1055" priority="402" stopIfTrue="1" operator="equal">
      <formula>"*OBSERVAÇÃO"</formula>
    </cfRule>
  </conditionalFormatting>
  <conditionalFormatting sqref="L1182:N1185">
    <cfRule type="cellIs" dxfId="1054" priority="400" stopIfTrue="1" operator="equal">
      <formula>"Código não cadastrado"</formula>
    </cfRule>
  </conditionalFormatting>
  <conditionalFormatting sqref="O1184:O1185">
    <cfRule type="cellIs" dxfId="1053" priority="385" operator="equal">
      <formula>"*SUSPENSO"</formula>
    </cfRule>
  </conditionalFormatting>
  <conditionalFormatting sqref="P1162:P1164 P1166">
    <cfRule type="cellIs" dxfId="1052" priority="384" stopIfTrue="1" operator="equal">
      <formula>"Código não cadastrado"</formula>
    </cfRule>
  </conditionalFormatting>
  <conditionalFormatting sqref="P1165">
    <cfRule type="cellIs" dxfId="1051" priority="383" stopIfTrue="1" operator="equal">
      <formula>"Código não cadastrado"</formula>
    </cfRule>
  </conditionalFormatting>
  <conditionalFormatting sqref="AA1219">
    <cfRule type="expression" dxfId="1050" priority="376" stopIfTrue="1">
      <formula>O1219="*CANCELADO"</formula>
    </cfRule>
    <cfRule type="expression" dxfId="1049" priority="377" stopIfTrue="1">
      <formula>O1219="*OBSERVAÇÃO"</formula>
    </cfRule>
  </conditionalFormatting>
  <conditionalFormatting sqref="O1219">
    <cfRule type="cellIs" dxfId="1048" priority="374" stopIfTrue="1" operator="equal">
      <formula>"*CANCELADO"</formula>
    </cfRule>
    <cfRule type="cellIs" dxfId="1047" priority="375" stopIfTrue="1" operator="equal">
      <formula>"*OBSERVAÇÃO"</formula>
    </cfRule>
  </conditionalFormatting>
  <conditionalFormatting sqref="N1219">
    <cfRule type="cellIs" dxfId="1046" priority="373" stopIfTrue="1" operator="equal">
      <formula>"Código não cadastrado"</formula>
    </cfRule>
  </conditionalFormatting>
  <conditionalFormatting sqref="O1219">
    <cfRule type="expression" dxfId="1045" priority="367" stopIfTrue="1">
      <formula>AND(O1219&lt;&gt;"",Z1219="")</formula>
    </cfRule>
  </conditionalFormatting>
  <conditionalFormatting sqref="O1219">
    <cfRule type="cellIs" dxfId="1044" priority="358" operator="equal">
      <formula>"*SUSPENSO"</formula>
    </cfRule>
  </conditionalFormatting>
  <conditionalFormatting sqref="AA1221">
    <cfRule type="expression" dxfId="1043" priority="351" stopIfTrue="1">
      <formula>O1221="*CANCELADO"</formula>
    </cfRule>
    <cfRule type="expression" dxfId="1042" priority="352" stopIfTrue="1">
      <formula>O1221="*OBSERVAÇÃO"</formula>
    </cfRule>
  </conditionalFormatting>
  <conditionalFormatting sqref="O1221">
    <cfRule type="cellIs" dxfId="1041" priority="349" stopIfTrue="1" operator="equal">
      <formula>"*CANCELADO"</formula>
    </cfRule>
    <cfRule type="cellIs" dxfId="1040" priority="350" stopIfTrue="1" operator="equal">
      <formula>"*OBSERVAÇÃO"</formula>
    </cfRule>
  </conditionalFormatting>
  <conditionalFormatting sqref="N1221">
    <cfRule type="cellIs" dxfId="1039" priority="348" stopIfTrue="1" operator="equal">
      <formula>"Código não cadastrado"</formula>
    </cfRule>
  </conditionalFormatting>
  <conditionalFormatting sqref="O1221">
    <cfRule type="expression" dxfId="1038" priority="342" stopIfTrue="1">
      <formula>AND(O1221&lt;&gt;"",Z1221="")</formula>
    </cfRule>
  </conditionalFormatting>
  <conditionalFormatting sqref="F1221">
    <cfRule type="expression" dxfId="1037" priority="334" stopIfTrue="1">
      <formula>O1221="*OBSERVAÇÃO"</formula>
    </cfRule>
    <cfRule type="expression" dxfId="1036" priority="335" stopIfTrue="1">
      <formula>O1221="*CANCELADO"</formula>
    </cfRule>
    <cfRule type="expression" priority="336" stopIfTrue="1">
      <formula>A1221=""</formula>
    </cfRule>
    <cfRule type="expression" dxfId="1035" priority="337" stopIfTrue="1">
      <formula>F1221=""</formula>
    </cfRule>
    <cfRule type="expression" dxfId="1034" priority="338" stopIfTrue="1">
      <formula>AND(F1221&lt;&gt;"",S1221&lt;&gt;"",Y1221&lt;&gt;"")</formula>
    </cfRule>
    <cfRule type="expression" dxfId="1033" priority="339" stopIfTrue="1">
      <formula>AND(F1221&lt;&gt;"",S1221&lt;&gt;"")</formula>
    </cfRule>
    <cfRule type="expression" dxfId="1032" priority="340" stopIfTrue="1">
      <formula>F1221&lt;&gt;""</formula>
    </cfRule>
  </conditionalFormatting>
  <conditionalFormatting sqref="O1221">
    <cfRule type="cellIs" dxfId="1031" priority="333" operator="equal">
      <formula>"*SUSPENSO"</formula>
    </cfRule>
  </conditionalFormatting>
  <conditionalFormatting sqref="F1219">
    <cfRule type="expression" dxfId="1030" priority="326" stopIfTrue="1">
      <formula>O1219="*OBSERVAÇÃO"</formula>
    </cfRule>
    <cfRule type="expression" dxfId="1029" priority="327" stopIfTrue="1">
      <formula>O1219="*CANCELADO"</formula>
    </cfRule>
    <cfRule type="expression" priority="328" stopIfTrue="1">
      <formula>A1219=""</formula>
    </cfRule>
    <cfRule type="expression" dxfId="1028" priority="329" stopIfTrue="1">
      <formula>F1219=""</formula>
    </cfRule>
    <cfRule type="expression" dxfId="1027" priority="330" stopIfTrue="1">
      <formula>AND(F1219&lt;&gt;"",S1219&lt;&gt;"",Y1219&lt;&gt;"")</formula>
    </cfRule>
    <cfRule type="expression" dxfId="1026" priority="331" stopIfTrue="1">
      <formula>AND(F1219&lt;&gt;"",S1219&lt;&gt;"")</formula>
    </cfRule>
    <cfRule type="expression" dxfId="1025" priority="332" stopIfTrue="1">
      <formula>F1219&lt;&gt;""</formula>
    </cfRule>
  </conditionalFormatting>
  <conditionalFormatting sqref="AA1177">
    <cfRule type="expression" dxfId="1024" priority="308" stopIfTrue="1">
      <formula>O1177="*CANCELADO"</formula>
    </cfRule>
    <cfRule type="expression" dxfId="1023" priority="309" stopIfTrue="1">
      <formula>O1177="*OBSERVAÇÃO"</formula>
    </cfRule>
  </conditionalFormatting>
  <conditionalFormatting sqref="O1177">
    <cfRule type="cellIs" dxfId="1022" priority="306" stopIfTrue="1" operator="equal">
      <formula>"*CANCELADO"</formula>
    </cfRule>
    <cfRule type="cellIs" dxfId="1021" priority="307" stopIfTrue="1" operator="equal">
      <formula>"*OBSERVAÇÃO"</formula>
    </cfRule>
  </conditionalFormatting>
  <conditionalFormatting sqref="L1177:N1177">
    <cfRule type="cellIs" dxfId="1020" priority="305" stopIfTrue="1" operator="equal">
      <formula>"Código não cadastrado"</formula>
    </cfRule>
  </conditionalFormatting>
  <conditionalFormatting sqref="O1177">
    <cfRule type="expression" dxfId="1019" priority="299" stopIfTrue="1">
      <formula>AND(O1177&lt;&gt;"",Z1177="")</formula>
    </cfRule>
  </conditionalFormatting>
  <conditionalFormatting sqref="F1177">
    <cfRule type="expression" dxfId="1018" priority="291" stopIfTrue="1">
      <formula>O1177="*OBSERVAÇÃO"</formula>
    </cfRule>
    <cfRule type="expression" dxfId="1017" priority="292" stopIfTrue="1">
      <formula>O1177="*CANCELADO"</formula>
    </cfRule>
    <cfRule type="expression" priority="293" stopIfTrue="1">
      <formula>A1177=""</formula>
    </cfRule>
    <cfRule type="expression" dxfId="1016" priority="294" stopIfTrue="1">
      <formula>F1177=""</formula>
    </cfRule>
    <cfRule type="expression" dxfId="1015" priority="295" stopIfTrue="1">
      <formula>AND(F1177&lt;&gt;"",S1177&lt;&gt;"",Y1177&lt;&gt;"")</formula>
    </cfRule>
    <cfRule type="expression" dxfId="1014" priority="296" stopIfTrue="1">
      <formula>AND(F1177&lt;&gt;"",S1177&lt;&gt;"")</formula>
    </cfRule>
    <cfRule type="expression" dxfId="1013" priority="297" stopIfTrue="1">
      <formula>F1177&lt;&gt;""</formula>
    </cfRule>
  </conditionalFormatting>
  <conditionalFormatting sqref="O1177">
    <cfRule type="cellIs" dxfId="1012" priority="290" operator="equal">
      <formula>"*SUSPENSO"</formula>
    </cfRule>
  </conditionalFormatting>
  <conditionalFormatting sqref="O1180">
    <cfRule type="cellIs" dxfId="1011" priority="288" stopIfTrue="1" operator="equal">
      <formula>"*CANCELADO"</formula>
    </cfRule>
    <cfRule type="cellIs" dxfId="1010" priority="289" stopIfTrue="1" operator="equal">
      <formula>"*OBSERVAÇÃO"</formula>
    </cfRule>
  </conditionalFormatting>
  <conditionalFormatting sqref="O1180">
    <cfRule type="expression" dxfId="1009" priority="287" stopIfTrue="1">
      <formula>AND(O1180&lt;&gt;"",Z1180="")</formula>
    </cfRule>
  </conditionalFormatting>
  <conditionalFormatting sqref="O1180">
    <cfRule type="cellIs" dxfId="1008" priority="286" operator="equal">
      <formula>"*SUSPENSO"</formula>
    </cfRule>
  </conditionalFormatting>
  <conditionalFormatting sqref="O1182">
    <cfRule type="cellIs" dxfId="1007" priority="284" stopIfTrue="1" operator="equal">
      <formula>"*CANCELADO"</formula>
    </cfRule>
    <cfRule type="cellIs" dxfId="1006" priority="285" stopIfTrue="1" operator="equal">
      <formula>"*OBSERVAÇÃO"</formula>
    </cfRule>
  </conditionalFormatting>
  <conditionalFormatting sqref="O1182">
    <cfRule type="expression" dxfId="1005" priority="283" stopIfTrue="1">
      <formula>AND(O1182&lt;&gt;"",Z1182="")</formula>
    </cfRule>
  </conditionalFormatting>
  <conditionalFormatting sqref="O1182">
    <cfRule type="cellIs" dxfId="1004" priority="282" operator="equal">
      <formula>"*SUSPENSO"</formula>
    </cfRule>
  </conditionalFormatting>
  <conditionalFormatting sqref="O1183">
    <cfRule type="cellIs" dxfId="1003" priority="280" stopIfTrue="1" operator="equal">
      <formula>"*CANCELADO"</formula>
    </cfRule>
    <cfRule type="cellIs" dxfId="1002" priority="281" stopIfTrue="1" operator="equal">
      <formula>"*OBSERVAÇÃO"</formula>
    </cfRule>
  </conditionalFormatting>
  <conditionalFormatting sqref="O1183">
    <cfRule type="expression" dxfId="1001" priority="279" stopIfTrue="1">
      <formula>AND(O1183&lt;&gt;"",Z1183="")</formula>
    </cfRule>
  </conditionalFormatting>
  <conditionalFormatting sqref="O1183">
    <cfRule type="cellIs" dxfId="1000" priority="278" operator="equal">
      <formula>"*SUSPENSO"</formula>
    </cfRule>
  </conditionalFormatting>
  <conditionalFormatting sqref="O1195">
    <cfRule type="cellIs" dxfId="999" priority="276" stopIfTrue="1" operator="equal">
      <formula>"*CANCELADO"</formula>
    </cfRule>
    <cfRule type="cellIs" dxfId="998" priority="277" stopIfTrue="1" operator="equal">
      <formula>"*OBSERVAÇÃO"</formula>
    </cfRule>
  </conditionalFormatting>
  <conditionalFormatting sqref="O1195">
    <cfRule type="cellIs" dxfId="997" priority="275" operator="equal">
      <formula>"*SUSPENSO"</formula>
    </cfRule>
  </conditionalFormatting>
  <conditionalFormatting sqref="O1194">
    <cfRule type="cellIs" dxfId="996" priority="273" stopIfTrue="1" operator="equal">
      <formula>"*CANCELADO"</formula>
    </cfRule>
    <cfRule type="cellIs" dxfId="995" priority="274" stopIfTrue="1" operator="equal">
      <formula>"*OBSERVAÇÃO"</formula>
    </cfRule>
  </conditionalFormatting>
  <conditionalFormatting sqref="O1194">
    <cfRule type="expression" dxfId="994" priority="272" stopIfTrue="1">
      <formula>AND(O1194&lt;&gt;"",Z1194="")</formula>
    </cfRule>
  </conditionalFormatting>
  <conditionalFormatting sqref="O1194">
    <cfRule type="cellIs" dxfId="993" priority="271" operator="equal">
      <formula>"*SUSPENSO"</formula>
    </cfRule>
  </conditionalFormatting>
  <conditionalFormatting sqref="O1247">
    <cfRule type="cellIs" dxfId="992" priority="269" stopIfTrue="1" operator="equal">
      <formula>"*CANCELADO"</formula>
    </cfRule>
    <cfRule type="cellIs" dxfId="991" priority="270" stopIfTrue="1" operator="equal">
      <formula>"*OBSERVAÇÃO"</formula>
    </cfRule>
  </conditionalFormatting>
  <conditionalFormatting sqref="O1247">
    <cfRule type="expression" dxfId="990" priority="268" stopIfTrue="1">
      <formula>AND(O1247&lt;&gt;"",Z1247="")</formula>
    </cfRule>
  </conditionalFormatting>
  <conditionalFormatting sqref="O1247">
    <cfRule type="cellIs" dxfId="989" priority="267" operator="equal">
      <formula>"*SUSPENSO"</formula>
    </cfRule>
  </conditionalFormatting>
  <conditionalFormatting sqref="O1248">
    <cfRule type="cellIs" dxfId="988" priority="265" stopIfTrue="1" operator="equal">
      <formula>"*CANCELADO"</formula>
    </cfRule>
    <cfRule type="cellIs" dxfId="987" priority="266" stopIfTrue="1" operator="equal">
      <formula>"*OBSERVAÇÃO"</formula>
    </cfRule>
  </conditionalFormatting>
  <conditionalFormatting sqref="O1248">
    <cfRule type="expression" dxfId="986" priority="264" stopIfTrue="1">
      <formula>AND(O1248&lt;&gt;"",Z1248="")</formula>
    </cfRule>
  </conditionalFormatting>
  <conditionalFormatting sqref="O1248">
    <cfRule type="cellIs" dxfId="985" priority="263" operator="equal">
      <formula>"*SUSPENSO"</formula>
    </cfRule>
  </conditionalFormatting>
  <conditionalFormatting sqref="F1292">
    <cfRule type="expression" dxfId="984" priority="245" stopIfTrue="1">
      <formula>O1292="*OBSERVAÇÃO"</formula>
    </cfRule>
    <cfRule type="expression" dxfId="983" priority="246" stopIfTrue="1">
      <formula>O1292="*CANCELADO"</formula>
    </cfRule>
    <cfRule type="expression" priority="247" stopIfTrue="1">
      <formula>A1292=""</formula>
    </cfRule>
    <cfRule type="expression" dxfId="982" priority="248" stopIfTrue="1">
      <formula>F1292=""</formula>
    </cfRule>
    <cfRule type="expression" dxfId="981" priority="249" stopIfTrue="1">
      <formula>AND(F1292&lt;&gt;"",S1292&lt;&gt;"",Y1292&lt;&gt;"")</formula>
    </cfRule>
    <cfRule type="expression" dxfId="980" priority="250" stopIfTrue="1">
      <formula>AND(F1292&lt;&gt;"",S1292&lt;&gt;"")</formula>
    </cfRule>
    <cfRule type="expression" dxfId="979" priority="251" stopIfTrue="1">
      <formula>F1292&lt;&gt;""</formula>
    </cfRule>
  </conditionalFormatting>
  <conditionalFormatting sqref="AA1189">
    <cfRule type="expression" dxfId="978" priority="238" stopIfTrue="1">
      <formula>O1189="*CANCELADO"</formula>
    </cfRule>
    <cfRule type="expression" dxfId="977" priority="239" stopIfTrue="1">
      <formula>O1189="*OBSERVAÇÃO"</formula>
    </cfRule>
  </conditionalFormatting>
  <conditionalFormatting sqref="O1189">
    <cfRule type="cellIs" dxfId="976" priority="236" stopIfTrue="1" operator="equal">
      <formula>"*CANCELADO"</formula>
    </cfRule>
    <cfRule type="cellIs" dxfId="975" priority="237" stopIfTrue="1" operator="equal">
      <formula>"*OBSERVAÇÃO"</formula>
    </cfRule>
  </conditionalFormatting>
  <conditionalFormatting sqref="L1189:N1189">
    <cfRule type="cellIs" dxfId="974" priority="235" stopIfTrue="1" operator="equal">
      <formula>"Código não cadastrado"</formula>
    </cfRule>
  </conditionalFormatting>
  <conditionalFormatting sqref="O1189">
    <cfRule type="expression" dxfId="973" priority="229" stopIfTrue="1">
      <formula>AND(O1189&lt;&gt;"",Z1189="")</formula>
    </cfRule>
  </conditionalFormatting>
  <conditionalFormatting sqref="F1189">
    <cfRule type="expression" dxfId="972" priority="221" stopIfTrue="1">
      <formula>O1189="*OBSERVAÇÃO"</formula>
    </cfRule>
    <cfRule type="expression" dxfId="971" priority="222" stopIfTrue="1">
      <formula>O1189="*CANCELADO"</formula>
    </cfRule>
    <cfRule type="expression" priority="223" stopIfTrue="1">
      <formula>A1189=""</formula>
    </cfRule>
    <cfRule type="expression" dxfId="970" priority="224" stopIfTrue="1">
      <formula>F1189=""</formula>
    </cfRule>
    <cfRule type="expression" dxfId="969" priority="225" stopIfTrue="1">
      <formula>AND(F1189&lt;&gt;"",S1189&lt;&gt;"",Y1189&lt;&gt;"")</formula>
    </cfRule>
    <cfRule type="expression" dxfId="968" priority="226" stopIfTrue="1">
      <formula>AND(F1189&lt;&gt;"",S1189&lt;&gt;"")</formula>
    </cfRule>
    <cfRule type="expression" dxfId="967" priority="227" stopIfTrue="1">
      <formula>F1189&lt;&gt;""</formula>
    </cfRule>
  </conditionalFormatting>
  <conditionalFormatting sqref="O1189">
    <cfRule type="cellIs" dxfId="966" priority="220" operator="equal">
      <formula>"*SUSPENSO"</formula>
    </cfRule>
  </conditionalFormatting>
  <conditionalFormatting sqref="A1164:A1180">
    <cfRule type="expression" dxfId="965" priority="205" stopIfTrue="1">
      <formula>A1164=""</formula>
    </cfRule>
    <cfRule type="expression" dxfId="964" priority="206" stopIfTrue="1">
      <formula>F1164=""</formula>
    </cfRule>
    <cfRule type="expression" dxfId="963" priority="207" stopIfTrue="1">
      <formula>AND(F1164&lt;&gt;"",S1164&lt;&gt;"")</formula>
    </cfRule>
    <cfRule type="expression" dxfId="962" priority="208" stopIfTrue="1">
      <formula>F1164&lt;&gt;""</formula>
    </cfRule>
  </conditionalFormatting>
  <conditionalFormatting sqref="A1164:A1180">
    <cfRule type="expression" dxfId="961" priority="204" stopIfTrue="1">
      <formula>O1164="*CANCELADO"</formula>
    </cfRule>
  </conditionalFormatting>
  <conditionalFormatting sqref="A1164:A1180">
    <cfRule type="expression" dxfId="960" priority="200" stopIfTrue="1">
      <formula>A1164=""</formula>
    </cfRule>
    <cfRule type="expression" dxfId="959" priority="201" stopIfTrue="1">
      <formula>F1164=""</formula>
    </cfRule>
    <cfRule type="expression" dxfId="958" priority="202" stopIfTrue="1">
      <formula>AND(F1164&lt;&gt;"",S1164&lt;&gt;"")</formula>
    </cfRule>
    <cfRule type="expression" dxfId="957" priority="203" stopIfTrue="1">
      <formula>F1164&lt;&gt;""</formula>
    </cfRule>
  </conditionalFormatting>
  <conditionalFormatting sqref="A1164:A1180">
    <cfRule type="expression" dxfId="956" priority="199" stopIfTrue="1">
      <formula>O1164="*OBSERVAÇÃO"</formula>
    </cfRule>
  </conditionalFormatting>
  <conditionalFormatting sqref="A1164:A1180">
    <cfRule type="expression" dxfId="955" priority="198" stopIfTrue="1">
      <formula>AND(F1164&lt;&gt;"",S1164&lt;&gt;"",Y1164&lt;&gt;"")</formula>
    </cfRule>
  </conditionalFormatting>
  <conditionalFormatting sqref="A1164:A1180">
    <cfRule type="expression" dxfId="954" priority="194" stopIfTrue="1">
      <formula>A1164=""</formula>
    </cfRule>
    <cfRule type="expression" dxfId="953" priority="195" stopIfTrue="1">
      <formula>F1164=""</formula>
    </cfRule>
    <cfRule type="expression" dxfId="952" priority="196" stopIfTrue="1">
      <formula>AND(F1164&lt;&gt;"",S1164&lt;&gt;"")</formula>
    </cfRule>
    <cfRule type="expression" dxfId="951" priority="197" stopIfTrue="1">
      <formula>F1164&lt;&gt;""</formula>
    </cfRule>
  </conditionalFormatting>
  <conditionalFormatting sqref="A1164:A1180">
    <cfRule type="expression" dxfId="950" priority="193" stopIfTrue="1">
      <formula>O1164="*CANCELADO"</formula>
    </cfRule>
  </conditionalFormatting>
  <conditionalFormatting sqref="A1164:A1180">
    <cfRule type="expression" dxfId="949" priority="189" stopIfTrue="1">
      <formula>A1164=""</formula>
    </cfRule>
    <cfRule type="expression" dxfId="948" priority="190" stopIfTrue="1">
      <formula>F1164=""</formula>
    </cfRule>
    <cfRule type="expression" dxfId="947" priority="191" stopIfTrue="1">
      <formula>AND(F1164&lt;&gt;"",S1164&lt;&gt;"")</formula>
    </cfRule>
    <cfRule type="expression" dxfId="946" priority="192" stopIfTrue="1">
      <formula>F1164&lt;&gt;""</formula>
    </cfRule>
  </conditionalFormatting>
  <conditionalFormatting sqref="A1164:A1180">
    <cfRule type="expression" dxfId="945" priority="188" stopIfTrue="1">
      <formula>O1164="*OBSERVAÇÃO"</formula>
    </cfRule>
  </conditionalFormatting>
  <conditionalFormatting sqref="A1164:A1180">
    <cfRule type="expression" dxfId="944" priority="187" stopIfTrue="1">
      <formula>AND(F1164&lt;&gt;"",S1164&lt;&gt;"",Y1164&lt;&gt;"")</formula>
    </cfRule>
  </conditionalFormatting>
  <conditionalFormatting sqref="A1164:A1180">
    <cfRule type="expression" dxfId="943" priority="183" stopIfTrue="1">
      <formula>A1164=""</formula>
    </cfRule>
    <cfRule type="expression" dxfId="942" priority="184" stopIfTrue="1">
      <formula>F1164=""</formula>
    </cfRule>
    <cfRule type="expression" dxfId="941" priority="185" stopIfTrue="1">
      <formula>AND(F1164&lt;&gt;"",S1164&lt;&gt;"")</formula>
    </cfRule>
    <cfRule type="expression" dxfId="940" priority="186" stopIfTrue="1">
      <formula>F1164&lt;&gt;""</formula>
    </cfRule>
  </conditionalFormatting>
  <conditionalFormatting sqref="A1164:A1180">
    <cfRule type="expression" dxfId="939" priority="182" stopIfTrue="1">
      <formula>O1164="*CANCELADO"</formula>
    </cfRule>
  </conditionalFormatting>
  <conditionalFormatting sqref="A1164:A1180">
    <cfRule type="expression" dxfId="938" priority="178" stopIfTrue="1">
      <formula>A1164=""</formula>
    </cfRule>
    <cfRule type="expression" dxfId="937" priority="179" stopIfTrue="1">
      <formula>F1164=""</formula>
    </cfRule>
    <cfRule type="expression" dxfId="936" priority="180" stopIfTrue="1">
      <formula>AND(F1164&lt;&gt;"",S1164&lt;&gt;"")</formula>
    </cfRule>
    <cfRule type="expression" dxfId="935" priority="181" stopIfTrue="1">
      <formula>F1164&lt;&gt;""</formula>
    </cfRule>
  </conditionalFormatting>
  <conditionalFormatting sqref="A1164:A1180">
    <cfRule type="expression" dxfId="934" priority="177" stopIfTrue="1">
      <formula>O1164="*OBSERVAÇÃO"</formula>
    </cfRule>
  </conditionalFormatting>
  <conditionalFormatting sqref="A1164:A1180">
    <cfRule type="expression" dxfId="933" priority="176" stopIfTrue="1">
      <formula>AND(F1164&lt;&gt;"",S1164&lt;&gt;"",Y1164&lt;&gt;"")</formula>
    </cfRule>
  </conditionalFormatting>
  <conditionalFormatting sqref="A1164:A1180">
    <cfRule type="expression" dxfId="932" priority="172" stopIfTrue="1">
      <formula>A1164=""</formula>
    </cfRule>
    <cfRule type="expression" dxfId="931" priority="173" stopIfTrue="1">
      <formula>F1164=""</formula>
    </cfRule>
    <cfRule type="expression" dxfId="930" priority="174" stopIfTrue="1">
      <formula>AND(F1164&lt;&gt;"",S1164&lt;&gt;"")</formula>
    </cfRule>
    <cfRule type="expression" dxfId="929" priority="175" stopIfTrue="1">
      <formula>F1164&lt;&gt;""</formula>
    </cfRule>
  </conditionalFormatting>
  <conditionalFormatting sqref="A1164:A1180">
    <cfRule type="expression" dxfId="928" priority="171" stopIfTrue="1">
      <formula>O1164="*CANCELADO"</formula>
    </cfRule>
  </conditionalFormatting>
  <conditionalFormatting sqref="A1164:A1180">
    <cfRule type="expression" dxfId="927" priority="167" stopIfTrue="1">
      <formula>A1164=""</formula>
    </cfRule>
    <cfRule type="expression" dxfId="926" priority="168" stopIfTrue="1">
      <formula>F1164=""</formula>
    </cfRule>
    <cfRule type="expression" dxfId="925" priority="169" stopIfTrue="1">
      <formula>AND(F1164&lt;&gt;"",S1164&lt;&gt;"")</formula>
    </cfRule>
    <cfRule type="expression" dxfId="924" priority="170" stopIfTrue="1">
      <formula>F1164&lt;&gt;""</formula>
    </cfRule>
  </conditionalFormatting>
  <conditionalFormatting sqref="A1164:A1180">
    <cfRule type="expression" dxfId="923" priority="166" stopIfTrue="1">
      <formula>O1164="*OBSERVAÇÃO"</formula>
    </cfRule>
  </conditionalFormatting>
  <conditionalFormatting sqref="A1164:A1180">
    <cfRule type="expression" dxfId="922" priority="162" stopIfTrue="1">
      <formula>A1164=""</formula>
    </cfRule>
    <cfRule type="expression" dxfId="921" priority="163" stopIfTrue="1">
      <formula>F1164=""</formula>
    </cfRule>
    <cfRule type="expression" dxfId="920" priority="164" stopIfTrue="1">
      <formula>AND(F1164&lt;&gt;"",S1164&lt;&gt;"")</formula>
    </cfRule>
    <cfRule type="expression" dxfId="919" priority="165" stopIfTrue="1">
      <formula>F1164&lt;&gt;""</formula>
    </cfRule>
  </conditionalFormatting>
  <conditionalFormatting sqref="A1164:A1180">
    <cfRule type="expression" dxfId="918" priority="161" stopIfTrue="1">
      <formula>O1164="*CANCELADO"</formula>
    </cfRule>
  </conditionalFormatting>
  <conditionalFormatting sqref="A1164:A1180">
    <cfRule type="expression" dxfId="917" priority="160" stopIfTrue="1">
      <formula>O1164="*OBSERVAÇÃO"</formula>
    </cfRule>
  </conditionalFormatting>
  <conditionalFormatting sqref="A1164:A1180">
    <cfRule type="expression" dxfId="916" priority="159" stopIfTrue="1">
      <formula>AND(F1164&lt;&gt;"",S1164&lt;&gt;"",Y1164&lt;&gt;"")</formula>
    </cfRule>
  </conditionalFormatting>
  <conditionalFormatting sqref="AA1334">
    <cfRule type="expression" dxfId="915" priority="152" stopIfTrue="1">
      <formula>O1334="*CANCELADO"</formula>
    </cfRule>
    <cfRule type="expression" dxfId="914" priority="153" stopIfTrue="1">
      <formula>O1334="*OBSERVAÇÃO"</formula>
    </cfRule>
  </conditionalFormatting>
  <conditionalFormatting sqref="O1334">
    <cfRule type="cellIs" dxfId="913" priority="150" stopIfTrue="1" operator="equal">
      <formula>"*CANCELADO"</formula>
    </cfRule>
    <cfRule type="cellIs" dxfId="912" priority="151" stopIfTrue="1" operator="equal">
      <formula>"*OBSERVAÇÃO"</formula>
    </cfRule>
  </conditionalFormatting>
  <conditionalFormatting sqref="L1334:N1334">
    <cfRule type="cellIs" dxfId="911" priority="149" stopIfTrue="1" operator="equal">
      <formula>"Código não cadastrado"</formula>
    </cfRule>
  </conditionalFormatting>
  <conditionalFormatting sqref="O1334">
    <cfRule type="expression" dxfId="910" priority="143" stopIfTrue="1">
      <formula>AND(O1334&lt;&gt;"",Z1334="")</formula>
    </cfRule>
  </conditionalFormatting>
  <conditionalFormatting sqref="F1334">
    <cfRule type="expression" dxfId="909" priority="135" stopIfTrue="1">
      <formula>O1334="*OBSERVAÇÃO"</formula>
    </cfRule>
    <cfRule type="expression" dxfId="908" priority="136" stopIfTrue="1">
      <formula>O1334="*CANCELADO"</formula>
    </cfRule>
    <cfRule type="expression" priority="137" stopIfTrue="1">
      <formula>A1334=""</formula>
    </cfRule>
    <cfRule type="expression" dxfId="907" priority="138" stopIfTrue="1">
      <formula>F1334=""</formula>
    </cfRule>
    <cfRule type="expression" dxfId="906" priority="139" stopIfTrue="1">
      <formula>AND(F1334&lt;&gt;"",S1334&lt;&gt;"",Y1334&lt;&gt;"")</formula>
    </cfRule>
    <cfRule type="expression" dxfId="905" priority="140" stopIfTrue="1">
      <formula>AND(F1334&lt;&gt;"",S1334&lt;&gt;"")</formula>
    </cfRule>
    <cfRule type="expression" dxfId="904" priority="141" stopIfTrue="1">
      <formula>F1334&lt;&gt;""</formula>
    </cfRule>
  </conditionalFormatting>
  <conditionalFormatting sqref="O1334">
    <cfRule type="cellIs" dxfId="903" priority="134" operator="equal">
      <formula>"*SUSPENSO"</formula>
    </cfRule>
  </conditionalFormatting>
  <conditionalFormatting sqref="AA1331">
    <cfRule type="expression" dxfId="902" priority="127" stopIfTrue="1">
      <formula>O1331="*CANCELADO"</formula>
    </cfRule>
    <cfRule type="expression" dxfId="901" priority="128" stopIfTrue="1">
      <formula>O1331="*OBSERVAÇÃO"</formula>
    </cfRule>
  </conditionalFormatting>
  <conditionalFormatting sqref="O1331">
    <cfRule type="cellIs" dxfId="900" priority="125" stopIfTrue="1" operator="equal">
      <formula>"*CANCELADO"</formula>
    </cfRule>
    <cfRule type="cellIs" dxfId="899" priority="126" stopIfTrue="1" operator="equal">
      <formula>"*OBSERVAÇÃO"</formula>
    </cfRule>
  </conditionalFormatting>
  <conditionalFormatting sqref="L1331:N1331">
    <cfRule type="cellIs" dxfId="898" priority="124" stopIfTrue="1" operator="equal">
      <formula>"Código não cadastrado"</formula>
    </cfRule>
  </conditionalFormatting>
  <conditionalFormatting sqref="O1331">
    <cfRule type="expression" dxfId="897" priority="118" stopIfTrue="1">
      <formula>AND(O1331&lt;&gt;"",Z1331="")</formula>
    </cfRule>
  </conditionalFormatting>
  <conditionalFormatting sqref="F1331">
    <cfRule type="expression" dxfId="896" priority="110" stopIfTrue="1">
      <formula>O1331="*OBSERVAÇÃO"</formula>
    </cfRule>
    <cfRule type="expression" dxfId="895" priority="111" stopIfTrue="1">
      <formula>O1331="*CANCELADO"</formula>
    </cfRule>
    <cfRule type="expression" priority="112" stopIfTrue="1">
      <formula>A1331=""</formula>
    </cfRule>
    <cfRule type="expression" dxfId="894" priority="113" stopIfTrue="1">
      <formula>F1331=""</formula>
    </cfRule>
    <cfRule type="expression" dxfId="893" priority="114" stopIfTrue="1">
      <formula>AND(F1331&lt;&gt;"",S1331&lt;&gt;"",Y1331&lt;&gt;"")</formula>
    </cfRule>
    <cfRule type="expression" dxfId="892" priority="115" stopIfTrue="1">
      <formula>AND(F1331&lt;&gt;"",S1331&lt;&gt;"")</formula>
    </cfRule>
    <cfRule type="expression" dxfId="891" priority="116" stopIfTrue="1">
      <formula>F1331&lt;&gt;""</formula>
    </cfRule>
  </conditionalFormatting>
  <conditionalFormatting sqref="O1331">
    <cfRule type="cellIs" dxfId="890" priority="109" operator="equal">
      <formula>"*SUSPENSO"</formula>
    </cfRule>
  </conditionalFormatting>
  <conditionalFormatting sqref="N1441:N1445">
    <cfRule type="cellIs" dxfId="889" priority="108" stopIfTrue="1" operator="equal">
      <formula>"Código não cadastrado"</formula>
    </cfRule>
  </conditionalFormatting>
  <conditionalFormatting sqref="AA1241">
    <cfRule type="expression" dxfId="888" priority="101" stopIfTrue="1">
      <formula>O1241="*CANCELADO"</formula>
    </cfRule>
    <cfRule type="expression" dxfId="887" priority="102" stopIfTrue="1">
      <formula>O1241="*OBSERVAÇÃO"</formula>
    </cfRule>
  </conditionalFormatting>
  <conditionalFormatting sqref="O1241">
    <cfRule type="cellIs" dxfId="886" priority="99" stopIfTrue="1" operator="equal">
      <formula>"*CANCELADO"</formula>
    </cfRule>
    <cfRule type="cellIs" dxfId="885" priority="100" stopIfTrue="1" operator="equal">
      <formula>"*OBSERVAÇÃO"</formula>
    </cfRule>
  </conditionalFormatting>
  <conditionalFormatting sqref="L1241:N1241">
    <cfRule type="cellIs" dxfId="884" priority="98" stopIfTrue="1" operator="equal">
      <formula>"Código não cadastrado"</formula>
    </cfRule>
  </conditionalFormatting>
  <conditionalFormatting sqref="O1241">
    <cfRule type="expression" dxfId="883" priority="92" stopIfTrue="1">
      <formula>AND(O1241&lt;&gt;"",Z1241="")</formula>
    </cfRule>
  </conditionalFormatting>
  <conditionalFormatting sqref="F1241">
    <cfRule type="expression" dxfId="882" priority="84" stopIfTrue="1">
      <formula>O1241="*OBSERVAÇÃO"</formula>
    </cfRule>
    <cfRule type="expression" dxfId="881" priority="85" stopIfTrue="1">
      <formula>O1241="*CANCELADO"</formula>
    </cfRule>
    <cfRule type="expression" priority="86" stopIfTrue="1">
      <formula>A1241=""</formula>
    </cfRule>
    <cfRule type="expression" dxfId="880" priority="87" stopIfTrue="1">
      <formula>F1241=""</formula>
    </cfRule>
    <cfRule type="expression" dxfId="879" priority="88" stopIfTrue="1">
      <formula>AND(F1241&lt;&gt;"",S1241&lt;&gt;"",Y1241&lt;&gt;"")</formula>
    </cfRule>
    <cfRule type="expression" dxfId="878" priority="89" stopIfTrue="1">
      <formula>AND(F1241&lt;&gt;"",S1241&lt;&gt;"")</formula>
    </cfRule>
    <cfRule type="expression" dxfId="877" priority="90" stopIfTrue="1">
      <formula>F1241&lt;&gt;""</formula>
    </cfRule>
  </conditionalFormatting>
  <conditionalFormatting sqref="O1241">
    <cfRule type="cellIs" dxfId="876" priority="83" operator="equal">
      <formula>"*SUSPENSO"</formula>
    </cfRule>
  </conditionalFormatting>
  <conditionalFormatting sqref="AA1268">
    <cfRule type="expression" dxfId="875" priority="76" stopIfTrue="1">
      <formula>O1268="*CANCELADO"</formula>
    </cfRule>
    <cfRule type="expression" dxfId="874" priority="77" stopIfTrue="1">
      <formula>O1268="*OBSERVAÇÃO"</formula>
    </cfRule>
  </conditionalFormatting>
  <conditionalFormatting sqref="O1268">
    <cfRule type="cellIs" dxfId="873" priority="74" stopIfTrue="1" operator="equal">
      <formula>"*CANCELADO"</formula>
    </cfRule>
    <cfRule type="cellIs" dxfId="872" priority="75" stopIfTrue="1" operator="equal">
      <formula>"*OBSERVAÇÃO"</formula>
    </cfRule>
  </conditionalFormatting>
  <conditionalFormatting sqref="L1268:N1268">
    <cfRule type="cellIs" dxfId="871" priority="73" stopIfTrue="1" operator="equal">
      <formula>"Código não cadastrado"</formula>
    </cfRule>
  </conditionalFormatting>
  <conditionalFormatting sqref="O1268">
    <cfRule type="expression" dxfId="870" priority="67" stopIfTrue="1">
      <formula>AND(O1268&lt;&gt;"",Z1268="")</formula>
    </cfRule>
  </conditionalFormatting>
  <conditionalFormatting sqref="F1268">
    <cfRule type="expression" dxfId="869" priority="59" stopIfTrue="1">
      <formula>O1268="*OBSERVAÇÃO"</formula>
    </cfRule>
    <cfRule type="expression" dxfId="868" priority="60" stopIfTrue="1">
      <formula>O1268="*CANCELADO"</formula>
    </cfRule>
    <cfRule type="expression" priority="61" stopIfTrue="1">
      <formula>A1268=""</formula>
    </cfRule>
    <cfRule type="expression" dxfId="867" priority="62" stopIfTrue="1">
      <formula>F1268=""</formula>
    </cfRule>
    <cfRule type="expression" dxfId="866" priority="63" stopIfTrue="1">
      <formula>AND(F1268&lt;&gt;"",S1268&lt;&gt;"",Y1268&lt;&gt;"")</formula>
    </cfRule>
    <cfRule type="expression" dxfId="865" priority="64" stopIfTrue="1">
      <formula>AND(F1268&lt;&gt;"",S1268&lt;&gt;"")</formula>
    </cfRule>
    <cfRule type="expression" dxfId="864" priority="65" stopIfTrue="1">
      <formula>F1268&lt;&gt;""</formula>
    </cfRule>
  </conditionalFormatting>
  <conditionalFormatting sqref="O1268">
    <cfRule type="cellIs" dxfId="863" priority="58" operator="equal">
      <formula>"*SUSPENSO"</formula>
    </cfRule>
  </conditionalFormatting>
  <conditionalFormatting sqref="F1385">
    <cfRule type="expression" dxfId="862" priority="51" stopIfTrue="1">
      <formula>O1385="*OBSERVAÇÃO"</formula>
    </cfRule>
    <cfRule type="expression" dxfId="861" priority="52" stopIfTrue="1">
      <formula>O1385="*CANCELADO"</formula>
    </cfRule>
    <cfRule type="expression" priority="53" stopIfTrue="1">
      <formula>A1385=""</formula>
    </cfRule>
    <cfRule type="expression" dxfId="860" priority="54" stopIfTrue="1">
      <formula>F1385=""</formula>
    </cfRule>
    <cfRule type="expression" dxfId="859" priority="55" stopIfTrue="1">
      <formula>AND(F1385&lt;&gt;"",S1385&lt;&gt;"",Y1385&lt;&gt;"")</formula>
    </cfRule>
    <cfRule type="expression" dxfId="858" priority="56" stopIfTrue="1">
      <formula>AND(F1385&lt;&gt;"",S1385&lt;&gt;"")</formula>
    </cfRule>
    <cfRule type="expression" dxfId="857" priority="57" stopIfTrue="1">
      <formula>F1385&lt;&gt;""</formula>
    </cfRule>
  </conditionalFormatting>
  <conditionalFormatting sqref="A1181:A1486">
    <cfRule type="expression" dxfId="856" priority="47" stopIfTrue="1">
      <formula>A1181=""</formula>
    </cfRule>
    <cfRule type="expression" dxfId="855" priority="48" stopIfTrue="1">
      <formula>F1181=""</formula>
    </cfRule>
    <cfRule type="expression" dxfId="854" priority="49" stopIfTrue="1">
      <formula>AND(F1181&lt;&gt;"",S1181&lt;&gt;"")</formula>
    </cfRule>
    <cfRule type="expression" dxfId="853" priority="50" stopIfTrue="1">
      <formula>F1181&lt;&gt;""</formula>
    </cfRule>
  </conditionalFormatting>
  <conditionalFormatting sqref="A1181:A1486">
    <cfRule type="expression" dxfId="852" priority="46" stopIfTrue="1">
      <formula>O1181="*CANCELADO"</formula>
    </cfRule>
  </conditionalFormatting>
  <conditionalFormatting sqref="A1181:A1486">
    <cfRule type="expression" dxfId="851" priority="42" stopIfTrue="1">
      <formula>A1181=""</formula>
    </cfRule>
    <cfRule type="expression" dxfId="850" priority="43" stopIfTrue="1">
      <formula>F1181=""</formula>
    </cfRule>
    <cfRule type="expression" dxfId="849" priority="44" stopIfTrue="1">
      <formula>AND(F1181&lt;&gt;"",S1181&lt;&gt;"")</formula>
    </cfRule>
    <cfRule type="expression" dxfId="848" priority="45" stopIfTrue="1">
      <formula>F1181&lt;&gt;""</formula>
    </cfRule>
  </conditionalFormatting>
  <conditionalFormatting sqref="A1181:A1486">
    <cfRule type="expression" dxfId="847" priority="41" stopIfTrue="1">
      <formula>O1181="*OBSERVAÇÃO"</formula>
    </cfRule>
  </conditionalFormatting>
  <conditionalFormatting sqref="A1181:A1486">
    <cfRule type="expression" dxfId="846" priority="40" stopIfTrue="1">
      <formula>AND(F1181&lt;&gt;"",S1181&lt;&gt;"",Y1181&lt;&gt;"")</formula>
    </cfRule>
  </conditionalFormatting>
  <conditionalFormatting sqref="A1181:A1486">
    <cfRule type="expression" dxfId="845" priority="36" stopIfTrue="1">
      <formula>A1181=""</formula>
    </cfRule>
    <cfRule type="expression" dxfId="844" priority="37" stopIfTrue="1">
      <formula>F1181=""</formula>
    </cfRule>
    <cfRule type="expression" dxfId="843" priority="38" stopIfTrue="1">
      <formula>AND(F1181&lt;&gt;"",S1181&lt;&gt;"")</formula>
    </cfRule>
    <cfRule type="expression" dxfId="842" priority="39" stopIfTrue="1">
      <formula>F1181&lt;&gt;""</formula>
    </cfRule>
  </conditionalFormatting>
  <conditionalFormatting sqref="A1181:A1486">
    <cfRule type="expression" dxfId="841" priority="35" stopIfTrue="1">
      <formula>O1181="*CANCELADO"</formula>
    </cfRule>
  </conditionalFormatting>
  <conditionalFormatting sqref="A1181:A1486">
    <cfRule type="expression" dxfId="840" priority="31" stopIfTrue="1">
      <formula>A1181=""</formula>
    </cfRule>
    <cfRule type="expression" dxfId="839" priority="32" stopIfTrue="1">
      <formula>F1181=""</formula>
    </cfRule>
    <cfRule type="expression" dxfId="838" priority="33" stopIfTrue="1">
      <formula>AND(F1181&lt;&gt;"",S1181&lt;&gt;"")</formula>
    </cfRule>
    <cfRule type="expression" dxfId="837" priority="34" stopIfTrue="1">
      <formula>F1181&lt;&gt;""</formula>
    </cfRule>
  </conditionalFormatting>
  <conditionalFormatting sqref="A1181:A1486">
    <cfRule type="expression" dxfId="836" priority="30" stopIfTrue="1">
      <formula>O1181="*OBSERVAÇÃO"</formula>
    </cfRule>
  </conditionalFormatting>
  <conditionalFormatting sqref="A1181:A1486">
    <cfRule type="expression" dxfId="835" priority="29" stopIfTrue="1">
      <formula>AND(F1181&lt;&gt;"",S1181&lt;&gt;"",Y1181&lt;&gt;"")</formula>
    </cfRule>
  </conditionalFormatting>
  <conditionalFormatting sqref="A1181:A1486">
    <cfRule type="expression" dxfId="834" priority="25" stopIfTrue="1">
      <formula>A1181=""</formula>
    </cfRule>
    <cfRule type="expression" dxfId="833" priority="26" stopIfTrue="1">
      <formula>F1181=""</formula>
    </cfRule>
    <cfRule type="expression" dxfId="832" priority="27" stopIfTrue="1">
      <formula>AND(F1181&lt;&gt;"",S1181&lt;&gt;"")</formula>
    </cfRule>
    <cfRule type="expression" dxfId="831" priority="28" stopIfTrue="1">
      <formula>F1181&lt;&gt;""</formula>
    </cfRule>
  </conditionalFormatting>
  <conditionalFormatting sqref="A1181:A1486">
    <cfRule type="expression" dxfId="830" priority="24" stopIfTrue="1">
      <formula>O1181="*CANCELADO"</formula>
    </cfRule>
  </conditionalFormatting>
  <conditionalFormatting sqref="A1181:A1486">
    <cfRule type="expression" dxfId="829" priority="20" stopIfTrue="1">
      <formula>A1181=""</formula>
    </cfRule>
    <cfRule type="expression" dxfId="828" priority="21" stopIfTrue="1">
      <formula>F1181=""</formula>
    </cfRule>
    <cfRule type="expression" dxfId="827" priority="22" stopIfTrue="1">
      <formula>AND(F1181&lt;&gt;"",S1181&lt;&gt;"")</formula>
    </cfRule>
    <cfRule type="expression" dxfId="826" priority="23" stopIfTrue="1">
      <formula>F1181&lt;&gt;""</formula>
    </cfRule>
  </conditionalFormatting>
  <conditionalFormatting sqref="A1181:A1486">
    <cfRule type="expression" dxfId="825" priority="19" stopIfTrue="1">
      <formula>O1181="*OBSERVAÇÃO"</formula>
    </cfRule>
  </conditionalFormatting>
  <conditionalFormatting sqref="A1181:A1486">
    <cfRule type="expression" dxfId="824" priority="18" stopIfTrue="1">
      <formula>AND(F1181&lt;&gt;"",S1181&lt;&gt;"",Y1181&lt;&gt;"")</formula>
    </cfRule>
  </conditionalFormatting>
  <conditionalFormatting sqref="A1181:A1486">
    <cfRule type="expression" dxfId="823" priority="14" stopIfTrue="1">
      <formula>A1181=""</formula>
    </cfRule>
    <cfRule type="expression" dxfId="822" priority="15" stopIfTrue="1">
      <formula>F1181=""</formula>
    </cfRule>
    <cfRule type="expression" dxfId="821" priority="16" stopIfTrue="1">
      <formula>AND(F1181&lt;&gt;"",S1181&lt;&gt;"")</formula>
    </cfRule>
    <cfRule type="expression" dxfId="820" priority="17" stopIfTrue="1">
      <formula>F1181&lt;&gt;""</formula>
    </cfRule>
  </conditionalFormatting>
  <conditionalFormatting sqref="A1181:A1486">
    <cfRule type="expression" dxfId="819" priority="13" stopIfTrue="1">
      <formula>O1181="*CANCELADO"</formula>
    </cfRule>
  </conditionalFormatting>
  <conditionalFormatting sqref="A1181:A1486">
    <cfRule type="expression" dxfId="818" priority="9" stopIfTrue="1">
      <formula>A1181=""</formula>
    </cfRule>
    <cfRule type="expression" dxfId="817" priority="10" stopIfTrue="1">
      <formula>F1181=""</formula>
    </cfRule>
    <cfRule type="expression" dxfId="816" priority="11" stopIfTrue="1">
      <formula>AND(F1181&lt;&gt;"",S1181&lt;&gt;"")</formula>
    </cfRule>
    <cfRule type="expression" dxfId="815" priority="12" stopIfTrue="1">
      <formula>F1181&lt;&gt;""</formula>
    </cfRule>
  </conditionalFormatting>
  <conditionalFormatting sqref="A1181:A1486">
    <cfRule type="expression" dxfId="814" priority="8" stopIfTrue="1">
      <formula>O1181="*OBSERVAÇÃO"</formula>
    </cfRule>
  </conditionalFormatting>
  <conditionalFormatting sqref="A1181:A1486">
    <cfRule type="expression" dxfId="813" priority="4" stopIfTrue="1">
      <formula>A1181=""</formula>
    </cfRule>
    <cfRule type="expression" dxfId="812" priority="5" stopIfTrue="1">
      <formula>F1181=""</formula>
    </cfRule>
    <cfRule type="expression" dxfId="811" priority="6" stopIfTrue="1">
      <formula>AND(F1181&lt;&gt;"",S1181&lt;&gt;"")</formula>
    </cfRule>
    <cfRule type="expression" dxfId="810" priority="7" stopIfTrue="1">
      <formula>F1181&lt;&gt;""</formula>
    </cfRule>
  </conditionalFormatting>
  <conditionalFormatting sqref="A1181:A1486">
    <cfRule type="expression" dxfId="809" priority="3" stopIfTrue="1">
      <formula>O1181="*CANCELADO"</formula>
    </cfRule>
  </conditionalFormatting>
  <conditionalFormatting sqref="A1181:A1486">
    <cfRule type="expression" dxfId="808" priority="2" stopIfTrue="1">
      <formula>O1181="*OBSERVAÇÃO"</formula>
    </cfRule>
  </conditionalFormatting>
  <conditionalFormatting sqref="A1181:A1486">
    <cfRule type="expression" dxfId="807" priority="1" stopIfTrue="1">
      <formula>AND(F1181&lt;&gt;"",S1181&lt;&gt;"",Y1181&lt;&gt;"")</formula>
    </cfRule>
  </conditionalFormatting>
  <dataValidations count="7">
    <dataValidation type="list" allowBlank="1" showInputMessage="1" showErrorMessage="1" sqref="E3042:E1048576">
      <formula1>Responsável</formula1>
    </dataValidation>
    <dataValidation type="list" allowBlank="1" showInputMessage="1" showErrorMessage="1" sqref="E862:E876 E850:E860 E3:E848 E878:E1195 E1197:E3041">
      <formula1>responsáveis</formula1>
    </dataValidation>
    <dataValidation type="list" allowBlank="1" showInputMessage="1" showErrorMessage="1" sqref="O423:O547 O414 O416:O421 O588:O602 O578:O583 O585:O586 O554:O576 O604:O605 O607:O610 O612:O613 O615:O642 O663:O668 O670:O671 O644:O661 O3:O411 O1391:O3041 O673:O1389">
      <formula1>empresas</formula1>
    </dataValidation>
    <dataValidation type="list" allowBlank="1" showInputMessage="1" showErrorMessage="1" sqref="Z3:Z642 Z644:Z3041">
      <formula1>bimestres</formula1>
    </dataValidation>
    <dataValidation type="list" allowBlank="1" showInputMessage="1" showErrorMessage="1" sqref="B3:B1195 B1197:B1048576">
      <formula1>setores</formula1>
    </dataValidation>
    <dataValidation type="list" allowBlank="1" showInputMessage="1" showErrorMessage="1" sqref="AB3:AB3041">
      <formula1>SISG</formula1>
    </dataValidation>
    <dataValidation type="list" allowBlank="1" showInputMessage="1" showErrorMessage="1" sqref="O3042:O3046 O3048:O1048576 O1390">
      <formula1>FORNECEDORES</formula1>
    </dataValidation>
  </dataValidations>
  <pageMargins left="0.25" right="0.25" top="0.75" bottom="0.75" header="0.3" footer="0.3"/>
  <pageSetup paperSize="9" scale="20"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7">
    <tabColor rgb="FF00B0F0"/>
  </sheetPr>
  <dimension ref="A1:B4"/>
  <sheetViews>
    <sheetView workbookViewId="0">
      <selection activeCell="A5" sqref="A5"/>
    </sheetView>
  </sheetViews>
  <sheetFormatPr defaultRowHeight="15"/>
  <sheetData>
    <row r="1" spans="1:2">
      <c r="A1" t="s">
        <v>1866</v>
      </c>
      <c r="B1">
        <f>+COUNTIF(Controle!E:E,Plan1!A1)</f>
        <v>520</v>
      </c>
    </row>
    <row r="2" spans="1:2">
      <c r="A2" t="s">
        <v>3009</v>
      </c>
      <c r="B2" s="65">
        <f>+COUNTIF(Controle!E:E,Plan1!A2)</f>
        <v>364</v>
      </c>
    </row>
    <row r="3" spans="1:2">
      <c r="A3" t="s">
        <v>1867</v>
      </c>
      <c r="B3" s="65">
        <f>+COUNTIF(Controle!E:E,Plan1!A3)</f>
        <v>260</v>
      </c>
    </row>
    <row r="4" spans="1:2">
      <c r="A4" t="s">
        <v>1865</v>
      </c>
      <c r="B4" s="65">
        <f>+COUNTIF(Controle!E:E,Plan1!A4)</f>
        <v>113</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tabColor rgb="FF00B0F0"/>
  </sheetPr>
  <dimension ref="A1:T69"/>
  <sheetViews>
    <sheetView zoomScale="85" zoomScaleNormal="85" workbookViewId="0">
      <pane xSplit="1" topLeftCell="B1" activePane="topRight" state="frozen"/>
      <selection pane="topRight" activeCell="I1" sqref="I1:K2"/>
    </sheetView>
  </sheetViews>
  <sheetFormatPr defaultColWidth="9.140625" defaultRowHeight="15"/>
  <cols>
    <col min="1" max="1" width="24.140625" style="111" customWidth="1"/>
    <col min="2" max="2" width="14" style="86" customWidth="1"/>
    <col min="3" max="3" width="12" style="86" customWidth="1"/>
    <col min="4" max="4" width="7.42578125" style="86" bestFit="1" customWidth="1"/>
    <col min="5" max="5" width="4.7109375" style="86" customWidth="1"/>
    <col min="6" max="6" width="8.5703125" style="86" customWidth="1"/>
    <col min="7" max="7" width="15" style="86" customWidth="1"/>
    <col min="8" max="8" width="11.85546875" style="86" customWidth="1"/>
    <col min="9" max="9" width="12" style="86" customWidth="1"/>
    <col min="10" max="10" width="9.42578125" style="86" customWidth="1"/>
    <col min="11" max="11" width="4.7109375" style="86" customWidth="1"/>
    <col min="12" max="12" width="8" style="86" bestFit="1" customWidth="1"/>
    <col min="13" max="13" width="14.85546875" style="86" customWidth="1"/>
    <col min="14" max="14" width="11.5703125" style="86" customWidth="1"/>
    <col min="15" max="15" width="12.42578125" style="86" customWidth="1"/>
    <col min="16" max="16" width="7.42578125" style="86" bestFit="1" customWidth="1"/>
    <col min="17" max="17" width="4.7109375" style="86" customWidth="1"/>
    <col min="18" max="18" width="8.42578125" style="86" customWidth="1"/>
    <col min="19" max="19" width="13.7109375" style="86" customWidth="1"/>
    <col min="20" max="20" width="16.85546875" style="86" customWidth="1"/>
    <col min="21" max="16384" width="9.140625" style="86"/>
  </cols>
  <sheetData>
    <row r="1" spans="1:20" ht="15.75" customHeight="1" thickTop="1">
      <c r="A1" s="87"/>
      <c r="B1" s="724" t="s">
        <v>2558</v>
      </c>
      <c r="C1" s="725"/>
      <c r="D1" s="725"/>
      <c r="E1" s="725"/>
      <c r="F1" s="725"/>
      <c r="G1" s="725"/>
      <c r="H1" s="725"/>
      <c r="I1" s="722" t="s">
        <v>7205</v>
      </c>
      <c r="J1" s="722"/>
      <c r="K1" s="722"/>
      <c r="L1" s="252"/>
      <c r="M1" s="718" t="s">
        <v>1322</v>
      </c>
      <c r="N1" s="719"/>
      <c r="O1" s="734" t="e">
        <f>IF(OR($I$1="",$I$1="XXX/2019"),"",INDEX(Controle!$A$3:$A$3041,(MATCH($I$1,Controle!$F$3:$F$3041,0))))</f>
        <v>#N/A</v>
      </c>
      <c r="P1" s="735"/>
      <c r="Q1" s="728" t="e">
        <f>IF(OR($I$1="",$I$1="XXX/2019"),"",INDEX(Controle!$B$3:$B$3041,(MATCH($I$1,Controle!$F$3:$F$3041,0))))</f>
        <v>#N/A</v>
      </c>
      <c r="R1" s="729"/>
      <c r="S1" s="730"/>
    </row>
    <row r="2" spans="1:20" ht="15.75" customHeight="1" thickBot="1">
      <c r="A2" s="88"/>
      <c r="B2" s="726"/>
      <c r="C2" s="727"/>
      <c r="D2" s="727"/>
      <c r="E2" s="727"/>
      <c r="F2" s="727"/>
      <c r="G2" s="727"/>
      <c r="H2" s="727"/>
      <c r="I2" s="723"/>
      <c r="J2" s="723"/>
      <c r="K2" s="723"/>
      <c r="L2" s="253"/>
      <c r="M2" s="720"/>
      <c r="N2" s="721"/>
      <c r="O2" s="736"/>
      <c r="P2" s="737"/>
      <c r="Q2" s="731"/>
      <c r="R2" s="732"/>
      <c r="S2" s="733"/>
      <c r="T2" s="89"/>
    </row>
    <row r="3" spans="1:20" ht="17.25" customHeight="1" thickTop="1" thickBot="1">
      <c r="A3" s="88"/>
      <c r="B3" s="754" t="s">
        <v>551</v>
      </c>
      <c r="C3" s="755"/>
      <c r="D3" s="756" t="s">
        <v>8</v>
      </c>
      <c r="E3" s="757"/>
      <c r="F3" s="758"/>
      <c r="G3" s="168" t="e">
        <f t="array" ref="G3">IF(OR($I$1="",I1="XXX/2017"),"",IF(OR(ISERROR(INDEX(Controle!$H$3:$H$3041,MATCH(Mapa!$I$1&amp;"1",Controle!$F$3:$F$3041&amp;Controle!$G$3:$G$3041,0))),(INDEX(Controle!$H$3:$H$3041,MATCH(Mapa!$I$1&amp;"1",Controle!$F$3:$F$3041&amp;Controle!$G$3:$G$3041,0)))=0),"",(INDEX(Controle!$H$3:$H$3041,MATCH(Mapa!$I$1&amp;"1",Controle!$F$3:$F$3041&amp;Controle!$G$3:$G$3041,0)))))</f>
        <v>#N/A</v>
      </c>
      <c r="H3" s="753" t="s">
        <v>552</v>
      </c>
      <c r="I3" s="744"/>
      <c r="J3" s="745"/>
      <c r="K3" s="746" t="s">
        <v>8</v>
      </c>
      <c r="L3" s="747"/>
      <c r="M3" s="169" t="e">
        <f t="array" ref="M3">IF(OR($I$1="",I1="XXX/2017"),"",IF(OR(ISERROR(INDEX(Controle!$H$3:$H$3041,MATCH(Mapa!$I$1&amp;"2",Controle!$F$3:$F$3041&amp;Controle!$G$3:$G$3041,0))),(INDEX(Controle!$H$3:$H$3041,MATCH(Mapa!$I$1&amp;"2",Controle!$F$3:$F$3041&amp;Controle!$G$3:$G$3041,0)))=0),"",(INDEX(Controle!$H$3:$H$3041,MATCH(Mapa!$I$1&amp;"2",Controle!$F$3:$F$3041&amp;Controle!$G$3:$G$3041,0)))))</f>
        <v>#N/A</v>
      </c>
      <c r="N3" s="743" t="s">
        <v>553</v>
      </c>
      <c r="O3" s="744"/>
      <c r="P3" s="748"/>
      <c r="Q3" s="751" t="s">
        <v>8</v>
      </c>
      <c r="R3" s="752"/>
      <c r="S3" s="169" t="e">
        <f t="array" ref="S3">IF(OR($I$1="",I1="XXX/2017"),"",IF(OR(ISERROR(INDEX(Controle!$H$3:$H$3041,MATCH(Mapa!$I$1&amp;"3",Controle!$F$3:$F$3041&amp;Controle!$G$3:$G$3041,0))),(INDEX(Controle!$H$3:$H$3041,MATCH(Mapa!$I$1&amp;"3",Controle!$F$3:$F$3041&amp;Controle!$G$3:$G$3041,0)))=0),"",(INDEX(Controle!$H$3:$H$3041,MATCH(Mapa!$I$1&amp;"3",Controle!$F$3:$F$3041&amp;Controle!$G$3:$G$3041,0)))))</f>
        <v>#N/A</v>
      </c>
      <c r="T3" s="89"/>
    </row>
    <row r="4" spans="1:20" ht="99" customHeight="1" thickTop="1" thickBot="1">
      <c r="A4" s="90"/>
      <c r="B4" s="759" t="str">
        <f>IF(ISERROR(VLOOKUP(G3,produtos_escape2!$A$2:$D$2794,2)),"",IF(VLOOKUP(G3,produtos_escape2!$A$2:$D$2794,1)&lt;&gt;G3,"Código não cadastrado",VLOOKUP(G3,produtos_escape2!$A$2:$D$2794,2)))</f>
        <v/>
      </c>
      <c r="C4" s="760"/>
      <c r="D4" s="200" t="e">
        <f t="array" ref="D4">IF(OR($I$1="",I1="XXX/2017"),"",IF(OR(ISERROR(INDEX(Controle!$N$3:$N$3041,MATCH(Mapa!$I$1&amp;"1",Controle!$F$3:$F$3041&amp;Controle!$G$3:$G$3041,0))),(INDEX(Controle!$N$3:$N$3041,MATCH(Mapa!$I$1&amp;"1",Controle!$F$3:$F$3041&amp;Controle!$G$3:$G$3041,0)))=0),"",(INDEX(Controle!$N$3:$N$3041,MATCH(Mapa!$I$1&amp;"1",Controle!$F$3:$F$3041&amp;Controle!$G$3:$G$3041,0)))))</f>
        <v>#N/A</v>
      </c>
      <c r="E4" s="124" t="s">
        <v>5</v>
      </c>
      <c r="F4" s="201"/>
      <c r="G4" s="125" t="str">
        <f>IF(ISERROR(VLOOKUP(G3,produtos_escape2!$A$2:$D$2794,4)),"",IF(VLOOKUP(G3,produtos_escape2!$A$2:$D$2794,4)=0,"Cadastrar unidade",IF(VLOOKUP(G3,produtos_escape2!$A$2:$D$2794,1)&lt;&gt;G3,"Unidade não cadastrada",VLOOKUP(G3,produtos_escape2!$A$2:$D$2794,4))))</f>
        <v/>
      </c>
      <c r="H4" s="749" t="str">
        <f>IF(ISERROR(VLOOKUP(M3,produtos_escape2!$A$2:$D$2794,2)),"",IF(VLOOKUP(M3,produtos_escape2!$A$2:$D$2794,1)&lt;&gt;M3,"Código não cadastrado",VLOOKUP(M3,produtos_escape2!$A$2:$D$2794,2)))</f>
        <v/>
      </c>
      <c r="I4" s="750"/>
      <c r="J4" s="200" t="e">
        <f t="array" ref="J4">IF(OR($I$1="",I1="XXX/2017"),"",IF(OR(ISERROR(INDEX(Controle!$N$3:$N$3041,MATCH(Mapa!$I$1&amp;"2",Controle!$F$3:$F$3041&amp;Controle!$G$3:$G$3041,0))),(INDEX(Controle!$N$3:$N$3041,MATCH(Mapa!$I$1&amp;"2",Controle!$F$3:$F$3041&amp;Controle!$G$3:$G$3041,0)))=0),"",(INDEX(Controle!$N$3:$N$3041,MATCH(Mapa!$I$1&amp;"2",Controle!$F$3:$F$3041&amp;Controle!$G$3:$G$3041,0)))))</f>
        <v>#N/A</v>
      </c>
      <c r="K4" s="124" t="s">
        <v>5</v>
      </c>
      <c r="L4" s="202"/>
      <c r="M4" s="126" t="str">
        <f>IF(ISERROR(VLOOKUP(M3,produtos_escape2!$A$2:$D$2794,4)),"",IF(VLOOKUP(M3,produtos_escape2!$A$2:$D$2794,4)=0,"Cadastrar unidade",IF(VLOOKUP(M3,produtos_escape2!$A$2:$D$2794,1)&lt;&gt;M3,"Unidade não cadastrada",VLOOKUP(M3,produtos_escape2!$A$2:$D$2794,4))))</f>
        <v/>
      </c>
      <c r="N4" s="749" t="str">
        <f>IF(ISERROR(VLOOKUP(S3,produtos_escape2!$A$2:$D$2794,2)),"",IF(VLOOKUP(S3,produtos_escape2!$A$2:$D$2794,1)&lt;&gt;S3,"Código não cadastrado",VLOOKUP(S3,produtos_escape2!$A$2:$D$2794,2)))</f>
        <v/>
      </c>
      <c r="O4" s="750"/>
      <c r="P4" s="200" t="e">
        <f t="array" ref="P4">IF(OR($I$1="",I1="XXX/2017"),"",IF(OR(ISERROR(INDEX(Controle!$N$3:$N$3041,MATCH(Mapa!$I$1&amp;"3",Controle!$F$3:$F$3041&amp;Controle!$G$3:$G$3041,0))),(INDEX(Controle!$N$3:$N$3041,MATCH(Mapa!$I$1&amp;"3",Controle!$F$3:$F$3041&amp;Controle!$G$3:$G$3041,0)))=0),"",(INDEX(Controle!$N$3:$N$3041,MATCH(Mapa!$I$1&amp;"3",Controle!$F$3:$F$3041&amp;Controle!$G$3:$G$3041,0)))))</f>
        <v>#N/A</v>
      </c>
      <c r="Q4" s="124" t="s">
        <v>5</v>
      </c>
      <c r="R4" s="201"/>
      <c r="S4" s="126" t="str">
        <f>IF(ISERROR(VLOOKUP(S3,produtos_escape2!$A$2:$D$2794,4)),"",IF(VLOOKUP(S3,produtos_escape2!$A$2:$D$2794,4)=0,"Cadastrar unidade",IF(VLOOKUP(S3,produtos_escape2!$A$2:$D$2794,1)&lt;&gt;S3,"Unidade não cadastrada",VLOOKUP(S3,produtos_escape2!$A$2:$D$2794,4))))</f>
        <v/>
      </c>
      <c r="T4" s="91"/>
    </row>
    <row r="5" spans="1:20" ht="15" customHeight="1" thickTop="1" thickBot="1">
      <c r="A5" s="216" t="s">
        <v>0</v>
      </c>
      <c r="B5" s="128" t="s">
        <v>1</v>
      </c>
      <c r="C5" s="742" t="s">
        <v>2</v>
      </c>
      <c r="D5" s="742"/>
      <c r="E5" s="742" t="s">
        <v>3</v>
      </c>
      <c r="F5" s="742"/>
      <c r="G5" s="128" t="s">
        <v>4</v>
      </c>
      <c r="H5" s="128" t="s">
        <v>1</v>
      </c>
      <c r="I5" s="742" t="s">
        <v>2</v>
      </c>
      <c r="J5" s="742"/>
      <c r="K5" s="742" t="s">
        <v>3</v>
      </c>
      <c r="L5" s="742"/>
      <c r="M5" s="128" t="s">
        <v>4</v>
      </c>
      <c r="N5" s="128" t="s">
        <v>1</v>
      </c>
      <c r="O5" s="742" t="s">
        <v>2</v>
      </c>
      <c r="P5" s="742"/>
      <c r="Q5" s="742" t="s">
        <v>3</v>
      </c>
      <c r="R5" s="742"/>
      <c r="S5" s="128" t="s">
        <v>4</v>
      </c>
      <c r="T5" s="220" t="s">
        <v>2975</v>
      </c>
    </row>
    <row r="6" spans="1:20" ht="15.75" thickTop="1">
      <c r="A6" s="129"/>
      <c r="B6" s="132"/>
      <c r="C6" s="133">
        <f>IF(ISERROR(B6*$F$4),0,B6*$F$4)</f>
        <v>0</v>
      </c>
      <c r="D6" s="134" t="str">
        <f>IF(ISBLANK(B6),"",IF(AND(B6=$C$16,B6&gt;0),"1º",IF(AND(B6&gt;0,B6=SMALL($B$6:$B$15,2)),"2º",IF(AND(B6&gt;0,B6=SMALL($B$6:$B$15,3)),"3º",""))))</f>
        <v/>
      </c>
      <c r="E6" s="135"/>
      <c r="F6" s="134" t="str">
        <f>IF(ISBLANK(E6),"",IF(ISBLANK($C$18),"",IF(E6&lt;=$C$18,"OK","PUL")))</f>
        <v/>
      </c>
      <c r="G6" s="136"/>
      <c r="H6" s="132"/>
      <c r="I6" s="133">
        <f>IF(ISERROR(H6*$L$4),0,H6*$L$4)</f>
        <v>0</v>
      </c>
      <c r="J6" s="134" t="str">
        <f t="shared" ref="J6:J15" si="0">IF(ISBLANK(H6),"",IF(AND(H6=$I$16,H6&gt;0),"1º",IF(AND(H6&gt;0,H6=SMALL($H$6:$H$15,2)),"2º",IF(AND(H6&gt;0,H6=SMALL($H$6:$H$15,3)),"3º",""))))</f>
        <v/>
      </c>
      <c r="K6" s="135"/>
      <c r="L6" s="134" t="str">
        <f>IF(ISBLANK(K6),"",IF(ISBLANK($I$18),"",IF(K6&lt;=$I$18,"OK","PUL")))</f>
        <v/>
      </c>
      <c r="M6" s="136"/>
      <c r="N6" s="132"/>
      <c r="O6" s="133">
        <f>IF(ISERROR(N6*$R$4),0,N6*$R$4)</f>
        <v>0</v>
      </c>
      <c r="P6" s="134" t="str">
        <f>IF(ISBLANK(N6),"",IF(AND(N6=$O$16,N6&gt;0),"1º",IF(AND(N6&gt;0,N6=SMALL($N$6:$N$15,2)),"2º",IF(AND(N6&gt;0,N6=SMALL($N$6:$N$15,3)),"3º",""))))</f>
        <v/>
      </c>
      <c r="Q6" s="135"/>
      <c r="R6" s="134" t="str">
        <f>IF(ISBLANK(Q6),"",IF(ISBLANK($O$18),"",IF(Q6&lt;=$O$18,"OK","PUL")))</f>
        <v/>
      </c>
      <c r="S6" s="136"/>
      <c r="T6" s="226"/>
    </row>
    <row r="7" spans="1:20">
      <c r="A7" s="130"/>
      <c r="B7" s="96"/>
      <c r="C7" s="92">
        <f t="shared" ref="C7:C14" si="1">IF(ISERROR(B7*$F$4),0,B7*$F$4)</f>
        <v>0</v>
      </c>
      <c r="D7" s="93" t="str">
        <f>IF(ISBLANK(B7),"",IF(AND(B7=$C$16,B7&gt;0),"1º",IF(AND(B7&gt;0,B7=SMALL($B$6:$B$15,2)),"2º",IF(AND(B7&gt;0,B7=SMALL($B$6:$B$15,3)),"3º",""))))</f>
        <v/>
      </c>
      <c r="E7" s="94"/>
      <c r="F7" s="93" t="str">
        <f t="shared" ref="F7:F15" si="2">IF(ISBLANK(E7),"",IF(ISBLANK($C$18),"",IF(E7&lt;=$C$18,"OK","PUL")))</f>
        <v/>
      </c>
      <c r="G7" s="95"/>
      <c r="H7" s="96"/>
      <c r="I7" s="92">
        <f t="shared" ref="I7:I15" si="3">IF(ISERROR(H7*$L$4),0,H7*$L$4)</f>
        <v>0</v>
      </c>
      <c r="J7" s="93" t="str">
        <f t="shared" si="0"/>
        <v/>
      </c>
      <c r="K7" s="94"/>
      <c r="L7" s="93" t="str">
        <f t="shared" ref="L7:L15" si="4">IF(ISBLANK(K7),"",IF(ISBLANK($I$18),"",IF(K7&lt;=$I$18,"OK","PUL")))</f>
        <v/>
      </c>
      <c r="M7" s="95"/>
      <c r="N7" s="96"/>
      <c r="O7" s="92">
        <f t="shared" ref="O7:O15" si="5">IF(ISERROR(N7*$R$4),0,N7*$R$4)</f>
        <v>0</v>
      </c>
      <c r="P7" s="93" t="str">
        <f t="shared" ref="P7:P15" si="6">IF(ISBLANK(N7),"",IF(AND(N7=$O$16,N7&gt;0),"1º",IF(AND(N7&gt;0,N7=SMALL($N$6:$N$15,2)),"2º",IF(AND(N7&gt;0,N7=SMALL($N$6:$N$15,3)),"3º",""))))</f>
        <v/>
      </c>
      <c r="Q7" s="94"/>
      <c r="R7" s="93" t="str">
        <f t="shared" ref="R7:R15" si="7">IF(ISBLANK(Q7),"",IF(ISBLANK($O$18),"",IF(Q7&lt;=$O$18,"OK","PUL")))</f>
        <v/>
      </c>
      <c r="S7" s="95"/>
      <c r="T7" s="222"/>
    </row>
    <row r="8" spans="1:20">
      <c r="A8" s="130"/>
      <c r="B8" s="96"/>
      <c r="C8" s="92">
        <f t="shared" si="1"/>
        <v>0</v>
      </c>
      <c r="D8" s="93" t="str">
        <f>IF(ISBLANK(B8),"",IF(AND(B8=$C$16,B8&gt;0),"1º",IF(AND(B8&gt;0,B8=SMALL($B$6:$B$15,2)),"2º",IF(AND(B8&gt;0,B8=SMALL($B$6:$B$15,3)),"3º",""))))</f>
        <v/>
      </c>
      <c r="E8" s="94"/>
      <c r="F8" s="93" t="str">
        <f t="shared" si="2"/>
        <v/>
      </c>
      <c r="G8" s="95"/>
      <c r="H8" s="96"/>
      <c r="I8" s="92">
        <f t="shared" si="3"/>
        <v>0</v>
      </c>
      <c r="J8" s="93" t="str">
        <f t="shared" si="0"/>
        <v/>
      </c>
      <c r="K8" s="94"/>
      <c r="L8" s="93" t="str">
        <f t="shared" si="4"/>
        <v/>
      </c>
      <c r="M8" s="95"/>
      <c r="N8" s="96"/>
      <c r="O8" s="92">
        <f t="shared" si="5"/>
        <v>0</v>
      </c>
      <c r="P8" s="93" t="str">
        <f t="shared" si="6"/>
        <v/>
      </c>
      <c r="Q8" s="94"/>
      <c r="R8" s="93" t="str">
        <f t="shared" si="7"/>
        <v/>
      </c>
      <c r="S8" s="95"/>
      <c r="T8" s="222"/>
    </row>
    <row r="9" spans="1:20">
      <c r="A9" s="130"/>
      <c r="B9" s="96"/>
      <c r="C9" s="92">
        <f t="shared" si="1"/>
        <v>0</v>
      </c>
      <c r="D9" s="93" t="str">
        <f t="shared" ref="D9:D15" si="8">IF(ISBLANK(B9),"",IF(AND(B9=$C$16,B9&gt;0),"1º",IF(AND(B9&gt;0,B9=SMALL($B$6:$B$15,2)),"2º",IF(AND(B9&gt;0,B9=SMALL($B$6:$B$15,3)),"3º",""))))</f>
        <v/>
      </c>
      <c r="E9" s="94"/>
      <c r="F9" s="93" t="str">
        <f>IF(ISBLANK(E9),"",IF(ISBLANK($C$18),"",IF(E9&lt;=$C$18,"OK","PUL")))</f>
        <v/>
      </c>
      <c r="G9" s="95"/>
      <c r="H9" s="96"/>
      <c r="I9" s="92">
        <f t="shared" si="3"/>
        <v>0</v>
      </c>
      <c r="J9" s="93" t="str">
        <f t="shared" si="0"/>
        <v/>
      </c>
      <c r="K9" s="94"/>
      <c r="L9" s="93" t="str">
        <f t="shared" si="4"/>
        <v/>
      </c>
      <c r="M9" s="95"/>
      <c r="N9" s="96"/>
      <c r="O9" s="92">
        <f t="shared" si="5"/>
        <v>0</v>
      </c>
      <c r="P9" s="93" t="str">
        <f t="shared" si="6"/>
        <v/>
      </c>
      <c r="Q9" s="94"/>
      <c r="R9" s="93" t="str">
        <f t="shared" si="7"/>
        <v/>
      </c>
      <c r="S9" s="95"/>
      <c r="T9" s="222"/>
    </row>
    <row r="10" spans="1:20">
      <c r="A10" s="130"/>
      <c r="B10" s="96"/>
      <c r="C10" s="92">
        <f t="shared" si="1"/>
        <v>0</v>
      </c>
      <c r="D10" s="93" t="str">
        <f t="shared" si="8"/>
        <v/>
      </c>
      <c r="E10" s="94"/>
      <c r="F10" s="93" t="str">
        <f t="shared" si="2"/>
        <v/>
      </c>
      <c r="G10" s="95"/>
      <c r="H10" s="96"/>
      <c r="I10" s="92">
        <f t="shared" si="3"/>
        <v>0</v>
      </c>
      <c r="J10" s="93" t="str">
        <f t="shared" si="0"/>
        <v/>
      </c>
      <c r="K10" s="94"/>
      <c r="L10" s="93" t="str">
        <f t="shared" si="4"/>
        <v/>
      </c>
      <c r="M10" s="95"/>
      <c r="N10" s="96"/>
      <c r="O10" s="92">
        <f t="shared" si="5"/>
        <v>0</v>
      </c>
      <c r="P10" s="93" t="str">
        <f t="shared" si="6"/>
        <v/>
      </c>
      <c r="Q10" s="94"/>
      <c r="R10" s="93" t="str">
        <f t="shared" si="7"/>
        <v/>
      </c>
      <c r="S10" s="95"/>
      <c r="T10" s="222"/>
    </row>
    <row r="11" spans="1:20">
      <c r="A11" s="130"/>
      <c r="B11" s="96"/>
      <c r="C11" s="92">
        <f t="shared" si="1"/>
        <v>0</v>
      </c>
      <c r="D11" s="93" t="str">
        <f t="shared" si="8"/>
        <v/>
      </c>
      <c r="E11" s="94"/>
      <c r="F11" s="93" t="str">
        <f t="shared" si="2"/>
        <v/>
      </c>
      <c r="G11" s="95"/>
      <c r="H11" s="96"/>
      <c r="I11" s="92">
        <f t="shared" si="3"/>
        <v>0</v>
      </c>
      <c r="J11" s="93" t="str">
        <f t="shared" si="0"/>
        <v/>
      </c>
      <c r="K11" s="94"/>
      <c r="L11" s="93" t="str">
        <f t="shared" si="4"/>
        <v/>
      </c>
      <c r="M11" s="95"/>
      <c r="N11" s="96"/>
      <c r="O11" s="92">
        <f t="shared" si="5"/>
        <v>0</v>
      </c>
      <c r="P11" s="93" t="str">
        <f t="shared" si="6"/>
        <v/>
      </c>
      <c r="Q11" s="94"/>
      <c r="R11" s="93" t="str">
        <f t="shared" si="7"/>
        <v/>
      </c>
      <c r="S11" s="95"/>
      <c r="T11" s="222"/>
    </row>
    <row r="12" spans="1:20">
      <c r="A12" s="130"/>
      <c r="B12" s="96"/>
      <c r="C12" s="92">
        <f t="shared" si="1"/>
        <v>0</v>
      </c>
      <c r="D12" s="93" t="str">
        <f t="shared" si="8"/>
        <v/>
      </c>
      <c r="E12" s="94"/>
      <c r="F12" s="93" t="str">
        <f t="shared" si="2"/>
        <v/>
      </c>
      <c r="G12" s="95"/>
      <c r="H12" s="96"/>
      <c r="I12" s="92">
        <f t="shared" si="3"/>
        <v>0</v>
      </c>
      <c r="J12" s="93" t="str">
        <f t="shared" si="0"/>
        <v/>
      </c>
      <c r="K12" s="94"/>
      <c r="L12" s="93" t="str">
        <f t="shared" si="4"/>
        <v/>
      </c>
      <c r="M12" s="95"/>
      <c r="N12" s="96"/>
      <c r="O12" s="92">
        <f t="shared" si="5"/>
        <v>0</v>
      </c>
      <c r="P12" s="93" t="str">
        <f t="shared" si="6"/>
        <v/>
      </c>
      <c r="Q12" s="94"/>
      <c r="R12" s="93" t="str">
        <f t="shared" si="7"/>
        <v/>
      </c>
      <c r="S12" s="95"/>
      <c r="T12" s="222"/>
    </row>
    <row r="13" spans="1:20">
      <c r="A13" s="130"/>
      <c r="B13" s="96"/>
      <c r="C13" s="92">
        <f t="shared" si="1"/>
        <v>0</v>
      </c>
      <c r="D13" s="93" t="str">
        <f t="shared" si="8"/>
        <v/>
      </c>
      <c r="E13" s="94"/>
      <c r="F13" s="93" t="str">
        <f t="shared" si="2"/>
        <v/>
      </c>
      <c r="G13" s="95"/>
      <c r="H13" s="96"/>
      <c r="I13" s="92">
        <f t="shared" si="3"/>
        <v>0</v>
      </c>
      <c r="J13" s="93" t="str">
        <f t="shared" si="0"/>
        <v/>
      </c>
      <c r="K13" s="94"/>
      <c r="L13" s="93" t="str">
        <f t="shared" si="4"/>
        <v/>
      </c>
      <c r="M13" s="95"/>
      <c r="N13" s="96"/>
      <c r="O13" s="92">
        <f t="shared" si="5"/>
        <v>0</v>
      </c>
      <c r="P13" s="93" t="str">
        <f t="shared" si="6"/>
        <v/>
      </c>
      <c r="Q13" s="94"/>
      <c r="R13" s="93" t="str">
        <f t="shared" si="7"/>
        <v/>
      </c>
      <c r="S13" s="95"/>
      <c r="T13" s="222"/>
    </row>
    <row r="14" spans="1:20">
      <c r="A14" s="130"/>
      <c r="B14" s="96"/>
      <c r="C14" s="92">
        <f t="shared" si="1"/>
        <v>0</v>
      </c>
      <c r="D14" s="93" t="str">
        <f t="shared" si="8"/>
        <v/>
      </c>
      <c r="E14" s="94"/>
      <c r="F14" s="93" t="str">
        <f t="shared" si="2"/>
        <v/>
      </c>
      <c r="G14" s="95"/>
      <c r="H14" s="96"/>
      <c r="I14" s="92">
        <f t="shared" si="3"/>
        <v>0</v>
      </c>
      <c r="J14" s="93" t="str">
        <f t="shared" si="0"/>
        <v/>
      </c>
      <c r="K14" s="94"/>
      <c r="L14" s="93" t="str">
        <f t="shared" si="4"/>
        <v/>
      </c>
      <c r="M14" s="95"/>
      <c r="N14" s="96"/>
      <c r="O14" s="92">
        <f t="shared" si="5"/>
        <v>0</v>
      </c>
      <c r="P14" s="93" t="str">
        <f t="shared" si="6"/>
        <v/>
      </c>
      <c r="Q14" s="94"/>
      <c r="R14" s="93" t="str">
        <f t="shared" si="7"/>
        <v/>
      </c>
      <c r="S14" s="95"/>
      <c r="T14" s="222"/>
    </row>
    <row r="15" spans="1:20" ht="15.75" thickBot="1">
      <c r="A15" s="131"/>
      <c r="B15" s="137"/>
      <c r="C15" s="101">
        <f>IF(ISERROR(B15*$F$4),0,B15*$F$4)</f>
        <v>0</v>
      </c>
      <c r="D15" s="98" t="str">
        <f t="shared" si="8"/>
        <v/>
      </c>
      <c r="E15" s="99"/>
      <c r="F15" s="98" t="str">
        <f t="shared" si="2"/>
        <v/>
      </c>
      <c r="G15" s="100"/>
      <c r="H15" s="96"/>
      <c r="I15" s="101">
        <f t="shared" si="3"/>
        <v>0</v>
      </c>
      <c r="J15" s="98" t="str">
        <f t="shared" si="0"/>
        <v/>
      </c>
      <c r="K15" s="99"/>
      <c r="L15" s="98" t="str">
        <f t="shared" si="4"/>
        <v/>
      </c>
      <c r="M15" s="100"/>
      <c r="N15" s="96"/>
      <c r="O15" s="101">
        <f t="shared" si="5"/>
        <v>0</v>
      </c>
      <c r="P15" s="98" t="str">
        <f t="shared" si="6"/>
        <v/>
      </c>
      <c r="Q15" s="99"/>
      <c r="R15" s="98" t="str">
        <f t="shared" si="7"/>
        <v/>
      </c>
      <c r="S15" s="100"/>
      <c r="T15" s="227"/>
    </row>
    <row r="16" spans="1:20" ht="30" customHeight="1" thickTop="1">
      <c r="A16" s="102"/>
      <c r="B16" s="103" t="s">
        <v>6</v>
      </c>
      <c r="C16" s="104">
        <f>IF(ISBLANK(B6:B15),"", MIN(B6:B15))</f>
        <v>0</v>
      </c>
      <c r="D16" s="207" t="s">
        <v>2943</v>
      </c>
      <c r="E16" s="738" t="s">
        <v>7</v>
      </c>
      <c r="F16" s="739"/>
      <c r="G16" s="105"/>
      <c r="H16" s="103" t="s">
        <v>6</v>
      </c>
      <c r="I16" s="104">
        <f>IF(ISBLANK(H6:H15),"-", MIN(H6:H15))</f>
        <v>0</v>
      </c>
      <c r="J16" s="207" t="s">
        <v>2943</v>
      </c>
      <c r="K16" s="738" t="s">
        <v>7</v>
      </c>
      <c r="L16" s="739"/>
      <c r="M16" s="105"/>
      <c r="N16" s="103" t="s">
        <v>6</v>
      </c>
      <c r="O16" s="104">
        <f>IF(ISBLANK(N6:N15),"-", MIN(N6:N15))</f>
        <v>0</v>
      </c>
      <c r="P16" s="207" t="s">
        <v>2943</v>
      </c>
      <c r="Q16" s="738" t="s">
        <v>7</v>
      </c>
      <c r="R16" s="739"/>
      <c r="S16" s="105"/>
      <c r="T16" s="221"/>
    </row>
    <row r="17" spans="1:20" ht="27.75" customHeight="1">
      <c r="A17" s="106"/>
      <c r="B17" s="107" t="s">
        <v>2561</v>
      </c>
      <c r="C17" s="108" t="str">
        <f>IF(ISERROR(VLOOKUP("1º",D6:E15,2,0)),"-",VLOOKUP("1º",D6:E15,2,0))</f>
        <v>-</v>
      </c>
      <c r="D17" s="215"/>
      <c r="E17" s="740" t="str">
        <f>IF(ISERROR(VLOOKUP(G3,produtos_escape2!$A$2:$D$2794,3)),"",IF(VLOOKUP(G3,produtos_escape2!$A$2:$D$2794,1)&lt;G3,"INEXISTENTE",IF(VLOOKUP(G3,produtos_escape2!$A$2:$D$2794,3)=ISBLANK(produtos_escape2!$A$6:$D$2794),8000,VLOOKUP(G3,produtos_escape2!$A$2:$D$2794,3))))</f>
        <v/>
      </c>
      <c r="F17" s="741"/>
      <c r="G17" s="105"/>
      <c r="H17" s="107" t="s">
        <v>2561</v>
      </c>
      <c r="I17" s="108" t="str">
        <f>IF(ISERROR(VLOOKUP("1º",J6:K15,2,0)),"-",VLOOKUP("1º",J6:K15,2,0))</f>
        <v>-</v>
      </c>
      <c r="J17" s="215"/>
      <c r="K17" s="740" t="str">
        <f>IF(ISERROR(VLOOKUP(M3,produtos_escape2!$A$2:$D$2794,3)),"",IF(VLOOKUP(M3,produtos_escape2!$A$2:$D$2794,1)&lt;M3,"INEXISTENTE",IF(VLOOKUP(M3,produtos_escape2!$A$2:$D$2794,3)=ISBLANK(produtos_escape2!$A$6:$D$2794),8000,VLOOKUP(M3,produtos_escape2!$A$2:$D$2794,3))))</f>
        <v/>
      </c>
      <c r="L17" s="741"/>
      <c r="M17" s="105"/>
      <c r="N17" s="107" t="s">
        <v>2561</v>
      </c>
      <c r="O17" s="108" t="str">
        <f>IF(ISERROR(VLOOKUP("1º",P6:Q15,2,0)),"-",VLOOKUP("1º",P6:Q15,2,0))</f>
        <v>-</v>
      </c>
      <c r="P17" s="215"/>
      <c r="Q17" s="740" t="str">
        <f>IF(ISERROR(VLOOKUP(S3,produtos_escape2!$A$2:$D$2794,3)),"",IF(VLOOKUP(S3,produtos_escape2!$A$2:$D$2794,1)&lt;S3,"INEXISTENTE",IF(VLOOKUP(S3,produtos_escape2!$A$2:$D$2794,3)=ISBLANK(produtos_escape2!$A$6:$D$2794),8000,VLOOKUP(S3,produtos_escape2!$A$2:$D$2794,3))))</f>
        <v/>
      </c>
      <c r="R17" s="741"/>
      <c r="S17" s="105"/>
      <c r="T17" s="97"/>
    </row>
    <row r="18" spans="1:20" ht="25.5">
      <c r="A18" s="102"/>
      <c r="B18" s="107" t="s">
        <v>545</v>
      </c>
      <c r="C18" s="109"/>
      <c r="D18" s="102"/>
      <c r="E18" s="102"/>
      <c r="F18" s="102"/>
      <c r="G18" s="102"/>
      <c r="H18" s="107" t="s">
        <v>545</v>
      </c>
      <c r="I18" s="109"/>
      <c r="J18" s="102"/>
      <c r="K18" s="102"/>
      <c r="L18" s="102"/>
      <c r="M18" s="102"/>
      <c r="N18" s="107" t="s">
        <v>545</v>
      </c>
      <c r="O18" s="109"/>
      <c r="P18" s="102"/>
      <c r="Q18" s="102"/>
      <c r="R18" s="102"/>
      <c r="S18" s="102"/>
      <c r="T18" s="97"/>
    </row>
    <row r="19" spans="1:20" ht="15.75" thickBot="1">
      <c r="A19" s="87"/>
      <c r="B19" s="87"/>
      <c r="C19" s="87"/>
      <c r="D19" s="87"/>
      <c r="E19" s="87"/>
      <c r="F19" s="87"/>
      <c r="G19" s="87"/>
      <c r="H19" s="87"/>
      <c r="I19" s="87"/>
      <c r="J19" s="87"/>
      <c r="K19" s="87"/>
      <c r="L19" s="87"/>
      <c r="M19" s="87"/>
      <c r="N19" s="87"/>
      <c r="O19" s="87"/>
      <c r="P19" s="87"/>
      <c r="Q19" s="87"/>
      <c r="R19" s="87"/>
      <c r="S19" s="87"/>
    </row>
    <row r="20" spans="1:20" ht="16.5" thickTop="1" thickBot="1">
      <c r="A20" s="88"/>
      <c r="B20" s="743" t="s">
        <v>554</v>
      </c>
      <c r="C20" s="744"/>
      <c r="D20" s="745"/>
      <c r="E20" s="746" t="s">
        <v>8</v>
      </c>
      <c r="F20" s="747"/>
      <c r="G20" s="169" t="e">
        <f t="array" ref="G20">IF(OR($I$1="",I1="XXX/2017"),"",IF(OR(ISERROR(INDEX(Controle!$H$3:$H$3041,MATCH(Mapa!$I$1&amp;"4",Controle!$F$3:$F$3041&amp;Controle!$G$3:$G$3041,0))),(INDEX(Controle!$H$3:$H$3041,MATCH(Mapa!$I$1&amp;"4",Controle!$F$3:$F$3041&amp;Controle!$G$3:$G$3041,0)))=0),"",(INDEX(Controle!$H$3:$H$3041,MATCH(Mapa!$I$1&amp;"4",Controle!$F$3:$F$3041&amp;Controle!$G$3:$G$3041,0)))))</f>
        <v>#N/A</v>
      </c>
      <c r="H20" s="743" t="s">
        <v>555</v>
      </c>
      <c r="I20" s="744"/>
      <c r="J20" s="745"/>
      <c r="K20" s="746" t="s">
        <v>8</v>
      </c>
      <c r="L20" s="747"/>
      <c r="M20" s="169" t="e">
        <f t="array" ref="M20">IF(OR($I$1="",I1="XXX/2017"),"",IF(OR(ISERROR(INDEX(Controle!$H$3:$H$3041,MATCH(Mapa!$I$1&amp;"5",Controle!$F$3:$F$3041&amp;Controle!$G$3:$G$3041,0))),(INDEX(Controle!$H$3:$H$3041,MATCH(Mapa!$I$1&amp;"5",Controle!$F$3:$F$3041&amp;Controle!$G$3:$G$3041,0)))=0),"",(INDEX(Controle!$H$3:$H$3041,MATCH(Mapa!$I$1&amp;"5",Controle!$F$3:$F$3041&amp;Controle!$G$3:$G$3041,0)))))</f>
        <v>#N/A</v>
      </c>
      <c r="N20" s="743" t="s">
        <v>556</v>
      </c>
      <c r="O20" s="744"/>
      <c r="P20" s="748"/>
      <c r="Q20" s="751" t="s">
        <v>8</v>
      </c>
      <c r="R20" s="752"/>
      <c r="S20" s="169" t="e">
        <f t="array" ref="S20">IF(OR($I$1="",I1="XXX/2017"),"",IF(OR(ISERROR(INDEX(Controle!$H$3:$H$3041,MATCH(Mapa!$I$1&amp;"6",Controle!$F$3:$F$3041&amp;Controle!$G$3:$G$3041,0))),(INDEX(Controle!$H$3:$H$3041,MATCH(Mapa!$I$1&amp;"6",Controle!$F$3:$F$3041&amp;Controle!$G$3:$G$3041,0)))=0),"",(INDEX(Controle!$H$3:$H$3041,MATCH(Mapa!$I$1&amp;"6",Controle!$F$3:$F$3041&amp;Controle!$G$3:$G$3041,0)))))</f>
        <v>#N/A</v>
      </c>
    </row>
    <row r="21" spans="1:20" ht="99" customHeight="1" thickTop="1" thickBot="1">
      <c r="A21" s="90"/>
      <c r="B21" s="749" t="str">
        <f>IF(ISERROR(VLOOKUP(G20,produtos_escape2!$A$2:$D$2794,2)),"",IF(VLOOKUP(G20,produtos_escape2!$A$2:$D$2794,1)&lt;&gt;G20,"Código não cadastrado",VLOOKUP(G20,produtos_escape2!$A$2:$D$2794,2)))</f>
        <v/>
      </c>
      <c r="C21" s="750"/>
      <c r="D21" s="200" t="e">
        <f t="array" ref="D21">IF(OR($I$1="",I1="XXX/2017"),"",IF(OR(ISERROR(INDEX(Controle!$N$3:$N$3041,MATCH(Mapa!$I$1&amp;"4",Controle!$F$3:$F$3041&amp;Controle!$G$3:$G$3041,0))),(INDEX(Controle!$N$3:$N$3041,MATCH(Mapa!$I$1&amp;"4",Controle!$F$3:$F$3041&amp;Controle!$G$3:$G$3041,0)))=0),"",(INDEX(Controle!$N$3:$N$3041,MATCH(Mapa!$I$1&amp;"4",Controle!$F$3:$F$3041&amp;Controle!$G$3:$G$3041,0)))))</f>
        <v>#N/A</v>
      </c>
      <c r="E21" s="124" t="s">
        <v>5</v>
      </c>
      <c r="F21" s="201"/>
      <c r="G21" s="126" t="str">
        <f>IF(ISERROR(VLOOKUP(G20,produtos_escape2!$A$2:$D$2794,4)),"",IF(VLOOKUP(G20,produtos_escape2!$A$2:$D$2794,4)=0,"Cadastrar unidade",IF(VLOOKUP(G20,produtos_escape2!$A$2:$D$2794,1)&lt;&gt;G20,"Unidade não cadastrada",VLOOKUP(G20,produtos_escape2!$A$2:$D$2794,4))))</f>
        <v/>
      </c>
      <c r="H21" s="749" t="str">
        <f>IF(ISERROR(VLOOKUP(M20,produtos_escape2!$A$2:$D$2794,2)),"",IF(VLOOKUP(M20,produtos_escape2!$A$2:$D$2794,1)&lt;&gt;M20,"Código não cadastrado",VLOOKUP(M20,produtos_escape2!$A$2:$D$2794,2)))</f>
        <v/>
      </c>
      <c r="I21" s="750"/>
      <c r="J21" s="200" t="e">
        <f t="array" ref="J21">IF(OR($I$1="",I1="XXX/2017"),"",IF(OR(ISERROR(INDEX(Controle!$N$3:$N$3041,MATCH(Mapa!$I$1&amp;"5",Controle!$F$3:$F$3041&amp;Controle!$G$3:$G$3041,0))),(INDEX(Controle!$N$3:$N$3041,MATCH(Mapa!$I$1&amp;"5",Controle!$F$3:$F$3041&amp;Controle!$G$3:$G$3041,0)))=0),"",(INDEX(Controle!$N$3:$N$3041,MATCH(Mapa!$I$1&amp;"5",Controle!$F$3:$F$3041&amp;Controle!$G$3:$G$3041,0)))))</f>
        <v>#N/A</v>
      </c>
      <c r="K21" s="124" t="s">
        <v>5</v>
      </c>
      <c r="L21" s="201"/>
      <c r="M21" s="126" t="str">
        <f>IF(ISERROR(VLOOKUP(M20,produtos_escape2!$A$2:$D$2794,4)),"",IF(VLOOKUP(M20,produtos_escape2!$A$2:$D$2794,4)=0,"Cadastrar unidade",IF(VLOOKUP(M20,produtos_escape2!$A$2:$D$2794,1)&lt;&gt;M20,"Unidade não cadastrada",VLOOKUP(M20,produtos_escape2!$A$2:$D$2794,4))))</f>
        <v/>
      </c>
      <c r="N21" s="749" t="str">
        <f>IF(ISERROR(VLOOKUP(S20,produtos_escape2!$A$2:$D$2794,2)),"",IF(VLOOKUP(S20,produtos_escape2!$A$2:$D$2794,1)&lt;&gt;S20,"Código não cadastrado",VLOOKUP(S20,produtos_escape2!$A$2:$D$2794,2)))</f>
        <v/>
      </c>
      <c r="O21" s="750"/>
      <c r="P21" s="200" t="e">
        <f t="array" ref="P21">IF(OR($I$1="",I1="XXX/2017"),"",IF(OR(ISERROR(INDEX(Controle!$N$3:$N$3041,MATCH(Mapa!$I$1&amp;"6",Controle!$F$3:$F$3041&amp;Controle!$G$3:$G$3041,0))),(INDEX(Controle!$N$3:$N$3041,MATCH(Mapa!$I$1&amp;"6",Controle!$F$3:$F$3041&amp;Controle!$G$3:$G$3041,0)))=0),"",(INDEX(Controle!$N$3:$N$3041,MATCH(Mapa!$I$1&amp;"6",Controle!$F$3:$F$3041&amp;Controle!$G$3:$G$3041,0)))))</f>
        <v>#N/A</v>
      </c>
      <c r="Q21" s="124" t="s">
        <v>5</v>
      </c>
      <c r="R21" s="201"/>
      <c r="S21" s="126" t="str">
        <f>IF(ISERROR(VLOOKUP(S20,produtos_escape2!$A$2:$D$2794,4)),"",IF(VLOOKUP(S20,produtos_escape2!$A$2:$D$2794,4)=0,"Cadastrar unidade",IF(VLOOKUP(S20,produtos_escape2!$A$2:$D$2794,1)&lt;&gt;S20,"Unidade não cadastrada",VLOOKUP(S20,produtos_escape2!$A$2:$D$2794,4))))</f>
        <v/>
      </c>
    </row>
    <row r="22" spans="1:20" ht="16.5" thickTop="1" thickBot="1">
      <c r="A22" s="127" t="s">
        <v>0</v>
      </c>
      <c r="B22" s="128" t="s">
        <v>1</v>
      </c>
      <c r="C22" s="742" t="s">
        <v>2</v>
      </c>
      <c r="D22" s="742"/>
      <c r="E22" s="742" t="s">
        <v>3</v>
      </c>
      <c r="F22" s="742"/>
      <c r="G22" s="128" t="s">
        <v>4</v>
      </c>
      <c r="H22" s="128" t="s">
        <v>1</v>
      </c>
      <c r="I22" s="742" t="s">
        <v>2</v>
      </c>
      <c r="J22" s="742"/>
      <c r="K22" s="742" t="s">
        <v>3</v>
      </c>
      <c r="L22" s="742"/>
      <c r="M22" s="128" t="s">
        <v>4</v>
      </c>
      <c r="N22" s="128" t="s">
        <v>1</v>
      </c>
      <c r="O22" s="742" t="s">
        <v>2</v>
      </c>
      <c r="P22" s="742"/>
      <c r="Q22" s="742" t="s">
        <v>3</v>
      </c>
      <c r="R22" s="742"/>
      <c r="S22" s="128" t="s">
        <v>4</v>
      </c>
      <c r="T22" s="220" t="s">
        <v>2975</v>
      </c>
    </row>
    <row r="23" spans="1:20" ht="15.75" thickTop="1">
      <c r="A23" s="217" t="str">
        <f>IF(ISBLANK(A6),"",A6)</f>
        <v/>
      </c>
      <c r="B23" s="132"/>
      <c r="C23" s="133">
        <f>IF(ISERROR(B23*$F$21),0,B23*$F$21)</f>
        <v>0</v>
      </c>
      <c r="D23" s="134" t="str">
        <f>IF(ISBLANK(B23),"",IF(AND(B23=$C$33,B23&gt;0),"1º",IF(AND(B23&gt;0,B23=SMALL($B$23:$B$32,2)),"2º",IF(AND(B23&gt;0,B23=SMALL($B$23:$B$32,3)),"3º",""))))</f>
        <v/>
      </c>
      <c r="E23" s="135"/>
      <c r="F23" s="134" t="str">
        <f>IF(ISBLANK(E23),"",IF(ISBLANK($C$35),"",IF(E23&lt;=$C$35,"OK","PUL")))</f>
        <v/>
      </c>
      <c r="G23" s="136"/>
      <c r="H23" s="132"/>
      <c r="I23" s="133">
        <f>IF(ISERROR(H23*$L$21),0,H23*$L$21)</f>
        <v>0</v>
      </c>
      <c r="J23" s="134" t="str">
        <f>IF(ISBLANK(H23),"",IF(AND(H23=$I$33,H23&gt;0),"1º",IF(AND(H23&gt;0,H23=SMALL($H$23:$H$32,2)),"2º",IF(AND(H23&gt;0,H23=SMALL($H$23:$H$32,3)),"3º",""))))</f>
        <v/>
      </c>
      <c r="K23" s="135"/>
      <c r="L23" s="134" t="str">
        <f>IF(ISBLANK(K23),"",IF(ISBLANK($I$35),"",IF(K23&lt;=$I$35,"OK","PUL")))</f>
        <v/>
      </c>
      <c r="M23" s="136"/>
      <c r="N23" s="110"/>
      <c r="O23" s="133">
        <f>IF(ISERROR(N23*$R$21),0,N23*$R$21)</f>
        <v>0</v>
      </c>
      <c r="P23" s="134" t="str">
        <f>IF(ISBLANK(N23),"",IF(AND(N23=$O$33,N23&gt;0),"1º",IF(AND(N23&gt;0,N23=SMALL($N$23:$N$32,2)),"2º",IF(AND(N23&gt;0,N23=SMALL($N$23:$N$32,3)),"3º",""))))</f>
        <v/>
      </c>
      <c r="Q23" s="135"/>
      <c r="R23" s="134" t="str">
        <f>IF(ISBLANK(Q23),"",IF(ISBLANK($O$35),"",IF(Q23&lt;=$O$35,"OK","PUL")))</f>
        <v/>
      </c>
      <c r="S23" s="136"/>
      <c r="T23" s="223" t="str">
        <f>IF(ISBLANK(T6),"",T6)</f>
        <v/>
      </c>
    </row>
    <row r="24" spans="1:20">
      <c r="A24" s="218" t="str">
        <f t="shared" ref="A24:A32" si="9">IF(ISBLANK(A7),"",A7)</f>
        <v/>
      </c>
      <c r="B24" s="96"/>
      <c r="C24" s="92">
        <f t="shared" ref="C24:C32" si="10">IF(ISERROR(B24*$F$21),0,B24*$F$21)</f>
        <v>0</v>
      </c>
      <c r="D24" s="93" t="str">
        <f t="shared" ref="D24:D32" si="11">IF(ISBLANK(B24),"",IF(AND(B24=$C$33,B24&gt;0),"1º",IF(AND(B24&gt;0,B24=SMALL($B$23:$B$32,2)),"2º",IF(AND(B24&gt;0,B24=SMALL($B$23:$B$32,3)),"3º",""))))</f>
        <v/>
      </c>
      <c r="E24" s="94"/>
      <c r="F24" s="93" t="str">
        <f t="shared" ref="F24:F32" si="12">IF(ISBLANK(E24),"",IF(ISBLANK($C$35),"",IF(E24&lt;=$C$35,"OK","PUL")))</f>
        <v/>
      </c>
      <c r="G24" s="95"/>
      <c r="H24" s="96"/>
      <c r="I24" s="92">
        <f t="shared" ref="I24:I32" si="13">IF(ISERROR(H24*$L$21),0,H24*$L$21)</f>
        <v>0</v>
      </c>
      <c r="J24" s="93" t="str">
        <f t="shared" ref="J24:J32" si="14">IF(ISBLANK(H24),"",IF(AND(H24=$I$33,H24&gt;0),"1º",IF(AND(H24&gt;0,H24=SMALL($H$23:$H$32,2)),"2º",IF(AND(H24&gt;0,H24=SMALL($H$23:$H$32,3)),"3º",""))))</f>
        <v/>
      </c>
      <c r="K24" s="94"/>
      <c r="L24" s="93" t="str">
        <f t="shared" ref="L24:L32" si="15">IF(ISBLANK(K24),"",IF(ISBLANK($I$35),"",IF(K24&lt;=$I$35,"OK","PUL")))</f>
        <v/>
      </c>
      <c r="M24" s="95"/>
      <c r="N24" s="96"/>
      <c r="O24" s="92">
        <f t="shared" ref="O24:O32" si="16">IF(ISERROR(N24*$R$21),0,N24*$R$21)</f>
        <v>0</v>
      </c>
      <c r="P24" s="93" t="str">
        <f t="shared" ref="P24:P32" si="17">IF(ISBLANK(N24),"",IF(AND(N24=$O$33,N24&gt;0),"1º",IF(AND(N24&gt;0,N24=SMALL($N$23:$N$32,2)),"2º",IF(AND(N24&gt;0,N24=SMALL($N$23:$N$32,3)),"3º",""))))</f>
        <v/>
      </c>
      <c r="Q24" s="94"/>
      <c r="R24" s="93" t="str">
        <f t="shared" ref="R24:R32" si="18">IF(ISBLANK(Q24),"",IF(ISBLANK($O$35),"",IF(Q24&lt;=$O$35,"OK","PUL")))</f>
        <v/>
      </c>
      <c r="S24" s="95"/>
      <c r="T24" s="224" t="str">
        <f t="shared" ref="T24:T32" si="19">IF(ISBLANK(T7),"",T7)</f>
        <v/>
      </c>
    </row>
    <row r="25" spans="1:20">
      <c r="A25" s="218" t="str">
        <f t="shared" si="9"/>
        <v/>
      </c>
      <c r="B25" s="96"/>
      <c r="C25" s="92">
        <f t="shared" si="10"/>
        <v>0</v>
      </c>
      <c r="D25" s="93" t="str">
        <f t="shared" si="11"/>
        <v/>
      </c>
      <c r="E25" s="94"/>
      <c r="F25" s="93" t="str">
        <f t="shared" si="12"/>
        <v/>
      </c>
      <c r="G25" s="95"/>
      <c r="H25" s="96"/>
      <c r="I25" s="92">
        <f t="shared" si="13"/>
        <v>0</v>
      </c>
      <c r="J25" s="93" t="str">
        <f t="shared" si="14"/>
        <v/>
      </c>
      <c r="K25" s="94"/>
      <c r="L25" s="93" t="str">
        <f t="shared" si="15"/>
        <v/>
      </c>
      <c r="M25" s="95"/>
      <c r="N25" s="96"/>
      <c r="O25" s="92">
        <f t="shared" si="16"/>
        <v>0</v>
      </c>
      <c r="P25" s="93" t="str">
        <f t="shared" si="17"/>
        <v/>
      </c>
      <c r="Q25" s="94"/>
      <c r="R25" s="93" t="str">
        <f t="shared" si="18"/>
        <v/>
      </c>
      <c r="S25" s="95"/>
      <c r="T25" s="224" t="str">
        <f t="shared" si="19"/>
        <v/>
      </c>
    </row>
    <row r="26" spans="1:20">
      <c r="A26" s="218" t="str">
        <f>IF(ISBLANK(A9),"",A9)</f>
        <v/>
      </c>
      <c r="B26" s="110"/>
      <c r="C26" s="92">
        <f t="shared" si="10"/>
        <v>0</v>
      </c>
      <c r="D26" s="93" t="str">
        <f t="shared" si="11"/>
        <v/>
      </c>
      <c r="E26" s="94"/>
      <c r="F26" s="93" t="str">
        <f t="shared" si="12"/>
        <v/>
      </c>
      <c r="G26" s="95"/>
      <c r="H26" s="110"/>
      <c r="I26" s="92">
        <f t="shared" si="13"/>
        <v>0</v>
      </c>
      <c r="J26" s="93" t="str">
        <f t="shared" si="14"/>
        <v/>
      </c>
      <c r="K26" s="94"/>
      <c r="L26" s="93" t="str">
        <f t="shared" si="15"/>
        <v/>
      </c>
      <c r="M26" s="95"/>
      <c r="N26" s="228"/>
      <c r="O26" s="92">
        <f t="shared" si="16"/>
        <v>0</v>
      </c>
      <c r="P26" s="93" t="str">
        <f t="shared" si="17"/>
        <v/>
      </c>
      <c r="Q26" s="94"/>
      <c r="R26" s="93" t="str">
        <f t="shared" si="18"/>
        <v/>
      </c>
      <c r="S26" s="95"/>
      <c r="T26" s="224" t="str">
        <f t="shared" si="19"/>
        <v/>
      </c>
    </row>
    <row r="27" spans="1:20">
      <c r="A27" s="218" t="str">
        <f t="shared" si="9"/>
        <v/>
      </c>
      <c r="B27" s="110"/>
      <c r="C27" s="92">
        <f t="shared" si="10"/>
        <v>0</v>
      </c>
      <c r="D27" s="93" t="str">
        <f t="shared" si="11"/>
        <v/>
      </c>
      <c r="E27" s="94"/>
      <c r="F27" s="93" t="str">
        <f t="shared" si="12"/>
        <v/>
      </c>
      <c r="G27" s="95"/>
      <c r="H27" s="110"/>
      <c r="I27" s="92">
        <f t="shared" si="13"/>
        <v>0</v>
      </c>
      <c r="J27" s="93" t="str">
        <f t="shared" si="14"/>
        <v/>
      </c>
      <c r="K27" s="94"/>
      <c r="L27" s="93" t="str">
        <f t="shared" si="15"/>
        <v/>
      </c>
      <c r="M27" s="95"/>
      <c r="N27" s="96"/>
      <c r="O27" s="92">
        <f t="shared" si="16"/>
        <v>0</v>
      </c>
      <c r="P27" s="93" t="str">
        <f t="shared" si="17"/>
        <v/>
      </c>
      <c r="Q27" s="94"/>
      <c r="R27" s="93" t="str">
        <f t="shared" si="18"/>
        <v/>
      </c>
      <c r="S27" s="95"/>
      <c r="T27" s="224" t="str">
        <f t="shared" si="19"/>
        <v/>
      </c>
    </row>
    <row r="28" spans="1:20">
      <c r="A28" s="218" t="str">
        <f t="shared" si="9"/>
        <v/>
      </c>
      <c r="B28" s="110"/>
      <c r="C28" s="92">
        <f t="shared" si="10"/>
        <v>0</v>
      </c>
      <c r="D28" s="93" t="str">
        <f t="shared" si="11"/>
        <v/>
      </c>
      <c r="E28" s="94"/>
      <c r="F28" s="93" t="str">
        <f t="shared" si="12"/>
        <v/>
      </c>
      <c r="G28" s="95"/>
      <c r="H28" s="96"/>
      <c r="I28" s="92">
        <f t="shared" si="13"/>
        <v>0</v>
      </c>
      <c r="J28" s="93" t="str">
        <f t="shared" si="14"/>
        <v/>
      </c>
      <c r="K28" s="94"/>
      <c r="L28" s="93" t="str">
        <f t="shared" si="15"/>
        <v/>
      </c>
      <c r="M28" s="95"/>
      <c r="N28" s="96"/>
      <c r="O28" s="92">
        <f t="shared" si="16"/>
        <v>0</v>
      </c>
      <c r="P28" s="93" t="str">
        <f t="shared" si="17"/>
        <v/>
      </c>
      <c r="Q28" s="94"/>
      <c r="R28" s="93" t="str">
        <f t="shared" si="18"/>
        <v/>
      </c>
      <c r="S28" s="95"/>
      <c r="T28" s="224" t="str">
        <f t="shared" si="19"/>
        <v/>
      </c>
    </row>
    <row r="29" spans="1:20">
      <c r="A29" s="218" t="str">
        <f t="shared" si="9"/>
        <v/>
      </c>
      <c r="B29" s="96"/>
      <c r="C29" s="92">
        <f t="shared" si="10"/>
        <v>0</v>
      </c>
      <c r="D29" s="93" t="str">
        <f t="shared" si="11"/>
        <v/>
      </c>
      <c r="E29" s="94"/>
      <c r="F29" s="93" t="str">
        <f t="shared" si="12"/>
        <v/>
      </c>
      <c r="G29" s="95"/>
      <c r="H29" s="96"/>
      <c r="I29" s="92">
        <f t="shared" si="13"/>
        <v>0</v>
      </c>
      <c r="J29" s="93" t="str">
        <f t="shared" si="14"/>
        <v/>
      </c>
      <c r="K29" s="94"/>
      <c r="L29" s="93" t="str">
        <f t="shared" si="15"/>
        <v/>
      </c>
      <c r="M29" s="95"/>
      <c r="N29" s="110"/>
      <c r="O29" s="92">
        <f t="shared" si="16"/>
        <v>0</v>
      </c>
      <c r="P29" s="93" t="str">
        <f t="shared" si="17"/>
        <v/>
      </c>
      <c r="Q29" s="94"/>
      <c r="R29" s="93" t="str">
        <f t="shared" si="18"/>
        <v/>
      </c>
      <c r="S29" s="95"/>
      <c r="T29" s="224" t="str">
        <f t="shared" si="19"/>
        <v/>
      </c>
    </row>
    <row r="30" spans="1:20">
      <c r="A30" s="218" t="str">
        <f t="shared" si="9"/>
        <v/>
      </c>
      <c r="B30" s="96"/>
      <c r="C30" s="92">
        <f t="shared" si="10"/>
        <v>0</v>
      </c>
      <c r="D30" s="93" t="str">
        <f t="shared" si="11"/>
        <v/>
      </c>
      <c r="E30" s="94"/>
      <c r="F30" s="93" t="str">
        <f t="shared" si="12"/>
        <v/>
      </c>
      <c r="G30" s="95"/>
      <c r="H30" s="96"/>
      <c r="I30" s="92">
        <f t="shared" si="13"/>
        <v>0</v>
      </c>
      <c r="J30" s="93" t="str">
        <f t="shared" si="14"/>
        <v/>
      </c>
      <c r="K30" s="94"/>
      <c r="L30" s="93" t="str">
        <f t="shared" si="15"/>
        <v/>
      </c>
      <c r="M30" s="95"/>
      <c r="N30" s="110"/>
      <c r="O30" s="92">
        <f t="shared" si="16"/>
        <v>0</v>
      </c>
      <c r="P30" s="93" t="str">
        <f t="shared" si="17"/>
        <v/>
      </c>
      <c r="Q30" s="94"/>
      <c r="R30" s="93" t="str">
        <f t="shared" si="18"/>
        <v/>
      </c>
      <c r="S30" s="95"/>
      <c r="T30" s="224" t="str">
        <f t="shared" si="19"/>
        <v/>
      </c>
    </row>
    <row r="31" spans="1:20">
      <c r="A31" s="218" t="str">
        <f t="shared" si="9"/>
        <v/>
      </c>
      <c r="B31" s="96"/>
      <c r="C31" s="92">
        <f t="shared" si="10"/>
        <v>0</v>
      </c>
      <c r="D31" s="93" t="str">
        <f t="shared" si="11"/>
        <v/>
      </c>
      <c r="E31" s="94"/>
      <c r="F31" s="93" t="str">
        <f t="shared" si="12"/>
        <v/>
      </c>
      <c r="G31" s="95"/>
      <c r="H31" s="96"/>
      <c r="I31" s="92">
        <f t="shared" si="13"/>
        <v>0</v>
      </c>
      <c r="J31" s="93" t="str">
        <f t="shared" si="14"/>
        <v/>
      </c>
      <c r="K31" s="94"/>
      <c r="L31" s="93" t="str">
        <f t="shared" si="15"/>
        <v/>
      </c>
      <c r="M31" s="95"/>
      <c r="N31" s="110"/>
      <c r="O31" s="92">
        <f t="shared" si="16"/>
        <v>0</v>
      </c>
      <c r="P31" s="93" t="str">
        <f t="shared" si="17"/>
        <v/>
      </c>
      <c r="Q31" s="94"/>
      <c r="R31" s="93" t="str">
        <f t="shared" si="18"/>
        <v/>
      </c>
      <c r="S31" s="95"/>
      <c r="T31" s="224" t="str">
        <f t="shared" si="19"/>
        <v/>
      </c>
    </row>
    <row r="32" spans="1:20" ht="15.75" thickBot="1">
      <c r="A32" s="219" t="str">
        <f t="shared" si="9"/>
        <v/>
      </c>
      <c r="B32" s="96"/>
      <c r="C32" s="101">
        <f t="shared" si="10"/>
        <v>0</v>
      </c>
      <c r="D32" s="98" t="str">
        <f t="shared" si="11"/>
        <v/>
      </c>
      <c r="E32" s="99"/>
      <c r="F32" s="98" t="str">
        <f t="shared" si="12"/>
        <v/>
      </c>
      <c r="G32" s="100"/>
      <c r="H32" s="141"/>
      <c r="I32" s="101">
        <f t="shared" si="13"/>
        <v>0</v>
      </c>
      <c r="J32" s="98" t="str">
        <f t="shared" si="14"/>
        <v/>
      </c>
      <c r="K32" s="99"/>
      <c r="L32" s="98" t="str">
        <f t="shared" si="15"/>
        <v/>
      </c>
      <c r="M32" s="100"/>
      <c r="N32" s="141"/>
      <c r="O32" s="101">
        <f t="shared" si="16"/>
        <v>0</v>
      </c>
      <c r="P32" s="98" t="str">
        <f t="shared" si="17"/>
        <v/>
      </c>
      <c r="Q32" s="99"/>
      <c r="R32" s="98" t="str">
        <f t="shared" si="18"/>
        <v/>
      </c>
      <c r="S32" s="100"/>
      <c r="T32" s="225" t="str">
        <f t="shared" si="19"/>
        <v/>
      </c>
    </row>
    <row r="33" spans="1:20" ht="28.5" customHeight="1" thickTop="1">
      <c r="A33" s="102"/>
      <c r="B33" s="103" t="s">
        <v>6</v>
      </c>
      <c r="C33" s="104">
        <f>IF(ISBLANK(B23:B32),"", MIN(B23:B32))</f>
        <v>0</v>
      </c>
      <c r="D33" s="207" t="s">
        <v>2943</v>
      </c>
      <c r="E33" s="738" t="s">
        <v>7</v>
      </c>
      <c r="F33" s="739"/>
      <c r="G33" s="105"/>
      <c r="H33" s="103" t="s">
        <v>6</v>
      </c>
      <c r="I33" s="104">
        <f>IF(ISBLANK(H23:H32),"-", MIN(H23:H32))</f>
        <v>0</v>
      </c>
      <c r="J33" s="207" t="s">
        <v>2943</v>
      </c>
      <c r="K33" s="738" t="s">
        <v>7</v>
      </c>
      <c r="L33" s="739"/>
      <c r="M33" s="105"/>
      <c r="N33" s="103" t="s">
        <v>6</v>
      </c>
      <c r="O33" s="104">
        <f>IF(ISBLANK(N23:N32),"-", MIN(N23:N32))</f>
        <v>0</v>
      </c>
      <c r="P33" s="207" t="s">
        <v>2943</v>
      </c>
      <c r="Q33" s="738" t="s">
        <v>7</v>
      </c>
      <c r="R33" s="739"/>
      <c r="S33" s="105"/>
    </row>
    <row r="34" spans="1:20" ht="29.25" customHeight="1">
      <c r="A34" s="102"/>
      <c r="B34" s="107" t="s">
        <v>2561</v>
      </c>
      <c r="C34" s="108" t="str">
        <f>IF(ISERROR(VLOOKUP("1º",D23:E32,2,0)),"-",VLOOKUP("1º",D23:E32,2,0))</f>
        <v>-</v>
      </c>
      <c r="D34" s="215"/>
      <c r="E34" s="740" t="str">
        <f>IF(ISERROR(VLOOKUP(G20,produtos_escape2!$A$2:$D$2794,3)),"",IF(VLOOKUP(G20,produtos_escape2!$A$2:$D$2794,1)&lt;G20,"INEXISTENTE",IF(VLOOKUP(G20,produtos_escape2!$A$2:$D$2794,3)=ISBLANK(produtos_escape2!$A$6:$D$2794),8000,VLOOKUP(G20,produtos_escape2!$A$2:$D$2794,3))))</f>
        <v/>
      </c>
      <c r="F34" s="741"/>
      <c r="G34" s="105"/>
      <c r="H34" s="107" t="s">
        <v>2561</v>
      </c>
      <c r="I34" s="108" t="str">
        <f>IF(ISERROR(VLOOKUP("1º",J23:K32,2,0)),"-",VLOOKUP("1º",J23:K32,2,0))</f>
        <v>-</v>
      </c>
      <c r="J34" s="215"/>
      <c r="K34" s="740" t="str">
        <f>IF(ISERROR(VLOOKUP(M20,produtos_escape2!$A$2:$D$2794,3)),"",IF(VLOOKUP(M20,produtos_escape2!$A$2:$D$2794,1)&lt;M20,"INEXISTENTE",IF(VLOOKUP(M20,produtos_escape2!$A$2:$D$2794,3)=ISBLANK(produtos_escape2!$A$6:$D$2794),8000,VLOOKUP(M20,produtos_escape2!$A$2:$D$2794,3))))</f>
        <v/>
      </c>
      <c r="L34" s="741"/>
      <c r="M34" s="105"/>
      <c r="N34" s="107" t="s">
        <v>2561</v>
      </c>
      <c r="O34" s="108" t="str">
        <f>IF(ISERROR(VLOOKUP("1º",P23:Q32,2,0)),"-",VLOOKUP("1º",P23:Q32,2,0))</f>
        <v>-</v>
      </c>
      <c r="P34" s="215"/>
      <c r="Q34" s="740" t="str">
        <f>IF(ISERROR(VLOOKUP(S20,produtos_escape2!$A$2:$D$2794,3)),"",IF(VLOOKUP(S20,produtos_escape2!$A$2:$D$2794,1)&lt;S20,"INEXISTENTE",IF(VLOOKUP(S20,produtos_escape2!$A$2:$D$2794,3)=ISBLANK(produtos_escape2!$A$6:$D$2794),8000,VLOOKUP(S20,produtos_escape2!$A$2:$D$2794,3))))</f>
        <v/>
      </c>
      <c r="R34" s="741"/>
      <c r="S34" s="105"/>
    </row>
    <row r="35" spans="1:20" ht="25.5">
      <c r="A35" s="102"/>
      <c r="B35" s="107" t="s">
        <v>545</v>
      </c>
      <c r="C35" s="109"/>
      <c r="D35" s="102"/>
      <c r="E35" s="102"/>
      <c r="F35" s="102"/>
      <c r="G35" s="102"/>
      <c r="H35" s="107" t="s">
        <v>545</v>
      </c>
      <c r="I35" s="109"/>
      <c r="J35" s="102"/>
      <c r="K35" s="102"/>
      <c r="L35" s="102"/>
      <c r="M35" s="102"/>
      <c r="N35" s="107" t="s">
        <v>545</v>
      </c>
      <c r="O35" s="109"/>
      <c r="P35" s="102"/>
      <c r="Q35" s="102"/>
      <c r="R35" s="102"/>
      <c r="S35" s="102"/>
    </row>
    <row r="36" spans="1:20" ht="15.75" thickBot="1">
      <c r="A36" s="87"/>
      <c r="B36" s="87"/>
      <c r="C36" s="87"/>
      <c r="D36" s="87"/>
      <c r="E36" s="87"/>
      <c r="F36" s="87"/>
      <c r="G36" s="87"/>
      <c r="H36" s="87"/>
      <c r="I36" s="87"/>
      <c r="J36" s="87"/>
      <c r="K36" s="87"/>
      <c r="L36" s="87"/>
      <c r="M36" s="87"/>
      <c r="N36" s="87"/>
      <c r="O36" s="87"/>
      <c r="P36" s="87"/>
      <c r="Q36" s="87"/>
      <c r="R36" s="87"/>
      <c r="S36" s="87"/>
    </row>
    <row r="37" spans="1:20" ht="16.5" thickTop="1" thickBot="1">
      <c r="A37" s="88"/>
      <c r="B37" s="743" t="s">
        <v>557</v>
      </c>
      <c r="C37" s="744"/>
      <c r="D37" s="745"/>
      <c r="E37" s="746" t="s">
        <v>8</v>
      </c>
      <c r="F37" s="747"/>
      <c r="G37" s="169" t="e">
        <f t="array" ref="G37">IF(OR($I$1="",I1="XXX/2017"),"",IF(OR(ISERROR(INDEX(Controle!$H$3:$H$3041,MATCH(Mapa!$I$1&amp;"7",Controle!$F$3:$F$3041&amp;Controle!$G$3:$G$3041,0))),(INDEX(Controle!$H$3:$H$3041,MATCH(Mapa!$I$1&amp;"7",Controle!$F$3:$F$3041&amp;Controle!$G$3:$G$3041,0)))=0),"",(INDEX(Controle!$H$3:$H$3041,MATCH(Mapa!$I$1&amp;"7",Controle!$F$3:$F$3041&amp;Controle!$G$3:$G$3041,0)))))</f>
        <v>#N/A</v>
      </c>
      <c r="H37" s="743" t="s">
        <v>558</v>
      </c>
      <c r="I37" s="744"/>
      <c r="J37" s="745"/>
      <c r="K37" s="746" t="s">
        <v>8</v>
      </c>
      <c r="L37" s="747"/>
      <c r="M37" s="169" t="e">
        <f t="array" ref="M37">IF(OR($I$1="",I1="XXX/2017"),"",IF(OR(ISERROR(INDEX(Controle!$H$3:$H$3041,MATCH(Mapa!$I$1&amp;"8",Controle!$F$3:$F$3041&amp;Controle!$G$3:$G$3041,0))),(INDEX(Controle!$H$3:$H$3041,MATCH(Mapa!$I$1&amp;"8",Controle!$F$3:$F$3041&amp;Controle!$G$3:$G$3041,0)))=0),"",(INDEX(Controle!$H$3:$H$3041,MATCH(Mapa!$I$1&amp;"8",Controle!$F$3:$F$3041&amp;Controle!$G$3:$G$3041,0)))))</f>
        <v>#N/A</v>
      </c>
      <c r="N37" s="743" t="s">
        <v>559</v>
      </c>
      <c r="O37" s="744"/>
      <c r="P37" s="748"/>
      <c r="Q37" s="751" t="s">
        <v>8</v>
      </c>
      <c r="R37" s="752"/>
      <c r="S37" s="169" t="e">
        <f t="array" ref="S37">IF(OR($I$1="",I1="XXX/2017"),"",IF(OR(ISERROR(INDEX(Controle!$H$3:$H$3041,MATCH(Mapa!$I$1&amp;"9",Controle!$F$3:$F$3041&amp;Controle!$G$3:$G$3041,0))),(INDEX(Controle!$H$3:$H$3041,MATCH(Mapa!$I$1&amp;"9",Controle!$F$3:$F$3041&amp;Controle!$G$3:$G$3041,0)))=0),"",(INDEX(Controle!$H$3:$H$3041,MATCH(Mapa!$I$1&amp;"9",Controle!$F$3:$F$3041&amp;Controle!$G$3:$G$3041,0)))))</f>
        <v>#N/A</v>
      </c>
    </row>
    <row r="38" spans="1:20" ht="99" customHeight="1" thickTop="1" thickBot="1">
      <c r="A38" s="90"/>
      <c r="B38" s="749" t="str">
        <f>IF(ISERROR(VLOOKUP(G37,produtos_escape2!$A$2:$D$2794,2)),"",IF(VLOOKUP(G37,produtos_escape2!$A$2:$D$2794,1)&lt;&gt;G37,"Código não cadastrado",VLOOKUP(G37,produtos_escape2!$A$2:$D$2794,2)))</f>
        <v/>
      </c>
      <c r="C38" s="750"/>
      <c r="D38" s="200" t="e">
        <f t="array" ref="D38">IF(OR($I$1="",I1="XXX/2017"),"",IF(OR(ISERROR(INDEX(Controle!$N$3:$N$3041,MATCH(Mapa!$I$1&amp;"7",Controle!$F$3:$F$3041&amp;Controle!$G$3:$G$3041,0))),(INDEX(Controle!$N$3:$N$3041,MATCH(Mapa!$I$1&amp;"7",Controle!$F$3:$F$3041&amp;Controle!$G$3:$G$3041,0)))=0),"",(INDEX(Controle!$N$3:$N$3041,MATCH(Mapa!$I$1&amp;"7",Controle!$F$3:$F$3041&amp;Controle!$G$3:$G$3041,0)))))</f>
        <v>#N/A</v>
      </c>
      <c r="E38" s="124" t="s">
        <v>5</v>
      </c>
      <c r="F38" s="201"/>
      <c r="G38" s="126" t="str">
        <f>IF(ISERROR(VLOOKUP(G37,produtos_escape2!$A$2:$D$2794,4)),"",IF(VLOOKUP(G37,produtos_escape2!$A$2:$D$2794,4)=0,"Cadastrar unidade",IF(VLOOKUP(G37,produtos_escape2!$A$2:$D$2794,1)&lt;&gt;G37,"Unidade não cadastrada",VLOOKUP(G37,produtos_escape2!$A$2:$D$2794,4))))</f>
        <v/>
      </c>
      <c r="H38" s="749" t="str">
        <f>IF(ISERROR(VLOOKUP(M37,produtos_escape2!$A$2:$D$2794,2)),"",IF(VLOOKUP(M37,produtos_escape2!$A$2:$D$2794,1)&lt;&gt;M37,"Código não cadastrado",VLOOKUP(M37,produtos_escape2!$A$2:$D$2794,2)))</f>
        <v/>
      </c>
      <c r="I38" s="750"/>
      <c r="J38" s="200" t="e">
        <f t="array" ref="J38">IF(OR($I$1="",I1="XXX/2017"),"",IF(OR(ISERROR(INDEX(Controle!$N$3:$N$3041,MATCH(Mapa!$I$1&amp;"8",Controle!$F$3:$F$3041&amp;Controle!$G$3:$G$3041,0))),(INDEX(Controle!$N$3:$N$3041,MATCH(Mapa!$I$1&amp;"8",Controle!$F$3:$F$3041&amp;Controle!$G$3:$G$3041,0)))=0),"",(INDEX(Controle!$N$3:$N$3041,MATCH(Mapa!$I$1&amp;"8",Controle!$F$3:$F$3041&amp;Controle!$G$3:$G$3041,0)))))</f>
        <v>#N/A</v>
      </c>
      <c r="K38" s="124" t="s">
        <v>5</v>
      </c>
      <c r="L38" s="201"/>
      <c r="M38" s="126" t="str">
        <f>IF(ISERROR(VLOOKUP(M37,produtos_escape2!$A$2:$D$2794,4)),"",IF(VLOOKUP(M37,produtos_escape2!$A$2:$D$2794,4)=0,"Cadastrar unidade",IF(VLOOKUP(M37,produtos_escape2!$A$2:$D$2794,1)&lt;&gt;M37,"Unidade não cadastrada",VLOOKUP(M37,produtos_escape2!$A$2:$D$2794,4))))</f>
        <v/>
      </c>
      <c r="N38" s="749" t="str">
        <f>IF(ISERROR(VLOOKUP(S37,produtos_escape2!$A$2:$D$2794,2)),"",IF(VLOOKUP(S37,produtos_escape2!$A$2:$D$2794,1)&lt;&gt;S37,"Código não cadastrado",VLOOKUP(S37,produtos_escape2!$A$2:$D$2794,2)))</f>
        <v/>
      </c>
      <c r="O38" s="750"/>
      <c r="P38" s="200" t="e">
        <f t="array" ref="P38">IF(OR($I$1="",I1="XXX/2017"),"",IF(OR(ISERROR(INDEX(Controle!$N$3:$N$3041,MATCH(Mapa!$I$1&amp;"9",Controle!$F$3:$F$3041&amp;Controle!$G$3:$G$3041,0))),(INDEX(Controle!$N$3:$N$3041,MATCH(Mapa!$I$1&amp;"9",Controle!$F$3:$F$3041&amp;Controle!$G$3:$G$3041,0)))=0),"",(INDEX(Controle!$N$3:$N$3041,MATCH(Mapa!$I$1&amp;"9",Controle!$F$3:$F$3041&amp;Controle!$G$3:$G$3041,0)))))</f>
        <v>#N/A</v>
      </c>
      <c r="Q38" s="124" t="s">
        <v>5</v>
      </c>
      <c r="R38" s="201"/>
      <c r="S38" s="126" t="str">
        <f>IF(ISERROR(VLOOKUP(S37,produtos_escape2!$A$2:$D$2794,4)),"",IF(VLOOKUP(S37,produtos_escape2!$A$2:$D$2794,4)=0,"Cadastrar unidade",IF(VLOOKUP(S37,produtos_escape2!$A$2:$D$2794,1)&lt;&gt;S37,"Unidade não cadastrada",VLOOKUP(S37,produtos_escape2!$A$2:$D$2794,4))))</f>
        <v/>
      </c>
    </row>
    <row r="39" spans="1:20" ht="16.5" thickTop="1" thickBot="1">
      <c r="A39" s="127" t="s">
        <v>0</v>
      </c>
      <c r="B39" s="128" t="s">
        <v>1</v>
      </c>
      <c r="C39" s="742" t="s">
        <v>2</v>
      </c>
      <c r="D39" s="742"/>
      <c r="E39" s="742" t="s">
        <v>3</v>
      </c>
      <c r="F39" s="742"/>
      <c r="G39" s="128" t="s">
        <v>4</v>
      </c>
      <c r="H39" s="128" t="s">
        <v>1</v>
      </c>
      <c r="I39" s="742" t="s">
        <v>2</v>
      </c>
      <c r="J39" s="742"/>
      <c r="K39" s="742" t="s">
        <v>3</v>
      </c>
      <c r="L39" s="742"/>
      <c r="M39" s="128" t="s">
        <v>4</v>
      </c>
      <c r="N39" s="128" t="s">
        <v>1</v>
      </c>
      <c r="O39" s="742" t="s">
        <v>2</v>
      </c>
      <c r="P39" s="742"/>
      <c r="Q39" s="742" t="s">
        <v>3</v>
      </c>
      <c r="R39" s="742"/>
      <c r="S39" s="128" t="s">
        <v>4</v>
      </c>
      <c r="T39" s="220" t="s">
        <v>2975</v>
      </c>
    </row>
    <row r="40" spans="1:20" ht="15.75" thickTop="1">
      <c r="A40" s="138" t="str">
        <f>IF(ISBLANK(A6),"",A6)</f>
        <v/>
      </c>
      <c r="B40" s="132"/>
      <c r="C40" s="133">
        <f>IF(ISERROR(B40*$F$38),0,B40*$F$38)</f>
        <v>0</v>
      </c>
      <c r="D40" s="134" t="str">
        <f>IF(ISBLANK(B40),"",IF(AND(B40=$C$50,B40&gt;0),"1º",IF(AND(B40&gt;0,B40=SMALL($B$40:$B$49,2)),"2º",IF(AND(B40&gt;0,B40=SMALL($B$40:$B$49,3)),"3º",""))))</f>
        <v/>
      </c>
      <c r="E40" s="135"/>
      <c r="F40" s="134" t="str">
        <f>IF(ISBLANK(E40),"",IF(ISBLANK($C$52),"",IF(E40&lt;=$C$52,"OK","PUL")))</f>
        <v/>
      </c>
      <c r="G40" s="136"/>
      <c r="H40" s="132"/>
      <c r="I40" s="133">
        <f>IF(ISERROR(H40*$L$38),0,H40*$L$38)</f>
        <v>0</v>
      </c>
      <c r="J40" s="134" t="str">
        <f>IF(ISBLANK(H40),"",IF(AND(H40=$I$50,H40&gt;0),"1º",IF(AND(H40&gt;0,H40=SMALL($H$40:$H$49,2)),"2º",IF(AND(H40&gt;0,H40=SMALL($H$40:$H$49,3)),"3º",""))))</f>
        <v/>
      </c>
      <c r="K40" s="135"/>
      <c r="L40" s="134" t="str">
        <f>IF(ISBLANK(K40),"",IF(ISBLANK($I$52),"",IF(K40&lt;=$I$52,"OK","PUL")))</f>
        <v/>
      </c>
      <c r="M40" s="136"/>
      <c r="N40" s="110"/>
      <c r="O40" s="133">
        <f>IF(ISERROR(N40*$R$38),0,N40*$R$38)</f>
        <v>0</v>
      </c>
      <c r="P40" s="134" t="str">
        <f>IF(ISBLANK(N40),"",IF(AND(N40=$O$50,N40&gt;0),"1º",IF(AND(N40&gt;0,N40=SMALL($N$40:$N$49,2)),"2º",IF(AND(N40&gt;0,N40=SMALL($N$40:$N$49,3)),"3º",""))))</f>
        <v/>
      </c>
      <c r="Q40" s="135"/>
      <c r="R40" s="134" t="str">
        <f>IF(ISBLANK(Q40),"",IF(ISBLANK($O$52),"",IF(Q40&lt;=$O$52,"OK","PUL")))</f>
        <v/>
      </c>
      <c r="S40" s="136"/>
      <c r="T40" s="223" t="str">
        <f>IF(ISBLANK(T6),"",T6)</f>
        <v/>
      </c>
    </row>
    <row r="41" spans="1:20">
      <c r="A41" s="139" t="str">
        <f>IF(ISBLANK(A7),"",A7)</f>
        <v/>
      </c>
      <c r="B41" s="96"/>
      <c r="C41" s="92">
        <f t="shared" ref="C41:C49" si="20">IF(ISERROR(B41*$F$38),0,B41*$F$38)</f>
        <v>0</v>
      </c>
      <c r="D41" s="93" t="str">
        <f t="shared" ref="D41:D49" si="21">IF(ISBLANK(B41),"",IF(AND(B41=$C$50,B41&gt;0),"1º",IF(AND(B41&gt;0,B41=SMALL($B$40:$B$49,2)),"2º",IF(AND(B41&gt;0,B41=SMALL($B$40:$B$49,3)),"3º",""))))</f>
        <v/>
      </c>
      <c r="E41" s="94"/>
      <c r="F41" s="93" t="str">
        <f t="shared" ref="F41:F49" si="22">IF(ISBLANK(E41),"",IF(ISBLANK($C$52),"",IF(E41&lt;=$C$52,"OK","PUL")))</f>
        <v/>
      </c>
      <c r="G41" s="95"/>
      <c r="H41" s="96"/>
      <c r="I41" s="92">
        <f t="shared" ref="I41:I49" si="23">IF(ISERROR(H41*$L$38),0,H41*$L$38)</f>
        <v>0</v>
      </c>
      <c r="J41" s="93" t="str">
        <f t="shared" ref="J41:J49" si="24">IF(ISBLANK(H41),"",IF(AND(H41=$I$50,H41&gt;0),"1º",IF(AND(H41&gt;0,H41=SMALL($H$40:$H$49,2)),"2º",IF(AND(H41&gt;0,H41=SMALL($H$40:$H$49,3)),"3º",""))))</f>
        <v/>
      </c>
      <c r="K41" s="94"/>
      <c r="L41" s="93" t="str">
        <f t="shared" ref="L41:L49" si="25">IF(ISBLANK(K41),"",IF(ISBLANK($I$52),"",IF(K41&lt;=$I$52,"OK","PUL")))</f>
        <v/>
      </c>
      <c r="M41" s="95"/>
      <c r="N41" s="96"/>
      <c r="O41" s="92">
        <f t="shared" ref="O41:O49" si="26">IF(ISERROR(N41*$R$38),0,N41*$R$38)</f>
        <v>0</v>
      </c>
      <c r="P41" s="93" t="str">
        <f t="shared" ref="P41:P49" si="27">IF(ISBLANK(N41),"",IF(AND(N41=$O$50,N41&gt;0),"1º",IF(AND(N41&gt;0,N41=SMALL($N$40:$N$49,2)),"2º",IF(AND(N41&gt;0,N41=SMALL($N$40:$N$49,3)),"3º",""))))</f>
        <v/>
      </c>
      <c r="Q41" s="94"/>
      <c r="R41" s="93" t="str">
        <f t="shared" ref="R41:R49" si="28">IF(ISBLANK(Q41),"",IF(ISBLANK($O$52),"",IF(Q41&lt;=$O$52,"OK","PUL")))</f>
        <v/>
      </c>
      <c r="S41" s="95"/>
      <c r="T41" s="224" t="str">
        <f t="shared" ref="T41:T49" si="29">IF(ISBLANK(T7),"",T7)</f>
        <v/>
      </c>
    </row>
    <row r="42" spans="1:20">
      <c r="A42" s="139" t="str">
        <f t="shared" ref="A42:A49" si="30">IF(ISBLANK(A8),"",A8)</f>
        <v/>
      </c>
      <c r="B42" s="96"/>
      <c r="C42" s="92">
        <f t="shared" si="20"/>
        <v>0</v>
      </c>
      <c r="D42" s="93" t="str">
        <f t="shared" si="21"/>
        <v/>
      </c>
      <c r="E42" s="94"/>
      <c r="F42" s="93" t="str">
        <f t="shared" si="22"/>
        <v/>
      </c>
      <c r="G42" s="95"/>
      <c r="H42" s="96"/>
      <c r="I42" s="92">
        <f t="shared" si="23"/>
        <v>0</v>
      </c>
      <c r="J42" s="93" t="str">
        <f t="shared" si="24"/>
        <v/>
      </c>
      <c r="K42" s="94"/>
      <c r="L42" s="93" t="str">
        <f t="shared" si="25"/>
        <v/>
      </c>
      <c r="M42" s="95"/>
      <c r="N42" s="96"/>
      <c r="O42" s="92">
        <f t="shared" si="26"/>
        <v>0</v>
      </c>
      <c r="P42" s="93" t="str">
        <f t="shared" si="27"/>
        <v/>
      </c>
      <c r="Q42" s="94"/>
      <c r="R42" s="93" t="str">
        <f t="shared" si="28"/>
        <v/>
      </c>
      <c r="S42" s="95"/>
      <c r="T42" s="224" t="str">
        <f t="shared" si="29"/>
        <v/>
      </c>
    </row>
    <row r="43" spans="1:20">
      <c r="A43" s="139" t="str">
        <f t="shared" si="30"/>
        <v/>
      </c>
      <c r="B43" s="110"/>
      <c r="C43" s="92">
        <f t="shared" si="20"/>
        <v>0</v>
      </c>
      <c r="D43" s="93" t="str">
        <f t="shared" si="21"/>
        <v/>
      </c>
      <c r="E43" s="94"/>
      <c r="F43" s="93" t="str">
        <f t="shared" si="22"/>
        <v/>
      </c>
      <c r="G43" s="95"/>
      <c r="H43" s="110"/>
      <c r="I43" s="92">
        <f t="shared" si="23"/>
        <v>0</v>
      </c>
      <c r="J43" s="93" t="str">
        <f t="shared" si="24"/>
        <v/>
      </c>
      <c r="K43" s="94"/>
      <c r="L43" s="93" t="str">
        <f t="shared" si="25"/>
        <v/>
      </c>
      <c r="M43" s="95"/>
      <c r="N43" s="228"/>
      <c r="O43" s="92">
        <f t="shared" si="26"/>
        <v>0</v>
      </c>
      <c r="P43" s="93" t="str">
        <f t="shared" si="27"/>
        <v/>
      </c>
      <c r="Q43" s="94"/>
      <c r="R43" s="93" t="str">
        <f t="shared" si="28"/>
        <v/>
      </c>
      <c r="S43" s="95"/>
      <c r="T43" s="224" t="str">
        <f t="shared" si="29"/>
        <v/>
      </c>
    </row>
    <row r="44" spans="1:20">
      <c r="A44" s="139" t="str">
        <f t="shared" si="30"/>
        <v/>
      </c>
      <c r="B44" s="110"/>
      <c r="C44" s="92">
        <f t="shared" si="20"/>
        <v>0</v>
      </c>
      <c r="D44" s="93" t="str">
        <f t="shared" si="21"/>
        <v/>
      </c>
      <c r="E44" s="94"/>
      <c r="F44" s="93" t="str">
        <f t="shared" si="22"/>
        <v/>
      </c>
      <c r="G44" s="95"/>
      <c r="H44" s="110"/>
      <c r="I44" s="92">
        <f t="shared" si="23"/>
        <v>0</v>
      </c>
      <c r="J44" s="93" t="str">
        <f t="shared" si="24"/>
        <v/>
      </c>
      <c r="K44" s="94"/>
      <c r="L44" s="93" t="str">
        <f t="shared" si="25"/>
        <v/>
      </c>
      <c r="M44" s="95"/>
      <c r="N44" s="96"/>
      <c r="O44" s="92">
        <f t="shared" si="26"/>
        <v>0</v>
      </c>
      <c r="P44" s="93" t="str">
        <f t="shared" si="27"/>
        <v/>
      </c>
      <c r="Q44" s="94"/>
      <c r="R44" s="93" t="str">
        <f t="shared" si="28"/>
        <v/>
      </c>
      <c r="S44" s="95"/>
      <c r="T44" s="224" t="str">
        <f t="shared" si="29"/>
        <v/>
      </c>
    </row>
    <row r="45" spans="1:20">
      <c r="A45" s="139" t="str">
        <f t="shared" si="30"/>
        <v/>
      </c>
      <c r="B45" s="96"/>
      <c r="C45" s="92">
        <f t="shared" si="20"/>
        <v>0</v>
      </c>
      <c r="D45" s="93" t="str">
        <f t="shared" si="21"/>
        <v/>
      </c>
      <c r="E45" s="94"/>
      <c r="F45" s="93" t="str">
        <f t="shared" si="22"/>
        <v/>
      </c>
      <c r="G45" s="95"/>
      <c r="H45" s="110"/>
      <c r="I45" s="92">
        <f t="shared" si="23"/>
        <v>0</v>
      </c>
      <c r="J45" s="93" t="str">
        <f t="shared" si="24"/>
        <v/>
      </c>
      <c r="K45" s="94"/>
      <c r="L45" s="93" t="str">
        <f t="shared" si="25"/>
        <v/>
      </c>
      <c r="M45" s="95"/>
      <c r="N45" s="96"/>
      <c r="O45" s="92">
        <f t="shared" si="26"/>
        <v>0</v>
      </c>
      <c r="P45" s="93" t="str">
        <f t="shared" si="27"/>
        <v/>
      </c>
      <c r="Q45" s="94"/>
      <c r="R45" s="93" t="str">
        <f t="shared" si="28"/>
        <v/>
      </c>
      <c r="S45" s="95"/>
      <c r="T45" s="224" t="str">
        <f t="shared" si="29"/>
        <v/>
      </c>
    </row>
    <row r="46" spans="1:20">
      <c r="A46" s="139" t="str">
        <f t="shared" si="30"/>
        <v/>
      </c>
      <c r="B46" s="96"/>
      <c r="C46" s="92">
        <f t="shared" si="20"/>
        <v>0</v>
      </c>
      <c r="D46" s="93" t="str">
        <f t="shared" si="21"/>
        <v/>
      </c>
      <c r="E46" s="94"/>
      <c r="F46" s="93" t="str">
        <f t="shared" si="22"/>
        <v/>
      </c>
      <c r="G46" s="95"/>
      <c r="H46" s="96"/>
      <c r="I46" s="92">
        <f t="shared" si="23"/>
        <v>0</v>
      </c>
      <c r="J46" s="93" t="str">
        <f t="shared" si="24"/>
        <v/>
      </c>
      <c r="K46" s="94"/>
      <c r="L46" s="93" t="str">
        <f t="shared" si="25"/>
        <v/>
      </c>
      <c r="M46" s="95"/>
      <c r="N46" s="110"/>
      <c r="O46" s="92">
        <f t="shared" si="26"/>
        <v>0</v>
      </c>
      <c r="P46" s="93" t="str">
        <f t="shared" si="27"/>
        <v/>
      </c>
      <c r="Q46" s="94"/>
      <c r="R46" s="93" t="str">
        <f t="shared" si="28"/>
        <v/>
      </c>
      <c r="S46" s="95"/>
      <c r="T46" s="224" t="str">
        <f t="shared" si="29"/>
        <v/>
      </c>
    </row>
    <row r="47" spans="1:20">
      <c r="A47" s="139" t="str">
        <f t="shared" si="30"/>
        <v/>
      </c>
      <c r="B47" s="96"/>
      <c r="C47" s="92">
        <f t="shared" si="20"/>
        <v>0</v>
      </c>
      <c r="D47" s="93" t="str">
        <f t="shared" si="21"/>
        <v/>
      </c>
      <c r="E47" s="94"/>
      <c r="F47" s="93" t="str">
        <f t="shared" si="22"/>
        <v/>
      </c>
      <c r="G47" s="95"/>
      <c r="H47" s="96"/>
      <c r="I47" s="92">
        <f t="shared" si="23"/>
        <v>0</v>
      </c>
      <c r="J47" s="93" t="str">
        <f t="shared" si="24"/>
        <v/>
      </c>
      <c r="K47" s="94"/>
      <c r="L47" s="93" t="str">
        <f t="shared" si="25"/>
        <v/>
      </c>
      <c r="M47" s="95"/>
      <c r="N47" s="110"/>
      <c r="O47" s="92">
        <f t="shared" si="26"/>
        <v>0</v>
      </c>
      <c r="P47" s="93" t="str">
        <f t="shared" si="27"/>
        <v/>
      </c>
      <c r="Q47" s="94"/>
      <c r="R47" s="93" t="str">
        <f t="shared" si="28"/>
        <v/>
      </c>
      <c r="S47" s="95"/>
      <c r="T47" s="224" t="str">
        <f t="shared" si="29"/>
        <v/>
      </c>
    </row>
    <row r="48" spans="1:20">
      <c r="A48" s="139" t="str">
        <f t="shared" si="30"/>
        <v/>
      </c>
      <c r="B48" s="96"/>
      <c r="C48" s="92">
        <f t="shared" si="20"/>
        <v>0</v>
      </c>
      <c r="D48" s="93" t="str">
        <f t="shared" si="21"/>
        <v/>
      </c>
      <c r="E48" s="94"/>
      <c r="F48" s="93" t="str">
        <f t="shared" si="22"/>
        <v/>
      </c>
      <c r="G48" s="95"/>
      <c r="H48" s="96"/>
      <c r="I48" s="92">
        <f t="shared" si="23"/>
        <v>0</v>
      </c>
      <c r="J48" s="93" t="str">
        <f t="shared" si="24"/>
        <v/>
      </c>
      <c r="K48" s="94"/>
      <c r="L48" s="93" t="str">
        <f t="shared" si="25"/>
        <v/>
      </c>
      <c r="M48" s="95"/>
      <c r="N48" s="110"/>
      <c r="O48" s="92">
        <f t="shared" si="26"/>
        <v>0</v>
      </c>
      <c r="P48" s="93" t="str">
        <f t="shared" si="27"/>
        <v/>
      </c>
      <c r="Q48" s="94"/>
      <c r="R48" s="93" t="str">
        <f t="shared" si="28"/>
        <v/>
      </c>
      <c r="S48" s="95"/>
      <c r="T48" s="224" t="str">
        <f t="shared" si="29"/>
        <v/>
      </c>
    </row>
    <row r="49" spans="1:20" ht="15.75" thickBot="1">
      <c r="A49" s="140" t="str">
        <f t="shared" si="30"/>
        <v/>
      </c>
      <c r="B49" s="141"/>
      <c r="C49" s="101">
        <f t="shared" si="20"/>
        <v>0</v>
      </c>
      <c r="D49" s="98" t="str">
        <f t="shared" si="21"/>
        <v/>
      </c>
      <c r="E49" s="99"/>
      <c r="F49" s="98" t="str">
        <f t="shared" si="22"/>
        <v/>
      </c>
      <c r="G49" s="100"/>
      <c r="H49" s="96"/>
      <c r="I49" s="101">
        <f t="shared" si="23"/>
        <v>0</v>
      </c>
      <c r="J49" s="98" t="str">
        <f t="shared" si="24"/>
        <v/>
      </c>
      <c r="K49" s="99"/>
      <c r="L49" s="98" t="str">
        <f t="shared" si="25"/>
        <v/>
      </c>
      <c r="M49" s="100"/>
      <c r="N49" s="141"/>
      <c r="O49" s="101">
        <f t="shared" si="26"/>
        <v>0</v>
      </c>
      <c r="P49" s="98" t="str">
        <f t="shared" si="27"/>
        <v/>
      </c>
      <c r="Q49" s="99"/>
      <c r="R49" s="98" t="str">
        <f t="shared" si="28"/>
        <v/>
      </c>
      <c r="S49" s="100"/>
      <c r="T49" s="225" t="str">
        <f t="shared" si="29"/>
        <v/>
      </c>
    </row>
    <row r="50" spans="1:20" ht="28.5" customHeight="1" thickTop="1">
      <c r="A50" s="102"/>
      <c r="B50" s="103" t="s">
        <v>6</v>
      </c>
      <c r="C50" s="104">
        <f>IF(ISBLANK(B40:B49),"", MIN(B40:B49))</f>
        <v>0</v>
      </c>
      <c r="D50" s="207" t="s">
        <v>2943</v>
      </c>
      <c r="E50" s="738" t="s">
        <v>7</v>
      </c>
      <c r="F50" s="739"/>
      <c r="G50" s="105"/>
      <c r="H50" s="103" t="s">
        <v>6</v>
      </c>
      <c r="I50" s="104">
        <f>IF(ISBLANK(H40:H49),"-", MIN(H40:H49))</f>
        <v>0</v>
      </c>
      <c r="J50" s="207" t="s">
        <v>2943</v>
      </c>
      <c r="K50" s="738" t="s">
        <v>7</v>
      </c>
      <c r="L50" s="739"/>
      <c r="M50" s="105"/>
      <c r="N50" s="103" t="s">
        <v>6</v>
      </c>
      <c r="O50" s="104">
        <f>IF(ISBLANK(N40:N49),"-", MIN(N40:N49))</f>
        <v>0</v>
      </c>
      <c r="P50" s="207" t="s">
        <v>2943</v>
      </c>
      <c r="Q50" s="738" t="s">
        <v>7</v>
      </c>
      <c r="R50" s="739"/>
      <c r="S50" s="105"/>
    </row>
    <row r="51" spans="1:20" ht="27.75" customHeight="1">
      <c r="A51" s="102"/>
      <c r="B51" s="107" t="s">
        <v>2561</v>
      </c>
      <c r="C51" s="108" t="str">
        <f>IF(ISERROR(VLOOKUP("1º",D40:E49,2,0)),"-",VLOOKUP("1º",D40:E49,2,0))</f>
        <v>-</v>
      </c>
      <c r="D51" s="215"/>
      <c r="E51" s="740" t="str">
        <f>IF(ISERROR(VLOOKUP(G37,produtos_escape2!$A$2:$D$2794,3)),"",IF(VLOOKUP(G37,produtos_escape2!$A$2:$D$2794,1)&lt;G37,"INEXISTENTE",IF(VLOOKUP(G37,produtos_escape2!$A$2:$D$2794,3)=ISBLANK(produtos_escape2!$A$6:$D$2794),8000,VLOOKUP(G37,produtos_escape2!$A$2:$D$2794,3))))</f>
        <v/>
      </c>
      <c r="F51" s="741"/>
      <c r="G51" s="105"/>
      <c r="H51" s="107" t="s">
        <v>2561</v>
      </c>
      <c r="I51" s="108" t="str">
        <f>IF(ISERROR(VLOOKUP("1º",J40:K49,2,0)),"-",VLOOKUP("1º",J40:K49,2,0))</f>
        <v>-</v>
      </c>
      <c r="J51" s="215"/>
      <c r="K51" s="740" t="str">
        <f>IF(ISERROR(VLOOKUP(M37,produtos_escape2!$A$2:$D$2794,3)),"",IF(VLOOKUP(M37,produtos_escape2!$A$2:$D$2794,1)&lt;M37,"INEXISTENTE",IF(VLOOKUP(M37,produtos_escape2!$A$2:$D$2794,3)=ISBLANK(produtos_escape2!$A$6:$D$2794),8000,VLOOKUP(M37,produtos_escape2!$A$2:$D$2794,3))))</f>
        <v/>
      </c>
      <c r="L51" s="741"/>
      <c r="M51" s="105"/>
      <c r="N51" s="107" t="s">
        <v>2561</v>
      </c>
      <c r="O51" s="108" t="str">
        <f>IF(ISERROR(VLOOKUP("1º",P40:Q49,2,0)),"-",VLOOKUP("1º",P40:Q49,2,0))</f>
        <v>-</v>
      </c>
      <c r="P51" s="215"/>
      <c r="Q51" s="740" t="str">
        <f>IF(ISERROR(VLOOKUP(S37,produtos_escape2!$A$2:$D$2794,3)),"",IF(VLOOKUP(S37,produtos_escape2!$A$2:$D$2794,1)&lt;S37,"INEXISTENTE",IF(VLOOKUP(S37,produtos_escape2!$A$2:$D$2794,3)=ISBLANK(produtos_escape2!$A$6:$D$2794),8000,VLOOKUP(S37,produtos_escape2!$A$2:$D$2794,3))))</f>
        <v/>
      </c>
      <c r="R51" s="741"/>
      <c r="S51" s="105"/>
    </row>
    <row r="52" spans="1:20" ht="25.5">
      <c r="A52" s="102"/>
      <c r="B52" s="107" t="s">
        <v>545</v>
      </c>
      <c r="C52" s="109"/>
      <c r="D52" s="102"/>
      <c r="E52" s="102"/>
      <c r="F52" s="102"/>
      <c r="G52" s="102"/>
      <c r="H52" s="107" t="s">
        <v>545</v>
      </c>
      <c r="I52" s="109"/>
      <c r="J52" s="102"/>
      <c r="K52" s="102"/>
      <c r="L52" s="102"/>
      <c r="M52" s="102"/>
      <c r="N52" s="107" t="s">
        <v>545</v>
      </c>
      <c r="O52" s="109"/>
      <c r="P52" s="102"/>
      <c r="Q52" s="102"/>
      <c r="R52" s="102"/>
      <c r="S52" s="102"/>
    </row>
    <row r="53" spans="1:20" ht="15.75" thickBot="1">
      <c r="A53" s="87"/>
      <c r="B53" s="87"/>
      <c r="C53" s="87"/>
      <c r="D53" s="87"/>
      <c r="E53" s="87"/>
      <c r="F53" s="87"/>
      <c r="G53" s="87"/>
      <c r="H53" s="87"/>
      <c r="I53" s="87"/>
      <c r="J53" s="87"/>
      <c r="K53" s="87"/>
      <c r="L53" s="87"/>
      <c r="M53" s="87"/>
      <c r="N53" s="87"/>
      <c r="O53" s="87"/>
      <c r="P53" s="87"/>
      <c r="Q53" s="87"/>
      <c r="R53" s="87"/>
      <c r="S53" s="87"/>
    </row>
    <row r="54" spans="1:20" ht="16.5" thickTop="1" thickBot="1">
      <c r="A54" s="88"/>
      <c r="B54" s="743" t="s">
        <v>560</v>
      </c>
      <c r="C54" s="744"/>
      <c r="D54" s="745"/>
      <c r="E54" s="746" t="s">
        <v>8</v>
      </c>
      <c r="F54" s="747"/>
      <c r="G54" s="169" t="e">
        <f t="array" ref="G54">IF(OR($I$1="",I1="XXX/2017"),"",IF(OR(ISERROR(INDEX(Controle!$H$3:$H$3041,MATCH(Mapa!$I$1&amp;"10",Controle!$F$3:$F$3041&amp;Controle!$G$3:$G$3041,0))),(INDEX(Controle!$H$3:$H$3041,MATCH(Mapa!$I$1&amp;"10",Controle!$F$3:$F$3041&amp;Controle!$G$3:$G$3041,0)))=0),"",(INDEX(Controle!$H$3:$H$3041,MATCH(Mapa!$I$1&amp;"10",Controle!$F$3:$F$3041&amp;Controle!$G$3:$G$3041,0)))))</f>
        <v>#N/A</v>
      </c>
      <c r="H54" s="743" t="s">
        <v>561</v>
      </c>
      <c r="I54" s="744"/>
      <c r="J54" s="745"/>
      <c r="K54" s="746" t="s">
        <v>8</v>
      </c>
      <c r="L54" s="747"/>
      <c r="M54" s="169" t="e">
        <f t="array" ref="M54">IF(OR($I$1="",I1="XXX/2017"),"",IF(OR(ISERROR(INDEX(Controle!$H$3:$H$3041,MATCH(Mapa!$I$1&amp;"11",Controle!$F$3:$F$3041&amp;Controle!$G$3:$G$3041,0))),(INDEX(Controle!$H$3:$H$3041,MATCH(Mapa!$I$1&amp;"11",Controle!$F$3:$F$3041&amp;Controle!$G$3:$G$3041,0)))=0),"",(INDEX(Controle!$H$3:$H$3041,MATCH(Mapa!$I$1&amp;"11",Controle!$F$3:$F$3041&amp;Controle!$G$3:$G$3041,0)))))</f>
        <v>#N/A</v>
      </c>
      <c r="N54" s="743" t="s">
        <v>562</v>
      </c>
      <c r="O54" s="744"/>
      <c r="P54" s="748"/>
      <c r="Q54" s="751" t="s">
        <v>8</v>
      </c>
      <c r="R54" s="752"/>
      <c r="S54" s="169" t="e">
        <f t="array" ref="S54">IF(OR($I$1="",I1="XXX/2017"),"",IF(OR(ISERROR(INDEX(Controle!$H$3:$H$3041,MATCH(Mapa!$I$1&amp;"12",Controle!$F$3:$F$3041&amp;Controle!$G$3:$G$3041,0))),(INDEX(Controle!$H$3:$H$3041,MATCH(Mapa!$I$1&amp;"12",Controle!$F$3:$F$3041&amp;Controle!$G$3:$G$3041,0)))=0),"",(INDEX(Controle!$H$3:$H$3041,MATCH(Mapa!$I$1&amp;"12",Controle!$F$3:$F$3041&amp;Controle!$G$3:$G$3041,0)))))</f>
        <v>#N/A</v>
      </c>
    </row>
    <row r="55" spans="1:20" ht="99" customHeight="1" thickTop="1" thickBot="1">
      <c r="A55" s="90"/>
      <c r="B55" s="749" t="str">
        <f>IF(ISERROR(VLOOKUP(G54,produtos_escape2!$A$2:$D$2794,2)),"",IF(VLOOKUP(G54,produtos_escape2!$A$2:$D$2794,1)&lt;&gt;G54,"Código não cadastrado",VLOOKUP(G54,produtos_escape2!$A$2:$D$2794,2)))</f>
        <v/>
      </c>
      <c r="C55" s="750"/>
      <c r="D55" s="200" t="e">
        <f t="array" ref="D55">IF(OR($I$1="",I1="XXX/2017"),"",IF(OR(ISERROR(INDEX(Controle!$N$3:$N$3041,MATCH(Mapa!$I$1&amp;"10",Controle!$F$3:$F$3041&amp;Controle!$G$3:$G$3041,0))),(INDEX(Controle!$N$3:$N$3041,MATCH(Mapa!$I$1&amp;"10",Controle!$F$3:$F$3041&amp;Controle!$G$3:$G$3041,0)))=0),"",(INDEX(Controle!$N$3:$N$3041,MATCH(Mapa!$I$1&amp;"10",Controle!$F$3:$F$3041&amp;Controle!$G$3:$G$3041,0)))))</f>
        <v>#N/A</v>
      </c>
      <c r="E55" s="124" t="s">
        <v>5</v>
      </c>
      <c r="F55" s="201"/>
      <c r="G55" s="126" t="str">
        <f>IF(ISERROR(VLOOKUP(G54,produtos_escape2!$A$2:$D$2794,4)),"",IF(VLOOKUP(G54,produtos_escape2!$A$2:$D$2794,4)=0,"Cadastrar unidade",IF(VLOOKUP(G54,produtos_escape2!$A$2:$D$2794,1)&lt;&gt;G54,"Unidade não cadastrada",VLOOKUP(G54,produtos_escape2!$A$2:$D$2794,4))))</f>
        <v/>
      </c>
      <c r="H55" s="749" t="str">
        <f>IF(ISERROR(VLOOKUP(M54,produtos_escape2!$A$2:$D$2794,2)),"",IF(VLOOKUP(M54,produtos_escape2!$A$2:$D$2794,1)&lt;&gt;M54,"Código não cadastrado",VLOOKUP(M54,produtos_escape2!$A$2:$D$2794,2)))</f>
        <v/>
      </c>
      <c r="I55" s="750"/>
      <c r="J55" s="200" t="e">
        <f t="array" ref="J55">IF(OR($I$1="",I1="XXX/2017"),"",IF(OR(ISERROR(INDEX(Controle!$N$3:$N$3041,MATCH(Mapa!$I$1&amp;"11",Controle!$F$3:$F$3041&amp;Controle!$G$3:$G$3041,0))),(INDEX(Controle!$N$3:$N$3041,MATCH(Mapa!$I$1&amp;"11",Controle!$F$3:$F$3041&amp;Controle!$G$3:$G$3041,0)))=0),"",(INDEX(Controle!$N$3:$N$3041,MATCH(Mapa!$I$1&amp;"11",Controle!$F$3:$F$3041&amp;Controle!$G$3:$G$3041,0)))))</f>
        <v>#N/A</v>
      </c>
      <c r="K55" s="124" t="s">
        <v>5</v>
      </c>
      <c r="L55" s="201"/>
      <c r="M55" s="126" t="str">
        <f>IF(ISERROR(VLOOKUP(M54,produtos_escape2!$A$2:$D$2794,4)),"",IF(VLOOKUP(M54,produtos_escape2!$A$2:$D$2794,4)=0,"Cadastrar unidade",IF(VLOOKUP(M54,produtos_escape2!$A$2:$D$2794,1)&lt;&gt;M54,"Unidade não cadastrada",VLOOKUP(M54,produtos_escape2!$A$2:$D$2794,4))))</f>
        <v/>
      </c>
      <c r="N55" s="749" t="str">
        <f>IF(ISERROR(VLOOKUP(S54,produtos_escape2!$A$2:$D$2794,2)),"",IF(VLOOKUP(S54,produtos_escape2!$A$2:$D$2794,1)&lt;&gt;S54,"Código não cadastrado",VLOOKUP(S54,produtos_escape2!$A$2:$D$2794,2)))</f>
        <v/>
      </c>
      <c r="O55" s="750"/>
      <c r="P55" s="200" t="e">
        <f t="array" ref="P55">IF(OR($I$1="",I1="XXX/2017"),"",IF(OR(ISERROR(INDEX(Controle!$N$3:$N$3041,MATCH(Mapa!$I$1&amp;"12",Controle!$F$3:$F$3041&amp;Controle!$G$3:$G$3041,0))),(INDEX(Controle!$N$3:$N$3041,MATCH(Mapa!$I$1&amp;"12",Controle!$F$3:$F$3041&amp;Controle!$G$3:$G$3041,0)))=0),"",(INDEX(Controle!$N$3:$N$3041,MATCH(Mapa!$I$1&amp;"12",Controle!$F$3:$F$3041&amp;Controle!$G$3:$G$3041,0)))))</f>
        <v>#N/A</v>
      </c>
      <c r="Q55" s="124" t="s">
        <v>5</v>
      </c>
      <c r="R55" s="201"/>
      <c r="S55" s="126" t="str">
        <f>IF(ISERROR(VLOOKUP(S54,produtos_escape2!$A$2:$D$2794,4)),"",IF(VLOOKUP(S54,produtos_escape2!$A$2:$D$2794,4)=0,"Cadastrar unidade",IF(VLOOKUP(S54,produtos_escape2!$A$2:$D$2794,1)&lt;&gt;S54,"Unidade não cadastrada",VLOOKUP(S54,produtos_escape2!$A$2:$D$2794,4))))</f>
        <v/>
      </c>
    </row>
    <row r="56" spans="1:20" ht="16.5" thickTop="1" thickBot="1">
      <c r="A56" s="127" t="s">
        <v>0</v>
      </c>
      <c r="B56" s="128" t="s">
        <v>1</v>
      </c>
      <c r="C56" s="742" t="s">
        <v>2</v>
      </c>
      <c r="D56" s="742"/>
      <c r="E56" s="742" t="s">
        <v>3</v>
      </c>
      <c r="F56" s="742"/>
      <c r="G56" s="128" t="s">
        <v>4</v>
      </c>
      <c r="H56" s="128" t="s">
        <v>1</v>
      </c>
      <c r="I56" s="742" t="s">
        <v>2</v>
      </c>
      <c r="J56" s="742"/>
      <c r="K56" s="742" t="s">
        <v>3</v>
      </c>
      <c r="L56" s="742"/>
      <c r="M56" s="128" t="s">
        <v>4</v>
      </c>
      <c r="N56" s="128" t="s">
        <v>1</v>
      </c>
      <c r="O56" s="742" t="s">
        <v>2</v>
      </c>
      <c r="P56" s="742"/>
      <c r="Q56" s="742" t="s">
        <v>3</v>
      </c>
      <c r="R56" s="742"/>
      <c r="S56" s="128" t="s">
        <v>4</v>
      </c>
      <c r="T56" s="220" t="s">
        <v>2975</v>
      </c>
    </row>
    <row r="57" spans="1:20" ht="15.75" thickTop="1">
      <c r="A57" s="138" t="str">
        <f>IF(ISBLANK(A23),"",A23)</f>
        <v/>
      </c>
      <c r="B57" s="132"/>
      <c r="C57" s="133">
        <f>IF(ISERROR(B57*$F$55),0,B57*$F$55)</f>
        <v>0</v>
      </c>
      <c r="D57" s="134" t="str">
        <f>IF(ISBLANK(B57),"",IF(AND(B57=$C$67,B57&gt;0),"1º",IF(AND(B57&gt;0,B57=SMALL($B$57:$B$66,2)),"2º",IF(AND(B57&gt;0,B57=SMALL($B$57:$B$66,3)),"3º",""))))</f>
        <v/>
      </c>
      <c r="E57" s="135"/>
      <c r="F57" s="134" t="str">
        <f>IF(ISBLANK(E57),"",IF(ISBLANK($C$69),"",IF(E57&lt;=$C$69,"OK","PUL")))</f>
        <v/>
      </c>
      <c r="G57" s="136"/>
      <c r="H57" s="132"/>
      <c r="I57" s="133">
        <f>IF(ISERROR(H57*$L$55),0,H57*$L$55)</f>
        <v>0</v>
      </c>
      <c r="J57" s="134" t="str">
        <f>IF(ISBLANK(H57),"",IF(AND(H57=$I$67,H57&gt;0),"1º",IF(AND(H57&gt;0,H57=SMALL($H$57:$H$66,2)),"2º",IF(AND(H57&gt;0,H57=SMALL($H$57:$H$66,3)),"3º",""))))</f>
        <v/>
      </c>
      <c r="K57" s="135"/>
      <c r="L57" s="134" t="str">
        <f>IF(ISBLANK(K57),"",IF(ISBLANK($I$69),"",IF(K57&lt;=$I$69,"OK","PUL")))</f>
        <v/>
      </c>
      <c r="M57" s="136"/>
      <c r="N57" s="132"/>
      <c r="O57" s="133">
        <f>IF(ISERROR(N57*$R$55),0,N57*$R$55)</f>
        <v>0</v>
      </c>
      <c r="P57" s="134" t="str">
        <f>IF(ISBLANK(N57),"",IF(AND(N57=$O$67,N57&gt;0),"1º",IF(AND(N57&gt;0,N57=SMALL($N$57:$N$66,2)),"2º",IF(AND(N57&gt;0,N57=SMALL($N$57:$N$66,3)),"3º",""))))</f>
        <v/>
      </c>
      <c r="Q57" s="135"/>
      <c r="R57" s="134" t="str">
        <f>IF(ISBLANK(Q57),"",IF(ISBLANK($O$69),"",IF(Q57&lt;=$O$69,"OK","PUL")))</f>
        <v/>
      </c>
      <c r="S57" s="136"/>
      <c r="T57" s="223" t="str">
        <f>IF(ISBLANK(T6),"",T6)</f>
        <v/>
      </c>
    </row>
    <row r="58" spans="1:20">
      <c r="A58" s="139" t="str">
        <f>IF(ISBLANK(A24),"",A24)</f>
        <v/>
      </c>
      <c r="B58" s="96"/>
      <c r="C58" s="92">
        <f t="shared" ref="C58:C66" si="31">IF(ISERROR(B58*$F$55),0,B58*$F$55)</f>
        <v>0</v>
      </c>
      <c r="D58" s="93" t="str">
        <f t="shared" ref="D58:D66" si="32">IF(ISBLANK(B58),"",IF(AND(B58=$C$67,B58&gt;0),"1º",IF(AND(B58&gt;0,B58=SMALL($B$57:$B$66,2)),"2º",IF(AND(B58&gt;0,B58=SMALL($B$57:$B$66,3)),"3º",""))))</f>
        <v/>
      </c>
      <c r="E58" s="94"/>
      <c r="F58" s="93" t="str">
        <f t="shared" ref="F58:F66" si="33">IF(ISBLANK(E58),"",IF(ISBLANK($C$69),"",IF(E58&lt;=$C$69,"OK","PUL")))</f>
        <v/>
      </c>
      <c r="G58" s="95"/>
      <c r="H58" s="96"/>
      <c r="I58" s="92">
        <f t="shared" ref="I58:I66" si="34">IF(ISERROR(H58*$L$55),0,H58*$L$55)</f>
        <v>0</v>
      </c>
      <c r="J58" s="93" t="str">
        <f t="shared" ref="J58:J66" si="35">IF(ISBLANK(H58),"",IF(AND(H58=$I$67,H58&gt;0),"1º",IF(AND(H58&gt;0,H58=SMALL($H$57:$H$66,2)),"2º",IF(AND(H58&gt;0,H58=SMALL($H$57:$H$66,3)),"3º",""))))</f>
        <v/>
      </c>
      <c r="K58" s="94"/>
      <c r="L58" s="93" t="str">
        <f t="shared" ref="L58:L66" si="36">IF(ISBLANK(K58),"",IF(ISBLANK($I$69),"",IF(K58&lt;=$I$69,"OK","PUL")))</f>
        <v/>
      </c>
      <c r="M58" s="95"/>
      <c r="N58" s="96"/>
      <c r="O58" s="92">
        <f t="shared" ref="O58:O66" si="37">IF(ISERROR(N58*$R$55),0,N58*$R$55)</f>
        <v>0</v>
      </c>
      <c r="P58" s="93" t="str">
        <f t="shared" ref="P58:P66" si="38">IF(ISBLANK(N58),"",IF(AND(N58=$O$67,N58&gt;0),"1º",IF(AND(N58&gt;0,N58=SMALL($N$57:$N$66,2)),"2º",IF(AND(N58&gt;0,N58=SMALL($N$57:$N$66,3)),"3º",""))))</f>
        <v/>
      </c>
      <c r="Q58" s="94"/>
      <c r="R58" s="93" t="str">
        <f t="shared" ref="R58:R66" si="39">IF(ISBLANK(Q58),"",IF(ISBLANK($O$69),"",IF(Q58&lt;=$O$69,"OK","PUL")))</f>
        <v/>
      </c>
      <c r="S58" s="95"/>
      <c r="T58" s="224" t="str">
        <f t="shared" ref="T58:T66" si="40">IF(ISBLANK(T7),"",T7)</f>
        <v/>
      </c>
    </row>
    <row r="59" spans="1:20">
      <c r="A59" s="139" t="str">
        <f t="shared" ref="A59:A66" si="41">IF(ISBLANK(A25),"",A25)</f>
        <v/>
      </c>
      <c r="B59" s="96"/>
      <c r="C59" s="92">
        <f t="shared" si="31"/>
        <v>0</v>
      </c>
      <c r="D59" s="93" t="str">
        <f t="shared" si="32"/>
        <v/>
      </c>
      <c r="E59" s="94"/>
      <c r="F59" s="93" t="str">
        <f t="shared" si="33"/>
        <v/>
      </c>
      <c r="G59" s="95"/>
      <c r="H59" s="96"/>
      <c r="I59" s="92">
        <f t="shared" si="34"/>
        <v>0</v>
      </c>
      <c r="J59" s="93" t="str">
        <f t="shared" si="35"/>
        <v/>
      </c>
      <c r="K59" s="94"/>
      <c r="L59" s="93" t="str">
        <f t="shared" si="36"/>
        <v/>
      </c>
      <c r="M59" s="95"/>
      <c r="N59" s="96"/>
      <c r="O59" s="92">
        <f t="shared" si="37"/>
        <v>0</v>
      </c>
      <c r="P59" s="93" t="str">
        <f t="shared" si="38"/>
        <v/>
      </c>
      <c r="Q59" s="94"/>
      <c r="R59" s="93" t="str">
        <f t="shared" si="39"/>
        <v/>
      </c>
      <c r="S59" s="95"/>
      <c r="T59" s="224" t="str">
        <f t="shared" si="40"/>
        <v/>
      </c>
    </row>
    <row r="60" spans="1:20">
      <c r="A60" s="139" t="str">
        <f t="shared" si="41"/>
        <v/>
      </c>
      <c r="B60" s="96"/>
      <c r="C60" s="92">
        <f t="shared" si="31"/>
        <v>0</v>
      </c>
      <c r="D60" s="93" t="str">
        <f t="shared" si="32"/>
        <v/>
      </c>
      <c r="E60" s="94"/>
      <c r="F60" s="93" t="str">
        <f t="shared" si="33"/>
        <v/>
      </c>
      <c r="G60" s="95"/>
      <c r="H60" s="96"/>
      <c r="I60" s="92">
        <f t="shared" si="34"/>
        <v>0</v>
      </c>
      <c r="J60" s="93" t="str">
        <f t="shared" si="35"/>
        <v/>
      </c>
      <c r="K60" s="94"/>
      <c r="L60" s="93" t="str">
        <f t="shared" si="36"/>
        <v/>
      </c>
      <c r="M60" s="95"/>
      <c r="N60" s="96"/>
      <c r="O60" s="92">
        <f t="shared" si="37"/>
        <v>0</v>
      </c>
      <c r="P60" s="93" t="str">
        <f t="shared" si="38"/>
        <v/>
      </c>
      <c r="Q60" s="94"/>
      <c r="R60" s="93" t="str">
        <f t="shared" si="39"/>
        <v/>
      </c>
      <c r="S60" s="95"/>
      <c r="T60" s="224" t="str">
        <f t="shared" si="40"/>
        <v/>
      </c>
    </row>
    <row r="61" spans="1:20">
      <c r="A61" s="139" t="str">
        <f t="shared" si="41"/>
        <v/>
      </c>
      <c r="B61" s="96"/>
      <c r="C61" s="92">
        <f t="shared" si="31"/>
        <v>0</v>
      </c>
      <c r="D61" s="93" t="str">
        <f t="shared" si="32"/>
        <v/>
      </c>
      <c r="E61" s="94"/>
      <c r="F61" s="93" t="str">
        <f t="shared" si="33"/>
        <v/>
      </c>
      <c r="G61" s="95"/>
      <c r="H61" s="96"/>
      <c r="I61" s="92">
        <f t="shared" si="34"/>
        <v>0</v>
      </c>
      <c r="J61" s="93" t="str">
        <f t="shared" si="35"/>
        <v/>
      </c>
      <c r="K61" s="94"/>
      <c r="L61" s="93" t="str">
        <f t="shared" si="36"/>
        <v/>
      </c>
      <c r="M61" s="95"/>
      <c r="N61" s="96"/>
      <c r="O61" s="92">
        <f t="shared" si="37"/>
        <v>0</v>
      </c>
      <c r="P61" s="93" t="str">
        <f t="shared" si="38"/>
        <v/>
      </c>
      <c r="Q61" s="94"/>
      <c r="R61" s="93" t="str">
        <f t="shared" si="39"/>
        <v/>
      </c>
      <c r="S61" s="95"/>
      <c r="T61" s="224" t="str">
        <f t="shared" si="40"/>
        <v/>
      </c>
    </row>
    <row r="62" spans="1:20">
      <c r="A62" s="139" t="str">
        <f t="shared" si="41"/>
        <v/>
      </c>
      <c r="B62" s="96"/>
      <c r="C62" s="92">
        <f t="shared" si="31"/>
        <v>0</v>
      </c>
      <c r="D62" s="93" t="str">
        <f t="shared" si="32"/>
        <v/>
      </c>
      <c r="E62" s="94"/>
      <c r="F62" s="93" t="str">
        <f t="shared" si="33"/>
        <v/>
      </c>
      <c r="G62" s="95"/>
      <c r="H62" s="96"/>
      <c r="I62" s="92">
        <f t="shared" si="34"/>
        <v>0</v>
      </c>
      <c r="J62" s="93" t="str">
        <f t="shared" si="35"/>
        <v/>
      </c>
      <c r="K62" s="94"/>
      <c r="L62" s="93" t="str">
        <f t="shared" si="36"/>
        <v/>
      </c>
      <c r="M62" s="95"/>
      <c r="N62" s="96"/>
      <c r="O62" s="92">
        <f t="shared" si="37"/>
        <v>0</v>
      </c>
      <c r="P62" s="93" t="str">
        <f t="shared" si="38"/>
        <v/>
      </c>
      <c r="Q62" s="94"/>
      <c r="R62" s="93" t="str">
        <f t="shared" si="39"/>
        <v/>
      </c>
      <c r="S62" s="95"/>
      <c r="T62" s="224" t="str">
        <f t="shared" si="40"/>
        <v/>
      </c>
    </row>
    <row r="63" spans="1:20">
      <c r="A63" s="139" t="str">
        <f t="shared" si="41"/>
        <v/>
      </c>
      <c r="B63" s="96"/>
      <c r="C63" s="92">
        <f t="shared" si="31"/>
        <v>0</v>
      </c>
      <c r="D63" s="93" t="str">
        <f t="shared" si="32"/>
        <v/>
      </c>
      <c r="E63" s="94"/>
      <c r="F63" s="93" t="str">
        <f t="shared" si="33"/>
        <v/>
      </c>
      <c r="G63" s="95"/>
      <c r="H63" s="96"/>
      <c r="I63" s="92">
        <f t="shared" si="34"/>
        <v>0</v>
      </c>
      <c r="J63" s="93" t="str">
        <f t="shared" si="35"/>
        <v/>
      </c>
      <c r="K63" s="94"/>
      <c r="L63" s="93" t="str">
        <f t="shared" si="36"/>
        <v/>
      </c>
      <c r="M63" s="95"/>
      <c r="N63" s="96"/>
      <c r="O63" s="92">
        <f t="shared" si="37"/>
        <v>0</v>
      </c>
      <c r="P63" s="93" t="str">
        <f t="shared" si="38"/>
        <v/>
      </c>
      <c r="Q63" s="94"/>
      <c r="R63" s="93" t="str">
        <f t="shared" si="39"/>
        <v/>
      </c>
      <c r="S63" s="95"/>
      <c r="T63" s="224" t="str">
        <f t="shared" si="40"/>
        <v/>
      </c>
    </row>
    <row r="64" spans="1:20">
      <c r="A64" s="139" t="str">
        <f t="shared" si="41"/>
        <v/>
      </c>
      <c r="B64" s="96"/>
      <c r="C64" s="92">
        <f t="shared" si="31"/>
        <v>0</v>
      </c>
      <c r="D64" s="93" t="str">
        <f t="shared" si="32"/>
        <v/>
      </c>
      <c r="E64" s="94"/>
      <c r="F64" s="93" t="str">
        <f t="shared" si="33"/>
        <v/>
      </c>
      <c r="G64" s="95"/>
      <c r="H64" s="96"/>
      <c r="I64" s="92">
        <f t="shared" si="34"/>
        <v>0</v>
      </c>
      <c r="J64" s="93" t="str">
        <f t="shared" si="35"/>
        <v/>
      </c>
      <c r="K64" s="94"/>
      <c r="L64" s="93" t="str">
        <f t="shared" si="36"/>
        <v/>
      </c>
      <c r="M64" s="95"/>
      <c r="N64" s="96"/>
      <c r="O64" s="92">
        <f t="shared" si="37"/>
        <v>0</v>
      </c>
      <c r="P64" s="93" t="str">
        <f t="shared" si="38"/>
        <v/>
      </c>
      <c r="Q64" s="94"/>
      <c r="R64" s="93" t="str">
        <f t="shared" si="39"/>
        <v/>
      </c>
      <c r="S64" s="95"/>
      <c r="T64" s="224" t="str">
        <f t="shared" si="40"/>
        <v/>
      </c>
    </row>
    <row r="65" spans="1:20">
      <c r="A65" s="139" t="str">
        <f t="shared" si="41"/>
        <v/>
      </c>
      <c r="B65" s="96"/>
      <c r="C65" s="92">
        <f t="shared" si="31"/>
        <v>0</v>
      </c>
      <c r="D65" s="93" t="str">
        <f t="shared" si="32"/>
        <v/>
      </c>
      <c r="E65" s="94"/>
      <c r="F65" s="93" t="str">
        <f t="shared" si="33"/>
        <v/>
      </c>
      <c r="G65" s="95"/>
      <c r="H65" s="96"/>
      <c r="I65" s="92">
        <f t="shared" si="34"/>
        <v>0</v>
      </c>
      <c r="J65" s="93" t="str">
        <f t="shared" si="35"/>
        <v/>
      </c>
      <c r="K65" s="94"/>
      <c r="L65" s="93" t="str">
        <f t="shared" si="36"/>
        <v/>
      </c>
      <c r="M65" s="95"/>
      <c r="N65" s="96"/>
      <c r="O65" s="92">
        <f t="shared" si="37"/>
        <v>0</v>
      </c>
      <c r="P65" s="93" t="str">
        <f t="shared" si="38"/>
        <v/>
      </c>
      <c r="Q65" s="94"/>
      <c r="R65" s="93" t="str">
        <f t="shared" si="39"/>
        <v/>
      </c>
      <c r="S65" s="95"/>
      <c r="T65" s="224" t="str">
        <f t="shared" si="40"/>
        <v/>
      </c>
    </row>
    <row r="66" spans="1:20" ht="15.75" thickBot="1">
      <c r="A66" s="140" t="str">
        <f t="shared" si="41"/>
        <v/>
      </c>
      <c r="B66" s="96"/>
      <c r="C66" s="101">
        <f t="shared" si="31"/>
        <v>0</v>
      </c>
      <c r="D66" s="98" t="str">
        <f t="shared" si="32"/>
        <v/>
      </c>
      <c r="E66" s="99"/>
      <c r="F66" s="98" t="str">
        <f t="shared" si="33"/>
        <v/>
      </c>
      <c r="G66" s="100"/>
      <c r="H66" s="96"/>
      <c r="I66" s="101">
        <f t="shared" si="34"/>
        <v>0</v>
      </c>
      <c r="J66" s="98" t="str">
        <f t="shared" si="35"/>
        <v/>
      </c>
      <c r="K66" s="99"/>
      <c r="L66" s="98" t="str">
        <f t="shared" si="36"/>
        <v/>
      </c>
      <c r="M66" s="100"/>
      <c r="N66" s="137"/>
      <c r="O66" s="101">
        <f t="shared" si="37"/>
        <v>0</v>
      </c>
      <c r="P66" s="98" t="str">
        <f t="shared" si="38"/>
        <v/>
      </c>
      <c r="Q66" s="99"/>
      <c r="R66" s="98" t="str">
        <f t="shared" si="39"/>
        <v/>
      </c>
      <c r="S66" s="100"/>
      <c r="T66" s="225" t="str">
        <f t="shared" si="40"/>
        <v/>
      </c>
    </row>
    <row r="67" spans="1:20" ht="30.75" customHeight="1" thickTop="1">
      <c r="A67" s="102"/>
      <c r="B67" s="103" t="s">
        <v>6</v>
      </c>
      <c r="C67" s="104">
        <f>IF(ISBLANK(B57:B66),"", MIN(B57:B66))</f>
        <v>0</v>
      </c>
      <c r="D67" s="207" t="s">
        <v>2943</v>
      </c>
      <c r="E67" s="738" t="s">
        <v>7</v>
      </c>
      <c r="F67" s="739"/>
      <c r="G67" s="105"/>
      <c r="H67" s="103" t="s">
        <v>6</v>
      </c>
      <c r="I67" s="104">
        <f>IF(ISBLANK(H57:H66),"-", MIN(H57:H66))</f>
        <v>0</v>
      </c>
      <c r="J67" s="207" t="s">
        <v>2943</v>
      </c>
      <c r="K67" s="738" t="s">
        <v>7</v>
      </c>
      <c r="L67" s="739"/>
      <c r="M67" s="105"/>
      <c r="N67" s="103" t="s">
        <v>6</v>
      </c>
      <c r="O67" s="104">
        <f>IF(ISBLANK(N57:N66),"-", MIN(N57:N66))</f>
        <v>0</v>
      </c>
      <c r="P67" s="207" t="s">
        <v>2943</v>
      </c>
      <c r="Q67" s="738" t="s">
        <v>7</v>
      </c>
      <c r="R67" s="739"/>
      <c r="S67" s="105"/>
    </row>
    <row r="68" spans="1:20" ht="27.75" customHeight="1">
      <c r="A68" s="102"/>
      <c r="B68" s="107" t="s">
        <v>2561</v>
      </c>
      <c r="C68" s="108" t="str">
        <f>IF(ISERROR(VLOOKUP("1º",D57:E66,2,0)),"-",VLOOKUP("1º",D57:E66,2,0))</f>
        <v>-</v>
      </c>
      <c r="D68" s="215"/>
      <c r="E68" s="740" t="str">
        <f>IF(ISERROR(VLOOKUP(G54,produtos_escape2!$A$2:$D$2794,3)),"",IF(VLOOKUP(G54,produtos_escape2!$A$2:$D$2794,1)&lt;G54,"INEXISTENTE",IF(VLOOKUP(G54,produtos_escape2!$A$2:$D$2794,3)=ISBLANK(produtos_escape2!$A$6:$D$2794),8000,VLOOKUP(G54,produtos_escape2!$A$2:$D$2794,3))))</f>
        <v/>
      </c>
      <c r="F68" s="741"/>
      <c r="G68" s="105"/>
      <c r="H68" s="107" t="s">
        <v>2561</v>
      </c>
      <c r="I68" s="108" t="str">
        <f>IF(ISERROR(VLOOKUP("1º",J57:K66,2,0)),"-",VLOOKUP("1º",J57:K66,2,0))</f>
        <v>-</v>
      </c>
      <c r="J68" s="215"/>
      <c r="K68" s="740" t="str">
        <f>IF(ISERROR(VLOOKUP(M54,produtos_escape2!$A$2:$D$2794,3)),"",IF(VLOOKUP(M54,produtos_escape2!$A$2:$D$2794,1)&lt;M54,"INEXISTENTE",IF(VLOOKUP(M54,produtos_escape2!$A$2:$D$2794,3)=ISBLANK(produtos_escape2!$A$6:$D$2794),8000,VLOOKUP(M54,produtos_escape2!$A$2:$D$2794,3))))</f>
        <v/>
      </c>
      <c r="L68" s="741"/>
      <c r="M68" s="105"/>
      <c r="N68" s="107" t="s">
        <v>2561</v>
      </c>
      <c r="O68" s="108" t="str">
        <f>IF(ISERROR(VLOOKUP("1º",P57:Q66,2,0)),"-",VLOOKUP("1º",P57:Q66,2,0))</f>
        <v>-</v>
      </c>
      <c r="P68" s="215"/>
      <c r="Q68" s="740" t="str">
        <f>IF(ISERROR(VLOOKUP(S54,produtos_escape2!$A$2:$D$2794,3)),"",IF(VLOOKUP(S54,produtos_escape2!$A$2:$D$2794,1)&lt;S54,"INEXISTENTE",IF(VLOOKUP(S54,produtos_escape2!$A$2:$D$2794,3)=ISBLANK(produtos_escape2!$A$6:$D$2794),8000,VLOOKUP(S54,produtos_escape2!$A$2:$D$2794,3))))</f>
        <v/>
      </c>
      <c r="R68" s="741"/>
      <c r="S68" s="105"/>
    </row>
    <row r="69" spans="1:20" ht="25.5">
      <c r="A69" s="102"/>
      <c r="B69" s="107" t="s">
        <v>545</v>
      </c>
      <c r="C69" s="109"/>
      <c r="D69" s="102"/>
      <c r="E69" s="102"/>
      <c r="F69" s="102"/>
      <c r="G69" s="102"/>
      <c r="H69" s="107" t="s">
        <v>545</v>
      </c>
      <c r="I69" s="109"/>
      <c r="J69" s="102"/>
      <c r="K69" s="102"/>
      <c r="L69" s="102"/>
      <c r="M69" s="102"/>
      <c r="N69" s="107" t="s">
        <v>545</v>
      </c>
      <c r="O69" s="109"/>
      <c r="P69" s="102"/>
      <c r="Q69" s="102"/>
      <c r="R69" s="102"/>
      <c r="S69" s="102"/>
    </row>
  </sheetData>
  <sheetProtection formatCells="0" formatColumns="0" formatRows="0" insertRows="0"/>
  <mergeCells count="89">
    <mergeCell ref="N21:O21"/>
    <mergeCell ref="B38:C38"/>
    <mergeCell ref="H38:I38"/>
    <mergeCell ref="N38:O38"/>
    <mergeCell ref="E33:F33"/>
    <mergeCell ref="K33:L33"/>
    <mergeCell ref="Q5:R5"/>
    <mergeCell ref="C5:D5"/>
    <mergeCell ref="E5:F5"/>
    <mergeCell ref="I5:J5"/>
    <mergeCell ref="H3:J3"/>
    <mergeCell ref="K3:L3"/>
    <mergeCell ref="Q3:R3"/>
    <mergeCell ref="N3:P3"/>
    <mergeCell ref="B3:C3"/>
    <mergeCell ref="D3:F3"/>
    <mergeCell ref="B4:C4"/>
    <mergeCell ref="H4:I4"/>
    <mergeCell ref="N4:O4"/>
    <mergeCell ref="O5:P5"/>
    <mergeCell ref="E17:F17"/>
    <mergeCell ref="E16:F16"/>
    <mergeCell ref="K16:L16"/>
    <mergeCell ref="K17:L17"/>
    <mergeCell ref="K5:L5"/>
    <mergeCell ref="Q16:R16"/>
    <mergeCell ref="Q17:R17"/>
    <mergeCell ref="Q20:R20"/>
    <mergeCell ref="Q22:R22"/>
    <mergeCell ref="B20:D20"/>
    <mergeCell ref="E20:F20"/>
    <mergeCell ref="H20:J20"/>
    <mergeCell ref="K20:L20"/>
    <mergeCell ref="N20:P20"/>
    <mergeCell ref="C22:D22"/>
    <mergeCell ref="E22:F22"/>
    <mergeCell ref="I22:J22"/>
    <mergeCell ref="K22:L22"/>
    <mergeCell ref="O22:P22"/>
    <mergeCell ref="B21:C21"/>
    <mergeCell ref="H21:I21"/>
    <mergeCell ref="Q33:R33"/>
    <mergeCell ref="E34:F34"/>
    <mergeCell ref="K34:L34"/>
    <mergeCell ref="Q34:R34"/>
    <mergeCell ref="Q37:R37"/>
    <mergeCell ref="Q39:R39"/>
    <mergeCell ref="B37:D37"/>
    <mergeCell ref="E37:F37"/>
    <mergeCell ref="H37:J37"/>
    <mergeCell ref="K37:L37"/>
    <mergeCell ref="N37:P37"/>
    <mergeCell ref="C39:D39"/>
    <mergeCell ref="E39:F39"/>
    <mergeCell ref="I39:J39"/>
    <mergeCell ref="K39:L39"/>
    <mergeCell ref="O39:P39"/>
    <mergeCell ref="Q50:R50"/>
    <mergeCell ref="E51:F51"/>
    <mergeCell ref="K51:L51"/>
    <mergeCell ref="Q51:R51"/>
    <mergeCell ref="Q54:R54"/>
    <mergeCell ref="E50:F50"/>
    <mergeCell ref="K50:L50"/>
    <mergeCell ref="Q56:R56"/>
    <mergeCell ref="B54:D54"/>
    <mergeCell ref="E54:F54"/>
    <mergeCell ref="H54:J54"/>
    <mergeCell ref="K54:L54"/>
    <mergeCell ref="N54:P54"/>
    <mergeCell ref="B55:C55"/>
    <mergeCell ref="C56:D56"/>
    <mergeCell ref="E56:F56"/>
    <mergeCell ref="I56:J56"/>
    <mergeCell ref="K56:L56"/>
    <mergeCell ref="O56:P56"/>
    <mergeCell ref="H55:I55"/>
    <mergeCell ref="N55:O55"/>
    <mergeCell ref="E67:F67"/>
    <mergeCell ref="K67:L67"/>
    <mergeCell ref="Q67:R67"/>
    <mergeCell ref="E68:F68"/>
    <mergeCell ref="K68:L68"/>
    <mergeCell ref="Q68:R68"/>
    <mergeCell ref="M1:N2"/>
    <mergeCell ref="I1:K2"/>
    <mergeCell ref="B1:H2"/>
    <mergeCell ref="Q1:S2"/>
    <mergeCell ref="O1:P2"/>
  </mergeCells>
  <conditionalFormatting sqref="F23:G32 L23:M32 R23:S32 F40:G49 L40:M49 R40:S49 F57:G66 L57:M66 R57:S66 F6:G15 L6:M15 R6:S15">
    <cfRule type="cellIs" dxfId="806" priority="486" stopIfTrue="1" operator="equal">
      <formula>"OK"</formula>
    </cfRule>
  </conditionalFormatting>
  <conditionalFormatting sqref="D6:D15 J6:J15 P6:P15 D23:D32 J23:J32 P23:P32 D40:D49 J40:J49 P40:P49 D57:D66 J57:J66 P57:P66">
    <cfRule type="cellIs" dxfId="805" priority="439" stopIfTrue="1" operator="equal">
      <formula>"3º"</formula>
    </cfRule>
    <cfRule type="cellIs" dxfId="804" priority="440" stopIfTrue="1" operator="equal">
      <formula>"2º"</formula>
    </cfRule>
    <cfRule type="cellIs" dxfId="803" priority="441" stopIfTrue="1" operator="equal">
      <formula>"1º"</formula>
    </cfRule>
  </conditionalFormatting>
  <conditionalFormatting sqref="E17 K17 Q17 E34 K34 Q34 E51 K51 Q51 E68 K68 Q68">
    <cfRule type="cellIs" dxfId="802" priority="370" stopIfTrue="1" operator="lessThanOrEqual">
      <formula>1999</formula>
    </cfRule>
    <cfRule type="cellIs" dxfId="801" priority="371" stopIfTrue="1" operator="greaterThanOrEqual">
      <formula>2000</formula>
    </cfRule>
  </conditionalFormatting>
  <conditionalFormatting sqref="E17:F17 K17:L17 Q17:R17 E34:F34 K34:L34 Q34:R34 E51:F51 K51:L51 Q51:R51 E68:F68 K68:L68 Q68:R68">
    <cfRule type="cellIs" dxfId="800" priority="255" stopIfTrue="1" operator="equal">
      <formula>"INEXISTENTE"</formula>
    </cfRule>
  </conditionalFormatting>
  <conditionalFormatting sqref="Q1:S2">
    <cfRule type="cellIs" dxfId="799" priority="56" stopIfTrue="1" operator="equal">
      <formula>"XXX"</formula>
    </cfRule>
  </conditionalFormatting>
  <conditionalFormatting sqref="B6">
    <cfRule type="expression" dxfId="798" priority="55" stopIfTrue="1">
      <formula>"c6&gt;$E$17"</formula>
    </cfRule>
  </conditionalFormatting>
  <conditionalFormatting sqref="E6">
    <cfRule type="cellIs" dxfId="797" priority="54" stopIfTrue="1" operator="greaterThan">
      <formula>"c17"</formula>
    </cfRule>
  </conditionalFormatting>
  <conditionalFormatting sqref="E17">
    <cfRule type="cellIs" dxfId="796" priority="53" stopIfTrue="1" operator="greaterThan">
      <formula>"e17"</formula>
    </cfRule>
  </conditionalFormatting>
  <conditionalFormatting sqref="C6:C15">
    <cfRule type="expression" dxfId="795" priority="52" stopIfTrue="1">
      <formula>C6&gt;$E$17</formula>
    </cfRule>
  </conditionalFormatting>
  <conditionalFormatting sqref="B4:C4 H4:I4 N4:O4 B21:C21 H21:I21 N21:O21 B38:C38 H38:I38 N38:O38 B55:C55 H55:I55 N55:O55">
    <cfRule type="cellIs" dxfId="794" priority="38" stopIfTrue="1" operator="equal">
      <formula>""</formula>
    </cfRule>
  </conditionalFormatting>
  <conditionalFormatting sqref="I6:I15">
    <cfRule type="expression" dxfId="793" priority="37" stopIfTrue="1">
      <formula>I6&gt;$K$17</formula>
    </cfRule>
  </conditionalFormatting>
  <conditionalFormatting sqref="O6:O15">
    <cfRule type="expression" dxfId="792" priority="36" stopIfTrue="1">
      <formula>O6&gt;$Q$17</formula>
    </cfRule>
  </conditionalFormatting>
  <conditionalFormatting sqref="C23:C32">
    <cfRule type="expression" dxfId="791" priority="35" stopIfTrue="1">
      <formula>C23&gt;$E$34</formula>
    </cfRule>
  </conditionalFormatting>
  <conditionalFormatting sqref="I23:I32">
    <cfRule type="expression" dxfId="790" priority="34" stopIfTrue="1">
      <formula>I23&gt;$K$34</formula>
    </cfRule>
  </conditionalFormatting>
  <conditionalFormatting sqref="C40:C49">
    <cfRule type="expression" dxfId="789" priority="33" stopIfTrue="1">
      <formula>C40&gt;$E$51</formula>
    </cfRule>
  </conditionalFormatting>
  <conditionalFormatting sqref="O23:O32">
    <cfRule type="expression" dxfId="788" priority="32" stopIfTrue="1">
      <formula>O23&gt;$Q$34</formula>
    </cfRule>
  </conditionalFormatting>
  <conditionalFormatting sqref="I40:I49">
    <cfRule type="expression" dxfId="787" priority="31" stopIfTrue="1">
      <formula>I40&gt;$K$51</formula>
    </cfRule>
  </conditionalFormatting>
  <conditionalFormatting sqref="O40:O49">
    <cfRule type="expression" dxfId="786" priority="30" stopIfTrue="1">
      <formula>O40&gt;$Q$51</formula>
    </cfRule>
  </conditionalFormatting>
  <conditionalFormatting sqref="C57:C66">
    <cfRule type="expression" dxfId="785" priority="29" stopIfTrue="1">
      <formula>C57&gt;$E$68</formula>
    </cfRule>
  </conditionalFormatting>
  <conditionalFormatting sqref="I57:I66">
    <cfRule type="expression" dxfId="784" priority="28" stopIfTrue="1">
      <formula>I57&gt;$K$68</formula>
    </cfRule>
  </conditionalFormatting>
  <conditionalFormatting sqref="O57:O66">
    <cfRule type="expression" dxfId="783" priority="27" stopIfTrue="1">
      <formula>O57&gt;$Q$68</formula>
    </cfRule>
  </conditionalFormatting>
  <conditionalFormatting sqref="K6">
    <cfRule type="cellIs" dxfId="782" priority="24" stopIfTrue="1" operator="greaterThan">
      <formula>"c17"</formula>
    </cfRule>
  </conditionalFormatting>
  <conditionalFormatting sqref="Q6">
    <cfRule type="cellIs" dxfId="781" priority="23" stopIfTrue="1" operator="greaterThan">
      <formula>"c17"</formula>
    </cfRule>
  </conditionalFormatting>
  <conditionalFormatting sqref="O1:S2 G3 D4 M3 P4 S3 G20 D21 M20 J21 S20 P21 G37 D38 M37 J38 S37 P38 G54 D55 M54 J55 S54 P55 J4">
    <cfRule type="containsErrors" dxfId="780" priority="22">
      <formula>ISERROR(D1)</formula>
    </cfRule>
  </conditionalFormatting>
  <conditionalFormatting sqref="B23">
    <cfRule type="expression" dxfId="779" priority="19" stopIfTrue="1">
      <formula>"c6&gt;$E$17"</formula>
    </cfRule>
  </conditionalFormatting>
  <conditionalFormatting sqref="H6">
    <cfRule type="expression" dxfId="778" priority="10" stopIfTrue="1">
      <formula>"c6&gt;$E$17"</formula>
    </cfRule>
  </conditionalFormatting>
  <conditionalFormatting sqref="N6">
    <cfRule type="expression" dxfId="777" priority="9" stopIfTrue="1">
      <formula>"c6&gt;$E$17"</formula>
    </cfRule>
  </conditionalFormatting>
  <conditionalFormatting sqref="H23">
    <cfRule type="expression" dxfId="776" priority="8" stopIfTrue="1">
      <formula>"c6&gt;$E$17"</formula>
    </cfRule>
  </conditionalFormatting>
  <conditionalFormatting sqref="N26">
    <cfRule type="expression" dxfId="775" priority="7" stopIfTrue="1">
      <formula>"c6&gt;$E$17"</formula>
    </cfRule>
  </conditionalFormatting>
  <conditionalFormatting sqref="B40">
    <cfRule type="expression" dxfId="774" priority="6" stopIfTrue="1">
      <formula>"c6&gt;$E$17"</formula>
    </cfRule>
  </conditionalFormatting>
  <conditionalFormatting sqref="H40">
    <cfRule type="expression" dxfId="773" priority="5" stopIfTrue="1">
      <formula>"c6&gt;$E$17"</formula>
    </cfRule>
  </conditionalFormatting>
  <conditionalFormatting sqref="N43">
    <cfRule type="expression" dxfId="772" priority="4" stopIfTrue="1">
      <formula>"c6&gt;$E$17"</formula>
    </cfRule>
  </conditionalFormatting>
  <conditionalFormatting sqref="B57">
    <cfRule type="expression" dxfId="771" priority="3" stopIfTrue="1">
      <formula>"c6&gt;$E$17"</formula>
    </cfRule>
  </conditionalFormatting>
  <conditionalFormatting sqref="H57">
    <cfRule type="expression" dxfId="770" priority="2" stopIfTrue="1">
      <formula>"c6&gt;$E$17"</formula>
    </cfRule>
  </conditionalFormatting>
  <conditionalFormatting sqref="N57">
    <cfRule type="expression" dxfId="769" priority="1" stopIfTrue="1">
      <formula>"c6&gt;$E$17"</formula>
    </cfRule>
  </conditionalFormatting>
  <dataValidations count="1">
    <dataValidation type="list" allowBlank="1" showInputMessage="1" showErrorMessage="1" sqref="A6:A15">
      <formula1>FANTASIA</formula1>
    </dataValidation>
  </dataValidation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AF1500"/>
  <sheetViews>
    <sheetView view="pageBreakPreview" topLeftCell="A4" zoomScaleSheetLayoutView="100" zoomScalePageLayoutView="85" workbookViewId="0">
      <selection activeCell="A34" sqref="A34:I34"/>
    </sheetView>
  </sheetViews>
  <sheetFormatPr defaultRowHeight="15"/>
  <cols>
    <col min="1" max="1" width="11.140625" customWidth="1"/>
    <col min="2" max="2" width="7" customWidth="1"/>
    <col min="5" max="5" width="13.85546875" customWidth="1"/>
    <col min="6" max="6" width="10" customWidth="1"/>
    <col min="7" max="7" width="8.5703125" customWidth="1"/>
    <col min="9" max="9" width="9.140625" customWidth="1"/>
    <col min="10" max="10" width="13.7109375" customWidth="1"/>
    <col min="11" max="11" width="7.42578125" customWidth="1"/>
    <col min="12" max="12" width="10.85546875" customWidth="1"/>
  </cols>
  <sheetData>
    <row r="1" spans="1:32">
      <c r="A1" s="7"/>
      <c r="B1" s="7"/>
      <c r="C1" s="7"/>
      <c r="D1" s="7"/>
      <c r="E1" s="7"/>
      <c r="F1" s="7"/>
      <c r="G1" s="7"/>
      <c r="H1" s="7"/>
      <c r="I1" s="7"/>
      <c r="J1" s="7"/>
      <c r="K1" s="7"/>
      <c r="L1" s="7"/>
    </row>
    <row r="2" spans="1:32">
      <c r="A2" s="7"/>
      <c r="B2" s="7"/>
      <c r="C2" s="7"/>
      <c r="D2" s="7"/>
      <c r="E2" s="7"/>
      <c r="F2" s="7"/>
      <c r="G2" s="7"/>
      <c r="H2" s="7"/>
      <c r="I2" s="7"/>
      <c r="J2" s="7"/>
      <c r="K2" s="7"/>
      <c r="L2" s="7"/>
    </row>
    <row r="3" spans="1:32">
      <c r="A3" s="7"/>
      <c r="B3" s="7"/>
      <c r="C3" s="7"/>
      <c r="D3" s="7"/>
      <c r="E3" s="7"/>
      <c r="F3" s="7"/>
      <c r="G3" s="7"/>
      <c r="H3" s="7"/>
      <c r="I3" s="7"/>
      <c r="J3" s="7"/>
      <c r="K3" s="7"/>
      <c r="L3" s="7"/>
    </row>
    <row r="4" spans="1:32">
      <c r="A4" s="7"/>
      <c r="B4" s="7"/>
      <c r="C4" s="7"/>
      <c r="D4" s="7"/>
      <c r="E4" s="7"/>
      <c r="F4" s="7"/>
      <c r="G4" s="7"/>
      <c r="H4" s="7"/>
      <c r="I4" s="7"/>
      <c r="J4" s="7"/>
      <c r="K4" s="7"/>
      <c r="L4" s="7"/>
      <c r="AF4" s="65"/>
    </row>
    <row r="5" spans="1:32">
      <c r="A5" s="7"/>
      <c r="B5" s="7"/>
      <c r="C5" s="7"/>
      <c r="D5" s="7"/>
      <c r="E5" s="7"/>
      <c r="F5" s="7"/>
      <c r="G5" s="7"/>
      <c r="H5" s="7"/>
      <c r="I5" s="7"/>
      <c r="J5" s="7"/>
      <c r="K5" s="7"/>
      <c r="L5" s="7"/>
      <c r="AF5" s="65"/>
    </row>
    <row r="6" spans="1:32" ht="15.75" customHeight="1" thickBot="1">
      <c r="A6" s="47" t="s">
        <v>4363</v>
      </c>
      <c r="B6" s="832"/>
      <c r="C6" s="833"/>
      <c r="D6" s="833"/>
      <c r="E6" s="833"/>
      <c r="F6" s="833"/>
      <c r="G6" s="833"/>
      <c r="H6" s="833"/>
      <c r="I6" s="833"/>
      <c r="J6" s="833"/>
      <c r="K6" s="833"/>
      <c r="L6" s="833"/>
      <c r="AF6" s="65"/>
    </row>
    <row r="7" spans="1:32" ht="23.25" customHeight="1" thickBot="1">
      <c r="A7" s="834" t="s">
        <v>2735</v>
      </c>
      <c r="B7" s="835"/>
      <c r="C7" s="835"/>
      <c r="D7" s="835"/>
      <c r="E7" s="835"/>
      <c r="F7" s="835"/>
      <c r="G7" s="836"/>
      <c r="H7" s="837" t="s">
        <v>797</v>
      </c>
      <c r="I7" s="838"/>
      <c r="J7" s="838"/>
      <c r="K7" s="839" t="str">
        <f>Mapa!$I$1</f>
        <v>xxx/2020</v>
      </c>
      <c r="L7" s="840"/>
      <c r="N7" s="6"/>
      <c r="AF7" s="65"/>
    </row>
    <row r="8" spans="1:32" ht="4.5" customHeight="1" thickBot="1">
      <c r="A8" s="841"/>
      <c r="B8" s="842"/>
      <c r="C8" s="842"/>
      <c r="D8" s="842"/>
      <c r="E8" s="842"/>
      <c r="F8" s="842"/>
      <c r="G8" s="842"/>
      <c r="H8" s="842"/>
      <c r="I8" s="842"/>
      <c r="J8" s="842"/>
      <c r="K8" s="842"/>
      <c r="L8" s="842"/>
      <c r="AF8" s="65"/>
    </row>
    <row r="9" spans="1:32" ht="20.25" customHeight="1">
      <c r="A9" s="843" t="s">
        <v>796</v>
      </c>
      <c r="B9" s="844"/>
      <c r="C9" s="852" t="s">
        <v>3684</v>
      </c>
      <c r="D9" s="853"/>
      <c r="E9" s="853"/>
      <c r="F9" s="853"/>
      <c r="G9" s="853"/>
      <c r="H9" s="853"/>
      <c r="I9" s="853"/>
      <c r="J9" s="853"/>
      <c r="K9" s="853"/>
      <c r="L9" s="854"/>
      <c r="AF9" s="65"/>
    </row>
    <row r="10" spans="1:32" ht="21" customHeight="1" thickBot="1">
      <c r="A10" s="845" t="s">
        <v>7388</v>
      </c>
      <c r="B10" s="846"/>
      <c r="C10" s="855"/>
      <c r="D10" s="856"/>
      <c r="E10" s="856"/>
      <c r="F10" s="856"/>
      <c r="G10" s="856"/>
      <c r="H10" s="856"/>
      <c r="I10" s="856"/>
      <c r="J10" s="856"/>
      <c r="K10" s="856"/>
      <c r="L10" s="857"/>
      <c r="AF10" s="65"/>
    </row>
    <row r="11" spans="1:32" ht="15" customHeight="1">
      <c r="A11" s="847" t="s">
        <v>783</v>
      </c>
      <c r="B11" s="848"/>
      <c r="C11" s="848"/>
      <c r="D11" s="848"/>
      <c r="E11" s="848"/>
      <c r="F11" s="848"/>
      <c r="G11" s="848"/>
      <c r="H11" s="848"/>
      <c r="I11" s="848"/>
      <c r="J11" s="848"/>
      <c r="K11" s="848"/>
      <c r="L11" s="848"/>
      <c r="AF11" s="65"/>
    </row>
    <row r="12" spans="1:32" ht="15.75" thickBot="1">
      <c r="A12" s="849"/>
      <c r="B12" s="849"/>
      <c r="C12" s="849"/>
      <c r="D12" s="849"/>
      <c r="E12" s="849"/>
      <c r="F12" s="849"/>
      <c r="G12" s="849"/>
      <c r="H12" s="849"/>
      <c r="I12" s="849"/>
      <c r="J12" s="849"/>
      <c r="K12" s="849"/>
      <c r="L12" s="849"/>
      <c r="AF12" s="65"/>
    </row>
    <row r="13" spans="1:32" ht="15" customHeight="1">
      <c r="A13" s="850" t="s">
        <v>784</v>
      </c>
      <c r="B13" s="851"/>
      <c r="C13" s="851"/>
      <c r="D13" s="851"/>
      <c r="E13" s="851"/>
      <c r="F13" s="851"/>
      <c r="G13" s="765"/>
      <c r="H13" s="765"/>
      <c r="I13" s="765"/>
      <c r="J13" s="765"/>
      <c r="K13" s="765"/>
      <c r="L13" s="807"/>
      <c r="AF13" s="65"/>
    </row>
    <row r="14" spans="1:32">
      <c r="A14" s="808" t="s">
        <v>785</v>
      </c>
      <c r="B14" s="809"/>
      <c r="C14" s="809"/>
      <c r="D14" s="809"/>
      <c r="E14" s="809"/>
      <c r="F14" s="809"/>
      <c r="G14" s="765"/>
      <c r="H14" s="765"/>
      <c r="I14" s="765"/>
      <c r="J14" s="765"/>
      <c r="K14" s="765"/>
      <c r="L14" s="807"/>
      <c r="AF14" s="65"/>
    </row>
    <row r="15" spans="1:32" ht="51" customHeight="1">
      <c r="A15" s="824" t="s">
        <v>2736</v>
      </c>
      <c r="B15" s="825"/>
      <c r="C15" s="825"/>
      <c r="D15" s="825"/>
      <c r="E15" s="825"/>
      <c r="F15" s="825"/>
      <c r="G15" s="826"/>
      <c r="H15" s="826"/>
      <c r="I15" s="826"/>
      <c r="J15" s="826"/>
      <c r="K15" s="826"/>
      <c r="L15" s="827"/>
      <c r="AF15" s="65"/>
    </row>
    <row r="16" spans="1:32" ht="30" customHeight="1" thickBot="1">
      <c r="A16" s="828" t="s">
        <v>786</v>
      </c>
      <c r="B16" s="829"/>
      <c r="C16" s="829"/>
      <c r="D16" s="829"/>
      <c r="E16" s="829"/>
      <c r="F16" s="829"/>
      <c r="G16" s="765"/>
      <c r="H16" s="765"/>
      <c r="I16" s="765"/>
      <c r="J16" s="765"/>
      <c r="K16" s="765"/>
      <c r="L16" s="807"/>
      <c r="AF16" s="65"/>
    </row>
    <row r="17" spans="1:32" s="34" customFormat="1" ht="15.75" customHeight="1" thickBot="1">
      <c r="A17" s="12" t="s">
        <v>619</v>
      </c>
      <c r="B17" s="64" t="s">
        <v>787</v>
      </c>
      <c r="C17" s="830" t="s">
        <v>664</v>
      </c>
      <c r="D17" s="831"/>
      <c r="E17" s="831"/>
      <c r="F17" s="831"/>
      <c r="G17" s="831"/>
      <c r="H17" s="831"/>
      <c r="I17" s="831"/>
      <c r="J17" s="831"/>
      <c r="K17" s="64" t="s">
        <v>665</v>
      </c>
      <c r="L17" s="14" t="s">
        <v>624</v>
      </c>
      <c r="AF17" s="65"/>
    </row>
    <row r="18" spans="1:32" s="34" customFormat="1" ht="15.75" thickBot="1">
      <c r="A18" s="15">
        <v>1</v>
      </c>
      <c r="B18" s="36" t="e">
        <f>IF(ISBLANK(Mapa!$G$3),"",Mapa!$G$3)</f>
        <v>#N/A</v>
      </c>
      <c r="C18" s="794" t="str">
        <f>Mapa!$B$4</f>
        <v/>
      </c>
      <c r="D18" s="795"/>
      <c r="E18" s="795"/>
      <c r="F18" s="795"/>
      <c r="G18" s="795"/>
      <c r="H18" s="795"/>
      <c r="I18" s="795"/>
      <c r="J18" s="796"/>
      <c r="K18" s="48" t="e">
        <f>IF(ISBLANK(Mapa!$D$4),"",Mapa!$D$4)</f>
        <v>#N/A</v>
      </c>
      <c r="L18" s="16" t="str">
        <f>Mapa!$G$4</f>
        <v/>
      </c>
      <c r="AF18" s="65"/>
    </row>
    <row r="19" spans="1:32" s="34" customFormat="1" ht="15.75" thickBot="1">
      <c r="A19" s="15">
        <v>2</v>
      </c>
      <c r="B19" s="36" t="e">
        <f>IF(ISBLANK(Mapa!$M$3),"",Mapa!$M$3)</f>
        <v>#N/A</v>
      </c>
      <c r="C19" s="794" t="str">
        <f>Mapa!$H$4</f>
        <v/>
      </c>
      <c r="D19" s="795"/>
      <c r="E19" s="795"/>
      <c r="F19" s="795"/>
      <c r="G19" s="795"/>
      <c r="H19" s="795"/>
      <c r="I19" s="795"/>
      <c r="J19" s="796"/>
      <c r="K19" s="48" t="e">
        <f>IF(ISBLANK(Mapa!$J$4),"",Mapa!$J$4)</f>
        <v>#N/A</v>
      </c>
      <c r="L19" s="16" t="str">
        <f>Mapa!$M$4</f>
        <v/>
      </c>
      <c r="AF19" s="65"/>
    </row>
    <row r="20" spans="1:32" s="34" customFormat="1" ht="15.75" thickBot="1">
      <c r="A20" s="15">
        <v>3</v>
      </c>
      <c r="B20" s="36" t="e">
        <f>IF(ISBLANK(Mapa!$S$3),"",Mapa!$S$3)</f>
        <v>#N/A</v>
      </c>
      <c r="C20" s="794" t="str">
        <f>Mapa!$N$4</f>
        <v/>
      </c>
      <c r="D20" s="795"/>
      <c r="E20" s="795"/>
      <c r="F20" s="795"/>
      <c r="G20" s="795"/>
      <c r="H20" s="795"/>
      <c r="I20" s="795"/>
      <c r="J20" s="796"/>
      <c r="K20" s="48" t="e">
        <f>IF(ISBLANK(Mapa!$P$4),"",Mapa!$P$4)</f>
        <v>#N/A</v>
      </c>
      <c r="L20" s="16" t="str">
        <f>Mapa!$S$4</f>
        <v/>
      </c>
      <c r="AF20" s="65"/>
    </row>
    <row r="21" spans="1:32" s="34" customFormat="1" ht="15.75" thickBot="1">
      <c r="A21" s="15">
        <v>4</v>
      </c>
      <c r="B21" s="36" t="e">
        <f>IF(ISBLANK(Mapa!$G$20),"",Mapa!$G$20)</f>
        <v>#N/A</v>
      </c>
      <c r="C21" s="794" t="str">
        <f>Mapa!$B$21</f>
        <v/>
      </c>
      <c r="D21" s="795"/>
      <c r="E21" s="795"/>
      <c r="F21" s="795"/>
      <c r="G21" s="795"/>
      <c r="H21" s="795"/>
      <c r="I21" s="795"/>
      <c r="J21" s="796"/>
      <c r="K21" s="48" t="e">
        <f>IF(ISBLANK(Mapa!$D$21),"",Mapa!$D$21)</f>
        <v>#N/A</v>
      </c>
      <c r="L21" s="16" t="str">
        <f>Mapa!$G$21</f>
        <v/>
      </c>
      <c r="AF21" s="65"/>
    </row>
    <row r="22" spans="1:32" s="34" customFormat="1" ht="15.75" thickBot="1">
      <c r="A22" s="15">
        <v>5</v>
      </c>
      <c r="B22" s="36" t="e">
        <f>IF(ISBLANK(Mapa!$M$20),"",Mapa!$M$20)</f>
        <v>#N/A</v>
      </c>
      <c r="C22" s="794" t="str">
        <f>Mapa!$H$21</f>
        <v/>
      </c>
      <c r="D22" s="795"/>
      <c r="E22" s="795"/>
      <c r="F22" s="795"/>
      <c r="G22" s="795"/>
      <c r="H22" s="795"/>
      <c r="I22" s="795"/>
      <c r="J22" s="796"/>
      <c r="K22" s="48" t="e">
        <f>IF(ISBLANK(Mapa!$J$21),"",Mapa!$J$21)</f>
        <v>#N/A</v>
      </c>
      <c r="L22" s="16" t="str">
        <f>Mapa!$M$21</f>
        <v/>
      </c>
      <c r="AF22" s="65"/>
    </row>
    <row r="23" spans="1:32" s="34" customFormat="1" ht="15.75" thickBot="1">
      <c r="A23" s="15">
        <v>6</v>
      </c>
      <c r="B23" s="36" t="e">
        <f>IF(ISBLANK(Mapa!$S$20),"",Mapa!$S$20)</f>
        <v>#N/A</v>
      </c>
      <c r="C23" s="794" t="str">
        <f>Mapa!$N$21</f>
        <v/>
      </c>
      <c r="D23" s="795"/>
      <c r="E23" s="795"/>
      <c r="F23" s="795"/>
      <c r="G23" s="795"/>
      <c r="H23" s="795"/>
      <c r="I23" s="795"/>
      <c r="J23" s="796"/>
      <c r="K23" s="48" t="e">
        <f>IF(ISBLANK(Mapa!$P$21),"",Mapa!$P$21)</f>
        <v>#N/A</v>
      </c>
      <c r="L23" s="16" t="str">
        <f>Mapa!$S$21</f>
        <v/>
      </c>
      <c r="AF23" s="65"/>
    </row>
    <row r="24" spans="1:32" s="34" customFormat="1" ht="15.75" thickBot="1">
      <c r="A24" s="15">
        <v>7</v>
      </c>
      <c r="B24" s="36" t="e">
        <f>IF(ISBLANK(Mapa!$G$37),"",Mapa!$G$37)</f>
        <v>#N/A</v>
      </c>
      <c r="C24" s="794" t="str">
        <f>Mapa!$B$38</f>
        <v/>
      </c>
      <c r="D24" s="795"/>
      <c r="E24" s="795"/>
      <c r="F24" s="795"/>
      <c r="G24" s="795"/>
      <c r="H24" s="795"/>
      <c r="I24" s="795"/>
      <c r="J24" s="796"/>
      <c r="K24" s="48" t="e">
        <f>IF(ISBLANK(Mapa!$D$38),"",Mapa!$D$38)</f>
        <v>#N/A</v>
      </c>
      <c r="L24" s="16" t="str">
        <f>Mapa!$G$38</f>
        <v/>
      </c>
      <c r="AF24" s="65"/>
    </row>
    <row r="25" spans="1:32" s="34" customFormat="1" ht="15.75" thickBot="1">
      <c r="A25" s="15">
        <v>8</v>
      </c>
      <c r="B25" s="36" t="e">
        <f>IF(ISBLANK(Mapa!$M$37),"",Mapa!$M$37)</f>
        <v>#N/A</v>
      </c>
      <c r="C25" s="794" t="str">
        <f>Mapa!$H$38</f>
        <v/>
      </c>
      <c r="D25" s="795"/>
      <c r="E25" s="795"/>
      <c r="F25" s="795"/>
      <c r="G25" s="795"/>
      <c r="H25" s="795"/>
      <c r="I25" s="795"/>
      <c r="J25" s="796"/>
      <c r="K25" s="48" t="e">
        <f>IF(ISBLANK(Mapa!$J$38),"",Mapa!$J$38)</f>
        <v>#N/A</v>
      </c>
      <c r="L25" s="16" t="str">
        <f>Mapa!$M$38</f>
        <v/>
      </c>
      <c r="AF25" s="65"/>
    </row>
    <row r="26" spans="1:32" s="34" customFormat="1" ht="15.75" thickBot="1">
      <c r="A26" s="15">
        <v>9</v>
      </c>
      <c r="B26" s="36" t="e">
        <f>IF(ISBLANK(Mapa!$S$37),"",Mapa!$S$37)</f>
        <v>#N/A</v>
      </c>
      <c r="C26" s="794" t="str">
        <f>Mapa!$N$38</f>
        <v/>
      </c>
      <c r="D26" s="795"/>
      <c r="E26" s="795"/>
      <c r="F26" s="795"/>
      <c r="G26" s="795"/>
      <c r="H26" s="795"/>
      <c r="I26" s="795"/>
      <c r="J26" s="796"/>
      <c r="K26" s="48" t="e">
        <f>IF(ISBLANK(Mapa!$P$38),"",Mapa!$P$38)</f>
        <v>#N/A</v>
      </c>
      <c r="L26" s="16" t="str">
        <f>Mapa!$S$38</f>
        <v/>
      </c>
      <c r="AF26" s="65"/>
    </row>
    <row r="27" spans="1:32" s="34" customFormat="1" ht="15.75" thickBot="1">
      <c r="A27" s="15">
        <v>10</v>
      </c>
      <c r="B27" s="36" t="e">
        <f>IF(ISBLANK(Mapa!$G$54),"",Mapa!$G$54)</f>
        <v>#N/A</v>
      </c>
      <c r="C27" s="794" t="str">
        <f>Mapa!$B$55</f>
        <v/>
      </c>
      <c r="D27" s="795"/>
      <c r="E27" s="795"/>
      <c r="F27" s="795"/>
      <c r="G27" s="795"/>
      <c r="H27" s="795"/>
      <c r="I27" s="795"/>
      <c r="J27" s="796"/>
      <c r="K27" s="48" t="e">
        <f>IF(ISBLANK(Mapa!$D$55),"",Mapa!$D$55)</f>
        <v>#N/A</v>
      </c>
      <c r="L27" s="16" t="str">
        <f>Mapa!$G$55</f>
        <v/>
      </c>
      <c r="AF27" s="65"/>
    </row>
    <row r="28" spans="1:32" s="34" customFormat="1" ht="15.75" thickBot="1">
      <c r="A28" s="15">
        <v>11</v>
      </c>
      <c r="B28" s="36" t="e">
        <f>IF(ISBLANK(Mapa!$M$54),"",Mapa!$M$54)</f>
        <v>#N/A</v>
      </c>
      <c r="C28" s="794" t="str">
        <f>Mapa!$H$55</f>
        <v/>
      </c>
      <c r="D28" s="795"/>
      <c r="E28" s="795"/>
      <c r="F28" s="795"/>
      <c r="G28" s="795"/>
      <c r="H28" s="795"/>
      <c r="I28" s="795"/>
      <c r="J28" s="796"/>
      <c r="K28" s="48" t="e">
        <f>IF(ISBLANK(Mapa!$J$55),"",Mapa!$J$55)</f>
        <v>#N/A</v>
      </c>
      <c r="L28" s="16" t="str">
        <f>Mapa!$M$55</f>
        <v/>
      </c>
      <c r="AF28" s="65"/>
    </row>
    <row r="29" spans="1:32" s="34" customFormat="1" ht="19.5" customHeight="1" thickBot="1">
      <c r="A29" s="15">
        <v>12</v>
      </c>
      <c r="B29" s="36" t="e">
        <f>IF(ISBLANK(Mapa!$S$54),"",Mapa!$S$54)</f>
        <v>#N/A</v>
      </c>
      <c r="C29" s="794" t="str">
        <f>Mapa!$N$55</f>
        <v/>
      </c>
      <c r="D29" s="795"/>
      <c r="E29" s="795"/>
      <c r="F29" s="795"/>
      <c r="G29" s="795"/>
      <c r="H29" s="795"/>
      <c r="I29" s="795"/>
      <c r="J29" s="796"/>
      <c r="K29" s="48" t="e">
        <f>IF(ISBLANK(Mapa!$P$55),"",Mapa!$P$55)</f>
        <v>#N/A</v>
      </c>
      <c r="L29" s="16" t="str">
        <f>Mapa!$S$55</f>
        <v/>
      </c>
      <c r="AF29" s="65"/>
    </row>
    <row r="30" spans="1:32" ht="31.5" customHeight="1">
      <c r="A30" s="799" t="s">
        <v>788</v>
      </c>
      <c r="B30" s="800"/>
      <c r="C30" s="800"/>
      <c r="D30" s="801"/>
      <c r="E30" s="801"/>
      <c r="F30" s="801"/>
      <c r="G30" s="801"/>
      <c r="H30" s="801"/>
      <c r="I30" s="802"/>
      <c r="J30" s="803" t="s">
        <v>3655</v>
      </c>
      <c r="K30" s="804"/>
      <c r="L30" s="805"/>
      <c r="AF30" s="65"/>
    </row>
    <row r="31" spans="1:32" ht="19.5" customHeight="1">
      <c r="A31" s="808" t="s">
        <v>7389</v>
      </c>
      <c r="B31" s="809"/>
      <c r="C31" s="809"/>
      <c r="D31" s="765"/>
      <c r="E31" s="765"/>
      <c r="F31" s="765"/>
      <c r="G31" s="765"/>
      <c r="H31" s="765"/>
      <c r="I31" s="766"/>
      <c r="J31" s="806"/>
      <c r="K31" s="765"/>
      <c r="L31" s="807"/>
      <c r="AF31" s="65"/>
    </row>
    <row r="32" spans="1:32" ht="29.25" customHeight="1">
      <c r="A32" s="810" t="s">
        <v>8265</v>
      </c>
      <c r="B32" s="811"/>
      <c r="C32" s="811"/>
      <c r="D32" s="812"/>
      <c r="E32" s="812"/>
      <c r="F32" s="812"/>
      <c r="G32" s="812"/>
      <c r="H32" s="812"/>
      <c r="I32" s="813"/>
      <c r="J32" s="806"/>
      <c r="K32" s="765"/>
      <c r="L32" s="807"/>
      <c r="AF32" s="65"/>
    </row>
    <row r="33" spans="1:32" ht="18" customHeight="1">
      <c r="A33" s="810" t="s">
        <v>8264</v>
      </c>
      <c r="B33" s="811"/>
      <c r="C33" s="811"/>
      <c r="D33" s="812"/>
      <c r="E33" s="812"/>
      <c r="F33" s="812"/>
      <c r="G33" s="812"/>
      <c r="H33" s="812"/>
      <c r="I33" s="813"/>
      <c r="J33" s="806"/>
      <c r="K33" s="765"/>
      <c r="L33" s="807"/>
      <c r="AF33" s="65"/>
    </row>
    <row r="34" spans="1:32" ht="29.25" customHeight="1">
      <c r="A34" s="814" t="s">
        <v>9569</v>
      </c>
      <c r="B34" s="815"/>
      <c r="C34" s="815"/>
      <c r="D34" s="816"/>
      <c r="E34" s="816"/>
      <c r="F34" s="816"/>
      <c r="G34" s="816"/>
      <c r="H34" s="816"/>
      <c r="I34" s="817"/>
      <c r="J34" s="806"/>
      <c r="K34" s="765"/>
      <c r="L34" s="807"/>
      <c r="AF34" s="65"/>
    </row>
    <row r="35" spans="1:32" ht="16.5" customHeight="1">
      <c r="A35" s="818" t="s">
        <v>789</v>
      </c>
      <c r="B35" s="819"/>
      <c r="C35" s="819"/>
      <c r="D35" s="765"/>
      <c r="E35" s="765"/>
      <c r="F35" s="765"/>
      <c r="G35" s="765"/>
      <c r="H35" s="765"/>
      <c r="I35" s="766"/>
      <c r="J35" s="806"/>
      <c r="K35" s="765"/>
      <c r="L35" s="807"/>
      <c r="AF35" s="65"/>
    </row>
    <row r="36" spans="1:32" ht="32.25" customHeight="1">
      <c r="A36" s="770" t="s">
        <v>8263</v>
      </c>
      <c r="B36" s="771"/>
      <c r="C36" s="771"/>
      <c r="D36" s="772"/>
      <c r="E36" s="772"/>
      <c r="F36" s="772"/>
      <c r="G36" s="772"/>
      <c r="H36" s="772"/>
      <c r="I36" s="773"/>
      <c r="J36" s="806"/>
      <c r="K36" s="765"/>
      <c r="L36" s="807"/>
      <c r="AF36" s="65"/>
    </row>
    <row r="37" spans="1:32" ht="15" customHeight="1">
      <c r="A37" s="774" t="s">
        <v>790</v>
      </c>
      <c r="B37" s="775"/>
      <c r="C37" s="775"/>
      <c r="D37" s="765"/>
      <c r="E37" s="765"/>
      <c r="F37" s="765"/>
      <c r="G37" s="765"/>
      <c r="H37" s="765"/>
      <c r="I37" s="766"/>
      <c r="J37" s="806"/>
      <c r="K37" s="765"/>
      <c r="L37" s="807"/>
      <c r="AF37" s="65"/>
    </row>
    <row r="38" spans="1:32" ht="15" customHeight="1">
      <c r="A38" s="774" t="s">
        <v>791</v>
      </c>
      <c r="B38" s="775"/>
      <c r="C38" s="775"/>
      <c r="D38" s="765"/>
      <c r="E38" s="765"/>
      <c r="F38" s="765"/>
      <c r="G38" s="765"/>
      <c r="H38" s="765"/>
      <c r="I38" s="766"/>
      <c r="J38" s="806"/>
      <c r="K38" s="765"/>
      <c r="L38" s="807"/>
      <c r="AF38" s="65"/>
    </row>
    <row r="39" spans="1:32" ht="15" customHeight="1">
      <c r="A39" s="774" t="s">
        <v>792</v>
      </c>
      <c r="B39" s="775"/>
      <c r="C39" s="775"/>
      <c r="D39" s="765"/>
      <c r="E39" s="765"/>
      <c r="F39" s="765"/>
      <c r="G39" s="765"/>
      <c r="H39" s="765"/>
      <c r="I39" s="766"/>
      <c r="J39" s="806"/>
      <c r="K39" s="765"/>
      <c r="L39" s="807"/>
      <c r="AF39" s="65"/>
    </row>
    <row r="40" spans="1:32" ht="26.25" customHeight="1">
      <c r="A40" s="774" t="s">
        <v>793</v>
      </c>
      <c r="B40" s="775"/>
      <c r="C40" s="775"/>
      <c r="D40" s="765"/>
      <c r="E40" s="765"/>
      <c r="F40" s="765"/>
      <c r="G40" s="765"/>
      <c r="H40" s="765"/>
      <c r="I40" s="766"/>
      <c r="J40" s="806"/>
      <c r="K40" s="765"/>
      <c r="L40" s="807"/>
      <c r="AF40" s="65"/>
    </row>
    <row r="41" spans="1:32" ht="15" customHeight="1">
      <c r="A41" s="774" t="s">
        <v>1576</v>
      </c>
      <c r="B41" s="775"/>
      <c r="C41" s="775"/>
      <c r="D41" s="765"/>
      <c r="E41" s="765"/>
      <c r="F41" s="765"/>
      <c r="G41" s="765"/>
      <c r="H41" s="765"/>
      <c r="I41" s="766"/>
      <c r="J41" s="806"/>
      <c r="K41" s="765"/>
      <c r="L41" s="807"/>
      <c r="AF41" s="65"/>
    </row>
    <row r="42" spans="1:32" ht="24" customHeight="1">
      <c r="A42" s="776" t="s">
        <v>8266</v>
      </c>
      <c r="B42" s="777"/>
      <c r="C42" s="777"/>
      <c r="D42" s="765"/>
      <c r="E42" s="765"/>
      <c r="F42" s="765"/>
      <c r="G42" s="765"/>
      <c r="H42" s="765"/>
      <c r="I42" s="766"/>
      <c r="J42" s="778" t="str">
        <f>Adjudicação!A85</f>
        <v>DIEGO FERNANDES DA SILVA</v>
      </c>
      <c r="K42" s="779"/>
      <c r="L42" s="780"/>
      <c r="AF42" s="65"/>
    </row>
    <row r="43" spans="1:32" ht="15" customHeight="1">
      <c r="A43" s="763" t="s">
        <v>794</v>
      </c>
      <c r="B43" s="764"/>
      <c r="C43" s="764"/>
      <c r="D43" s="765"/>
      <c r="E43" s="765"/>
      <c r="F43" s="765"/>
      <c r="G43" s="765"/>
      <c r="H43" s="765"/>
      <c r="I43" s="766"/>
      <c r="J43" s="781" t="str">
        <f>Adjudicação!A86</f>
        <v>Diretor(a) Administrativo(a)/SRSSU</v>
      </c>
      <c r="K43" s="782"/>
      <c r="L43" s="783"/>
      <c r="AF43" s="65"/>
    </row>
    <row r="44" spans="1:32" ht="15" customHeight="1">
      <c r="A44" s="763" t="s">
        <v>1812</v>
      </c>
      <c r="B44" s="764"/>
      <c r="C44" s="764"/>
      <c r="D44" s="765"/>
      <c r="E44" s="765"/>
      <c r="F44" s="765"/>
      <c r="G44" s="765"/>
      <c r="H44" s="765"/>
      <c r="I44" s="766"/>
      <c r="J44" s="767" t="str">
        <f>Adjudicação!A87</f>
        <v>Matrícula: 1.693.844-5</v>
      </c>
      <c r="K44" s="768"/>
      <c r="L44" s="769"/>
      <c r="AF44" s="65"/>
    </row>
    <row r="45" spans="1:32" ht="50.25" customHeight="1" thickBot="1">
      <c r="A45" s="763" t="s">
        <v>1619</v>
      </c>
      <c r="B45" s="764"/>
      <c r="C45" s="764"/>
      <c r="D45" s="765"/>
      <c r="E45" s="765"/>
      <c r="F45" s="765"/>
      <c r="G45" s="765"/>
      <c r="H45" s="765"/>
      <c r="I45" s="766"/>
      <c r="J45" s="784"/>
      <c r="K45" s="785"/>
      <c r="L45" s="786"/>
      <c r="AF45" s="65"/>
    </row>
    <row r="46" spans="1:32" s="65" customFormat="1" ht="15.75" thickBot="1">
      <c r="A46" s="821" t="s">
        <v>2990</v>
      </c>
      <c r="B46" s="822"/>
      <c r="C46" s="822"/>
      <c r="D46" s="822"/>
      <c r="E46" s="822"/>
      <c r="F46" s="822"/>
      <c r="G46" s="822"/>
      <c r="H46" s="822"/>
      <c r="I46" s="823"/>
      <c r="J46" s="785"/>
      <c r="K46" s="785"/>
      <c r="L46" s="786"/>
    </row>
    <row r="47" spans="1:32" ht="15.75" customHeight="1" thickBot="1">
      <c r="A47" s="787" t="s">
        <v>795</v>
      </c>
      <c r="B47" s="788"/>
      <c r="C47" s="788"/>
      <c r="D47" s="789"/>
      <c r="E47" s="789"/>
      <c r="F47" s="789"/>
      <c r="G47" s="789"/>
      <c r="H47" s="789"/>
      <c r="I47" s="790"/>
      <c r="J47" s="791"/>
      <c r="K47" s="792"/>
      <c r="L47" s="793"/>
      <c r="AF47" s="65"/>
    </row>
    <row r="48" spans="1:32" ht="11.25" customHeight="1">
      <c r="A48" s="761" t="s">
        <v>673</v>
      </c>
      <c r="B48" s="762"/>
      <c r="C48" s="762"/>
      <c r="D48" s="762"/>
      <c r="E48" s="762"/>
      <c r="F48" s="762"/>
      <c r="G48" s="762"/>
      <c r="H48" s="762"/>
      <c r="I48" s="762"/>
      <c r="J48" s="762"/>
      <c r="K48" s="762"/>
      <c r="L48" s="18"/>
      <c r="AF48" s="65"/>
    </row>
    <row r="49" spans="1:32" ht="11.25" customHeight="1">
      <c r="A49" s="797" t="s">
        <v>2737</v>
      </c>
      <c r="B49" s="798"/>
      <c r="C49" s="798"/>
      <c r="D49" s="798"/>
      <c r="E49" s="798"/>
      <c r="F49" s="798"/>
      <c r="G49" s="798"/>
      <c r="H49" s="798"/>
      <c r="I49" s="798"/>
      <c r="J49" s="798"/>
      <c r="K49" s="798"/>
      <c r="L49" s="19"/>
      <c r="AF49" s="65"/>
    </row>
    <row r="50" spans="1:32" ht="11.25" customHeight="1">
      <c r="A50" s="820" t="s">
        <v>2738</v>
      </c>
      <c r="B50" s="798"/>
      <c r="C50" s="798"/>
      <c r="D50" s="798"/>
      <c r="E50" s="798"/>
      <c r="F50" s="798"/>
      <c r="G50" s="798"/>
      <c r="H50" s="798"/>
      <c r="I50" s="798"/>
      <c r="J50" s="798"/>
      <c r="K50" s="798"/>
      <c r="L50" s="18"/>
      <c r="AF50" s="65"/>
    </row>
    <row r="51" spans="1:32" ht="11.25" customHeight="1">
      <c r="A51" s="797" t="s">
        <v>5743</v>
      </c>
      <c r="B51" s="798"/>
      <c r="C51" s="798"/>
      <c r="D51" s="798"/>
      <c r="E51" s="798"/>
      <c r="F51" s="798"/>
      <c r="G51" s="798"/>
      <c r="H51" s="798"/>
      <c r="I51" s="798"/>
      <c r="J51" s="798"/>
      <c r="K51" s="798"/>
      <c r="L51" s="7"/>
      <c r="AF51" s="65"/>
    </row>
    <row r="52" spans="1:32">
      <c r="AF52" s="65"/>
    </row>
    <row r="53" spans="1:32">
      <c r="AF53" s="65"/>
    </row>
    <row r="54" spans="1:32">
      <c r="AF54" s="65"/>
    </row>
    <row r="55" spans="1:32">
      <c r="AF55" s="65"/>
    </row>
    <row r="56" spans="1:32">
      <c r="AF56" s="65"/>
    </row>
    <row r="57" spans="1:32">
      <c r="AF57" s="65"/>
    </row>
    <row r="58" spans="1:32">
      <c r="AF58" s="65"/>
    </row>
    <row r="59" spans="1:32">
      <c r="AF59" s="65"/>
    </row>
    <row r="60" spans="1:32">
      <c r="AF60" s="65"/>
    </row>
    <row r="61" spans="1:32">
      <c r="AF61" s="65"/>
    </row>
    <row r="62" spans="1:32">
      <c r="AF62" s="65"/>
    </row>
    <row r="63" spans="1:32">
      <c r="AF63" s="65"/>
    </row>
    <row r="64" spans="1:32">
      <c r="AF64" s="65"/>
    </row>
    <row r="65" spans="32:32">
      <c r="AF65" s="65"/>
    </row>
    <row r="66" spans="32:32">
      <c r="AF66" s="65"/>
    </row>
    <row r="67" spans="32:32">
      <c r="AF67" s="65"/>
    </row>
    <row r="68" spans="32:32">
      <c r="AF68" s="65"/>
    </row>
    <row r="69" spans="32:32">
      <c r="AF69" s="65"/>
    </row>
    <row r="70" spans="32:32">
      <c r="AF70" s="65"/>
    </row>
    <row r="71" spans="32:32">
      <c r="AF71" s="65"/>
    </row>
    <row r="72" spans="32:32">
      <c r="AF72" s="65"/>
    </row>
    <row r="73" spans="32:32">
      <c r="AF73" s="65"/>
    </row>
    <row r="74" spans="32:32">
      <c r="AF74" s="65"/>
    </row>
    <row r="75" spans="32:32">
      <c r="AF75" s="65"/>
    </row>
    <row r="76" spans="32:32">
      <c r="AF76" s="65"/>
    </row>
    <row r="77" spans="32:32">
      <c r="AF77" s="65"/>
    </row>
    <row r="78" spans="32:32">
      <c r="AF78" s="65"/>
    </row>
    <row r="79" spans="32:32">
      <c r="AF79" s="65"/>
    </row>
    <row r="80" spans="32:32">
      <c r="AF80" s="65"/>
    </row>
    <row r="81" spans="32:32">
      <c r="AF81" s="65"/>
    </row>
    <row r="82" spans="32:32">
      <c r="AF82" s="65"/>
    </row>
    <row r="83" spans="32:32">
      <c r="AF83" s="65"/>
    </row>
    <row r="84" spans="32:32">
      <c r="AF84" s="65"/>
    </row>
    <row r="85" spans="32:32">
      <c r="AF85" s="65"/>
    </row>
    <row r="86" spans="32:32">
      <c r="AF86" s="65"/>
    </row>
    <row r="87" spans="32:32">
      <c r="AF87" s="65"/>
    </row>
    <row r="88" spans="32:32">
      <c r="AF88" s="65"/>
    </row>
    <row r="89" spans="32:32">
      <c r="AF89" s="65"/>
    </row>
    <row r="90" spans="32:32">
      <c r="AF90" s="65"/>
    </row>
    <row r="91" spans="32:32">
      <c r="AF91" s="65"/>
    </row>
    <row r="92" spans="32:32">
      <c r="AF92" s="65"/>
    </row>
    <row r="93" spans="32:32">
      <c r="AF93" s="65"/>
    </row>
    <row r="94" spans="32:32">
      <c r="AF94" s="65"/>
    </row>
    <row r="95" spans="32:32">
      <c r="AF95" s="65"/>
    </row>
    <row r="96" spans="32:32">
      <c r="AF96" s="65"/>
    </row>
    <row r="97" spans="32:32">
      <c r="AF97" s="65"/>
    </row>
    <row r="98" spans="32:32">
      <c r="AF98" s="65"/>
    </row>
    <row r="99" spans="32:32">
      <c r="AF99" s="65"/>
    </row>
    <row r="100" spans="32:32">
      <c r="AF100" s="65"/>
    </row>
    <row r="101" spans="32:32">
      <c r="AF101" s="65"/>
    </row>
    <row r="102" spans="32:32">
      <c r="AF102" s="65"/>
    </row>
    <row r="103" spans="32:32">
      <c r="AF103" s="65"/>
    </row>
    <row r="104" spans="32:32">
      <c r="AF104" s="65"/>
    </row>
    <row r="105" spans="32:32">
      <c r="AF105" s="65"/>
    </row>
    <row r="106" spans="32:32">
      <c r="AF106" s="65"/>
    </row>
    <row r="107" spans="32:32">
      <c r="AF107" s="65"/>
    </row>
    <row r="108" spans="32:32">
      <c r="AF108" s="65"/>
    </row>
    <row r="109" spans="32:32">
      <c r="AF109" s="65"/>
    </row>
    <row r="110" spans="32:32">
      <c r="AF110" s="65"/>
    </row>
    <row r="111" spans="32:32">
      <c r="AF111" s="65"/>
    </row>
    <row r="112" spans="32:32">
      <c r="AF112" s="65"/>
    </row>
    <row r="113" spans="32:32">
      <c r="AF113" s="65"/>
    </row>
    <row r="114" spans="32:32">
      <c r="AF114" s="65"/>
    </row>
    <row r="115" spans="32:32">
      <c r="AF115" s="65"/>
    </row>
    <row r="116" spans="32:32">
      <c r="AF116" s="65"/>
    </row>
    <row r="117" spans="32:32">
      <c r="AF117" s="65"/>
    </row>
    <row r="118" spans="32:32">
      <c r="AF118" s="65"/>
    </row>
    <row r="119" spans="32:32">
      <c r="AF119" s="65"/>
    </row>
    <row r="120" spans="32:32">
      <c r="AF120" s="65"/>
    </row>
    <row r="121" spans="32:32">
      <c r="AF121" s="65"/>
    </row>
    <row r="122" spans="32:32">
      <c r="AF122" s="65"/>
    </row>
    <row r="123" spans="32:32">
      <c r="AF123" s="65"/>
    </row>
    <row r="124" spans="32:32">
      <c r="AF124" s="65"/>
    </row>
    <row r="125" spans="32:32">
      <c r="AF125" s="65"/>
    </row>
    <row r="126" spans="32:32">
      <c r="AF126" s="65"/>
    </row>
    <row r="127" spans="32:32">
      <c r="AF127" s="65"/>
    </row>
    <row r="128" spans="32:32">
      <c r="AF128" s="65"/>
    </row>
    <row r="129" spans="32:32">
      <c r="AF129" s="65"/>
    </row>
    <row r="130" spans="32:32">
      <c r="AF130" s="65"/>
    </row>
    <row r="131" spans="32:32">
      <c r="AF131" s="65"/>
    </row>
    <row r="132" spans="32:32">
      <c r="AF132" s="65"/>
    </row>
    <row r="133" spans="32:32">
      <c r="AF133" s="65"/>
    </row>
    <row r="134" spans="32:32">
      <c r="AF134" s="65"/>
    </row>
    <row r="135" spans="32:32">
      <c r="AF135" s="65"/>
    </row>
    <row r="136" spans="32:32">
      <c r="AF136" s="65"/>
    </row>
    <row r="137" spans="32:32">
      <c r="AF137" s="65"/>
    </row>
    <row r="138" spans="32:32">
      <c r="AF138" s="65"/>
    </row>
    <row r="139" spans="32:32">
      <c r="AF139" s="65"/>
    </row>
    <row r="140" spans="32:32">
      <c r="AF140" s="65"/>
    </row>
    <row r="141" spans="32:32">
      <c r="AF141" s="65"/>
    </row>
    <row r="142" spans="32:32">
      <c r="AF142" s="65"/>
    </row>
    <row r="143" spans="32:32">
      <c r="AF143" s="65"/>
    </row>
    <row r="144" spans="32:32">
      <c r="AF144" s="65"/>
    </row>
    <row r="145" spans="32:32">
      <c r="AF145" s="65"/>
    </row>
    <row r="146" spans="32:32">
      <c r="AF146" s="65"/>
    </row>
    <row r="147" spans="32:32">
      <c r="AF147" s="65"/>
    </row>
    <row r="148" spans="32:32">
      <c r="AF148" s="65"/>
    </row>
    <row r="149" spans="32:32">
      <c r="AF149" s="65"/>
    </row>
    <row r="150" spans="32:32">
      <c r="AF150" s="65"/>
    </row>
    <row r="151" spans="32:32">
      <c r="AF151" s="65"/>
    </row>
    <row r="152" spans="32:32">
      <c r="AF152" s="65"/>
    </row>
    <row r="153" spans="32:32">
      <c r="AF153" s="65"/>
    </row>
    <row r="154" spans="32:32">
      <c r="AF154" s="65"/>
    </row>
    <row r="155" spans="32:32">
      <c r="AF155" s="65"/>
    </row>
    <row r="156" spans="32:32">
      <c r="AF156" s="65"/>
    </row>
    <row r="157" spans="32:32">
      <c r="AF157" s="65"/>
    </row>
    <row r="158" spans="32:32">
      <c r="AF158" s="65"/>
    </row>
    <row r="159" spans="32:32">
      <c r="AF159" s="65"/>
    </row>
    <row r="160" spans="32:32">
      <c r="AF160" s="65"/>
    </row>
    <row r="161" spans="32:32">
      <c r="AF161" s="65"/>
    </row>
    <row r="162" spans="32:32">
      <c r="AF162" s="65"/>
    </row>
    <row r="163" spans="32:32">
      <c r="AF163" s="65"/>
    </row>
    <row r="164" spans="32:32">
      <c r="AF164" s="65"/>
    </row>
    <row r="165" spans="32:32">
      <c r="AF165" s="65"/>
    </row>
    <row r="166" spans="32:32">
      <c r="AF166" s="65"/>
    </row>
    <row r="167" spans="32:32">
      <c r="AF167" s="65"/>
    </row>
    <row r="168" spans="32:32">
      <c r="AF168" s="65"/>
    </row>
    <row r="169" spans="32:32">
      <c r="AF169" s="65"/>
    </row>
    <row r="170" spans="32:32">
      <c r="AF170" s="65"/>
    </row>
    <row r="171" spans="32:32">
      <c r="AF171" s="65"/>
    </row>
    <row r="172" spans="32:32">
      <c r="AF172" s="65"/>
    </row>
    <row r="173" spans="32:32">
      <c r="AF173" s="65"/>
    </row>
    <row r="174" spans="32:32">
      <c r="AF174" s="65"/>
    </row>
    <row r="175" spans="32:32">
      <c r="AF175" s="65"/>
    </row>
    <row r="176" spans="32:32">
      <c r="AF176" s="65"/>
    </row>
    <row r="177" spans="32:32">
      <c r="AF177" s="65"/>
    </row>
    <row r="178" spans="32:32">
      <c r="AF178" s="65"/>
    </row>
    <row r="179" spans="32:32">
      <c r="AF179" s="65"/>
    </row>
    <row r="180" spans="32:32">
      <c r="AF180" s="65"/>
    </row>
    <row r="181" spans="32:32">
      <c r="AF181" s="65"/>
    </row>
    <row r="182" spans="32:32">
      <c r="AF182" s="65"/>
    </row>
    <row r="183" spans="32:32">
      <c r="AF183" s="65"/>
    </row>
    <row r="184" spans="32:32">
      <c r="AF184" s="65"/>
    </row>
    <row r="185" spans="32:32">
      <c r="AF185" s="65"/>
    </row>
    <row r="186" spans="32:32">
      <c r="AF186" s="65"/>
    </row>
    <row r="187" spans="32:32">
      <c r="AF187" s="65"/>
    </row>
    <row r="188" spans="32:32">
      <c r="AF188" s="65"/>
    </row>
    <row r="189" spans="32:32">
      <c r="AF189" s="65"/>
    </row>
    <row r="190" spans="32:32">
      <c r="AF190" s="65"/>
    </row>
    <row r="191" spans="32:32">
      <c r="AF191" s="65"/>
    </row>
    <row r="192" spans="32:32">
      <c r="AF192" s="65"/>
    </row>
    <row r="193" spans="32:32">
      <c r="AF193" s="65"/>
    </row>
    <row r="194" spans="32:32">
      <c r="AF194" s="65"/>
    </row>
    <row r="195" spans="32:32">
      <c r="AF195" s="65"/>
    </row>
    <row r="196" spans="32:32">
      <c r="AF196" s="65"/>
    </row>
    <row r="197" spans="32:32">
      <c r="AF197" s="65"/>
    </row>
    <row r="198" spans="32:32">
      <c r="AF198" s="65"/>
    </row>
    <row r="199" spans="32:32">
      <c r="AF199" s="65"/>
    </row>
    <row r="200" spans="32:32">
      <c r="AF200" s="65"/>
    </row>
    <row r="201" spans="32:32">
      <c r="AF201" s="65"/>
    </row>
    <row r="202" spans="32:32">
      <c r="AF202" s="65"/>
    </row>
    <row r="203" spans="32:32">
      <c r="AF203" s="65"/>
    </row>
    <row r="204" spans="32:32">
      <c r="AF204" s="65"/>
    </row>
    <row r="205" spans="32:32">
      <c r="AF205" s="65"/>
    </row>
    <row r="206" spans="32:32">
      <c r="AF206" s="65"/>
    </row>
    <row r="207" spans="32:32">
      <c r="AF207" s="65"/>
    </row>
    <row r="208" spans="32:32">
      <c r="AF208" s="65"/>
    </row>
    <row r="209" spans="32:32">
      <c r="AF209" s="65"/>
    </row>
    <row r="210" spans="32:32">
      <c r="AF210" s="65"/>
    </row>
    <row r="211" spans="32:32">
      <c r="AF211" s="65"/>
    </row>
    <row r="212" spans="32:32">
      <c r="AF212" s="65"/>
    </row>
    <row r="213" spans="32:32">
      <c r="AF213" s="65"/>
    </row>
    <row r="214" spans="32:32">
      <c r="AF214" s="65"/>
    </row>
    <row r="215" spans="32:32">
      <c r="AF215" s="65"/>
    </row>
    <row r="216" spans="32:32">
      <c r="AF216" s="65"/>
    </row>
    <row r="217" spans="32:32">
      <c r="AF217" s="65"/>
    </row>
    <row r="218" spans="32:32">
      <c r="AF218" s="65"/>
    </row>
    <row r="219" spans="32:32">
      <c r="AF219" s="65"/>
    </row>
    <row r="220" spans="32:32">
      <c r="AF220" s="65"/>
    </row>
    <row r="221" spans="32:32">
      <c r="AF221" s="65"/>
    </row>
    <row r="222" spans="32:32">
      <c r="AF222" s="65"/>
    </row>
    <row r="223" spans="32:32">
      <c r="AF223" s="65"/>
    </row>
    <row r="224" spans="32:32">
      <c r="AF224" s="65"/>
    </row>
    <row r="225" spans="32:32">
      <c r="AF225" s="65"/>
    </row>
    <row r="226" spans="32:32">
      <c r="AF226" s="65"/>
    </row>
    <row r="227" spans="32:32">
      <c r="AF227" s="65"/>
    </row>
    <row r="228" spans="32:32">
      <c r="AF228" s="65"/>
    </row>
    <row r="229" spans="32:32">
      <c r="AF229" s="65"/>
    </row>
    <row r="230" spans="32:32">
      <c r="AF230" s="65"/>
    </row>
    <row r="231" spans="32:32">
      <c r="AF231" s="65"/>
    </row>
    <row r="232" spans="32:32">
      <c r="AF232" s="65"/>
    </row>
    <row r="233" spans="32:32">
      <c r="AF233" s="65"/>
    </row>
    <row r="234" spans="32:32">
      <c r="AF234" s="65"/>
    </row>
    <row r="235" spans="32:32">
      <c r="AF235" s="65"/>
    </row>
    <row r="236" spans="32:32">
      <c r="AF236" s="65"/>
    </row>
    <row r="237" spans="32:32">
      <c r="AF237" s="65"/>
    </row>
    <row r="238" spans="32:32">
      <c r="AF238" s="65"/>
    </row>
    <row r="239" spans="32:32">
      <c r="AF239" s="65"/>
    </row>
    <row r="240" spans="32:32">
      <c r="AF240" s="65"/>
    </row>
    <row r="241" spans="32:32">
      <c r="AF241" s="65"/>
    </row>
    <row r="242" spans="32:32">
      <c r="AF242" s="65"/>
    </row>
    <row r="243" spans="32:32">
      <c r="AF243" s="65"/>
    </row>
    <row r="244" spans="32:32">
      <c r="AF244" s="65"/>
    </row>
    <row r="245" spans="32:32">
      <c r="AF245" s="65"/>
    </row>
    <row r="246" spans="32:32">
      <c r="AF246" s="65"/>
    </row>
    <row r="247" spans="32:32">
      <c r="AF247" s="65"/>
    </row>
    <row r="248" spans="32:32">
      <c r="AF248" s="65"/>
    </row>
    <row r="249" spans="32:32">
      <c r="AF249" s="65"/>
    </row>
    <row r="250" spans="32:32">
      <c r="AF250" s="65"/>
    </row>
    <row r="251" spans="32:32">
      <c r="AF251" s="65"/>
    </row>
    <row r="252" spans="32:32">
      <c r="AF252" s="65"/>
    </row>
    <row r="253" spans="32:32">
      <c r="AF253" s="65"/>
    </row>
    <row r="254" spans="32:32">
      <c r="AF254" s="65"/>
    </row>
    <row r="255" spans="32:32">
      <c r="AF255" s="65"/>
    </row>
    <row r="256" spans="32:32">
      <c r="AF256" s="65"/>
    </row>
    <row r="257" spans="32:32">
      <c r="AF257" s="65"/>
    </row>
    <row r="258" spans="32:32">
      <c r="AF258" s="65"/>
    </row>
    <row r="259" spans="32:32">
      <c r="AF259" s="65"/>
    </row>
    <row r="260" spans="32:32">
      <c r="AF260" s="65"/>
    </row>
    <row r="261" spans="32:32">
      <c r="AF261" s="65"/>
    </row>
    <row r="262" spans="32:32">
      <c r="AF262" s="65"/>
    </row>
    <row r="263" spans="32:32">
      <c r="AF263" s="65"/>
    </row>
    <row r="264" spans="32:32">
      <c r="AF264" s="65"/>
    </row>
    <row r="265" spans="32:32">
      <c r="AF265" s="65"/>
    </row>
    <row r="266" spans="32:32">
      <c r="AF266" s="65"/>
    </row>
    <row r="267" spans="32:32">
      <c r="AF267" s="65"/>
    </row>
    <row r="268" spans="32:32">
      <c r="AF268" s="65"/>
    </row>
    <row r="269" spans="32:32">
      <c r="AF269" s="65"/>
    </row>
    <row r="270" spans="32:32">
      <c r="AF270" s="65"/>
    </row>
    <row r="271" spans="32:32">
      <c r="AF271" s="65"/>
    </row>
    <row r="272" spans="32:32">
      <c r="AF272" s="65"/>
    </row>
    <row r="273" spans="32:32">
      <c r="AF273" s="65"/>
    </row>
    <row r="274" spans="32:32">
      <c r="AF274" s="65"/>
    </row>
    <row r="275" spans="32:32">
      <c r="AF275" s="65"/>
    </row>
    <row r="276" spans="32:32">
      <c r="AF276" s="65"/>
    </row>
    <row r="277" spans="32:32">
      <c r="AF277" s="65"/>
    </row>
    <row r="278" spans="32:32">
      <c r="AF278" s="65"/>
    </row>
    <row r="279" spans="32:32">
      <c r="AF279" s="65"/>
    </row>
    <row r="280" spans="32:32">
      <c r="AF280" s="65"/>
    </row>
    <row r="281" spans="32:32">
      <c r="AF281" s="65"/>
    </row>
    <row r="282" spans="32:32">
      <c r="AF282" s="65"/>
    </row>
    <row r="283" spans="32:32">
      <c r="AF283" s="65"/>
    </row>
    <row r="284" spans="32:32">
      <c r="AF284" s="65"/>
    </row>
    <row r="285" spans="32:32">
      <c r="AF285" s="65"/>
    </row>
    <row r="286" spans="32:32">
      <c r="AF286" s="65"/>
    </row>
    <row r="287" spans="32:32">
      <c r="AF287" s="65"/>
    </row>
    <row r="288" spans="32:32">
      <c r="AF288" s="65"/>
    </row>
    <row r="289" spans="32:32">
      <c r="AF289" s="65"/>
    </row>
    <row r="290" spans="32:32">
      <c r="AF290" s="65"/>
    </row>
    <row r="291" spans="32:32">
      <c r="AF291" s="65"/>
    </row>
    <row r="292" spans="32:32">
      <c r="AF292" s="65"/>
    </row>
    <row r="293" spans="32:32">
      <c r="AF293" s="65"/>
    </row>
    <row r="294" spans="32:32">
      <c r="AF294" s="65"/>
    </row>
    <row r="295" spans="32:32">
      <c r="AF295" s="65"/>
    </row>
    <row r="296" spans="32:32">
      <c r="AF296" s="65"/>
    </row>
    <row r="297" spans="32:32">
      <c r="AF297" s="65"/>
    </row>
    <row r="298" spans="32:32">
      <c r="AF298" s="65"/>
    </row>
    <row r="299" spans="32:32">
      <c r="AF299" s="65"/>
    </row>
    <row r="300" spans="32:32">
      <c r="AF300" s="65"/>
    </row>
    <row r="301" spans="32:32">
      <c r="AF301" s="65"/>
    </row>
    <row r="302" spans="32:32">
      <c r="AF302" s="65"/>
    </row>
    <row r="303" spans="32:32">
      <c r="AF303" s="65"/>
    </row>
    <row r="304" spans="32:32">
      <c r="AF304" s="65"/>
    </row>
    <row r="305" spans="32:32">
      <c r="AF305" s="65"/>
    </row>
    <row r="306" spans="32:32">
      <c r="AF306" s="65"/>
    </row>
    <row r="307" spans="32:32">
      <c r="AF307" s="65"/>
    </row>
    <row r="308" spans="32:32">
      <c r="AF308" s="65"/>
    </row>
    <row r="309" spans="32:32">
      <c r="AF309" s="65"/>
    </row>
    <row r="310" spans="32:32">
      <c r="AF310" s="65"/>
    </row>
    <row r="311" spans="32:32">
      <c r="AF311" s="65"/>
    </row>
    <row r="312" spans="32:32">
      <c r="AF312" s="65"/>
    </row>
    <row r="313" spans="32:32">
      <c r="AF313" s="65"/>
    </row>
    <row r="314" spans="32:32">
      <c r="AF314" s="65"/>
    </row>
    <row r="315" spans="32:32">
      <c r="AF315" s="65"/>
    </row>
    <row r="316" spans="32:32">
      <c r="AF316" s="65"/>
    </row>
    <row r="317" spans="32:32">
      <c r="AF317" s="65"/>
    </row>
    <row r="318" spans="32:32">
      <c r="AF318" s="65"/>
    </row>
    <row r="319" spans="32:32">
      <c r="AF319" s="65"/>
    </row>
    <row r="320" spans="32:32">
      <c r="AF320" s="65"/>
    </row>
    <row r="321" spans="32:32">
      <c r="AF321" s="65"/>
    </row>
    <row r="322" spans="32:32">
      <c r="AF322" s="65"/>
    </row>
    <row r="323" spans="32:32">
      <c r="AF323" s="65"/>
    </row>
    <row r="324" spans="32:32">
      <c r="AF324" s="65"/>
    </row>
    <row r="325" spans="32:32">
      <c r="AF325" s="65"/>
    </row>
    <row r="326" spans="32:32">
      <c r="AF326" s="65"/>
    </row>
    <row r="327" spans="32:32">
      <c r="AF327" s="65"/>
    </row>
    <row r="328" spans="32:32">
      <c r="AF328" s="65"/>
    </row>
    <row r="329" spans="32:32">
      <c r="AF329" s="65"/>
    </row>
    <row r="330" spans="32:32">
      <c r="AF330" s="65"/>
    </row>
    <row r="331" spans="32:32">
      <c r="AF331" s="65"/>
    </row>
    <row r="332" spans="32:32">
      <c r="AF332" s="65"/>
    </row>
    <row r="333" spans="32:32">
      <c r="AF333" s="65"/>
    </row>
    <row r="334" spans="32:32">
      <c r="AF334" s="65"/>
    </row>
    <row r="335" spans="32:32">
      <c r="AF335" s="65"/>
    </row>
    <row r="336" spans="32:32">
      <c r="AF336" s="65"/>
    </row>
    <row r="337" spans="32:32">
      <c r="AF337" s="65"/>
    </row>
    <row r="338" spans="32:32">
      <c r="AF338" s="65"/>
    </row>
    <row r="339" spans="32:32">
      <c r="AF339" s="65"/>
    </row>
    <row r="340" spans="32:32">
      <c r="AF340" s="65"/>
    </row>
    <row r="341" spans="32:32">
      <c r="AF341" s="65"/>
    </row>
    <row r="342" spans="32:32">
      <c r="AF342" s="65"/>
    </row>
    <row r="343" spans="32:32">
      <c r="AF343" s="65"/>
    </row>
    <row r="344" spans="32:32">
      <c r="AF344" s="65"/>
    </row>
    <row r="345" spans="32:32">
      <c r="AF345" s="65"/>
    </row>
    <row r="346" spans="32:32">
      <c r="AF346" s="65"/>
    </row>
    <row r="347" spans="32:32">
      <c r="AF347" s="65"/>
    </row>
    <row r="348" spans="32:32">
      <c r="AF348" s="65"/>
    </row>
    <row r="349" spans="32:32">
      <c r="AF349" s="65"/>
    </row>
    <row r="350" spans="32:32">
      <c r="AF350" s="65"/>
    </row>
    <row r="351" spans="32:32">
      <c r="AF351" s="65"/>
    </row>
    <row r="352" spans="32:32">
      <c r="AF352" s="65"/>
    </row>
    <row r="353" spans="32:32">
      <c r="AF353" s="65"/>
    </row>
    <row r="354" spans="32:32">
      <c r="AF354" s="65"/>
    </row>
    <row r="355" spans="32:32">
      <c r="AF355" s="65"/>
    </row>
    <row r="356" spans="32:32">
      <c r="AF356" s="65"/>
    </row>
    <row r="357" spans="32:32">
      <c r="AF357" s="65"/>
    </row>
    <row r="358" spans="32:32">
      <c r="AF358" s="65"/>
    </row>
    <row r="359" spans="32:32">
      <c r="AF359" s="65"/>
    </row>
    <row r="360" spans="32:32">
      <c r="AF360" s="65"/>
    </row>
    <row r="361" spans="32:32">
      <c r="AF361" s="65"/>
    </row>
    <row r="362" spans="32:32">
      <c r="AF362" s="65"/>
    </row>
    <row r="363" spans="32:32">
      <c r="AF363" s="65"/>
    </row>
    <row r="364" spans="32:32">
      <c r="AF364" s="65"/>
    </row>
    <row r="365" spans="32:32">
      <c r="AF365" s="65"/>
    </row>
    <row r="366" spans="32:32">
      <c r="AF366" s="65"/>
    </row>
    <row r="367" spans="32:32">
      <c r="AF367" s="65"/>
    </row>
    <row r="368" spans="32:32">
      <c r="AF368" s="65"/>
    </row>
    <row r="369" spans="32:32">
      <c r="AF369" s="65"/>
    </row>
    <row r="370" spans="32:32">
      <c r="AF370" s="65"/>
    </row>
    <row r="371" spans="32:32">
      <c r="AF371" s="65"/>
    </row>
    <row r="372" spans="32:32">
      <c r="AF372" s="65"/>
    </row>
    <row r="373" spans="32:32">
      <c r="AF373" s="65"/>
    </row>
    <row r="374" spans="32:32">
      <c r="AF374" s="65"/>
    </row>
    <row r="375" spans="32:32">
      <c r="AF375" s="65"/>
    </row>
    <row r="376" spans="32:32">
      <c r="AF376" s="65"/>
    </row>
    <row r="377" spans="32:32">
      <c r="AF377" s="65"/>
    </row>
    <row r="378" spans="32:32">
      <c r="AF378" s="65"/>
    </row>
    <row r="379" spans="32:32">
      <c r="AF379" s="65"/>
    </row>
    <row r="380" spans="32:32">
      <c r="AF380" s="65"/>
    </row>
    <row r="381" spans="32:32">
      <c r="AF381" s="65"/>
    </row>
    <row r="382" spans="32:32">
      <c r="AF382" s="65"/>
    </row>
    <row r="383" spans="32:32">
      <c r="AF383" s="65"/>
    </row>
    <row r="384" spans="32:32">
      <c r="AF384" s="65"/>
    </row>
    <row r="385" spans="32:32">
      <c r="AF385" s="65"/>
    </row>
    <row r="386" spans="32:32">
      <c r="AF386" s="65"/>
    </row>
    <row r="387" spans="32:32">
      <c r="AF387" s="65"/>
    </row>
    <row r="388" spans="32:32">
      <c r="AF388" s="65"/>
    </row>
    <row r="389" spans="32:32">
      <c r="AF389" s="65"/>
    </row>
    <row r="390" spans="32:32">
      <c r="AF390" s="65"/>
    </row>
    <row r="391" spans="32:32">
      <c r="AF391" s="65"/>
    </row>
    <row r="392" spans="32:32">
      <c r="AF392" s="65"/>
    </row>
    <row r="393" spans="32:32">
      <c r="AF393" s="65"/>
    </row>
    <row r="394" spans="32:32">
      <c r="AF394" s="65"/>
    </row>
    <row r="395" spans="32:32">
      <c r="AF395" s="65"/>
    </row>
    <row r="396" spans="32:32">
      <c r="AF396" s="65"/>
    </row>
    <row r="397" spans="32:32">
      <c r="AF397" s="65"/>
    </row>
    <row r="398" spans="32:32">
      <c r="AF398" s="65"/>
    </row>
    <row r="399" spans="32:32">
      <c r="AF399" s="65"/>
    </row>
    <row r="400" spans="32:32">
      <c r="AF400" s="65"/>
    </row>
    <row r="401" spans="32:32">
      <c r="AF401" s="65"/>
    </row>
    <row r="402" spans="32:32">
      <c r="AF402" s="65"/>
    </row>
    <row r="403" spans="32:32">
      <c r="AF403" s="65"/>
    </row>
    <row r="404" spans="32:32">
      <c r="AF404" s="65"/>
    </row>
    <row r="405" spans="32:32">
      <c r="AF405" s="65"/>
    </row>
    <row r="406" spans="32:32">
      <c r="AF406" s="65"/>
    </row>
    <row r="407" spans="32:32">
      <c r="AF407" s="65"/>
    </row>
    <row r="408" spans="32:32">
      <c r="AF408" s="65"/>
    </row>
    <row r="409" spans="32:32">
      <c r="AF409" s="65"/>
    </row>
    <row r="410" spans="32:32">
      <c r="AF410" s="65"/>
    </row>
    <row r="411" spans="32:32">
      <c r="AF411" s="65"/>
    </row>
    <row r="412" spans="32:32">
      <c r="AF412" s="65"/>
    </row>
    <row r="413" spans="32:32">
      <c r="AF413" s="65"/>
    </row>
    <row r="414" spans="32:32">
      <c r="AF414" s="65"/>
    </row>
    <row r="415" spans="32:32">
      <c r="AF415" s="65"/>
    </row>
    <row r="416" spans="32:32">
      <c r="AF416" s="65"/>
    </row>
    <row r="417" spans="32:32">
      <c r="AF417" s="65"/>
    </row>
    <row r="418" spans="32:32">
      <c r="AF418" s="65"/>
    </row>
    <row r="419" spans="32:32">
      <c r="AF419" s="65"/>
    </row>
    <row r="420" spans="32:32">
      <c r="AF420" s="65"/>
    </row>
    <row r="421" spans="32:32">
      <c r="AF421" s="65"/>
    </row>
    <row r="422" spans="32:32">
      <c r="AF422" s="65"/>
    </row>
    <row r="423" spans="32:32">
      <c r="AF423" s="65"/>
    </row>
    <row r="424" spans="32:32">
      <c r="AF424" s="65"/>
    </row>
    <row r="425" spans="32:32">
      <c r="AF425" s="65"/>
    </row>
    <row r="426" spans="32:32">
      <c r="AF426" s="65"/>
    </row>
    <row r="427" spans="32:32">
      <c r="AF427" s="65"/>
    </row>
    <row r="428" spans="32:32">
      <c r="AF428" s="65"/>
    </row>
    <row r="429" spans="32:32">
      <c r="AF429" s="65"/>
    </row>
    <row r="430" spans="32:32">
      <c r="AF430" s="65"/>
    </row>
    <row r="431" spans="32:32">
      <c r="AF431" s="65"/>
    </row>
    <row r="432" spans="32:32">
      <c r="AF432" s="65"/>
    </row>
    <row r="433" spans="32:32">
      <c r="AF433" s="65"/>
    </row>
    <row r="434" spans="32:32">
      <c r="AF434" s="65"/>
    </row>
    <row r="435" spans="32:32">
      <c r="AF435" s="65"/>
    </row>
    <row r="436" spans="32:32">
      <c r="AF436" s="65"/>
    </row>
    <row r="437" spans="32:32">
      <c r="AF437" s="65"/>
    </row>
    <row r="438" spans="32:32">
      <c r="AF438" s="65"/>
    </row>
    <row r="439" spans="32:32">
      <c r="AF439" s="65"/>
    </row>
    <row r="440" spans="32:32">
      <c r="AF440" s="65"/>
    </row>
    <row r="441" spans="32:32">
      <c r="AF441" s="65"/>
    </row>
    <row r="442" spans="32:32">
      <c r="AF442" s="65"/>
    </row>
    <row r="443" spans="32:32">
      <c r="AF443" s="65"/>
    </row>
    <row r="444" spans="32:32">
      <c r="AF444" s="65"/>
    </row>
    <row r="445" spans="32:32">
      <c r="AF445" s="65"/>
    </row>
    <row r="446" spans="32:32">
      <c r="AF446" s="65"/>
    </row>
    <row r="447" spans="32:32">
      <c r="AF447" s="65"/>
    </row>
    <row r="448" spans="32:32">
      <c r="AF448" s="65"/>
    </row>
    <row r="449" spans="32:32">
      <c r="AF449" s="65"/>
    </row>
    <row r="450" spans="32:32">
      <c r="AF450" s="65"/>
    </row>
    <row r="451" spans="32:32">
      <c r="AF451" s="65"/>
    </row>
    <row r="452" spans="32:32">
      <c r="AF452" s="65"/>
    </row>
    <row r="453" spans="32:32">
      <c r="AF453" s="65"/>
    </row>
    <row r="454" spans="32:32">
      <c r="AF454" s="65"/>
    </row>
    <row r="455" spans="32:32">
      <c r="AF455" s="65"/>
    </row>
    <row r="456" spans="32:32">
      <c r="AF456" s="65"/>
    </row>
    <row r="457" spans="32:32">
      <c r="AF457" s="65"/>
    </row>
    <row r="458" spans="32:32">
      <c r="AF458" s="65"/>
    </row>
    <row r="459" spans="32:32">
      <c r="AF459" s="65"/>
    </row>
    <row r="460" spans="32:32">
      <c r="AF460" s="65"/>
    </row>
    <row r="461" spans="32:32">
      <c r="AF461" s="65"/>
    </row>
    <row r="462" spans="32:32">
      <c r="AF462" s="65"/>
    </row>
    <row r="463" spans="32:32">
      <c r="AF463" s="65"/>
    </row>
    <row r="464" spans="32:32">
      <c r="AF464" s="65"/>
    </row>
    <row r="465" spans="32:32">
      <c r="AF465" s="65"/>
    </row>
    <row r="466" spans="32:32">
      <c r="AF466" s="65"/>
    </row>
    <row r="467" spans="32:32">
      <c r="AF467" s="65"/>
    </row>
    <row r="468" spans="32:32">
      <c r="AF468" s="65"/>
    </row>
    <row r="469" spans="32:32">
      <c r="AF469" s="65"/>
    </row>
    <row r="470" spans="32:32">
      <c r="AF470" s="65"/>
    </row>
    <row r="471" spans="32:32">
      <c r="AF471" s="65"/>
    </row>
    <row r="472" spans="32:32">
      <c r="AF472" s="65"/>
    </row>
    <row r="473" spans="32:32">
      <c r="AF473" s="65"/>
    </row>
    <row r="474" spans="32:32">
      <c r="AF474" s="65"/>
    </row>
    <row r="475" spans="32:32">
      <c r="AF475" s="65"/>
    </row>
    <row r="476" spans="32:32">
      <c r="AF476" s="65"/>
    </row>
    <row r="477" spans="32:32">
      <c r="AF477" s="65"/>
    </row>
    <row r="478" spans="32:32">
      <c r="AF478" s="65"/>
    </row>
    <row r="479" spans="32:32">
      <c r="AF479" s="65"/>
    </row>
    <row r="480" spans="32:32">
      <c r="AF480" s="65"/>
    </row>
    <row r="481" spans="32:32">
      <c r="AF481" s="65"/>
    </row>
    <row r="482" spans="32:32">
      <c r="AF482" s="65"/>
    </row>
    <row r="483" spans="32:32">
      <c r="AF483" s="65"/>
    </row>
    <row r="484" spans="32:32">
      <c r="AF484" s="65"/>
    </row>
    <row r="485" spans="32:32">
      <c r="AF485" s="65"/>
    </row>
    <row r="486" spans="32:32">
      <c r="AF486" s="65"/>
    </row>
    <row r="487" spans="32:32">
      <c r="AF487" s="65"/>
    </row>
    <row r="488" spans="32:32">
      <c r="AF488" s="65"/>
    </row>
    <row r="489" spans="32:32">
      <c r="AF489" s="65"/>
    </row>
    <row r="490" spans="32:32">
      <c r="AF490" s="65"/>
    </row>
    <row r="491" spans="32:32">
      <c r="AF491" s="65"/>
    </row>
    <row r="492" spans="32:32">
      <c r="AF492" s="65"/>
    </row>
    <row r="493" spans="32:32">
      <c r="AF493" s="65"/>
    </row>
    <row r="494" spans="32:32">
      <c r="AF494" s="65"/>
    </row>
    <row r="495" spans="32:32">
      <c r="AF495" s="65"/>
    </row>
    <row r="496" spans="32:32">
      <c r="AF496" s="65"/>
    </row>
    <row r="497" spans="32:32">
      <c r="AF497" s="65"/>
    </row>
    <row r="498" spans="32:32">
      <c r="AF498" s="65"/>
    </row>
    <row r="499" spans="32:32">
      <c r="AF499" s="65"/>
    </row>
    <row r="500" spans="32:32">
      <c r="AF500" s="65"/>
    </row>
    <row r="501" spans="32:32">
      <c r="AF501" s="65"/>
    </row>
    <row r="502" spans="32:32">
      <c r="AF502" s="65"/>
    </row>
    <row r="503" spans="32:32">
      <c r="AF503" s="65"/>
    </row>
    <row r="504" spans="32:32">
      <c r="AF504" s="65"/>
    </row>
    <row r="505" spans="32:32">
      <c r="AF505" s="65"/>
    </row>
    <row r="506" spans="32:32">
      <c r="AF506" s="65"/>
    </row>
    <row r="507" spans="32:32">
      <c r="AF507" s="65"/>
    </row>
    <row r="508" spans="32:32">
      <c r="AF508" s="65"/>
    </row>
    <row r="509" spans="32:32">
      <c r="AF509" s="65"/>
    </row>
    <row r="510" spans="32:32">
      <c r="AF510" s="65"/>
    </row>
    <row r="511" spans="32:32">
      <c r="AF511" s="65"/>
    </row>
    <row r="512" spans="32:32">
      <c r="AF512" s="65"/>
    </row>
    <row r="513" spans="32:32">
      <c r="AF513" s="65"/>
    </row>
    <row r="514" spans="32:32">
      <c r="AF514" s="65"/>
    </row>
    <row r="515" spans="32:32">
      <c r="AF515" s="65"/>
    </row>
    <row r="516" spans="32:32">
      <c r="AF516" s="65"/>
    </row>
    <row r="517" spans="32:32">
      <c r="AF517" s="65"/>
    </row>
    <row r="518" spans="32:32">
      <c r="AF518" s="65"/>
    </row>
    <row r="519" spans="32:32">
      <c r="AF519" s="65"/>
    </row>
    <row r="520" spans="32:32">
      <c r="AF520" s="65"/>
    </row>
    <row r="521" spans="32:32">
      <c r="AF521" s="65"/>
    </row>
    <row r="522" spans="32:32">
      <c r="AF522" s="65"/>
    </row>
    <row r="523" spans="32:32">
      <c r="AF523" s="65"/>
    </row>
    <row r="524" spans="32:32">
      <c r="AF524" s="65"/>
    </row>
    <row r="525" spans="32:32">
      <c r="AF525" s="65"/>
    </row>
    <row r="526" spans="32:32">
      <c r="AF526" s="65"/>
    </row>
    <row r="527" spans="32:32">
      <c r="AF527" s="65"/>
    </row>
    <row r="528" spans="32:32">
      <c r="AF528" s="65"/>
    </row>
    <row r="529" spans="32:32">
      <c r="AF529" s="65"/>
    </row>
    <row r="530" spans="32:32">
      <c r="AF530" s="65"/>
    </row>
    <row r="531" spans="32:32">
      <c r="AF531" s="65"/>
    </row>
    <row r="532" spans="32:32">
      <c r="AF532" s="65"/>
    </row>
    <row r="533" spans="32:32">
      <c r="AF533" s="65"/>
    </row>
    <row r="534" spans="32:32">
      <c r="AF534" s="65"/>
    </row>
    <row r="535" spans="32:32">
      <c r="AF535" s="65"/>
    </row>
    <row r="536" spans="32:32">
      <c r="AF536" s="65"/>
    </row>
    <row r="537" spans="32:32">
      <c r="AF537" s="65"/>
    </row>
    <row r="538" spans="32:32">
      <c r="AF538" s="65"/>
    </row>
    <row r="539" spans="32:32">
      <c r="AF539" s="65"/>
    </row>
    <row r="540" spans="32:32">
      <c r="AF540" s="65"/>
    </row>
    <row r="541" spans="32:32">
      <c r="AF541" s="65"/>
    </row>
    <row r="542" spans="32:32">
      <c r="AF542" s="65"/>
    </row>
    <row r="543" spans="32:32">
      <c r="AF543" s="65"/>
    </row>
    <row r="544" spans="32:32">
      <c r="AF544" s="65"/>
    </row>
    <row r="545" spans="32:32">
      <c r="AF545" s="65"/>
    </row>
    <row r="546" spans="32:32">
      <c r="AF546" s="65"/>
    </row>
    <row r="547" spans="32:32">
      <c r="AF547" s="65"/>
    </row>
    <row r="548" spans="32:32">
      <c r="AF548" s="65"/>
    </row>
    <row r="549" spans="32:32">
      <c r="AF549" s="65"/>
    </row>
    <row r="550" spans="32:32">
      <c r="AF550" s="65"/>
    </row>
    <row r="551" spans="32:32">
      <c r="AF551" s="65"/>
    </row>
    <row r="552" spans="32:32">
      <c r="AF552" s="65"/>
    </row>
    <row r="553" spans="32:32">
      <c r="AF553" s="65"/>
    </row>
    <row r="554" spans="32:32">
      <c r="AF554" s="65"/>
    </row>
    <row r="555" spans="32:32">
      <c r="AF555" s="65"/>
    </row>
    <row r="556" spans="32:32">
      <c r="AF556" s="65"/>
    </row>
    <row r="557" spans="32:32">
      <c r="AF557" s="65"/>
    </row>
    <row r="558" spans="32:32">
      <c r="AF558" s="65"/>
    </row>
    <row r="559" spans="32:32">
      <c r="AF559" s="65"/>
    </row>
    <row r="560" spans="32:32">
      <c r="AF560" s="65"/>
    </row>
    <row r="561" spans="32:32">
      <c r="AF561" s="65"/>
    </row>
    <row r="562" spans="32:32">
      <c r="AF562" s="65"/>
    </row>
    <row r="563" spans="32:32">
      <c r="AF563" s="65"/>
    </row>
    <row r="564" spans="32:32">
      <c r="AF564" s="65"/>
    </row>
    <row r="565" spans="32:32">
      <c r="AF565" s="65"/>
    </row>
    <row r="566" spans="32:32">
      <c r="AF566" s="65"/>
    </row>
    <row r="567" spans="32:32">
      <c r="AF567" s="65"/>
    </row>
    <row r="568" spans="32:32">
      <c r="AF568" s="65"/>
    </row>
    <row r="569" spans="32:32">
      <c r="AF569" s="65"/>
    </row>
    <row r="570" spans="32:32">
      <c r="AF570" s="65"/>
    </row>
    <row r="571" spans="32:32">
      <c r="AF571" s="65"/>
    </row>
    <row r="572" spans="32:32">
      <c r="AF572" s="65"/>
    </row>
    <row r="573" spans="32:32">
      <c r="AF573" s="65"/>
    </row>
    <row r="574" spans="32:32">
      <c r="AF574" s="65"/>
    </row>
    <row r="575" spans="32:32">
      <c r="AF575" s="65"/>
    </row>
    <row r="576" spans="32:32">
      <c r="AF576" s="65"/>
    </row>
    <row r="577" spans="32:32">
      <c r="AF577" s="65"/>
    </row>
    <row r="578" spans="32:32">
      <c r="AF578" s="65"/>
    </row>
    <row r="579" spans="32:32">
      <c r="AF579" s="65"/>
    </row>
    <row r="580" spans="32:32">
      <c r="AF580" s="65"/>
    </row>
    <row r="581" spans="32:32">
      <c r="AF581" s="65"/>
    </row>
    <row r="582" spans="32:32">
      <c r="AF582" s="65"/>
    </row>
    <row r="583" spans="32:32">
      <c r="AF583" s="65"/>
    </row>
    <row r="584" spans="32:32">
      <c r="AF584" s="65"/>
    </row>
    <row r="585" spans="32:32">
      <c r="AF585" s="65"/>
    </row>
    <row r="586" spans="32:32">
      <c r="AF586" s="65"/>
    </row>
    <row r="587" spans="32:32">
      <c r="AF587" s="65"/>
    </row>
    <row r="588" spans="32:32">
      <c r="AF588" s="65"/>
    </row>
    <row r="589" spans="32:32">
      <c r="AF589" s="65"/>
    </row>
    <row r="590" spans="32:32">
      <c r="AF590" s="65"/>
    </row>
    <row r="591" spans="32:32">
      <c r="AF591" s="65"/>
    </row>
    <row r="592" spans="32:32">
      <c r="AF592" s="65"/>
    </row>
    <row r="593" spans="32:32">
      <c r="AF593" s="65"/>
    </row>
    <row r="594" spans="32:32">
      <c r="AF594" s="65"/>
    </row>
    <row r="595" spans="32:32">
      <c r="AF595" s="65"/>
    </row>
    <row r="596" spans="32:32">
      <c r="AF596" s="65"/>
    </row>
    <row r="597" spans="32:32">
      <c r="AF597" s="65"/>
    </row>
    <row r="598" spans="32:32">
      <c r="AF598" s="65"/>
    </row>
    <row r="599" spans="32:32">
      <c r="AF599" s="65"/>
    </row>
    <row r="600" spans="32:32">
      <c r="AF600" s="65"/>
    </row>
    <row r="601" spans="32:32">
      <c r="AF601" s="65"/>
    </row>
    <row r="602" spans="32:32">
      <c r="AF602" s="65"/>
    </row>
    <row r="603" spans="32:32">
      <c r="AF603" s="65"/>
    </row>
    <row r="604" spans="32:32">
      <c r="AF604" s="65"/>
    </row>
    <row r="605" spans="32:32">
      <c r="AF605" s="65"/>
    </row>
    <row r="606" spans="32:32">
      <c r="AF606" s="65"/>
    </row>
    <row r="607" spans="32:32">
      <c r="AF607" s="65"/>
    </row>
    <row r="608" spans="32:32">
      <c r="AF608" s="65"/>
    </row>
    <row r="609" spans="32:32">
      <c r="AF609" s="65"/>
    </row>
    <row r="610" spans="32:32">
      <c r="AF610" s="65"/>
    </row>
    <row r="611" spans="32:32">
      <c r="AF611" s="65"/>
    </row>
    <row r="612" spans="32:32">
      <c r="AF612" s="65"/>
    </row>
    <row r="613" spans="32:32">
      <c r="AF613" s="65"/>
    </row>
    <row r="614" spans="32:32">
      <c r="AF614" s="65"/>
    </row>
    <row r="615" spans="32:32">
      <c r="AF615" s="65"/>
    </row>
    <row r="616" spans="32:32">
      <c r="AF616" s="65"/>
    </row>
    <row r="617" spans="32:32">
      <c r="AF617" s="65"/>
    </row>
    <row r="618" spans="32:32">
      <c r="AF618" s="65"/>
    </row>
    <row r="619" spans="32:32">
      <c r="AF619" s="65"/>
    </row>
    <row r="620" spans="32:32">
      <c r="AF620" s="65"/>
    </row>
    <row r="621" spans="32:32">
      <c r="AF621" s="65"/>
    </row>
    <row r="622" spans="32:32">
      <c r="AF622" s="65"/>
    </row>
    <row r="623" spans="32:32">
      <c r="AF623" s="65"/>
    </row>
    <row r="624" spans="32:32">
      <c r="AF624" s="65"/>
    </row>
    <row r="625" spans="32:32">
      <c r="AF625" s="65"/>
    </row>
    <row r="626" spans="32:32">
      <c r="AF626" s="65"/>
    </row>
    <row r="627" spans="32:32">
      <c r="AF627" s="65"/>
    </row>
    <row r="628" spans="32:32">
      <c r="AF628" s="65"/>
    </row>
    <row r="629" spans="32:32">
      <c r="AF629" s="65"/>
    </row>
    <row r="630" spans="32:32">
      <c r="AF630" s="65"/>
    </row>
    <row r="631" spans="32:32">
      <c r="AF631" s="65"/>
    </row>
    <row r="632" spans="32:32">
      <c r="AF632" s="65"/>
    </row>
    <row r="633" spans="32:32">
      <c r="AF633" s="65"/>
    </row>
    <row r="634" spans="32:32">
      <c r="AF634" s="65"/>
    </row>
    <row r="635" spans="32:32">
      <c r="AF635" s="65"/>
    </row>
    <row r="636" spans="32:32">
      <c r="AF636" s="65"/>
    </row>
    <row r="637" spans="32:32">
      <c r="AF637" s="65"/>
    </row>
    <row r="638" spans="32:32">
      <c r="AF638" s="65"/>
    </row>
    <row r="639" spans="32:32">
      <c r="AF639" s="65"/>
    </row>
    <row r="640" spans="32:32">
      <c r="AF640" s="65"/>
    </row>
    <row r="641" spans="32:32">
      <c r="AF641" s="65"/>
    </row>
    <row r="642" spans="32:32">
      <c r="AF642" s="65"/>
    </row>
    <row r="643" spans="32:32">
      <c r="AF643" s="65"/>
    </row>
    <row r="644" spans="32:32">
      <c r="AF644" s="65"/>
    </row>
    <row r="645" spans="32:32">
      <c r="AF645" s="65"/>
    </row>
    <row r="646" spans="32:32">
      <c r="AF646" s="65"/>
    </row>
    <row r="647" spans="32:32">
      <c r="AF647" s="65"/>
    </row>
    <row r="648" spans="32:32">
      <c r="AF648" s="65"/>
    </row>
    <row r="649" spans="32:32">
      <c r="AF649" s="65"/>
    </row>
    <row r="650" spans="32:32">
      <c r="AF650" s="65"/>
    </row>
    <row r="651" spans="32:32">
      <c r="AF651" s="65"/>
    </row>
    <row r="652" spans="32:32">
      <c r="AF652" s="65"/>
    </row>
    <row r="653" spans="32:32">
      <c r="AF653" s="65"/>
    </row>
    <row r="654" spans="32:32">
      <c r="AF654" s="65"/>
    </row>
    <row r="655" spans="32:32">
      <c r="AF655" s="65"/>
    </row>
    <row r="656" spans="32:32">
      <c r="AF656" s="65"/>
    </row>
    <row r="657" spans="32:32">
      <c r="AF657" s="65"/>
    </row>
    <row r="658" spans="32:32">
      <c r="AF658" s="65"/>
    </row>
    <row r="659" spans="32:32">
      <c r="AF659" s="65"/>
    </row>
    <row r="660" spans="32:32">
      <c r="AF660" s="65"/>
    </row>
    <row r="661" spans="32:32">
      <c r="AF661" s="65"/>
    </row>
    <row r="662" spans="32:32">
      <c r="AF662" s="65"/>
    </row>
    <row r="663" spans="32:32">
      <c r="AF663" s="65"/>
    </row>
    <row r="664" spans="32:32">
      <c r="AF664" s="65"/>
    </row>
    <row r="665" spans="32:32">
      <c r="AF665" s="65"/>
    </row>
    <row r="666" spans="32:32">
      <c r="AF666" s="65"/>
    </row>
    <row r="667" spans="32:32">
      <c r="AF667" s="65"/>
    </row>
    <row r="668" spans="32:32">
      <c r="AF668" s="65"/>
    </row>
    <row r="669" spans="32:32">
      <c r="AF669" s="65"/>
    </row>
    <row r="670" spans="32:32">
      <c r="AF670" s="65"/>
    </row>
    <row r="671" spans="32:32">
      <c r="AF671" s="65"/>
    </row>
    <row r="672" spans="32:32">
      <c r="AF672" s="65"/>
    </row>
    <row r="673" spans="32:32">
      <c r="AF673" s="65"/>
    </row>
    <row r="674" spans="32:32">
      <c r="AF674" s="65"/>
    </row>
    <row r="675" spans="32:32">
      <c r="AF675" s="65"/>
    </row>
    <row r="676" spans="32:32">
      <c r="AF676" s="65"/>
    </row>
    <row r="677" spans="32:32">
      <c r="AF677" s="65"/>
    </row>
    <row r="678" spans="32:32">
      <c r="AF678" s="65"/>
    </row>
    <row r="679" spans="32:32">
      <c r="AF679" s="65"/>
    </row>
    <row r="680" spans="32:32">
      <c r="AF680" s="65"/>
    </row>
    <row r="681" spans="32:32">
      <c r="AF681" s="65"/>
    </row>
    <row r="682" spans="32:32">
      <c r="AF682" s="65"/>
    </row>
    <row r="683" spans="32:32">
      <c r="AF683" s="65"/>
    </row>
    <row r="684" spans="32:32">
      <c r="AF684" s="65"/>
    </row>
    <row r="685" spans="32:32">
      <c r="AF685" s="65"/>
    </row>
    <row r="686" spans="32:32">
      <c r="AF686" s="65"/>
    </row>
    <row r="687" spans="32:32">
      <c r="AF687" s="65"/>
    </row>
    <row r="688" spans="32:32">
      <c r="AF688" s="65"/>
    </row>
    <row r="689" spans="32:32">
      <c r="AF689" s="65"/>
    </row>
    <row r="690" spans="32:32">
      <c r="AF690" s="65"/>
    </row>
    <row r="691" spans="32:32">
      <c r="AF691" s="65"/>
    </row>
    <row r="692" spans="32:32">
      <c r="AF692" s="65"/>
    </row>
    <row r="693" spans="32:32">
      <c r="AF693" s="65"/>
    </row>
    <row r="694" spans="32:32">
      <c r="AF694" s="65"/>
    </row>
    <row r="695" spans="32:32">
      <c r="AF695" s="65"/>
    </row>
    <row r="696" spans="32:32">
      <c r="AF696" s="65"/>
    </row>
    <row r="697" spans="32:32">
      <c r="AF697" s="65"/>
    </row>
    <row r="698" spans="32:32">
      <c r="AF698" s="65"/>
    </row>
    <row r="699" spans="32:32">
      <c r="AF699" s="65"/>
    </row>
    <row r="700" spans="32:32">
      <c r="AF700" s="65"/>
    </row>
    <row r="701" spans="32:32">
      <c r="AF701" s="65"/>
    </row>
    <row r="702" spans="32:32">
      <c r="AF702" s="65"/>
    </row>
    <row r="703" spans="32:32">
      <c r="AF703" s="65"/>
    </row>
    <row r="704" spans="32:32">
      <c r="AF704" s="65"/>
    </row>
    <row r="705" spans="32:32">
      <c r="AF705" s="65"/>
    </row>
    <row r="706" spans="32:32">
      <c r="AF706" s="65"/>
    </row>
    <row r="707" spans="32:32">
      <c r="AF707" s="65"/>
    </row>
    <row r="708" spans="32:32">
      <c r="AF708" s="65"/>
    </row>
    <row r="709" spans="32:32">
      <c r="AF709" s="65"/>
    </row>
    <row r="710" spans="32:32">
      <c r="AF710" s="65"/>
    </row>
    <row r="711" spans="32:32">
      <c r="AF711" s="65"/>
    </row>
    <row r="712" spans="32:32">
      <c r="AF712" s="65"/>
    </row>
    <row r="713" spans="32:32">
      <c r="AF713" s="65"/>
    </row>
    <row r="714" spans="32:32">
      <c r="AF714" s="65"/>
    </row>
    <row r="715" spans="32:32">
      <c r="AF715" s="65"/>
    </row>
    <row r="716" spans="32:32">
      <c r="AF716" s="65"/>
    </row>
    <row r="717" spans="32:32">
      <c r="AF717" s="65"/>
    </row>
    <row r="718" spans="32:32">
      <c r="AF718" s="65"/>
    </row>
    <row r="719" spans="32:32">
      <c r="AF719" s="65"/>
    </row>
    <row r="720" spans="32:32">
      <c r="AF720" s="65"/>
    </row>
    <row r="721" spans="32:32">
      <c r="AF721" s="65"/>
    </row>
    <row r="722" spans="32:32">
      <c r="AF722" s="65"/>
    </row>
    <row r="723" spans="32:32">
      <c r="AF723" s="65"/>
    </row>
    <row r="724" spans="32:32">
      <c r="AF724" s="65"/>
    </row>
    <row r="725" spans="32:32">
      <c r="AF725" s="65"/>
    </row>
    <row r="726" spans="32:32">
      <c r="AF726" s="65"/>
    </row>
    <row r="727" spans="32:32">
      <c r="AF727" s="65"/>
    </row>
    <row r="728" spans="32:32">
      <c r="AF728" s="65"/>
    </row>
    <row r="729" spans="32:32">
      <c r="AF729" s="65"/>
    </row>
    <row r="730" spans="32:32">
      <c r="AF730" s="65"/>
    </row>
    <row r="731" spans="32:32">
      <c r="AF731" s="65"/>
    </row>
    <row r="732" spans="32:32">
      <c r="AF732" s="65"/>
    </row>
    <row r="733" spans="32:32">
      <c r="AF733" s="65"/>
    </row>
    <row r="734" spans="32:32">
      <c r="AF734" s="65"/>
    </row>
    <row r="735" spans="32:32">
      <c r="AF735" s="65"/>
    </row>
    <row r="736" spans="32:32">
      <c r="AF736" s="65"/>
    </row>
    <row r="737" spans="32:32">
      <c r="AF737" s="65"/>
    </row>
    <row r="738" spans="32:32">
      <c r="AF738" s="65"/>
    </row>
    <row r="739" spans="32:32">
      <c r="AF739" s="65"/>
    </row>
    <row r="740" spans="32:32">
      <c r="AF740" s="65"/>
    </row>
    <row r="741" spans="32:32">
      <c r="AF741" s="65"/>
    </row>
    <row r="742" spans="32:32">
      <c r="AF742" s="65"/>
    </row>
    <row r="743" spans="32:32">
      <c r="AF743" s="65"/>
    </row>
    <row r="744" spans="32:32">
      <c r="AF744" s="65"/>
    </row>
    <row r="745" spans="32:32">
      <c r="AF745" s="65"/>
    </row>
    <row r="746" spans="32:32">
      <c r="AF746" s="65"/>
    </row>
    <row r="747" spans="32:32">
      <c r="AF747" s="65"/>
    </row>
    <row r="748" spans="32:32">
      <c r="AF748" s="65"/>
    </row>
    <row r="749" spans="32:32">
      <c r="AF749" s="65"/>
    </row>
    <row r="750" spans="32:32">
      <c r="AF750" s="65"/>
    </row>
    <row r="751" spans="32:32">
      <c r="AF751" s="65"/>
    </row>
    <row r="752" spans="32:32">
      <c r="AF752" s="65"/>
    </row>
    <row r="753" spans="32:32">
      <c r="AF753" s="65"/>
    </row>
    <row r="754" spans="32:32">
      <c r="AF754" s="65"/>
    </row>
    <row r="755" spans="32:32">
      <c r="AF755" s="65"/>
    </row>
    <row r="756" spans="32:32">
      <c r="AF756" s="65"/>
    </row>
    <row r="757" spans="32:32">
      <c r="AF757" s="65"/>
    </row>
    <row r="758" spans="32:32">
      <c r="AF758" s="65"/>
    </row>
    <row r="759" spans="32:32">
      <c r="AF759" s="65"/>
    </row>
    <row r="760" spans="32:32">
      <c r="AF760" s="65"/>
    </row>
    <row r="761" spans="32:32">
      <c r="AF761" s="65"/>
    </row>
    <row r="762" spans="32:32">
      <c r="AF762" s="65"/>
    </row>
    <row r="763" spans="32:32">
      <c r="AF763" s="65"/>
    </row>
    <row r="764" spans="32:32">
      <c r="AF764" s="65"/>
    </row>
    <row r="765" spans="32:32">
      <c r="AF765" s="65"/>
    </row>
    <row r="766" spans="32:32">
      <c r="AF766" s="65"/>
    </row>
    <row r="767" spans="32:32">
      <c r="AF767" s="65"/>
    </row>
    <row r="768" spans="32:32">
      <c r="AF768" s="65"/>
    </row>
    <row r="769" spans="32:32">
      <c r="AF769" s="65"/>
    </row>
    <row r="770" spans="32:32">
      <c r="AF770" s="65"/>
    </row>
    <row r="771" spans="32:32">
      <c r="AF771" s="65"/>
    </row>
    <row r="772" spans="32:32">
      <c r="AF772" s="65"/>
    </row>
    <row r="773" spans="32:32">
      <c r="AF773" s="65"/>
    </row>
    <row r="774" spans="32:32">
      <c r="AF774" s="65"/>
    </row>
    <row r="775" spans="32:32">
      <c r="AF775" s="65"/>
    </row>
    <row r="776" spans="32:32">
      <c r="AF776" s="65"/>
    </row>
    <row r="777" spans="32:32">
      <c r="AF777" s="65"/>
    </row>
    <row r="778" spans="32:32">
      <c r="AF778" s="65"/>
    </row>
    <row r="779" spans="32:32">
      <c r="AF779" s="65"/>
    </row>
    <row r="780" spans="32:32">
      <c r="AF780" s="65"/>
    </row>
    <row r="781" spans="32:32">
      <c r="AF781" s="65"/>
    </row>
    <row r="782" spans="32:32">
      <c r="AF782" s="65"/>
    </row>
    <row r="783" spans="32:32">
      <c r="AF783" s="65"/>
    </row>
    <row r="784" spans="32:32">
      <c r="AF784" s="65"/>
    </row>
    <row r="785" spans="32:32">
      <c r="AF785" s="65"/>
    </row>
    <row r="786" spans="32:32">
      <c r="AF786" s="65"/>
    </row>
    <row r="787" spans="32:32">
      <c r="AF787" s="65"/>
    </row>
    <row r="788" spans="32:32">
      <c r="AF788" s="65"/>
    </row>
    <row r="789" spans="32:32">
      <c r="AF789" s="65"/>
    </row>
    <row r="790" spans="32:32">
      <c r="AF790" s="65"/>
    </row>
    <row r="791" spans="32:32">
      <c r="AF791" s="65"/>
    </row>
    <row r="792" spans="32:32">
      <c r="AF792" s="65"/>
    </row>
    <row r="793" spans="32:32">
      <c r="AF793" s="65"/>
    </row>
    <row r="794" spans="32:32">
      <c r="AF794" s="65"/>
    </row>
    <row r="795" spans="32:32">
      <c r="AF795" s="65"/>
    </row>
    <row r="796" spans="32:32">
      <c r="AF796" s="65"/>
    </row>
    <row r="797" spans="32:32">
      <c r="AF797" s="65"/>
    </row>
    <row r="798" spans="32:32">
      <c r="AF798" s="65"/>
    </row>
    <row r="799" spans="32:32">
      <c r="AF799" s="65"/>
    </row>
    <row r="800" spans="32:32">
      <c r="AF800" s="65"/>
    </row>
    <row r="801" spans="32:32">
      <c r="AF801" s="65"/>
    </row>
    <row r="802" spans="32:32">
      <c r="AF802" s="65"/>
    </row>
    <row r="803" spans="32:32">
      <c r="AF803" s="65"/>
    </row>
    <row r="804" spans="32:32">
      <c r="AF804" s="65"/>
    </row>
    <row r="805" spans="32:32">
      <c r="AF805" s="65"/>
    </row>
    <row r="806" spans="32:32">
      <c r="AF806" s="65"/>
    </row>
    <row r="807" spans="32:32">
      <c r="AF807" s="65"/>
    </row>
    <row r="808" spans="32:32">
      <c r="AF808" s="65"/>
    </row>
    <row r="809" spans="32:32">
      <c r="AF809" s="65"/>
    </row>
    <row r="810" spans="32:32">
      <c r="AF810" s="65"/>
    </row>
    <row r="811" spans="32:32">
      <c r="AF811" s="65"/>
    </row>
    <row r="812" spans="32:32">
      <c r="AF812" s="65"/>
    </row>
    <row r="813" spans="32:32">
      <c r="AF813" s="65"/>
    </row>
    <row r="814" spans="32:32">
      <c r="AF814" s="65"/>
    </row>
    <row r="815" spans="32:32">
      <c r="AF815" s="65"/>
    </row>
    <row r="816" spans="32:32">
      <c r="AF816" s="65"/>
    </row>
    <row r="817" spans="32:32">
      <c r="AF817" s="65"/>
    </row>
    <row r="818" spans="32:32">
      <c r="AF818" s="65"/>
    </row>
    <row r="819" spans="32:32">
      <c r="AF819" s="65"/>
    </row>
    <row r="820" spans="32:32">
      <c r="AF820" s="65"/>
    </row>
    <row r="821" spans="32:32">
      <c r="AF821" s="65"/>
    </row>
    <row r="822" spans="32:32">
      <c r="AF822" s="65"/>
    </row>
    <row r="823" spans="32:32">
      <c r="AF823" s="65"/>
    </row>
    <row r="824" spans="32:32">
      <c r="AF824" s="65"/>
    </row>
    <row r="825" spans="32:32">
      <c r="AF825" s="65"/>
    </row>
    <row r="826" spans="32:32">
      <c r="AF826" s="65"/>
    </row>
    <row r="827" spans="32:32">
      <c r="AF827" s="65"/>
    </row>
    <row r="828" spans="32:32">
      <c r="AF828" s="65"/>
    </row>
    <row r="829" spans="32:32">
      <c r="AF829" s="65"/>
    </row>
    <row r="830" spans="32:32">
      <c r="AF830" s="65"/>
    </row>
    <row r="831" spans="32:32">
      <c r="AF831" s="65"/>
    </row>
    <row r="832" spans="32:32">
      <c r="AF832" s="65"/>
    </row>
    <row r="833" spans="32:32">
      <c r="AF833" s="65"/>
    </row>
    <row r="834" spans="32:32">
      <c r="AF834" s="65"/>
    </row>
    <row r="835" spans="32:32">
      <c r="AF835" s="65"/>
    </row>
    <row r="836" spans="32:32">
      <c r="AF836" s="65"/>
    </row>
    <row r="837" spans="32:32">
      <c r="AF837" s="65"/>
    </row>
    <row r="838" spans="32:32">
      <c r="AF838" s="65"/>
    </row>
    <row r="839" spans="32:32">
      <c r="AF839" s="65"/>
    </row>
    <row r="840" spans="32:32">
      <c r="AF840" s="65"/>
    </row>
    <row r="841" spans="32:32">
      <c r="AF841" s="65"/>
    </row>
    <row r="842" spans="32:32">
      <c r="AF842" s="65"/>
    </row>
    <row r="843" spans="32:32">
      <c r="AF843" s="65"/>
    </row>
    <row r="844" spans="32:32">
      <c r="AF844" s="65"/>
    </row>
    <row r="845" spans="32:32">
      <c r="AF845" s="65"/>
    </row>
    <row r="846" spans="32:32">
      <c r="AF846" s="65"/>
    </row>
    <row r="847" spans="32:32">
      <c r="AF847" s="65"/>
    </row>
    <row r="848" spans="32:32">
      <c r="AF848" s="65"/>
    </row>
    <row r="849" spans="32:32">
      <c r="AF849" s="65"/>
    </row>
    <row r="850" spans="32:32">
      <c r="AF850" s="65"/>
    </row>
    <row r="851" spans="32:32">
      <c r="AF851" s="65"/>
    </row>
    <row r="852" spans="32:32">
      <c r="AF852" s="65"/>
    </row>
    <row r="853" spans="32:32">
      <c r="AF853" s="65"/>
    </row>
    <row r="854" spans="32:32">
      <c r="AF854" s="65"/>
    </row>
    <row r="855" spans="32:32">
      <c r="AF855" s="65"/>
    </row>
    <row r="856" spans="32:32">
      <c r="AF856" s="65"/>
    </row>
    <row r="857" spans="32:32">
      <c r="AF857" s="65"/>
    </row>
    <row r="858" spans="32:32">
      <c r="AF858" s="65"/>
    </row>
    <row r="859" spans="32:32">
      <c r="AF859" s="65"/>
    </row>
    <row r="860" spans="32:32">
      <c r="AF860" s="65"/>
    </row>
    <row r="861" spans="32:32">
      <c r="AF861" s="65"/>
    </row>
    <row r="862" spans="32:32">
      <c r="AF862" s="65"/>
    </row>
    <row r="863" spans="32:32">
      <c r="AF863" s="65"/>
    </row>
    <row r="864" spans="32:32">
      <c r="AF864" s="65"/>
    </row>
    <row r="865" spans="32:32">
      <c r="AF865" s="65"/>
    </row>
    <row r="866" spans="32:32">
      <c r="AF866" s="65"/>
    </row>
    <row r="867" spans="32:32">
      <c r="AF867" s="65"/>
    </row>
    <row r="868" spans="32:32">
      <c r="AF868" s="65"/>
    </row>
    <row r="869" spans="32:32">
      <c r="AF869" s="65"/>
    </row>
    <row r="870" spans="32:32">
      <c r="AF870" s="65"/>
    </row>
    <row r="871" spans="32:32">
      <c r="AF871" s="65"/>
    </row>
    <row r="872" spans="32:32">
      <c r="AF872" s="65"/>
    </row>
    <row r="873" spans="32:32">
      <c r="AF873" s="65"/>
    </row>
    <row r="874" spans="32:32">
      <c r="AF874" s="65"/>
    </row>
    <row r="875" spans="32:32">
      <c r="AF875" s="65"/>
    </row>
    <row r="876" spans="32:32">
      <c r="AF876" s="65"/>
    </row>
    <row r="877" spans="32:32">
      <c r="AF877" s="65"/>
    </row>
    <row r="878" spans="32:32">
      <c r="AF878" s="65"/>
    </row>
    <row r="879" spans="32:32">
      <c r="AF879" s="65"/>
    </row>
    <row r="880" spans="32:32">
      <c r="AF880" s="65"/>
    </row>
    <row r="881" spans="32:32">
      <c r="AF881" s="65"/>
    </row>
    <row r="882" spans="32:32">
      <c r="AF882" s="65"/>
    </row>
    <row r="883" spans="32:32">
      <c r="AF883" s="65"/>
    </row>
    <row r="884" spans="32:32">
      <c r="AF884" s="65"/>
    </row>
    <row r="885" spans="32:32">
      <c r="AF885" s="65"/>
    </row>
    <row r="886" spans="32:32">
      <c r="AF886" s="65"/>
    </row>
    <row r="887" spans="32:32">
      <c r="AF887" s="65"/>
    </row>
    <row r="888" spans="32:32">
      <c r="AF888" s="65"/>
    </row>
    <row r="889" spans="32:32">
      <c r="AF889" s="65"/>
    </row>
    <row r="890" spans="32:32">
      <c r="AF890" s="65"/>
    </row>
    <row r="891" spans="32:32">
      <c r="AF891" s="65"/>
    </row>
    <row r="892" spans="32:32">
      <c r="AF892" s="65"/>
    </row>
    <row r="893" spans="32:32">
      <c r="AF893" s="65"/>
    </row>
    <row r="894" spans="32:32">
      <c r="AF894" s="65"/>
    </row>
    <row r="895" spans="32:32">
      <c r="AF895" s="65"/>
    </row>
    <row r="896" spans="32:32">
      <c r="AF896" s="65"/>
    </row>
    <row r="897" spans="32:32">
      <c r="AF897" s="65"/>
    </row>
    <row r="898" spans="32:32">
      <c r="AF898" s="65"/>
    </row>
    <row r="899" spans="32:32">
      <c r="AF899" s="65"/>
    </row>
    <row r="900" spans="32:32">
      <c r="AF900" s="65"/>
    </row>
    <row r="901" spans="32:32">
      <c r="AF901" s="65"/>
    </row>
    <row r="902" spans="32:32">
      <c r="AF902" s="65"/>
    </row>
    <row r="903" spans="32:32">
      <c r="AF903" s="65"/>
    </row>
    <row r="904" spans="32:32">
      <c r="AF904" s="65"/>
    </row>
    <row r="905" spans="32:32">
      <c r="AF905" s="65"/>
    </row>
    <row r="906" spans="32:32">
      <c r="AF906" s="65"/>
    </row>
    <row r="907" spans="32:32">
      <c r="AF907" s="65"/>
    </row>
    <row r="908" spans="32:32">
      <c r="AF908" s="65"/>
    </row>
    <row r="909" spans="32:32">
      <c r="AF909" s="65"/>
    </row>
    <row r="910" spans="32:32">
      <c r="AF910" s="65"/>
    </row>
    <row r="911" spans="32:32">
      <c r="AF911" s="65"/>
    </row>
    <row r="912" spans="32:32">
      <c r="AF912" s="65"/>
    </row>
    <row r="913" spans="32:32">
      <c r="AF913" s="65"/>
    </row>
    <row r="914" spans="32:32">
      <c r="AF914" s="65"/>
    </row>
    <row r="915" spans="32:32">
      <c r="AF915" s="65"/>
    </row>
    <row r="916" spans="32:32">
      <c r="AF916" s="65"/>
    </row>
    <row r="917" spans="32:32">
      <c r="AF917" s="65"/>
    </row>
    <row r="918" spans="32:32">
      <c r="AF918" s="65"/>
    </row>
    <row r="919" spans="32:32">
      <c r="AF919" s="65"/>
    </row>
    <row r="920" spans="32:32">
      <c r="AF920" s="65"/>
    </row>
    <row r="921" spans="32:32">
      <c r="AF921" s="65"/>
    </row>
    <row r="922" spans="32:32">
      <c r="AF922" s="65"/>
    </row>
    <row r="923" spans="32:32">
      <c r="AF923" s="65"/>
    </row>
    <row r="924" spans="32:32">
      <c r="AF924" s="65"/>
    </row>
    <row r="925" spans="32:32">
      <c r="AF925" s="65"/>
    </row>
    <row r="926" spans="32:32">
      <c r="AF926" s="65"/>
    </row>
    <row r="927" spans="32:32">
      <c r="AF927" s="65"/>
    </row>
    <row r="928" spans="32:32">
      <c r="AF928" s="65"/>
    </row>
    <row r="929" spans="32:32">
      <c r="AF929" s="65"/>
    </row>
    <row r="930" spans="32:32">
      <c r="AF930" s="65"/>
    </row>
    <row r="931" spans="32:32">
      <c r="AF931" s="65"/>
    </row>
    <row r="932" spans="32:32">
      <c r="AF932" s="65"/>
    </row>
    <row r="933" spans="32:32">
      <c r="AF933" s="65"/>
    </row>
    <row r="934" spans="32:32">
      <c r="AF934" s="65"/>
    </row>
    <row r="935" spans="32:32">
      <c r="AF935" s="65"/>
    </row>
    <row r="936" spans="32:32">
      <c r="AF936" s="65"/>
    </row>
    <row r="937" spans="32:32">
      <c r="AF937" s="65"/>
    </row>
    <row r="938" spans="32:32">
      <c r="AF938" s="65"/>
    </row>
    <row r="939" spans="32:32">
      <c r="AF939" s="65"/>
    </row>
    <row r="940" spans="32:32">
      <c r="AF940" s="65"/>
    </row>
    <row r="941" spans="32:32">
      <c r="AF941" s="65"/>
    </row>
    <row r="942" spans="32:32">
      <c r="AF942" s="65"/>
    </row>
    <row r="943" spans="32:32">
      <c r="AF943" s="65"/>
    </row>
    <row r="944" spans="32:32">
      <c r="AF944" s="65"/>
    </row>
    <row r="945" spans="32:32">
      <c r="AF945" s="65"/>
    </row>
    <row r="946" spans="32:32">
      <c r="AF946" s="65"/>
    </row>
    <row r="947" spans="32:32">
      <c r="AF947" s="65"/>
    </row>
    <row r="948" spans="32:32">
      <c r="AF948" s="65"/>
    </row>
    <row r="949" spans="32:32">
      <c r="AF949" s="65"/>
    </row>
    <row r="950" spans="32:32">
      <c r="AF950" s="65"/>
    </row>
    <row r="951" spans="32:32">
      <c r="AF951" s="65"/>
    </row>
    <row r="952" spans="32:32">
      <c r="AF952" s="65"/>
    </row>
    <row r="953" spans="32:32">
      <c r="AF953" s="65"/>
    </row>
    <row r="954" spans="32:32">
      <c r="AF954" s="65"/>
    </row>
    <row r="955" spans="32:32">
      <c r="AF955" s="65"/>
    </row>
    <row r="956" spans="32:32">
      <c r="AF956" s="65"/>
    </row>
    <row r="957" spans="32:32">
      <c r="AF957" s="65"/>
    </row>
    <row r="958" spans="32:32">
      <c r="AF958" s="65"/>
    </row>
    <row r="959" spans="32:32">
      <c r="AF959" s="65"/>
    </row>
    <row r="960" spans="32:32">
      <c r="AF960" s="65"/>
    </row>
    <row r="961" spans="32:32">
      <c r="AF961" s="65"/>
    </row>
    <row r="962" spans="32:32">
      <c r="AF962" s="65"/>
    </row>
    <row r="963" spans="32:32">
      <c r="AF963" s="65"/>
    </row>
    <row r="964" spans="32:32">
      <c r="AF964" s="65"/>
    </row>
    <row r="965" spans="32:32">
      <c r="AF965" s="65"/>
    </row>
    <row r="966" spans="32:32">
      <c r="AF966" s="65"/>
    </row>
    <row r="967" spans="32:32">
      <c r="AF967" s="65"/>
    </row>
    <row r="968" spans="32:32">
      <c r="AF968" s="65"/>
    </row>
    <row r="969" spans="32:32">
      <c r="AF969" s="65"/>
    </row>
    <row r="970" spans="32:32">
      <c r="AF970" s="65"/>
    </row>
    <row r="971" spans="32:32">
      <c r="AF971" s="65"/>
    </row>
    <row r="972" spans="32:32">
      <c r="AF972" s="65"/>
    </row>
    <row r="973" spans="32:32">
      <c r="AF973" s="65"/>
    </row>
    <row r="974" spans="32:32">
      <c r="AF974" s="65"/>
    </row>
    <row r="975" spans="32:32">
      <c r="AF975" s="65"/>
    </row>
    <row r="976" spans="32:32">
      <c r="AF976" s="65"/>
    </row>
    <row r="977" spans="32:32">
      <c r="AF977" s="65"/>
    </row>
    <row r="978" spans="32:32">
      <c r="AF978" s="65"/>
    </row>
    <row r="979" spans="32:32">
      <c r="AF979" s="65"/>
    </row>
    <row r="980" spans="32:32">
      <c r="AF980" s="65"/>
    </row>
    <row r="981" spans="32:32">
      <c r="AF981" s="65"/>
    </row>
    <row r="982" spans="32:32">
      <c r="AF982" s="65"/>
    </row>
    <row r="983" spans="32:32">
      <c r="AF983" s="65"/>
    </row>
    <row r="984" spans="32:32">
      <c r="AF984" s="65"/>
    </row>
    <row r="985" spans="32:32">
      <c r="AF985" s="65"/>
    </row>
    <row r="986" spans="32:32">
      <c r="AF986" s="65"/>
    </row>
    <row r="987" spans="32:32">
      <c r="AF987" s="65"/>
    </row>
    <row r="988" spans="32:32">
      <c r="AF988" s="65"/>
    </row>
    <row r="989" spans="32:32">
      <c r="AF989" s="65"/>
    </row>
    <row r="990" spans="32:32">
      <c r="AF990" s="65"/>
    </row>
    <row r="991" spans="32:32">
      <c r="AF991" s="65"/>
    </row>
    <row r="992" spans="32:32">
      <c r="AF992" s="65"/>
    </row>
    <row r="993" spans="32:32">
      <c r="AF993" s="65"/>
    </row>
    <row r="994" spans="32:32">
      <c r="AF994" s="65"/>
    </row>
    <row r="995" spans="32:32">
      <c r="AF995" s="65"/>
    </row>
    <row r="996" spans="32:32">
      <c r="AF996" s="65"/>
    </row>
    <row r="997" spans="32:32">
      <c r="AF997" s="65"/>
    </row>
    <row r="998" spans="32:32">
      <c r="AF998" s="65"/>
    </row>
    <row r="999" spans="32:32">
      <c r="AF999" s="65"/>
    </row>
    <row r="1000" spans="32:32">
      <c r="AF1000" s="65"/>
    </row>
    <row r="1001" spans="32:32">
      <c r="AF1001" s="65"/>
    </row>
    <row r="1002" spans="32:32">
      <c r="AF1002" s="65"/>
    </row>
    <row r="1003" spans="32:32">
      <c r="AF1003" s="65"/>
    </row>
    <row r="1004" spans="32:32">
      <c r="AF1004" s="65"/>
    </row>
    <row r="1005" spans="32:32">
      <c r="AF1005" s="65"/>
    </row>
    <row r="1006" spans="32:32">
      <c r="AF1006" s="65"/>
    </row>
    <row r="1007" spans="32:32">
      <c r="AF1007" s="65"/>
    </row>
    <row r="1008" spans="32:32">
      <c r="AF1008" s="65"/>
    </row>
    <row r="1009" spans="32:32">
      <c r="AF1009" s="65"/>
    </row>
    <row r="1010" spans="32:32">
      <c r="AF1010" s="65"/>
    </row>
    <row r="1011" spans="32:32">
      <c r="AF1011" s="65"/>
    </row>
    <row r="1012" spans="32:32">
      <c r="AF1012" s="65"/>
    </row>
    <row r="1013" spans="32:32">
      <c r="AF1013" s="65"/>
    </row>
    <row r="1014" spans="32:32">
      <c r="AF1014" s="65"/>
    </row>
    <row r="1015" spans="32:32">
      <c r="AF1015" s="65"/>
    </row>
    <row r="1016" spans="32:32">
      <c r="AF1016" s="65"/>
    </row>
    <row r="1017" spans="32:32">
      <c r="AF1017" s="65"/>
    </row>
    <row r="1018" spans="32:32">
      <c r="AF1018" s="65"/>
    </row>
    <row r="1019" spans="32:32">
      <c r="AF1019" s="65"/>
    </row>
    <row r="1020" spans="32:32">
      <c r="AF1020" s="65"/>
    </row>
    <row r="1021" spans="32:32">
      <c r="AF1021" s="65"/>
    </row>
    <row r="1022" spans="32:32">
      <c r="AF1022" s="65"/>
    </row>
    <row r="1023" spans="32:32">
      <c r="AF1023" s="65"/>
    </row>
    <row r="1024" spans="32:32">
      <c r="AF1024" s="65"/>
    </row>
    <row r="1025" spans="32:32">
      <c r="AF1025" s="65"/>
    </row>
    <row r="1026" spans="32:32">
      <c r="AF1026" s="65"/>
    </row>
    <row r="1027" spans="32:32">
      <c r="AF1027" s="65"/>
    </row>
    <row r="1028" spans="32:32">
      <c r="AF1028" s="65"/>
    </row>
    <row r="1029" spans="32:32">
      <c r="AF1029" s="65"/>
    </row>
    <row r="1030" spans="32:32">
      <c r="AF1030" s="65"/>
    </row>
    <row r="1031" spans="32:32">
      <c r="AF1031" s="65"/>
    </row>
    <row r="1032" spans="32:32">
      <c r="AF1032" s="65"/>
    </row>
    <row r="1033" spans="32:32">
      <c r="AF1033" s="65"/>
    </row>
    <row r="1034" spans="32:32">
      <c r="AF1034" s="65"/>
    </row>
    <row r="1035" spans="32:32">
      <c r="AF1035" s="65"/>
    </row>
    <row r="1036" spans="32:32">
      <c r="AF1036" s="65"/>
    </row>
    <row r="1037" spans="32:32">
      <c r="AF1037" s="65"/>
    </row>
    <row r="1038" spans="32:32">
      <c r="AF1038" s="65"/>
    </row>
    <row r="1039" spans="32:32">
      <c r="AF1039" s="65"/>
    </row>
    <row r="1040" spans="32:32">
      <c r="AF1040" s="65"/>
    </row>
    <row r="1041" spans="32:32">
      <c r="AF1041" s="65"/>
    </row>
    <row r="1042" spans="32:32">
      <c r="AF1042" s="65"/>
    </row>
    <row r="1043" spans="32:32">
      <c r="AF1043" s="65"/>
    </row>
    <row r="1044" spans="32:32">
      <c r="AF1044" s="65"/>
    </row>
    <row r="1045" spans="32:32">
      <c r="AF1045" s="65"/>
    </row>
    <row r="1046" spans="32:32">
      <c r="AF1046" s="65"/>
    </row>
    <row r="1047" spans="32:32">
      <c r="AF1047" s="65"/>
    </row>
    <row r="1048" spans="32:32">
      <c r="AF1048" s="65"/>
    </row>
    <row r="1049" spans="32:32">
      <c r="AF1049" s="65"/>
    </row>
    <row r="1050" spans="32:32">
      <c r="AF1050" s="65"/>
    </row>
    <row r="1051" spans="32:32">
      <c r="AF1051" s="65"/>
    </row>
    <row r="1052" spans="32:32">
      <c r="AF1052" s="65"/>
    </row>
    <row r="1053" spans="32:32">
      <c r="AF1053" s="65"/>
    </row>
    <row r="1054" spans="32:32">
      <c r="AF1054" s="65"/>
    </row>
    <row r="1055" spans="32:32">
      <c r="AF1055" s="65"/>
    </row>
    <row r="1056" spans="32:32">
      <c r="AF1056" s="65"/>
    </row>
    <row r="1057" spans="32:32">
      <c r="AF1057" s="65"/>
    </row>
    <row r="1058" spans="32:32">
      <c r="AF1058" s="65"/>
    </row>
    <row r="1059" spans="32:32">
      <c r="AF1059" s="65"/>
    </row>
    <row r="1060" spans="32:32">
      <c r="AF1060" s="65"/>
    </row>
    <row r="1061" spans="32:32">
      <c r="AF1061" s="65"/>
    </row>
    <row r="1062" spans="32:32">
      <c r="AF1062" s="65"/>
    </row>
    <row r="1063" spans="32:32">
      <c r="AF1063" s="65"/>
    </row>
    <row r="1064" spans="32:32">
      <c r="AF1064" s="65"/>
    </row>
    <row r="1065" spans="32:32">
      <c r="AF1065" s="65"/>
    </row>
    <row r="1066" spans="32:32">
      <c r="AF1066" s="65"/>
    </row>
    <row r="1067" spans="32:32">
      <c r="AF1067" s="65"/>
    </row>
    <row r="1068" spans="32:32">
      <c r="AF1068" s="65"/>
    </row>
    <row r="1069" spans="32:32">
      <c r="AF1069" s="65"/>
    </row>
    <row r="1070" spans="32:32">
      <c r="AF1070" s="65"/>
    </row>
    <row r="1071" spans="32:32">
      <c r="AF1071" s="65"/>
    </row>
    <row r="1072" spans="32:32">
      <c r="AF1072" s="65"/>
    </row>
    <row r="1073" spans="32:32">
      <c r="AF1073" s="65"/>
    </row>
    <row r="1074" spans="32:32">
      <c r="AF1074" s="65"/>
    </row>
    <row r="1075" spans="32:32">
      <c r="AF1075" s="65"/>
    </row>
    <row r="1076" spans="32:32">
      <c r="AF1076" s="65"/>
    </row>
    <row r="1077" spans="32:32">
      <c r="AF1077" s="65"/>
    </row>
    <row r="1078" spans="32:32">
      <c r="AF1078" s="65"/>
    </row>
    <row r="1079" spans="32:32">
      <c r="AF1079" s="65"/>
    </row>
    <row r="1080" spans="32:32">
      <c r="AF1080" s="65"/>
    </row>
    <row r="1081" spans="32:32">
      <c r="AF1081" s="65"/>
    </row>
    <row r="1082" spans="32:32">
      <c r="AF1082" s="65"/>
    </row>
    <row r="1083" spans="32:32">
      <c r="AF1083" s="65"/>
    </row>
    <row r="1084" spans="32:32">
      <c r="AF1084" s="65"/>
    </row>
    <row r="1085" spans="32:32">
      <c r="AF1085" s="65"/>
    </row>
    <row r="1086" spans="32:32">
      <c r="AF1086" s="65"/>
    </row>
    <row r="1087" spans="32:32">
      <c r="AF1087" s="65"/>
    </row>
    <row r="1088" spans="32:32">
      <c r="AF1088" s="65"/>
    </row>
    <row r="1089" spans="32:32">
      <c r="AF1089" s="65"/>
    </row>
    <row r="1090" spans="32:32">
      <c r="AF1090" s="65"/>
    </row>
    <row r="1091" spans="32:32">
      <c r="AF1091" s="65"/>
    </row>
    <row r="1092" spans="32:32">
      <c r="AF1092" s="65"/>
    </row>
    <row r="1093" spans="32:32">
      <c r="AF1093" s="65"/>
    </row>
    <row r="1094" spans="32:32">
      <c r="AF1094" s="65"/>
    </row>
    <row r="1095" spans="32:32">
      <c r="AF1095" s="65"/>
    </row>
    <row r="1096" spans="32:32">
      <c r="AF1096" s="65"/>
    </row>
    <row r="1097" spans="32:32">
      <c r="AF1097" s="65"/>
    </row>
    <row r="1098" spans="32:32">
      <c r="AF1098" s="65"/>
    </row>
    <row r="1099" spans="32:32">
      <c r="AF1099" s="65"/>
    </row>
    <row r="1100" spans="32:32">
      <c r="AF1100" s="65"/>
    </row>
    <row r="1101" spans="32:32">
      <c r="AF1101" s="65"/>
    </row>
    <row r="1102" spans="32:32">
      <c r="AF1102" s="65"/>
    </row>
    <row r="1103" spans="32:32">
      <c r="AF1103" s="65"/>
    </row>
    <row r="1104" spans="32:32">
      <c r="AF1104" s="65"/>
    </row>
    <row r="1105" spans="32:32">
      <c r="AF1105" s="65"/>
    </row>
    <row r="1106" spans="32:32">
      <c r="AF1106" s="65"/>
    </row>
    <row r="1107" spans="32:32">
      <c r="AF1107" s="65"/>
    </row>
    <row r="1108" spans="32:32">
      <c r="AF1108" s="65"/>
    </row>
    <row r="1109" spans="32:32">
      <c r="AF1109" s="65"/>
    </row>
    <row r="1110" spans="32:32">
      <c r="AF1110" s="65"/>
    </row>
    <row r="1111" spans="32:32">
      <c r="AF1111" s="65"/>
    </row>
    <row r="1112" spans="32:32">
      <c r="AF1112" s="65"/>
    </row>
    <row r="1113" spans="32:32">
      <c r="AF1113" s="65"/>
    </row>
    <row r="1114" spans="32:32">
      <c r="AF1114" s="65"/>
    </row>
    <row r="1115" spans="32:32">
      <c r="AF1115" s="65"/>
    </row>
    <row r="1116" spans="32:32">
      <c r="AF1116" s="65"/>
    </row>
    <row r="1117" spans="32:32">
      <c r="AF1117" s="65"/>
    </row>
    <row r="1118" spans="32:32">
      <c r="AF1118" s="65"/>
    </row>
    <row r="1119" spans="32:32">
      <c r="AF1119" s="65"/>
    </row>
    <row r="1120" spans="32:32">
      <c r="AF1120" s="65"/>
    </row>
    <row r="1121" spans="32:32">
      <c r="AF1121" s="65"/>
    </row>
    <row r="1122" spans="32:32">
      <c r="AF1122" s="65"/>
    </row>
    <row r="1123" spans="32:32">
      <c r="AF1123" s="65"/>
    </row>
    <row r="1124" spans="32:32">
      <c r="AF1124" s="65"/>
    </row>
    <row r="1125" spans="32:32">
      <c r="AF1125" s="65"/>
    </row>
    <row r="1126" spans="32:32">
      <c r="AF1126" s="65"/>
    </row>
    <row r="1127" spans="32:32">
      <c r="AF1127" s="65"/>
    </row>
    <row r="1128" spans="32:32">
      <c r="AF1128" s="65"/>
    </row>
    <row r="1129" spans="32:32">
      <c r="AF1129" s="65"/>
    </row>
    <row r="1130" spans="32:32">
      <c r="AF1130" s="65"/>
    </row>
    <row r="1131" spans="32:32">
      <c r="AF1131" s="65"/>
    </row>
    <row r="1132" spans="32:32">
      <c r="AF1132" s="65"/>
    </row>
    <row r="1133" spans="32:32">
      <c r="AF1133" s="65"/>
    </row>
    <row r="1134" spans="32:32">
      <c r="AF1134" s="65"/>
    </row>
    <row r="1135" spans="32:32">
      <c r="AF1135" s="65"/>
    </row>
    <row r="1136" spans="32:32">
      <c r="AF1136" s="65"/>
    </row>
    <row r="1137" spans="32:32">
      <c r="AF1137" s="65"/>
    </row>
    <row r="1138" spans="32:32">
      <c r="AF1138" s="65"/>
    </row>
    <row r="1139" spans="32:32">
      <c r="AF1139" s="65"/>
    </row>
    <row r="1140" spans="32:32">
      <c r="AF1140" s="65"/>
    </row>
    <row r="1141" spans="32:32">
      <c r="AF1141" s="65"/>
    </row>
    <row r="1142" spans="32:32">
      <c r="AF1142" s="65"/>
    </row>
    <row r="1143" spans="32:32">
      <c r="AF1143" s="65"/>
    </row>
    <row r="1144" spans="32:32">
      <c r="AF1144" s="65"/>
    </row>
    <row r="1145" spans="32:32">
      <c r="AF1145" s="65"/>
    </row>
    <row r="1146" spans="32:32">
      <c r="AF1146" s="65"/>
    </row>
    <row r="1147" spans="32:32">
      <c r="AF1147" s="65"/>
    </row>
    <row r="1148" spans="32:32">
      <c r="AF1148" s="65"/>
    </row>
    <row r="1149" spans="32:32">
      <c r="AF1149" s="65"/>
    </row>
    <row r="1150" spans="32:32">
      <c r="AF1150" s="65"/>
    </row>
    <row r="1151" spans="32:32">
      <c r="AF1151" s="65"/>
    </row>
    <row r="1152" spans="32:32">
      <c r="AF1152" s="65"/>
    </row>
    <row r="1153" spans="32:32">
      <c r="AF1153" s="65"/>
    </row>
    <row r="1154" spans="32:32">
      <c r="AF1154" s="65"/>
    </row>
    <row r="1155" spans="32:32">
      <c r="AF1155" s="65"/>
    </row>
    <row r="1156" spans="32:32">
      <c r="AF1156" s="65"/>
    </row>
    <row r="1157" spans="32:32">
      <c r="AF1157" s="65"/>
    </row>
    <row r="1158" spans="32:32">
      <c r="AF1158" s="65"/>
    </row>
    <row r="1159" spans="32:32">
      <c r="AF1159" s="65"/>
    </row>
    <row r="1160" spans="32:32">
      <c r="AF1160" s="65"/>
    </row>
    <row r="1161" spans="32:32">
      <c r="AF1161" s="65"/>
    </row>
    <row r="1162" spans="32:32">
      <c r="AF1162" s="65"/>
    </row>
    <row r="1163" spans="32:32">
      <c r="AF1163" s="65"/>
    </row>
    <row r="1164" spans="32:32">
      <c r="AF1164" s="65"/>
    </row>
    <row r="1165" spans="32:32">
      <c r="AF1165" s="65"/>
    </row>
    <row r="1166" spans="32:32">
      <c r="AF1166" s="65"/>
    </row>
    <row r="1167" spans="32:32">
      <c r="AF1167" s="65"/>
    </row>
    <row r="1168" spans="32:32">
      <c r="AF1168" s="65"/>
    </row>
    <row r="1169" spans="32:32">
      <c r="AF1169" s="65"/>
    </row>
    <row r="1170" spans="32:32">
      <c r="AF1170" s="65"/>
    </row>
    <row r="1171" spans="32:32">
      <c r="AF1171" s="65"/>
    </row>
    <row r="1172" spans="32:32">
      <c r="AF1172" s="65"/>
    </row>
    <row r="1173" spans="32:32">
      <c r="AF1173" s="65"/>
    </row>
    <row r="1174" spans="32:32">
      <c r="AF1174" s="65"/>
    </row>
    <row r="1175" spans="32:32">
      <c r="AF1175" s="65"/>
    </row>
    <row r="1176" spans="32:32">
      <c r="AF1176" s="65"/>
    </row>
    <row r="1177" spans="32:32">
      <c r="AF1177" s="65"/>
    </row>
    <row r="1178" spans="32:32">
      <c r="AF1178" s="65"/>
    </row>
    <row r="1179" spans="32:32">
      <c r="AF1179" s="65"/>
    </row>
    <row r="1180" spans="32:32">
      <c r="AF1180" s="65"/>
    </row>
    <row r="1181" spans="32:32">
      <c r="AF1181" s="65"/>
    </row>
    <row r="1182" spans="32:32">
      <c r="AF1182" s="65"/>
    </row>
    <row r="1183" spans="32:32">
      <c r="AF1183" s="65"/>
    </row>
    <row r="1184" spans="32:32">
      <c r="AF1184" s="65"/>
    </row>
    <row r="1185" spans="32:32">
      <c r="AF1185" s="65"/>
    </row>
    <row r="1186" spans="32:32">
      <c r="AF1186" s="65"/>
    </row>
    <row r="1187" spans="32:32">
      <c r="AF1187" s="65"/>
    </row>
    <row r="1188" spans="32:32">
      <c r="AF1188" s="65"/>
    </row>
    <row r="1189" spans="32:32">
      <c r="AF1189" s="65"/>
    </row>
    <row r="1190" spans="32:32">
      <c r="AF1190" s="65"/>
    </row>
    <row r="1191" spans="32:32">
      <c r="AF1191" s="65"/>
    </row>
    <row r="1192" spans="32:32">
      <c r="AF1192" s="65"/>
    </row>
    <row r="1193" spans="32:32">
      <c r="AF1193" s="65"/>
    </row>
    <row r="1194" spans="32:32">
      <c r="AF1194" s="65"/>
    </row>
    <row r="1195" spans="32:32">
      <c r="AF1195" s="65"/>
    </row>
    <row r="1196" spans="32:32">
      <c r="AF1196" s="65"/>
    </row>
    <row r="1197" spans="32:32">
      <c r="AF1197" s="65"/>
    </row>
    <row r="1198" spans="32:32">
      <c r="AF1198" s="65"/>
    </row>
    <row r="1199" spans="32:32">
      <c r="AF1199" s="65"/>
    </row>
    <row r="1200" spans="32:32">
      <c r="AF1200" s="65"/>
    </row>
    <row r="1201" spans="32:32">
      <c r="AF1201" s="65"/>
    </row>
    <row r="1202" spans="32:32">
      <c r="AF1202" s="65"/>
    </row>
    <row r="1203" spans="32:32">
      <c r="AF1203" s="65"/>
    </row>
    <row r="1204" spans="32:32">
      <c r="AF1204" s="65"/>
    </row>
    <row r="1205" spans="32:32">
      <c r="AF1205" s="65"/>
    </row>
    <row r="1206" spans="32:32">
      <c r="AF1206" s="65"/>
    </row>
    <row r="1207" spans="32:32">
      <c r="AF1207" s="65"/>
    </row>
    <row r="1208" spans="32:32">
      <c r="AF1208" s="65"/>
    </row>
    <row r="1209" spans="32:32">
      <c r="AF1209" s="65"/>
    </row>
    <row r="1210" spans="32:32">
      <c r="AF1210" s="65"/>
    </row>
    <row r="1211" spans="32:32">
      <c r="AF1211" s="65"/>
    </row>
    <row r="1212" spans="32:32">
      <c r="AF1212" s="65"/>
    </row>
    <row r="1213" spans="32:32">
      <c r="AF1213" s="65"/>
    </row>
    <row r="1214" spans="32:32">
      <c r="AF1214" s="65"/>
    </row>
    <row r="1215" spans="32:32">
      <c r="AF1215" s="65"/>
    </row>
    <row r="1216" spans="32:32">
      <c r="AF1216" s="65"/>
    </row>
    <row r="1217" spans="32:32">
      <c r="AF1217" s="65"/>
    </row>
    <row r="1218" spans="32:32">
      <c r="AF1218" s="65"/>
    </row>
    <row r="1219" spans="32:32">
      <c r="AF1219" s="65"/>
    </row>
    <row r="1220" spans="32:32">
      <c r="AF1220" s="65"/>
    </row>
    <row r="1221" spans="32:32">
      <c r="AF1221" s="65"/>
    </row>
    <row r="1222" spans="32:32">
      <c r="AF1222" s="65"/>
    </row>
    <row r="1223" spans="32:32">
      <c r="AF1223" s="65"/>
    </row>
    <row r="1224" spans="32:32">
      <c r="AF1224" s="65"/>
    </row>
    <row r="1225" spans="32:32">
      <c r="AF1225" s="65"/>
    </row>
    <row r="1226" spans="32:32">
      <c r="AF1226" s="65"/>
    </row>
    <row r="1227" spans="32:32">
      <c r="AF1227" s="65"/>
    </row>
    <row r="1228" spans="32:32">
      <c r="AF1228" s="65"/>
    </row>
    <row r="1229" spans="32:32">
      <c r="AF1229" s="65"/>
    </row>
    <row r="1230" spans="32:32">
      <c r="AF1230" s="65"/>
    </row>
    <row r="1231" spans="32:32">
      <c r="AF1231" s="65"/>
    </row>
    <row r="1232" spans="32:32">
      <c r="AF1232" s="65"/>
    </row>
    <row r="1233" spans="32:32">
      <c r="AF1233" s="65"/>
    </row>
    <row r="1234" spans="32:32">
      <c r="AF1234" s="65"/>
    </row>
    <row r="1235" spans="32:32">
      <c r="AF1235" s="65"/>
    </row>
    <row r="1236" spans="32:32">
      <c r="AF1236" s="65"/>
    </row>
    <row r="1237" spans="32:32">
      <c r="AF1237" s="65"/>
    </row>
    <row r="1238" spans="32:32">
      <c r="AF1238" s="65"/>
    </row>
    <row r="1239" spans="32:32">
      <c r="AF1239" s="65"/>
    </row>
    <row r="1240" spans="32:32">
      <c r="AF1240" s="65"/>
    </row>
    <row r="1241" spans="32:32">
      <c r="AF1241" s="65"/>
    </row>
    <row r="1242" spans="32:32">
      <c r="AF1242" s="65"/>
    </row>
    <row r="1243" spans="32:32">
      <c r="AF1243" s="65"/>
    </row>
    <row r="1244" spans="32:32">
      <c r="AF1244" s="65"/>
    </row>
    <row r="1245" spans="32:32">
      <c r="AF1245" s="65"/>
    </row>
    <row r="1246" spans="32:32">
      <c r="AF1246" s="65"/>
    </row>
    <row r="1247" spans="32:32">
      <c r="AF1247" s="65"/>
    </row>
    <row r="1248" spans="32:32">
      <c r="AF1248" s="65"/>
    </row>
    <row r="1249" spans="32:32">
      <c r="AF1249" s="65"/>
    </row>
    <row r="1250" spans="32:32">
      <c r="AF1250" s="65"/>
    </row>
    <row r="1251" spans="32:32">
      <c r="AF1251" s="65"/>
    </row>
    <row r="1252" spans="32:32">
      <c r="AF1252" s="65"/>
    </row>
    <row r="1253" spans="32:32">
      <c r="AF1253" s="65"/>
    </row>
    <row r="1254" spans="32:32">
      <c r="AF1254" s="65"/>
    </row>
    <row r="1255" spans="32:32">
      <c r="AF1255" s="65"/>
    </row>
    <row r="1256" spans="32:32">
      <c r="AF1256" s="65"/>
    </row>
    <row r="1257" spans="32:32">
      <c r="AF1257" s="65"/>
    </row>
    <row r="1258" spans="32:32">
      <c r="AF1258" s="65"/>
    </row>
    <row r="1259" spans="32:32">
      <c r="AF1259" s="65"/>
    </row>
    <row r="1260" spans="32:32">
      <c r="AF1260" s="65"/>
    </row>
    <row r="1261" spans="32:32">
      <c r="AF1261" s="65"/>
    </row>
    <row r="1262" spans="32:32">
      <c r="AF1262" s="65"/>
    </row>
    <row r="1263" spans="32:32">
      <c r="AF1263" s="65"/>
    </row>
    <row r="1264" spans="32:32">
      <c r="AF1264" s="65"/>
    </row>
    <row r="1265" spans="32:32">
      <c r="AF1265" s="65"/>
    </row>
    <row r="1266" spans="32:32">
      <c r="AF1266" s="65"/>
    </row>
    <row r="1267" spans="32:32">
      <c r="AF1267" s="65"/>
    </row>
    <row r="1268" spans="32:32">
      <c r="AF1268" s="65"/>
    </row>
    <row r="1269" spans="32:32">
      <c r="AF1269" s="65"/>
    </row>
    <row r="1270" spans="32:32">
      <c r="AF1270" s="65"/>
    </row>
    <row r="1271" spans="32:32">
      <c r="AF1271" s="65"/>
    </row>
    <row r="1272" spans="32:32">
      <c r="AF1272" s="65"/>
    </row>
    <row r="1273" spans="32:32">
      <c r="AF1273" s="65"/>
    </row>
    <row r="1274" spans="32:32">
      <c r="AF1274" s="65"/>
    </row>
    <row r="1275" spans="32:32">
      <c r="AF1275" s="65"/>
    </row>
    <row r="1276" spans="32:32">
      <c r="AF1276" s="65"/>
    </row>
    <row r="1277" spans="32:32">
      <c r="AF1277" s="65"/>
    </row>
    <row r="1278" spans="32:32">
      <c r="AF1278" s="65"/>
    </row>
    <row r="1279" spans="32:32">
      <c r="AF1279" s="65"/>
    </row>
    <row r="1280" spans="32:32">
      <c r="AF1280" s="65"/>
    </row>
    <row r="1281" spans="32:32">
      <c r="AF1281" s="65"/>
    </row>
    <row r="1282" spans="32:32">
      <c r="AF1282" s="65"/>
    </row>
    <row r="1283" spans="32:32">
      <c r="AF1283" s="65"/>
    </row>
    <row r="1284" spans="32:32">
      <c r="AF1284" s="65"/>
    </row>
    <row r="1285" spans="32:32">
      <c r="AF1285" s="65"/>
    </row>
    <row r="1286" spans="32:32">
      <c r="AF1286" s="65"/>
    </row>
    <row r="1287" spans="32:32">
      <c r="AF1287" s="65"/>
    </row>
    <row r="1288" spans="32:32">
      <c r="AF1288" s="65"/>
    </row>
    <row r="1289" spans="32:32">
      <c r="AF1289" s="65"/>
    </row>
    <row r="1290" spans="32:32">
      <c r="AF1290" s="65"/>
    </row>
    <row r="1291" spans="32:32">
      <c r="AF1291" s="65"/>
    </row>
    <row r="1292" spans="32:32">
      <c r="AF1292" s="65"/>
    </row>
    <row r="1293" spans="32:32">
      <c r="AF1293" s="65"/>
    </row>
    <row r="1294" spans="32:32">
      <c r="AF1294" s="65"/>
    </row>
    <row r="1295" spans="32:32">
      <c r="AF1295" s="65"/>
    </row>
    <row r="1296" spans="32:32">
      <c r="AF1296" s="65"/>
    </row>
    <row r="1297" spans="32:32">
      <c r="AF1297" s="65"/>
    </row>
    <row r="1298" spans="32:32">
      <c r="AF1298" s="65"/>
    </row>
    <row r="1299" spans="32:32">
      <c r="AF1299" s="65"/>
    </row>
    <row r="1300" spans="32:32">
      <c r="AF1300" s="65"/>
    </row>
    <row r="1301" spans="32:32">
      <c r="AF1301" s="65"/>
    </row>
    <row r="1302" spans="32:32">
      <c r="AF1302" s="65"/>
    </row>
    <row r="1303" spans="32:32">
      <c r="AF1303" s="65"/>
    </row>
    <row r="1304" spans="32:32">
      <c r="AF1304" s="65"/>
    </row>
    <row r="1305" spans="32:32">
      <c r="AF1305" s="65"/>
    </row>
    <row r="1306" spans="32:32">
      <c r="AF1306" s="65"/>
    </row>
    <row r="1307" spans="32:32">
      <c r="AF1307" s="65"/>
    </row>
    <row r="1308" spans="32:32">
      <c r="AF1308" s="65"/>
    </row>
    <row r="1309" spans="32:32">
      <c r="AF1309" s="65"/>
    </row>
    <row r="1310" spans="32:32">
      <c r="AF1310" s="65"/>
    </row>
    <row r="1311" spans="32:32">
      <c r="AF1311" s="65"/>
    </row>
    <row r="1312" spans="32:32">
      <c r="AF1312" s="65"/>
    </row>
    <row r="1313" spans="32:32">
      <c r="AF1313" s="65"/>
    </row>
    <row r="1314" spans="32:32">
      <c r="AF1314" s="65"/>
    </row>
    <row r="1315" spans="32:32">
      <c r="AF1315" s="65"/>
    </row>
    <row r="1316" spans="32:32">
      <c r="AF1316" s="65"/>
    </row>
    <row r="1317" spans="32:32">
      <c r="AF1317" s="65"/>
    </row>
    <row r="1318" spans="32:32">
      <c r="AF1318" s="65"/>
    </row>
    <row r="1319" spans="32:32">
      <c r="AF1319" s="65"/>
    </row>
    <row r="1320" spans="32:32">
      <c r="AF1320" s="65"/>
    </row>
    <row r="1321" spans="32:32">
      <c r="AF1321" s="65"/>
    </row>
    <row r="1322" spans="32:32">
      <c r="AF1322" s="65"/>
    </row>
    <row r="1323" spans="32:32">
      <c r="AF1323" s="65"/>
    </row>
    <row r="1324" spans="32:32">
      <c r="AF1324" s="65"/>
    </row>
    <row r="1325" spans="32:32">
      <c r="AF1325" s="65"/>
    </row>
    <row r="1326" spans="32:32">
      <c r="AF1326" s="65"/>
    </row>
    <row r="1327" spans="32:32">
      <c r="AF1327" s="65"/>
    </row>
    <row r="1328" spans="32:32">
      <c r="AF1328" s="65"/>
    </row>
    <row r="1329" spans="32:32">
      <c r="AF1329" s="65"/>
    </row>
    <row r="1330" spans="32:32">
      <c r="AF1330" s="65"/>
    </row>
    <row r="1331" spans="32:32">
      <c r="AF1331" s="65"/>
    </row>
    <row r="1332" spans="32:32">
      <c r="AF1332" s="65"/>
    </row>
    <row r="1333" spans="32:32">
      <c r="AF1333" s="65"/>
    </row>
    <row r="1334" spans="32:32">
      <c r="AF1334" s="65"/>
    </row>
    <row r="1335" spans="32:32">
      <c r="AF1335" s="65"/>
    </row>
    <row r="1336" spans="32:32">
      <c r="AF1336" s="65"/>
    </row>
    <row r="1337" spans="32:32">
      <c r="AF1337" s="65"/>
    </row>
    <row r="1338" spans="32:32">
      <c r="AF1338" s="65"/>
    </row>
    <row r="1339" spans="32:32">
      <c r="AF1339" s="65"/>
    </row>
    <row r="1340" spans="32:32">
      <c r="AF1340" s="65"/>
    </row>
    <row r="1341" spans="32:32">
      <c r="AF1341" s="65"/>
    </row>
    <row r="1342" spans="32:32">
      <c r="AF1342" s="65"/>
    </row>
    <row r="1343" spans="32:32">
      <c r="AF1343" s="65"/>
    </row>
    <row r="1344" spans="32:32">
      <c r="AF1344" s="65"/>
    </row>
    <row r="1345" spans="32:32">
      <c r="AF1345" s="65"/>
    </row>
    <row r="1346" spans="32:32">
      <c r="AF1346" s="65"/>
    </row>
    <row r="1347" spans="32:32">
      <c r="AF1347" s="65"/>
    </row>
    <row r="1348" spans="32:32">
      <c r="AF1348" s="65"/>
    </row>
    <row r="1349" spans="32:32">
      <c r="AF1349" s="65"/>
    </row>
    <row r="1350" spans="32:32">
      <c r="AF1350" s="65"/>
    </row>
    <row r="1351" spans="32:32">
      <c r="AF1351" s="65"/>
    </row>
    <row r="1352" spans="32:32">
      <c r="AF1352" s="65"/>
    </row>
    <row r="1353" spans="32:32">
      <c r="AF1353" s="65"/>
    </row>
    <row r="1354" spans="32:32">
      <c r="AF1354" s="65"/>
    </row>
    <row r="1355" spans="32:32">
      <c r="AF1355" s="65"/>
    </row>
    <row r="1356" spans="32:32">
      <c r="AF1356" s="65"/>
    </row>
    <row r="1357" spans="32:32">
      <c r="AF1357" s="65"/>
    </row>
    <row r="1358" spans="32:32">
      <c r="AF1358" s="65"/>
    </row>
    <row r="1359" spans="32:32">
      <c r="AF1359" s="65"/>
    </row>
    <row r="1360" spans="32:32">
      <c r="AF1360" s="65"/>
    </row>
    <row r="1361" spans="32:32">
      <c r="AF1361" s="65"/>
    </row>
    <row r="1362" spans="32:32">
      <c r="AF1362" s="65"/>
    </row>
    <row r="1363" spans="32:32">
      <c r="AF1363" s="65"/>
    </row>
    <row r="1364" spans="32:32">
      <c r="AF1364" s="65"/>
    </row>
    <row r="1365" spans="32:32">
      <c r="AF1365" s="65"/>
    </row>
    <row r="1366" spans="32:32">
      <c r="AF1366" s="65"/>
    </row>
    <row r="1367" spans="32:32">
      <c r="AF1367" s="65"/>
    </row>
    <row r="1368" spans="32:32">
      <c r="AF1368" s="65"/>
    </row>
    <row r="1369" spans="32:32">
      <c r="AF1369" s="65"/>
    </row>
    <row r="1370" spans="32:32">
      <c r="AF1370" s="65"/>
    </row>
    <row r="1371" spans="32:32">
      <c r="AF1371" s="65"/>
    </row>
    <row r="1372" spans="32:32">
      <c r="AF1372" s="65"/>
    </row>
    <row r="1373" spans="32:32">
      <c r="AF1373" s="65"/>
    </row>
    <row r="1374" spans="32:32">
      <c r="AF1374" s="65"/>
    </row>
    <row r="1375" spans="32:32">
      <c r="AF1375" s="65"/>
    </row>
    <row r="1376" spans="32:32">
      <c r="AF1376" s="65"/>
    </row>
    <row r="1377" spans="32:32">
      <c r="AF1377" s="65"/>
    </row>
    <row r="1378" spans="32:32">
      <c r="AF1378" s="65"/>
    </row>
    <row r="1379" spans="32:32">
      <c r="AF1379" s="65"/>
    </row>
    <row r="1380" spans="32:32">
      <c r="AF1380" s="65"/>
    </row>
    <row r="1381" spans="32:32">
      <c r="AF1381" s="65"/>
    </row>
    <row r="1382" spans="32:32">
      <c r="AF1382" s="65"/>
    </row>
    <row r="1383" spans="32:32">
      <c r="AF1383" s="65"/>
    </row>
    <row r="1384" spans="32:32">
      <c r="AF1384" s="65"/>
    </row>
    <row r="1385" spans="32:32">
      <c r="AF1385" s="65"/>
    </row>
    <row r="1386" spans="32:32">
      <c r="AF1386" s="65"/>
    </row>
    <row r="1387" spans="32:32">
      <c r="AF1387" s="65"/>
    </row>
    <row r="1388" spans="32:32">
      <c r="AF1388" s="65"/>
    </row>
    <row r="1389" spans="32:32">
      <c r="AF1389" s="65"/>
    </row>
    <row r="1390" spans="32:32">
      <c r="AF1390" s="65"/>
    </row>
    <row r="1391" spans="32:32">
      <c r="AF1391" s="65"/>
    </row>
    <row r="1392" spans="32:32">
      <c r="AF1392" s="65"/>
    </row>
    <row r="1393" spans="32:32">
      <c r="AF1393" s="65"/>
    </row>
    <row r="1394" spans="32:32">
      <c r="AF1394" s="65"/>
    </row>
    <row r="1395" spans="32:32">
      <c r="AF1395" s="65"/>
    </row>
    <row r="1396" spans="32:32">
      <c r="AF1396" s="65"/>
    </row>
    <row r="1397" spans="32:32">
      <c r="AF1397" s="65"/>
    </row>
    <row r="1398" spans="32:32">
      <c r="AF1398" s="65"/>
    </row>
    <row r="1399" spans="32:32">
      <c r="AF1399" s="65"/>
    </row>
    <row r="1400" spans="32:32">
      <c r="AF1400" s="65"/>
    </row>
    <row r="1401" spans="32:32">
      <c r="AF1401" s="65"/>
    </row>
    <row r="1402" spans="32:32">
      <c r="AF1402" s="65"/>
    </row>
    <row r="1403" spans="32:32">
      <c r="AF1403" s="65"/>
    </row>
    <row r="1404" spans="32:32">
      <c r="AF1404" s="65"/>
    </row>
    <row r="1405" spans="32:32">
      <c r="AF1405" s="65"/>
    </row>
    <row r="1406" spans="32:32">
      <c r="AF1406" s="65"/>
    </row>
    <row r="1407" spans="32:32">
      <c r="AF1407" s="65"/>
    </row>
    <row r="1408" spans="32:32">
      <c r="AF1408" s="65"/>
    </row>
    <row r="1409" spans="32:32">
      <c r="AF1409" s="65"/>
    </row>
    <row r="1410" spans="32:32">
      <c r="AF1410" s="65"/>
    </row>
    <row r="1411" spans="32:32">
      <c r="AF1411" s="65"/>
    </row>
    <row r="1412" spans="32:32">
      <c r="AF1412" s="65"/>
    </row>
    <row r="1413" spans="32:32">
      <c r="AF1413" s="65"/>
    </row>
    <row r="1414" spans="32:32">
      <c r="AF1414" s="65"/>
    </row>
    <row r="1415" spans="32:32">
      <c r="AF1415" s="65"/>
    </row>
    <row r="1416" spans="32:32">
      <c r="AF1416" s="65"/>
    </row>
    <row r="1417" spans="32:32">
      <c r="AF1417" s="65"/>
    </row>
    <row r="1418" spans="32:32">
      <c r="AF1418" s="65"/>
    </row>
    <row r="1419" spans="32:32">
      <c r="AF1419" s="65"/>
    </row>
    <row r="1420" spans="32:32">
      <c r="AF1420" s="65"/>
    </row>
    <row r="1421" spans="32:32">
      <c r="AF1421" s="65"/>
    </row>
    <row r="1422" spans="32:32">
      <c r="AF1422" s="65"/>
    </row>
    <row r="1423" spans="32:32">
      <c r="AF1423" s="65"/>
    </row>
    <row r="1424" spans="32:32">
      <c r="AF1424" s="65"/>
    </row>
    <row r="1425" spans="32:32">
      <c r="AF1425" s="65"/>
    </row>
    <row r="1426" spans="32:32">
      <c r="AF1426" s="65"/>
    </row>
    <row r="1427" spans="32:32">
      <c r="AF1427" s="65"/>
    </row>
    <row r="1428" spans="32:32">
      <c r="AF1428" s="65"/>
    </row>
    <row r="1429" spans="32:32">
      <c r="AF1429" s="65"/>
    </row>
    <row r="1430" spans="32:32">
      <c r="AF1430" s="65"/>
    </row>
    <row r="1431" spans="32:32">
      <c r="AF1431" s="65"/>
    </row>
    <row r="1432" spans="32:32">
      <c r="AF1432" s="65"/>
    </row>
    <row r="1433" spans="32:32">
      <c r="AF1433" s="65"/>
    </row>
    <row r="1434" spans="32:32">
      <c r="AF1434" s="65"/>
    </row>
    <row r="1435" spans="32:32">
      <c r="AF1435" s="65"/>
    </row>
    <row r="1436" spans="32:32">
      <c r="AF1436" s="65"/>
    </row>
    <row r="1437" spans="32:32">
      <c r="AF1437" s="65"/>
    </row>
    <row r="1438" spans="32:32">
      <c r="AF1438" s="65"/>
    </row>
    <row r="1439" spans="32:32">
      <c r="AF1439" s="65"/>
    </row>
    <row r="1440" spans="32:32">
      <c r="AF1440" s="65"/>
    </row>
    <row r="1441" spans="32:32">
      <c r="AF1441" s="65"/>
    </row>
    <row r="1442" spans="32:32">
      <c r="AF1442" s="65"/>
    </row>
    <row r="1443" spans="32:32">
      <c r="AF1443" s="65"/>
    </row>
    <row r="1444" spans="32:32">
      <c r="AF1444" s="65"/>
    </row>
    <row r="1445" spans="32:32">
      <c r="AF1445" s="65"/>
    </row>
    <row r="1446" spans="32:32">
      <c r="AF1446" s="65"/>
    </row>
    <row r="1447" spans="32:32">
      <c r="AF1447" s="65"/>
    </row>
    <row r="1448" spans="32:32">
      <c r="AF1448" s="65"/>
    </row>
    <row r="1449" spans="32:32">
      <c r="AF1449" s="65"/>
    </row>
    <row r="1450" spans="32:32">
      <c r="AF1450" s="65"/>
    </row>
    <row r="1451" spans="32:32">
      <c r="AF1451" s="65"/>
    </row>
    <row r="1452" spans="32:32">
      <c r="AF1452" s="65"/>
    </row>
    <row r="1453" spans="32:32">
      <c r="AF1453" s="65"/>
    </row>
    <row r="1454" spans="32:32">
      <c r="AF1454" s="65"/>
    </row>
    <row r="1455" spans="32:32">
      <c r="AF1455" s="65"/>
    </row>
    <row r="1456" spans="32:32">
      <c r="AF1456" s="65"/>
    </row>
    <row r="1457" spans="32:32">
      <c r="AF1457" s="65"/>
    </row>
    <row r="1458" spans="32:32">
      <c r="AF1458" s="65"/>
    </row>
    <row r="1459" spans="32:32">
      <c r="AF1459" s="65"/>
    </row>
    <row r="1460" spans="32:32">
      <c r="AF1460" s="65"/>
    </row>
    <row r="1461" spans="32:32">
      <c r="AF1461" s="65"/>
    </row>
    <row r="1462" spans="32:32">
      <c r="AF1462" s="65"/>
    </row>
    <row r="1463" spans="32:32">
      <c r="AF1463" s="65"/>
    </row>
    <row r="1464" spans="32:32">
      <c r="AF1464" s="65"/>
    </row>
    <row r="1465" spans="32:32">
      <c r="AF1465" s="65"/>
    </row>
    <row r="1466" spans="32:32">
      <c r="AF1466" s="65"/>
    </row>
    <row r="1467" spans="32:32">
      <c r="AF1467" s="65"/>
    </row>
    <row r="1468" spans="32:32">
      <c r="AF1468" s="65"/>
    </row>
    <row r="1469" spans="32:32">
      <c r="AF1469" s="65"/>
    </row>
    <row r="1470" spans="32:32">
      <c r="AF1470" s="65"/>
    </row>
    <row r="1471" spans="32:32">
      <c r="AF1471" s="65"/>
    </row>
    <row r="1472" spans="32:32">
      <c r="AF1472" s="65"/>
    </row>
    <row r="1473" spans="32:32">
      <c r="AF1473" s="65"/>
    </row>
    <row r="1474" spans="32:32">
      <c r="AF1474" s="65"/>
    </row>
    <row r="1475" spans="32:32">
      <c r="AF1475" s="65"/>
    </row>
    <row r="1476" spans="32:32">
      <c r="AF1476" s="65"/>
    </row>
    <row r="1477" spans="32:32">
      <c r="AF1477" s="65"/>
    </row>
    <row r="1478" spans="32:32">
      <c r="AF1478" s="65"/>
    </row>
    <row r="1479" spans="32:32">
      <c r="AF1479" s="65"/>
    </row>
    <row r="1480" spans="32:32">
      <c r="AF1480" s="65"/>
    </row>
    <row r="1481" spans="32:32">
      <c r="AF1481" s="65"/>
    </row>
    <row r="1482" spans="32:32">
      <c r="AF1482" s="65"/>
    </row>
    <row r="1483" spans="32:32">
      <c r="AF1483" s="65"/>
    </row>
    <row r="1484" spans="32:32">
      <c r="AF1484" s="65"/>
    </row>
    <row r="1485" spans="32:32">
      <c r="AF1485" s="65"/>
    </row>
    <row r="1486" spans="32:32">
      <c r="AF1486" s="65"/>
    </row>
    <row r="1487" spans="32:32">
      <c r="AF1487" s="65"/>
    </row>
    <row r="1488" spans="32:32">
      <c r="AF1488" s="65"/>
    </row>
    <row r="1489" spans="32:32">
      <c r="AF1489" s="65"/>
    </row>
    <row r="1490" spans="32:32">
      <c r="AF1490" s="65"/>
    </row>
    <row r="1491" spans="32:32">
      <c r="AF1491" s="65"/>
    </row>
    <row r="1492" spans="32:32">
      <c r="AF1492" s="65"/>
    </row>
    <row r="1493" spans="32:32">
      <c r="AF1493" s="65"/>
    </row>
    <row r="1494" spans="32:32">
      <c r="AF1494" s="65"/>
    </row>
    <row r="1495" spans="32:32">
      <c r="AF1495" s="65"/>
    </row>
    <row r="1496" spans="32:32">
      <c r="AF1496" s="65"/>
    </row>
    <row r="1497" spans="32:32">
      <c r="AF1497" s="65"/>
    </row>
    <row r="1498" spans="32:32">
      <c r="AF1498" s="65"/>
    </row>
    <row r="1499" spans="32:32">
      <c r="AF1499" s="65"/>
    </row>
    <row r="1500" spans="32:32">
      <c r="AF1500" s="65"/>
    </row>
  </sheetData>
  <sheetProtection formatCells="0" formatColumns="0" formatRows="0"/>
  <mergeCells count="55">
    <mergeCell ref="A15:L15"/>
    <mergeCell ref="A16:L16"/>
    <mergeCell ref="C17:J17"/>
    <mergeCell ref="B6:L6"/>
    <mergeCell ref="A14:L14"/>
    <mergeCell ref="A7:G7"/>
    <mergeCell ref="H7:J7"/>
    <mergeCell ref="K7:L7"/>
    <mergeCell ref="A8:L8"/>
    <mergeCell ref="A9:B9"/>
    <mergeCell ref="A10:B10"/>
    <mergeCell ref="A11:L12"/>
    <mergeCell ref="A13:L13"/>
    <mergeCell ref="C9:L10"/>
    <mergeCell ref="C25:J25"/>
    <mergeCell ref="C26:J26"/>
    <mergeCell ref="C27:J27"/>
    <mergeCell ref="C23:J23"/>
    <mergeCell ref="C24:J24"/>
    <mergeCell ref="C28:J28"/>
    <mergeCell ref="C29:J29"/>
    <mergeCell ref="A51:K51"/>
    <mergeCell ref="A30:I30"/>
    <mergeCell ref="J30:L41"/>
    <mergeCell ref="A31:I31"/>
    <mergeCell ref="A32:I32"/>
    <mergeCell ref="A33:I33"/>
    <mergeCell ref="A34:I34"/>
    <mergeCell ref="A35:I35"/>
    <mergeCell ref="A40:I40"/>
    <mergeCell ref="A41:I41"/>
    <mergeCell ref="A49:K49"/>
    <mergeCell ref="A50:K50"/>
    <mergeCell ref="A46:I46"/>
    <mergeCell ref="J46:L46"/>
    <mergeCell ref="C20:J20"/>
    <mergeCell ref="C21:J21"/>
    <mergeCell ref="C22:J22"/>
    <mergeCell ref="C18:J18"/>
    <mergeCell ref="C19:J19"/>
    <mergeCell ref="A48:K48"/>
    <mergeCell ref="A44:I44"/>
    <mergeCell ref="J44:L44"/>
    <mergeCell ref="A36:I36"/>
    <mergeCell ref="A37:I37"/>
    <mergeCell ref="A38:I38"/>
    <mergeCell ref="A39:I39"/>
    <mergeCell ref="A42:I42"/>
    <mergeCell ref="J42:L42"/>
    <mergeCell ref="A43:I43"/>
    <mergeCell ref="J43:L43"/>
    <mergeCell ref="A45:I45"/>
    <mergeCell ref="J45:L45"/>
    <mergeCell ref="A47:I47"/>
    <mergeCell ref="J47:L47"/>
  </mergeCells>
  <conditionalFormatting sqref="A1 B18:B29 K18:K29">
    <cfRule type="containsErrors" dxfId="768" priority="5" stopIfTrue="1">
      <formula>ISERROR(A1)</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A1:N52"/>
  <sheetViews>
    <sheetView view="pageBreakPreview" zoomScaleSheetLayoutView="100" workbookViewId="0">
      <selection activeCell="A34" sqref="A34:I34"/>
    </sheetView>
  </sheetViews>
  <sheetFormatPr defaultRowHeight="15"/>
  <cols>
    <col min="1" max="1" width="11.140625" customWidth="1"/>
    <col min="2" max="2" width="7" customWidth="1"/>
    <col min="5" max="5" width="13.85546875" customWidth="1"/>
    <col min="6" max="6" width="9.7109375" customWidth="1"/>
    <col min="10" max="10" width="15.28515625" customWidth="1"/>
    <col min="11" max="11" width="7.42578125" customWidth="1"/>
    <col min="12" max="12" width="10.140625" customWidth="1"/>
  </cols>
  <sheetData>
    <row r="1" spans="1:14">
      <c r="A1" s="7"/>
      <c r="B1" s="7"/>
      <c r="C1" s="7"/>
      <c r="D1" s="7"/>
      <c r="E1" s="7"/>
      <c r="F1" s="7"/>
      <c r="G1" s="7"/>
      <c r="H1" s="7"/>
      <c r="I1" s="7"/>
      <c r="J1" s="7"/>
      <c r="K1" s="7"/>
      <c r="L1" s="7"/>
    </row>
    <row r="2" spans="1:14">
      <c r="A2" s="7"/>
      <c r="B2" s="7"/>
      <c r="C2" s="7"/>
      <c r="D2" s="7"/>
      <c r="E2" s="7"/>
      <c r="F2" s="7"/>
      <c r="G2" s="7"/>
      <c r="H2" s="7"/>
      <c r="I2" s="7"/>
      <c r="J2" s="7"/>
      <c r="K2" s="7"/>
      <c r="L2" s="7"/>
    </row>
    <row r="3" spans="1:14">
      <c r="A3" s="7"/>
      <c r="B3" s="7"/>
      <c r="C3" s="7"/>
      <c r="D3" s="7"/>
      <c r="E3" s="7"/>
      <c r="F3" s="7"/>
      <c r="G3" s="7"/>
      <c r="H3" s="7"/>
      <c r="I3" s="7"/>
      <c r="J3" s="7"/>
      <c r="K3" s="7"/>
      <c r="L3" s="7"/>
    </row>
    <row r="4" spans="1:14">
      <c r="A4" s="7"/>
      <c r="B4" s="7"/>
      <c r="C4" s="7"/>
      <c r="D4" s="7"/>
      <c r="E4" s="7"/>
      <c r="F4" s="7"/>
      <c r="G4" s="7"/>
      <c r="H4" s="7"/>
      <c r="I4" s="7"/>
      <c r="J4" s="7"/>
      <c r="K4" s="7"/>
      <c r="L4" s="7"/>
    </row>
    <row r="5" spans="1:14">
      <c r="A5" s="7"/>
      <c r="B5" s="7"/>
      <c r="C5" s="7"/>
      <c r="D5" s="7"/>
      <c r="E5" s="7"/>
      <c r="F5" s="7"/>
      <c r="G5" s="7"/>
      <c r="H5" s="7"/>
      <c r="I5" s="7"/>
      <c r="J5" s="7"/>
      <c r="K5" s="7"/>
      <c r="L5" s="7"/>
    </row>
    <row r="6" spans="1:14" s="34" customFormat="1" ht="15.75" customHeight="1" thickBot="1">
      <c r="A6" s="47" t="s">
        <v>4363</v>
      </c>
      <c r="B6" s="832"/>
      <c r="C6" s="833"/>
      <c r="D6" s="833"/>
      <c r="E6" s="833"/>
      <c r="F6" s="833"/>
      <c r="G6" s="833"/>
      <c r="H6" s="833"/>
      <c r="I6" s="833"/>
      <c r="J6" s="833"/>
      <c r="K6" s="833"/>
      <c r="L6" s="833"/>
    </row>
    <row r="7" spans="1:14" ht="23.25" customHeight="1" thickBot="1">
      <c r="A7" s="834" t="s">
        <v>2735</v>
      </c>
      <c r="B7" s="835"/>
      <c r="C7" s="835"/>
      <c r="D7" s="835"/>
      <c r="E7" s="835"/>
      <c r="F7" s="835"/>
      <c r="G7" s="836"/>
      <c r="H7" s="837" t="s">
        <v>797</v>
      </c>
      <c r="I7" s="838"/>
      <c r="J7" s="838"/>
      <c r="K7" s="839" t="str">
        <f>Mapa!$I$1</f>
        <v>xxx/2020</v>
      </c>
      <c r="L7" s="840"/>
      <c r="N7" s="6"/>
    </row>
    <row r="8" spans="1:14" ht="4.5" customHeight="1" thickBot="1">
      <c r="A8" s="841"/>
      <c r="B8" s="842"/>
      <c r="C8" s="842"/>
      <c r="D8" s="842"/>
      <c r="E8" s="842"/>
      <c r="F8" s="842"/>
      <c r="G8" s="842"/>
      <c r="H8" s="842"/>
      <c r="I8" s="842"/>
      <c r="J8" s="842"/>
      <c r="K8" s="842"/>
      <c r="L8" s="842"/>
    </row>
    <row r="9" spans="1:14" ht="20.25" customHeight="1">
      <c r="A9" s="843" t="s">
        <v>796</v>
      </c>
      <c r="B9" s="844"/>
      <c r="C9" s="852" t="s">
        <v>3684</v>
      </c>
      <c r="D9" s="853"/>
      <c r="E9" s="853"/>
      <c r="F9" s="853"/>
      <c r="G9" s="853"/>
      <c r="H9" s="853"/>
      <c r="I9" s="853"/>
      <c r="J9" s="853"/>
      <c r="K9" s="853"/>
      <c r="L9" s="854"/>
    </row>
    <row r="10" spans="1:14" ht="21" customHeight="1" thickBot="1">
      <c r="A10" s="845" t="s">
        <v>3664</v>
      </c>
      <c r="B10" s="846"/>
      <c r="C10" s="855"/>
      <c r="D10" s="856"/>
      <c r="E10" s="856"/>
      <c r="F10" s="856"/>
      <c r="G10" s="856"/>
      <c r="H10" s="856"/>
      <c r="I10" s="856"/>
      <c r="J10" s="856"/>
      <c r="K10" s="856"/>
      <c r="L10" s="857"/>
    </row>
    <row r="11" spans="1:14">
      <c r="A11" s="847" t="s">
        <v>783</v>
      </c>
      <c r="B11" s="848"/>
      <c r="C11" s="848"/>
      <c r="D11" s="848"/>
      <c r="E11" s="848"/>
      <c r="F11" s="848"/>
      <c r="G11" s="848"/>
      <c r="H11" s="848"/>
      <c r="I11" s="848"/>
      <c r="J11" s="848"/>
      <c r="K11" s="848"/>
      <c r="L11" s="848"/>
    </row>
    <row r="12" spans="1:14" ht="15.75" thickBot="1">
      <c r="A12" s="849"/>
      <c r="B12" s="849"/>
      <c r="C12" s="849"/>
      <c r="D12" s="849"/>
      <c r="E12" s="849"/>
      <c r="F12" s="849"/>
      <c r="G12" s="849"/>
      <c r="H12" s="849"/>
      <c r="I12" s="849"/>
      <c r="J12" s="849"/>
      <c r="K12" s="849"/>
      <c r="L12" s="849"/>
    </row>
    <row r="13" spans="1:14" ht="15" customHeight="1">
      <c r="A13" s="850" t="s">
        <v>784</v>
      </c>
      <c r="B13" s="851"/>
      <c r="C13" s="851"/>
      <c r="D13" s="851"/>
      <c r="E13" s="851"/>
      <c r="F13" s="851"/>
      <c r="G13" s="765"/>
      <c r="H13" s="765"/>
      <c r="I13" s="765"/>
      <c r="J13" s="765"/>
      <c r="K13" s="765"/>
      <c r="L13" s="807"/>
    </row>
    <row r="14" spans="1:14">
      <c r="A14" s="808" t="s">
        <v>785</v>
      </c>
      <c r="B14" s="809"/>
      <c r="C14" s="809"/>
      <c r="D14" s="809"/>
      <c r="E14" s="809"/>
      <c r="F14" s="809"/>
      <c r="G14" s="765"/>
      <c r="H14" s="765"/>
      <c r="I14" s="765"/>
      <c r="J14" s="765"/>
      <c r="K14" s="765"/>
      <c r="L14" s="807"/>
    </row>
    <row r="15" spans="1:14" ht="51" customHeight="1">
      <c r="A15" s="824" t="s">
        <v>2736</v>
      </c>
      <c r="B15" s="825"/>
      <c r="C15" s="825"/>
      <c r="D15" s="825"/>
      <c r="E15" s="825"/>
      <c r="F15" s="825"/>
      <c r="G15" s="826"/>
      <c r="H15" s="826"/>
      <c r="I15" s="826"/>
      <c r="J15" s="826"/>
      <c r="K15" s="826"/>
      <c r="L15" s="827"/>
    </row>
    <row r="16" spans="1:14" ht="30" customHeight="1" thickBot="1">
      <c r="A16" s="828" t="s">
        <v>786</v>
      </c>
      <c r="B16" s="829"/>
      <c r="C16" s="829"/>
      <c r="D16" s="829"/>
      <c r="E16" s="829"/>
      <c r="F16" s="829"/>
      <c r="G16" s="765"/>
      <c r="H16" s="765"/>
      <c r="I16" s="765"/>
      <c r="J16" s="765"/>
      <c r="K16" s="765"/>
      <c r="L16" s="807"/>
    </row>
    <row r="17" spans="1:12" ht="15.75" customHeight="1" thickBot="1">
      <c r="A17" s="12" t="s">
        <v>619</v>
      </c>
      <c r="B17" s="13" t="s">
        <v>787</v>
      </c>
      <c r="C17" s="830" t="s">
        <v>664</v>
      </c>
      <c r="D17" s="831"/>
      <c r="E17" s="831"/>
      <c r="F17" s="831"/>
      <c r="G17" s="831"/>
      <c r="H17" s="831"/>
      <c r="I17" s="831"/>
      <c r="J17" s="831"/>
      <c r="K17" s="13" t="s">
        <v>665</v>
      </c>
      <c r="L17" s="14" t="s">
        <v>624</v>
      </c>
    </row>
    <row r="18" spans="1:12" ht="15.75" thickBot="1">
      <c r="A18" s="15">
        <v>1</v>
      </c>
      <c r="B18" s="36" t="e">
        <f>IF(ISBLANK(Mapa!$G$3),"",Mapa!$G$3)</f>
        <v>#N/A</v>
      </c>
      <c r="C18" s="794" t="str">
        <f>Mapa!$B$4</f>
        <v/>
      </c>
      <c r="D18" s="795"/>
      <c r="E18" s="795"/>
      <c r="F18" s="795"/>
      <c r="G18" s="795"/>
      <c r="H18" s="795"/>
      <c r="I18" s="795"/>
      <c r="J18" s="796"/>
      <c r="K18" s="48" t="e">
        <f>IF(ISBLANK(Mapa!$D$4),"",Mapa!$D$4)</f>
        <v>#N/A</v>
      </c>
      <c r="L18" s="16" t="str">
        <f>Mapa!$G$4</f>
        <v/>
      </c>
    </row>
    <row r="19" spans="1:12" ht="15.75" thickBot="1">
      <c r="A19" s="15">
        <v>2</v>
      </c>
      <c r="B19" s="36" t="e">
        <f>IF(ISBLANK(Mapa!$M$3),"",Mapa!$M$3)</f>
        <v>#N/A</v>
      </c>
      <c r="C19" s="794" t="str">
        <f>Mapa!$H$4</f>
        <v/>
      </c>
      <c r="D19" s="795"/>
      <c r="E19" s="795"/>
      <c r="F19" s="795"/>
      <c r="G19" s="795"/>
      <c r="H19" s="795"/>
      <c r="I19" s="795"/>
      <c r="J19" s="796"/>
      <c r="K19" s="48" t="e">
        <f>IF(ISBLANK(Mapa!$J$4),"",Mapa!$J$4)</f>
        <v>#N/A</v>
      </c>
      <c r="L19" s="16" t="str">
        <f>Mapa!$M$4</f>
        <v/>
      </c>
    </row>
    <row r="20" spans="1:12" ht="15.75" thickBot="1">
      <c r="A20" s="15">
        <v>3</v>
      </c>
      <c r="B20" s="36" t="e">
        <f>IF(ISBLANK(Mapa!$S$3),"",Mapa!$S$3)</f>
        <v>#N/A</v>
      </c>
      <c r="C20" s="794" t="str">
        <f>Mapa!$N$4</f>
        <v/>
      </c>
      <c r="D20" s="795"/>
      <c r="E20" s="795"/>
      <c r="F20" s="795"/>
      <c r="G20" s="795"/>
      <c r="H20" s="795"/>
      <c r="I20" s="795"/>
      <c r="J20" s="796"/>
      <c r="K20" s="48" t="e">
        <f>IF(ISBLANK(Mapa!$P$4),"",Mapa!$P$4)</f>
        <v>#N/A</v>
      </c>
      <c r="L20" s="16" t="str">
        <f>Mapa!$S$4</f>
        <v/>
      </c>
    </row>
    <row r="21" spans="1:12" ht="15.75" thickBot="1">
      <c r="A21" s="15">
        <v>4</v>
      </c>
      <c r="B21" s="36" t="e">
        <f>IF(ISBLANK(Mapa!$G$20),"",Mapa!$G$20)</f>
        <v>#N/A</v>
      </c>
      <c r="C21" s="794" t="str">
        <f>Mapa!$B$21</f>
        <v/>
      </c>
      <c r="D21" s="795"/>
      <c r="E21" s="795"/>
      <c r="F21" s="795"/>
      <c r="G21" s="795"/>
      <c r="H21" s="795"/>
      <c r="I21" s="795"/>
      <c r="J21" s="796"/>
      <c r="K21" s="48" t="e">
        <f>IF(ISBLANK(Mapa!$D$21),"",Mapa!$D$21)</f>
        <v>#N/A</v>
      </c>
      <c r="L21" s="16" t="str">
        <f>Mapa!$G$21</f>
        <v/>
      </c>
    </row>
    <row r="22" spans="1:12" ht="15.75" thickBot="1">
      <c r="A22" s="15">
        <v>5</v>
      </c>
      <c r="B22" s="36" t="e">
        <f>IF(ISBLANK(Mapa!$M$20),"",Mapa!$M$20)</f>
        <v>#N/A</v>
      </c>
      <c r="C22" s="794" t="str">
        <f>Mapa!$H$21</f>
        <v/>
      </c>
      <c r="D22" s="795"/>
      <c r="E22" s="795"/>
      <c r="F22" s="795"/>
      <c r="G22" s="795"/>
      <c r="H22" s="795"/>
      <c r="I22" s="795"/>
      <c r="J22" s="796"/>
      <c r="K22" s="48" t="e">
        <f>IF(ISBLANK(Mapa!$J$21),"",Mapa!$J$21)</f>
        <v>#N/A</v>
      </c>
      <c r="L22" s="16" t="str">
        <f>Mapa!$M$21</f>
        <v/>
      </c>
    </row>
    <row r="23" spans="1:12" ht="15.75" thickBot="1">
      <c r="A23" s="15">
        <v>6</v>
      </c>
      <c r="B23" s="36" t="e">
        <f>IF(ISBLANK(Mapa!$S$20),"",Mapa!$S$20)</f>
        <v>#N/A</v>
      </c>
      <c r="C23" s="794" t="str">
        <f>Mapa!$N$21</f>
        <v/>
      </c>
      <c r="D23" s="795"/>
      <c r="E23" s="795"/>
      <c r="F23" s="795"/>
      <c r="G23" s="795"/>
      <c r="H23" s="795"/>
      <c r="I23" s="795"/>
      <c r="J23" s="796"/>
      <c r="K23" s="48" t="e">
        <f>IF(ISBLANK(Mapa!$P$21),"",Mapa!$P$21)</f>
        <v>#N/A</v>
      </c>
      <c r="L23" s="16" t="str">
        <f>Mapa!$S$21</f>
        <v/>
      </c>
    </row>
    <row r="24" spans="1:12" ht="15.75" thickBot="1">
      <c r="A24" s="15">
        <v>7</v>
      </c>
      <c r="B24" s="36" t="e">
        <f>IF(ISBLANK(Mapa!$G$37),"",Mapa!$G$37)</f>
        <v>#N/A</v>
      </c>
      <c r="C24" s="794" t="str">
        <f>Mapa!$B$38</f>
        <v/>
      </c>
      <c r="D24" s="795"/>
      <c r="E24" s="795"/>
      <c r="F24" s="795"/>
      <c r="G24" s="795"/>
      <c r="H24" s="795"/>
      <c r="I24" s="795"/>
      <c r="J24" s="796"/>
      <c r="K24" s="48" t="e">
        <f>IF(ISBLANK(Mapa!$D$38),"",Mapa!$D$38)</f>
        <v>#N/A</v>
      </c>
      <c r="L24" s="16" t="str">
        <f>Mapa!$G$38</f>
        <v/>
      </c>
    </row>
    <row r="25" spans="1:12" ht="15.75" thickBot="1">
      <c r="A25" s="15">
        <v>8</v>
      </c>
      <c r="B25" s="36" t="e">
        <f>IF(ISBLANK(Mapa!$M$37),"",Mapa!$M$37)</f>
        <v>#N/A</v>
      </c>
      <c r="C25" s="794" t="str">
        <f>Mapa!$H$38</f>
        <v/>
      </c>
      <c r="D25" s="795"/>
      <c r="E25" s="795"/>
      <c r="F25" s="795"/>
      <c r="G25" s="795"/>
      <c r="H25" s="795"/>
      <c r="I25" s="795"/>
      <c r="J25" s="796"/>
      <c r="K25" s="48" t="e">
        <f>IF(ISBLANK(Mapa!$J$38),"",Mapa!$J$38)</f>
        <v>#N/A</v>
      </c>
      <c r="L25" s="16" t="str">
        <f>Mapa!$M$38</f>
        <v/>
      </c>
    </row>
    <row r="26" spans="1:12" ht="15.75" thickBot="1">
      <c r="A26" s="15">
        <v>9</v>
      </c>
      <c r="B26" s="36" t="e">
        <f>IF(ISBLANK(Mapa!$S$37),"",Mapa!$S$37)</f>
        <v>#N/A</v>
      </c>
      <c r="C26" s="794" t="str">
        <f>Mapa!$N$38</f>
        <v/>
      </c>
      <c r="D26" s="795"/>
      <c r="E26" s="795"/>
      <c r="F26" s="795"/>
      <c r="G26" s="795"/>
      <c r="H26" s="795"/>
      <c r="I26" s="795"/>
      <c r="J26" s="796"/>
      <c r="K26" s="48" t="e">
        <f>IF(ISBLANK(Mapa!$P$38),"",Mapa!$P$38)</f>
        <v>#N/A</v>
      </c>
      <c r="L26" s="16" t="str">
        <f>Mapa!$S$38</f>
        <v/>
      </c>
    </row>
    <row r="27" spans="1:12" ht="15.75" thickBot="1">
      <c r="A27" s="15">
        <v>10</v>
      </c>
      <c r="B27" s="36" t="e">
        <f>IF(ISBLANK(Mapa!$G$54),"",Mapa!$G$54)</f>
        <v>#N/A</v>
      </c>
      <c r="C27" s="794" t="str">
        <f>Mapa!$B$55</f>
        <v/>
      </c>
      <c r="D27" s="795"/>
      <c r="E27" s="795"/>
      <c r="F27" s="795"/>
      <c r="G27" s="795"/>
      <c r="H27" s="795"/>
      <c r="I27" s="795"/>
      <c r="J27" s="796"/>
      <c r="K27" s="48" t="e">
        <f>IF(ISBLANK(Mapa!$D$55),"",Mapa!$D$55)</f>
        <v>#N/A</v>
      </c>
      <c r="L27" s="16" t="str">
        <f>Mapa!$G$55</f>
        <v/>
      </c>
    </row>
    <row r="28" spans="1:12" ht="15.75" thickBot="1">
      <c r="A28" s="15">
        <v>11</v>
      </c>
      <c r="B28" s="36" t="e">
        <f>IF(ISBLANK(Mapa!$M$54),"",Mapa!$M$54)</f>
        <v>#N/A</v>
      </c>
      <c r="C28" s="794" t="str">
        <f>Mapa!$H$55</f>
        <v/>
      </c>
      <c r="D28" s="795"/>
      <c r="E28" s="795"/>
      <c r="F28" s="795"/>
      <c r="G28" s="795"/>
      <c r="H28" s="795"/>
      <c r="I28" s="795"/>
      <c r="J28" s="796"/>
      <c r="K28" s="48" t="e">
        <f>IF(ISBLANK(Mapa!$J$55),"",Mapa!$J$55)</f>
        <v>#N/A</v>
      </c>
      <c r="L28" s="16" t="str">
        <f>Mapa!$M$55</f>
        <v/>
      </c>
    </row>
    <row r="29" spans="1:12" ht="15.75" thickBot="1">
      <c r="A29" s="15">
        <v>12</v>
      </c>
      <c r="B29" s="36" t="e">
        <f>IF(ISBLANK(Mapa!$S$54),"",Mapa!$S$54)</f>
        <v>#N/A</v>
      </c>
      <c r="C29" s="794" t="str">
        <f>Mapa!$N$55</f>
        <v/>
      </c>
      <c r="D29" s="795"/>
      <c r="E29" s="795"/>
      <c r="F29" s="795"/>
      <c r="G29" s="795"/>
      <c r="H29" s="795"/>
      <c r="I29" s="795"/>
      <c r="J29" s="796"/>
      <c r="K29" s="48" t="e">
        <f>IF(ISBLANK(Mapa!$P$55),"",Mapa!$P$55)</f>
        <v>#N/A</v>
      </c>
      <c r="L29" s="16" t="str">
        <f>Mapa!$S$55</f>
        <v/>
      </c>
    </row>
    <row r="30" spans="1:12" ht="31.5" customHeight="1">
      <c r="A30" s="799" t="s">
        <v>788</v>
      </c>
      <c r="B30" s="800"/>
      <c r="C30" s="800"/>
      <c r="D30" s="801"/>
      <c r="E30" s="801"/>
      <c r="F30" s="801"/>
      <c r="G30" s="801"/>
      <c r="H30" s="801"/>
      <c r="I30" s="802"/>
      <c r="J30" s="803" t="s">
        <v>3655</v>
      </c>
      <c r="K30" s="804"/>
      <c r="L30" s="805"/>
    </row>
    <row r="31" spans="1:12" ht="19.5" customHeight="1">
      <c r="A31" s="808" t="s">
        <v>7390</v>
      </c>
      <c r="B31" s="809"/>
      <c r="C31" s="809"/>
      <c r="D31" s="765"/>
      <c r="E31" s="765"/>
      <c r="F31" s="765"/>
      <c r="G31" s="765"/>
      <c r="H31" s="765"/>
      <c r="I31" s="766"/>
      <c r="J31" s="806"/>
      <c r="K31" s="765"/>
      <c r="L31" s="807"/>
    </row>
    <row r="32" spans="1:12" ht="20.25" customHeight="1">
      <c r="A32" s="810" t="s">
        <v>4128</v>
      </c>
      <c r="B32" s="811"/>
      <c r="C32" s="811"/>
      <c r="D32" s="812"/>
      <c r="E32" s="812"/>
      <c r="F32" s="812"/>
      <c r="G32" s="812"/>
      <c r="H32" s="812"/>
      <c r="I32" s="813"/>
      <c r="J32" s="806"/>
      <c r="K32" s="765"/>
      <c r="L32" s="807"/>
    </row>
    <row r="33" spans="1:12" ht="26.25" customHeight="1">
      <c r="A33" s="810" t="s">
        <v>4129</v>
      </c>
      <c r="B33" s="811"/>
      <c r="C33" s="811"/>
      <c r="D33" s="812"/>
      <c r="E33" s="812"/>
      <c r="F33" s="812"/>
      <c r="G33" s="812"/>
      <c r="H33" s="812"/>
      <c r="I33" s="813"/>
      <c r="J33" s="806"/>
      <c r="K33" s="765"/>
      <c r="L33" s="807"/>
    </row>
    <row r="34" spans="1:12" ht="29.25" customHeight="1">
      <c r="A34" s="814" t="s">
        <v>9568</v>
      </c>
      <c r="B34" s="815"/>
      <c r="C34" s="815"/>
      <c r="D34" s="816"/>
      <c r="E34" s="816"/>
      <c r="F34" s="816"/>
      <c r="G34" s="816"/>
      <c r="H34" s="816"/>
      <c r="I34" s="817"/>
      <c r="J34" s="806"/>
      <c r="K34" s="765"/>
      <c r="L34" s="807"/>
    </row>
    <row r="35" spans="1:12" ht="16.5" customHeight="1">
      <c r="A35" s="818" t="s">
        <v>789</v>
      </c>
      <c r="B35" s="819"/>
      <c r="C35" s="819"/>
      <c r="D35" s="765"/>
      <c r="E35" s="765"/>
      <c r="F35" s="765"/>
      <c r="G35" s="765"/>
      <c r="H35" s="765"/>
      <c r="I35" s="766"/>
      <c r="J35" s="806"/>
      <c r="K35" s="765"/>
      <c r="L35" s="807"/>
    </row>
    <row r="36" spans="1:12" ht="32.25" customHeight="1">
      <c r="A36" s="770" t="s">
        <v>8263</v>
      </c>
      <c r="B36" s="771"/>
      <c r="C36" s="771"/>
      <c r="D36" s="772"/>
      <c r="E36" s="772"/>
      <c r="F36" s="772"/>
      <c r="G36" s="772"/>
      <c r="H36" s="772"/>
      <c r="I36" s="773"/>
      <c r="J36" s="806"/>
      <c r="K36" s="765"/>
      <c r="L36" s="807"/>
    </row>
    <row r="37" spans="1:12" ht="15" customHeight="1">
      <c r="A37" s="774" t="s">
        <v>790</v>
      </c>
      <c r="B37" s="775"/>
      <c r="C37" s="775"/>
      <c r="D37" s="765"/>
      <c r="E37" s="765"/>
      <c r="F37" s="765"/>
      <c r="G37" s="765"/>
      <c r="H37" s="765"/>
      <c r="I37" s="766"/>
      <c r="J37" s="806"/>
      <c r="K37" s="765"/>
      <c r="L37" s="807"/>
    </row>
    <row r="38" spans="1:12" ht="15" customHeight="1">
      <c r="A38" s="774" t="s">
        <v>791</v>
      </c>
      <c r="B38" s="775"/>
      <c r="C38" s="775"/>
      <c r="D38" s="765"/>
      <c r="E38" s="765"/>
      <c r="F38" s="765"/>
      <c r="G38" s="765"/>
      <c r="H38" s="765"/>
      <c r="I38" s="766"/>
      <c r="J38" s="806"/>
      <c r="K38" s="765"/>
      <c r="L38" s="807"/>
    </row>
    <row r="39" spans="1:12" ht="15" customHeight="1">
      <c r="A39" s="774" t="s">
        <v>792</v>
      </c>
      <c r="B39" s="775"/>
      <c r="C39" s="775"/>
      <c r="D39" s="765"/>
      <c r="E39" s="765"/>
      <c r="F39" s="765"/>
      <c r="G39" s="765"/>
      <c r="H39" s="765"/>
      <c r="I39" s="766"/>
      <c r="J39" s="806"/>
      <c r="K39" s="765"/>
      <c r="L39" s="807"/>
    </row>
    <row r="40" spans="1:12" ht="26.25" customHeight="1">
      <c r="A40" s="774" t="s">
        <v>793</v>
      </c>
      <c r="B40" s="775"/>
      <c r="C40" s="775"/>
      <c r="D40" s="765"/>
      <c r="E40" s="765"/>
      <c r="F40" s="765"/>
      <c r="G40" s="765"/>
      <c r="H40" s="765"/>
      <c r="I40" s="766"/>
      <c r="J40" s="806"/>
      <c r="K40" s="765"/>
      <c r="L40" s="807"/>
    </row>
    <row r="41" spans="1:12" ht="15" customHeight="1">
      <c r="A41" s="774" t="s">
        <v>1576</v>
      </c>
      <c r="B41" s="775"/>
      <c r="C41" s="775"/>
      <c r="D41" s="765"/>
      <c r="E41" s="765"/>
      <c r="F41" s="765"/>
      <c r="G41" s="765"/>
      <c r="H41" s="765"/>
      <c r="I41" s="766"/>
      <c r="J41" s="806"/>
      <c r="K41" s="765"/>
      <c r="L41" s="807"/>
    </row>
    <row r="42" spans="1:12" ht="28.5" customHeight="1">
      <c r="A42" s="776" t="s">
        <v>8266</v>
      </c>
      <c r="B42" s="777"/>
      <c r="C42" s="777"/>
      <c r="D42" s="765"/>
      <c r="E42" s="765"/>
      <c r="F42" s="765"/>
      <c r="G42" s="765"/>
      <c r="H42" s="765"/>
      <c r="I42" s="766"/>
      <c r="J42" s="778" t="str">
        <f>Adjudicação!A85</f>
        <v>DIEGO FERNANDES DA SILVA</v>
      </c>
      <c r="K42" s="779"/>
      <c r="L42" s="780"/>
    </row>
    <row r="43" spans="1:12" ht="15" customHeight="1">
      <c r="A43" s="763" t="s">
        <v>794</v>
      </c>
      <c r="B43" s="764"/>
      <c r="C43" s="764"/>
      <c r="D43" s="765"/>
      <c r="E43" s="765"/>
      <c r="F43" s="765"/>
      <c r="G43" s="765"/>
      <c r="H43" s="765"/>
      <c r="I43" s="766"/>
      <c r="J43" s="781" t="str">
        <f>Adjudicação!A86</f>
        <v>Diretor(a) Administrativo(a)/SRSSU</v>
      </c>
      <c r="K43" s="782"/>
      <c r="L43" s="783"/>
    </row>
    <row r="44" spans="1:12" ht="15" customHeight="1">
      <c r="A44" s="763" t="s">
        <v>1812</v>
      </c>
      <c r="B44" s="764"/>
      <c r="C44" s="764"/>
      <c r="D44" s="765"/>
      <c r="E44" s="765"/>
      <c r="F44" s="765"/>
      <c r="G44" s="765"/>
      <c r="H44" s="765"/>
      <c r="I44" s="766"/>
      <c r="J44" s="767" t="str">
        <f>Adjudicação!A87</f>
        <v>Matrícula: 1.693.844-5</v>
      </c>
      <c r="K44" s="768"/>
      <c r="L44" s="769"/>
    </row>
    <row r="45" spans="1:12" ht="51" customHeight="1" thickBot="1">
      <c r="A45" s="763" t="s">
        <v>1619</v>
      </c>
      <c r="B45" s="764"/>
      <c r="C45" s="764"/>
      <c r="D45" s="765"/>
      <c r="E45" s="765"/>
      <c r="F45" s="765"/>
      <c r="G45" s="765"/>
      <c r="H45" s="765"/>
      <c r="I45" s="766"/>
      <c r="J45" s="784"/>
      <c r="K45" s="785"/>
      <c r="L45" s="786"/>
    </row>
    <row r="46" spans="1:12" ht="15.75" thickBot="1">
      <c r="A46" s="821" t="s">
        <v>2990</v>
      </c>
      <c r="B46" s="822"/>
      <c r="C46" s="822"/>
      <c r="D46" s="822"/>
      <c r="E46" s="822"/>
      <c r="F46" s="822"/>
      <c r="G46" s="822"/>
      <c r="H46" s="822"/>
      <c r="I46" s="823"/>
      <c r="J46" s="785"/>
      <c r="K46" s="785"/>
      <c r="L46" s="786"/>
    </row>
    <row r="47" spans="1:12" ht="15.75" customHeight="1" thickBot="1">
      <c r="A47" s="787" t="s">
        <v>795</v>
      </c>
      <c r="B47" s="788"/>
      <c r="C47" s="788"/>
      <c r="D47" s="789"/>
      <c r="E47" s="789"/>
      <c r="F47" s="789"/>
      <c r="G47" s="789"/>
      <c r="H47" s="789"/>
      <c r="I47" s="790"/>
      <c r="J47" s="791"/>
      <c r="K47" s="792"/>
      <c r="L47" s="793"/>
    </row>
    <row r="48" spans="1:12" ht="11.25" customHeight="1">
      <c r="A48" s="761" t="s">
        <v>673</v>
      </c>
      <c r="B48" s="762"/>
      <c r="C48" s="762"/>
      <c r="D48" s="762"/>
      <c r="E48" s="762"/>
      <c r="F48" s="762"/>
      <c r="G48" s="762"/>
      <c r="H48" s="762"/>
      <c r="I48" s="762"/>
      <c r="J48" s="762"/>
      <c r="K48" s="762"/>
      <c r="L48" s="17"/>
    </row>
    <row r="49" spans="1:12" ht="11.25" customHeight="1">
      <c r="A49" s="797" t="s">
        <v>2737</v>
      </c>
      <c r="B49" s="798"/>
      <c r="C49" s="798"/>
      <c r="D49" s="798"/>
      <c r="E49" s="798"/>
      <c r="F49" s="798"/>
      <c r="G49" s="798"/>
      <c r="H49" s="798"/>
      <c r="I49" s="798"/>
      <c r="J49" s="798"/>
      <c r="K49" s="798"/>
      <c r="L49" s="18"/>
    </row>
    <row r="50" spans="1:12" ht="11.25" customHeight="1">
      <c r="A50" s="820" t="s">
        <v>2738</v>
      </c>
      <c r="B50" s="798"/>
      <c r="C50" s="798"/>
      <c r="D50" s="798"/>
      <c r="E50" s="798"/>
      <c r="F50" s="798"/>
      <c r="G50" s="798"/>
      <c r="H50" s="798"/>
      <c r="I50" s="798"/>
      <c r="J50" s="798"/>
      <c r="K50" s="798"/>
      <c r="L50" s="19"/>
    </row>
    <row r="51" spans="1:12" ht="11.25" customHeight="1">
      <c r="A51" s="797" t="s">
        <v>5743</v>
      </c>
      <c r="B51" s="798"/>
      <c r="C51" s="798"/>
      <c r="D51" s="798"/>
      <c r="E51" s="798"/>
      <c r="F51" s="798"/>
      <c r="G51" s="798"/>
      <c r="H51" s="798"/>
      <c r="I51" s="798"/>
      <c r="J51" s="798"/>
      <c r="K51" s="798"/>
      <c r="L51" s="18"/>
    </row>
    <row r="52" spans="1:12">
      <c r="A52" s="7"/>
      <c r="B52" s="7"/>
      <c r="C52" s="7"/>
      <c r="D52" s="7"/>
      <c r="E52" s="7"/>
      <c r="F52" s="7"/>
      <c r="G52" s="7"/>
      <c r="H52" s="7"/>
      <c r="I52" s="7"/>
      <c r="J52" s="7"/>
      <c r="K52" s="7"/>
      <c r="L52" s="7"/>
    </row>
  </sheetData>
  <sheetProtection formatCells="0" formatColumns="0" formatRows="0"/>
  <mergeCells count="55">
    <mergeCell ref="A48:K48"/>
    <mergeCell ref="A49:K49"/>
    <mergeCell ref="A50:K50"/>
    <mergeCell ref="A51:K51"/>
    <mergeCell ref="A37:I37"/>
    <mergeCell ref="J46:L46"/>
    <mergeCell ref="J47:L47"/>
    <mergeCell ref="A42:I42"/>
    <mergeCell ref="A43:I43"/>
    <mergeCell ref="A44:I44"/>
    <mergeCell ref="A45:I45"/>
    <mergeCell ref="A46:I46"/>
    <mergeCell ref="J43:L43"/>
    <mergeCell ref="J44:L44"/>
    <mergeCell ref="A38:I38"/>
    <mergeCell ref="A39:I39"/>
    <mergeCell ref="A9:B9"/>
    <mergeCell ref="A15:L15"/>
    <mergeCell ref="A10:B10"/>
    <mergeCell ref="A11:L12"/>
    <mergeCell ref="A13:L13"/>
    <mergeCell ref="A14:L14"/>
    <mergeCell ref="C9:L10"/>
    <mergeCell ref="A47:I47"/>
    <mergeCell ref="J30:L41"/>
    <mergeCell ref="K7:L7"/>
    <mergeCell ref="H7:J7"/>
    <mergeCell ref="C29:J29"/>
    <mergeCell ref="C28:J28"/>
    <mergeCell ref="C27:J27"/>
    <mergeCell ref="C26:J26"/>
    <mergeCell ref="C25:J25"/>
    <mergeCell ref="C24:J24"/>
    <mergeCell ref="A41:I41"/>
    <mergeCell ref="A7:G7"/>
    <mergeCell ref="A8:L8"/>
    <mergeCell ref="A34:I34"/>
    <mergeCell ref="A35:I35"/>
    <mergeCell ref="A36:I36"/>
    <mergeCell ref="B6:L6"/>
    <mergeCell ref="J45:L45"/>
    <mergeCell ref="J42:L42"/>
    <mergeCell ref="A40:I40"/>
    <mergeCell ref="C17:J17"/>
    <mergeCell ref="C18:J18"/>
    <mergeCell ref="A30:I30"/>
    <mergeCell ref="A31:I31"/>
    <mergeCell ref="A32:I32"/>
    <mergeCell ref="A33:I33"/>
    <mergeCell ref="A16:L16"/>
    <mergeCell ref="C23:J23"/>
    <mergeCell ref="C22:J22"/>
    <mergeCell ref="C21:J21"/>
    <mergeCell ref="C20:J20"/>
    <mergeCell ref="C19:J19"/>
  </mergeCells>
  <conditionalFormatting sqref="B18:B29 K18:K29">
    <cfRule type="containsErrors" dxfId="767" priority="3" stopIfTrue="1">
      <formula>ISERROR(B18)</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AF1500"/>
  <sheetViews>
    <sheetView view="pageBreakPreview" zoomScaleSheetLayoutView="100" workbookViewId="0">
      <selection activeCell="AF3" sqref="AF3"/>
    </sheetView>
  </sheetViews>
  <sheetFormatPr defaultRowHeight="15"/>
  <cols>
    <col min="1" max="1" width="11.140625" customWidth="1"/>
    <col min="2" max="2" width="7" customWidth="1"/>
    <col min="5" max="5" width="13.85546875" customWidth="1"/>
    <col min="6" max="6" width="10" customWidth="1"/>
    <col min="8" max="8" width="8.28515625" customWidth="1"/>
    <col min="9" max="9" width="9.140625" customWidth="1"/>
    <col min="10" max="10" width="13.7109375" customWidth="1"/>
    <col min="11" max="11" width="7.42578125" customWidth="1"/>
    <col min="12" max="12" width="10.85546875" bestFit="1" customWidth="1"/>
  </cols>
  <sheetData>
    <row r="1" spans="1:32">
      <c r="A1" s="7"/>
      <c r="B1" s="7"/>
      <c r="C1" s="7"/>
      <c r="D1" s="7"/>
      <c r="E1" s="7"/>
      <c r="F1" s="7"/>
      <c r="G1" s="7"/>
      <c r="H1" s="7"/>
      <c r="I1" s="7"/>
      <c r="J1" s="7"/>
      <c r="K1" s="7"/>
      <c r="L1" s="7"/>
    </row>
    <row r="2" spans="1:32">
      <c r="A2" s="7"/>
      <c r="B2" s="7"/>
      <c r="C2" s="7"/>
      <c r="D2" s="7"/>
      <c r="E2" s="7"/>
      <c r="F2" s="7"/>
      <c r="G2" s="7"/>
      <c r="H2" s="7"/>
      <c r="I2" s="7"/>
      <c r="J2" s="7"/>
      <c r="K2" s="7"/>
      <c r="L2" s="7"/>
    </row>
    <row r="3" spans="1:32">
      <c r="A3" s="7"/>
      <c r="B3" s="7"/>
      <c r="C3" s="7"/>
      <c r="D3" s="7"/>
      <c r="E3" s="7"/>
      <c r="F3" s="7"/>
      <c r="G3" s="7"/>
      <c r="H3" s="7"/>
      <c r="I3" s="7"/>
      <c r="J3" s="7"/>
      <c r="K3" s="7"/>
      <c r="L3" s="7"/>
    </row>
    <row r="4" spans="1:32">
      <c r="A4" s="7"/>
      <c r="B4" s="7"/>
      <c r="C4" s="7"/>
      <c r="D4" s="7"/>
      <c r="E4" s="7"/>
      <c r="F4" s="7"/>
      <c r="G4" s="7"/>
      <c r="H4" s="7"/>
      <c r="I4" s="7"/>
      <c r="J4" s="7"/>
      <c r="K4" s="7"/>
      <c r="L4" s="7"/>
      <c r="AF4" s="65"/>
    </row>
    <row r="5" spans="1:32">
      <c r="A5" s="7"/>
      <c r="B5" s="7"/>
      <c r="C5" s="7"/>
      <c r="D5" s="7"/>
      <c r="E5" s="7"/>
      <c r="F5" s="7"/>
      <c r="G5" s="7"/>
      <c r="H5" s="7"/>
      <c r="I5" s="7"/>
      <c r="J5" s="7"/>
      <c r="K5" s="7"/>
      <c r="L5" s="7"/>
      <c r="AF5" s="65"/>
    </row>
    <row r="6" spans="1:32" s="34" customFormat="1" ht="15.75" customHeight="1" thickBot="1">
      <c r="A6" s="47" t="s">
        <v>4363</v>
      </c>
      <c r="B6" s="832"/>
      <c r="C6" s="833"/>
      <c r="D6" s="833"/>
      <c r="E6" s="833"/>
      <c r="F6" s="833"/>
      <c r="G6" s="833"/>
      <c r="H6" s="833"/>
      <c r="I6" s="833"/>
      <c r="J6" s="833"/>
      <c r="K6" s="833"/>
      <c r="L6" s="833"/>
      <c r="AF6" s="65"/>
    </row>
    <row r="7" spans="1:32" ht="23.25" customHeight="1" thickBot="1">
      <c r="A7" s="834" t="s">
        <v>2735</v>
      </c>
      <c r="B7" s="835"/>
      <c r="C7" s="835"/>
      <c r="D7" s="835"/>
      <c r="E7" s="835"/>
      <c r="F7" s="835"/>
      <c r="G7" s="836"/>
      <c r="H7" s="837" t="s">
        <v>797</v>
      </c>
      <c r="I7" s="838"/>
      <c r="J7" s="838"/>
      <c r="K7" s="839" t="str">
        <f>Mapa!$I$1</f>
        <v>xxx/2020</v>
      </c>
      <c r="L7" s="840"/>
      <c r="N7" s="6"/>
      <c r="AF7" s="65"/>
    </row>
    <row r="8" spans="1:32" ht="4.5" customHeight="1" thickBot="1">
      <c r="A8" s="841"/>
      <c r="B8" s="842"/>
      <c r="C8" s="842"/>
      <c r="D8" s="842"/>
      <c r="E8" s="842"/>
      <c r="F8" s="842"/>
      <c r="G8" s="842"/>
      <c r="H8" s="842"/>
      <c r="I8" s="842"/>
      <c r="J8" s="842"/>
      <c r="K8" s="842"/>
      <c r="L8" s="842"/>
      <c r="AF8" s="65"/>
    </row>
    <row r="9" spans="1:32" ht="20.25" customHeight="1">
      <c r="A9" s="843" t="s">
        <v>796</v>
      </c>
      <c r="B9" s="844"/>
      <c r="C9" s="852" t="s">
        <v>3684</v>
      </c>
      <c r="D9" s="853"/>
      <c r="E9" s="853"/>
      <c r="F9" s="853"/>
      <c r="G9" s="853"/>
      <c r="H9" s="853"/>
      <c r="I9" s="853"/>
      <c r="J9" s="853"/>
      <c r="K9" s="853"/>
      <c r="L9" s="854"/>
      <c r="AF9" s="65"/>
    </row>
    <row r="10" spans="1:32" ht="21" customHeight="1" thickBot="1">
      <c r="A10" s="845" t="s">
        <v>2739</v>
      </c>
      <c r="B10" s="846"/>
      <c r="C10" s="855"/>
      <c r="D10" s="856"/>
      <c r="E10" s="856"/>
      <c r="F10" s="856"/>
      <c r="G10" s="856"/>
      <c r="H10" s="856"/>
      <c r="I10" s="856"/>
      <c r="J10" s="856"/>
      <c r="K10" s="856"/>
      <c r="L10" s="857"/>
      <c r="AF10" s="65"/>
    </row>
    <row r="11" spans="1:32">
      <c r="A11" s="847" t="s">
        <v>783</v>
      </c>
      <c r="B11" s="848"/>
      <c r="C11" s="848"/>
      <c r="D11" s="848"/>
      <c r="E11" s="848"/>
      <c r="F11" s="848"/>
      <c r="G11" s="848"/>
      <c r="H11" s="848"/>
      <c r="I11" s="848"/>
      <c r="J11" s="848"/>
      <c r="K11" s="848"/>
      <c r="L11" s="848"/>
      <c r="AF11" s="65"/>
    </row>
    <row r="12" spans="1:32" ht="15.75" thickBot="1">
      <c r="A12" s="849"/>
      <c r="B12" s="849"/>
      <c r="C12" s="849"/>
      <c r="D12" s="849"/>
      <c r="E12" s="849"/>
      <c r="F12" s="849"/>
      <c r="G12" s="849"/>
      <c r="H12" s="849"/>
      <c r="I12" s="849"/>
      <c r="J12" s="849"/>
      <c r="K12" s="849"/>
      <c r="L12" s="849"/>
      <c r="AF12" s="65"/>
    </row>
    <row r="13" spans="1:32" ht="15" customHeight="1">
      <c r="A13" s="850" t="s">
        <v>784</v>
      </c>
      <c r="B13" s="851"/>
      <c r="C13" s="851"/>
      <c r="D13" s="851"/>
      <c r="E13" s="851"/>
      <c r="F13" s="851"/>
      <c r="G13" s="765"/>
      <c r="H13" s="765"/>
      <c r="I13" s="765"/>
      <c r="J13" s="765"/>
      <c r="K13" s="765"/>
      <c r="L13" s="807"/>
      <c r="AF13" s="65"/>
    </row>
    <row r="14" spans="1:32">
      <c r="A14" s="808" t="s">
        <v>785</v>
      </c>
      <c r="B14" s="809"/>
      <c r="C14" s="809"/>
      <c r="D14" s="809"/>
      <c r="E14" s="809"/>
      <c r="F14" s="809"/>
      <c r="G14" s="765"/>
      <c r="H14" s="765"/>
      <c r="I14" s="765"/>
      <c r="J14" s="765"/>
      <c r="K14" s="765"/>
      <c r="L14" s="807"/>
      <c r="AF14" s="65"/>
    </row>
    <row r="15" spans="1:32" ht="51" customHeight="1">
      <c r="A15" s="824" t="s">
        <v>2736</v>
      </c>
      <c r="B15" s="825"/>
      <c r="C15" s="825"/>
      <c r="D15" s="825"/>
      <c r="E15" s="825"/>
      <c r="F15" s="825"/>
      <c r="G15" s="826"/>
      <c r="H15" s="826"/>
      <c r="I15" s="826"/>
      <c r="J15" s="826"/>
      <c r="K15" s="826"/>
      <c r="L15" s="827"/>
      <c r="AF15" s="65"/>
    </row>
    <row r="16" spans="1:32" ht="30" customHeight="1" thickBot="1">
      <c r="A16" s="828" t="s">
        <v>786</v>
      </c>
      <c r="B16" s="829"/>
      <c r="C16" s="829"/>
      <c r="D16" s="829"/>
      <c r="E16" s="829"/>
      <c r="F16" s="829"/>
      <c r="G16" s="765"/>
      <c r="H16" s="765"/>
      <c r="I16" s="765"/>
      <c r="J16" s="765"/>
      <c r="K16" s="765"/>
      <c r="L16" s="807"/>
      <c r="AF16" s="65"/>
    </row>
    <row r="17" spans="1:32" ht="15.75" customHeight="1" thickBot="1">
      <c r="A17" s="12" t="s">
        <v>619</v>
      </c>
      <c r="B17" s="13" t="s">
        <v>787</v>
      </c>
      <c r="C17" s="830" t="s">
        <v>664</v>
      </c>
      <c r="D17" s="831"/>
      <c r="E17" s="831"/>
      <c r="F17" s="831"/>
      <c r="G17" s="831"/>
      <c r="H17" s="831"/>
      <c r="I17" s="831"/>
      <c r="J17" s="831"/>
      <c r="K17" s="13" t="s">
        <v>665</v>
      </c>
      <c r="L17" s="14" t="s">
        <v>624</v>
      </c>
      <c r="AF17" s="65"/>
    </row>
    <row r="18" spans="1:32" s="35" customFormat="1" ht="15.75" thickBot="1">
      <c r="A18" s="15">
        <v>1</v>
      </c>
      <c r="B18" s="36" t="e">
        <f>IF(ISBLANK(Mapa!$G$3),"",Mapa!$G$3)</f>
        <v>#N/A</v>
      </c>
      <c r="C18" s="794" t="str">
        <f>Mapa!$B$4</f>
        <v/>
      </c>
      <c r="D18" s="795"/>
      <c r="E18" s="795"/>
      <c r="F18" s="795"/>
      <c r="G18" s="795"/>
      <c r="H18" s="795"/>
      <c r="I18" s="795"/>
      <c r="J18" s="796"/>
      <c r="K18" s="48" t="e">
        <f>IF(ISBLANK(Mapa!$D$4),"",Mapa!$D$4)</f>
        <v>#N/A</v>
      </c>
      <c r="L18" s="16" t="str">
        <f>Mapa!$G$4</f>
        <v/>
      </c>
      <c r="AF18" s="65"/>
    </row>
    <row r="19" spans="1:32" s="35" customFormat="1" ht="15.75" thickBot="1">
      <c r="A19" s="15">
        <v>2</v>
      </c>
      <c r="B19" s="36" t="e">
        <f>IF(ISBLANK(Mapa!$M$3),"",Mapa!$M$3)</f>
        <v>#N/A</v>
      </c>
      <c r="C19" s="794" t="str">
        <f>Mapa!$H$4</f>
        <v/>
      </c>
      <c r="D19" s="795"/>
      <c r="E19" s="795"/>
      <c r="F19" s="795"/>
      <c r="G19" s="795"/>
      <c r="H19" s="795"/>
      <c r="I19" s="795"/>
      <c r="J19" s="796"/>
      <c r="K19" s="48" t="e">
        <f>IF(ISBLANK(Mapa!$J$4),"",Mapa!$J$4)</f>
        <v>#N/A</v>
      </c>
      <c r="L19" s="16" t="str">
        <f>Mapa!$M$4</f>
        <v/>
      </c>
      <c r="AF19" s="65"/>
    </row>
    <row r="20" spans="1:32" s="35" customFormat="1" ht="15.75" thickBot="1">
      <c r="A20" s="15">
        <v>3</v>
      </c>
      <c r="B20" s="36" t="e">
        <f>IF(ISBLANK(Mapa!$S$3),"",Mapa!$S$3)</f>
        <v>#N/A</v>
      </c>
      <c r="C20" s="794" t="str">
        <f>Mapa!$N$4</f>
        <v/>
      </c>
      <c r="D20" s="795"/>
      <c r="E20" s="795"/>
      <c r="F20" s="795"/>
      <c r="G20" s="795"/>
      <c r="H20" s="795"/>
      <c r="I20" s="795"/>
      <c r="J20" s="796"/>
      <c r="K20" s="48" t="e">
        <f>IF(ISBLANK(Mapa!$P$4),"",Mapa!$P$4)</f>
        <v>#N/A</v>
      </c>
      <c r="L20" s="16" t="str">
        <f>Mapa!$S$4</f>
        <v/>
      </c>
      <c r="AF20" s="65"/>
    </row>
    <row r="21" spans="1:32" s="35" customFormat="1" ht="15" customHeight="1" thickBot="1">
      <c r="A21" s="15">
        <v>4</v>
      </c>
      <c r="B21" s="36" t="e">
        <f>IF(ISBLANK(Mapa!$G$20),"",Mapa!$G$20)</f>
        <v>#N/A</v>
      </c>
      <c r="C21" s="794" t="str">
        <f>Mapa!$B$21</f>
        <v/>
      </c>
      <c r="D21" s="795"/>
      <c r="E21" s="795"/>
      <c r="F21" s="795"/>
      <c r="G21" s="795"/>
      <c r="H21" s="795"/>
      <c r="I21" s="795"/>
      <c r="J21" s="796"/>
      <c r="K21" s="48" t="e">
        <f>IF(ISBLANK(Mapa!$D$21),"",Mapa!$D$21)</f>
        <v>#N/A</v>
      </c>
      <c r="L21" s="16" t="str">
        <f>Mapa!$G$21</f>
        <v/>
      </c>
      <c r="AF21" s="65"/>
    </row>
    <row r="22" spans="1:32" s="35" customFormat="1" ht="15.75" thickBot="1">
      <c r="A22" s="15">
        <v>5</v>
      </c>
      <c r="B22" s="36" t="e">
        <f>IF(ISBLANK(Mapa!$M$20),"",Mapa!$M$20)</f>
        <v>#N/A</v>
      </c>
      <c r="C22" s="794" t="str">
        <f>Mapa!$H$21</f>
        <v/>
      </c>
      <c r="D22" s="795"/>
      <c r="E22" s="795"/>
      <c r="F22" s="795"/>
      <c r="G22" s="795"/>
      <c r="H22" s="795"/>
      <c r="I22" s="795"/>
      <c r="J22" s="796"/>
      <c r="K22" s="48" t="e">
        <f>IF(ISBLANK(Mapa!$J$21),"",Mapa!$J$21)</f>
        <v>#N/A</v>
      </c>
      <c r="L22" s="16" t="str">
        <f>Mapa!$M$21</f>
        <v/>
      </c>
      <c r="AF22" s="65"/>
    </row>
    <row r="23" spans="1:32" s="35" customFormat="1" ht="15.75" thickBot="1">
      <c r="A23" s="15">
        <v>6</v>
      </c>
      <c r="B23" s="36" t="e">
        <f>IF(ISBLANK(Mapa!$S$20),"",Mapa!$S$20)</f>
        <v>#N/A</v>
      </c>
      <c r="C23" s="794" t="str">
        <f>Mapa!$N$21</f>
        <v/>
      </c>
      <c r="D23" s="795"/>
      <c r="E23" s="795"/>
      <c r="F23" s="795"/>
      <c r="G23" s="795"/>
      <c r="H23" s="795"/>
      <c r="I23" s="795"/>
      <c r="J23" s="796"/>
      <c r="K23" s="48" t="e">
        <f>IF(ISBLANK(Mapa!$P$21),"",Mapa!$P$21)</f>
        <v>#N/A</v>
      </c>
      <c r="L23" s="16" t="str">
        <f>Mapa!$S$21</f>
        <v/>
      </c>
      <c r="AF23" s="65"/>
    </row>
    <row r="24" spans="1:32" s="35" customFormat="1" ht="15.75" thickBot="1">
      <c r="A24" s="15">
        <v>7</v>
      </c>
      <c r="B24" s="36" t="e">
        <f>IF(ISBLANK(Mapa!$G$37),"",Mapa!$G$37)</f>
        <v>#N/A</v>
      </c>
      <c r="C24" s="794" t="str">
        <f>Mapa!$B$38</f>
        <v/>
      </c>
      <c r="D24" s="795"/>
      <c r="E24" s="795"/>
      <c r="F24" s="795"/>
      <c r="G24" s="795"/>
      <c r="H24" s="795"/>
      <c r="I24" s="795"/>
      <c r="J24" s="796"/>
      <c r="K24" s="48" t="e">
        <f>IF(ISBLANK(Mapa!$D$38),"",Mapa!$D$38)</f>
        <v>#N/A</v>
      </c>
      <c r="L24" s="16" t="str">
        <f>Mapa!$G$38</f>
        <v/>
      </c>
      <c r="AF24" s="65"/>
    </row>
    <row r="25" spans="1:32" s="35" customFormat="1" ht="15.75" thickBot="1">
      <c r="A25" s="15">
        <v>8</v>
      </c>
      <c r="B25" s="36" t="e">
        <f>IF(ISBLANK(Mapa!$M$37),"",Mapa!$M$37)</f>
        <v>#N/A</v>
      </c>
      <c r="C25" s="794" t="str">
        <f>Mapa!$H$38</f>
        <v/>
      </c>
      <c r="D25" s="795"/>
      <c r="E25" s="795"/>
      <c r="F25" s="795"/>
      <c r="G25" s="795"/>
      <c r="H25" s="795"/>
      <c r="I25" s="795"/>
      <c r="J25" s="796"/>
      <c r="K25" s="48" t="e">
        <f>IF(ISBLANK(Mapa!$J$38),"",Mapa!$J$38)</f>
        <v>#N/A</v>
      </c>
      <c r="L25" s="16" t="str">
        <f>Mapa!$M$38</f>
        <v/>
      </c>
      <c r="AF25" s="65"/>
    </row>
    <row r="26" spans="1:32" s="35" customFormat="1" ht="15.75" thickBot="1">
      <c r="A26" s="15">
        <v>9</v>
      </c>
      <c r="B26" s="36" t="e">
        <f>IF(ISBLANK(Mapa!$S$37),"",Mapa!$S$37)</f>
        <v>#N/A</v>
      </c>
      <c r="C26" s="794" t="str">
        <f>Mapa!$N$38</f>
        <v/>
      </c>
      <c r="D26" s="795"/>
      <c r="E26" s="795"/>
      <c r="F26" s="795"/>
      <c r="G26" s="795"/>
      <c r="H26" s="795"/>
      <c r="I26" s="795"/>
      <c r="J26" s="796"/>
      <c r="K26" s="48" t="e">
        <f>IF(ISBLANK(Mapa!$P$38),"",Mapa!$P$38)</f>
        <v>#N/A</v>
      </c>
      <c r="L26" s="16" t="str">
        <f>Mapa!$S$38</f>
        <v/>
      </c>
      <c r="AF26" s="65"/>
    </row>
    <row r="27" spans="1:32" s="35" customFormat="1" ht="15.75" thickBot="1">
      <c r="A27" s="15">
        <v>10</v>
      </c>
      <c r="B27" s="36" t="e">
        <f>IF(ISBLANK(Mapa!$G$54),"",Mapa!$G$54)</f>
        <v>#N/A</v>
      </c>
      <c r="C27" s="794" t="str">
        <f>Mapa!$B$55</f>
        <v/>
      </c>
      <c r="D27" s="795"/>
      <c r="E27" s="795"/>
      <c r="F27" s="795"/>
      <c r="G27" s="795"/>
      <c r="H27" s="795"/>
      <c r="I27" s="795"/>
      <c r="J27" s="796"/>
      <c r="K27" s="48" t="e">
        <f>IF(ISBLANK(Mapa!$D$55),"",Mapa!$D$55)</f>
        <v>#N/A</v>
      </c>
      <c r="L27" s="16" t="str">
        <f>Mapa!$G$55</f>
        <v/>
      </c>
      <c r="AF27" s="65"/>
    </row>
    <row r="28" spans="1:32" s="35" customFormat="1" ht="15.75" thickBot="1">
      <c r="A28" s="15">
        <v>11</v>
      </c>
      <c r="B28" s="36" t="e">
        <f>IF(ISBLANK(Mapa!$M$54),"",Mapa!$M$54)</f>
        <v>#N/A</v>
      </c>
      <c r="C28" s="794" t="str">
        <f>Mapa!$H$55</f>
        <v/>
      </c>
      <c r="D28" s="795"/>
      <c r="E28" s="795"/>
      <c r="F28" s="795"/>
      <c r="G28" s="795"/>
      <c r="H28" s="795"/>
      <c r="I28" s="795"/>
      <c r="J28" s="796"/>
      <c r="K28" s="48" t="e">
        <f>IF(ISBLANK(Mapa!$J$55),"",Mapa!$J$55)</f>
        <v>#N/A</v>
      </c>
      <c r="L28" s="16" t="str">
        <f>Mapa!$M$55</f>
        <v/>
      </c>
      <c r="AF28" s="65"/>
    </row>
    <row r="29" spans="1:32" s="35" customFormat="1" ht="15.75" thickBot="1">
      <c r="A29" s="15">
        <v>12</v>
      </c>
      <c r="B29" s="36" t="e">
        <f>IF(ISBLANK(Mapa!$S$54),"",Mapa!$S$54)</f>
        <v>#N/A</v>
      </c>
      <c r="C29" s="794" t="str">
        <f>Mapa!$N$55</f>
        <v/>
      </c>
      <c r="D29" s="795"/>
      <c r="E29" s="795"/>
      <c r="F29" s="795"/>
      <c r="G29" s="795"/>
      <c r="H29" s="795"/>
      <c r="I29" s="795"/>
      <c r="J29" s="796"/>
      <c r="K29" s="48" t="e">
        <f>IF(ISBLANK(Mapa!$P$55),"",Mapa!$P$55)</f>
        <v>#N/A</v>
      </c>
      <c r="L29" s="16" t="str">
        <f>Mapa!$S$55</f>
        <v/>
      </c>
      <c r="AF29" s="65"/>
    </row>
    <row r="30" spans="1:32" ht="15" customHeight="1">
      <c r="A30" s="799" t="s">
        <v>788</v>
      </c>
      <c r="B30" s="800"/>
      <c r="C30" s="800"/>
      <c r="D30" s="801"/>
      <c r="E30" s="801"/>
      <c r="F30" s="801"/>
      <c r="G30" s="801"/>
      <c r="H30" s="801"/>
      <c r="I30" s="802"/>
      <c r="J30" s="803" t="s">
        <v>3655</v>
      </c>
      <c r="K30" s="804"/>
      <c r="L30" s="805"/>
      <c r="AF30" s="65"/>
    </row>
    <row r="31" spans="1:32" ht="19.5" customHeight="1">
      <c r="A31" s="808" t="s">
        <v>2741</v>
      </c>
      <c r="B31" s="809"/>
      <c r="C31" s="809"/>
      <c r="D31" s="765"/>
      <c r="E31" s="765"/>
      <c r="F31" s="765"/>
      <c r="G31" s="765"/>
      <c r="H31" s="765"/>
      <c r="I31" s="766"/>
      <c r="J31" s="806"/>
      <c r="K31" s="765"/>
      <c r="L31" s="807"/>
      <c r="AF31" s="65"/>
    </row>
    <row r="32" spans="1:32" ht="25.9" customHeight="1">
      <c r="A32" s="824" t="s">
        <v>8771</v>
      </c>
      <c r="B32" s="825"/>
      <c r="C32" s="825"/>
      <c r="D32" s="826"/>
      <c r="E32" s="826"/>
      <c r="F32" s="826"/>
      <c r="G32" s="826"/>
      <c r="H32" s="826"/>
      <c r="I32" s="858"/>
      <c r="J32" s="806"/>
      <c r="K32" s="765"/>
      <c r="L32" s="807"/>
      <c r="AF32" s="65"/>
    </row>
    <row r="33" spans="1:32" ht="25.9" customHeight="1">
      <c r="A33" s="859" t="s">
        <v>8772</v>
      </c>
      <c r="B33" s="860"/>
      <c r="C33" s="860"/>
      <c r="D33" s="861"/>
      <c r="E33" s="861"/>
      <c r="F33" s="861"/>
      <c r="G33" s="861"/>
      <c r="H33" s="861"/>
      <c r="I33" s="862"/>
      <c r="J33" s="806"/>
      <c r="K33" s="765"/>
      <c r="L33" s="807"/>
      <c r="AF33" s="65"/>
    </row>
    <row r="34" spans="1:32" ht="29.25" customHeight="1">
      <c r="A34" s="814" t="s">
        <v>2740</v>
      </c>
      <c r="B34" s="815"/>
      <c r="C34" s="815"/>
      <c r="D34" s="816"/>
      <c r="E34" s="816"/>
      <c r="F34" s="816"/>
      <c r="G34" s="816"/>
      <c r="H34" s="816"/>
      <c r="I34" s="817"/>
      <c r="J34" s="806"/>
      <c r="K34" s="765"/>
      <c r="L34" s="807"/>
      <c r="AF34" s="65"/>
    </row>
    <row r="35" spans="1:32" ht="16.5" customHeight="1">
      <c r="A35" s="818" t="s">
        <v>789</v>
      </c>
      <c r="B35" s="819"/>
      <c r="C35" s="819"/>
      <c r="D35" s="765"/>
      <c r="E35" s="765"/>
      <c r="F35" s="765"/>
      <c r="G35" s="765"/>
      <c r="H35" s="765"/>
      <c r="I35" s="766"/>
      <c r="J35" s="806"/>
      <c r="K35" s="765"/>
      <c r="L35" s="807"/>
      <c r="AF35" s="65"/>
    </row>
    <row r="36" spans="1:32" ht="32.25" customHeight="1">
      <c r="A36" s="770" t="s">
        <v>8263</v>
      </c>
      <c r="B36" s="771"/>
      <c r="C36" s="771"/>
      <c r="D36" s="772"/>
      <c r="E36" s="772"/>
      <c r="F36" s="772"/>
      <c r="G36" s="772"/>
      <c r="H36" s="772"/>
      <c r="I36" s="773"/>
      <c r="J36" s="806"/>
      <c r="K36" s="765"/>
      <c r="L36" s="807"/>
      <c r="AF36" s="65"/>
    </row>
    <row r="37" spans="1:32">
      <c r="A37" s="774" t="s">
        <v>790</v>
      </c>
      <c r="B37" s="775"/>
      <c r="C37" s="775"/>
      <c r="D37" s="765"/>
      <c r="E37" s="765"/>
      <c r="F37" s="765"/>
      <c r="G37" s="765"/>
      <c r="H37" s="765"/>
      <c r="I37" s="766"/>
      <c r="J37" s="806"/>
      <c r="K37" s="765"/>
      <c r="L37" s="807"/>
      <c r="AF37" s="65"/>
    </row>
    <row r="38" spans="1:32">
      <c r="A38" s="774" t="s">
        <v>791</v>
      </c>
      <c r="B38" s="775"/>
      <c r="C38" s="775"/>
      <c r="D38" s="765"/>
      <c r="E38" s="765"/>
      <c r="F38" s="765"/>
      <c r="G38" s="765"/>
      <c r="H38" s="765"/>
      <c r="I38" s="766"/>
      <c r="J38" s="806"/>
      <c r="K38" s="765"/>
      <c r="L38" s="807"/>
      <c r="AF38" s="65"/>
    </row>
    <row r="39" spans="1:32">
      <c r="A39" s="774" t="s">
        <v>792</v>
      </c>
      <c r="B39" s="775"/>
      <c r="C39" s="775"/>
      <c r="D39" s="765"/>
      <c r="E39" s="765"/>
      <c r="F39" s="765"/>
      <c r="G39" s="765"/>
      <c r="H39" s="765"/>
      <c r="I39" s="766"/>
      <c r="J39" s="806"/>
      <c r="K39" s="765"/>
      <c r="L39" s="807"/>
      <c r="AF39" s="65"/>
    </row>
    <row r="40" spans="1:32" ht="26.25" customHeight="1">
      <c r="A40" s="774" t="s">
        <v>793</v>
      </c>
      <c r="B40" s="775"/>
      <c r="C40" s="775"/>
      <c r="D40" s="765"/>
      <c r="E40" s="765"/>
      <c r="F40" s="765"/>
      <c r="G40" s="765"/>
      <c r="H40" s="765"/>
      <c r="I40" s="766"/>
      <c r="J40" s="806"/>
      <c r="K40" s="765"/>
      <c r="L40" s="807"/>
      <c r="AF40" s="65"/>
    </row>
    <row r="41" spans="1:32">
      <c r="A41" s="774" t="s">
        <v>1576</v>
      </c>
      <c r="B41" s="775"/>
      <c r="C41" s="775"/>
      <c r="D41" s="765"/>
      <c r="E41" s="765"/>
      <c r="F41" s="765"/>
      <c r="G41" s="765"/>
      <c r="H41" s="765"/>
      <c r="I41" s="766"/>
      <c r="J41" s="806"/>
      <c r="K41" s="765"/>
      <c r="L41" s="807"/>
      <c r="AF41" s="65"/>
    </row>
    <row r="42" spans="1:32" ht="25.5" customHeight="1">
      <c r="A42" s="776" t="s">
        <v>8266</v>
      </c>
      <c r="B42" s="777"/>
      <c r="C42" s="777"/>
      <c r="D42" s="765"/>
      <c r="E42" s="765"/>
      <c r="F42" s="765"/>
      <c r="G42" s="765"/>
      <c r="H42" s="765"/>
      <c r="I42" s="766"/>
      <c r="J42" s="778" t="str">
        <f>Adjudicação!A85</f>
        <v>DIEGO FERNANDES DA SILVA</v>
      </c>
      <c r="K42" s="779"/>
      <c r="L42" s="780"/>
      <c r="AF42" s="65"/>
    </row>
    <row r="43" spans="1:32">
      <c r="A43" s="763" t="s">
        <v>794</v>
      </c>
      <c r="B43" s="764"/>
      <c r="C43" s="764"/>
      <c r="D43" s="765"/>
      <c r="E43" s="765"/>
      <c r="F43" s="765"/>
      <c r="G43" s="765"/>
      <c r="H43" s="765"/>
      <c r="I43" s="766"/>
      <c r="J43" s="781" t="str">
        <f>Adjudicação!A86</f>
        <v>Diretor(a) Administrativo(a)/SRSSU</v>
      </c>
      <c r="K43" s="782"/>
      <c r="L43" s="783"/>
      <c r="AF43" s="65"/>
    </row>
    <row r="44" spans="1:32">
      <c r="A44" s="763" t="s">
        <v>1812</v>
      </c>
      <c r="B44" s="764"/>
      <c r="C44" s="764"/>
      <c r="D44" s="765"/>
      <c r="E44" s="765"/>
      <c r="F44" s="765"/>
      <c r="G44" s="765"/>
      <c r="H44" s="765"/>
      <c r="I44" s="766"/>
      <c r="J44" s="767" t="str">
        <f>Adjudicação!A87</f>
        <v>Matrícula: 1.693.844-5</v>
      </c>
      <c r="K44" s="768"/>
      <c r="L44" s="769"/>
      <c r="AF44" s="65"/>
    </row>
    <row r="45" spans="1:32" ht="50.25" customHeight="1" thickBot="1">
      <c r="A45" s="763" t="s">
        <v>1619</v>
      </c>
      <c r="B45" s="764"/>
      <c r="C45" s="764"/>
      <c r="D45" s="765"/>
      <c r="E45" s="765"/>
      <c r="F45" s="765"/>
      <c r="G45" s="765"/>
      <c r="H45" s="765"/>
      <c r="I45" s="766"/>
      <c r="J45" s="784"/>
      <c r="K45" s="785"/>
      <c r="L45" s="786"/>
      <c r="AF45" s="65"/>
    </row>
    <row r="46" spans="1:32" ht="15.75" thickBot="1">
      <c r="A46" s="821" t="s">
        <v>2990</v>
      </c>
      <c r="B46" s="822"/>
      <c r="C46" s="822"/>
      <c r="D46" s="822"/>
      <c r="E46" s="822"/>
      <c r="F46" s="822"/>
      <c r="G46" s="822"/>
      <c r="H46" s="822"/>
      <c r="I46" s="823"/>
      <c r="J46" s="785"/>
      <c r="K46" s="785"/>
      <c r="L46" s="786"/>
      <c r="AF46" s="65"/>
    </row>
    <row r="47" spans="1:32" ht="15.75" customHeight="1" thickBot="1">
      <c r="A47" s="787" t="s">
        <v>795</v>
      </c>
      <c r="B47" s="788"/>
      <c r="C47" s="788"/>
      <c r="D47" s="789"/>
      <c r="E47" s="789"/>
      <c r="F47" s="789"/>
      <c r="G47" s="789"/>
      <c r="H47" s="789"/>
      <c r="I47" s="790"/>
      <c r="J47" s="791"/>
      <c r="K47" s="792"/>
      <c r="L47" s="793"/>
      <c r="AF47" s="65"/>
    </row>
    <row r="48" spans="1:32" ht="11.25" customHeight="1">
      <c r="A48" s="761" t="s">
        <v>673</v>
      </c>
      <c r="B48" s="762"/>
      <c r="C48" s="762"/>
      <c r="D48" s="762"/>
      <c r="E48" s="762"/>
      <c r="F48" s="762"/>
      <c r="G48" s="762"/>
      <c r="H48" s="762"/>
      <c r="I48" s="762"/>
      <c r="J48" s="762"/>
      <c r="K48" s="762"/>
      <c r="L48" s="17"/>
      <c r="AF48" s="65"/>
    </row>
    <row r="49" spans="1:32" ht="11.25" customHeight="1">
      <c r="A49" s="797" t="s">
        <v>2737</v>
      </c>
      <c r="B49" s="798"/>
      <c r="C49" s="798"/>
      <c r="D49" s="798"/>
      <c r="E49" s="798"/>
      <c r="F49" s="798"/>
      <c r="G49" s="798"/>
      <c r="H49" s="798"/>
      <c r="I49" s="798"/>
      <c r="J49" s="798"/>
      <c r="K49" s="798"/>
      <c r="L49" s="18"/>
      <c r="AF49" s="65"/>
    </row>
    <row r="50" spans="1:32" ht="11.25" customHeight="1">
      <c r="A50" s="820" t="s">
        <v>2738</v>
      </c>
      <c r="B50" s="798"/>
      <c r="C50" s="798"/>
      <c r="D50" s="798"/>
      <c r="E50" s="798"/>
      <c r="F50" s="798"/>
      <c r="G50" s="798"/>
      <c r="H50" s="798"/>
      <c r="I50" s="798"/>
      <c r="J50" s="798"/>
      <c r="K50" s="798"/>
      <c r="L50" s="19"/>
      <c r="AF50" s="65"/>
    </row>
    <row r="51" spans="1:32" ht="11.25" customHeight="1">
      <c r="A51" s="797" t="s">
        <v>5743</v>
      </c>
      <c r="B51" s="798"/>
      <c r="C51" s="798"/>
      <c r="D51" s="798"/>
      <c r="E51" s="798"/>
      <c r="F51" s="798"/>
      <c r="G51" s="798"/>
      <c r="H51" s="798"/>
      <c r="I51" s="798"/>
      <c r="J51" s="798"/>
      <c r="K51" s="798"/>
      <c r="L51" s="18"/>
      <c r="AF51" s="65"/>
    </row>
    <row r="52" spans="1:32">
      <c r="A52" s="7"/>
      <c r="B52" s="7"/>
      <c r="C52" s="7"/>
      <c r="D52" s="7"/>
      <c r="E52" s="7"/>
      <c r="F52" s="7"/>
      <c r="G52" s="7"/>
      <c r="H52" s="7"/>
      <c r="I52" s="7"/>
      <c r="J52" s="7"/>
      <c r="K52" s="7"/>
      <c r="L52" s="7"/>
      <c r="AF52" s="65"/>
    </row>
    <row r="53" spans="1:32">
      <c r="AF53" s="65"/>
    </row>
    <row r="54" spans="1:32">
      <c r="AF54" s="65"/>
    </row>
    <row r="55" spans="1:32">
      <c r="AF55" s="65"/>
    </row>
    <row r="56" spans="1:32">
      <c r="AF56" s="65"/>
    </row>
    <row r="57" spans="1:32">
      <c r="AF57" s="65"/>
    </row>
    <row r="58" spans="1:32">
      <c r="AF58" s="65"/>
    </row>
    <row r="59" spans="1:32">
      <c r="AF59" s="65"/>
    </row>
    <row r="60" spans="1:32">
      <c r="AF60" s="65"/>
    </row>
    <row r="61" spans="1:32">
      <c r="AF61" s="65"/>
    </row>
    <row r="62" spans="1:32">
      <c r="AF62" s="65"/>
    </row>
    <row r="63" spans="1:32">
      <c r="AF63" s="65"/>
    </row>
    <row r="64" spans="1:32">
      <c r="AF64" s="65"/>
    </row>
    <row r="65" spans="32:32">
      <c r="AF65" s="65"/>
    </row>
    <row r="66" spans="32:32">
      <c r="AF66" s="65"/>
    </row>
    <row r="67" spans="32:32">
      <c r="AF67" s="65"/>
    </row>
    <row r="68" spans="32:32">
      <c r="AF68" s="65"/>
    </row>
    <row r="69" spans="32:32">
      <c r="AF69" s="65"/>
    </row>
    <row r="70" spans="32:32">
      <c r="AF70" s="65"/>
    </row>
    <row r="71" spans="32:32">
      <c r="AF71" s="65"/>
    </row>
    <row r="72" spans="32:32">
      <c r="AF72" s="65"/>
    </row>
    <row r="73" spans="32:32">
      <c r="AF73" s="65"/>
    </row>
    <row r="74" spans="32:32">
      <c r="AF74" s="65"/>
    </row>
    <row r="75" spans="32:32">
      <c r="AF75" s="65"/>
    </row>
    <row r="76" spans="32:32">
      <c r="AF76" s="65"/>
    </row>
    <row r="77" spans="32:32">
      <c r="AF77" s="65"/>
    </row>
    <row r="78" spans="32:32">
      <c r="AF78" s="65"/>
    </row>
    <row r="79" spans="32:32">
      <c r="AF79" s="65"/>
    </row>
    <row r="80" spans="32:32">
      <c r="AF80" s="65"/>
    </row>
    <row r="81" spans="32:32">
      <c r="AF81" s="65"/>
    </row>
    <row r="82" spans="32:32">
      <c r="AF82" s="65"/>
    </row>
    <row r="83" spans="32:32">
      <c r="AF83" s="65"/>
    </row>
    <row r="84" spans="32:32">
      <c r="AF84" s="65"/>
    </row>
    <row r="85" spans="32:32">
      <c r="AF85" s="65"/>
    </row>
    <row r="86" spans="32:32">
      <c r="AF86" s="65"/>
    </row>
    <row r="87" spans="32:32">
      <c r="AF87" s="65"/>
    </row>
    <row r="88" spans="32:32">
      <c r="AF88" s="65"/>
    </row>
    <row r="89" spans="32:32">
      <c r="AF89" s="65"/>
    </row>
    <row r="90" spans="32:32">
      <c r="AF90" s="65"/>
    </row>
    <row r="91" spans="32:32">
      <c r="AF91" s="65"/>
    </row>
    <row r="92" spans="32:32">
      <c r="AF92" s="65"/>
    </row>
    <row r="93" spans="32:32">
      <c r="AF93" s="65"/>
    </row>
    <row r="94" spans="32:32">
      <c r="AF94" s="65"/>
    </row>
    <row r="95" spans="32:32">
      <c r="AF95" s="65"/>
    </row>
    <row r="96" spans="32:32">
      <c r="AF96" s="65"/>
    </row>
    <row r="97" spans="32:32">
      <c r="AF97" s="65"/>
    </row>
    <row r="98" spans="32:32">
      <c r="AF98" s="65"/>
    </row>
    <row r="99" spans="32:32">
      <c r="AF99" s="65"/>
    </row>
    <row r="100" spans="32:32">
      <c r="AF100" s="65"/>
    </row>
    <row r="101" spans="32:32">
      <c r="AF101" s="65"/>
    </row>
    <row r="102" spans="32:32">
      <c r="AF102" s="65"/>
    </row>
    <row r="103" spans="32:32">
      <c r="AF103" s="65"/>
    </row>
    <row r="104" spans="32:32">
      <c r="AF104" s="65"/>
    </row>
    <row r="105" spans="32:32">
      <c r="AF105" s="65"/>
    </row>
    <row r="106" spans="32:32">
      <c r="AF106" s="65"/>
    </row>
    <row r="107" spans="32:32">
      <c r="AF107" s="65"/>
    </row>
    <row r="108" spans="32:32">
      <c r="AF108" s="65"/>
    </row>
    <row r="109" spans="32:32">
      <c r="AF109" s="65"/>
    </row>
    <row r="110" spans="32:32">
      <c r="AF110" s="65"/>
    </row>
    <row r="111" spans="32:32">
      <c r="AF111" s="65"/>
    </row>
    <row r="112" spans="32:32">
      <c r="AF112" s="65"/>
    </row>
    <row r="113" spans="32:32">
      <c r="AF113" s="65"/>
    </row>
    <row r="114" spans="32:32">
      <c r="AF114" s="65"/>
    </row>
    <row r="115" spans="32:32">
      <c r="AF115" s="65"/>
    </row>
    <row r="116" spans="32:32">
      <c r="AF116" s="65"/>
    </row>
    <row r="117" spans="32:32">
      <c r="AF117" s="65"/>
    </row>
    <row r="118" spans="32:32">
      <c r="AF118" s="65"/>
    </row>
    <row r="119" spans="32:32">
      <c r="AF119" s="65"/>
    </row>
    <row r="120" spans="32:32">
      <c r="AF120" s="65"/>
    </row>
    <row r="121" spans="32:32">
      <c r="AF121" s="65"/>
    </row>
    <row r="122" spans="32:32">
      <c r="AF122" s="65"/>
    </row>
    <row r="123" spans="32:32">
      <c r="AF123" s="65"/>
    </row>
    <row r="124" spans="32:32">
      <c r="AF124" s="65"/>
    </row>
    <row r="125" spans="32:32">
      <c r="AF125" s="65"/>
    </row>
    <row r="126" spans="32:32">
      <c r="AF126" s="65"/>
    </row>
    <row r="127" spans="32:32">
      <c r="AF127" s="65"/>
    </row>
    <row r="128" spans="32:32">
      <c r="AF128" s="65"/>
    </row>
    <row r="129" spans="32:32">
      <c r="AF129" s="65"/>
    </row>
    <row r="130" spans="32:32">
      <c r="AF130" s="65"/>
    </row>
    <row r="131" spans="32:32">
      <c r="AF131" s="65"/>
    </row>
    <row r="132" spans="32:32">
      <c r="AF132" s="65"/>
    </row>
    <row r="133" spans="32:32">
      <c r="AF133" s="65"/>
    </row>
    <row r="134" spans="32:32">
      <c r="AF134" s="65"/>
    </row>
    <row r="135" spans="32:32">
      <c r="AF135" s="65"/>
    </row>
    <row r="136" spans="32:32">
      <c r="AF136" s="65"/>
    </row>
    <row r="137" spans="32:32">
      <c r="AF137" s="65"/>
    </row>
    <row r="138" spans="32:32">
      <c r="AF138" s="65"/>
    </row>
    <row r="139" spans="32:32">
      <c r="AF139" s="65"/>
    </row>
    <row r="140" spans="32:32">
      <c r="AF140" s="65"/>
    </row>
    <row r="141" spans="32:32">
      <c r="AF141" s="65"/>
    </row>
    <row r="142" spans="32:32">
      <c r="AF142" s="65"/>
    </row>
    <row r="143" spans="32:32">
      <c r="AF143" s="65"/>
    </row>
    <row r="144" spans="32:32">
      <c r="AF144" s="65"/>
    </row>
    <row r="145" spans="32:32">
      <c r="AF145" s="65"/>
    </row>
    <row r="146" spans="32:32">
      <c r="AF146" s="65"/>
    </row>
    <row r="147" spans="32:32">
      <c r="AF147" s="65"/>
    </row>
    <row r="148" spans="32:32">
      <c r="AF148" s="65"/>
    </row>
    <row r="149" spans="32:32">
      <c r="AF149" s="65"/>
    </row>
    <row r="150" spans="32:32">
      <c r="AF150" s="65"/>
    </row>
    <row r="151" spans="32:32">
      <c r="AF151" s="65"/>
    </row>
    <row r="152" spans="32:32">
      <c r="AF152" s="65"/>
    </row>
    <row r="153" spans="32:32">
      <c r="AF153" s="65"/>
    </row>
    <row r="154" spans="32:32">
      <c r="AF154" s="65"/>
    </row>
    <row r="155" spans="32:32">
      <c r="AF155" s="65"/>
    </row>
    <row r="156" spans="32:32">
      <c r="AF156" s="65"/>
    </row>
    <row r="157" spans="32:32">
      <c r="AF157" s="65"/>
    </row>
    <row r="158" spans="32:32">
      <c r="AF158" s="65"/>
    </row>
    <row r="159" spans="32:32">
      <c r="AF159" s="65"/>
    </row>
    <row r="160" spans="32:32">
      <c r="AF160" s="65"/>
    </row>
    <row r="161" spans="32:32">
      <c r="AF161" s="65"/>
    </row>
    <row r="162" spans="32:32">
      <c r="AF162" s="65"/>
    </row>
    <row r="163" spans="32:32">
      <c r="AF163" s="65"/>
    </row>
    <row r="164" spans="32:32">
      <c r="AF164" s="65"/>
    </row>
    <row r="165" spans="32:32">
      <c r="AF165" s="65"/>
    </row>
    <row r="166" spans="32:32">
      <c r="AF166" s="65"/>
    </row>
    <row r="167" spans="32:32">
      <c r="AF167" s="65"/>
    </row>
    <row r="168" spans="32:32">
      <c r="AF168" s="65"/>
    </row>
    <row r="169" spans="32:32">
      <c r="AF169" s="65"/>
    </row>
    <row r="170" spans="32:32">
      <c r="AF170" s="65"/>
    </row>
    <row r="171" spans="32:32">
      <c r="AF171" s="65"/>
    </row>
    <row r="172" spans="32:32">
      <c r="AF172" s="65"/>
    </row>
    <row r="173" spans="32:32">
      <c r="AF173" s="65"/>
    </row>
    <row r="174" spans="32:32">
      <c r="AF174" s="65"/>
    </row>
    <row r="175" spans="32:32">
      <c r="AF175" s="65"/>
    </row>
    <row r="176" spans="32:32">
      <c r="AF176" s="65"/>
    </row>
    <row r="177" spans="32:32">
      <c r="AF177" s="65"/>
    </row>
    <row r="178" spans="32:32">
      <c r="AF178" s="65"/>
    </row>
    <row r="179" spans="32:32">
      <c r="AF179" s="65"/>
    </row>
    <row r="180" spans="32:32">
      <c r="AF180" s="65"/>
    </row>
    <row r="181" spans="32:32">
      <c r="AF181" s="65"/>
    </row>
    <row r="182" spans="32:32">
      <c r="AF182" s="65"/>
    </row>
    <row r="183" spans="32:32">
      <c r="AF183" s="65"/>
    </row>
    <row r="184" spans="32:32">
      <c r="AF184" s="65"/>
    </row>
    <row r="185" spans="32:32">
      <c r="AF185" s="65"/>
    </row>
    <row r="186" spans="32:32">
      <c r="AF186" s="65"/>
    </row>
    <row r="187" spans="32:32">
      <c r="AF187" s="65"/>
    </row>
    <row r="188" spans="32:32">
      <c r="AF188" s="65"/>
    </row>
    <row r="189" spans="32:32">
      <c r="AF189" s="65"/>
    </row>
    <row r="190" spans="32:32">
      <c r="AF190" s="65"/>
    </row>
    <row r="191" spans="32:32">
      <c r="AF191" s="65"/>
    </row>
    <row r="192" spans="32:32">
      <c r="AF192" s="65"/>
    </row>
    <row r="193" spans="32:32">
      <c r="AF193" s="65"/>
    </row>
    <row r="194" spans="32:32">
      <c r="AF194" s="65"/>
    </row>
    <row r="195" spans="32:32">
      <c r="AF195" s="65"/>
    </row>
    <row r="196" spans="32:32">
      <c r="AF196" s="65"/>
    </row>
    <row r="197" spans="32:32">
      <c r="AF197" s="65"/>
    </row>
    <row r="198" spans="32:32">
      <c r="AF198" s="65"/>
    </row>
    <row r="199" spans="32:32">
      <c r="AF199" s="65"/>
    </row>
    <row r="200" spans="32:32">
      <c r="AF200" s="65"/>
    </row>
    <row r="201" spans="32:32">
      <c r="AF201" s="65"/>
    </row>
    <row r="202" spans="32:32">
      <c r="AF202" s="65"/>
    </row>
    <row r="203" spans="32:32">
      <c r="AF203" s="65"/>
    </row>
    <row r="204" spans="32:32">
      <c r="AF204" s="65"/>
    </row>
    <row r="205" spans="32:32">
      <c r="AF205" s="65"/>
    </row>
    <row r="206" spans="32:32">
      <c r="AF206" s="65"/>
    </row>
    <row r="207" spans="32:32">
      <c r="AF207" s="65"/>
    </row>
    <row r="208" spans="32:32">
      <c r="AF208" s="65"/>
    </row>
    <row r="209" spans="32:32">
      <c r="AF209" s="65"/>
    </row>
    <row r="210" spans="32:32">
      <c r="AF210" s="65"/>
    </row>
    <row r="211" spans="32:32">
      <c r="AF211" s="65"/>
    </row>
    <row r="212" spans="32:32">
      <c r="AF212" s="65"/>
    </row>
    <row r="213" spans="32:32">
      <c r="AF213" s="65"/>
    </row>
    <row r="214" spans="32:32">
      <c r="AF214" s="65"/>
    </row>
    <row r="215" spans="32:32">
      <c r="AF215" s="65"/>
    </row>
    <row r="216" spans="32:32">
      <c r="AF216" s="65"/>
    </row>
    <row r="217" spans="32:32">
      <c r="AF217" s="65"/>
    </row>
    <row r="218" spans="32:32">
      <c r="AF218" s="65"/>
    </row>
    <row r="219" spans="32:32">
      <c r="AF219" s="65"/>
    </row>
    <row r="220" spans="32:32">
      <c r="AF220" s="65"/>
    </row>
    <row r="221" spans="32:32">
      <c r="AF221" s="65"/>
    </row>
    <row r="222" spans="32:32">
      <c r="AF222" s="65"/>
    </row>
    <row r="223" spans="32:32">
      <c r="AF223" s="65"/>
    </row>
    <row r="224" spans="32:32">
      <c r="AF224" s="65"/>
    </row>
    <row r="225" spans="32:32">
      <c r="AF225" s="65"/>
    </row>
    <row r="226" spans="32:32">
      <c r="AF226" s="65"/>
    </row>
    <row r="227" spans="32:32">
      <c r="AF227" s="65"/>
    </row>
    <row r="228" spans="32:32">
      <c r="AF228" s="65"/>
    </row>
    <row r="229" spans="32:32">
      <c r="AF229" s="65"/>
    </row>
    <row r="230" spans="32:32">
      <c r="AF230" s="65"/>
    </row>
    <row r="231" spans="32:32">
      <c r="AF231" s="65"/>
    </row>
    <row r="232" spans="32:32">
      <c r="AF232" s="65"/>
    </row>
    <row r="233" spans="32:32">
      <c r="AF233" s="65"/>
    </row>
    <row r="234" spans="32:32">
      <c r="AF234" s="65"/>
    </row>
    <row r="235" spans="32:32">
      <c r="AF235" s="65"/>
    </row>
    <row r="236" spans="32:32">
      <c r="AF236" s="65"/>
    </row>
    <row r="237" spans="32:32">
      <c r="AF237" s="65"/>
    </row>
    <row r="238" spans="32:32">
      <c r="AF238" s="65"/>
    </row>
    <row r="239" spans="32:32">
      <c r="AF239" s="65"/>
    </row>
    <row r="240" spans="32:32">
      <c r="AF240" s="65"/>
    </row>
    <row r="241" spans="32:32">
      <c r="AF241" s="65"/>
    </row>
    <row r="242" spans="32:32">
      <c r="AF242" s="65"/>
    </row>
    <row r="243" spans="32:32">
      <c r="AF243" s="65"/>
    </row>
    <row r="244" spans="32:32">
      <c r="AF244" s="65"/>
    </row>
    <row r="245" spans="32:32">
      <c r="AF245" s="65"/>
    </row>
    <row r="246" spans="32:32">
      <c r="AF246" s="65"/>
    </row>
    <row r="247" spans="32:32">
      <c r="AF247" s="65"/>
    </row>
    <row r="248" spans="32:32">
      <c r="AF248" s="65"/>
    </row>
    <row r="249" spans="32:32">
      <c r="AF249" s="65"/>
    </row>
    <row r="250" spans="32:32">
      <c r="AF250" s="65"/>
    </row>
    <row r="251" spans="32:32">
      <c r="AF251" s="65"/>
    </row>
    <row r="252" spans="32:32">
      <c r="AF252" s="65"/>
    </row>
    <row r="253" spans="32:32">
      <c r="AF253" s="65"/>
    </row>
    <row r="254" spans="32:32">
      <c r="AF254" s="65"/>
    </row>
    <row r="255" spans="32:32">
      <c r="AF255" s="65"/>
    </row>
    <row r="256" spans="32:32">
      <c r="AF256" s="65"/>
    </row>
    <row r="257" spans="32:32">
      <c r="AF257" s="65"/>
    </row>
    <row r="258" spans="32:32">
      <c r="AF258" s="65"/>
    </row>
    <row r="259" spans="32:32">
      <c r="AF259" s="65"/>
    </row>
    <row r="260" spans="32:32">
      <c r="AF260" s="65"/>
    </row>
    <row r="261" spans="32:32">
      <c r="AF261" s="65"/>
    </row>
    <row r="262" spans="32:32">
      <c r="AF262" s="65"/>
    </row>
    <row r="263" spans="32:32">
      <c r="AF263" s="65"/>
    </row>
    <row r="264" spans="32:32">
      <c r="AF264" s="65"/>
    </row>
    <row r="265" spans="32:32">
      <c r="AF265" s="65"/>
    </row>
    <row r="266" spans="32:32">
      <c r="AF266" s="65"/>
    </row>
    <row r="267" spans="32:32">
      <c r="AF267" s="65"/>
    </row>
    <row r="268" spans="32:32">
      <c r="AF268" s="65"/>
    </row>
    <row r="269" spans="32:32">
      <c r="AF269" s="65"/>
    </row>
    <row r="270" spans="32:32">
      <c r="AF270" s="65"/>
    </row>
    <row r="271" spans="32:32">
      <c r="AF271" s="65"/>
    </row>
    <row r="272" spans="32:32">
      <c r="AF272" s="65"/>
    </row>
    <row r="273" spans="32:32">
      <c r="AF273" s="65"/>
    </row>
    <row r="274" spans="32:32">
      <c r="AF274" s="65"/>
    </row>
    <row r="275" spans="32:32">
      <c r="AF275" s="65"/>
    </row>
    <row r="276" spans="32:32">
      <c r="AF276" s="65"/>
    </row>
    <row r="277" spans="32:32">
      <c r="AF277" s="65"/>
    </row>
    <row r="278" spans="32:32">
      <c r="AF278" s="65"/>
    </row>
    <row r="279" spans="32:32">
      <c r="AF279" s="65"/>
    </row>
    <row r="280" spans="32:32">
      <c r="AF280" s="65"/>
    </row>
    <row r="281" spans="32:32">
      <c r="AF281" s="65"/>
    </row>
    <row r="282" spans="32:32">
      <c r="AF282" s="65"/>
    </row>
    <row r="283" spans="32:32">
      <c r="AF283" s="65"/>
    </row>
    <row r="284" spans="32:32">
      <c r="AF284" s="65"/>
    </row>
    <row r="285" spans="32:32">
      <c r="AF285" s="65"/>
    </row>
    <row r="286" spans="32:32">
      <c r="AF286" s="65"/>
    </row>
    <row r="287" spans="32:32">
      <c r="AF287" s="65"/>
    </row>
    <row r="288" spans="32:32">
      <c r="AF288" s="65"/>
    </row>
    <row r="289" spans="32:32">
      <c r="AF289" s="65"/>
    </row>
    <row r="290" spans="32:32">
      <c r="AF290" s="65"/>
    </row>
    <row r="291" spans="32:32">
      <c r="AF291" s="65"/>
    </row>
    <row r="292" spans="32:32">
      <c r="AF292" s="65"/>
    </row>
    <row r="293" spans="32:32">
      <c r="AF293" s="65"/>
    </row>
    <row r="294" spans="32:32">
      <c r="AF294" s="65"/>
    </row>
    <row r="295" spans="32:32">
      <c r="AF295" s="65"/>
    </row>
    <row r="296" spans="32:32">
      <c r="AF296" s="65"/>
    </row>
    <row r="297" spans="32:32">
      <c r="AF297" s="65"/>
    </row>
    <row r="298" spans="32:32">
      <c r="AF298" s="65"/>
    </row>
    <row r="299" spans="32:32">
      <c r="AF299" s="65"/>
    </row>
    <row r="300" spans="32:32">
      <c r="AF300" s="65"/>
    </row>
    <row r="301" spans="32:32">
      <c r="AF301" s="65"/>
    </row>
    <row r="302" spans="32:32">
      <c r="AF302" s="65"/>
    </row>
    <row r="303" spans="32:32">
      <c r="AF303" s="65"/>
    </row>
    <row r="304" spans="32:32">
      <c r="AF304" s="65"/>
    </row>
    <row r="305" spans="32:32">
      <c r="AF305" s="65"/>
    </row>
    <row r="306" spans="32:32">
      <c r="AF306" s="65"/>
    </row>
    <row r="307" spans="32:32">
      <c r="AF307" s="65"/>
    </row>
    <row r="308" spans="32:32">
      <c r="AF308" s="65"/>
    </row>
    <row r="309" spans="32:32">
      <c r="AF309" s="65"/>
    </row>
    <row r="310" spans="32:32">
      <c r="AF310" s="65"/>
    </row>
    <row r="311" spans="32:32">
      <c r="AF311" s="65"/>
    </row>
    <row r="312" spans="32:32">
      <c r="AF312" s="65"/>
    </row>
    <row r="313" spans="32:32">
      <c r="AF313" s="65"/>
    </row>
    <row r="314" spans="32:32">
      <c r="AF314" s="65"/>
    </row>
    <row r="315" spans="32:32">
      <c r="AF315" s="65"/>
    </row>
    <row r="316" spans="32:32">
      <c r="AF316" s="65"/>
    </row>
    <row r="317" spans="32:32">
      <c r="AF317" s="65"/>
    </row>
    <row r="318" spans="32:32">
      <c r="AF318" s="65"/>
    </row>
    <row r="319" spans="32:32">
      <c r="AF319" s="65"/>
    </row>
    <row r="320" spans="32:32">
      <c r="AF320" s="65"/>
    </row>
    <row r="321" spans="32:32">
      <c r="AF321" s="65"/>
    </row>
    <row r="322" spans="32:32">
      <c r="AF322" s="65"/>
    </row>
    <row r="323" spans="32:32">
      <c r="AF323" s="65"/>
    </row>
    <row r="324" spans="32:32">
      <c r="AF324" s="65"/>
    </row>
    <row r="325" spans="32:32">
      <c r="AF325" s="65"/>
    </row>
    <row r="326" spans="32:32">
      <c r="AF326" s="65"/>
    </row>
    <row r="327" spans="32:32">
      <c r="AF327" s="65"/>
    </row>
    <row r="328" spans="32:32">
      <c r="AF328" s="65"/>
    </row>
    <row r="329" spans="32:32">
      <c r="AF329" s="65"/>
    </row>
    <row r="330" spans="32:32">
      <c r="AF330" s="65"/>
    </row>
    <row r="331" spans="32:32">
      <c r="AF331" s="65"/>
    </row>
    <row r="332" spans="32:32">
      <c r="AF332" s="65"/>
    </row>
    <row r="333" spans="32:32">
      <c r="AF333" s="65"/>
    </row>
    <row r="334" spans="32:32">
      <c r="AF334" s="65"/>
    </row>
    <row r="335" spans="32:32">
      <c r="AF335" s="65"/>
    </row>
    <row r="336" spans="32:32">
      <c r="AF336" s="65"/>
    </row>
    <row r="337" spans="32:32">
      <c r="AF337" s="65"/>
    </row>
    <row r="338" spans="32:32">
      <c r="AF338" s="65"/>
    </row>
    <row r="339" spans="32:32">
      <c r="AF339" s="65"/>
    </row>
    <row r="340" spans="32:32">
      <c r="AF340" s="65"/>
    </row>
    <row r="341" spans="32:32">
      <c r="AF341" s="65"/>
    </row>
    <row r="342" spans="32:32">
      <c r="AF342" s="65"/>
    </row>
    <row r="343" spans="32:32">
      <c r="AF343" s="65"/>
    </row>
    <row r="344" spans="32:32">
      <c r="AF344" s="65"/>
    </row>
    <row r="345" spans="32:32">
      <c r="AF345" s="65"/>
    </row>
    <row r="346" spans="32:32">
      <c r="AF346" s="65"/>
    </row>
    <row r="347" spans="32:32">
      <c r="AF347" s="65"/>
    </row>
    <row r="348" spans="32:32">
      <c r="AF348" s="65"/>
    </row>
    <row r="349" spans="32:32">
      <c r="AF349" s="65"/>
    </row>
    <row r="350" spans="32:32">
      <c r="AF350" s="65"/>
    </row>
    <row r="351" spans="32:32">
      <c r="AF351" s="65"/>
    </row>
    <row r="352" spans="32:32">
      <c r="AF352" s="65"/>
    </row>
    <row r="353" spans="32:32">
      <c r="AF353" s="65"/>
    </row>
    <row r="354" spans="32:32">
      <c r="AF354" s="65"/>
    </row>
    <row r="355" spans="32:32">
      <c r="AF355" s="65"/>
    </row>
    <row r="356" spans="32:32">
      <c r="AF356" s="65"/>
    </row>
    <row r="357" spans="32:32">
      <c r="AF357" s="65"/>
    </row>
    <row r="358" spans="32:32">
      <c r="AF358" s="65"/>
    </row>
    <row r="359" spans="32:32">
      <c r="AF359" s="65"/>
    </row>
    <row r="360" spans="32:32">
      <c r="AF360" s="65"/>
    </row>
    <row r="361" spans="32:32">
      <c r="AF361" s="65"/>
    </row>
    <row r="362" spans="32:32">
      <c r="AF362" s="65"/>
    </row>
    <row r="363" spans="32:32">
      <c r="AF363" s="65"/>
    </row>
    <row r="364" spans="32:32">
      <c r="AF364" s="65"/>
    </row>
    <row r="365" spans="32:32">
      <c r="AF365" s="65"/>
    </row>
    <row r="366" spans="32:32">
      <c r="AF366" s="65"/>
    </row>
    <row r="367" spans="32:32">
      <c r="AF367" s="65"/>
    </row>
    <row r="368" spans="32:32">
      <c r="AF368" s="65"/>
    </row>
    <row r="369" spans="32:32">
      <c r="AF369" s="65"/>
    </row>
    <row r="370" spans="32:32">
      <c r="AF370" s="65"/>
    </row>
    <row r="371" spans="32:32">
      <c r="AF371" s="65"/>
    </row>
    <row r="372" spans="32:32">
      <c r="AF372" s="65"/>
    </row>
    <row r="373" spans="32:32">
      <c r="AF373" s="65"/>
    </row>
    <row r="374" spans="32:32">
      <c r="AF374" s="65"/>
    </row>
    <row r="375" spans="32:32">
      <c r="AF375" s="65"/>
    </row>
    <row r="376" spans="32:32">
      <c r="AF376" s="65"/>
    </row>
    <row r="377" spans="32:32">
      <c r="AF377" s="65"/>
    </row>
    <row r="378" spans="32:32">
      <c r="AF378" s="65"/>
    </row>
    <row r="379" spans="32:32">
      <c r="AF379" s="65"/>
    </row>
    <row r="380" spans="32:32">
      <c r="AF380" s="65"/>
    </row>
    <row r="381" spans="32:32">
      <c r="AF381" s="65"/>
    </row>
    <row r="382" spans="32:32">
      <c r="AF382" s="65"/>
    </row>
    <row r="383" spans="32:32">
      <c r="AF383" s="65"/>
    </row>
    <row r="384" spans="32:32">
      <c r="AF384" s="65"/>
    </row>
    <row r="385" spans="32:32">
      <c r="AF385" s="65"/>
    </row>
    <row r="386" spans="32:32">
      <c r="AF386" s="65"/>
    </row>
    <row r="387" spans="32:32">
      <c r="AF387" s="65"/>
    </row>
    <row r="388" spans="32:32">
      <c r="AF388" s="65"/>
    </row>
    <row r="389" spans="32:32">
      <c r="AF389" s="65"/>
    </row>
    <row r="390" spans="32:32">
      <c r="AF390" s="65"/>
    </row>
    <row r="391" spans="32:32">
      <c r="AF391" s="65"/>
    </row>
    <row r="392" spans="32:32">
      <c r="AF392" s="65"/>
    </row>
    <row r="393" spans="32:32">
      <c r="AF393" s="65"/>
    </row>
    <row r="394" spans="32:32">
      <c r="AF394" s="65"/>
    </row>
    <row r="395" spans="32:32">
      <c r="AF395" s="65"/>
    </row>
    <row r="396" spans="32:32">
      <c r="AF396" s="65"/>
    </row>
    <row r="397" spans="32:32">
      <c r="AF397" s="65"/>
    </row>
    <row r="398" spans="32:32">
      <c r="AF398" s="65"/>
    </row>
    <row r="399" spans="32:32">
      <c r="AF399" s="65"/>
    </row>
    <row r="400" spans="32:32">
      <c r="AF400" s="65"/>
    </row>
    <row r="401" spans="32:32">
      <c r="AF401" s="65"/>
    </row>
    <row r="402" spans="32:32">
      <c r="AF402" s="65"/>
    </row>
    <row r="403" spans="32:32">
      <c r="AF403" s="65"/>
    </row>
    <row r="404" spans="32:32">
      <c r="AF404" s="65"/>
    </row>
    <row r="405" spans="32:32">
      <c r="AF405" s="65"/>
    </row>
    <row r="406" spans="32:32">
      <c r="AF406" s="65"/>
    </row>
    <row r="407" spans="32:32">
      <c r="AF407" s="65"/>
    </row>
    <row r="408" spans="32:32">
      <c r="AF408" s="65"/>
    </row>
    <row r="409" spans="32:32">
      <c r="AF409" s="65"/>
    </row>
    <row r="410" spans="32:32">
      <c r="AF410" s="65"/>
    </row>
    <row r="411" spans="32:32">
      <c r="AF411" s="65"/>
    </row>
    <row r="412" spans="32:32">
      <c r="AF412" s="65"/>
    </row>
    <row r="413" spans="32:32">
      <c r="AF413" s="65"/>
    </row>
    <row r="414" spans="32:32">
      <c r="AF414" s="65"/>
    </row>
    <row r="415" spans="32:32">
      <c r="AF415" s="65"/>
    </row>
    <row r="416" spans="32:32">
      <c r="AF416" s="65"/>
    </row>
    <row r="417" spans="32:32">
      <c r="AF417" s="65"/>
    </row>
    <row r="418" spans="32:32">
      <c r="AF418" s="65"/>
    </row>
    <row r="419" spans="32:32">
      <c r="AF419" s="65"/>
    </row>
    <row r="420" spans="32:32">
      <c r="AF420" s="65"/>
    </row>
    <row r="421" spans="32:32">
      <c r="AF421" s="65"/>
    </row>
    <row r="422" spans="32:32">
      <c r="AF422" s="65"/>
    </row>
    <row r="423" spans="32:32">
      <c r="AF423" s="65"/>
    </row>
    <row r="424" spans="32:32">
      <c r="AF424" s="65"/>
    </row>
    <row r="425" spans="32:32">
      <c r="AF425" s="65"/>
    </row>
    <row r="426" spans="32:32">
      <c r="AF426" s="65"/>
    </row>
    <row r="427" spans="32:32">
      <c r="AF427" s="65"/>
    </row>
    <row r="428" spans="32:32">
      <c r="AF428" s="65"/>
    </row>
    <row r="429" spans="32:32">
      <c r="AF429" s="65"/>
    </row>
    <row r="430" spans="32:32">
      <c r="AF430" s="65"/>
    </row>
    <row r="431" spans="32:32">
      <c r="AF431" s="65"/>
    </row>
    <row r="432" spans="32:32">
      <c r="AF432" s="65"/>
    </row>
    <row r="433" spans="32:32">
      <c r="AF433" s="65"/>
    </row>
    <row r="434" spans="32:32">
      <c r="AF434" s="65"/>
    </row>
    <row r="435" spans="32:32">
      <c r="AF435" s="65"/>
    </row>
    <row r="436" spans="32:32">
      <c r="AF436" s="65"/>
    </row>
    <row r="437" spans="32:32">
      <c r="AF437" s="65"/>
    </row>
    <row r="438" spans="32:32">
      <c r="AF438" s="65"/>
    </row>
    <row r="439" spans="32:32">
      <c r="AF439" s="65"/>
    </row>
    <row r="440" spans="32:32">
      <c r="AF440" s="65"/>
    </row>
    <row r="441" spans="32:32">
      <c r="AF441" s="65"/>
    </row>
    <row r="442" spans="32:32">
      <c r="AF442" s="65"/>
    </row>
    <row r="443" spans="32:32">
      <c r="AF443" s="65"/>
    </row>
    <row r="444" spans="32:32">
      <c r="AF444" s="65"/>
    </row>
    <row r="445" spans="32:32">
      <c r="AF445" s="65"/>
    </row>
    <row r="446" spans="32:32">
      <c r="AF446" s="65"/>
    </row>
    <row r="447" spans="32:32">
      <c r="AF447" s="65"/>
    </row>
    <row r="448" spans="32:32">
      <c r="AF448" s="65"/>
    </row>
    <row r="449" spans="32:32">
      <c r="AF449" s="65"/>
    </row>
    <row r="450" spans="32:32">
      <c r="AF450" s="65"/>
    </row>
    <row r="451" spans="32:32">
      <c r="AF451" s="65"/>
    </row>
    <row r="452" spans="32:32">
      <c r="AF452" s="65"/>
    </row>
    <row r="453" spans="32:32">
      <c r="AF453" s="65"/>
    </row>
    <row r="454" spans="32:32">
      <c r="AF454" s="65"/>
    </row>
    <row r="455" spans="32:32">
      <c r="AF455" s="65"/>
    </row>
    <row r="456" spans="32:32">
      <c r="AF456" s="65"/>
    </row>
    <row r="457" spans="32:32">
      <c r="AF457" s="65"/>
    </row>
    <row r="458" spans="32:32">
      <c r="AF458" s="65"/>
    </row>
    <row r="459" spans="32:32">
      <c r="AF459" s="65"/>
    </row>
    <row r="460" spans="32:32">
      <c r="AF460" s="65"/>
    </row>
    <row r="461" spans="32:32">
      <c r="AF461" s="65"/>
    </row>
    <row r="462" spans="32:32">
      <c r="AF462" s="65"/>
    </row>
    <row r="463" spans="32:32">
      <c r="AF463" s="65"/>
    </row>
    <row r="464" spans="32:32">
      <c r="AF464" s="65"/>
    </row>
    <row r="465" spans="32:32">
      <c r="AF465" s="65"/>
    </row>
    <row r="466" spans="32:32">
      <c r="AF466" s="65"/>
    </row>
    <row r="467" spans="32:32">
      <c r="AF467" s="65"/>
    </row>
    <row r="468" spans="32:32">
      <c r="AF468" s="65"/>
    </row>
    <row r="469" spans="32:32">
      <c r="AF469" s="65"/>
    </row>
    <row r="470" spans="32:32">
      <c r="AF470" s="65"/>
    </row>
    <row r="471" spans="32:32">
      <c r="AF471" s="65"/>
    </row>
    <row r="472" spans="32:32">
      <c r="AF472" s="65"/>
    </row>
    <row r="473" spans="32:32">
      <c r="AF473" s="65"/>
    </row>
    <row r="474" spans="32:32">
      <c r="AF474" s="65"/>
    </row>
    <row r="475" spans="32:32">
      <c r="AF475" s="65"/>
    </row>
    <row r="476" spans="32:32">
      <c r="AF476" s="65"/>
    </row>
    <row r="477" spans="32:32">
      <c r="AF477" s="65"/>
    </row>
    <row r="478" spans="32:32">
      <c r="AF478" s="65"/>
    </row>
    <row r="479" spans="32:32">
      <c r="AF479" s="65"/>
    </row>
    <row r="480" spans="32:32">
      <c r="AF480" s="65"/>
    </row>
    <row r="481" spans="32:32">
      <c r="AF481" s="65"/>
    </row>
    <row r="482" spans="32:32">
      <c r="AF482" s="65"/>
    </row>
    <row r="483" spans="32:32">
      <c r="AF483" s="65"/>
    </row>
    <row r="484" spans="32:32">
      <c r="AF484" s="65"/>
    </row>
    <row r="485" spans="32:32">
      <c r="AF485" s="65"/>
    </row>
    <row r="486" spans="32:32">
      <c r="AF486" s="65"/>
    </row>
    <row r="487" spans="32:32">
      <c r="AF487" s="65"/>
    </row>
    <row r="488" spans="32:32">
      <c r="AF488" s="65"/>
    </row>
    <row r="489" spans="32:32">
      <c r="AF489" s="65"/>
    </row>
    <row r="490" spans="32:32">
      <c r="AF490" s="65"/>
    </row>
    <row r="491" spans="32:32">
      <c r="AF491" s="65"/>
    </row>
    <row r="492" spans="32:32">
      <c r="AF492" s="65"/>
    </row>
    <row r="493" spans="32:32">
      <c r="AF493" s="65"/>
    </row>
    <row r="494" spans="32:32">
      <c r="AF494" s="65"/>
    </row>
    <row r="495" spans="32:32">
      <c r="AF495" s="65"/>
    </row>
    <row r="496" spans="32:32">
      <c r="AF496" s="65"/>
    </row>
    <row r="497" spans="32:32">
      <c r="AF497" s="65"/>
    </row>
    <row r="498" spans="32:32">
      <c r="AF498" s="65"/>
    </row>
    <row r="499" spans="32:32">
      <c r="AF499" s="65"/>
    </row>
    <row r="500" spans="32:32">
      <c r="AF500" s="65"/>
    </row>
    <row r="501" spans="32:32">
      <c r="AF501" s="65"/>
    </row>
    <row r="502" spans="32:32">
      <c r="AF502" s="65"/>
    </row>
    <row r="503" spans="32:32">
      <c r="AF503" s="65"/>
    </row>
    <row r="504" spans="32:32">
      <c r="AF504" s="65"/>
    </row>
    <row r="505" spans="32:32">
      <c r="AF505" s="65"/>
    </row>
    <row r="506" spans="32:32">
      <c r="AF506" s="65"/>
    </row>
    <row r="507" spans="32:32">
      <c r="AF507" s="65"/>
    </row>
    <row r="508" spans="32:32">
      <c r="AF508" s="65"/>
    </row>
    <row r="509" spans="32:32">
      <c r="AF509" s="65"/>
    </row>
    <row r="510" spans="32:32">
      <c r="AF510" s="65"/>
    </row>
    <row r="511" spans="32:32">
      <c r="AF511" s="65"/>
    </row>
    <row r="512" spans="32:32">
      <c r="AF512" s="65"/>
    </row>
    <row r="513" spans="32:32">
      <c r="AF513" s="65"/>
    </row>
    <row r="514" spans="32:32">
      <c r="AF514" s="65"/>
    </row>
    <row r="515" spans="32:32">
      <c r="AF515" s="65"/>
    </row>
    <row r="516" spans="32:32">
      <c r="AF516" s="65"/>
    </row>
    <row r="517" spans="32:32">
      <c r="AF517" s="65"/>
    </row>
    <row r="518" spans="32:32">
      <c r="AF518" s="65"/>
    </row>
    <row r="519" spans="32:32">
      <c r="AF519" s="65"/>
    </row>
    <row r="520" spans="32:32">
      <c r="AF520" s="65"/>
    </row>
    <row r="521" spans="32:32">
      <c r="AF521" s="65"/>
    </row>
    <row r="522" spans="32:32">
      <c r="AF522" s="65"/>
    </row>
    <row r="523" spans="32:32">
      <c r="AF523" s="65"/>
    </row>
    <row r="524" spans="32:32">
      <c r="AF524" s="65"/>
    </row>
    <row r="525" spans="32:32">
      <c r="AF525" s="65"/>
    </row>
    <row r="526" spans="32:32">
      <c r="AF526" s="65"/>
    </row>
    <row r="527" spans="32:32">
      <c r="AF527" s="65"/>
    </row>
    <row r="528" spans="32:32">
      <c r="AF528" s="65"/>
    </row>
    <row r="529" spans="32:32">
      <c r="AF529" s="65"/>
    </row>
    <row r="530" spans="32:32">
      <c r="AF530" s="65"/>
    </row>
    <row r="531" spans="32:32">
      <c r="AF531" s="65"/>
    </row>
    <row r="532" spans="32:32">
      <c r="AF532" s="65"/>
    </row>
    <row r="533" spans="32:32">
      <c r="AF533" s="65"/>
    </row>
    <row r="534" spans="32:32">
      <c r="AF534" s="65"/>
    </row>
    <row r="535" spans="32:32">
      <c r="AF535" s="65"/>
    </row>
    <row r="536" spans="32:32">
      <c r="AF536" s="65"/>
    </row>
    <row r="537" spans="32:32">
      <c r="AF537" s="65"/>
    </row>
    <row r="538" spans="32:32">
      <c r="AF538" s="65"/>
    </row>
    <row r="539" spans="32:32">
      <c r="AF539" s="65"/>
    </row>
    <row r="540" spans="32:32">
      <c r="AF540" s="65"/>
    </row>
    <row r="541" spans="32:32">
      <c r="AF541" s="65"/>
    </row>
    <row r="542" spans="32:32">
      <c r="AF542" s="65"/>
    </row>
    <row r="543" spans="32:32">
      <c r="AF543" s="65"/>
    </row>
    <row r="544" spans="32:32">
      <c r="AF544" s="65"/>
    </row>
    <row r="545" spans="32:32">
      <c r="AF545" s="65"/>
    </row>
    <row r="546" spans="32:32">
      <c r="AF546" s="65"/>
    </row>
    <row r="547" spans="32:32">
      <c r="AF547" s="65"/>
    </row>
    <row r="548" spans="32:32">
      <c r="AF548" s="65"/>
    </row>
    <row r="549" spans="32:32">
      <c r="AF549" s="65"/>
    </row>
    <row r="550" spans="32:32">
      <c r="AF550" s="65"/>
    </row>
    <row r="551" spans="32:32">
      <c r="AF551" s="65"/>
    </row>
    <row r="552" spans="32:32">
      <c r="AF552" s="65"/>
    </row>
    <row r="553" spans="32:32">
      <c r="AF553" s="65"/>
    </row>
    <row r="554" spans="32:32">
      <c r="AF554" s="65"/>
    </row>
    <row r="555" spans="32:32">
      <c r="AF555" s="65"/>
    </row>
    <row r="556" spans="32:32">
      <c r="AF556" s="65"/>
    </row>
    <row r="557" spans="32:32">
      <c r="AF557" s="65"/>
    </row>
    <row r="558" spans="32:32">
      <c r="AF558" s="65"/>
    </row>
    <row r="559" spans="32:32">
      <c r="AF559" s="65"/>
    </row>
    <row r="560" spans="32:32">
      <c r="AF560" s="65"/>
    </row>
    <row r="561" spans="32:32">
      <c r="AF561" s="65"/>
    </row>
    <row r="562" spans="32:32">
      <c r="AF562" s="65"/>
    </row>
    <row r="563" spans="32:32">
      <c r="AF563" s="65"/>
    </row>
    <row r="564" spans="32:32">
      <c r="AF564" s="65"/>
    </row>
    <row r="565" spans="32:32">
      <c r="AF565" s="65"/>
    </row>
    <row r="566" spans="32:32">
      <c r="AF566" s="65"/>
    </row>
    <row r="567" spans="32:32">
      <c r="AF567" s="65"/>
    </row>
    <row r="568" spans="32:32">
      <c r="AF568" s="65"/>
    </row>
    <row r="569" spans="32:32">
      <c r="AF569" s="65"/>
    </row>
    <row r="570" spans="32:32">
      <c r="AF570" s="65"/>
    </row>
    <row r="571" spans="32:32">
      <c r="AF571" s="65"/>
    </row>
    <row r="572" spans="32:32">
      <c r="AF572" s="65"/>
    </row>
    <row r="573" spans="32:32">
      <c r="AF573" s="65"/>
    </row>
    <row r="574" spans="32:32">
      <c r="AF574" s="65"/>
    </row>
    <row r="575" spans="32:32">
      <c r="AF575" s="65"/>
    </row>
    <row r="576" spans="32:32">
      <c r="AF576" s="65"/>
    </row>
    <row r="577" spans="32:32">
      <c r="AF577" s="65"/>
    </row>
    <row r="578" spans="32:32">
      <c r="AF578" s="65"/>
    </row>
    <row r="579" spans="32:32">
      <c r="AF579" s="65"/>
    </row>
    <row r="580" spans="32:32">
      <c r="AF580" s="65"/>
    </row>
    <row r="581" spans="32:32">
      <c r="AF581" s="65"/>
    </row>
    <row r="582" spans="32:32">
      <c r="AF582" s="65"/>
    </row>
    <row r="583" spans="32:32">
      <c r="AF583" s="65"/>
    </row>
    <row r="584" spans="32:32">
      <c r="AF584" s="65"/>
    </row>
    <row r="585" spans="32:32">
      <c r="AF585" s="65"/>
    </row>
    <row r="586" spans="32:32">
      <c r="AF586" s="65"/>
    </row>
    <row r="587" spans="32:32">
      <c r="AF587" s="65"/>
    </row>
    <row r="588" spans="32:32">
      <c r="AF588" s="65"/>
    </row>
    <row r="589" spans="32:32">
      <c r="AF589" s="65"/>
    </row>
    <row r="590" spans="32:32">
      <c r="AF590" s="65"/>
    </row>
    <row r="591" spans="32:32">
      <c r="AF591" s="65"/>
    </row>
    <row r="592" spans="32:32">
      <c r="AF592" s="65"/>
    </row>
    <row r="593" spans="32:32">
      <c r="AF593" s="65"/>
    </row>
    <row r="594" spans="32:32">
      <c r="AF594" s="65"/>
    </row>
    <row r="595" spans="32:32">
      <c r="AF595" s="65"/>
    </row>
    <row r="596" spans="32:32">
      <c r="AF596" s="65"/>
    </row>
    <row r="597" spans="32:32">
      <c r="AF597" s="65"/>
    </row>
    <row r="598" spans="32:32">
      <c r="AF598" s="65"/>
    </row>
    <row r="599" spans="32:32">
      <c r="AF599" s="65"/>
    </row>
    <row r="600" spans="32:32">
      <c r="AF600" s="65"/>
    </row>
    <row r="601" spans="32:32">
      <c r="AF601" s="65"/>
    </row>
    <row r="602" spans="32:32">
      <c r="AF602" s="65"/>
    </row>
    <row r="603" spans="32:32">
      <c r="AF603" s="65"/>
    </row>
    <row r="604" spans="32:32">
      <c r="AF604" s="65"/>
    </row>
    <row r="605" spans="32:32">
      <c r="AF605" s="65"/>
    </row>
    <row r="606" spans="32:32">
      <c r="AF606" s="65"/>
    </row>
    <row r="607" spans="32:32">
      <c r="AF607" s="65"/>
    </row>
    <row r="608" spans="32:32">
      <c r="AF608" s="65"/>
    </row>
    <row r="609" spans="32:32">
      <c r="AF609" s="65"/>
    </row>
    <row r="610" spans="32:32">
      <c r="AF610" s="65"/>
    </row>
    <row r="611" spans="32:32">
      <c r="AF611" s="65"/>
    </row>
    <row r="612" spans="32:32">
      <c r="AF612" s="65"/>
    </row>
    <row r="613" spans="32:32">
      <c r="AF613" s="65"/>
    </row>
    <row r="614" spans="32:32">
      <c r="AF614" s="65"/>
    </row>
    <row r="615" spans="32:32">
      <c r="AF615" s="65"/>
    </row>
    <row r="616" spans="32:32">
      <c r="AF616" s="65"/>
    </row>
    <row r="617" spans="32:32">
      <c r="AF617" s="65"/>
    </row>
    <row r="618" spans="32:32">
      <c r="AF618" s="65"/>
    </row>
    <row r="619" spans="32:32">
      <c r="AF619" s="65"/>
    </row>
    <row r="620" spans="32:32">
      <c r="AF620" s="65"/>
    </row>
    <row r="621" spans="32:32">
      <c r="AF621" s="65"/>
    </row>
    <row r="622" spans="32:32">
      <c r="AF622" s="65"/>
    </row>
    <row r="623" spans="32:32">
      <c r="AF623" s="65"/>
    </row>
    <row r="624" spans="32:32">
      <c r="AF624" s="65"/>
    </row>
    <row r="625" spans="32:32">
      <c r="AF625" s="65"/>
    </row>
    <row r="626" spans="32:32">
      <c r="AF626" s="65"/>
    </row>
    <row r="627" spans="32:32">
      <c r="AF627" s="65"/>
    </row>
    <row r="628" spans="32:32">
      <c r="AF628" s="65"/>
    </row>
    <row r="629" spans="32:32">
      <c r="AF629" s="65"/>
    </row>
    <row r="630" spans="32:32">
      <c r="AF630" s="65"/>
    </row>
    <row r="631" spans="32:32">
      <c r="AF631" s="65"/>
    </row>
    <row r="632" spans="32:32">
      <c r="AF632" s="65"/>
    </row>
    <row r="633" spans="32:32">
      <c r="AF633" s="65"/>
    </row>
    <row r="634" spans="32:32">
      <c r="AF634" s="65"/>
    </row>
    <row r="635" spans="32:32">
      <c r="AF635" s="65"/>
    </row>
    <row r="636" spans="32:32">
      <c r="AF636" s="65"/>
    </row>
    <row r="637" spans="32:32">
      <c r="AF637" s="65"/>
    </row>
    <row r="638" spans="32:32">
      <c r="AF638" s="65"/>
    </row>
    <row r="639" spans="32:32">
      <c r="AF639" s="65"/>
    </row>
    <row r="640" spans="32:32">
      <c r="AF640" s="65"/>
    </row>
    <row r="641" spans="32:32">
      <c r="AF641" s="65"/>
    </row>
    <row r="642" spans="32:32">
      <c r="AF642" s="65"/>
    </row>
    <row r="643" spans="32:32">
      <c r="AF643" s="65"/>
    </row>
    <row r="644" spans="32:32">
      <c r="AF644" s="65"/>
    </row>
    <row r="645" spans="32:32">
      <c r="AF645" s="65"/>
    </row>
    <row r="646" spans="32:32">
      <c r="AF646" s="65"/>
    </row>
    <row r="647" spans="32:32">
      <c r="AF647" s="65"/>
    </row>
    <row r="648" spans="32:32">
      <c r="AF648" s="65"/>
    </row>
    <row r="649" spans="32:32">
      <c r="AF649" s="65"/>
    </row>
    <row r="650" spans="32:32">
      <c r="AF650" s="65"/>
    </row>
    <row r="651" spans="32:32">
      <c r="AF651" s="65"/>
    </row>
    <row r="652" spans="32:32">
      <c r="AF652" s="65"/>
    </row>
    <row r="653" spans="32:32">
      <c r="AF653" s="65"/>
    </row>
    <row r="654" spans="32:32">
      <c r="AF654" s="65"/>
    </row>
    <row r="655" spans="32:32">
      <c r="AF655" s="65"/>
    </row>
    <row r="656" spans="32:32">
      <c r="AF656" s="65"/>
    </row>
    <row r="657" spans="32:32">
      <c r="AF657" s="65"/>
    </row>
    <row r="658" spans="32:32">
      <c r="AF658" s="65"/>
    </row>
    <row r="659" spans="32:32">
      <c r="AF659" s="65"/>
    </row>
    <row r="660" spans="32:32">
      <c r="AF660" s="65"/>
    </row>
    <row r="661" spans="32:32">
      <c r="AF661" s="65"/>
    </row>
    <row r="662" spans="32:32">
      <c r="AF662" s="65"/>
    </row>
    <row r="663" spans="32:32">
      <c r="AF663" s="65"/>
    </row>
    <row r="664" spans="32:32">
      <c r="AF664" s="65"/>
    </row>
    <row r="665" spans="32:32">
      <c r="AF665" s="65"/>
    </row>
    <row r="666" spans="32:32">
      <c r="AF666" s="65"/>
    </row>
    <row r="667" spans="32:32">
      <c r="AF667" s="65"/>
    </row>
    <row r="668" spans="32:32">
      <c r="AF668" s="65"/>
    </row>
    <row r="669" spans="32:32">
      <c r="AF669" s="65"/>
    </row>
    <row r="670" spans="32:32">
      <c r="AF670" s="65"/>
    </row>
    <row r="671" spans="32:32">
      <c r="AF671" s="65"/>
    </row>
    <row r="672" spans="32:32">
      <c r="AF672" s="65"/>
    </row>
    <row r="673" spans="32:32">
      <c r="AF673" s="65"/>
    </row>
    <row r="674" spans="32:32">
      <c r="AF674" s="65"/>
    </row>
    <row r="675" spans="32:32">
      <c r="AF675" s="65"/>
    </row>
    <row r="676" spans="32:32">
      <c r="AF676" s="65"/>
    </row>
    <row r="677" spans="32:32">
      <c r="AF677" s="65"/>
    </row>
    <row r="678" spans="32:32">
      <c r="AF678" s="65"/>
    </row>
    <row r="679" spans="32:32">
      <c r="AF679" s="65"/>
    </row>
    <row r="680" spans="32:32">
      <c r="AF680" s="65"/>
    </row>
    <row r="681" spans="32:32">
      <c r="AF681" s="65"/>
    </row>
    <row r="682" spans="32:32">
      <c r="AF682" s="65"/>
    </row>
    <row r="683" spans="32:32">
      <c r="AF683" s="65"/>
    </row>
    <row r="684" spans="32:32">
      <c r="AF684" s="65"/>
    </row>
    <row r="685" spans="32:32">
      <c r="AF685" s="65"/>
    </row>
    <row r="686" spans="32:32">
      <c r="AF686" s="65"/>
    </row>
    <row r="687" spans="32:32">
      <c r="AF687" s="65"/>
    </row>
    <row r="688" spans="32:32">
      <c r="AF688" s="65"/>
    </row>
    <row r="689" spans="32:32">
      <c r="AF689" s="65"/>
    </row>
    <row r="690" spans="32:32">
      <c r="AF690" s="65"/>
    </row>
    <row r="691" spans="32:32">
      <c r="AF691" s="65"/>
    </row>
    <row r="692" spans="32:32">
      <c r="AF692" s="65"/>
    </row>
    <row r="693" spans="32:32">
      <c r="AF693" s="65"/>
    </row>
    <row r="694" spans="32:32">
      <c r="AF694" s="65"/>
    </row>
    <row r="695" spans="32:32">
      <c r="AF695" s="65"/>
    </row>
    <row r="696" spans="32:32">
      <c r="AF696" s="65"/>
    </row>
    <row r="697" spans="32:32">
      <c r="AF697" s="65"/>
    </row>
    <row r="698" spans="32:32">
      <c r="AF698" s="65"/>
    </row>
    <row r="699" spans="32:32">
      <c r="AF699" s="65"/>
    </row>
    <row r="700" spans="32:32">
      <c r="AF700" s="65"/>
    </row>
    <row r="701" spans="32:32">
      <c r="AF701" s="65"/>
    </row>
    <row r="702" spans="32:32">
      <c r="AF702" s="65"/>
    </row>
    <row r="703" spans="32:32">
      <c r="AF703" s="65"/>
    </row>
    <row r="704" spans="32:32">
      <c r="AF704" s="65"/>
    </row>
    <row r="705" spans="32:32">
      <c r="AF705" s="65"/>
    </row>
    <row r="706" spans="32:32">
      <c r="AF706" s="65"/>
    </row>
    <row r="707" spans="32:32">
      <c r="AF707" s="65"/>
    </row>
    <row r="708" spans="32:32">
      <c r="AF708" s="65"/>
    </row>
    <row r="709" spans="32:32">
      <c r="AF709" s="65"/>
    </row>
    <row r="710" spans="32:32">
      <c r="AF710" s="65"/>
    </row>
    <row r="711" spans="32:32">
      <c r="AF711" s="65"/>
    </row>
    <row r="712" spans="32:32">
      <c r="AF712" s="65"/>
    </row>
    <row r="713" spans="32:32">
      <c r="AF713" s="65"/>
    </row>
    <row r="714" spans="32:32">
      <c r="AF714" s="65"/>
    </row>
    <row r="715" spans="32:32">
      <c r="AF715" s="65"/>
    </row>
    <row r="716" spans="32:32">
      <c r="AF716" s="65"/>
    </row>
    <row r="717" spans="32:32">
      <c r="AF717" s="65"/>
    </row>
    <row r="718" spans="32:32">
      <c r="AF718" s="65"/>
    </row>
    <row r="719" spans="32:32">
      <c r="AF719" s="65"/>
    </row>
    <row r="720" spans="32:32">
      <c r="AF720" s="65"/>
    </row>
    <row r="721" spans="32:32">
      <c r="AF721" s="65"/>
    </row>
    <row r="722" spans="32:32">
      <c r="AF722" s="65"/>
    </row>
    <row r="723" spans="32:32">
      <c r="AF723" s="65"/>
    </row>
    <row r="724" spans="32:32">
      <c r="AF724" s="65"/>
    </row>
    <row r="725" spans="32:32">
      <c r="AF725" s="65"/>
    </row>
    <row r="726" spans="32:32">
      <c r="AF726" s="65"/>
    </row>
    <row r="727" spans="32:32">
      <c r="AF727" s="65"/>
    </row>
    <row r="728" spans="32:32">
      <c r="AF728" s="65"/>
    </row>
    <row r="729" spans="32:32">
      <c r="AF729" s="65"/>
    </row>
    <row r="730" spans="32:32">
      <c r="AF730" s="65"/>
    </row>
    <row r="731" spans="32:32">
      <c r="AF731" s="65"/>
    </row>
    <row r="732" spans="32:32">
      <c r="AF732" s="65"/>
    </row>
    <row r="733" spans="32:32">
      <c r="AF733" s="65"/>
    </row>
    <row r="734" spans="32:32">
      <c r="AF734" s="65"/>
    </row>
    <row r="735" spans="32:32">
      <c r="AF735" s="65"/>
    </row>
    <row r="736" spans="32:32">
      <c r="AF736" s="65"/>
    </row>
    <row r="737" spans="32:32">
      <c r="AF737" s="65"/>
    </row>
    <row r="738" spans="32:32">
      <c r="AF738" s="65"/>
    </row>
    <row r="739" spans="32:32">
      <c r="AF739" s="65"/>
    </row>
    <row r="740" spans="32:32">
      <c r="AF740" s="65"/>
    </row>
    <row r="741" spans="32:32">
      <c r="AF741" s="65"/>
    </row>
    <row r="742" spans="32:32">
      <c r="AF742" s="65"/>
    </row>
    <row r="743" spans="32:32">
      <c r="AF743" s="65"/>
    </row>
    <row r="744" spans="32:32">
      <c r="AF744" s="65"/>
    </row>
    <row r="745" spans="32:32">
      <c r="AF745" s="65"/>
    </row>
    <row r="746" spans="32:32">
      <c r="AF746" s="65"/>
    </row>
    <row r="747" spans="32:32">
      <c r="AF747" s="65"/>
    </row>
    <row r="748" spans="32:32">
      <c r="AF748" s="65"/>
    </row>
    <row r="749" spans="32:32">
      <c r="AF749" s="65"/>
    </row>
    <row r="750" spans="32:32">
      <c r="AF750" s="65"/>
    </row>
    <row r="751" spans="32:32">
      <c r="AF751" s="65"/>
    </row>
    <row r="752" spans="32:32">
      <c r="AF752" s="65"/>
    </row>
    <row r="753" spans="32:32">
      <c r="AF753" s="65"/>
    </row>
    <row r="754" spans="32:32">
      <c r="AF754" s="65"/>
    </row>
    <row r="755" spans="32:32">
      <c r="AF755" s="65"/>
    </row>
    <row r="756" spans="32:32">
      <c r="AF756" s="65"/>
    </row>
    <row r="757" spans="32:32">
      <c r="AF757" s="65"/>
    </row>
    <row r="758" spans="32:32">
      <c r="AF758" s="65"/>
    </row>
    <row r="759" spans="32:32">
      <c r="AF759" s="65"/>
    </row>
    <row r="760" spans="32:32">
      <c r="AF760" s="65"/>
    </row>
    <row r="761" spans="32:32">
      <c r="AF761" s="65"/>
    </row>
    <row r="762" spans="32:32">
      <c r="AF762" s="65"/>
    </row>
    <row r="763" spans="32:32">
      <c r="AF763" s="65"/>
    </row>
    <row r="764" spans="32:32">
      <c r="AF764" s="65"/>
    </row>
    <row r="765" spans="32:32">
      <c r="AF765" s="65"/>
    </row>
    <row r="766" spans="32:32">
      <c r="AF766" s="65"/>
    </row>
    <row r="767" spans="32:32">
      <c r="AF767" s="65"/>
    </row>
    <row r="768" spans="32:32">
      <c r="AF768" s="65"/>
    </row>
    <row r="769" spans="32:32">
      <c r="AF769" s="65"/>
    </row>
    <row r="770" spans="32:32">
      <c r="AF770" s="65"/>
    </row>
    <row r="771" spans="32:32">
      <c r="AF771" s="65"/>
    </row>
    <row r="772" spans="32:32">
      <c r="AF772" s="65"/>
    </row>
    <row r="773" spans="32:32">
      <c r="AF773" s="65"/>
    </row>
    <row r="774" spans="32:32">
      <c r="AF774" s="65"/>
    </row>
    <row r="775" spans="32:32">
      <c r="AF775" s="65"/>
    </row>
    <row r="776" spans="32:32">
      <c r="AF776" s="65"/>
    </row>
    <row r="777" spans="32:32">
      <c r="AF777" s="65"/>
    </row>
    <row r="778" spans="32:32">
      <c r="AF778" s="65"/>
    </row>
    <row r="779" spans="32:32">
      <c r="AF779" s="65"/>
    </row>
    <row r="780" spans="32:32">
      <c r="AF780" s="65"/>
    </row>
    <row r="781" spans="32:32">
      <c r="AF781" s="65"/>
    </row>
    <row r="782" spans="32:32">
      <c r="AF782" s="65"/>
    </row>
    <row r="783" spans="32:32">
      <c r="AF783" s="65"/>
    </row>
    <row r="784" spans="32:32">
      <c r="AF784" s="65"/>
    </row>
    <row r="785" spans="32:32">
      <c r="AF785" s="65"/>
    </row>
    <row r="786" spans="32:32">
      <c r="AF786" s="65"/>
    </row>
    <row r="787" spans="32:32">
      <c r="AF787" s="65"/>
    </row>
    <row r="788" spans="32:32">
      <c r="AF788" s="65"/>
    </row>
    <row r="789" spans="32:32">
      <c r="AF789" s="65"/>
    </row>
    <row r="790" spans="32:32">
      <c r="AF790" s="65"/>
    </row>
    <row r="791" spans="32:32">
      <c r="AF791" s="65"/>
    </row>
    <row r="792" spans="32:32">
      <c r="AF792" s="65"/>
    </row>
    <row r="793" spans="32:32">
      <c r="AF793" s="65"/>
    </row>
    <row r="794" spans="32:32">
      <c r="AF794" s="65"/>
    </row>
    <row r="795" spans="32:32">
      <c r="AF795" s="65"/>
    </row>
    <row r="796" spans="32:32">
      <c r="AF796" s="65"/>
    </row>
    <row r="797" spans="32:32">
      <c r="AF797" s="65"/>
    </row>
    <row r="798" spans="32:32">
      <c r="AF798" s="65"/>
    </row>
    <row r="799" spans="32:32">
      <c r="AF799" s="65"/>
    </row>
    <row r="800" spans="32:32">
      <c r="AF800" s="65"/>
    </row>
    <row r="801" spans="32:32">
      <c r="AF801" s="65"/>
    </row>
    <row r="802" spans="32:32">
      <c r="AF802" s="65"/>
    </row>
    <row r="803" spans="32:32">
      <c r="AF803" s="65"/>
    </row>
    <row r="804" spans="32:32">
      <c r="AF804" s="65"/>
    </row>
    <row r="805" spans="32:32">
      <c r="AF805" s="65"/>
    </row>
    <row r="806" spans="32:32">
      <c r="AF806" s="65"/>
    </row>
    <row r="807" spans="32:32">
      <c r="AF807" s="65"/>
    </row>
    <row r="808" spans="32:32">
      <c r="AF808" s="65"/>
    </row>
    <row r="809" spans="32:32">
      <c r="AF809" s="65"/>
    </row>
    <row r="810" spans="32:32">
      <c r="AF810" s="65"/>
    </row>
    <row r="811" spans="32:32">
      <c r="AF811" s="65"/>
    </row>
    <row r="812" spans="32:32">
      <c r="AF812" s="65"/>
    </row>
    <row r="813" spans="32:32">
      <c r="AF813" s="65"/>
    </row>
    <row r="814" spans="32:32">
      <c r="AF814" s="65"/>
    </row>
    <row r="815" spans="32:32">
      <c r="AF815" s="65"/>
    </row>
    <row r="816" spans="32:32">
      <c r="AF816" s="65"/>
    </row>
    <row r="817" spans="32:32">
      <c r="AF817" s="65"/>
    </row>
    <row r="818" spans="32:32">
      <c r="AF818" s="65"/>
    </row>
    <row r="819" spans="32:32">
      <c r="AF819" s="65"/>
    </row>
    <row r="820" spans="32:32">
      <c r="AF820" s="65"/>
    </row>
    <row r="821" spans="32:32">
      <c r="AF821" s="65"/>
    </row>
    <row r="822" spans="32:32">
      <c r="AF822" s="65"/>
    </row>
    <row r="823" spans="32:32">
      <c r="AF823" s="65"/>
    </row>
    <row r="824" spans="32:32">
      <c r="AF824" s="65"/>
    </row>
    <row r="825" spans="32:32">
      <c r="AF825" s="65"/>
    </row>
    <row r="826" spans="32:32">
      <c r="AF826" s="65"/>
    </row>
    <row r="827" spans="32:32">
      <c r="AF827" s="65"/>
    </row>
    <row r="828" spans="32:32">
      <c r="AF828" s="65"/>
    </row>
    <row r="829" spans="32:32">
      <c r="AF829" s="65"/>
    </row>
    <row r="830" spans="32:32">
      <c r="AF830" s="65"/>
    </row>
    <row r="831" spans="32:32">
      <c r="AF831" s="65"/>
    </row>
    <row r="832" spans="32:32">
      <c r="AF832" s="65"/>
    </row>
    <row r="833" spans="32:32">
      <c r="AF833" s="65"/>
    </row>
    <row r="834" spans="32:32">
      <c r="AF834" s="65"/>
    </row>
    <row r="835" spans="32:32">
      <c r="AF835" s="65"/>
    </row>
    <row r="836" spans="32:32">
      <c r="AF836" s="65"/>
    </row>
    <row r="837" spans="32:32">
      <c r="AF837" s="65"/>
    </row>
    <row r="838" spans="32:32">
      <c r="AF838" s="65"/>
    </row>
    <row r="839" spans="32:32">
      <c r="AF839" s="65"/>
    </row>
    <row r="840" spans="32:32">
      <c r="AF840" s="65"/>
    </row>
    <row r="841" spans="32:32">
      <c r="AF841" s="65"/>
    </row>
    <row r="842" spans="32:32">
      <c r="AF842" s="65"/>
    </row>
    <row r="843" spans="32:32">
      <c r="AF843" s="65"/>
    </row>
    <row r="844" spans="32:32">
      <c r="AF844" s="65"/>
    </row>
    <row r="845" spans="32:32">
      <c r="AF845" s="65"/>
    </row>
    <row r="846" spans="32:32">
      <c r="AF846" s="65"/>
    </row>
    <row r="847" spans="32:32">
      <c r="AF847" s="65"/>
    </row>
    <row r="848" spans="32:32">
      <c r="AF848" s="65"/>
    </row>
    <row r="849" spans="32:32">
      <c r="AF849" s="65"/>
    </row>
    <row r="850" spans="32:32">
      <c r="AF850" s="65"/>
    </row>
    <row r="851" spans="32:32">
      <c r="AF851" s="65"/>
    </row>
    <row r="852" spans="32:32">
      <c r="AF852" s="65"/>
    </row>
    <row r="853" spans="32:32">
      <c r="AF853" s="65"/>
    </row>
    <row r="854" spans="32:32">
      <c r="AF854" s="65"/>
    </row>
    <row r="855" spans="32:32">
      <c r="AF855" s="65"/>
    </row>
    <row r="856" spans="32:32">
      <c r="AF856" s="65"/>
    </row>
    <row r="857" spans="32:32">
      <c r="AF857" s="65"/>
    </row>
    <row r="858" spans="32:32">
      <c r="AF858" s="65"/>
    </row>
    <row r="859" spans="32:32">
      <c r="AF859" s="65"/>
    </row>
    <row r="860" spans="32:32">
      <c r="AF860" s="65"/>
    </row>
    <row r="861" spans="32:32">
      <c r="AF861" s="65"/>
    </row>
    <row r="862" spans="32:32">
      <c r="AF862" s="65"/>
    </row>
    <row r="863" spans="32:32">
      <c r="AF863" s="65"/>
    </row>
    <row r="864" spans="32:32">
      <c r="AF864" s="65"/>
    </row>
    <row r="865" spans="32:32">
      <c r="AF865" s="65"/>
    </row>
    <row r="866" spans="32:32">
      <c r="AF866" s="65"/>
    </row>
    <row r="867" spans="32:32">
      <c r="AF867" s="65"/>
    </row>
    <row r="868" spans="32:32">
      <c r="AF868" s="65"/>
    </row>
    <row r="869" spans="32:32">
      <c r="AF869" s="65"/>
    </row>
    <row r="870" spans="32:32">
      <c r="AF870" s="65"/>
    </row>
    <row r="871" spans="32:32">
      <c r="AF871" s="65"/>
    </row>
    <row r="872" spans="32:32">
      <c r="AF872" s="65"/>
    </row>
    <row r="873" spans="32:32">
      <c r="AF873" s="65"/>
    </row>
    <row r="874" spans="32:32">
      <c r="AF874" s="65"/>
    </row>
    <row r="875" spans="32:32">
      <c r="AF875" s="65"/>
    </row>
    <row r="876" spans="32:32">
      <c r="AF876" s="65"/>
    </row>
    <row r="877" spans="32:32">
      <c r="AF877" s="65"/>
    </row>
    <row r="878" spans="32:32">
      <c r="AF878" s="65"/>
    </row>
    <row r="879" spans="32:32">
      <c r="AF879" s="65"/>
    </row>
    <row r="880" spans="32:32">
      <c r="AF880" s="65"/>
    </row>
    <row r="881" spans="32:32">
      <c r="AF881" s="65"/>
    </row>
    <row r="882" spans="32:32">
      <c r="AF882" s="65"/>
    </row>
    <row r="883" spans="32:32">
      <c r="AF883" s="65"/>
    </row>
    <row r="884" spans="32:32">
      <c r="AF884" s="65"/>
    </row>
    <row r="885" spans="32:32">
      <c r="AF885" s="65"/>
    </row>
    <row r="886" spans="32:32">
      <c r="AF886" s="65"/>
    </row>
    <row r="887" spans="32:32">
      <c r="AF887" s="65"/>
    </row>
    <row r="888" spans="32:32">
      <c r="AF888" s="65"/>
    </row>
    <row r="889" spans="32:32">
      <c r="AF889" s="65"/>
    </row>
    <row r="890" spans="32:32">
      <c r="AF890" s="65"/>
    </row>
    <row r="891" spans="32:32">
      <c r="AF891" s="65"/>
    </row>
    <row r="892" spans="32:32">
      <c r="AF892" s="65"/>
    </row>
    <row r="893" spans="32:32">
      <c r="AF893" s="65"/>
    </row>
    <row r="894" spans="32:32">
      <c r="AF894" s="65"/>
    </row>
    <row r="895" spans="32:32">
      <c r="AF895" s="65"/>
    </row>
    <row r="896" spans="32:32">
      <c r="AF896" s="65"/>
    </row>
    <row r="897" spans="32:32">
      <c r="AF897" s="65"/>
    </row>
    <row r="898" spans="32:32">
      <c r="AF898" s="65"/>
    </row>
    <row r="899" spans="32:32">
      <c r="AF899" s="65"/>
    </row>
    <row r="900" spans="32:32">
      <c r="AF900" s="65"/>
    </row>
    <row r="901" spans="32:32">
      <c r="AF901" s="65"/>
    </row>
    <row r="902" spans="32:32">
      <c r="AF902" s="65"/>
    </row>
    <row r="903" spans="32:32">
      <c r="AF903" s="65"/>
    </row>
    <row r="904" spans="32:32">
      <c r="AF904" s="65"/>
    </row>
    <row r="905" spans="32:32">
      <c r="AF905" s="65"/>
    </row>
    <row r="906" spans="32:32">
      <c r="AF906" s="65"/>
    </row>
    <row r="907" spans="32:32">
      <c r="AF907" s="65"/>
    </row>
    <row r="908" spans="32:32">
      <c r="AF908" s="65"/>
    </row>
    <row r="909" spans="32:32">
      <c r="AF909" s="65"/>
    </row>
    <row r="910" spans="32:32">
      <c r="AF910" s="65"/>
    </row>
    <row r="911" spans="32:32">
      <c r="AF911" s="65"/>
    </row>
    <row r="912" spans="32:32">
      <c r="AF912" s="65"/>
    </row>
    <row r="913" spans="32:32">
      <c r="AF913" s="65"/>
    </row>
    <row r="914" spans="32:32">
      <c r="AF914" s="65"/>
    </row>
    <row r="915" spans="32:32">
      <c r="AF915" s="65"/>
    </row>
    <row r="916" spans="32:32">
      <c r="AF916" s="65"/>
    </row>
    <row r="917" spans="32:32">
      <c r="AF917" s="65"/>
    </row>
    <row r="918" spans="32:32">
      <c r="AF918" s="65"/>
    </row>
    <row r="919" spans="32:32">
      <c r="AF919" s="65"/>
    </row>
    <row r="920" spans="32:32">
      <c r="AF920" s="65"/>
    </row>
    <row r="921" spans="32:32">
      <c r="AF921" s="65"/>
    </row>
    <row r="922" spans="32:32">
      <c r="AF922" s="65"/>
    </row>
    <row r="923" spans="32:32">
      <c r="AF923" s="65"/>
    </row>
    <row r="924" spans="32:32">
      <c r="AF924" s="65"/>
    </row>
    <row r="925" spans="32:32">
      <c r="AF925" s="65"/>
    </row>
    <row r="926" spans="32:32">
      <c r="AF926" s="65"/>
    </row>
    <row r="927" spans="32:32">
      <c r="AF927" s="65"/>
    </row>
    <row r="928" spans="32:32">
      <c r="AF928" s="65"/>
    </row>
    <row r="929" spans="32:32">
      <c r="AF929" s="65"/>
    </row>
    <row r="930" spans="32:32">
      <c r="AF930" s="65"/>
    </row>
    <row r="931" spans="32:32">
      <c r="AF931" s="65"/>
    </row>
    <row r="932" spans="32:32">
      <c r="AF932" s="65"/>
    </row>
    <row r="933" spans="32:32">
      <c r="AF933" s="65"/>
    </row>
    <row r="934" spans="32:32">
      <c r="AF934" s="65"/>
    </row>
    <row r="935" spans="32:32">
      <c r="AF935" s="65"/>
    </row>
    <row r="936" spans="32:32">
      <c r="AF936" s="65"/>
    </row>
    <row r="937" spans="32:32">
      <c r="AF937" s="65"/>
    </row>
    <row r="938" spans="32:32">
      <c r="AF938" s="65"/>
    </row>
    <row r="939" spans="32:32">
      <c r="AF939" s="65"/>
    </row>
    <row r="940" spans="32:32">
      <c r="AF940" s="65"/>
    </row>
    <row r="941" spans="32:32">
      <c r="AF941" s="65"/>
    </row>
    <row r="942" spans="32:32">
      <c r="AF942" s="65"/>
    </row>
    <row r="943" spans="32:32">
      <c r="AF943" s="65"/>
    </row>
    <row r="944" spans="32:32">
      <c r="AF944" s="65"/>
    </row>
    <row r="945" spans="32:32">
      <c r="AF945" s="65"/>
    </row>
    <row r="946" spans="32:32">
      <c r="AF946" s="65"/>
    </row>
    <row r="947" spans="32:32">
      <c r="AF947" s="65"/>
    </row>
    <row r="948" spans="32:32">
      <c r="AF948" s="65"/>
    </row>
    <row r="949" spans="32:32">
      <c r="AF949" s="65"/>
    </row>
    <row r="950" spans="32:32">
      <c r="AF950" s="65"/>
    </row>
    <row r="951" spans="32:32">
      <c r="AF951" s="65"/>
    </row>
    <row r="952" spans="32:32">
      <c r="AF952" s="65"/>
    </row>
    <row r="953" spans="32:32">
      <c r="AF953" s="65"/>
    </row>
    <row r="954" spans="32:32">
      <c r="AF954" s="65"/>
    </row>
    <row r="955" spans="32:32">
      <c r="AF955" s="65"/>
    </row>
    <row r="956" spans="32:32">
      <c r="AF956" s="65"/>
    </row>
    <row r="957" spans="32:32">
      <c r="AF957" s="65"/>
    </row>
    <row r="958" spans="32:32">
      <c r="AF958" s="65"/>
    </row>
    <row r="959" spans="32:32">
      <c r="AF959" s="65"/>
    </row>
    <row r="960" spans="32:32">
      <c r="AF960" s="65"/>
    </row>
    <row r="961" spans="32:32">
      <c r="AF961" s="65"/>
    </row>
    <row r="962" spans="32:32">
      <c r="AF962" s="65"/>
    </row>
    <row r="963" spans="32:32">
      <c r="AF963" s="65"/>
    </row>
    <row r="964" spans="32:32">
      <c r="AF964" s="65"/>
    </row>
    <row r="965" spans="32:32">
      <c r="AF965" s="65"/>
    </row>
    <row r="966" spans="32:32">
      <c r="AF966" s="65"/>
    </row>
    <row r="967" spans="32:32">
      <c r="AF967" s="65"/>
    </row>
    <row r="968" spans="32:32">
      <c r="AF968" s="65"/>
    </row>
    <row r="969" spans="32:32">
      <c r="AF969" s="65"/>
    </row>
    <row r="970" spans="32:32">
      <c r="AF970" s="65"/>
    </row>
    <row r="971" spans="32:32">
      <c r="AF971" s="65"/>
    </row>
    <row r="972" spans="32:32">
      <c r="AF972" s="65"/>
    </row>
    <row r="973" spans="32:32">
      <c r="AF973" s="65"/>
    </row>
    <row r="974" spans="32:32">
      <c r="AF974" s="65"/>
    </row>
    <row r="975" spans="32:32">
      <c r="AF975" s="65"/>
    </row>
    <row r="976" spans="32:32">
      <c r="AF976" s="65"/>
    </row>
    <row r="977" spans="32:32">
      <c r="AF977" s="65"/>
    </row>
    <row r="978" spans="32:32">
      <c r="AF978" s="65"/>
    </row>
    <row r="979" spans="32:32">
      <c r="AF979" s="65"/>
    </row>
    <row r="980" spans="32:32">
      <c r="AF980" s="65"/>
    </row>
    <row r="981" spans="32:32">
      <c r="AF981" s="65"/>
    </row>
    <row r="982" spans="32:32">
      <c r="AF982" s="65"/>
    </row>
    <row r="983" spans="32:32">
      <c r="AF983" s="65"/>
    </row>
    <row r="984" spans="32:32">
      <c r="AF984" s="65"/>
    </row>
    <row r="985" spans="32:32">
      <c r="AF985" s="65"/>
    </row>
    <row r="986" spans="32:32">
      <c r="AF986" s="65"/>
    </row>
    <row r="987" spans="32:32">
      <c r="AF987" s="65"/>
    </row>
    <row r="988" spans="32:32">
      <c r="AF988" s="65"/>
    </row>
    <row r="989" spans="32:32">
      <c r="AF989" s="65"/>
    </row>
    <row r="990" spans="32:32">
      <c r="AF990" s="65"/>
    </row>
    <row r="991" spans="32:32">
      <c r="AF991" s="65"/>
    </row>
    <row r="992" spans="32:32">
      <c r="AF992" s="65"/>
    </row>
    <row r="993" spans="32:32">
      <c r="AF993" s="65"/>
    </row>
    <row r="994" spans="32:32">
      <c r="AF994" s="65"/>
    </row>
    <row r="995" spans="32:32">
      <c r="AF995" s="65"/>
    </row>
    <row r="996" spans="32:32">
      <c r="AF996" s="65"/>
    </row>
    <row r="997" spans="32:32">
      <c r="AF997" s="65"/>
    </row>
    <row r="998" spans="32:32">
      <c r="AF998" s="65"/>
    </row>
    <row r="999" spans="32:32">
      <c r="AF999" s="65"/>
    </row>
    <row r="1000" spans="32:32">
      <c r="AF1000" s="65"/>
    </row>
    <row r="1001" spans="32:32">
      <c r="AF1001" s="65"/>
    </row>
    <row r="1002" spans="32:32">
      <c r="AF1002" s="65"/>
    </row>
    <row r="1003" spans="32:32">
      <c r="AF1003" s="65"/>
    </row>
    <row r="1004" spans="32:32">
      <c r="AF1004" s="65"/>
    </row>
    <row r="1005" spans="32:32">
      <c r="AF1005" s="65"/>
    </row>
    <row r="1006" spans="32:32">
      <c r="AF1006" s="65"/>
    </row>
    <row r="1007" spans="32:32">
      <c r="AF1007" s="65"/>
    </row>
    <row r="1008" spans="32:32">
      <c r="AF1008" s="65"/>
    </row>
    <row r="1009" spans="32:32">
      <c r="AF1009" s="65"/>
    </row>
    <row r="1010" spans="32:32">
      <c r="AF1010" s="65"/>
    </row>
    <row r="1011" spans="32:32">
      <c r="AF1011" s="65"/>
    </row>
    <row r="1012" spans="32:32">
      <c r="AF1012" s="65"/>
    </row>
    <row r="1013" spans="32:32">
      <c r="AF1013" s="65"/>
    </row>
    <row r="1014" spans="32:32">
      <c r="AF1014" s="65"/>
    </row>
    <row r="1015" spans="32:32">
      <c r="AF1015" s="65"/>
    </row>
    <row r="1016" spans="32:32">
      <c r="AF1016" s="65"/>
    </row>
    <row r="1017" spans="32:32">
      <c r="AF1017" s="65"/>
    </row>
    <row r="1018" spans="32:32">
      <c r="AF1018" s="65"/>
    </row>
    <row r="1019" spans="32:32">
      <c r="AF1019" s="65"/>
    </row>
    <row r="1020" spans="32:32">
      <c r="AF1020" s="65"/>
    </row>
    <row r="1021" spans="32:32">
      <c r="AF1021" s="65"/>
    </row>
    <row r="1022" spans="32:32">
      <c r="AF1022" s="65"/>
    </row>
    <row r="1023" spans="32:32">
      <c r="AF1023" s="65"/>
    </row>
    <row r="1024" spans="32:32">
      <c r="AF1024" s="65"/>
    </row>
    <row r="1025" spans="32:32">
      <c r="AF1025" s="65"/>
    </row>
    <row r="1026" spans="32:32">
      <c r="AF1026" s="65"/>
    </row>
    <row r="1027" spans="32:32">
      <c r="AF1027" s="65"/>
    </row>
    <row r="1028" spans="32:32">
      <c r="AF1028" s="65"/>
    </row>
    <row r="1029" spans="32:32">
      <c r="AF1029" s="65"/>
    </row>
    <row r="1030" spans="32:32">
      <c r="AF1030" s="65"/>
    </row>
    <row r="1031" spans="32:32">
      <c r="AF1031" s="65"/>
    </row>
    <row r="1032" spans="32:32">
      <c r="AF1032" s="65"/>
    </row>
    <row r="1033" spans="32:32">
      <c r="AF1033" s="65"/>
    </row>
    <row r="1034" spans="32:32">
      <c r="AF1034" s="65"/>
    </row>
    <row r="1035" spans="32:32">
      <c r="AF1035" s="65"/>
    </row>
    <row r="1036" spans="32:32">
      <c r="AF1036" s="65"/>
    </row>
    <row r="1037" spans="32:32">
      <c r="AF1037" s="65"/>
    </row>
    <row r="1038" spans="32:32">
      <c r="AF1038" s="65"/>
    </row>
    <row r="1039" spans="32:32">
      <c r="AF1039" s="65"/>
    </row>
    <row r="1040" spans="32:32">
      <c r="AF1040" s="65"/>
    </row>
    <row r="1041" spans="32:32">
      <c r="AF1041" s="65"/>
    </row>
    <row r="1042" spans="32:32">
      <c r="AF1042" s="65"/>
    </row>
    <row r="1043" spans="32:32">
      <c r="AF1043" s="65"/>
    </row>
    <row r="1044" spans="32:32">
      <c r="AF1044" s="65"/>
    </row>
    <row r="1045" spans="32:32">
      <c r="AF1045" s="65"/>
    </row>
    <row r="1046" spans="32:32">
      <c r="AF1046" s="65"/>
    </row>
    <row r="1047" spans="32:32">
      <c r="AF1047" s="65"/>
    </row>
    <row r="1048" spans="32:32">
      <c r="AF1048" s="65"/>
    </row>
    <row r="1049" spans="32:32">
      <c r="AF1049" s="65"/>
    </row>
    <row r="1050" spans="32:32">
      <c r="AF1050" s="65"/>
    </row>
    <row r="1051" spans="32:32">
      <c r="AF1051" s="65"/>
    </row>
    <row r="1052" spans="32:32">
      <c r="AF1052" s="65"/>
    </row>
    <row r="1053" spans="32:32">
      <c r="AF1053" s="65"/>
    </row>
    <row r="1054" spans="32:32">
      <c r="AF1054" s="65"/>
    </row>
    <row r="1055" spans="32:32">
      <c r="AF1055" s="65"/>
    </row>
    <row r="1056" spans="32:32">
      <c r="AF1056" s="65"/>
    </row>
    <row r="1057" spans="32:32">
      <c r="AF1057" s="65"/>
    </row>
    <row r="1058" spans="32:32">
      <c r="AF1058" s="65"/>
    </row>
    <row r="1059" spans="32:32">
      <c r="AF1059" s="65"/>
    </row>
    <row r="1060" spans="32:32">
      <c r="AF1060" s="65"/>
    </row>
    <row r="1061" spans="32:32">
      <c r="AF1061" s="65"/>
    </row>
    <row r="1062" spans="32:32">
      <c r="AF1062" s="65"/>
    </row>
    <row r="1063" spans="32:32">
      <c r="AF1063" s="65"/>
    </row>
    <row r="1064" spans="32:32">
      <c r="AF1064" s="65"/>
    </row>
    <row r="1065" spans="32:32">
      <c r="AF1065" s="65"/>
    </row>
    <row r="1066" spans="32:32">
      <c r="AF1066" s="65"/>
    </row>
    <row r="1067" spans="32:32">
      <c r="AF1067" s="65"/>
    </row>
    <row r="1068" spans="32:32">
      <c r="AF1068" s="65"/>
    </row>
    <row r="1069" spans="32:32">
      <c r="AF1069" s="65"/>
    </row>
    <row r="1070" spans="32:32">
      <c r="AF1070" s="65"/>
    </row>
    <row r="1071" spans="32:32">
      <c r="AF1071" s="65"/>
    </row>
    <row r="1072" spans="32:32">
      <c r="AF1072" s="65"/>
    </row>
    <row r="1073" spans="32:32">
      <c r="AF1073" s="65"/>
    </row>
    <row r="1074" spans="32:32">
      <c r="AF1074" s="65"/>
    </row>
    <row r="1075" spans="32:32">
      <c r="AF1075" s="65"/>
    </row>
    <row r="1076" spans="32:32">
      <c r="AF1076" s="65"/>
    </row>
    <row r="1077" spans="32:32">
      <c r="AF1077" s="65"/>
    </row>
    <row r="1078" spans="32:32">
      <c r="AF1078" s="65"/>
    </row>
    <row r="1079" spans="32:32">
      <c r="AF1079" s="65"/>
    </row>
    <row r="1080" spans="32:32">
      <c r="AF1080" s="65"/>
    </row>
    <row r="1081" spans="32:32">
      <c r="AF1081" s="65"/>
    </row>
    <row r="1082" spans="32:32">
      <c r="AF1082" s="65"/>
    </row>
    <row r="1083" spans="32:32">
      <c r="AF1083" s="65"/>
    </row>
    <row r="1084" spans="32:32">
      <c r="AF1084" s="65"/>
    </row>
    <row r="1085" spans="32:32">
      <c r="AF1085" s="65"/>
    </row>
    <row r="1086" spans="32:32">
      <c r="AF1086" s="65"/>
    </row>
    <row r="1087" spans="32:32">
      <c r="AF1087" s="65"/>
    </row>
    <row r="1088" spans="32:32">
      <c r="AF1088" s="65"/>
    </row>
    <row r="1089" spans="32:32">
      <c r="AF1089" s="65"/>
    </row>
    <row r="1090" spans="32:32">
      <c r="AF1090" s="65"/>
    </row>
    <row r="1091" spans="32:32">
      <c r="AF1091" s="65"/>
    </row>
    <row r="1092" spans="32:32">
      <c r="AF1092" s="65"/>
    </row>
    <row r="1093" spans="32:32">
      <c r="AF1093" s="65"/>
    </row>
    <row r="1094" spans="32:32">
      <c r="AF1094" s="65"/>
    </row>
    <row r="1095" spans="32:32">
      <c r="AF1095" s="65"/>
    </row>
    <row r="1096" spans="32:32">
      <c r="AF1096" s="65"/>
    </row>
    <row r="1097" spans="32:32">
      <c r="AF1097" s="65"/>
    </row>
    <row r="1098" spans="32:32">
      <c r="AF1098" s="65"/>
    </row>
    <row r="1099" spans="32:32">
      <c r="AF1099" s="65"/>
    </row>
    <row r="1100" spans="32:32">
      <c r="AF1100" s="65"/>
    </row>
    <row r="1101" spans="32:32">
      <c r="AF1101" s="65"/>
    </row>
    <row r="1102" spans="32:32">
      <c r="AF1102" s="65"/>
    </row>
    <row r="1103" spans="32:32">
      <c r="AF1103" s="65"/>
    </row>
    <row r="1104" spans="32:32">
      <c r="AF1104" s="65"/>
    </row>
    <row r="1105" spans="32:32">
      <c r="AF1105" s="65"/>
    </row>
    <row r="1106" spans="32:32">
      <c r="AF1106" s="65"/>
    </row>
    <row r="1107" spans="32:32">
      <c r="AF1107" s="65"/>
    </row>
    <row r="1108" spans="32:32">
      <c r="AF1108" s="65"/>
    </row>
    <row r="1109" spans="32:32">
      <c r="AF1109" s="65"/>
    </row>
    <row r="1110" spans="32:32">
      <c r="AF1110" s="65"/>
    </row>
    <row r="1111" spans="32:32">
      <c r="AF1111" s="65"/>
    </row>
    <row r="1112" spans="32:32">
      <c r="AF1112" s="65"/>
    </row>
    <row r="1113" spans="32:32">
      <c r="AF1113" s="65"/>
    </row>
    <row r="1114" spans="32:32">
      <c r="AF1114" s="65"/>
    </row>
    <row r="1115" spans="32:32">
      <c r="AF1115" s="65"/>
    </row>
    <row r="1116" spans="32:32">
      <c r="AF1116" s="65"/>
    </row>
    <row r="1117" spans="32:32">
      <c r="AF1117" s="65"/>
    </row>
    <row r="1118" spans="32:32">
      <c r="AF1118" s="65"/>
    </row>
    <row r="1119" spans="32:32">
      <c r="AF1119" s="65"/>
    </row>
    <row r="1120" spans="32:32">
      <c r="AF1120" s="65"/>
    </row>
    <row r="1121" spans="32:32">
      <c r="AF1121" s="65"/>
    </row>
    <row r="1122" spans="32:32">
      <c r="AF1122" s="65"/>
    </row>
    <row r="1123" spans="32:32">
      <c r="AF1123" s="65"/>
    </row>
    <row r="1124" spans="32:32">
      <c r="AF1124" s="65"/>
    </row>
    <row r="1125" spans="32:32">
      <c r="AF1125" s="65"/>
    </row>
    <row r="1126" spans="32:32">
      <c r="AF1126" s="65"/>
    </row>
    <row r="1127" spans="32:32">
      <c r="AF1127" s="65"/>
    </row>
    <row r="1128" spans="32:32">
      <c r="AF1128" s="65"/>
    </row>
    <row r="1129" spans="32:32">
      <c r="AF1129" s="65"/>
    </row>
    <row r="1130" spans="32:32">
      <c r="AF1130" s="65"/>
    </row>
    <row r="1131" spans="32:32">
      <c r="AF1131" s="65"/>
    </row>
    <row r="1132" spans="32:32">
      <c r="AF1132" s="65"/>
    </row>
    <row r="1133" spans="32:32">
      <c r="AF1133" s="65"/>
    </row>
    <row r="1134" spans="32:32">
      <c r="AF1134" s="65"/>
    </row>
    <row r="1135" spans="32:32">
      <c r="AF1135" s="65"/>
    </row>
    <row r="1136" spans="32:32">
      <c r="AF1136" s="65"/>
    </row>
    <row r="1137" spans="32:32">
      <c r="AF1137" s="65"/>
    </row>
    <row r="1138" spans="32:32">
      <c r="AF1138" s="65"/>
    </row>
    <row r="1139" spans="32:32">
      <c r="AF1139" s="65"/>
    </row>
    <row r="1140" spans="32:32">
      <c r="AF1140" s="65"/>
    </row>
    <row r="1141" spans="32:32">
      <c r="AF1141" s="65"/>
    </row>
    <row r="1142" spans="32:32">
      <c r="AF1142" s="65"/>
    </row>
    <row r="1143" spans="32:32">
      <c r="AF1143" s="65"/>
    </row>
    <row r="1144" spans="32:32">
      <c r="AF1144" s="65"/>
    </row>
    <row r="1145" spans="32:32">
      <c r="AF1145" s="65"/>
    </row>
    <row r="1146" spans="32:32">
      <c r="AF1146" s="65"/>
    </row>
    <row r="1147" spans="32:32">
      <c r="AF1147" s="65"/>
    </row>
    <row r="1148" spans="32:32">
      <c r="AF1148" s="65"/>
    </row>
    <row r="1149" spans="32:32">
      <c r="AF1149" s="65"/>
    </row>
    <row r="1150" spans="32:32">
      <c r="AF1150" s="65"/>
    </row>
    <row r="1151" spans="32:32">
      <c r="AF1151" s="65"/>
    </row>
    <row r="1152" spans="32:32">
      <c r="AF1152" s="65"/>
    </row>
    <row r="1153" spans="32:32">
      <c r="AF1153" s="65"/>
    </row>
    <row r="1154" spans="32:32">
      <c r="AF1154" s="65"/>
    </row>
    <row r="1155" spans="32:32">
      <c r="AF1155" s="65"/>
    </row>
    <row r="1156" spans="32:32">
      <c r="AF1156" s="65"/>
    </row>
    <row r="1157" spans="32:32">
      <c r="AF1157" s="65"/>
    </row>
    <row r="1158" spans="32:32">
      <c r="AF1158" s="65"/>
    </row>
    <row r="1159" spans="32:32">
      <c r="AF1159" s="65"/>
    </row>
    <row r="1160" spans="32:32">
      <c r="AF1160" s="65"/>
    </row>
    <row r="1161" spans="32:32">
      <c r="AF1161" s="65"/>
    </row>
    <row r="1162" spans="32:32">
      <c r="AF1162" s="65"/>
    </row>
    <row r="1163" spans="32:32">
      <c r="AF1163" s="65"/>
    </row>
    <row r="1164" spans="32:32">
      <c r="AF1164" s="65"/>
    </row>
    <row r="1165" spans="32:32">
      <c r="AF1165" s="65"/>
    </row>
    <row r="1166" spans="32:32">
      <c r="AF1166" s="65"/>
    </row>
    <row r="1167" spans="32:32">
      <c r="AF1167" s="65"/>
    </row>
    <row r="1168" spans="32:32">
      <c r="AF1168" s="65"/>
    </row>
    <row r="1169" spans="32:32">
      <c r="AF1169" s="65"/>
    </row>
    <row r="1170" spans="32:32">
      <c r="AF1170" s="65"/>
    </row>
    <row r="1171" spans="32:32">
      <c r="AF1171" s="65"/>
    </row>
    <row r="1172" spans="32:32">
      <c r="AF1172" s="65"/>
    </row>
    <row r="1173" spans="32:32">
      <c r="AF1173" s="65"/>
    </row>
    <row r="1174" spans="32:32">
      <c r="AF1174" s="65"/>
    </row>
    <row r="1175" spans="32:32">
      <c r="AF1175" s="65"/>
    </row>
    <row r="1176" spans="32:32">
      <c r="AF1176" s="65"/>
    </row>
    <row r="1177" spans="32:32">
      <c r="AF1177" s="65"/>
    </row>
    <row r="1178" spans="32:32">
      <c r="AF1178" s="65"/>
    </row>
    <row r="1179" spans="32:32">
      <c r="AF1179" s="65"/>
    </row>
    <row r="1180" spans="32:32">
      <c r="AF1180" s="65"/>
    </row>
    <row r="1181" spans="32:32">
      <c r="AF1181" s="65"/>
    </row>
    <row r="1182" spans="32:32">
      <c r="AF1182" s="65"/>
    </row>
    <row r="1183" spans="32:32">
      <c r="AF1183" s="65"/>
    </row>
    <row r="1184" spans="32:32">
      <c r="AF1184" s="65"/>
    </row>
    <row r="1185" spans="32:32">
      <c r="AF1185" s="65"/>
    </row>
    <row r="1186" spans="32:32">
      <c r="AF1186" s="65"/>
    </row>
    <row r="1187" spans="32:32">
      <c r="AF1187" s="65"/>
    </row>
    <row r="1188" spans="32:32">
      <c r="AF1188" s="65"/>
    </row>
    <row r="1189" spans="32:32">
      <c r="AF1189" s="65"/>
    </row>
    <row r="1190" spans="32:32">
      <c r="AF1190" s="65"/>
    </row>
    <row r="1191" spans="32:32">
      <c r="AF1191" s="65"/>
    </row>
    <row r="1192" spans="32:32">
      <c r="AF1192" s="65"/>
    </row>
    <row r="1193" spans="32:32">
      <c r="AF1193" s="65"/>
    </row>
    <row r="1194" spans="32:32">
      <c r="AF1194" s="65"/>
    </row>
    <row r="1195" spans="32:32">
      <c r="AF1195" s="65"/>
    </row>
    <row r="1196" spans="32:32">
      <c r="AF1196" s="65"/>
    </row>
    <row r="1197" spans="32:32">
      <c r="AF1197" s="65"/>
    </row>
    <row r="1198" spans="32:32">
      <c r="AF1198" s="65"/>
    </row>
    <row r="1199" spans="32:32">
      <c r="AF1199" s="65"/>
    </row>
    <row r="1200" spans="32:32">
      <c r="AF1200" s="65"/>
    </row>
    <row r="1201" spans="32:32">
      <c r="AF1201" s="65"/>
    </row>
    <row r="1202" spans="32:32">
      <c r="AF1202" s="65"/>
    </row>
    <row r="1203" spans="32:32">
      <c r="AF1203" s="65"/>
    </row>
    <row r="1204" spans="32:32">
      <c r="AF1204" s="65"/>
    </row>
    <row r="1205" spans="32:32">
      <c r="AF1205" s="65"/>
    </row>
    <row r="1206" spans="32:32">
      <c r="AF1206" s="65"/>
    </row>
    <row r="1207" spans="32:32">
      <c r="AF1207" s="65"/>
    </row>
    <row r="1208" spans="32:32">
      <c r="AF1208" s="65"/>
    </row>
    <row r="1209" spans="32:32">
      <c r="AF1209" s="65"/>
    </row>
    <row r="1210" spans="32:32">
      <c r="AF1210" s="65"/>
    </row>
    <row r="1211" spans="32:32">
      <c r="AF1211" s="65"/>
    </row>
    <row r="1212" spans="32:32">
      <c r="AF1212" s="65"/>
    </row>
    <row r="1213" spans="32:32">
      <c r="AF1213" s="65"/>
    </row>
    <row r="1214" spans="32:32">
      <c r="AF1214" s="65"/>
    </row>
    <row r="1215" spans="32:32">
      <c r="AF1215" s="65"/>
    </row>
    <row r="1216" spans="32:32">
      <c r="AF1216" s="65"/>
    </row>
    <row r="1217" spans="32:32">
      <c r="AF1217" s="65"/>
    </row>
    <row r="1218" spans="32:32">
      <c r="AF1218" s="65"/>
    </row>
    <row r="1219" spans="32:32">
      <c r="AF1219" s="65"/>
    </row>
    <row r="1220" spans="32:32">
      <c r="AF1220" s="65"/>
    </row>
    <row r="1221" spans="32:32">
      <c r="AF1221" s="65"/>
    </row>
    <row r="1222" spans="32:32">
      <c r="AF1222" s="65"/>
    </row>
    <row r="1223" spans="32:32">
      <c r="AF1223" s="65"/>
    </row>
    <row r="1224" spans="32:32">
      <c r="AF1224" s="65"/>
    </row>
    <row r="1225" spans="32:32">
      <c r="AF1225" s="65"/>
    </row>
    <row r="1226" spans="32:32">
      <c r="AF1226" s="65"/>
    </row>
    <row r="1227" spans="32:32">
      <c r="AF1227" s="65"/>
    </row>
    <row r="1228" spans="32:32">
      <c r="AF1228" s="65"/>
    </row>
    <row r="1229" spans="32:32">
      <c r="AF1229" s="65"/>
    </row>
    <row r="1230" spans="32:32">
      <c r="AF1230" s="65"/>
    </row>
    <row r="1231" spans="32:32">
      <c r="AF1231" s="65"/>
    </row>
    <row r="1232" spans="32:32">
      <c r="AF1232" s="65"/>
    </row>
    <row r="1233" spans="32:32">
      <c r="AF1233" s="65"/>
    </row>
    <row r="1234" spans="32:32">
      <c r="AF1234" s="65"/>
    </row>
    <row r="1235" spans="32:32">
      <c r="AF1235" s="65"/>
    </row>
    <row r="1236" spans="32:32">
      <c r="AF1236" s="65"/>
    </row>
    <row r="1237" spans="32:32">
      <c r="AF1237" s="65"/>
    </row>
    <row r="1238" spans="32:32">
      <c r="AF1238" s="65"/>
    </row>
    <row r="1239" spans="32:32">
      <c r="AF1239" s="65"/>
    </row>
    <row r="1240" spans="32:32">
      <c r="AF1240" s="65"/>
    </row>
    <row r="1241" spans="32:32">
      <c r="AF1241" s="65"/>
    </row>
    <row r="1242" spans="32:32">
      <c r="AF1242" s="65"/>
    </row>
    <row r="1243" spans="32:32">
      <c r="AF1243" s="65"/>
    </row>
    <row r="1244" spans="32:32">
      <c r="AF1244" s="65"/>
    </row>
    <row r="1245" spans="32:32">
      <c r="AF1245" s="65"/>
    </row>
    <row r="1246" spans="32:32">
      <c r="AF1246" s="65"/>
    </row>
    <row r="1247" spans="32:32">
      <c r="AF1247" s="65"/>
    </row>
    <row r="1248" spans="32:32">
      <c r="AF1248" s="65"/>
    </row>
    <row r="1249" spans="32:32">
      <c r="AF1249" s="65"/>
    </row>
    <row r="1250" spans="32:32">
      <c r="AF1250" s="65"/>
    </row>
    <row r="1251" spans="32:32">
      <c r="AF1251" s="65"/>
    </row>
    <row r="1252" spans="32:32">
      <c r="AF1252" s="65"/>
    </row>
    <row r="1253" spans="32:32">
      <c r="AF1253" s="65"/>
    </row>
    <row r="1254" spans="32:32">
      <c r="AF1254" s="65"/>
    </row>
    <row r="1255" spans="32:32">
      <c r="AF1255" s="65"/>
    </row>
    <row r="1256" spans="32:32">
      <c r="AF1256" s="65"/>
    </row>
    <row r="1257" spans="32:32">
      <c r="AF1257" s="65"/>
    </row>
    <row r="1258" spans="32:32">
      <c r="AF1258" s="65"/>
    </row>
    <row r="1259" spans="32:32">
      <c r="AF1259" s="65"/>
    </row>
    <row r="1260" spans="32:32">
      <c r="AF1260" s="65"/>
    </row>
    <row r="1261" spans="32:32">
      <c r="AF1261" s="65"/>
    </row>
    <row r="1262" spans="32:32">
      <c r="AF1262" s="65"/>
    </row>
    <row r="1263" spans="32:32">
      <c r="AF1263" s="65"/>
    </row>
    <row r="1264" spans="32:32">
      <c r="AF1264" s="65"/>
    </row>
    <row r="1265" spans="32:32">
      <c r="AF1265" s="65"/>
    </row>
    <row r="1266" spans="32:32">
      <c r="AF1266" s="65"/>
    </row>
    <row r="1267" spans="32:32">
      <c r="AF1267" s="65"/>
    </row>
    <row r="1268" spans="32:32">
      <c r="AF1268" s="65"/>
    </row>
    <row r="1269" spans="32:32">
      <c r="AF1269" s="65"/>
    </row>
    <row r="1270" spans="32:32">
      <c r="AF1270" s="65"/>
    </row>
    <row r="1271" spans="32:32">
      <c r="AF1271" s="65"/>
    </row>
    <row r="1272" spans="32:32">
      <c r="AF1272" s="65"/>
    </row>
    <row r="1273" spans="32:32">
      <c r="AF1273" s="65"/>
    </row>
    <row r="1274" spans="32:32">
      <c r="AF1274" s="65"/>
    </row>
    <row r="1275" spans="32:32">
      <c r="AF1275" s="65"/>
    </row>
    <row r="1276" spans="32:32">
      <c r="AF1276" s="65"/>
    </row>
    <row r="1277" spans="32:32">
      <c r="AF1277" s="65"/>
    </row>
    <row r="1278" spans="32:32">
      <c r="AF1278" s="65"/>
    </row>
    <row r="1279" spans="32:32">
      <c r="AF1279" s="65"/>
    </row>
    <row r="1280" spans="32:32">
      <c r="AF1280" s="65"/>
    </row>
    <row r="1281" spans="32:32">
      <c r="AF1281" s="65"/>
    </row>
    <row r="1282" spans="32:32">
      <c r="AF1282" s="65"/>
    </row>
    <row r="1283" spans="32:32">
      <c r="AF1283" s="65"/>
    </row>
    <row r="1284" spans="32:32">
      <c r="AF1284" s="65"/>
    </row>
    <row r="1285" spans="32:32">
      <c r="AF1285" s="65"/>
    </row>
    <row r="1286" spans="32:32">
      <c r="AF1286" s="65"/>
    </row>
    <row r="1287" spans="32:32">
      <c r="AF1287" s="65"/>
    </row>
    <row r="1288" spans="32:32">
      <c r="AF1288" s="65"/>
    </row>
    <row r="1289" spans="32:32">
      <c r="AF1289" s="65"/>
    </row>
    <row r="1290" spans="32:32">
      <c r="AF1290" s="65"/>
    </row>
    <row r="1291" spans="32:32">
      <c r="AF1291" s="65"/>
    </row>
    <row r="1292" spans="32:32">
      <c r="AF1292" s="65"/>
    </row>
    <row r="1293" spans="32:32">
      <c r="AF1293" s="65"/>
    </row>
    <row r="1294" spans="32:32">
      <c r="AF1294" s="65"/>
    </row>
    <row r="1295" spans="32:32">
      <c r="AF1295" s="65"/>
    </row>
    <row r="1296" spans="32:32">
      <c r="AF1296" s="65"/>
    </row>
    <row r="1297" spans="32:32">
      <c r="AF1297" s="65"/>
    </row>
    <row r="1298" spans="32:32">
      <c r="AF1298" s="65"/>
    </row>
    <row r="1299" spans="32:32">
      <c r="AF1299" s="65"/>
    </row>
    <row r="1300" spans="32:32">
      <c r="AF1300" s="65"/>
    </row>
    <row r="1301" spans="32:32">
      <c r="AF1301" s="65"/>
    </row>
    <row r="1302" spans="32:32">
      <c r="AF1302" s="65"/>
    </row>
    <row r="1303" spans="32:32">
      <c r="AF1303" s="65"/>
    </row>
    <row r="1304" spans="32:32">
      <c r="AF1304" s="65"/>
    </row>
    <row r="1305" spans="32:32">
      <c r="AF1305" s="65"/>
    </row>
    <row r="1306" spans="32:32">
      <c r="AF1306" s="65"/>
    </row>
    <row r="1307" spans="32:32">
      <c r="AF1307" s="65"/>
    </row>
    <row r="1308" spans="32:32">
      <c r="AF1308" s="65"/>
    </row>
    <row r="1309" spans="32:32">
      <c r="AF1309" s="65"/>
    </row>
    <row r="1310" spans="32:32">
      <c r="AF1310" s="65"/>
    </row>
    <row r="1311" spans="32:32">
      <c r="AF1311" s="65"/>
    </row>
    <row r="1312" spans="32:32">
      <c r="AF1312" s="65"/>
    </row>
    <row r="1313" spans="32:32">
      <c r="AF1313" s="65"/>
    </row>
    <row r="1314" spans="32:32">
      <c r="AF1314" s="65"/>
    </row>
    <row r="1315" spans="32:32">
      <c r="AF1315" s="65"/>
    </row>
    <row r="1316" spans="32:32">
      <c r="AF1316" s="65"/>
    </row>
    <row r="1317" spans="32:32">
      <c r="AF1317" s="65"/>
    </row>
    <row r="1318" spans="32:32">
      <c r="AF1318" s="65"/>
    </row>
    <row r="1319" spans="32:32">
      <c r="AF1319" s="65"/>
    </row>
    <row r="1320" spans="32:32">
      <c r="AF1320" s="65"/>
    </row>
    <row r="1321" spans="32:32">
      <c r="AF1321" s="65"/>
    </row>
    <row r="1322" spans="32:32">
      <c r="AF1322" s="65"/>
    </row>
    <row r="1323" spans="32:32">
      <c r="AF1323" s="65"/>
    </row>
    <row r="1324" spans="32:32">
      <c r="AF1324" s="65"/>
    </row>
    <row r="1325" spans="32:32">
      <c r="AF1325" s="65"/>
    </row>
    <row r="1326" spans="32:32">
      <c r="AF1326" s="65"/>
    </row>
    <row r="1327" spans="32:32">
      <c r="AF1327" s="65"/>
    </row>
    <row r="1328" spans="32:32">
      <c r="AF1328" s="65"/>
    </row>
    <row r="1329" spans="32:32">
      <c r="AF1329" s="65"/>
    </row>
    <row r="1330" spans="32:32">
      <c r="AF1330" s="65"/>
    </row>
    <row r="1331" spans="32:32">
      <c r="AF1331" s="65"/>
    </row>
    <row r="1332" spans="32:32">
      <c r="AF1332" s="65"/>
    </row>
    <row r="1333" spans="32:32">
      <c r="AF1333" s="65"/>
    </row>
    <row r="1334" spans="32:32">
      <c r="AF1334" s="65"/>
    </row>
    <row r="1335" spans="32:32">
      <c r="AF1335" s="65"/>
    </row>
    <row r="1336" spans="32:32">
      <c r="AF1336" s="65"/>
    </row>
    <row r="1337" spans="32:32">
      <c r="AF1337" s="65"/>
    </row>
    <row r="1338" spans="32:32">
      <c r="AF1338" s="65"/>
    </row>
    <row r="1339" spans="32:32">
      <c r="AF1339" s="65"/>
    </row>
    <row r="1340" spans="32:32">
      <c r="AF1340" s="65"/>
    </row>
    <row r="1341" spans="32:32">
      <c r="AF1341" s="65"/>
    </row>
    <row r="1342" spans="32:32">
      <c r="AF1342" s="65"/>
    </row>
    <row r="1343" spans="32:32">
      <c r="AF1343" s="65"/>
    </row>
    <row r="1344" spans="32:32">
      <c r="AF1344" s="65"/>
    </row>
    <row r="1345" spans="32:32">
      <c r="AF1345" s="65"/>
    </row>
    <row r="1346" spans="32:32">
      <c r="AF1346" s="65"/>
    </row>
    <row r="1347" spans="32:32">
      <c r="AF1347" s="65"/>
    </row>
    <row r="1348" spans="32:32">
      <c r="AF1348" s="65"/>
    </row>
    <row r="1349" spans="32:32">
      <c r="AF1349" s="65"/>
    </row>
    <row r="1350" spans="32:32">
      <c r="AF1350" s="65"/>
    </row>
    <row r="1351" spans="32:32">
      <c r="AF1351" s="65"/>
    </row>
    <row r="1352" spans="32:32">
      <c r="AF1352" s="65"/>
    </row>
    <row r="1353" spans="32:32">
      <c r="AF1353" s="65"/>
    </row>
    <row r="1354" spans="32:32">
      <c r="AF1354" s="65"/>
    </row>
    <row r="1355" spans="32:32">
      <c r="AF1355" s="65"/>
    </row>
    <row r="1356" spans="32:32">
      <c r="AF1356" s="65"/>
    </row>
    <row r="1357" spans="32:32">
      <c r="AF1357" s="65"/>
    </row>
    <row r="1358" spans="32:32">
      <c r="AF1358" s="65"/>
    </row>
    <row r="1359" spans="32:32">
      <c r="AF1359" s="65"/>
    </row>
    <row r="1360" spans="32:32">
      <c r="AF1360" s="65"/>
    </row>
    <row r="1361" spans="32:32">
      <c r="AF1361" s="65"/>
    </row>
    <row r="1362" spans="32:32">
      <c r="AF1362" s="65"/>
    </row>
    <row r="1363" spans="32:32">
      <c r="AF1363" s="65"/>
    </row>
    <row r="1364" spans="32:32">
      <c r="AF1364" s="65"/>
    </row>
    <row r="1365" spans="32:32">
      <c r="AF1365" s="65"/>
    </row>
    <row r="1366" spans="32:32">
      <c r="AF1366" s="65"/>
    </row>
    <row r="1367" spans="32:32">
      <c r="AF1367" s="65"/>
    </row>
    <row r="1368" spans="32:32">
      <c r="AF1368" s="65"/>
    </row>
    <row r="1369" spans="32:32">
      <c r="AF1369" s="65"/>
    </row>
    <row r="1370" spans="32:32">
      <c r="AF1370" s="65"/>
    </row>
    <row r="1371" spans="32:32">
      <c r="AF1371" s="65"/>
    </row>
    <row r="1372" spans="32:32">
      <c r="AF1372" s="65"/>
    </row>
    <row r="1373" spans="32:32">
      <c r="AF1373" s="65"/>
    </row>
    <row r="1374" spans="32:32">
      <c r="AF1374" s="65"/>
    </row>
    <row r="1375" spans="32:32">
      <c r="AF1375" s="65"/>
    </row>
    <row r="1376" spans="32:32">
      <c r="AF1376" s="65"/>
    </row>
    <row r="1377" spans="32:32">
      <c r="AF1377" s="65"/>
    </row>
    <row r="1378" spans="32:32">
      <c r="AF1378" s="65"/>
    </row>
    <row r="1379" spans="32:32">
      <c r="AF1379" s="65"/>
    </row>
    <row r="1380" spans="32:32">
      <c r="AF1380" s="65"/>
    </row>
    <row r="1381" spans="32:32">
      <c r="AF1381" s="65"/>
    </row>
    <row r="1382" spans="32:32">
      <c r="AF1382" s="65"/>
    </row>
    <row r="1383" spans="32:32">
      <c r="AF1383" s="65"/>
    </row>
    <row r="1384" spans="32:32">
      <c r="AF1384" s="65"/>
    </row>
    <row r="1385" spans="32:32">
      <c r="AF1385" s="65"/>
    </row>
    <row r="1386" spans="32:32">
      <c r="AF1386" s="65"/>
    </row>
    <row r="1387" spans="32:32">
      <c r="AF1387" s="65"/>
    </row>
    <row r="1388" spans="32:32">
      <c r="AF1388" s="65"/>
    </row>
    <row r="1389" spans="32:32">
      <c r="AF1389" s="65"/>
    </row>
    <row r="1390" spans="32:32">
      <c r="AF1390" s="65"/>
    </row>
    <row r="1391" spans="32:32">
      <c r="AF1391" s="65"/>
    </row>
    <row r="1392" spans="32:32">
      <c r="AF1392" s="65"/>
    </row>
    <row r="1393" spans="32:32">
      <c r="AF1393" s="65"/>
    </row>
    <row r="1394" spans="32:32">
      <c r="AF1394" s="65"/>
    </row>
    <row r="1395" spans="32:32">
      <c r="AF1395" s="65"/>
    </row>
    <row r="1396" spans="32:32">
      <c r="AF1396" s="65"/>
    </row>
    <row r="1397" spans="32:32">
      <c r="AF1397" s="65"/>
    </row>
    <row r="1398" spans="32:32">
      <c r="AF1398" s="65"/>
    </row>
    <row r="1399" spans="32:32">
      <c r="AF1399" s="65"/>
    </row>
    <row r="1400" spans="32:32">
      <c r="AF1400" s="65"/>
    </row>
    <row r="1401" spans="32:32">
      <c r="AF1401" s="65"/>
    </row>
    <row r="1402" spans="32:32">
      <c r="AF1402" s="65"/>
    </row>
    <row r="1403" spans="32:32">
      <c r="AF1403" s="65"/>
    </row>
    <row r="1404" spans="32:32">
      <c r="AF1404" s="65"/>
    </row>
    <row r="1405" spans="32:32">
      <c r="AF1405" s="65"/>
    </row>
    <row r="1406" spans="32:32">
      <c r="AF1406" s="65"/>
    </row>
    <row r="1407" spans="32:32">
      <c r="AF1407" s="65"/>
    </row>
    <row r="1408" spans="32:32">
      <c r="AF1408" s="65"/>
    </row>
    <row r="1409" spans="32:32">
      <c r="AF1409" s="65"/>
    </row>
    <row r="1410" spans="32:32">
      <c r="AF1410" s="65"/>
    </row>
    <row r="1411" spans="32:32">
      <c r="AF1411" s="65"/>
    </row>
    <row r="1412" spans="32:32">
      <c r="AF1412" s="65"/>
    </row>
    <row r="1413" spans="32:32">
      <c r="AF1413" s="65"/>
    </row>
    <row r="1414" spans="32:32">
      <c r="AF1414" s="65"/>
    </row>
    <row r="1415" spans="32:32">
      <c r="AF1415" s="65"/>
    </row>
    <row r="1416" spans="32:32">
      <c r="AF1416" s="65"/>
    </row>
    <row r="1417" spans="32:32">
      <c r="AF1417" s="65"/>
    </row>
    <row r="1418" spans="32:32">
      <c r="AF1418" s="65"/>
    </row>
    <row r="1419" spans="32:32">
      <c r="AF1419" s="65"/>
    </row>
    <row r="1420" spans="32:32">
      <c r="AF1420" s="65"/>
    </row>
    <row r="1421" spans="32:32">
      <c r="AF1421" s="65"/>
    </row>
    <row r="1422" spans="32:32">
      <c r="AF1422" s="65"/>
    </row>
    <row r="1423" spans="32:32">
      <c r="AF1423" s="65"/>
    </row>
    <row r="1424" spans="32:32">
      <c r="AF1424" s="65"/>
    </row>
    <row r="1425" spans="32:32">
      <c r="AF1425" s="65"/>
    </row>
    <row r="1426" spans="32:32">
      <c r="AF1426" s="65"/>
    </row>
    <row r="1427" spans="32:32">
      <c r="AF1427" s="65"/>
    </row>
    <row r="1428" spans="32:32">
      <c r="AF1428" s="65"/>
    </row>
    <row r="1429" spans="32:32">
      <c r="AF1429" s="65"/>
    </row>
    <row r="1430" spans="32:32">
      <c r="AF1430" s="65"/>
    </row>
    <row r="1431" spans="32:32">
      <c r="AF1431" s="65"/>
    </row>
    <row r="1432" spans="32:32">
      <c r="AF1432" s="65"/>
    </row>
    <row r="1433" spans="32:32">
      <c r="AF1433" s="65"/>
    </row>
    <row r="1434" spans="32:32">
      <c r="AF1434" s="65"/>
    </row>
    <row r="1435" spans="32:32">
      <c r="AF1435" s="65"/>
    </row>
    <row r="1436" spans="32:32">
      <c r="AF1436" s="65"/>
    </row>
    <row r="1437" spans="32:32">
      <c r="AF1437" s="65"/>
    </row>
    <row r="1438" spans="32:32">
      <c r="AF1438" s="65"/>
    </row>
    <row r="1439" spans="32:32">
      <c r="AF1439" s="65"/>
    </row>
    <row r="1440" spans="32:32">
      <c r="AF1440" s="65"/>
    </row>
    <row r="1441" spans="32:32">
      <c r="AF1441" s="65"/>
    </row>
    <row r="1442" spans="32:32">
      <c r="AF1442" s="65"/>
    </row>
    <row r="1443" spans="32:32">
      <c r="AF1443" s="65"/>
    </row>
    <row r="1444" spans="32:32">
      <c r="AF1444" s="65"/>
    </row>
    <row r="1445" spans="32:32">
      <c r="AF1445" s="65"/>
    </row>
    <row r="1446" spans="32:32">
      <c r="AF1446" s="65"/>
    </row>
    <row r="1447" spans="32:32">
      <c r="AF1447" s="65"/>
    </row>
    <row r="1448" spans="32:32">
      <c r="AF1448" s="65"/>
    </row>
    <row r="1449" spans="32:32">
      <c r="AF1449" s="65"/>
    </row>
    <row r="1450" spans="32:32">
      <c r="AF1450" s="65"/>
    </row>
    <row r="1451" spans="32:32">
      <c r="AF1451" s="65"/>
    </row>
    <row r="1452" spans="32:32">
      <c r="AF1452" s="65"/>
    </row>
    <row r="1453" spans="32:32">
      <c r="AF1453" s="65"/>
    </row>
    <row r="1454" spans="32:32">
      <c r="AF1454" s="65"/>
    </row>
    <row r="1455" spans="32:32">
      <c r="AF1455" s="65"/>
    </row>
    <row r="1456" spans="32:32">
      <c r="AF1456" s="65"/>
    </row>
    <row r="1457" spans="32:32">
      <c r="AF1457" s="65"/>
    </row>
    <row r="1458" spans="32:32">
      <c r="AF1458" s="65"/>
    </row>
    <row r="1459" spans="32:32">
      <c r="AF1459" s="65"/>
    </row>
    <row r="1460" spans="32:32">
      <c r="AF1460" s="65"/>
    </row>
    <row r="1461" spans="32:32">
      <c r="AF1461" s="65"/>
    </row>
    <row r="1462" spans="32:32">
      <c r="AF1462" s="65"/>
    </row>
    <row r="1463" spans="32:32">
      <c r="AF1463" s="65"/>
    </row>
    <row r="1464" spans="32:32">
      <c r="AF1464" s="65"/>
    </row>
    <row r="1465" spans="32:32">
      <c r="AF1465" s="65"/>
    </row>
    <row r="1466" spans="32:32">
      <c r="AF1466" s="65"/>
    </row>
    <row r="1467" spans="32:32">
      <c r="AF1467" s="65"/>
    </row>
    <row r="1468" spans="32:32">
      <c r="AF1468" s="65"/>
    </row>
    <row r="1469" spans="32:32">
      <c r="AF1469" s="65"/>
    </row>
    <row r="1470" spans="32:32">
      <c r="AF1470" s="65"/>
    </row>
    <row r="1471" spans="32:32">
      <c r="AF1471" s="65"/>
    </row>
    <row r="1472" spans="32:32">
      <c r="AF1472" s="65"/>
    </row>
    <row r="1473" spans="32:32">
      <c r="AF1473" s="65"/>
    </row>
    <row r="1474" spans="32:32">
      <c r="AF1474" s="65"/>
    </row>
    <row r="1475" spans="32:32">
      <c r="AF1475" s="65"/>
    </row>
    <row r="1476" spans="32:32">
      <c r="AF1476" s="65"/>
    </row>
    <row r="1477" spans="32:32">
      <c r="AF1477" s="65"/>
    </row>
    <row r="1478" spans="32:32">
      <c r="AF1478" s="65"/>
    </row>
    <row r="1479" spans="32:32">
      <c r="AF1479" s="65"/>
    </row>
    <row r="1480" spans="32:32">
      <c r="AF1480" s="65"/>
    </row>
    <row r="1481" spans="32:32">
      <c r="AF1481" s="65"/>
    </row>
    <row r="1482" spans="32:32">
      <c r="AF1482" s="65"/>
    </row>
    <row r="1483" spans="32:32">
      <c r="AF1483" s="65"/>
    </row>
    <row r="1484" spans="32:32">
      <c r="AF1484" s="65"/>
    </row>
    <row r="1485" spans="32:32">
      <c r="AF1485" s="65"/>
    </row>
    <row r="1486" spans="32:32">
      <c r="AF1486" s="65"/>
    </row>
    <row r="1487" spans="32:32">
      <c r="AF1487" s="65"/>
    </row>
    <row r="1488" spans="32:32">
      <c r="AF1488" s="65"/>
    </row>
    <row r="1489" spans="32:32">
      <c r="AF1489" s="65"/>
    </row>
    <row r="1490" spans="32:32">
      <c r="AF1490" s="65"/>
    </row>
    <row r="1491" spans="32:32">
      <c r="AF1491" s="65"/>
    </row>
    <row r="1492" spans="32:32">
      <c r="AF1492" s="65"/>
    </row>
    <row r="1493" spans="32:32">
      <c r="AF1493" s="65"/>
    </row>
    <row r="1494" spans="32:32">
      <c r="AF1494" s="65"/>
    </row>
    <row r="1495" spans="32:32">
      <c r="AF1495" s="65"/>
    </row>
    <row r="1496" spans="32:32">
      <c r="AF1496" s="65"/>
    </row>
    <row r="1497" spans="32:32">
      <c r="AF1497" s="65"/>
    </row>
    <row r="1498" spans="32:32">
      <c r="AF1498" s="65"/>
    </row>
    <row r="1499" spans="32:32">
      <c r="AF1499" s="65"/>
    </row>
    <row r="1500" spans="32:32">
      <c r="AF1500" s="65"/>
    </row>
  </sheetData>
  <sheetProtection formatCells="0" formatColumns="0" formatRows="0"/>
  <mergeCells count="55">
    <mergeCell ref="B6:L6"/>
    <mergeCell ref="A14:L14"/>
    <mergeCell ref="A7:G7"/>
    <mergeCell ref="H7:J7"/>
    <mergeCell ref="K7:L7"/>
    <mergeCell ref="A8:L8"/>
    <mergeCell ref="A9:B9"/>
    <mergeCell ref="A10:B10"/>
    <mergeCell ref="A11:L12"/>
    <mergeCell ref="A13:L13"/>
    <mergeCell ref="C9:L10"/>
    <mergeCell ref="C26:J26"/>
    <mergeCell ref="A15:L15"/>
    <mergeCell ref="A16:L16"/>
    <mergeCell ref="C17:J17"/>
    <mergeCell ref="C18:J18"/>
    <mergeCell ref="C19:J19"/>
    <mergeCell ref="C20:J20"/>
    <mergeCell ref="C21:J21"/>
    <mergeCell ref="C22:J22"/>
    <mergeCell ref="C23:J23"/>
    <mergeCell ref="C24:J24"/>
    <mergeCell ref="C25:J25"/>
    <mergeCell ref="C27:J27"/>
    <mergeCell ref="C28:J28"/>
    <mergeCell ref="C29:J29"/>
    <mergeCell ref="A30:I30"/>
    <mergeCell ref="J30:L41"/>
    <mergeCell ref="A31:I31"/>
    <mergeCell ref="A32:I32"/>
    <mergeCell ref="A33:I33"/>
    <mergeCell ref="A34:I34"/>
    <mergeCell ref="A35:I35"/>
    <mergeCell ref="A44:I44"/>
    <mergeCell ref="J44:L44"/>
    <mergeCell ref="A36:I36"/>
    <mergeCell ref="A37:I37"/>
    <mergeCell ref="A38:I38"/>
    <mergeCell ref="A39:I39"/>
    <mergeCell ref="A40:I40"/>
    <mergeCell ref="A41:I41"/>
    <mergeCell ref="A42:I42"/>
    <mergeCell ref="J42:L42"/>
    <mergeCell ref="A43:I43"/>
    <mergeCell ref="J43:L43"/>
    <mergeCell ref="A48:K48"/>
    <mergeCell ref="A49:K49"/>
    <mergeCell ref="A50:K50"/>
    <mergeCell ref="A51:K51"/>
    <mergeCell ref="A45:I45"/>
    <mergeCell ref="J45:L45"/>
    <mergeCell ref="A46:I46"/>
    <mergeCell ref="J46:L46"/>
    <mergeCell ref="A47:I47"/>
    <mergeCell ref="J47:L47"/>
  </mergeCells>
  <conditionalFormatting sqref="B18:B29">
    <cfRule type="containsErrors" dxfId="766" priority="12" stopIfTrue="1">
      <formula>ISERROR(B18)</formula>
    </cfRule>
  </conditionalFormatting>
  <conditionalFormatting sqref="K18:K29">
    <cfRule type="containsErrors" dxfId="765" priority="3" stopIfTrue="1">
      <formula>ISERROR(K18)</formula>
    </cfRule>
  </conditionalFormatting>
  <dataValidations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dimension ref="A1:N52"/>
  <sheetViews>
    <sheetView view="pageBreakPreview" topLeftCell="A7" zoomScaleSheetLayoutView="100" workbookViewId="0">
      <selection activeCell="A42" sqref="A42:I42"/>
    </sheetView>
  </sheetViews>
  <sheetFormatPr defaultColWidth="9.140625" defaultRowHeight="15"/>
  <cols>
    <col min="1" max="1" width="11.140625" style="65" customWidth="1"/>
    <col min="2" max="2" width="7" style="65" customWidth="1"/>
    <col min="3" max="4" width="9.140625" style="65"/>
    <col min="5" max="5" width="13.85546875" style="65" customWidth="1"/>
    <col min="6" max="6" width="10" style="65" customWidth="1"/>
    <col min="7" max="7" width="9.140625" style="65"/>
    <col min="8" max="8" width="8.28515625" style="65" customWidth="1"/>
    <col min="9" max="9" width="9.140625" style="65" customWidth="1"/>
    <col min="10" max="10" width="13.7109375" style="65" customWidth="1"/>
    <col min="11" max="11" width="7.42578125" style="65" customWidth="1"/>
    <col min="12" max="12" width="10.85546875" style="65" bestFit="1" customWidth="1"/>
    <col min="13" max="16384" width="9.140625" style="65"/>
  </cols>
  <sheetData>
    <row r="1" spans="1:14">
      <c r="A1" s="7"/>
      <c r="B1" s="7"/>
      <c r="C1" s="7"/>
      <c r="D1" s="7"/>
      <c r="E1" s="7"/>
      <c r="F1" s="7"/>
      <c r="G1" s="7"/>
      <c r="H1" s="7"/>
      <c r="I1" s="7"/>
      <c r="J1" s="7"/>
      <c r="K1" s="7"/>
      <c r="L1" s="7"/>
    </row>
    <row r="2" spans="1:14">
      <c r="A2" s="7"/>
      <c r="B2" s="7"/>
      <c r="C2" s="7"/>
      <c r="D2" s="7"/>
      <c r="E2" s="7"/>
      <c r="F2" s="7"/>
      <c r="G2" s="7"/>
      <c r="H2" s="7"/>
      <c r="I2" s="7"/>
      <c r="J2" s="7"/>
      <c r="K2" s="7"/>
      <c r="L2" s="7"/>
    </row>
    <row r="3" spans="1:14">
      <c r="A3" s="7"/>
      <c r="B3" s="7"/>
      <c r="C3" s="7"/>
      <c r="D3" s="7"/>
      <c r="E3" s="7"/>
      <c r="F3" s="7"/>
      <c r="G3" s="7"/>
      <c r="H3" s="7"/>
      <c r="I3" s="7"/>
      <c r="J3" s="7"/>
      <c r="K3" s="7"/>
      <c r="L3" s="7"/>
    </row>
    <row r="4" spans="1:14">
      <c r="A4" s="7"/>
      <c r="B4" s="7"/>
      <c r="C4" s="7"/>
      <c r="D4" s="7"/>
      <c r="E4" s="7"/>
      <c r="F4" s="7"/>
      <c r="G4" s="7"/>
      <c r="H4" s="7"/>
      <c r="I4" s="7"/>
      <c r="J4" s="7"/>
      <c r="K4" s="7"/>
      <c r="L4" s="7"/>
    </row>
    <row r="5" spans="1:14">
      <c r="A5" s="7"/>
      <c r="B5" s="7"/>
      <c r="C5" s="7"/>
      <c r="D5" s="7"/>
      <c r="E5" s="7"/>
      <c r="F5" s="7"/>
      <c r="G5" s="7"/>
      <c r="H5" s="7"/>
      <c r="I5" s="7"/>
      <c r="J5" s="7"/>
      <c r="K5" s="7"/>
      <c r="L5" s="7"/>
    </row>
    <row r="6" spans="1:14" ht="15.75" customHeight="1" thickBot="1">
      <c r="A6" s="47" t="s">
        <v>4363</v>
      </c>
      <c r="B6" s="832"/>
      <c r="C6" s="833"/>
      <c r="D6" s="833"/>
      <c r="E6" s="833"/>
      <c r="F6" s="833"/>
      <c r="G6" s="833"/>
      <c r="H6" s="833"/>
      <c r="I6" s="833"/>
      <c r="J6" s="833"/>
      <c r="K6" s="833"/>
      <c r="L6" s="833"/>
    </row>
    <row r="7" spans="1:14" ht="23.25" customHeight="1" thickBot="1">
      <c r="A7" s="834" t="s">
        <v>2735</v>
      </c>
      <c r="B7" s="835"/>
      <c r="C7" s="835"/>
      <c r="D7" s="835"/>
      <c r="E7" s="835"/>
      <c r="F7" s="835"/>
      <c r="G7" s="836"/>
      <c r="H7" s="837" t="s">
        <v>797</v>
      </c>
      <c r="I7" s="838"/>
      <c r="J7" s="838"/>
      <c r="K7" s="839" t="str">
        <f>Mapa!$I$1</f>
        <v>xxx/2020</v>
      </c>
      <c r="L7" s="840"/>
      <c r="N7" s="6"/>
    </row>
    <row r="8" spans="1:14" ht="4.5" customHeight="1" thickBot="1">
      <c r="A8" s="841"/>
      <c r="B8" s="842"/>
      <c r="C8" s="842"/>
      <c r="D8" s="842"/>
      <c r="E8" s="842"/>
      <c r="F8" s="842"/>
      <c r="G8" s="842"/>
      <c r="H8" s="842"/>
      <c r="I8" s="842"/>
      <c r="J8" s="842"/>
      <c r="K8" s="842"/>
      <c r="L8" s="842"/>
    </row>
    <row r="9" spans="1:14" ht="20.25" customHeight="1">
      <c r="A9" s="843" t="s">
        <v>796</v>
      </c>
      <c r="B9" s="844"/>
      <c r="C9" s="852" t="s">
        <v>3684</v>
      </c>
      <c r="D9" s="853"/>
      <c r="E9" s="853"/>
      <c r="F9" s="853"/>
      <c r="G9" s="853"/>
      <c r="H9" s="853"/>
      <c r="I9" s="853"/>
      <c r="J9" s="853"/>
      <c r="K9" s="853"/>
      <c r="L9" s="854"/>
    </row>
    <row r="10" spans="1:14" ht="21" customHeight="1" thickBot="1">
      <c r="A10" s="845" t="s">
        <v>2742</v>
      </c>
      <c r="B10" s="846"/>
      <c r="C10" s="855"/>
      <c r="D10" s="856"/>
      <c r="E10" s="856"/>
      <c r="F10" s="856"/>
      <c r="G10" s="856"/>
      <c r="H10" s="856"/>
      <c r="I10" s="856"/>
      <c r="J10" s="856"/>
      <c r="K10" s="856"/>
      <c r="L10" s="857"/>
    </row>
    <row r="11" spans="1:14">
      <c r="A11" s="847" t="s">
        <v>783</v>
      </c>
      <c r="B11" s="848"/>
      <c r="C11" s="848"/>
      <c r="D11" s="848"/>
      <c r="E11" s="848"/>
      <c r="F11" s="848"/>
      <c r="G11" s="848"/>
      <c r="H11" s="848"/>
      <c r="I11" s="848"/>
      <c r="J11" s="848"/>
      <c r="K11" s="848"/>
      <c r="L11" s="848"/>
    </row>
    <row r="12" spans="1:14" ht="15.75" thickBot="1">
      <c r="A12" s="849"/>
      <c r="B12" s="849"/>
      <c r="C12" s="849"/>
      <c r="D12" s="849"/>
      <c r="E12" s="849"/>
      <c r="F12" s="849"/>
      <c r="G12" s="849"/>
      <c r="H12" s="849"/>
      <c r="I12" s="849"/>
      <c r="J12" s="849"/>
      <c r="K12" s="849"/>
      <c r="L12" s="849"/>
    </row>
    <row r="13" spans="1:14" ht="15" customHeight="1">
      <c r="A13" s="850" t="s">
        <v>784</v>
      </c>
      <c r="B13" s="851"/>
      <c r="C13" s="851"/>
      <c r="D13" s="851"/>
      <c r="E13" s="851"/>
      <c r="F13" s="851"/>
      <c r="G13" s="765"/>
      <c r="H13" s="765"/>
      <c r="I13" s="765"/>
      <c r="J13" s="765"/>
      <c r="K13" s="765"/>
      <c r="L13" s="807"/>
    </row>
    <row r="14" spans="1:14">
      <c r="A14" s="808" t="s">
        <v>785</v>
      </c>
      <c r="B14" s="809"/>
      <c r="C14" s="809"/>
      <c r="D14" s="809"/>
      <c r="E14" s="809"/>
      <c r="F14" s="809"/>
      <c r="G14" s="765"/>
      <c r="H14" s="765"/>
      <c r="I14" s="765"/>
      <c r="J14" s="765"/>
      <c r="K14" s="765"/>
      <c r="L14" s="807"/>
    </row>
    <row r="15" spans="1:14" ht="51" customHeight="1">
      <c r="A15" s="824" t="s">
        <v>2736</v>
      </c>
      <c r="B15" s="825"/>
      <c r="C15" s="825"/>
      <c r="D15" s="825"/>
      <c r="E15" s="825"/>
      <c r="F15" s="825"/>
      <c r="G15" s="826"/>
      <c r="H15" s="826"/>
      <c r="I15" s="826"/>
      <c r="J15" s="826"/>
      <c r="K15" s="826"/>
      <c r="L15" s="827"/>
    </row>
    <row r="16" spans="1:14" ht="30" customHeight="1" thickBot="1">
      <c r="A16" s="828" t="s">
        <v>786</v>
      </c>
      <c r="B16" s="829"/>
      <c r="C16" s="829"/>
      <c r="D16" s="829"/>
      <c r="E16" s="829"/>
      <c r="F16" s="829"/>
      <c r="G16" s="765"/>
      <c r="H16" s="765"/>
      <c r="I16" s="765"/>
      <c r="J16" s="765"/>
      <c r="K16" s="765"/>
      <c r="L16" s="807"/>
    </row>
    <row r="17" spans="1:12" ht="15.75" customHeight="1" thickBot="1">
      <c r="A17" s="12" t="s">
        <v>619</v>
      </c>
      <c r="B17" s="72" t="s">
        <v>787</v>
      </c>
      <c r="C17" s="830" t="s">
        <v>664</v>
      </c>
      <c r="D17" s="831"/>
      <c r="E17" s="831"/>
      <c r="F17" s="831"/>
      <c r="G17" s="831"/>
      <c r="H17" s="831"/>
      <c r="I17" s="831"/>
      <c r="J17" s="831"/>
      <c r="K17" s="72" t="s">
        <v>665</v>
      </c>
      <c r="L17" s="14" t="s">
        <v>624</v>
      </c>
    </row>
    <row r="18" spans="1:12" s="35" customFormat="1" ht="13.5" thickBot="1">
      <c r="A18" s="15">
        <v>1</v>
      </c>
      <c r="B18" s="36" t="e">
        <f>IF(ISBLANK(Mapa!$G$3),"",Mapa!$G$3)</f>
        <v>#N/A</v>
      </c>
      <c r="C18" s="794" t="str">
        <f>Mapa!$B$4</f>
        <v/>
      </c>
      <c r="D18" s="795"/>
      <c r="E18" s="795"/>
      <c r="F18" s="795"/>
      <c r="G18" s="795"/>
      <c r="H18" s="795"/>
      <c r="I18" s="795"/>
      <c r="J18" s="796"/>
      <c r="K18" s="48" t="e">
        <f>IF(ISBLANK(Mapa!$D$4),"",Mapa!$D$4)</f>
        <v>#N/A</v>
      </c>
      <c r="L18" s="16" t="str">
        <f>Mapa!$G$4</f>
        <v/>
      </c>
    </row>
    <row r="19" spans="1:12" s="35" customFormat="1" ht="13.5" thickBot="1">
      <c r="A19" s="15">
        <v>2</v>
      </c>
      <c r="B19" s="36" t="e">
        <f>IF(ISBLANK(Mapa!$M$3),"",Mapa!$M$3)</f>
        <v>#N/A</v>
      </c>
      <c r="C19" s="794" t="str">
        <f>Mapa!$H$4</f>
        <v/>
      </c>
      <c r="D19" s="795"/>
      <c r="E19" s="795"/>
      <c r="F19" s="795"/>
      <c r="G19" s="795"/>
      <c r="H19" s="795"/>
      <c r="I19" s="795"/>
      <c r="J19" s="796"/>
      <c r="K19" s="48" t="e">
        <f>IF(ISBLANK(Mapa!$J$4),"",Mapa!$J$4)</f>
        <v>#N/A</v>
      </c>
      <c r="L19" s="16" t="str">
        <f>Mapa!$M$4</f>
        <v/>
      </c>
    </row>
    <row r="20" spans="1:12" s="35" customFormat="1" ht="13.5" thickBot="1">
      <c r="A20" s="15">
        <v>3</v>
      </c>
      <c r="B20" s="36" t="e">
        <f>IF(ISBLANK(Mapa!$S$3),"",Mapa!$S$3)</f>
        <v>#N/A</v>
      </c>
      <c r="C20" s="794" t="str">
        <f>Mapa!$N$4</f>
        <v/>
      </c>
      <c r="D20" s="795"/>
      <c r="E20" s="795"/>
      <c r="F20" s="795"/>
      <c r="G20" s="795"/>
      <c r="H20" s="795"/>
      <c r="I20" s="795"/>
      <c r="J20" s="796"/>
      <c r="K20" s="48" t="e">
        <f>IF(ISBLANK(Mapa!$P$4),"",Mapa!$P$4)</f>
        <v>#N/A</v>
      </c>
      <c r="L20" s="16" t="str">
        <f>Mapa!$S$4</f>
        <v/>
      </c>
    </row>
    <row r="21" spans="1:12" s="35" customFormat="1" ht="13.5" thickBot="1">
      <c r="A21" s="15">
        <v>4</v>
      </c>
      <c r="B21" s="36" t="e">
        <f>IF(ISBLANK(Mapa!$G$20),"",Mapa!$G$20)</f>
        <v>#N/A</v>
      </c>
      <c r="C21" s="794" t="str">
        <f>Mapa!$B$21</f>
        <v/>
      </c>
      <c r="D21" s="795"/>
      <c r="E21" s="795"/>
      <c r="F21" s="795"/>
      <c r="G21" s="795"/>
      <c r="H21" s="795"/>
      <c r="I21" s="795"/>
      <c r="J21" s="796"/>
      <c r="K21" s="48" t="e">
        <f>IF(ISBLANK(Mapa!$D$21),"",Mapa!$D$21)</f>
        <v>#N/A</v>
      </c>
      <c r="L21" s="16" t="str">
        <f>Mapa!$G$21</f>
        <v/>
      </c>
    </row>
    <row r="22" spans="1:12" s="35" customFormat="1" ht="13.5" thickBot="1">
      <c r="A22" s="15">
        <v>5</v>
      </c>
      <c r="B22" s="36" t="e">
        <f>IF(ISBLANK(Mapa!$M$20),"",Mapa!$M$20)</f>
        <v>#N/A</v>
      </c>
      <c r="C22" s="794" t="str">
        <f>Mapa!$H$21</f>
        <v/>
      </c>
      <c r="D22" s="795"/>
      <c r="E22" s="795"/>
      <c r="F22" s="795"/>
      <c r="G22" s="795"/>
      <c r="H22" s="795"/>
      <c r="I22" s="795"/>
      <c r="J22" s="796"/>
      <c r="K22" s="48" t="e">
        <f>IF(ISBLANK(Mapa!$J$21),"",Mapa!$J$21)</f>
        <v>#N/A</v>
      </c>
      <c r="L22" s="16" t="str">
        <f>Mapa!$M$21</f>
        <v/>
      </c>
    </row>
    <row r="23" spans="1:12" s="35" customFormat="1" ht="13.5" thickBot="1">
      <c r="A23" s="15">
        <v>6</v>
      </c>
      <c r="B23" s="36" t="e">
        <f>IF(ISBLANK(Mapa!$S$20),"",Mapa!$S$20)</f>
        <v>#N/A</v>
      </c>
      <c r="C23" s="794" t="str">
        <f>Mapa!$N$21</f>
        <v/>
      </c>
      <c r="D23" s="795"/>
      <c r="E23" s="795"/>
      <c r="F23" s="795"/>
      <c r="G23" s="795"/>
      <c r="H23" s="795"/>
      <c r="I23" s="795"/>
      <c r="J23" s="796"/>
      <c r="K23" s="48" t="e">
        <f>IF(ISBLANK(Mapa!$P$21),"",Mapa!$P$21)</f>
        <v>#N/A</v>
      </c>
      <c r="L23" s="16" t="str">
        <f>Mapa!$S$21</f>
        <v/>
      </c>
    </row>
    <row r="24" spans="1:12" s="35" customFormat="1" ht="13.5" thickBot="1">
      <c r="A24" s="15">
        <v>7</v>
      </c>
      <c r="B24" s="36" t="e">
        <f>IF(ISBLANK(Mapa!$G$37),"",Mapa!$G$37)</f>
        <v>#N/A</v>
      </c>
      <c r="C24" s="794" t="str">
        <f>Mapa!$B$38</f>
        <v/>
      </c>
      <c r="D24" s="795"/>
      <c r="E24" s="795"/>
      <c r="F24" s="795"/>
      <c r="G24" s="795"/>
      <c r="H24" s="795"/>
      <c r="I24" s="795"/>
      <c r="J24" s="796"/>
      <c r="K24" s="48" t="e">
        <f>IF(ISBLANK(Mapa!$D$38),"",Mapa!$D$38)</f>
        <v>#N/A</v>
      </c>
      <c r="L24" s="16" t="str">
        <f>Mapa!$G$38</f>
        <v/>
      </c>
    </row>
    <row r="25" spans="1:12" s="35" customFormat="1" ht="13.5" thickBot="1">
      <c r="A25" s="15">
        <v>8</v>
      </c>
      <c r="B25" s="36" t="e">
        <f>IF(ISBLANK(Mapa!$M$37),"",Mapa!$M$37)</f>
        <v>#N/A</v>
      </c>
      <c r="C25" s="794" t="str">
        <f>Mapa!$H$38</f>
        <v/>
      </c>
      <c r="D25" s="795"/>
      <c r="E25" s="795"/>
      <c r="F25" s="795"/>
      <c r="G25" s="795"/>
      <c r="H25" s="795"/>
      <c r="I25" s="795"/>
      <c r="J25" s="796"/>
      <c r="K25" s="48" t="e">
        <f>IF(ISBLANK(Mapa!$J$38),"",Mapa!$J$38)</f>
        <v>#N/A</v>
      </c>
      <c r="L25" s="16" t="str">
        <f>Mapa!$M$38</f>
        <v/>
      </c>
    </row>
    <row r="26" spans="1:12" s="35" customFormat="1" ht="13.5" thickBot="1">
      <c r="A26" s="15">
        <v>9</v>
      </c>
      <c r="B26" s="36" t="e">
        <f>IF(ISBLANK(Mapa!$S$37),"",Mapa!$S$37)</f>
        <v>#N/A</v>
      </c>
      <c r="C26" s="794" t="str">
        <f>Mapa!$N$38</f>
        <v/>
      </c>
      <c r="D26" s="795"/>
      <c r="E26" s="795"/>
      <c r="F26" s="795"/>
      <c r="G26" s="795"/>
      <c r="H26" s="795"/>
      <c r="I26" s="795"/>
      <c r="J26" s="796"/>
      <c r="K26" s="48" t="e">
        <f>IF(ISBLANK(Mapa!$P$38),"",Mapa!$P$38)</f>
        <v>#N/A</v>
      </c>
      <c r="L26" s="16" t="str">
        <f>Mapa!$S$38</f>
        <v/>
      </c>
    </row>
    <row r="27" spans="1:12" s="35" customFormat="1" ht="13.5" thickBot="1">
      <c r="A27" s="15">
        <v>10</v>
      </c>
      <c r="B27" s="36" t="e">
        <f>IF(ISBLANK(Mapa!$G$54),"",Mapa!$G$54)</f>
        <v>#N/A</v>
      </c>
      <c r="C27" s="794" t="str">
        <f>Mapa!$B$55</f>
        <v/>
      </c>
      <c r="D27" s="795"/>
      <c r="E27" s="795"/>
      <c r="F27" s="795"/>
      <c r="G27" s="795"/>
      <c r="H27" s="795"/>
      <c r="I27" s="795"/>
      <c r="J27" s="796"/>
      <c r="K27" s="48" t="e">
        <f>IF(ISBLANK(Mapa!$D$55),"",Mapa!$D$55)</f>
        <v>#N/A</v>
      </c>
      <c r="L27" s="16" t="str">
        <f>Mapa!$G$55</f>
        <v/>
      </c>
    </row>
    <row r="28" spans="1:12" s="35" customFormat="1" ht="13.5" thickBot="1">
      <c r="A28" s="15">
        <v>11</v>
      </c>
      <c r="B28" s="36" t="e">
        <f>IF(ISBLANK(Mapa!$M$54),"",Mapa!$M$54)</f>
        <v>#N/A</v>
      </c>
      <c r="C28" s="794" t="str">
        <f>Mapa!$H$55</f>
        <v/>
      </c>
      <c r="D28" s="795"/>
      <c r="E28" s="795"/>
      <c r="F28" s="795"/>
      <c r="G28" s="795"/>
      <c r="H28" s="795"/>
      <c r="I28" s="795"/>
      <c r="J28" s="796"/>
      <c r="K28" s="48" t="e">
        <f>IF(ISBLANK(Mapa!$J$55),"",Mapa!$J$55)</f>
        <v>#N/A</v>
      </c>
      <c r="L28" s="16" t="str">
        <f>Mapa!$M$55</f>
        <v/>
      </c>
    </row>
    <row r="29" spans="1:12" s="35" customFormat="1" ht="13.5" thickBot="1">
      <c r="A29" s="15">
        <v>12</v>
      </c>
      <c r="B29" s="36" t="e">
        <f>IF(ISBLANK(Mapa!$S$54),"",Mapa!$S$54)</f>
        <v>#N/A</v>
      </c>
      <c r="C29" s="794" t="str">
        <f>Mapa!$N$55</f>
        <v/>
      </c>
      <c r="D29" s="795"/>
      <c r="E29" s="795"/>
      <c r="F29" s="795"/>
      <c r="G29" s="795"/>
      <c r="H29" s="795"/>
      <c r="I29" s="795"/>
      <c r="J29" s="796"/>
      <c r="K29" s="48" t="e">
        <f>IF(ISBLANK(Mapa!$P$55),"",Mapa!$P$55)</f>
        <v>#N/A</v>
      </c>
      <c r="L29" s="16" t="str">
        <f>Mapa!$S$55</f>
        <v/>
      </c>
    </row>
    <row r="30" spans="1:12" ht="15" customHeight="1">
      <c r="A30" s="799" t="s">
        <v>788</v>
      </c>
      <c r="B30" s="800"/>
      <c r="C30" s="800"/>
      <c r="D30" s="801"/>
      <c r="E30" s="801"/>
      <c r="F30" s="801"/>
      <c r="G30" s="801"/>
      <c r="H30" s="801"/>
      <c r="I30" s="802"/>
      <c r="J30" s="803" t="s">
        <v>3624</v>
      </c>
      <c r="K30" s="804"/>
      <c r="L30" s="805"/>
    </row>
    <row r="31" spans="1:12" ht="19.5" customHeight="1">
      <c r="A31" s="808" t="s">
        <v>2743</v>
      </c>
      <c r="B31" s="809"/>
      <c r="C31" s="809"/>
      <c r="D31" s="765"/>
      <c r="E31" s="765"/>
      <c r="F31" s="765"/>
      <c r="G31" s="765"/>
      <c r="H31" s="765"/>
      <c r="I31" s="766"/>
      <c r="J31" s="806"/>
      <c r="K31" s="765"/>
      <c r="L31" s="807"/>
    </row>
    <row r="32" spans="1:12" ht="25.5" customHeight="1">
      <c r="A32" s="824" t="s">
        <v>5770</v>
      </c>
      <c r="B32" s="825"/>
      <c r="C32" s="825"/>
      <c r="D32" s="826"/>
      <c r="E32" s="826"/>
      <c r="F32" s="826"/>
      <c r="G32" s="826"/>
      <c r="H32" s="826"/>
      <c r="I32" s="858"/>
      <c r="J32" s="806"/>
      <c r="K32" s="765"/>
      <c r="L32" s="807"/>
    </row>
    <row r="33" spans="1:12" ht="64.5" customHeight="1">
      <c r="A33" s="865" t="s">
        <v>5787</v>
      </c>
      <c r="B33" s="866"/>
      <c r="C33" s="866"/>
      <c r="D33" s="867"/>
      <c r="E33" s="867"/>
      <c r="F33" s="867"/>
      <c r="G33" s="867"/>
      <c r="H33" s="867"/>
      <c r="I33" s="868"/>
      <c r="J33" s="806"/>
      <c r="K33" s="765"/>
      <c r="L33" s="807"/>
    </row>
    <row r="34" spans="1:12" ht="29.25" customHeight="1">
      <c r="A34" s="869" t="s">
        <v>2744</v>
      </c>
      <c r="B34" s="870"/>
      <c r="C34" s="870"/>
      <c r="D34" s="871"/>
      <c r="E34" s="871"/>
      <c r="F34" s="871"/>
      <c r="G34" s="871"/>
      <c r="H34" s="871"/>
      <c r="I34" s="872"/>
      <c r="J34" s="806"/>
      <c r="K34" s="765"/>
      <c r="L34" s="807"/>
    </row>
    <row r="35" spans="1:12" ht="16.5" customHeight="1">
      <c r="A35" s="818" t="s">
        <v>789</v>
      </c>
      <c r="B35" s="819"/>
      <c r="C35" s="819"/>
      <c r="D35" s="765"/>
      <c r="E35" s="765"/>
      <c r="F35" s="765"/>
      <c r="G35" s="765"/>
      <c r="H35" s="765"/>
      <c r="I35" s="766"/>
      <c r="J35" s="806"/>
      <c r="K35" s="765"/>
      <c r="L35" s="807"/>
    </row>
    <row r="36" spans="1:12" ht="32.25" customHeight="1">
      <c r="A36" s="770" t="s">
        <v>8263</v>
      </c>
      <c r="B36" s="771"/>
      <c r="C36" s="771"/>
      <c r="D36" s="772"/>
      <c r="E36" s="772"/>
      <c r="F36" s="772"/>
      <c r="G36" s="772"/>
      <c r="H36" s="772"/>
      <c r="I36" s="773"/>
      <c r="J36" s="806"/>
      <c r="K36" s="765"/>
      <c r="L36" s="807"/>
    </row>
    <row r="37" spans="1:12">
      <c r="A37" s="774" t="s">
        <v>790</v>
      </c>
      <c r="B37" s="775"/>
      <c r="C37" s="775"/>
      <c r="D37" s="765"/>
      <c r="E37" s="765"/>
      <c r="F37" s="765"/>
      <c r="G37" s="765"/>
      <c r="H37" s="765"/>
      <c r="I37" s="766"/>
      <c r="J37" s="806"/>
      <c r="K37" s="765"/>
      <c r="L37" s="807"/>
    </row>
    <row r="38" spans="1:12">
      <c r="A38" s="774" t="s">
        <v>791</v>
      </c>
      <c r="B38" s="775"/>
      <c r="C38" s="775"/>
      <c r="D38" s="765"/>
      <c r="E38" s="765"/>
      <c r="F38" s="765"/>
      <c r="G38" s="765"/>
      <c r="H38" s="765"/>
      <c r="I38" s="766"/>
      <c r="J38" s="806"/>
      <c r="K38" s="765"/>
      <c r="L38" s="807"/>
    </row>
    <row r="39" spans="1:12">
      <c r="A39" s="774" t="s">
        <v>792</v>
      </c>
      <c r="B39" s="775"/>
      <c r="C39" s="775"/>
      <c r="D39" s="765"/>
      <c r="E39" s="765"/>
      <c r="F39" s="765"/>
      <c r="G39" s="765"/>
      <c r="H39" s="765"/>
      <c r="I39" s="766"/>
      <c r="J39" s="806"/>
      <c r="K39" s="765"/>
      <c r="L39" s="807"/>
    </row>
    <row r="40" spans="1:12" ht="26.25" customHeight="1">
      <c r="A40" s="774" t="s">
        <v>793</v>
      </c>
      <c r="B40" s="775"/>
      <c r="C40" s="775"/>
      <c r="D40" s="765"/>
      <c r="E40" s="765"/>
      <c r="F40" s="765"/>
      <c r="G40" s="765"/>
      <c r="H40" s="765"/>
      <c r="I40" s="766"/>
      <c r="J40" s="806"/>
      <c r="K40" s="765"/>
      <c r="L40" s="807"/>
    </row>
    <row r="41" spans="1:12">
      <c r="A41" s="774" t="s">
        <v>1576</v>
      </c>
      <c r="B41" s="775"/>
      <c r="C41" s="775"/>
      <c r="D41" s="765"/>
      <c r="E41" s="765"/>
      <c r="F41" s="765"/>
      <c r="G41" s="765"/>
      <c r="H41" s="765"/>
      <c r="I41" s="766"/>
      <c r="J41" s="806"/>
      <c r="K41" s="765"/>
      <c r="L41" s="807"/>
    </row>
    <row r="42" spans="1:12" ht="27" customHeight="1">
      <c r="A42" s="776" t="s">
        <v>8266</v>
      </c>
      <c r="B42" s="777"/>
      <c r="C42" s="777"/>
      <c r="D42" s="765"/>
      <c r="E42" s="765"/>
      <c r="F42" s="765"/>
      <c r="G42" s="765"/>
      <c r="H42" s="765"/>
      <c r="I42" s="766"/>
      <c r="J42" s="778" t="str">
        <f>Adjudicação!A85</f>
        <v>DIEGO FERNANDES DA SILVA</v>
      </c>
      <c r="K42" s="863"/>
      <c r="L42" s="864"/>
    </row>
    <row r="43" spans="1:12" ht="15" customHeight="1">
      <c r="A43" s="763" t="s">
        <v>794</v>
      </c>
      <c r="B43" s="764"/>
      <c r="C43" s="764"/>
      <c r="D43" s="765"/>
      <c r="E43" s="765"/>
      <c r="F43" s="765"/>
      <c r="G43" s="765"/>
      <c r="H43" s="765"/>
      <c r="I43" s="766"/>
      <c r="J43" s="781" t="str">
        <f>Adjudicação!A86</f>
        <v>Diretor(a) Administrativo(a)/SRSSU</v>
      </c>
      <c r="K43" s="782"/>
      <c r="L43" s="783"/>
    </row>
    <row r="44" spans="1:12" ht="15" customHeight="1">
      <c r="A44" s="763" t="s">
        <v>1812</v>
      </c>
      <c r="B44" s="764"/>
      <c r="C44" s="764"/>
      <c r="D44" s="765"/>
      <c r="E44" s="765"/>
      <c r="F44" s="765"/>
      <c r="G44" s="765"/>
      <c r="H44" s="765"/>
      <c r="I44" s="766"/>
      <c r="J44" s="767" t="str">
        <f>Adjudicação!A87</f>
        <v>Matrícula: 1.693.844-5</v>
      </c>
      <c r="K44" s="768"/>
      <c r="L44" s="769"/>
    </row>
    <row r="45" spans="1:12" ht="50.25" customHeight="1" thickBot="1">
      <c r="A45" s="763" t="s">
        <v>1619</v>
      </c>
      <c r="B45" s="764"/>
      <c r="C45" s="764"/>
      <c r="D45" s="765"/>
      <c r="E45" s="765"/>
      <c r="F45" s="765"/>
      <c r="G45" s="765"/>
      <c r="H45" s="765"/>
      <c r="I45" s="766"/>
      <c r="J45" s="784"/>
      <c r="K45" s="785"/>
      <c r="L45" s="786"/>
    </row>
    <row r="46" spans="1:12" ht="15.75" thickBot="1">
      <c r="A46" s="821" t="s">
        <v>2990</v>
      </c>
      <c r="B46" s="822"/>
      <c r="C46" s="822"/>
      <c r="D46" s="822"/>
      <c r="E46" s="822"/>
      <c r="F46" s="822"/>
      <c r="G46" s="822"/>
      <c r="H46" s="822"/>
      <c r="I46" s="823"/>
      <c r="J46" s="785"/>
      <c r="K46" s="785"/>
      <c r="L46" s="786"/>
    </row>
    <row r="47" spans="1:12" ht="15.75" customHeight="1" thickBot="1">
      <c r="A47" s="787" t="s">
        <v>795</v>
      </c>
      <c r="B47" s="788"/>
      <c r="C47" s="788"/>
      <c r="D47" s="789"/>
      <c r="E47" s="789"/>
      <c r="F47" s="789"/>
      <c r="G47" s="789"/>
      <c r="H47" s="789"/>
      <c r="I47" s="790"/>
      <c r="J47" s="791"/>
      <c r="K47" s="792"/>
      <c r="L47" s="793"/>
    </row>
    <row r="48" spans="1:12" ht="11.25" customHeight="1">
      <c r="A48" s="761" t="s">
        <v>673</v>
      </c>
      <c r="B48" s="762"/>
      <c r="C48" s="762"/>
      <c r="D48" s="762"/>
      <c r="E48" s="762"/>
      <c r="F48" s="762"/>
      <c r="G48" s="762"/>
      <c r="H48" s="762"/>
      <c r="I48" s="762"/>
      <c r="J48" s="762"/>
      <c r="K48" s="762"/>
      <c r="L48" s="17"/>
    </row>
    <row r="49" spans="1:12" ht="11.25" customHeight="1">
      <c r="A49" s="797" t="s">
        <v>2737</v>
      </c>
      <c r="B49" s="798"/>
      <c r="C49" s="798"/>
      <c r="D49" s="798"/>
      <c r="E49" s="798"/>
      <c r="F49" s="798"/>
      <c r="G49" s="798"/>
      <c r="H49" s="798"/>
      <c r="I49" s="798"/>
      <c r="J49" s="798"/>
      <c r="K49" s="798"/>
      <c r="L49" s="18"/>
    </row>
    <row r="50" spans="1:12" ht="11.25" customHeight="1">
      <c r="A50" s="820" t="s">
        <v>2738</v>
      </c>
      <c r="B50" s="798"/>
      <c r="C50" s="798"/>
      <c r="D50" s="798"/>
      <c r="E50" s="798"/>
      <c r="F50" s="798"/>
      <c r="G50" s="798"/>
      <c r="H50" s="798"/>
      <c r="I50" s="798"/>
      <c r="J50" s="798"/>
      <c r="K50" s="798"/>
      <c r="L50" s="71"/>
    </row>
    <row r="51" spans="1:12" ht="11.25" customHeight="1">
      <c r="A51" s="797" t="s">
        <v>5743</v>
      </c>
      <c r="B51" s="798"/>
      <c r="C51" s="798"/>
      <c r="D51" s="798"/>
      <c r="E51" s="798"/>
      <c r="F51" s="798"/>
      <c r="G51" s="798"/>
      <c r="H51" s="798"/>
      <c r="I51" s="798"/>
      <c r="J51" s="798"/>
      <c r="K51" s="798"/>
      <c r="L51" s="18"/>
    </row>
    <row r="52" spans="1:12">
      <c r="A52" s="7"/>
      <c r="B52" s="7"/>
      <c r="C52" s="7"/>
      <c r="D52" s="7"/>
      <c r="E52" s="7"/>
      <c r="F52" s="7"/>
      <c r="G52" s="7"/>
      <c r="H52" s="7"/>
      <c r="I52" s="7"/>
      <c r="J52" s="7"/>
      <c r="K52" s="7"/>
      <c r="L52" s="7"/>
    </row>
  </sheetData>
  <sheetProtection formatCells="0" formatColumns="0" formatRows="0"/>
  <mergeCells count="55">
    <mergeCell ref="A14:L14"/>
    <mergeCell ref="B6:L6"/>
    <mergeCell ref="A7:G7"/>
    <mergeCell ref="H7:J7"/>
    <mergeCell ref="K7:L7"/>
    <mergeCell ref="A8:L8"/>
    <mergeCell ref="A9:B9"/>
    <mergeCell ref="A10:B10"/>
    <mergeCell ref="A11:L12"/>
    <mergeCell ref="A13:L13"/>
    <mergeCell ref="C9:L10"/>
    <mergeCell ref="C26:J26"/>
    <mergeCell ref="A15:L15"/>
    <mergeCell ref="A16:L16"/>
    <mergeCell ref="C17:J17"/>
    <mergeCell ref="C18:J18"/>
    <mergeCell ref="C19:J19"/>
    <mergeCell ref="C20:J20"/>
    <mergeCell ref="C21:J21"/>
    <mergeCell ref="C22:J22"/>
    <mergeCell ref="C23:J23"/>
    <mergeCell ref="C24:J24"/>
    <mergeCell ref="C25:J25"/>
    <mergeCell ref="A41:I41"/>
    <mergeCell ref="C27:J27"/>
    <mergeCell ref="C28:J28"/>
    <mergeCell ref="C29:J29"/>
    <mergeCell ref="A30:I30"/>
    <mergeCell ref="J30:L41"/>
    <mergeCell ref="A31:I31"/>
    <mergeCell ref="A32:I32"/>
    <mergeCell ref="A33:I33"/>
    <mergeCell ref="A34:I34"/>
    <mergeCell ref="A35:I35"/>
    <mergeCell ref="A36:I36"/>
    <mergeCell ref="A37:I37"/>
    <mergeCell ref="A38:I38"/>
    <mergeCell ref="A39:I39"/>
    <mergeCell ref="A40:I40"/>
    <mergeCell ref="A42:I42"/>
    <mergeCell ref="J42:L42"/>
    <mergeCell ref="A43:I43"/>
    <mergeCell ref="J43:L43"/>
    <mergeCell ref="A44:I44"/>
    <mergeCell ref="J44:L44"/>
    <mergeCell ref="A48:K48"/>
    <mergeCell ref="A49:K49"/>
    <mergeCell ref="A50:K50"/>
    <mergeCell ref="A51:K51"/>
    <mergeCell ref="A45:I45"/>
    <mergeCell ref="J45:L45"/>
    <mergeCell ref="A46:I46"/>
    <mergeCell ref="J46:L46"/>
    <mergeCell ref="A47:I47"/>
    <mergeCell ref="J47:L47"/>
  </mergeCells>
  <conditionalFormatting sqref="B18:B29">
    <cfRule type="containsErrors" dxfId="764" priority="4" stopIfTrue="1">
      <formula>ISERROR(B18)</formula>
    </cfRule>
  </conditionalFormatting>
  <conditionalFormatting sqref="K18:K29">
    <cfRule type="containsErrors" dxfId="763" priority="3" stopIfTrue="1">
      <formula>ISERROR(K18)</formula>
    </cfRule>
  </conditionalFormatting>
  <dataValidations disablePrompts="1" count="1">
    <dataValidation type="list" allowBlank="1" showInputMessage="1" showErrorMessage="1" sqref="B6:L6">
      <formula1>responsáveis</formula1>
    </dataValidation>
  </dataValidations>
  <pageMargins left="0.511811024" right="0.511811024" top="0.78740157499999996" bottom="0.78740157499999996" header="0.31496062000000002" footer="0.31496062000000002"/>
  <pageSetup paperSize="9" scale="75"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6"/>
  <dimension ref="A1:L94"/>
  <sheetViews>
    <sheetView view="pageBreakPreview" zoomScaleSheetLayoutView="100" workbookViewId="0">
      <selection activeCell="A57" sqref="A57:J58"/>
    </sheetView>
  </sheetViews>
  <sheetFormatPr defaultColWidth="9.140625" defaultRowHeight="15"/>
  <cols>
    <col min="1" max="1" width="7.7109375" style="1" bestFit="1" customWidth="1"/>
    <col min="2" max="2" width="11.7109375" style="1" customWidth="1"/>
    <col min="3" max="3" width="11.28515625" style="1" customWidth="1"/>
    <col min="4" max="4" width="11.7109375" style="3" customWidth="1"/>
    <col min="5" max="7" width="11.7109375" style="1" customWidth="1"/>
    <col min="8" max="8" width="12.7109375" style="1" customWidth="1"/>
    <col min="9" max="9" width="11.7109375" style="1" customWidth="1"/>
    <col min="10" max="10" width="11.7109375" style="3" customWidth="1"/>
    <col min="11" max="16384" width="9.140625" style="1"/>
  </cols>
  <sheetData>
    <row r="1" spans="1:12" s="68" customFormat="1" ht="19.5" customHeight="1">
      <c r="A1" s="66"/>
      <c r="B1" s="66"/>
      <c r="C1" s="66"/>
      <c r="D1" s="67"/>
      <c r="E1" s="66"/>
      <c r="F1" s="66"/>
      <c r="G1" s="66"/>
      <c r="H1" s="66"/>
      <c r="I1" s="66"/>
      <c r="J1" s="67"/>
    </row>
    <row r="2" spans="1:12" s="68" customFormat="1" ht="69.75" customHeight="1">
      <c r="A2" s="66"/>
      <c r="B2" s="69"/>
      <c r="C2" s="880" t="s">
        <v>2745</v>
      </c>
      <c r="D2" s="881"/>
      <c r="E2" s="881"/>
      <c r="F2" s="881"/>
      <c r="G2" s="881"/>
      <c r="H2" s="881"/>
      <c r="I2" s="881"/>
      <c r="J2" s="69"/>
    </row>
    <row r="3" spans="1:12" s="51" customFormat="1">
      <c r="A3" s="893"/>
      <c r="B3" s="893"/>
      <c r="C3" s="893"/>
      <c r="D3" s="893"/>
      <c r="E3" s="893"/>
      <c r="F3" s="893"/>
      <c r="G3" s="893"/>
      <c r="H3" s="893"/>
      <c r="I3" s="893"/>
      <c r="J3" s="893"/>
    </row>
    <row r="4" spans="1:12" customFormat="1">
      <c r="A4" s="896" t="s">
        <v>776</v>
      </c>
      <c r="B4" s="897"/>
      <c r="C4" s="897"/>
      <c r="D4" s="897"/>
      <c r="E4" s="897"/>
      <c r="F4" s="897"/>
      <c r="G4" s="897"/>
      <c r="H4" s="897"/>
      <c r="I4" s="897"/>
      <c r="J4" s="897"/>
    </row>
    <row r="5" spans="1:12" customFormat="1" ht="17.25" customHeight="1">
      <c r="A5" s="882" t="str">
        <f>Mapa!I1</f>
        <v>xxx/2020</v>
      </c>
      <c r="B5" s="883"/>
      <c r="C5" s="883"/>
      <c r="D5" s="883"/>
      <c r="E5" s="884"/>
      <c r="F5" s="894" t="s">
        <v>1316</v>
      </c>
      <c r="G5" s="895"/>
      <c r="H5" s="895"/>
      <c r="I5" s="895"/>
      <c r="J5" s="895"/>
    </row>
    <row r="6" spans="1:12" customFormat="1" ht="21" customHeight="1">
      <c r="A6" s="891" t="s">
        <v>1390</v>
      </c>
      <c r="B6" s="892"/>
      <c r="C6" s="892"/>
      <c r="D6" s="892"/>
      <c r="E6" s="892"/>
      <c r="F6" s="892"/>
      <c r="G6" s="892"/>
      <c r="H6" s="892"/>
      <c r="I6" s="892"/>
      <c r="J6" s="892"/>
    </row>
    <row r="7" spans="1:12" customFormat="1" ht="24" thickBot="1">
      <c r="A7" s="908" t="str">
        <f>"MAPA COMPARATIVO " &amp; A5</f>
        <v>MAPA COMPARATIVO xxx/2020</v>
      </c>
      <c r="B7" s="908"/>
      <c r="C7" s="908"/>
      <c r="D7" s="908"/>
      <c r="E7" s="908"/>
      <c r="F7" s="908"/>
      <c r="G7" s="908"/>
      <c r="H7" s="908"/>
      <c r="I7" s="908"/>
      <c r="J7" s="908"/>
    </row>
    <row r="8" spans="1:12" customFormat="1" ht="28.5" customHeight="1" thickTop="1" thickBot="1">
      <c r="A8" s="55" t="s">
        <v>1314</v>
      </c>
      <c r="B8" s="889" t="s">
        <v>660</v>
      </c>
      <c r="C8" s="890"/>
      <c r="D8" s="20" t="s">
        <v>566</v>
      </c>
      <c r="E8" s="889" t="s">
        <v>661</v>
      </c>
      <c r="F8" s="890"/>
      <c r="G8" s="20" t="s">
        <v>566</v>
      </c>
      <c r="H8" s="889" t="s">
        <v>662</v>
      </c>
      <c r="I8" s="890"/>
      <c r="J8" s="20" t="s">
        <v>566</v>
      </c>
    </row>
    <row r="9" spans="1:12" s="35" customFormat="1" ht="27" customHeight="1" thickTop="1">
      <c r="A9" s="212">
        <v>1</v>
      </c>
      <c r="B9" s="885" t="str">
        <f>IF(ISBLANK(Mapa!$D$6),"",IF(Mapa!$D$17="x","CANCELADO",IF(Mapa!$D$6="1º",Mapa!$A$6,IF(Mapa!$D$7="1º",Mapa!$A$7,IF(Mapa!$D$8="1º",Mapa!$A$8,IF(Mapa!$D$9="1º",Mapa!$A$9,IF(Mapa!$D$10="1º",Mapa!$A$10,IF(Mapa!$D$11="1º",Mapa!$A$11,IF(Mapa!$D$12="1º",Mapa!$A$12,IF(Mapa!$D$13="1º",Mapa!$A$13,IF(Mapa!$D$14="1º",Mapa!$A$14,IF(Mapa!$D$15="1º",Mapa!$A$15,"DESERTO"))))))))))))</f>
        <v>DESERTO</v>
      </c>
      <c r="C9" s="886"/>
      <c r="D9" s="49" t="str">
        <f>IF(ISBLANK(Mapa!$F$4),"",IF(B9="DESERTO","",IF(Mapa!$D$17="x","",Mapa!$F$4)))</f>
        <v/>
      </c>
      <c r="E9" s="887" t="str">
        <f>IF(ISBLANK(Mapa!$D$6),"",IF(Mapa!$D$17="x","CANCELADO",IF(Mapa!$D$6="2º",Mapa!$A$6,IF(Mapa!$D$7="2º",Mapa!$A$7,IF(Mapa!$D$8="2º",Mapa!$A$8,IF(Mapa!$D$9="2º",Mapa!$A$9,IF(Mapa!$D$10="2º",Mapa!$A$10,IF(Mapa!$D$11="2º",Mapa!$A$11,IF(Mapa!$D$12="2º",Mapa!$A$12,IF(Mapa!$D$13="2º",Mapa!$A$13,IF(Mapa!$D$14="2º",Mapa!$A$14,IF(Mapa!$D$15="2º",Mapa!$A$15,IF(B9="DESERTO","DESERTO","PROPOSTA NÃO APRESENTADA")))))))))))))</f>
        <v>DESERTO</v>
      </c>
      <c r="F9" s="888"/>
      <c r="G9" s="49" t="str">
        <f>IF(ISBLANK(Mapa!$F$4),"",IF(E9="DESERTO","",IF(E9="PROPOSTA NÃO APRESENTADA","",IF(Mapa!$D$17="x","",Mapa!$F$4))))</f>
        <v/>
      </c>
      <c r="H9" s="887" t="str">
        <f>IF(ISBLANK(Mapa!$D$6),"",IF(Mapa!$D$17="x","CANCELADO",IF(Mapa!$D$6="3º",Mapa!$A$6,IF(Mapa!$D$7="3º",Mapa!$A$7,IF(Mapa!$D$8="3º",Mapa!$A$8,IF(Mapa!$D$9="3º",Mapa!$A$9,IF(Mapa!$D$10="3º",Mapa!$A$10,IF(Mapa!$D$11="3º",Mapa!$A$11,IF(Mapa!$D$12="3º",Mapa!$A$12,IF(Mapa!$D$13="3º",Mapa!$A$13,IF(Mapa!$D$14="3º",Mapa!$A$14,IF(Mapa!$D$15="3º",Mapa!$A$15,IF(B9="DESERTO","DESERTO","PROPOSTA NÃO APRESENTADA")))))))))))))</f>
        <v>DESERTO</v>
      </c>
      <c r="I9" s="888"/>
      <c r="J9" s="49" t="str">
        <f>IF(ISBLANK(Mapa!$F$4),"",IF(H9="DESERTO","",IF(H9="PROPOSTA NÃO APRESENTADA","",IF(Mapa!$D$17="x","",Mapa!$F$4))))</f>
        <v/>
      </c>
      <c r="K9" s="38"/>
      <c r="L9" s="38"/>
    </row>
    <row r="10" spans="1:12" s="35" customFormat="1" ht="13.5" thickBot="1">
      <c r="A10" s="213"/>
      <c r="B10" s="39" t="str">
        <f>IF(ISBLANK(Mapa!$D$6),"",IF(Mapa!$D$17="x","",IF(Mapa!$D$6="1º",Mapa!$B$6,IF(Mapa!$D$7="1º",Mapa!$B$7,IF(Mapa!$D$8="1º",Mapa!$B$8,IF(Mapa!$D$9="1º",Mapa!$B$9,IF(Mapa!$D$10="1º",Mapa!$B$10,IF(Mapa!$D$11="1º",Mapa!$B$11,IF(Mapa!$D$12="1º",Mapa!$B$12,IF(Mapa!$D$13="1º",Mapa!$B$13,IF(Mapa!$D$14="1º",Mapa!$B$14,IF(Mapa!$D$15="1º",Mapa!$B$15,""))))))))))))</f>
        <v/>
      </c>
      <c r="C10" s="44" t="str">
        <f>IF(ISBLANK(Mapa!$D$6),"",IF(Mapa!$D$17="x","",IF(Mapa!$D$6="1º",Mapa!$C$6,IF(Mapa!$D$7="1º",Mapa!$C$7,IF(Mapa!$D$8="1º",Mapa!$C$8,IF(Mapa!$D$9="1º",Mapa!$C$9,IF(Mapa!$D$10="1º",Mapa!$C$10,IF(Mapa!$D$11="1º",Mapa!$C$11,IF(Mapa!$D$12="1º",Mapa!$C$12,IF(Mapa!$D$13="1º",Mapa!$C$13,IF(Mapa!$D$14="1º",Mapa!$C$14,IF(Mapa!$D$15="1º",Mapa!$C$15,""))))))))))))</f>
        <v/>
      </c>
      <c r="D10" s="37" t="str">
        <f>IF(ISBLANK(Mapa!$G$4),"",IF(B9="DESERTO","",IF(Mapa!$D$17="x","",Mapa!$G$4)))</f>
        <v/>
      </c>
      <c r="E10" s="39" t="str">
        <f>IF(ISBLANK(Mapa!$D$6),"",IF(Mapa!$D$17="x","",IF(Mapa!$D$6="2º",Mapa!$B$6,IF(Mapa!$D$7="2º",Mapa!$B$7,IF(Mapa!$D$8="2º",Mapa!$B$8,IF(Mapa!$D$9="2º",Mapa!$B$9,IF(Mapa!$D$10="2º",Mapa!$B$10,IF(Mapa!$D$11="2º",Mapa!$B$11,IF(Mapa!$D$12="2º",Mapa!$B$12,IF(Mapa!$D$13="2º",Mapa!$B$13,IF(Mapa!$D$14="2º",Mapa!$B$14,IF(Mapa!$D$15="2º",Mapa!$B$15,""))))))))))))</f>
        <v/>
      </c>
      <c r="F10" s="44" t="str">
        <f>IF(ISBLANK(Mapa!$D$6),"",IF(Mapa!$D$17="x","",IF(Mapa!$D$6="2º",Mapa!$C$6,IF(Mapa!$D$7="2º",Mapa!$C$7,IF(Mapa!$D$8="2º",Mapa!$C$8,IF(Mapa!$D$9="2º",Mapa!$C$9,IF(Mapa!$D$10="2º",Mapa!$C$10,IF(Mapa!$D$11="2º",Mapa!$C$11,IF(Mapa!$D$12="2º",Mapa!$C$12,IF(Mapa!$D$13="2º",Mapa!$C$13,IF(Mapa!$D$14="2º",Mapa!$C$14,IF(Mapa!$D$15="2º",Mapa!$C$15,""))))))))))))</f>
        <v/>
      </c>
      <c r="G10" s="37" t="str">
        <f>IF(ISBLANK(Mapa!$G$4),"",IF(E9="DESERTO","",IF(E9="PROPOSTA NÃO APRESENTADA","",IF(Mapa!$D$17="x","",Mapa!$G$4))))</f>
        <v/>
      </c>
      <c r="H10" s="39" t="str">
        <f>IF(ISBLANK(Mapa!$D$6),"",IF(Mapa!$D$17="x","",IF(Mapa!$D$6="3º",Mapa!$B$6,IF(Mapa!$D$7="3º",Mapa!$B$7,IF(Mapa!$D$8="3º",Mapa!$B$8,IF(Mapa!$D$9="3º",Mapa!$B$9,IF(Mapa!$D$10="3º",Mapa!$B$10,IF(Mapa!$D$11="3º",Mapa!$B$11,IF(Mapa!$D$12="3º",Mapa!$B$12,IF(Mapa!$D$13="3º",Mapa!$B$13,IF(Mapa!$D$14="3º",Mapa!$B$14,IF(Mapa!$D$15="3º",Mapa!$B$15,""))))))))))))</f>
        <v/>
      </c>
      <c r="I10" s="44" t="str">
        <f>IF(ISBLANK(Mapa!$D$6),"",IF(Mapa!$D$17="x","",IF(Mapa!$D$6="3º",Mapa!$C$6,IF(Mapa!$D$7="3º",Mapa!$C$7,IF(Mapa!$D$8="3º",Mapa!$C$8,IF(Mapa!$D$9="3º",Mapa!$C$9,IF(Mapa!$D$10="3º",Mapa!$C$10,IF(Mapa!$D$11="3º",Mapa!$C$11,IF(Mapa!$D$12="3º",Mapa!$C$12,IF(Mapa!$D$13="3º",Mapa!$C$13,IF(Mapa!$D$14="3º",Mapa!$C$14,IF(Mapa!$D$15="3º",Mapa!$C$15,""))))))))))))</f>
        <v/>
      </c>
      <c r="J10" s="37" t="str">
        <f>IF(ISBLANK(Mapa!$G$4),"",IF(H9="DESERTO","",IF(H9="PROPOSTA NÃO APRESENTADA","",IF(Mapa!$D$17="x","",Mapa!$G$4))))</f>
        <v/>
      </c>
      <c r="K10" s="38"/>
      <c r="L10" s="38"/>
    </row>
    <row r="11" spans="1:12" customFormat="1" ht="16.5" thickTop="1" thickBot="1">
      <c r="A11" s="214" t="e">
        <f>IF(ISBLANK(Mapa!G3),"",Mapa!G3)</f>
        <v>#N/A</v>
      </c>
      <c r="B11" s="32" t="s">
        <v>567</v>
      </c>
      <c r="C11" s="33" t="str">
        <f>IF(ISBLANK(Mapa!$D$6),"",IF(Mapa!$D$17="x","",IF(Mapa!$D$6="1º",Mapa!$E$6,IF(Mapa!$D$7="1º",Mapa!$E$7,IF(Mapa!$D$8="1º",Mapa!$E$8,IF(Mapa!$D$9="1º",Mapa!$E$9,IF(Mapa!$D$10="1º",Mapa!$E$10,IF(Mapa!$D$11="1º",Mapa!$E$11,IF(Mapa!$D$12="1º",Mapa!$E$12,IF(Mapa!$D$13="1º",Mapa!$E$13,IF(Mapa!$D$14="1º",Mapa!$E$14,IF(Mapa!$D$15="1º",Mapa!$E$15,""))))))))))))</f>
        <v/>
      </c>
      <c r="D11" s="50" t="str">
        <f>IF(ISBLANK(Mapa!$D$6),"",IF(Mapa!$D$17="x","",IF(Mapa!$D$6="1º",Mapa!$G$6,IF(Mapa!$D$7="1º",Mapa!$G$7,IF(Mapa!$D$8="1º",Mapa!$G$8,IF(Mapa!$D$9="1º",Mapa!$G$9,IF(Mapa!$D$10="1º",Mapa!$G$10,IF(Mapa!$D$11="1º",Mapa!$G$11,IF(Mapa!$D$12="1º",Mapa!$G$12,IF(Mapa!$D$13="1º",Mapa!$G$13,IF(Mapa!$D$14="1º",Mapa!$G$14,IF(Mapa!$D$15="1º",Mapa!$G$15,""))))))))))))</f>
        <v/>
      </c>
      <c r="E11" s="32" t="s">
        <v>567</v>
      </c>
      <c r="F11" s="52" t="str">
        <f>IF(ISBLANK(Mapa!$D$6),"",IF(Mapa!$D$17="x","",IF(Mapa!$D$6="2º",Mapa!$E$6,IF(Mapa!$D$7="2º",Mapa!$E$7,IF(Mapa!$D$8="2º",Mapa!$E$8,IF(Mapa!$D$9="2º",Mapa!$E$9,IF(Mapa!$D$10="2º",Mapa!$E$10,IF(Mapa!$D$11="2º",Mapa!$E$11,IF(Mapa!$D$12="2º",Mapa!$E$12,IF(Mapa!$D$13="2º",Mapa!$E$13,IF(Mapa!$D$14="2º",Mapa!$E$14,IF(Mapa!$D$15="2º",Mapa!$E$15,""))))))))))))</f>
        <v/>
      </c>
      <c r="G11" s="50" t="str">
        <f>IF(ISBLANK(Mapa!$D$6),"",IF(Mapa!$D$17="x","",IF(Mapa!$D$6="2º",Mapa!$G$6,IF(Mapa!$D$7="2º",Mapa!$G$7,IF(Mapa!$D$8="2º",Mapa!$G$8,IF(Mapa!$D$9="2º",Mapa!$G$9,IF(Mapa!$D$10="2º",Mapa!$G$10,IF(Mapa!$D$11="2º",Mapa!$G$11,IF(Mapa!$D$12="2º",Mapa!$G$12,IF(Mapa!$D$13="2º",Mapa!$G$13,IF(Mapa!$D$14="2º",Mapa!$G$14,IF(Mapa!$D$15="2º",Mapa!$G$15,""))))))))))))</f>
        <v/>
      </c>
      <c r="H11" s="32" t="s">
        <v>567</v>
      </c>
      <c r="I11" s="33" t="str">
        <f>IF(ISBLANK(Mapa!$D$6),"",IF(Mapa!$D$17="x","",IF(Mapa!$D$6="3º",Mapa!$E$6,IF(Mapa!$D$7="3º",Mapa!$E$7,IF(Mapa!$D$8="3º",Mapa!$E$8,IF(Mapa!$D$9="3º",Mapa!$E$9,IF(Mapa!$D$10="3º",Mapa!$E$10,IF(Mapa!$D$11="3º",Mapa!$E$11,IF(Mapa!$D$12="3º",Mapa!$E$12,IF(Mapa!$D$13="3º",Mapa!$E$13,IF(Mapa!$D$14="3º",Mapa!$E$14,IF(Mapa!$D$15="3º",Mapa!$E$15,""))))))))))))</f>
        <v/>
      </c>
      <c r="J11" s="50" t="str">
        <f>IF(ISBLANK(Mapa!$D$6),"",IF(Mapa!$D$17="x","",IF(Mapa!$D$6="3º",Mapa!$G$6,IF(Mapa!$D$7="3º",Mapa!$G$7,IF(Mapa!$D$8="3º",Mapa!$G$8,IF(Mapa!$D$9="3º",Mapa!$G$9,IF(Mapa!$D$10="3º",Mapa!$G$10,IF(Mapa!$D$11="3º",Mapa!$G$11,IF(Mapa!$D$12="3º",Mapa!$G$12,IF(Mapa!$D$13="3º",Mapa!$G$13,IF(Mapa!$D$14="3º",Mapa!$G$14,IF(Mapa!$D$15="3º",Mapa!$G$15,""))))))))))))</f>
        <v/>
      </c>
      <c r="K11" s="2"/>
      <c r="L11" s="2"/>
    </row>
    <row r="12" spans="1:12" s="65" customFormat="1" ht="17.25" customHeight="1" thickTop="1" thickBot="1">
      <c r="A12" s="873" t="s">
        <v>798</v>
      </c>
      <c r="B12" s="874"/>
      <c r="C12" s="875"/>
      <c r="D12" s="876" t="str">
        <f>IF(ISBLANK(Mapa!$E$17),"",Mapa!$E$17)</f>
        <v/>
      </c>
      <c r="E12" s="877"/>
      <c r="F12" s="877"/>
      <c r="G12" s="877"/>
      <c r="H12" s="877"/>
      <c r="I12" s="877"/>
      <c r="J12" s="878"/>
      <c r="K12" s="2"/>
      <c r="L12" s="2"/>
    </row>
    <row r="13" spans="1:12" s="41" customFormat="1" ht="27" customHeight="1" thickTop="1">
      <c r="A13" s="212">
        <v>2</v>
      </c>
      <c r="B13" s="885" t="str">
        <f>IF(ISBLANK(Mapa!$J$6),"",IF(Mapa!$J$17="x","CANCELADO",IF(Mapa!$J$6="1º",Mapa!$A$6,IF(Mapa!$J$7="1º",Mapa!$A$7,IF(Mapa!$J$8="1º",Mapa!$A$8,IF(Mapa!$J$9="1º",Mapa!$A$9,IF(Mapa!$J$10="1º",Mapa!$A$10,IF(Mapa!$J$11="1º",Mapa!$A$11,IF(Mapa!$J$12="1º",Mapa!$A$12,IF(Mapa!$J$13="1º",Mapa!$A$13,IF(Mapa!$J$14="1º",Mapa!$A$14,IF(Mapa!$J$15="1º",Mapa!$A$15,"DESERTO"))))))))))))</f>
        <v>DESERTO</v>
      </c>
      <c r="C13" s="886"/>
      <c r="D13" s="49" t="str">
        <f>IF(ISBLANK(Mapa!$L$4),"",IF(B13="DESERTO","",IF(Mapa!$J$17="x","",Mapa!$L$4)))</f>
        <v/>
      </c>
      <c r="E13" s="887" t="str">
        <f>IF(ISBLANK(Mapa!$J$6),"",IF(Mapa!$J$17="x","CANCELADO",IF(Mapa!$J$6="2º",Mapa!$A$6,IF(Mapa!$J$7="2º",Mapa!$A$7,IF(Mapa!$J$8="2º",Mapa!$A$8,IF(Mapa!$J$9="2º",Mapa!$A$9,IF(Mapa!$J$10="2º",Mapa!$A$10,IF(Mapa!$J$11="2º",Mapa!$A$11,IF(Mapa!$J$12="2º",Mapa!$A$12,IF(Mapa!$J$13="2º",Mapa!$A$13,IF(Mapa!$J$14="2º",Mapa!$A$14,IF(Mapa!$J$15="2º",Mapa!$A$15,IF(B13="DESERTO","DESERTO","PROPOSTA NÃO APRESENTADA")))))))))))))</f>
        <v>DESERTO</v>
      </c>
      <c r="F13" s="888"/>
      <c r="G13" s="49" t="str">
        <f>IF(ISBLANK(Mapa!$L$4),"",IF(E13="DESERTO","",IF(E13="PROPOSTA NÃO APRESENTADA","",IF(Mapa!$J$17="x","",Mapa!$L$4))))</f>
        <v/>
      </c>
      <c r="H13" s="887" t="str">
        <f>IF(ISBLANK(Mapa!$J$6),"",IF(Mapa!$J$17="x","CANCELADO",IF(Mapa!$J$6="3º",Mapa!$A$6,IF(Mapa!$J$7="3º",Mapa!$A$7,IF(Mapa!$J$8="3º",Mapa!$A$8,IF(Mapa!$J$9="3º",Mapa!$A$9,IF(Mapa!$J$10="3º",Mapa!$A$10,IF(Mapa!$J$11="3º",Mapa!$A$11,IF(Mapa!$J$12="3º",Mapa!$A$12,IF(Mapa!$J$13="3º",Mapa!$A$13,IF(Mapa!$J$14="3º",Mapa!$A$14,IF(Mapa!$J$15="3º",Mapa!$A$15,IF(B13="DESERTO","DESERTO","PROPOSTA NÃO APRESENTADA")))))))))))))</f>
        <v>DESERTO</v>
      </c>
      <c r="I13" s="888"/>
      <c r="J13" s="49" t="str">
        <f>IF(ISBLANK(Mapa!$L$4),"",IF(H13="DESERTO","",IF(H13="PROPOSTA NÃO APRESENTADA","",IF(Mapa!$J$17="x","",Mapa!$L$4))))</f>
        <v/>
      </c>
      <c r="K13" s="40"/>
      <c r="L13" s="40"/>
    </row>
    <row r="14" spans="1:12" s="41" customFormat="1" ht="13.5" thickBot="1">
      <c r="A14" s="213"/>
      <c r="B14" s="39" t="str">
        <f>IF(ISBLANK(Mapa!$J$6),"",IF(Mapa!$J$17="x","",IF(Mapa!$J$6="1º",Mapa!$H$6,IF(Mapa!$J$7="1º",Mapa!$H$7,IF(Mapa!$J$8="1º",Mapa!$H$8,IF(Mapa!$J$9="1º",Mapa!$H$9,IF(Mapa!$J$10="1º",Mapa!$H$10,IF(Mapa!$J$11="1º",Mapa!$H$11,IF(Mapa!$J$12="1º",Mapa!$H$12,IF(Mapa!$J$13="1º",Mapa!$H$13,IF(Mapa!$J$14="1º",Mapa!$H$14,IF(Mapa!$J$15="1º",Mapa!$H$15,""))))))))))))</f>
        <v/>
      </c>
      <c r="C14" s="44" t="str">
        <f>IF(ISBLANK(Mapa!$J$6),"",IF(Mapa!$J$17="x","",IF(Mapa!$J$6="1º",Mapa!$I$6,IF(Mapa!$J$7="1º",Mapa!$I$7,IF(Mapa!$J$8="1º",Mapa!$I$8,IF(Mapa!$J$9="1º",Mapa!$I$9,IF(Mapa!$J$10="1º",Mapa!$I$10,IF(Mapa!$J$11="1º",Mapa!$I$11,IF(Mapa!$J$12="1º",Mapa!$I$12,IF(Mapa!$J$13="1º",Mapa!$I$13,IF(Mapa!$J$14="1º",Mapa!$I$14,IF(Mapa!$J$15="1º",Mapa!$I$15,""))))))))))))</f>
        <v/>
      </c>
      <c r="D14" s="37" t="str">
        <f>IF(ISBLANK(Mapa!$M$4),"",IF(B13="DESERTO","",IF(Mapa!$J$17="x","",Mapa!$M$4)))</f>
        <v/>
      </c>
      <c r="E14" s="39" t="str">
        <f>IF(ISBLANK(Mapa!$J$6),"",IF(Mapa!$J$17="x","",IF(Mapa!$J$6="2º",Mapa!$H$6,IF(Mapa!$J$7="2º",Mapa!$H$7,IF(Mapa!$J$8="2º",Mapa!$H$8,IF(Mapa!$J$9="2º",Mapa!$H$9,IF(Mapa!$J$10="2º",Mapa!$H$10,IF(Mapa!$J$11="2º",Mapa!$H$11,IF(Mapa!$J$12="2º",Mapa!$H$12,IF(Mapa!$J$13="2º",Mapa!$H$13,IF(Mapa!$J$14="2º",Mapa!$H$14,IF(Mapa!$J$15="2º",Mapa!$H$15,""))))))))))))</f>
        <v/>
      </c>
      <c r="F14" s="44" t="str">
        <f>IF(ISBLANK(Mapa!$J$6),"",IF(Mapa!$J$17="x","",IF(Mapa!$J$6="2º",Mapa!$I$6,IF(Mapa!$J$7="2º",Mapa!$I$7,IF(Mapa!$J$8="2º",Mapa!$I$8,IF(Mapa!$J$9="2º",Mapa!$I$9,IF(Mapa!$J$10="2º",Mapa!$I$10,IF(Mapa!$J$11="2º",Mapa!$I$11,IF(Mapa!$J$12="2º",Mapa!$I$12,IF(Mapa!$J$13="2º",Mapa!$I$13,IF(Mapa!$J$14="2º",Mapa!$I$14,IF(Mapa!$J$15="2º",Mapa!$I$15,""))))))))))))</f>
        <v/>
      </c>
      <c r="G14" s="37" t="str">
        <f>IF(ISBLANK(Mapa!$M$4),"",IF(E13="DESERTO","",IF(E13="PROPOSTA NÃO APRESENTADA","",IF(Mapa!$J$17="x","",Mapa!$M$4))))</f>
        <v/>
      </c>
      <c r="H14" s="39" t="str">
        <f>IF(ISBLANK(Mapa!$J$6),"",IF(Mapa!$J$17="x","",IF(Mapa!$J$6="3º",Mapa!$H$6,IF(Mapa!$J$7="3º",Mapa!$H$7,IF(Mapa!$J$8="3º",Mapa!$H$8,IF(Mapa!$J$9="3º",Mapa!$H$9,IF(Mapa!$J$10="3º",Mapa!$H$10,IF(Mapa!$J$11="3º",Mapa!$H$11,IF(Mapa!$J$12="3º",Mapa!$H$12,IF(Mapa!$J$13="3º",Mapa!$H$13,IF(Mapa!$J$14="3º",Mapa!$H$14,IF(Mapa!$J$15="3º",Mapa!$H$15,""))))))))))))</f>
        <v/>
      </c>
      <c r="I14" s="44" t="str">
        <f>IF(ISBLANK(Mapa!$J$6),"",IF(Mapa!$J$17="x","",IF(Mapa!$J$6="3º",Mapa!$I$6,IF(Mapa!$J$7="3º",Mapa!$I$7,IF(Mapa!$J$8="3º",Mapa!$I$8,IF(Mapa!$J$9="3º",Mapa!$I$9,IF(Mapa!$J$10="3º",Mapa!$I$10,IF(Mapa!$J$11="3º",Mapa!$I$11,IF(Mapa!$J$12="3º",Mapa!$I$12,IF(Mapa!$J$13="3º",Mapa!$I$13,IF(Mapa!$J$14="3º",Mapa!$I$14,IF(Mapa!$J$15="3º",Mapa!$I$15,""))))))))))))</f>
        <v/>
      </c>
      <c r="J14" s="37" t="str">
        <f>IF(ISBLANK(Mapa!$M$4),"",IF(H13="DESERTO","",IF(H13="PROPOSTA NÃO APRESENTADA","",IF(Mapa!$J$17="x","",Mapa!$M$4))))</f>
        <v/>
      </c>
      <c r="K14" s="40"/>
      <c r="L14" s="40"/>
    </row>
    <row r="15" spans="1:12" s="7" customFormat="1" ht="16.5" thickTop="1" thickBot="1">
      <c r="A15" s="214" t="e">
        <f>IF(ISBLANK(Mapa!M3),"",Mapa!M3)</f>
        <v>#N/A</v>
      </c>
      <c r="B15" s="32" t="s">
        <v>567</v>
      </c>
      <c r="C15" s="33" t="str">
        <f>IF(ISBLANK(Mapa!$J$6),"",IF(Mapa!$J$17="x","",IF(Mapa!$J$6="1º",Mapa!$K$6,IF(Mapa!$J$7="1º",Mapa!$K$7,IF(Mapa!$J$8="1º",Mapa!$K$8,IF(Mapa!$J$9="1º",Mapa!$K$9,IF(Mapa!$J$10="1º",Mapa!$K$10,IF(Mapa!$J$11="1º",Mapa!$K$11,IF(Mapa!$J$12="1º",Mapa!$K$12,IF(Mapa!$J$13="1º",Mapa!$K$13,IF(Mapa!$J$14="1º",Mapa!$K$14,IF(Mapa!$J$15="1º",Mapa!$K$15,""))))))))))))</f>
        <v/>
      </c>
      <c r="D15" s="50" t="str">
        <f>IF(ISBLANK(Mapa!$J$6),"",IF(Mapa!$J$17="x","",IF(Mapa!$J$6="1º",Mapa!$M$6,IF(Mapa!$J$7="1º",Mapa!$M$7,IF(Mapa!$J$8="1º",Mapa!$M$8,IF(Mapa!$J$9="1º",Mapa!$M$9,IF(Mapa!$J$10="1º",Mapa!$M$10,IF(Mapa!$J$11="1º",Mapa!$M$11,IF(Mapa!$J$12="1º",Mapa!$M$12,IF(Mapa!$J$13="1º",Mapa!$M$13,IF(Mapa!$J$14="1º",Mapa!$M$14,IF(Mapa!$J$15="1º",Mapa!$M$15,""))))))))))))</f>
        <v/>
      </c>
      <c r="E15" s="32" t="s">
        <v>567</v>
      </c>
      <c r="F15" s="33" t="str">
        <f>IF(ISBLANK(Mapa!$J$6),"",IF(Mapa!$J$17="x","",IF(Mapa!$J$6="2º",Mapa!$K$6,IF(Mapa!$J$7="2º",Mapa!$K$7,IF(Mapa!$J$8="2º",Mapa!$K$8,IF(Mapa!$J$9="2º",Mapa!$K$9,IF(Mapa!$J$10="2º",Mapa!$K$10,IF(Mapa!$J$11="2º",Mapa!$K$11,IF(Mapa!$J$12="2º",Mapa!$K$12,IF(Mapa!$J$13="2º",Mapa!$K$13,IF(Mapa!$J$14="2º",Mapa!$K$14,IF(Mapa!$J$15="2º",Mapa!$K$15,""))))))))))))</f>
        <v/>
      </c>
      <c r="G15" s="50" t="str">
        <f>IF(ISBLANK(Mapa!$J$6),"",IF(Mapa!$J$17="x","",IF(Mapa!$J$6="2º",Mapa!$M$6,IF(Mapa!$J$7="2º",Mapa!$M$7,IF(Mapa!$J$8="2º",Mapa!$M$8,IF(Mapa!$J$9="2º",Mapa!$M$9,IF(Mapa!$J$10="2º",Mapa!$M$10,IF(Mapa!$J$11="2º",Mapa!$M$11,IF(Mapa!$J$12="2º",Mapa!$M$12,IF(Mapa!$J$13="2º",Mapa!$M$13,IF(Mapa!$J$14="2º",Mapa!$M$14,IF(Mapa!$J$15="2º",Mapa!$M$15,""))))))))))))</f>
        <v/>
      </c>
      <c r="H15" s="32" t="s">
        <v>567</v>
      </c>
      <c r="I15" s="33" t="str">
        <f>IF(ISBLANK(Mapa!$J$6),"",IF(Mapa!$J$17="x","",IF(Mapa!$J$6="3º",Mapa!$K$6,IF(Mapa!$J$7="3º",Mapa!$K$7,IF(Mapa!$J$8="3º",Mapa!$K$8,IF(Mapa!$J$9="3º",Mapa!$K$9,IF(Mapa!$J$10="3º",Mapa!$K$10,IF(Mapa!$J$11="3º",Mapa!$K$11,IF(Mapa!$J$12="3º",Mapa!$K$12,IF(Mapa!$J$13="3º",Mapa!$K$13,IF(Mapa!$J$14="3º",Mapa!$J$14,IF(Mapa!$J$15="3º",Mapa!$K$15,""))))))))))))</f>
        <v/>
      </c>
      <c r="J15" s="50" t="str">
        <f>IF(ISBLANK(Mapa!$J$6),"",IF(Mapa!$J$17="x","",IF(Mapa!$J$6="3º",Mapa!$M$6,IF(Mapa!$J$7="3º",Mapa!$M$7,IF(Mapa!$J$8="3º",Mapa!$M$8,IF(Mapa!$J$9="3º",Mapa!$M$9,IF(Mapa!$J$10="3º",Mapa!$M$10,IF(Mapa!$J$11="3º",Mapa!$M$11,IF(Mapa!$J$12="3º",Mapa!$M$12,IF(Mapa!$J$13="3º",Mapa!$M$13,IF(Mapa!$J$14="3º",Mapa!$M$14,IF(Mapa!$J$15="3º",Mapa!$M$15,""))))))))))))</f>
        <v/>
      </c>
      <c r="K15" s="22"/>
      <c r="L15" s="22"/>
    </row>
    <row r="16" spans="1:12" s="65" customFormat="1" ht="17.25" customHeight="1" thickTop="1" thickBot="1">
      <c r="A16" s="873" t="s">
        <v>798</v>
      </c>
      <c r="B16" s="874"/>
      <c r="C16" s="875"/>
      <c r="D16" s="876" t="str">
        <f>IF(ISBLANK(Mapa!$K$17),"",Mapa!$K$17)</f>
        <v/>
      </c>
      <c r="E16" s="877"/>
      <c r="F16" s="877"/>
      <c r="G16" s="877"/>
      <c r="H16" s="877"/>
      <c r="I16" s="877"/>
      <c r="J16" s="878"/>
      <c r="K16" s="2"/>
      <c r="L16" s="2"/>
    </row>
    <row r="17" spans="1:12" s="41" customFormat="1" ht="27" customHeight="1" thickTop="1">
      <c r="A17" s="212">
        <v>3</v>
      </c>
      <c r="B17" s="885" t="str">
        <f>IF(ISBLANK(Mapa!$P$6),"",IF(Mapa!$P$17="x","CANCELADO",IF(Mapa!$P$6="1º",Mapa!$A$6,IF(Mapa!$P$7="1º",Mapa!$A$7,IF(Mapa!$P$8="1º",Mapa!$A$8,IF(Mapa!$P$9="1º",Mapa!$A$9,IF(Mapa!$P$10="1º",Mapa!$A$10,IF(Mapa!$P$11="1º",Mapa!$A$11,IF(Mapa!$P$12="1º",Mapa!$A$12,IF(Mapa!$P$13="1º",Mapa!$A$13,IF(Mapa!$P$14="1º",Mapa!$A$14,IF(Mapa!$P$15="1º",Mapa!$A$15,"DESERTO"))))))))))))</f>
        <v>DESERTO</v>
      </c>
      <c r="C17" s="886"/>
      <c r="D17" s="49" t="str">
        <f>IF(ISBLANK(Mapa!$R$4),"",IF(B17="DESERTO","",IF(Mapa!$P$17="x","",Mapa!$R$4)))</f>
        <v/>
      </c>
      <c r="E17" s="887" t="str">
        <f>IF(ISBLANK(Mapa!$P$6),"",IF(Mapa!$P$17="x","CANCELADO",IF(Mapa!$P$6="2º",Mapa!$A$6,IF(Mapa!$P$7="2º",Mapa!$A$7,IF(Mapa!$P$8="2º",Mapa!$A$8,IF(Mapa!$P$9="2º",Mapa!$A$9,IF(Mapa!$P$10="2º",Mapa!$A$10,IF(Mapa!$P$11="2º",Mapa!$A$11,IF(Mapa!$P$12="2º",Mapa!$A$12,IF(Mapa!$P$13="2º",Mapa!$A$13,IF(Mapa!$P$14="2º",Mapa!$A$14,IF(Mapa!$P$15="2º",Mapa!$A$15,IF(B17="DESERTO","DESERTO","PROPOSTA NÃO APRESENTADA")))))))))))))</f>
        <v>DESERTO</v>
      </c>
      <c r="F17" s="888"/>
      <c r="G17" s="49" t="str">
        <f>IF(ISBLANK(Mapa!$R$4),"",IF(E17="DESERTO","",IF(E17="PROPOSTA NÃO APRESENTADA","",IF(Mapa!$P$17="x","",Mapa!$R$4))))</f>
        <v/>
      </c>
      <c r="H17" s="887" t="str">
        <f>IF(ISBLANK(Mapa!$P$6),"",IF(Mapa!$P$17="x","CANCELADO",IF(Mapa!$P$6="3º",Mapa!$A$6,IF(Mapa!$P$7="3º",Mapa!$A$7,IF(Mapa!$P$8="3º",Mapa!$A$8,IF(Mapa!$P$9="3º",Mapa!$A$9,IF(Mapa!$P$10="3º",Mapa!$A$10,IF(Mapa!$P$11="3º",Mapa!$A$11,IF(Mapa!$P$12="3º",Mapa!$A$12,IF(Mapa!$P$13="3º",Mapa!$A$13,IF(Mapa!$P$14="3º",Mapa!$A$14,IF(Mapa!$P$15="3º",Mapa!$A$15,IF(B17="DESERTO","DESERTO","PROPOSTA NÃO APRESENTADA")))))))))))))</f>
        <v>DESERTO</v>
      </c>
      <c r="I17" s="888"/>
      <c r="J17" s="49" t="str">
        <f>IF(ISBLANK(Mapa!$R$4),"",IF(H17="DESERTO","",IF(H17="PROPOSTA NÃO APRESENTADA","",IF(Mapa!$P$17="x","",Mapa!$R$4))))</f>
        <v/>
      </c>
      <c r="K17" s="40"/>
      <c r="L17" s="40"/>
    </row>
    <row r="18" spans="1:12" s="41" customFormat="1" ht="13.5" thickBot="1">
      <c r="A18" s="213"/>
      <c r="B18" s="39" t="str">
        <f>IF(ISBLANK(Mapa!$P$6),"",IF(Mapa!$P$17="x","",IF(Mapa!$P$6="1º",Mapa!$N$6,IF(Mapa!$P$7="1º",Mapa!$N$7,IF(Mapa!$P$8="1º",Mapa!$N$8,IF(Mapa!$P$9="1º",Mapa!$N$9,IF(Mapa!$P$10="1º",Mapa!$N$10,IF(Mapa!$P$11="1º",Mapa!$N$11,IF(Mapa!$P$12="1º",Mapa!$N$12,IF(Mapa!$P$13="1º",Mapa!$N$13,IF(Mapa!$P$14="1º",Mapa!$N$14,IF(Mapa!$P$15="1º",Mapa!$N$15,""))))))))))))</f>
        <v/>
      </c>
      <c r="C18" s="44" t="str">
        <f>IF(ISBLANK(Mapa!$P$6),"",IF(Mapa!$P$17="x","",IF(Mapa!$P$6="1º",Mapa!$O$6,IF(Mapa!$P$7="1º",Mapa!$O$7,IF(Mapa!$P$8="1º",Mapa!$O$8,IF(Mapa!$P$9="1º",Mapa!$O$9,IF(Mapa!$P$10="1º",Mapa!$O$10,IF(Mapa!$P$11="1º",Mapa!$O$11,IF(Mapa!$P$12="1º",Mapa!$O$12,IF(Mapa!$P$13="1º",Mapa!$O$13,IF(Mapa!$P$14="1º",Mapa!$O$14,IF(Mapa!$P$15="1º",Mapa!$O$15,""))))))))))))</f>
        <v/>
      </c>
      <c r="D18" s="37" t="str">
        <f>IF(ISBLANK(Mapa!$S$4),"",IF(B17="DESERTO","",IF(Mapa!$P$17="x","",Mapa!$S$4)))</f>
        <v/>
      </c>
      <c r="E18" s="39" t="str">
        <f>IF(ISBLANK(Mapa!$P$6),"",IF(Mapa!$P$17="x","",IF(Mapa!$P$6="2º",Mapa!$N$6,IF(Mapa!$P$7="2º",Mapa!$N$7,IF(Mapa!$P$8="2º",Mapa!$N$8,IF(Mapa!$P$9="2º",Mapa!$N$9,IF(Mapa!$P$10="2º",Mapa!$N$10,IF(Mapa!$P$11="2º",Mapa!$N$11,IF(Mapa!$P$12="2º",Mapa!$N$12,IF(Mapa!$P$13="2º",Mapa!$N$13,IF(Mapa!$P$14="2º",Mapa!$N$14,IF(Mapa!$P$15="2º",Mapa!$N$15,""))))))))))))</f>
        <v/>
      </c>
      <c r="F18" s="44" t="str">
        <f>IF(ISBLANK(Mapa!$P$6),"",IF(Mapa!$P$17="x","",IF(Mapa!$P$6="2º",Mapa!$O$6,IF(Mapa!$P$7="2º",Mapa!$O$7,IF(Mapa!$P$8="2º",Mapa!$O$8,IF(Mapa!$P$9="2º",Mapa!$O$9,IF(Mapa!$P$10="2º",Mapa!$O$10,IF(Mapa!$P$11="2º",Mapa!$O$11,IF(Mapa!$P$12="2º",Mapa!$O$12,IF(Mapa!$P$13="2º",Mapa!$O$13,IF(Mapa!$P$14="2º",Mapa!$O$14,IF(Mapa!$P$15="2º",Mapa!$O$15,""))))))))))))</f>
        <v/>
      </c>
      <c r="G18" s="37" t="str">
        <f>IF(ISBLANK(Mapa!$S$4),"",IF(E17="DESERTO","",IF(E17="PROPOSTA NÃO APRESENTADA","",IF(Mapa!$P$17="x","",Mapa!$S$4))))</f>
        <v/>
      </c>
      <c r="H18" s="39" t="str">
        <f>IF(ISBLANK(Mapa!$P$6),"",IF(Mapa!$P$17="x","",IF(Mapa!$P$6="3º",Mapa!$N$6,IF(Mapa!$P$7="3º",Mapa!$N$7,IF(Mapa!$P$8="3º",Mapa!$N$8,IF(Mapa!$P$9="3º",Mapa!$N$9,IF(Mapa!$P$10="3º",Mapa!$N$10,IF(Mapa!$P$11="3º",Mapa!$N$11,IF(Mapa!$P$12="3º",Mapa!$N$12,IF(Mapa!$P$13="3º",Mapa!$N$13,IF(Mapa!$P$14="3º",Mapa!$N$14,IF(Mapa!$P$15="3º",Mapa!$N$15,""))))))))))))</f>
        <v/>
      </c>
      <c r="I18" s="44" t="str">
        <f>IF(ISBLANK(Mapa!$P$6),"",IF(Mapa!$P$17="x","",IF(Mapa!$P$6="3º",Mapa!$O$6,IF(Mapa!$P$7="3º",Mapa!$O$7,IF(Mapa!$P$8="3º",Mapa!$O$8,IF(Mapa!$P$9="3º",Mapa!$O$9,IF(Mapa!$P$10="3º",Mapa!$O$10,IF(Mapa!$P$11="3º",Mapa!$O$11,IF(Mapa!$P$12="3º",Mapa!$O$12,IF(Mapa!$P$13="3º",Mapa!$O$13,IF(Mapa!$P$14="3º",Mapa!$O$14,IF(Mapa!$P$15="3º",Mapa!$O$15,""))))))))))))</f>
        <v/>
      </c>
      <c r="J18" s="37" t="str">
        <f>IF(ISBLANK(Mapa!$S$4),"",IF(H17="DESERTO","",IF(H17="PROPOSTA NÃO APRESENTADA","",IF(Mapa!$P$17="x","",Mapa!$S$4))))</f>
        <v/>
      </c>
      <c r="K18" s="40"/>
      <c r="L18" s="40"/>
    </row>
    <row r="19" spans="1:12" s="7" customFormat="1" ht="16.5" thickTop="1" thickBot="1">
      <c r="A19" s="214" t="e">
        <f>IF(ISBLANK(Mapa!S3),"",Mapa!S3)</f>
        <v>#N/A</v>
      </c>
      <c r="B19" s="32" t="s">
        <v>567</v>
      </c>
      <c r="C19" s="33" t="str">
        <f>IF(ISBLANK(Mapa!$P$6),"",IF(Mapa!$P$17="x","",IF(Mapa!$P$6="1º",Mapa!$Q$6,IF(Mapa!$P$7="1º",Mapa!$Q$7,IF(Mapa!$P$8="1º",Mapa!$Q$8,IF(Mapa!$P$9="1º",Mapa!$Q$9,IF(Mapa!$P$10="1º",Mapa!$Q$10,IF(Mapa!$P$11="1º",Mapa!$Q$11,IF(Mapa!$P$12="1º",Mapa!$Q$12,IF(Mapa!$P$13="1º",Mapa!$Q$13,IF(Mapa!$P$14="1º",Mapa!$Q$14,IF(Mapa!$P$15="1º",Mapa!$Q$15,""))))))))))))</f>
        <v/>
      </c>
      <c r="D19" s="50" t="str">
        <f>IF(ISBLANK(Mapa!$P$6),"",IF(Mapa!$P$17="x","",IF(Mapa!$P$6="1º",Mapa!$S$6,IF(Mapa!$P$7="1º",Mapa!$S$7,IF(Mapa!$P$8="1º",Mapa!$S$8,IF(Mapa!$P$9="1º",Mapa!$S$9,IF(Mapa!$P$10="1º",Mapa!$S$10,IF(Mapa!$P$11="1º",Mapa!$S$11,IF(Mapa!$P$12="1º",Mapa!$S$12,IF(Mapa!$P$13="1º",Mapa!$S$13,IF(Mapa!$P$14="1º",Mapa!$S$14,IF(Mapa!$P$15="1º",Mapa!$S$15,""))))))))))))</f>
        <v/>
      </c>
      <c r="E19" s="32" t="s">
        <v>567</v>
      </c>
      <c r="F19" s="33" t="str">
        <f>IF(ISBLANK(Mapa!$P$6),"",IF(Mapa!$P$17="x","",IF(Mapa!$P$6="2º",Mapa!$Q$6,IF(Mapa!$P$7="2º",Mapa!$Q$7,IF(Mapa!$P$8="2º",Mapa!$Q$8,IF(Mapa!$P$9="2º",Mapa!$Q$9,IF(Mapa!$P$10="2º",Mapa!$Q$10,IF(Mapa!$P$11="2º",Mapa!$Q$11,IF(Mapa!$P$12="2º",Mapa!$Q$12,IF(Mapa!$P$13="2º",Mapa!$Q$13,IF(Mapa!$P$14="2º",Mapa!$Q$14,IF(Mapa!$P$15="2º",Mapa!$Q$15,""))))))))))))</f>
        <v/>
      </c>
      <c r="G19" s="50" t="str">
        <f>IF(ISBLANK(Mapa!$P$6),"",IF(Mapa!$P$17="x","",IF(Mapa!$P$6="2º",Mapa!$S$6,IF(Mapa!$P$7="2º",Mapa!$S$7,IF(Mapa!$P$8="2º",Mapa!$S$8,IF(Mapa!$P$9="2º",Mapa!$S$9,IF(Mapa!$P$10="2º",Mapa!$S$10,IF(Mapa!$P$11="2º",Mapa!$S$11,IF(Mapa!$P$12="2º",Mapa!$S$12,IF(Mapa!$P$13="2º",Mapa!$S$13,IF(Mapa!$P$14="2º",Mapa!$S$14,IF(Mapa!$P$15="2º",Mapa!$S$15,""))))))))))))</f>
        <v/>
      </c>
      <c r="H19" s="32" t="s">
        <v>567</v>
      </c>
      <c r="I19" s="33" t="str">
        <f>IF(ISBLANK(Mapa!$P$6),"",IF(Mapa!$P$17="x","",IF(Mapa!$P$6="3º",Mapa!$Q$6,IF(Mapa!$P$7="3º",Mapa!$Q$7,IF(Mapa!$P$8="3º",Mapa!$Q$8,IF(Mapa!$P$9="3º",Mapa!$Q$9,IF(Mapa!$P$10="3º",Mapa!$Q$10,IF(Mapa!$P$11="3º",Mapa!$Q$11,IF(Mapa!$P$12="3º",Mapa!$Q$12,IF(Mapa!$P$13="3º",Mapa!$Q$13,IF(Mapa!$P$14="3º",Mapa!$Q$14,IF(Mapa!$P$15="3º",Mapa!$Q$15,""))))))))))))</f>
        <v/>
      </c>
      <c r="J19" s="50" t="str">
        <f>IF(ISBLANK(Mapa!$P$6),"",IF(Mapa!$P$17="x","",IF(Mapa!$P$6="3º",Mapa!$S$6,IF(Mapa!$P$7="3º",Mapa!$S$7,IF(Mapa!$P$8="3º",Mapa!$S$8,IF(Mapa!$P$9="3º",Mapa!$S$9,IF(Mapa!$P$10="3º",Mapa!$S$10,IF(Mapa!$P$11="3º",Mapa!$S$11,IF(Mapa!$P$12="3º",Mapa!$S$12,IF(Mapa!$P$13="3º",Mapa!$S$13,IF(Mapa!$P$14="3º",Mapa!$S$14,IF(Mapa!$P$15="3º",Mapa!$S$15,""))))))))))))</f>
        <v/>
      </c>
      <c r="K19" s="22"/>
      <c r="L19" s="22"/>
    </row>
    <row r="20" spans="1:12" s="65" customFormat="1" ht="17.25" customHeight="1" thickTop="1" thickBot="1">
      <c r="A20" s="873" t="s">
        <v>798</v>
      </c>
      <c r="B20" s="874"/>
      <c r="C20" s="875"/>
      <c r="D20" s="876" t="str">
        <f>IF(ISBLANK(Mapa!$Q$17),"",Mapa!$Q$17)</f>
        <v/>
      </c>
      <c r="E20" s="877"/>
      <c r="F20" s="877"/>
      <c r="G20" s="877"/>
      <c r="H20" s="877"/>
      <c r="I20" s="877"/>
      <c r="J20" s="878"/>
      <c r="K20" s="2"/>
      <c r="L20" s="2"/>
    </row>
    <row r="21" spans="1:12" s="41" customFormat="1" ht="27" customHeight="1" thickTop="1">
      <c r="A21" s="212">
        <v>4</v>
      </c>
      <c r="B21" s="885" t="str">
        <f>IF(ISBLANK(Mapa!$D$23),"",IF(Mapa!$D$34="x","CANCELADO",IF(Mapa!$D$23="1º",Mapa!$A$23,IF(Mapa!$D$24="1º",Mapa!$A$24,IF(Mapa!$D$25="1º",Mapa!$A$25,IF(Mapa!$D$26="1º",Mapa!$A$26,IF(Mapa!$D$27="1º",Mapa!$A$27,IF(Mapa!$D$28="1º",Mapa!$A$28,IF(Mapa!$D$29="1º",Mapa!$A$29,IF(Mapa!$D$30="1º",Mapa!$A$30,IF(Mapa!$D$31="1º",Mapa!$A$31,IF(Mapa!$D$32="1º",Mapa!$A$32,"DESERTO"))))))))))))</f>
        <v>DESERTO</v>
      </c>
      <c r="C21" s="886"/>
      <c r="D21" s="49" t="str">
        <f>IF(ISBLANK(Mapa!$F$21),"",IF(B21="DESERTO","",IF(Mapa!$D$34="x","",Mapa!$F$21)))</f>
        <v/>
      </c>
      <c r="E21" s="887" t="str">
        <f>IF(ISBLANK(Mapa!$D$23),"",IF(Mapa!$D$34="x","CANCELADO",IF(Mapa!$D$23="2º",Mapa!$A$23,IF(Mapa!$D$24="2º",Mapa!$A$24,IF(Mapa!$D$25="2º",Mapa!$A$25,IF(Mapa!$D$26="2º",Mapa!$A$26,IF(Mapa!$D$27="2º",Mapa!$A$27,IF(Mapa!$D$28="2º",Mapa!$A$28,IF(Mapa!$D$29="2º",Mapa!$A$29,IF(Mapa!$D$30="2º",Mapa!$A$30,IF(Mapa!$D$31="2º",Mapa!$A$31,IF(Mapa!$D$32="2º",Mapa!$A$32,IF(B21="DESERTO","DESERTO","PROPOSTA NÃO APRESENTADA")))))))))))))</f>
        <v>DESERTO</v>
      </c>
      <c r="F21" s="888"/>
      <c r="G21" s="49" t="str">
        <f>IF(ISBLANK(Mapa!$F$21),"",IF(E21="DESERTO","",IF(E21="PROPOSTA NÃO APRESENTADA","",IF(Mapa!$D$34="x","",Mapa!$F$21))))</f>
        <v/>
      </c>
      <c r="H21" s="887" t="str">
        <f>IF(ISBLANK(Mapa!$D$23),"",IF(Mapa!$D$34="x","CANCELADO",IF(Mapa!$D$23="3º",Mapa!$A$23,IF(Mapa!$D$24="3º",Mapa!$A$24,IF(Mapa!$D$25="3º",Mapa!$A$25,IF(Mapa!$D$26="3º",Mapa!$A$26,IF(Mapa!$D$27="3º",Mapa!$A$27,IF(Mapa!$D$28="3º",Mapa!$A$28,IF(Mapa!$D$29="3º",Mapa!$A$29,IF(Mapa!$D$30="3º",Mapa!$A$30,IF(Mapa!$D$31="3º",Mapa!$A$31,IF(Mapa!$D$32="3º",Mapa!$A$32,IF(B21="DESERTO","DESERTO","PROPOSTA NÃO APRESENTADA")))))))))))))</f>
        <v>DESERTO</v>
      </c>
      <c r="I21" s="888"/>
      <c r="J21" s="49" t="str">
        <f>IF(ISBLANK(Mapa!$F$21),"",IF(H21="DESERTO","",IF(H21="PROPOSTA NÃO APRESENTADA","",IF(Mapa!$D$34="x","",Mapa!$F$21))))</f>
        <v/>
      </c>
      <c r="K21" s="40"/>
      <c r="L21" s="40"/>
    </row>
    <row r="22" spans="1:12" s="41" customFormat="1" ht="13.5" thickBot="1">
      <c r="A22" s="213"/>
      <c r="B22" s="39" t="str">
        <f>IF(ISBLANK(Mapa!$D$23),"",IF(Mapa!$D$34="x","",IF(Mapa!$D$23="1º",Mapa!$B$23,IF(Mapa!$D$24="1º",Mapa!$B$24,IF(Mapa!$D$25="1º",Mapa!$B$25,IF(Mapa!$D$26="1º",Mapa!$B$26,IF(Mapa!$D$27="1º",Mapa!$B$27,IF(Mapa!$D$28="1º",Mapa!$B$28,IF(Mapa!$D$29="1º",Mapa!$B$29,IF(Mapa!$D$30="1º",Mapa!$B$30,IF(Mapa!$D$31="1º",Mapa!$B$31,IF(Mapa!$D$32="1º",Mapa!$B$32,""))))))))))))</f>
        <v/>
      </c>
      <c r="C22" s="44" t="str">
        <f>IF(ISBLANK(Mapa!$D$23),"",IF(Mapa!$D$34="x","",IF(Mapa!$D$23="1º",Mapa!$C$23,IF(Mapa!$D$24="1º",Mapa!$C$24,IF(Mapa!$D$25="1º",Mapa!$C$25,IF(Mapa!$D$26="1º",Mapa!$C$26,IF(Mapa!$D$27="1º",Mapa!$C$27,IF(Mapa!$D$28="1º",Mapa!$C$28,IF(Mapa!$D$29="1º",Mapa!$C$29,IF(Mapa!$D$30="1º",Mapa!$C$30,IF(Mapa!$D$31="1º",Mapa!$C$31,IF(Mapa!$D$32="1º",Mapa!$C$32,""))))))))))))</f>
        <v/>
      </c>
      <c r="D22" s="37" t="str">
        <f>IF(ISBLANK(Mapa!$G$21),"",IF(B21="DESERTO","",IF(Mapa!$D$34="x","",Mapa!$G$21)))</f>
        <v/>
      </c>
      <c r="E22" s="39" t="str">
        <f>IF(ISBLANK(Mapa!$D$23),"",IF(Mapa!$D$34="x","",IF(Mapa!$D$23="2º",Mapa!$B$23,IF(Mapa!$D$24="2º",Mapa!$B$24,IF(Mapa!$D$25="2º",Mapa!$B$25,IF(Mapa!$D$26="2º",Mapa!$B$26,IF(Mapa!$D$27="2º",Mapa!$B$27,IF(Mapa!$D$28="2º",Mapa!$B$28,IF(Mapa!$D$29="2º",Mapa!$B$29,IF(Mapa!$D$30="2º",Mapa!$B$30,IF(Mapa!$D$31="2º",Mapa!$B$31,IF(Mapa!$D$32="2º",Mapa!$B$32,""))))))))))))</f>
        <v/>
      </c>
      <c r="F22" s="44" t="str">
        <f>IF(ISBLANK(Mapa!$D$23),"",IF(Mapa!$D$34="x","",IF(Mapa!$D$23="2º",Mapa!$C$23,IF(Mapa!$D$24="2º",Mapa!$C$24,IF(Mapa!$D$25="2º",Mapa!$C$25,IF(Mapa!$D$26="2º",Mapa!$C$26,IF(Mapa!$D$27="2º",Mapa!$C$27,IF(Mapa!$D$28="2º",Mapa!$C$28,IF(Mapa!$D$29="2º",Mapa!$C$29,IF(Mapa!$D$30="2º",Mapa!$C$30,IF(Mapa!$D$31="2º",Mapa!$C$31,IF(Mapa!$D$32="2º",Mapa!$C$32,""))))))))))))</f>
        <v/>
      </c>
      <c r="G22" s="37" t="str">
        <f>IF(ISBLANK(Mapa!$G$21),"",IF(E21="DESERTO","",IF(E21="PROPOSTA NÃO APRESENTADA","",IF(Mapa!$D$34="x","",Mapa!$G$21))))</f>
        <v/>
      </c>
      <c r="H22" s="39" t="str">
        <f>IF(ISBLANK(Mapa!$D$23),"",IF(Mapa!$D$34="x","",IF(Mapa!$D$23="3º",Mapa!$B$23,IF(Mapa!$D$24="3º",Mapa!$B$24,IF(Mapa!$D$25="3º",Mapa!$B$25,IF(Mapa!$D$26="3º",Mapa!$B$26,IF(Mapa!$D$27="3º",Mapa!$B$27,IF(Mapa!$D$28="3º",Mapa!$B$28,IF(Mapa!$D$29="3º",Mapa!$B$29,IF(Mapa!$D$30="3º",Mapa!$B$30,IF(Mapa!$D$31="3º",Mapa!$B$31,IF(Mapa!$D$32="3º",Mapa!$B$32,""))))))))))))</f>
        <v/>
      </c>
      <c r="I22" s="44" t="str">
        <f>IF(ISBLANK(Mapa!$D$23),"",IF(Mapa!$D$34="x","",IF(Mapa!$D$23="3º",Mapa!$C$23,IF(Mapa!$D$24="3º",Mapa!$C$24,IF(Mapa!$D$25="3º",Mapa!$C$25,IF(Mapa!$D$26="3º",Mapa!$C$26,IF(Mapa!$D$27="3º",Mapa!$C$27,IF(Mapa!$D$28="3º",Mapa!$C$28,IF(Mapa!$D$29="3º",Mapa!$C$29,IF(Mapa!$D$30="3º",Mapa!$C$30,IF(Mapa!$D$31="3º",Mapa!$C$31,IF(Mapa!$D$32="3º",Mapa!$C$32,""))))))))))))</f>
        <v/>
      </c>
      <c r="J22" s="37" t="str">
        <f>IF(ISBLANK(Mapa!$G$21),"",IF(H21="DESERTO","",IF(H21="PROPOSTA NÃO APRESENTADA","",IF(Mapa!$D$34="x","",Mapa!$G$21))))</f>
        <v/>
      </c>
      <c r="K22" s="40"/>
      <c r="L22" s="40"/>
    </row>
    <row r="23" spans="1:12" s="7" customFormat="1" ht="16.5" thickTop="1" thickBot="1">
      <c r="A23" s="214" t="e">
        <f>IF(ISBLANK(Mapa!G20),"",Mapa!G20)</f>
        <v>#N/A</v>
      </c>
      <c r="B23" s="32" t="s">
        <v>567</v>
      </c>
      <c r="C23" s="33" t="str">
        <f>IF(ISBLANK(Mapa!$D$23),"",IF(Mapa!$D$34="x","",IF(Mapa!$D$23="1º",Mapa!$E$23,IF(Mapa!$D$24="1º",Mapa!$E$24,IF(Mapa!$D$25="1º",Mapa!$E$25,IF(Mapa!$D$26="1º",Mapa!$E$26,IF(Mapa!$D$27="1º",Mapa!$E$27,IF(Mapa!$D$28="1º",Mapa!$E$28,IF(Mapa!$D$29="1º",Mapa!$E$29,IF(Mapa!$D$30="1º",Mapa!$E$30,IF(Mapa!$D$31="1º",Mapa!$E$31,IF(Mapa!$D$32="1º",Mapa!$E$32,""))))))))))))</f>
        <v/>
      </c>
      <c r="D23" s="50" t="str">
        <f>IF(ISBLANK(Mapa!$D$23),"",IF(Mapa!$D$34="x","",IF(Mapa!$D$23="1º",Mapa!$G$23,IF(Mapa!$D$24="1º",Mapa!$G$24,IF(Mapa!$D$25="1º",Mapa!$G$25,IF(Mapa!$D$26="1º",Mapa!$G$26,IF(Mapa!$D$27="1º",Mapa!$G$27,IF(Mapa!$D$28="1º",Mapa!$G$28,IF(Mapa!$D$29="1º",Mapa!$G$29,IF(Mapa!$D$30="1º",Mapa!$G$30,IF(Mapa!$D$31="1º",Mapa!$G$31,IF(Mapa!$D$32="1º",Mapa!$G$32,""))))))))))))</f>
        <v/>
      </c>
      <c r="E23" s="32" t="s">
        <v>567</v>
      </c>
      <c r="F23" s="33" t="str">
        <f>IF(ISBLANK(Mapa!$D$23),"",IF(Mapa!$D$34="x","",IF(Mapa!$D$23="2º",Mapa!$E$23,IF(Mapa!$D$24="2º",Mapa!$E$24,IF(Mapa!$D$25="2º",Mapa!$E$25,IF(Mapa!$D$26="2º",Mapa!$E$26,IF(Mapa!$D$27="2º",Mapa!$E$27,IF(Mapa!$D$28="2º",Mapa!$E$28,IF(Mapa!$D$29="2º",Mapa!$E$29,IF(Mapa!$D$30="2º",Mapa!$E$30,IF(Mapa!$D$31="2º",Mapa!$E$31,IF(Mapa!$D$32="2º",Mapa!$E$32,""))))))))))))</f>
        <v/>
      </c>
      <c r="G23" s="50" t="str">
        <f>IF(ISBLANK(Mapa!$D$23),"",IF(Mapa!$D$34="x","",IF(Mapa!$D$23="2º",Mapa!$G$23,IF(Mapa!$D$24="2º",Mapa!$G$24,IF(Mapa!$D$25="2º",Mapa!$G$25,IF(Mapa!$D$26="2º",Mapa!$G$26,IF(Mapa!$D$27="2º",Mapa!$G$27,IF(Mapa!$D$28="2º",Mapa!$G$28,IF(Mapa!$D$29="2º",Mapa!$G$29,IF(Mapa!$D$30="2º",Mapa!$G$30,IF(Mapa!$D$31="2º",Mapa!$G$31,IF(Mapa!$D$32="2º",Mapa!$G$32,""))))))))))))</f>
        <v/>
      </c>
      <c r="H23" s="32" t="s">
        <v>567</v>
      </c>
      <c r="I23" s="33" t="str">
        <f>IF(ISBLANK(Mapa!$D$23),"",IF(Mapa!$D$34="x","",IF(Mapa!$D$23="3º",Mapa!$E$23,IF(Mapa!$D$24="3º",Mapa!$E$24,IF(Mapa!$D$25="3º",Mapa!$E$25,IF(Mapa!$D$26="3º",Mapa!$E$26,IF(Mapa!$D$27="3º",Mapa!$E$27,IF(Mapa!$D$28="3º",Mapa!$E$28,IF(Mapa!$D$29="3º",Mapa!$E$29,IF(Mapa!$D$30="3º",Mapa!$E$30,IF(Mapa!$D$31="3º",Mapa!$E$31,IF(Mapa!$D$32="3º",Mapa!$E$32,""))))))))))))</f>
        <v/>
      </c>
      <c r="J23" s="50" t="str">
        <f>IF(ISBLANK(Mapa!$D$23),"",IF(Mapa!$D$34="x","",IF(Mapa!$D$23="3º",Mapa!$G$23,IF(Mapa!$D$24="3º",Mapa!$G$24,IF(Mapa!$D$25="3º",Mapa!$G$25,IF(Mapa!$D$26="3º",Mapa!$G$26,IF(Mapa!$D$27="3º",Mapa!$G$27,IF(Mapa!$D$28="3º",Mapa!$G$28,IF(Mapa!$D$29="3º",Mapa!$G$29,IF(Mapa!$D$30="3º",Mapa!$G$30,IF(Mapa!$D$31="3º",Mapa!$G$31,IF(Mapa!$D$32="3º",Mapa!$G$32,""))))))))))))</f>
        <v/>
      </c>
      <c r="K23" s="22"/>
      <c r="L23" s="22"/>
    </row>
    <row r="24" spans="1:12" s="65" customFormat="1" ht="17.25" customHeight="1" thickTop="1" thickBot="1">
      <c r="A24" s="873" t="s">
        <v>798</v>
      </c>
      <c r="B24" s="874"/>
      <c r="C24" s="875"/>
      <c r="D24" s="876" t="str">
        <f>IF(ISBLANK(Mapa!$E$34),"",Mapa!$E$34)</f>
        <v/>
      </c>
      <c r="E24" s="877"/>
      <c r="F24" s="877"/>
      <c r="G24" s="877"/>
      <c r="H24" s="877"/>
      <c r="I24" s="877"/>
      <c r="J24" s="878"/>
      <c r="K24" s="2"/>
      <c r="L24" s="2"/>
    </row>
    <row r="25" spans="1:12" s="41" customFormat="1" ht="27" customHeight="1" thickTop="1">
      <c r="A25" s="212">
        <v>5</v>
      </c>
      <c r="B25" s="885" t="str">
        <f>IF(ISBLANK(Mapa!$J$23),"",IF(Mapa!$J$34="x","CANCELADO",IF(Mapa!$J$23="1º",Mapa!$A$23,IF(Mapa!$J$24="1º",Mapa!$A$24,IF(Mapa!$J$25="1º",Mapa!$A$25,IF(Mapa!$J$26="1º",Mapa!$A$26,IF(Mapa!$J$27="1º",Mapa!$A$27,IF(Mapa!$J$28="1º",Mapa!$A$28,IF(Mapa!$J$29="1º",Mapa!$A$29,IF(Mapa!$J$30="1º",Mapa!$A$30,IF(Mapa!$J$31="1º",Mapa!$A$31,IF(Mapa!$J$32="1º",Mapa!$A$32,"DESERTO"))))))))))))</f>
        <v>DESERTO</v>
      </c>
      <c r="C25" s="886"/>
      <c r="D25" s="49" t="str">
        <f>IF(ISBLANK(Mapa!$L$21),"",IF(B25="DESERTO","",IF(Mapa!$J$34="x","",Mapa!$L$21)))</f>
        <v/>
      </c>
      <c r="E25" s="887" t="str">
        <f>IF(ISBLANK(Mapa!$J$23),"",IF(Mapa!$J$34="x","CANCELADO",IF(Mapa!$J$23="2º",Mapa!$A$23,IF(Mapa!$J$24="2º",Mapa!$A$24,IF(Mapa!$J$25="2º",Mapa!$A$25,IF(Mapa!$J$26="2º",Mapa!$A$26,IF(Mapa!$J$27="2º",Mapa!$A$27,IF(Mapa!$J$28="2º",Mapa!$A$28,IF(Mapa!$J$29="2º",Mapa!$A$29,IF(Mapa!$J$30="2º",Mapa!$A$30,IF(Mapa!$J$31="2º",Mapa!$A$31,IF(Mapa!$J$32="2º",Mapa!$A$32,IF(B25="DESERTO","DESERTO","PROPOSTA NÃO APRESENTADA")))))))))))))</f>
        <v>DESERTO</v>
      </c>
      <c r="F25" s="888"/>
      <c r="G25" s="49" t="str">
        <f>IF(ISBLANK(Mapa!$L$21),"",IF(E25="DESERTO","",IF(E25="PROPOSTA NÃO APRESENTADA","",IF(Mapa!$J$34="x","",Mapa!$L$21))))</f>
        <v/>
      </c>
      <c r="H25" s="887" t="str">
        <f>IF(ISBLANK(Mapa!$J$23),"",IF(Mapa!$J$34="x","CANCELADO",IF(Mapa!$J$23="3º",Mapa!$A$23,IF(Mapa!$J$24="3º",Mapa!$A$24,IF(Mapa!$J$25="3º",Mapa!$A$25,IF(Mapa!$J$26="3º",Mapa!$A$26,IF(Mapa!$J$27="3º",Mapa!$A$27,IF(Mapa!$J$28="3º",Mapa!$A$28,IF(Mapa!$J$29="3º",Mapa!$A$29,IF(Mapa!$J$30="3º",Mapa!$A$30,IF(Mapa!$J$31="3º",Mapa!$A$31,IF(Mapa!$J$32="3º",Mapa!$A$32,IF(B25="DESERTO","DESERTO","PROPOSTA NÃO APRESENTADA")))))))))))))</f>
        <v>DESERTO</v>
      </c>
      <c r="I25" s="888"/>
      <c r="J25" s="49" t="str">
        <f>IF(ISBLANK(Mapa!$L$21),"",IF(H25="DESERTO","",IF(H25="PROPOSTA NÃO APRESENTADA","",IF(Mapa!$J$34="x","",Mapa!$L$21))))</f>
        <v/>
      </c>
      <c r="K25" s="40"/>
      <c r="L25" s="40"/>
    </row>
    <row r="26" spans="1:12" s="41" customFormat="1" ht="13.5" thickBot="1">
      <c r="A26" s="213"/>
      <c r="B26" s="39" t="str">
        <f>IF(ISBLANK(Mapa!$J$23),"",IF(Mapa!$J$34="x","",IF(Mapa!$J$23="1º",Mapa!$H$23,IF(Mapa!$J$24="1º",Mapa!$H$24,IF(Mapa!$J$25="1º",Mapa!$H$25,IF(Mapa!$J$26="1º",Mapa!$H$26,IF(Mapa!$J$27="1º",Mapa!$H$27,IF(Mapa!$J$28="1º",Mapa!$H$28,IF(Mapa!$J$29="1º",Mapa!$H$29,IF(Mapa!$J$30="1º",Mapa!$H$30,IF(Mapa!$J$31="1º",Mapa!$H$31,IF(Mapa!$J$32="1º",Mapa!$H$32,""))))))))))))</f>
        <v/>
      </c>
      <c r="C26" s="44" t="str">
        <f>IF(ISBLANK(Mapa!$J$23),"",IF(Mapa!$J$34="x","",IF(Mapa!$J$23="1º",Mapa!$I$23,IF(Mapa!$J$24="1º",Mapa!$I$24,IF(Mapa!$J$25="1º",Mapa!$I$25,IF(Mapa!$J$26="1º",Mapa!$I$26,IF(Mapa!$J$27="1º",Mapa!$I$27,IF(Mapa!$J$28="1º",Mapa!$I$28,IF(Mapa!$J$29="1º",Mapa!$I$29,IF(Mapa!$J$30="1º",Mapa!$I$30,IF(Mapa!$J$31="1º",Mapa!$I$31,IF(Mapa!$J$32="1º",Mapa!$I$32,""))))))))))))</f>
        <v/>
      </c>
      <c r="D26" s="37" t="str">
        <f>IF(ISBLANK(Mapa!$M$21),"",IF(B25="DESERTO","",IF(Mapa!$J$34="x","",Mapa!$M$21)))</f>
        <v/>
      </c>
      <c r="E26" s="39" t="str">
        <f>IF(ISBLANK(Mapa!$J$23),"",IF(Mapa!$J$34="x","",IF(Mapa!$J$23="2º",Mapa!$H$23,IF(Mapa!$J$24="2º",Mapa!$H$24,IF(Mapa!$J$25="2º",Mapa!$H$25,IF(Mapa!$J$26="2º",Mapa!$H$26,IF(Mapa!$J$27="2º",Mapa!$H$27,IF(Mapa!$J$28="2º",Mapa!$H$28,IF(Mapa!$J$29="2º",Mapa!$H$29,IF(Mapa!$J$30="2º",Mapa!$H$30,IF(Mapa!$J$31="2º",Mapa!$H$31,IF(Mapa!$J$32="2º",Mapa!$H$32,""))))))))))))</f>
        <v/>
      </c>
      <c r="F26" s="44" t="str">
        <f>IF(ISBLANK(Mapa!$J$23),"",IF(Mapa!$J$34="x","",IF(Mapa!$J$23="2º",Mapa!$I$23,IF(Mapa!$J$24="2º",Mapa!$I$24,IF(Mapa!$J$25="2º",Mapa!$I$25,IF(Mapa!$J$26="2º",Mapa!$I$26,IF(Mapa!$J$27="2º",Mapa!$I$27,IF(Mapa!$J$28="2º",Mapa!$I$28,IF(Mapa!$J$29="2º",Mapa!$I$29,IF(Mapa!$J$30="2º",Mapa!$I$30,IF(Mapa!$J$31="2º",Mapa!$I$31,IF(Mapa!$J$32="2º",Mapa!$I$32,""))))))))))))</f>
        <v/>
      </c>
      <c r="G26" s="37" t="str">
        <f>IF(ISBLANK(Mapa!$M$21),"",IF(E25="DESERTO","",IF(E25="PROPOSTA NÃO APRESENTADA","",IF(Mapa!$J$34="x","",Mapa!$M$21))))</f>
        <v/>
      </c>
      <c r="H26" s="39" t="str">
        <f>IF(ISBLANK(Mapa!$J$23),"",IF(Mapa!$J$34="x","",IF(Mapa!$J$23="3º",Mapa!$H$23,IF(Mapa!$J$24="3º",Mapa!$H$24,IF(Mapa!$J$25="3º",Mapa!$H$25,IF(Mapa!$J$26="3º",Mapa!$H$26,IF(Mapa!$J$27="3º",Mapa!$H$27,IF(Mapa!$J$28="3º",Mapa!$H$28,IF(Mapa!$J$29="3º",Mapa!$H$29,IF(Mapa!$J$30="3º",Mapa!$H$30,IF(Mapa!$J$31="3º",Mapa!$H$31,IF(Mapa!$J$32="3º",Mapa!$H$32,""))))))))))))</f>
        <v/>
      </c>
      <c r="I26" s="44" t="str">
        <f>IF(ISBLANK(Mapa!$J$23),"",IF(Mapa!$J$34="x","",IF(Mapa!$J$23="3º",Mapa!$I$23,IF(Mapa!$J$24="3º",Mapa!$I$24,IF(Mapa!$J$25="3º",Mapa!$I$25,IF(Mapa!$J$26="3º",Mapa!$I$26,IF(Mapa!$J$27="3º",Mapa!$I$27,IF(Mapa!$J$28="3º",Mapa!$I$28,IF(Mapa!$J$29="3º",Mapa!$I$29,IF(Mapa!$J$30="3º",Mapa!$I$30,IF(Mapa!$J$31="3º",Mapa!$I$31,IF(Mapa!$J$32="3º",Mapa!$I$32,""))))))))))))</f>
        <v/>
      </c>
      <c r="J26" s="37" t="str">
        <f>IF(ISBLANK(Mapa!$M$21),"",IF(H25="DESERTO","",IF(H25="PROPOSTA NÃO APRESENTADA","",IF(Mapa!$J$34="x","",Mapa!$M$21))))</f>
        <v/>
      </c>
      <c r="K26" s="40"/>
      <c r="L26" s="40"/>
    </row>
    <row r="27" spans="1:12" s="7" customFormat="1" ht="16.5" thickTop="1" thickBot="1">
      <c r="A27" s="214" t="e">
        <f>IF(ISBLANK(Mapa!M20),"",Mapa!M20)</f>
        <v>#N/A</v>
      </c>
      <c r="B27" s="32" t="s">
        <v>567</v>
      </c>
      <c r="C27" s="33" t="str">
        <f>IF(ISBLANK(Mapa!$J$23),"",IF(Mapa!$J$34="x","",IF(Mapa!$J$23="1º",Mapa!$K$23,IF(Mapa!$J$24="1º",Mapa!$K$24,IF(Mapa!$J$25="1º",Mapa!$K$25,IF(Mapa!$J$26="1º",Mapa!$K$26,IF(Mapa!$J$27="1º",Mapa!$K$27,IF(Mapa!$J$28="1º",Mapa!$K$28,IF(Mapa!$J$29="1º",Mapa!$K$29,IF(Mapa!$J$30="1º",Mapa!$K$30,IF(Mapa!$J$31="1º",Mapa!$K$31,IF(Mapa!$J$32="1º",Mapa!$K$32,""))))))))))))</f>
        <v/>
      </c>
      <c r="D27" s="50" t="str">
        <f>IF(ISBLANK(Mapa!$J$23),"",IF(Mapa!$J$34="x","",IF(Mapa!$J$23="1º",Mapa!$M$23,IF(Mapa!$J$24="1º",Mapa!$M$24,IF(Mapa!$J$25="1º",Mapa!$M$25,IF(Mapa!$J$26="1º",Mapa!$M$26,IF(Mapa!$J$27="1º",Mapa!$M$27,IF(Mapa!$J$28="1º",Mapa!$M$28,IF(Mapa!$J$29="1º",Mapa!$M$29,IF(Mapa!$J$30="1º",Mapa!$M$30,IF(Mapa!$J$31="1º",Mapa!$M$31,IF(Mapa!$J$32="1º",Mapa!$M$32,""))))))))))))</f>
        <v/>
      </c>
      <c r="E27" s="32" t="s">
        <v>567</v>
      </c>
      <c r="F27" s="33" t="str">
        <f>IF(ISBLANK(Mapa!$J$23),"",IF(Mapa!$J$34="x","",IF(Mapa!$J$23="2º",Mapa!$K$23,IF(Mapa!$J$24="2º",Mapa!$K$24,IF(Mapa!$J$25="2º",Mapa!$K$25,IF(Mapa!$J$26="2º",Mapa!$K$26,IF(Mapa!$J$27="2º",Mapa!$K$27,IF(Mapa!$J$28="2º",Mapa!$K$28,IF(Mapa!$J$29="2º",Mapa!$K$29,IF(Mapa!$J$30="2º",Mapa!$K$30,IF(Mapa!$J$31="2º",Mapa!$K$31,IF(Mapa!$J$32="2º",Mapa!$K$32,""))))))))))))</f>
        <v/>
      </c>
      <c r="G27" s="50" t="str">
        <f>IF(ISBLANK(Mapa!$J$23),"",IF(Mapa!$J$34="x","",IF(Mapa!$J$23="2º",Mapa!$M$23,IF(Mapa!$J$24="2º",Mapa!$M$24,IF(Mapa!$J$25="2º",Mapa!$M$25,IF(Mapa!$J$26="2º",Mapa!$M$26,IF(Mapa!$J$27="2º",Mapa!$M$27,IF(Mapa!$J$28="2º",Mapa!$M$28,IF(Mapa!$J$29="2º",Mapa!$M$29,IF(Mapa!$J$30="2º",Mapa!$M$30,IF(Mapa!$J$31="2º",Mapa!$M$31,IF(Mapa!$J$32="2º",Mapa!$M$32,""))))))))))))</f>
        <v/>
      </c>
      <c r="H27" s="32" t="s">
        <v>567</v>
      </c>
      <c r="I27" s="33" t="str">
        <f>IF(ISBLANK(Mapa!$J$23),"",IF(Mapa!$J$34="x","",IF(Mapa!$J$23="3º",Mapa!$K$23,IF(Mapa!$J$24="3º",Mapa!$K$24,IF(Mapa!$J$25="3º",Mapa!$K$25,IF(Mapa!$J$26="3º",Mapa!$K$26,IF(Mapa!$J$27="3º",Mapa!$K$27,IF(Mapa!$J$28="3º",Mapa!$K$28,IF(Mapa!$J$29="3º",Mapa!$K$29,IF(Mapa!$J$30="3º",Mapa!$K$30,IF(Mapa!$J$31="3º",Mapa!$J$31,IF(Mapa!$J$32="3º",Mapa!$K$32,""))))))))))))</f>
        <v/>
      </c>
      <c r="J27" s="50" t="str">
        <f>IF(ISBLANK(Mapa!$J$23),"",IF(Mapa!$J$34="x","",IF(Mapa!$J$23="3º",Mapa!$M$23,IF(Mapa!$J$24="3º",Mapa!$M$24,IF(Mapa!$J$25="3º",Mapa!$M$25,IF(Mapa!$J$26="3º",Mapa!$M$26,IF(Mapa!$J$27="3º",Mapa!$M$27,IF(Mapa!$J$28="3º",Mapa!$M$28,IF(Mapa!$J$29="3º",Mapa!$M$29,IF(Mapa!$J$30="3º",Mapa!$M$30,IF(Mapa!$J$31="3º",Mapa!$M$31,IF(Mapa!$J$32="3º",Mapa!$M$32,""))))))))))))</f>
        <v/>
      </c>
      <c r="K27" s="22"/>
      <c r="L27" s="22"/>
    </row>
    <row r="28" spans="1:12" s="65" customFormat="1" ht="17.25" customHeight="1" thickTop="1" thickBot="1">
      <c r="A28" s="873" t="s">
        <v>798</v>
      </c>
      <c r="B28" s="874"/>
      <c r="C28" s="875"/>
      <c r="D28" s="876" t="str">
        <f>IF(ISBLANK(Mapa!$K$34),"",Mapa!$K$34)</f>
        <v/>
      </c>
      <c r="E28" s="877"/>
      <c r="F28" s="877"/>
      <c r="G28" s="877"/>
      <c r="H28" s="877"/>
      <c r="I28" s="877"/>
      <c r="J28" s="878"/>
      <c r="K28" s="2"/>
      <c r="L28" s="2"/>
    </row>
    <row r="29" spans="1:12" s="41" customFormat="1" ht="27" customHeight="1" thickTop="1">
      <c r="A29" s="212">
        <v>6</v>
      </c>
      <c r="B29" s="885" t="str">
        <f>IF(ISBLANK(Mapa!$P$23),"",IF(Mapa!$P$34="x","CANCELADO",IF(Mapa!$P$23="1º",Mapa!$A$23,IF(Mapa!$P$24="1º",Mapa!$A$24,IF(Mapa!$P$25="1º",Mapa!$A$25,IF(Mapa!$P$26="1º",Mapa!$A$26,IF(Mapa!$P$27="1º",Mapa!$A$27,IF(Mapa!$P$28="1º",Mapa!$A$28,IF(Mapa!$P$29="1º",Mapa!$A$29,IF(Mapa!$P$30="1º",Mapa!$A$30,IF(Mapa!$P$31="1º",Mapa!$A$31,IF(Mapa!$P$32="1º",Mapa!$A$32,"DESERTO"))))))))))))</f>
        <v>DESERTO</v>
      </c>
      <c r="C29" s="886"/>
      <c r="D29" s="49" t="str">
        <f>IF(ISBLANK(Mapa!$R$21),"",IF(B29="DESERTO","",IF(Mapa!$P$34="x","",Mapa!$R$21)))</f>
        <v/>
      </c>
      <c r="E29" s="887" t="str">
        <f>IF(ISBLANK(Mapa!$P$23),"",IF(Mapa!$P$34="x","CANCELADO",IF(Mapa!$P$23="2º",Mapa!$A$23,IF(Mapa!$P$24="2º",Mapa!$A$24,IF(Mapa!$P$25="2º",Mapa!$A$25,IF(Mapa!$P$26="2º",Mapa!$A$26,IF(Mapa!$P$27="2º",Mapa!$A$27,IF(Mapa!$P$28="2º",Mapa!$A$28,IF(Mapa!$P$29="2º",Mapa!$A$29,IF(Mapa!$J$30="2º",Mapa!$A$30,IF(Mapa!$P$31="2º",Mapa!$A$31,IF(Mapa!$P$32="2º",Mapa!$A$32,IF(B29="DESERTO","DESERTO","PROPOSTA NÃO APRESENTADA")))))))))))))</f>
        <v>DESERTO</v>
      </c>
      <c r="F29" s="888"/>
      <c r="G29" s="49" t="str">
        <f>IF(ISBLANK(Mapa!$R$21),"",IF(E29="DESERTO","",IF(E29="PROPOSTA NÃO APRESENTADA","",IF(Mapa!$P$34="x","",Mapa!$R$21))))</f>
        <v/>
      </c>
      <c r="H29" s="887" t="str">
        <f>IF(ISBLANK(Mapa!$P$23),"",IF(Mapa!$P$34="x","CANCELADO",IF(Mapa!$P$23="3º",Mapa!$A$23,IF(Mapa!$P$24="3º",Mapa!$A$24,IF(Mapa!$P$25="3º",Mapa!$A$25,IF(Mapa!$P$26="3º",Mapa!$A$26,IF(Mapa!$P$27="3º",Mapa!$A$27,IF(Mapa!$P$28="3º",Mapa!$A$28,IF(Mapa!$P$29="3º",Mapa!$A$29,IF(Mapa!$P$30="3º",Mapa!$A$30,IF(Mapa!$P$31="3º",Mapa!$A$31,IF(Mapa!$P$32="3º",Mapa!$A$32,IF(B29="DESERTO","DESERTO","PROPOSTA NÃO APRESENTADA")))))))))))))</f>
        <v>DESERTO</v>
      </c>
      <c r="I29" s="888"/>
      <c r="J29" s="49" t="str">
        <f>IF(ISBLANK(Mapa!$R$21),"",IF(H29="DESERTO","",IF(H29="PROPOSTA NÃO APRESENTADA","",IF(Mapa!$P$34="x","",Mapa!$R$21))))</f>
        <v/>
      </c>
      <c r="K29" s="40"/>
      <c r="L29" s="40"/>
    </row>
    <row r="30" spans="1:12" s="41" customFormat="1" ht="13.5" thickBot="1">
      <c r="A30" s="213"/>
      <c r="B30" s="39" t="str">
        <f>IF(ISBLANK(Mapa!$P$23),"",IF(Mapa!$P$34="x","",IF(Mapa!$P$23="1º",Mapa!$N$23,IF(Mapa!$P$24="1º",Mapa!$N$24,IF(Mapa!$P$25="1º",Mapa!$N$25,IF(Mapa!$P$26="1º",Mapa!$N$26,IF(Mapa!$P$27="1º",Mapa!$N$27,IF(Mapa!$P$28="1º",Mapa!$N$28,IF(Mapa!$P$29="1º",Mapa!$N$29,IF(Mapa!$P$30="1º",Mapa!$N$30,IF(Mapa!$P$31="1º",Mapa!$N$31,IF(Mapa!$P$32="1º",Mapa!$N$32,""))))))))))))</f>
        <v/>
      </c>
      <c r="C30" s="44" t="str">
        <f>IF(ISBLANK(Mapa!$P$23),"",IF(Mapa!$P$34="x","",IF(Mapa!$P$23="1º",Mapa!$O$23,IF(Mapa!$P$24="1º",Mapa!$O$24,IF(Mapa!$P$25="1º",Mapa!$O$25,IF(Mapa!$P$26="1º",Mapa!$O$26,IF(Mapa!$P$27="1º",Mapa!$O$27,IF(Mapa!$P$28="1º",Mapa!$O$28,IF(Mapa!$P$29="1º",Mapa!$O$29,IF(Mapa!$P$30="1º",Mapa!$O$30,IF(Mapa!$P$31="1º",Mapa!$O$31,IF(Mapa!$P$32="1º",Mapa!$O$32,""))))))))))))</f>
        <v/>
      </c>
      <c r="D30" s="37" t="str">
        <f>IF(ISBLANK(Mapa!$S$21),"",IF(B29="DESERTO","",IF(Mapa!$P$34="x","",Mapa!$S$21)))</f>
        <v/>
      </c>
      <c r="E30" s="39" t="str">
        <f>IF(ISBLANK(Mapa!$P$23),"",IF(Mapa!$P$34="x","",IF(Mapa!$P$23="2º",Mapa!$N$23,IF(Mapa!$P$24="2º",Mapa!$N$24,IF(Mapa!$P$25="2º",Mapa!$N$25,IF(Mapa!$P$26="2º",Mapa!$N$26,IF(Mapa!$P$27="2º",Mapa!$N$27,IF(Mapa!$P$28="2º",Mapa!$N$28,IF(Mapa!$P$29="2º",Mapa!$N$29,IF(Mapa!$P$30="2º",Mapa!$N$30,IF(Mapa!$P$31="2º",Mapa!$N$31,IF(Mapa!$P$32="2º",Mapa!$N$32,""))))))))))))</f>
        <v/>
      </c>
      <c r="F30" s="44" t="str">
        <f>IF(ISBLANK(Mapa!$P$23),"",IF(Mapa!$P$34="x","",IF(Mapa!$P$23="2º",Mapa!$O$23,IF(Mapa!$P$24="2º",Mapa!$O$24,IF(Mapa!$P$25="2º",Mapa!$O$25,IF(Mapa!$P$26="2º",Mapa!$O$26,IF(Mapa!$P$27="2º",Mapa!$O$27,IF(Mapa!$P$28="2º",Mapa!$O$28,IF(Mapa!$P$29="2º",Mapa!$O$29,IF(Mapa!$P$30="2º",Mapa!$O$30,IF(Mapa!$P$31="2º",Mapa!$O$31,IF(Mapa!$P$32="2º",Mapa!$O$32,""))))))))))))</f>
        <v/>
      </c>
      <c r="G30" s="37" t="str">
        <f>IF(ISBLANK(Mapa!$S$21),"",IF(E29="DESERTO","",IF(E29="PROPOSTA NÃO APRESENTADA","",IF(Mapa!$P$34="x","",Mapa!$S$21))))</f>
        <v/>
      </c>
      <c r="H30" s="39" t="str">
        <f>IF(ISBLANK(Mapa!$P$23),"",IF(Mapa!$P$34="x","",IF(Mapa!$P$23="3º",Mapa!$N$23,IF(Mapa!$P$24="3º",Mapa!$N$24,IF(Mapa!$P$25="3º",Mapa!$N$25,IF(Mapa!$P$26="3º",Mapa!$N$26,IF(Mapa!$P$27="3º",Mapa!$N$27,IF(Mapa!$P$28="3º",Mapa!$N$28,IF(Mapa!$P$29="3º",Mapa!$N$29,IF(Mapa!$P$30="3º",Mapa!$N$30,IF(Mapa!$P$31="3º",Mapa!$N$31,IF(Mapa!$P$32="3º",Mapa!$N$32,""))))))))))))</f>
        <v/>
      </c>
      <c r="I30" s="44" t="str">
        <f>IF(ISBLANK(Mapa!$P$23),"",IF(Mapa!$P$34="x","",IF(Mapa!$P$23="3º",Mapa!$O$23,IF(Mapa!$P$24="3º",Mapa!$O$24,IF(Mapa!$P$25="3º",Mapa!$O$25,IF(Mapa!$P$26="3º",Mapa!$O$26,IF(Mapa!$P$27="3º",Mapa!$O$27,IF(Mapa!$P$28="3º",Mapa!$O$28,IF(Mapa!$P$29="3º",Mapa!$O$29,IF(Mapa!$P$30="3º",Mapa!$O$30,IF(Mapa!$P$31="3º",Mapa!$O$31,IF(Mapa!$P$32="3º",Mapa!$O$32,""))))))))))))</f>
        <v/>
      </c>
      <c r="J30" s="37" t="str">
        <f>IF(ISBLANK(Mapa!$S$21),"",IF(H29="DESERTO","",IF(H29="PROPOSTA NÃO APRESENTADA","",IF(Mapa!$P$34="x","",Mapa!$S$21))))</f>
        <v/>
      </c>
      <c r="K30" s="40"/>
      <c r="L30" s="40"/>
    </row>
    <row r="31" spans="1:12" s="7" customFormat="1" ht="16.5" thickTop="1" thickBot="1">
      <c r="A31" s="214" t="e">
        <f>IF(ISBLANK(Mapa!S20),"",Mapa!S20)</f>
        <v>#N/A</v>
      </c>
      <c r="B31" s="32" t="s">
        <v>567</v>
      </c>
      <c r="C31" s="33" t="str">
        <f>IF(ISBLANK(Mapa!$P$23),"",IF(Mapa!$P$34="x","",IF(Mapa!$P$23="1º",Mapa!$Q$23,IF(Mapa!$P$24="1º",Mapa!$Q$24,IF(Mapa!$P$25="1º",Mapa!$Q$25,IF(Mapa!$P$26="1º",Mapa!$Q$26,IF(Mapa!$P$27="1º",Mapa!$Q$27,IF(Mapa!$P$28="1º",Mapa!$Q$28,IF(Mapa!$P$29="1º",Mapa!$Q$29,IF(Mapa!$P$30="1º",Mapa!$Q$30,IF(Mapa!$P$31="1º",Mapa!$Q$31,IF(Mapa!$P$32="1º",Mapa!$Q$32,""))))))))))))</f>
        <v/>
      </c>
      <c r="D31" s="50" t="str">
        <f>IF(ISBLANK(Mapa!$P$23),"",IF(Mapa!$P$34="x","",IF(Mapa!$P$23="1º",Mapa!$S$23,IF(Mapa!$P$24="1º",Mapa!$S$24,IF(Mapa!$P$25="1º",Mapa!$S$25,IF(Mapa!$P$26="1º",Mapa!$S$26,IF(Mapa!$P$27="1º",Mapa!$S$27,IF(Mapa!$P$28="1º",Mapa!$S$28,IF(Mapa!$P$29="1º",Mapa!$S$29,IF(Mapa!$P$30="1º",Mapa!$S$30,IF(Mapa!$P$31="1º",Mapa!$S$31,IF(Mapa!$P$32="1º",Mapa!$S$32,""))))))))))))</f>
        <v/>
      </c>
      <c r="E31" s="32" t="s">
        <v>567</v>
      </c>
      <c r="F31" s="33" t="str">
        <f>IF(ISBLANK(Mapa!$P$23),"",IF(Mapa!$P$34="x","",IF(Mapa!$P$23="2º",Mapa!$Q$23,IF(Mapa!$P$24="2º",Mapa!$Q$24,IF(Mapa!$P$25="2º",Mapa!$Q$25,IF(Mapa!$P$26="2º",Mapa!$Q$26,IF(Mapa!$P$27="2º",Mapa!$Q$27,IF(Mapa!$P$28="2º",Mapa!$Q$28,IF(Mapa!$P$29="2º",Mapa!$Q$29,IF(Mapa!$P$30="2º",Mapa!$Q$30,IF(Mapa!$P$31="2º",Mapa!$Q$31,IF(Mapa!$P$32="2º",Mapa!$Q$32,""))))))))))))</f>
        <v/>
      </c>
      <c r="G31" s="50" t="str">
        <f>IF(ISBLANK(Mapa!$P$23),"",IF(Mapa!$P$34="x","",IF(Mapa!$P$23="2º",Mapa!$S$23,IF(Mapa!$P$24="2º",Mapa!$S$24,IF(Mapa!$P$25="2º",Mapa!$S$25,IF(Mapa!$P$26="2º",Mapa!$S$26,IF(Mapa!$P$27="2º",Mapa!$S$27,IF(Mapa!$P$28="2º",Mapa!$S$28,IF(Mapa!$P$29="2º",Mapa!$S$29,IF(Mapa!$P$30="2º",Mapa!$S$30,IF(Mapa!$P$31="2º",Mapa!$S$31,IF(Mapa!$P$32="2º",Mapa!$S$32,""))))))))))))</f>
        <v/>
      </c>
      <c r="H31" s="32" t="s">
        <v>567</v>
      </c>
      <c r="I31" s="33" t="str">
        <f>IF(ISBLANK(Mapa!$P$23),"",IF(Mapa!$P$34="x","",IF(Mapa!$P$23="3º",Mapa!$Q$23,IF(Mapa!$P$24="3º",Mapa!$Q$24,IF(Mapa!$P$25="3º",Mapa!$Q$25,IF(Mapa!$P$26="3º",Mapa!$Q$26,IF(Mapa!$P$27="3º",Mapa!$Q$27,IF(Mapa!$P$28="3º",Mapa!$Q$28,IF(Mapa!$P$29="3º",Mapa!$Q$29,IF(Mapa!$P$30="3º",Mapa!$Q$30,IF(Mapa!$P$31="3º",Mapa!$Q$31,IF(Mapa!$P$32="3º",Mapa!$Q$32,""))))))))))))</f>
        <v/>
      </c>
      <c r="J31" s="50" t="str">
        <f>IF(ISBLANK(Mapa!$P$23),"",IF(Mapa!$P$34="x","",IF(Mapa!$P$23="3º",Mapa!$S$23,IF(Mapa!$P$24="3º",Mapa!$S$24,IF(Mapa!$P$25="3º",Mapa!$S$25,IF(Mapa!$P$26="3º",Mapa!$S$26,IF(Mapa!$P$27="3º",Mapa!$S$27,IF(Mapa!$P$28="3º",Mapa!$S$28,IF(Mapa!$P$29="3º",Mapa!$S$29,IF(Mapa!$P$30="3º",Mapa!$S$30,IF(Mapa!$P$31="3º",Mapa!$S$31,IF(Mapa!$P$32="3º",Mapa!$S$32,""))))))))))))</f>
        <v/>
      </c>
      <c r="K31" s="22"/>
      <c r="L31" s="22"/>
    </row>
    <row r="32" spans="1:12" s="65" customFormat="1" ht="17.25" customHeight="1" thickTop="1" thickBot="1">
      <c r="A32" s="873" t="s">
        <v>798</v>
      </c>
      <c r="B32" s="874"/>
      <c r="C32" s="875"/>
      <c r="D32" s="876" t="str">
        <f>IF(ISBLANK(Mapa!$Q$34),"",Mapa!$Q$34)</f>
        <v/>
      </c>
      <c r="E32" s="877"/>
      <c r="F32" s="877"/>
      <c r="G32" s="877"/>
      <c r="H32" s="877"/>
      <c r="I32" s="877"/>
      <c r="J32" s="878"/>
      <c r="K32" s="2"/>
      <c r="L32" s="2"/>
    </row>
    <row r="33" spans="1:12" s="41" customFormat="1" ht="26.25" customHeight="1" thickTop="1">
      <c r="A33" s="212">
        <v>7</v>
      </c>
      <c r="B33" s="885" t="str">
        <f>IF(ISBLANK(Mapa!$D$40),"",IF(Mapa!$D$51="x","CANCELADO",IF(Mapa!$D$40="1º",Mapa!$A$40,IF(Mapa!$D$41="1º",Mapa!$A$41,IF(Mapa!$D$42="1º",Mapa!$A$42,IF(Mapa!$D$43="1º",Mapa!$A$43,IF(Mapa!$D$44="1º",Mapa!$A$44,IF(Mapa!$D$45="1º",Mapa!$A$45,IF(Mapa!$D$46="1º",Mapa!$A$46,IF(Mapa!$D$47="1º",Mapa!$A$47,IF(Mapa!$D$48="1º",Mapa!$A$48,IF(Mapa!$D$49="1º",Mapa!$A$49,"DESERTO"))))))))))))</f>
        <v>DESERTO</v>
      </c>
      <c r="C33" s="886"/>
      <c r="D33" s="49" t="str">
        <f>IF(ISBLANK(Mapa!$F$38),"",IF(B33="DESERTO","",IF(Mapa!$D$51="x","",Mapa!$F$38)))</f>
        <v/>
      </c>
      <c r="E33" s="887" t="str">
        <f>IF(ISBLANK(Mapa!$D$40),"",IF(Mapa!$D$51="x","CANCELADO",IF(Mapa!$D$40="2º",Mapa!$A$40,IF(Mapa!$D$41="2º",Mapa!$A$41,IF(Mapa!$D$42="2º",Mapa!$A$42,IF(Mapa!$D$43="2º",Mapa!$A$43,IF(Mapa!$D$44="2º",Mapa!$A$44,IF(Mapa!$D$45="2º",Mapa!$A$45,IF(Mapa!$D$46="2º",Mapa!$A$46,IF(Mapa!$D$47="2º",Mapa!$A$47,IF(Mapa!$D$48="2º",Mapa!$A$48,IF(Mapa!$D$49="2º",Mapa!$A$49,IF(B33="DESERTO","DESERTO","PROPOSTA NÃO APRESENTADA")))))))))))))</f>
        <v>DESERTO</v>
      </c>
      <c r="F33" s="888"/>
      <c r="G33" s="49" t="str">
        <f>IF(ISBLANK(Mapa!$F$38),"",IF(E33="DESERTO","",IF(E33="PROPOSTA NÃO APRESENTADA","",IF(Mapa!$D$51="x","",Mapa!$F$38))))</f>
        <v/>
      </c>
      <c r="H33" s="887" t="str">
        <f>IF(ISBLANK(Mapa!$D$40),"",IF(Mapa!$D$51="x","CANCELADO",IF(Mapa!$D$40="3º",Mapa!$A$40,IF(Mapa!$D$41="3º",Mapa!$A$41,IF(Mapa!$D$42="3º",Mapa!$A$42,IF(Mapa!$D$43="3º",Mapa!$A$43,IF(Mapa!$D$44="3º",Mapa!$A$44,IF(Mapa!$D$45="3º",Mapa!$A$45,IF(Mapa!$D$46="3º",Mapa!$A$46,IF(Mapa!$D$47="3º",Mapa!$A$47,IF(Mapa!$D$48="3º",Mapa!$A$48,IF(Mapa!$D$49="3º",Mapa!$A$49,IF(B33="DESERTO","DESERTO","PROPOSTA NÃO APRESENTADA")))))))))))))</f>
        <v>DESERTO</v>
      </c>
      <c r="I33" s="888"/>
      <c r="J33" s="49" t="str">
        <f>IF(ISBLANK(Mapa!$F$38),"",IF(H33="DESERTO","",IF(H33="PROPOSTA NÃO APRESENTADA","",IF(Mapa!$D$51="x","",Mapa!$F$38))))</f>
        <v/>
      </c>
      <c r="K33" s="40"/>
      <c r="L33" s="40"/>
    </row>
    <row r="34" spans="1:12" s="41" customFormat="1" ht="13.5" thickBot="1">
      <c r="A34" s="213"/>
      <c r="B34" s="39" t="str">
        <f>IF(ISBLANK(Mapa!$D$40),"",IF(Mapa!$D$51="x","",IF(Mapa!$D$40="1º",Mapa!$B$40,IF(Mapa!$D$41="1º",Mapa!$B$41,IF(Mapa!$D$42="1º",Mapa!$B$42,IF(Mapa!$D$43="1º",Mapa!$B$43,IF(Mapa!$D$44="1º",Mapa!$B$44,IF(Mapa!$D$45="1º",Mapa!$B$45,IF(Mapa!$D$46="1º",Mapa!$B$46,IF(Mapa!$D$47="1º",Mapa!$B$47,IF(Mapa!$D$48="1º",Mapa!$B$48,IF(Mapa!$D$49="1º",Mapa!$B$49,""))))))))))))</f>
        <v/>
      </c>
      <c r="C34" s="44" t="str">
        <f>IF(ISBLANK(Mapa!$D$40),"",IF(Mapa!$D$51="x","",IF(Mapa!$D$40="1º",Mapa!$C$40,IF(Mapa!$D$41="1º",Mapa!$C$41,IF(Mapa!$D$42="1º",Mapa!$C$42,IF(Mapa!$D$43="1º",Mapa!$C$43,IF(Mapa!$D$44="1º",Mapa!$C$44,IF(Mapa!$D$45="1º",Mapa!$C$45,IF(Mapa!$D$46="1º",Mapa!$C$46,IF(Mapa!$D$47="1º",Mapa!$C$47,IF(Mapa!$D$48="1º",Mapa!$C$48,IF(Mapa!$D$49="1º",Mapa!$C$49,""))))))))))))</f>
        <v/>
      </c>
      <c r="D34" s="37" t="str">
        <f>IF(ISBLANK(Mapa!$G$38),"",IF(B33="DESERTO","",IF(Mapa!$D$51="x","",Mapa!$G$38)))</f>
        <v/>
      </c>
      <c r="E34" s="39" t="str">
        <f>IF(ISBLANK(Mapa!$D$40),"",IF(Mapa!$D$51="x","",IF(Mapa!$D$40="2º",Mapa!$B$40,IF(Mapa!$D$41="2º",Mapa!$B$41,IF(Mapa!$D$42="2º",Mapa!$B$42,IF(Mapa!$D$43="2º",Mapa!$B$43,IF(Mapa!$D$44="2º",Mapa!$B$44,IF(Mapa!$D$45="2º",Mapa!$B$45,IF(Mapa!$D$46="2º",Mapa!$B$46,IF(Mapa!$D$47="2º",Mapa!$B$47,IF(Mapa!$D$48="2º",Mapa!$B$48,IF(Mapa!$D$49="2º",Mapa!$B$49,""))))))))))))</f>
        <v/>
      </c>
      <c r="F34" s="44" t="str">
        <f>IF(ISBLANK(Mapa!$D$40),"",IF(Mapa!$D$51="x","",IF(Mapa!$D$40="2º",Mapa!$C$40,IF(Mapa!$D$41="2º",Mapa!$C$41,IF(Mapa!$D$42="2º",Mapa!$C$42,IF(Mapa!$D$43="2º",Mapa!$C$43,IF(Mapa!$D$44="2º",Mapa!$C$44,IF(Mapa!$D$45="2º",Mapa!$C$45,IF(Mapa!$D$46="2º",Mapa!$C$46,IF(Mapa!$D$47="2º",Mapa!$C$47,IF(Mapa!$D$48="2º",Mapa!$C$48,IF(Mapa!$D$49="2º",Mapa!$C$49,""))))))))))))</f>
        <v/>
      </c>
      <c r="G34" s="37" t="str">
        <f>IF(ISBLANK(Mapa!$G$38),"",IF(E33="DESERTO","",IF(E33="PROPOSTA NÃO APRESENTADA","",IF(Mapa!$D$51="x","",Mapa!$G$38))))</f>
        <v/>
      </c>
      <c r="H34" s="39" t="str">
        <f>IF(ISBLANK(Mapa!$D$40),"",IF(Mapa!$D$51="x","",IF(Mapa!$D$40="3º",Mapa!$B$40,IF(Mapa!$D$41="3º",Mapa!$B$41,IF(Mapa!$D$42="3º",Mapa!$B$42,IF(Mapa!$D$43="3º",Mapa!$B$43,IF(Mapa!$D$44="3º",Mapa!$B$44,IF(Mapa!$D$45="3º",Mapa!$B$45,IF(Mapa!$D$46="3º",Mapa!$B$46,IF(Mapa!$D$47="3º",Mapa!$B$47,IF(Mapa!$D$48="3º",Mapa!$B$48,IF(Mapa!$D$49="3º",Mapa!$B$49,""))))))))))))</f>
        <v/>
      </c>
      <c r="I34" s="44" t="str">
        <f>IF(ISBLANK(Mapa!$D$40),"",IF(Mapa!$D$51="x","",IF(Mapa!$D$40="3º",Mapa!$C$40,IF(Mapa!$D$41="3º",Mapa!$C$41,IF(Mapa!$D$42="3º",Mapa!$C$42,IF(Mapa!$D$43="3º",Mapa!$C$43,IF(Mapa!$D$44="3º",Mapa!$C$44,IF(Mapa!$D$45="3º",Mapa!$C$45,IF(Mapa!$D$46="3º",Mapa!$C$46,IF(Mapa!$D$47="3º",Mapa!$C$47,IF(Mapa!$D$48="3º",Mapa!$C$48,IF(Mapa!$D$49="3º",Mapa!$C$49,""))))))))))))</f>
        <v/>
      </c>
      <c r="J34" s="37" t="str">
        <f>IF(ISBLANK(Mapa!$G$38),"",IF(H33="DESERTO","",IF(H33="PROPOSTA NÃO APRESENTADA","",IF(Mapa!$D$51="x","",Mapa!$G$38))))</f>
        <v/>
      </c>
      <c r="K34" s="40"/>
      <c r="L34" s="40"/>
    </row>
    <row r="35" spans="1:12" s="7" customFormat="1" ht="16.5" thickTop="1" thickBot="1">
      <c r="A35" s="214" t="e">
        <f>IF(ISBLANK(Mapa!G37),"",Mapa!G37)</f>
        <v>#N/A</v>
      </c>
      <c r="B35" s="32" t="s">
        <v>567</v>
      </c>
      <c r="C35" s="33" t="str">
        <f>IF(ISBLANK(Mapa!$D$40),"",IF(Mapa!$D$51="x","",IF(Mapa!$D$40="1º",Mapa!$E$40,IF(Mapa!$D$41="1º",Mapa!$E$41,IF(Mapa!$D$42="1º",Mapa!$E$42,IF(Mapa!$D$43="1º",Mapa!$E$43,IF(Mapa!$D$44="1º",Mapa!$E$44,IF(Mapa!$D$45="1º",Mapa!$E$45,IF(Mapa!$D$46="1º",Mapa!$E$46,IF(Mapa!$D$47="1º",Mapa!$E$47,IF(Mapa!$D$48="1º",Mapa!$E$48,IF(Mapa!$D$49="1º",Mapa!$E$49,""))))))))))))</f>
        <v/>
      </c>
      <c r="D35" s="50" t="str">
        <f>IF(ISBLANK(Mapa!$D$40),"",IF(Mapa!$D$51="x","",IF(Mapa!$D$40="1º",Mapa!$G$40,IF(Mapa!$D$41="1º",Mapa!$G$41,IF(Mapa!$D$42="1º",Mapa!$G$42,IF(Mapa!$D$43="1º",Mapa!$G$43,IF(Mapa!$D$44="1º",Mapa!$G$44,IF(Mapa!$D$45="1º",Mapa!$G$45,IF(Mapa!$D$46="1º",Mapa!$G$46,IF(Mapa!$D$47="1º",Mapa!$G$47,IF(Mapa!$D$48="1º",Mapa!$G$48,IF(Mapa!$D$49="1º",Mapa!$G$49,""))))))))))))</f>
        <v/>
      </c>
      <c r="E35" s="32" t="s">
        <v>567</v>
      </c>
      <c r="F35" s="33" t="str">
        <f>IF(ISBLANK(Mapa!$D$40),"",IF(Mapa!$D$51="x","",IF(Mapa!$D$40="2º",Mapa!$E$40,IF(Mapa!$D$41="2º",Mapa!$E$41,IF(Mapa!$D$42="2º",Mapa!$E$42,IF(Mapa!$D$43="2º",Mapa!$E$43,IF(Mapa!$D$44="2º",Mapa!$E$44,IF(Mapa!$D$45="2º",Mapa!$E$45,IF(Mapa!$D$46="2º",Mapa!$E$46,IF(Mapa!$D$47="2º",Mapa!$E$47,IF(Mapa!$D$48="2º",Mapa!$E$48,IF(Mapa!$D$49="2º",Mapa!$E$49,""))))))))))))</f>
        <v/>
      </c>
      <c r="G35" s="50" t="str">
        <f>IF(ISBLANK(Mapa!$D$40),"",IF(Mapa!$D$51="x","",IF(Mapa!$D$40="2º",Mapa!$G$40,IF(Mapa!$D$41="2º",Mapa!$G$41,IF(Mapa!$D$42="2º",Mapa!$G$42,IF(Mapa!$D$43="2º",Mapa!$G$43,IF(Mapa!$D$44="2º",Mapa!$G$44,IF(Mapa!$D$45="2º",Mapa!$G$45,IF(Mapa!$D$46="2º",Mapa!$G$46,IF(Mapa!$D$47="2º",Mapa!$G$47,IF(Mapa!$D$48="2º",Mapa!$G$48,IF(Mapa!$D$49="2º",Mapa!$G$49,""))))))))))))</f>
        <v/>
      </c>
      <c r="H35" s="32" t="s">
        <v>567</v>
      </c>
      <c r="I35" s="33" t="str">
        <f>IF(ISBLANK(Mapa!$D$40),"",IF(Mapa!$D$51="x","",IF(Mapa!$D$40="3º",Mapa!$E$40,IF(Mapa!$D$41="3º",Mapa!$E$41,IF(Mapa!$D$42="3º",Mapa!$E$42,IF(Mapa!$D$43="3º",Mapa!$E$43,IF(Mapa!$D$44="3º",Mapa!$E$44,IF(Mapa!$D$45="3º",Mapa!$E$45,IF(Mapa!$D$46="3º",Mapa!$E$46,IF(Mapa!$D$47="3º",Mapa!$E$47,IF(Mapa!$D$48="3º",Mapa!$E$48,IF(Mapa!$D$49="3º",Mapa!$E$49,""))))))))))))</f>
        <v/>
      </c>
      <c r="J35" s="50" t="str">
        <f>IF(ISBLANK(Mapa!$D$40),"",IF(Mapa!$D$51="x","",IF(Mapa!$D$40="3º",Mapa!$G$40,IF(Mapa!$D$41="3º",Mapa!$G$41,IF(Mapa!$D$42="3º",Mapa!$G$42,IF(Mapa!$D$43="3º",Mapa!$G$43,IF(Mapa!$D$44="3º",Mapa!$G$44,IF(Mapa!$D$45="3º",Mapa!$G$45,IF(Mapa!$D$46="3º",Mapa!$G$46,IF(Mapa!$D$47="3º",Mapa!$G$47,IF(Mapa!$D$48="3º",Mapa!$G$48,IF(Mapa!$D$49="3º",Mapa!$G$49,""))))))))))))</f>
        <v/>
      </c>
      <c r="K35" s="22"/>
      <c r="L35" s="22"/>
    </row>
    <row r="36" spans="1:12" s="65" customFormat="1" ht="17.25" customHeight="1" thickTop="1" thickBot="1">
      <c r="A36" s="873" t="s">
        <v>798</v>
      </c>
      <c r="B36" s="874"/>
      <c r="C36" s="875"/>
      <c r="D36" s="876" t="str">
        <f>IF(ISBLANK(Mapa!$E$51),"",Mapa!$E$51)</f>
        <v/>
      </c>
      <c r="E36" s="877"/>
      <c r="F36" s="877"/>
      <c r="G36" s="877"/>
      <c r="H36" s="877"/>
      <c r="I36" s="877"/>
      <c r="J36" s="878"/>
      <c r="K36" s="2"/>
      <c r="L36" s="2"/>
    </row>
    <row r="37" spans="1:12" s="41" customFormat="1" ht="27" customHeight="1" thickTop="1">
      <c r="A37" s="212">
        <v>8</v>
      </c>
      <c r="B37" s="885" t="str">
        <f>IF(ISBLANK(Mapa!$J$40),"",IF(Mapa!$J$51="x","CANCELADO",IF(Mapa!$J$40="1º",Mapa!$A$40,IF(Mapa!$J$41="1º",Mapa!$A$41,IF(Mapa!$J$42="1º",Mapa!$A$42,IF(Mapa!$J$43="1º",Mapa!$A$43,IF(Mapa!$J$44="1º",Mapa!$A$44,IF(Mapa!$J$45="1º",Mapa!$A$45,IF(Mapa!$J$46="1º",Mapa!$A$46,IF(Mapa!$J$47="1º",Mapa!$A$47,IF(Mapa!$J$48="1º",Mapa!$A$48,IF(Mapa!$J$49="1º",Mapa!$A$49,"DESERTO"))))))))))))</f>
        <v>DESERTO</v>
      </c>
      <c r="C37" s="886"/>
      <c r="D37" s="49" t="str">
        <f>IF(ISBLANK(Mapa!$L$38),"",IF(B37="DESERTO","",IF(Mapa!$J$51="x","",Mapa!$L$38)))</f>
        <v/>
      </c>
      <c r="E37" s="887" t="str">
        <f>IF(ISBLANK(Mapa!$J$40),"",IF(Mapa!$J$51="x","CANCELADO",IF(Mapa!$J$40="2º",Mapa!$A$40,IF(Mapa!$J$41="2º",Mapa!$A$41,IF(Mapa!$J$42="2º",Mapa!$A$42,IF(Mapa!$J$43="2º",Mapa!$A$43,IF(Mapa!$J$44="2º",Mapa!$A$44,IF(Mapa!$J$45="2º",Mapa!$A$45,IF(Mapa!$J$46="2º",Mapa!$A$46,IF(Mapa!$J$47="2º",Mapa!$A$47,IF(Mapa!$J$48="2º",Mapa!$A$48,IF(Mapa!$J$49="2º",Mapa!$A$49,IF(B37="DESERTO","DESERTO","PROPOSTA NÃO APRESENTADA")))))))))))))</f>
        <v>DESERTO</v>
      </c>
      <c r="F37" s="888"/>
      <c r="G37" s="49" t="str">
        <f>IF(ISBLANK(Mapa!$L$38),"",IF(E37="DESERTO","",IF(E37="PROPOSTA NÃO APRESENTADA","",IF(Mapa!$J$51="x","",Mapa!$L$38))))</f>
        <v/>
      </c>
      <c r="H37" s="887" t="str">
        <f>IF(ISBLANK(Mapa!$J$40),"",IF(Mapa!$J$51="x","CANCELADO",IF(Mapa!$J$40="3º",Mapa!$A$40,IF(Mapa!$J$41="3º",Mapa!$A$41,IF(Mapa!$J$42="3º",Mapa!$A$42,IF(Mapa!$J$43="3º",Mapa!$A$43,IF(Mapa!$J$44="3º",Mapa!$A$44,IF(Mapa!$J$45="3º",Mapa!$A$45,IF(Mapa!$J$46="3º",Mapa!$A$46,IF(Mapa!$J$47="3º",Mapa!$A$47,IF(Mapa!$J$48="3º",Mapa!$A$48,IF(Mapa!$J$49="3º",Mapa!$A$49,IF(B37="DESERTO","DESERTO","PROPOSTA NÃO APRESENTADA")))))))))))))</f>
        <v>DESERTO</v>
      </c>
      <c r="I37" s="888"/>
      <c r="J37" s="49" t="str">
        <f>IF(ISBLANK(Mapa!$L$38),"",IF(H37="DESERTO","",IF(H37="PROPOSTA NÃO APRESENTADA","",IF(Mapa!$J$51="x","",Mapa!$L$38))))</f>
        <v/>
      </c>
      <c r="K37" s="40"/>
      <c r="L37" s="40"/>
    </row>
    <row r="38" spans="1:12" s="41" customFormat="1" ht="13.5" thickBot="1">
      <c r="A38" s="213"/>
      <c r="B38" s="39" t="str">
        <f>IF(ISBLANK(Mapa!$J$40),"",IF(Mapa!$J$51="x","",IF(Mapa!$J$40="1º",Mapa!$H$40,IF(Mapa!$J$41="1º",Mapa!$H$41,IF(Mapa!$J$42="1º",Mapa!$H$42,IF(Mapa!$J$43="1º",Mapa!$H$43,IF(Mapa!$J$44="1º",Mapa!$H$44,IF(Mapa!$J$45="1º",Mapa!$H$45,IF(Mapa!$J$46="1º",Mapa!$H$46,IF(Mapa!$J$47="1º",Mapa!$H$47,IF(Mapa!$J$48="1º",Mapa!$H$48,IF(Mapa!$J$49="1º",Mapa!$H$49,""))))))))))))</f>
        <v/>
      </c>
      <c r="C38" s="44" t="str">
        <f>IF(ISBLANK(Mapa!$J$40),"",IF(Mapa!$J$51="x","",IF(Mapa!$J$40="1º",Mapa!$I$40,IF(Mapa!$J$41="1º",Mapa!$I$41,IF(Mapa!$J$42="1º",Mapa!$I$42,IF(Mapa!$J$43="1º",Mapa!$I$43,IF(Mapa!$J$44="1º",Mapa!$I$44,IF(Mapa!$J$45="1º",Mapa!$I$45,IF(Mapa!$J$46="1º",Mapa!$I$46,IF(Mapa!$J$47="1º",Mapa!$I$47,IF(Mapa!$J$48="1º",Mapa!$I$48,IF(Mapa!$J$49="1º",Mapa!$I$49,""))))))))))))</f>
        <v/>
      </c>
      <c r="D38" s="37" t="str">
        <f>IF(ISBLANK(Mapa!$M$38),"",IF(B37="DESERTO","",IF(Mapa!$J$51="x","",Mapa!$M$38)))</f>
        <v/>
      </c>
      <c r="E38" s="39" t="str">
        <f>IF(ISBLANK(Mapa!$J$40),"",IF(Mapa!$J$51="x","",IF(Mapa!$J$40="2º",Mapa!$H$40,IF(Mapa!$J$41="2º",Mapa!$H$41,IF(Mapa!$J$42="2º",Mapa!$H$42,IF(Mapa!$J$43="2º",Mapa!$H$43,IF(Mapa!$J$44="2º",Mapa!$H$44,IF(Mapa!$J$45="2º",Mapa!$H$45,IF(Mapa!$J$46="2º",Mapa!$H$46,IF(Mapa!$J$47="2º",Mapa!$H$47,IF(Mapa!$J$48="2º",Mapa!$H$48,IF(Mapa!$J$49="2º",Mapa!$H$49,""))))))))))))</f>
        <v/>
      </c>
      <c r="F38" s="44" t="str">
        <f>IF(ISBLANK(Mapa!$J$40),"",IF(Mapa!$J$51="x","",IF(Mapa!$J$40="2º",Mapa!$I$40,IF(Mapa!$J$41="2º",Mapa!$I$41,IF(Mapa!$J$42="2º",Mapa!$I$42,IF(Mapa!$J$43="2º",Mapa!$I$43,IF(Mapa!$J$44="2º",Mapa!$I$44,IF(Mapa!$J$45="2º",Mapa!$I$45,IF(Mapa!$J$46="2º",Mapa!$I$46,IF(Mapa!$J$47="2º",Mapa!$I$47,IF(Mapa!$J$48="2º",Mapa!$I$48,IF(Mapa!$J$49="2º",Mapa!$I$49,""))))))))))))</f>
        <v/>
      </c>
      <c r="G38" s="37" t="str">
        <f>IF(ISBLANK(Mapa!$M$38),"",IF(E37="DESERTO","",IF(E37="PROPOSTA NÃO APRESENTADA","",IF(Mapa!$J$51="x","",Mapa!$M$38))))</f>
        <v/>
      </c>
      <c r="H38" s="39" t="str">
        <f>IF(ISBLANK(Mapa!$J$40),"",IF(Mapa!$J$51="x","",IF(Mapa!$J$40="3º",Mapa!$H$40,IF(Mapa!$J$41="3º",Mapa!$H$41,IF(Mapa!$J$42="3º",Mapa!$H$42,IF(Mapa!$J$43="3º",Mapa!$H$43,IF(Mapa!$J$44="3º",Mapa!$H$44,IF(Mapa!$J$45="3º",Mapa!$H$45,IF(Mapa!$J$46="3º",Mapa!$H$46,IF(Mapa!$J$47="3º",Mapa!$H$47,IF(Mapa!$J$48="3º",Mapa!$H$48,IF(Mapa!$J$49="3º",Mapa!$H$49,""))))))))))))</f>
        <v/>
      </c>
      <c r="I38" s="44" t="str">
        <f>IF(ISBLANK(Mapa!$J$40),"",IF(Mapa!$J$51="x","",IF(Mapa!$J$40="3º",Mapa!$I$40,IF(Mapa!$J$41="3º",Mapa!$I$41,IF(Mapa!$J$42="3º",Mapa!$I$42,IF(Mapa!$J$43="3º",Mapa!$I$43,IF(Mapa!$J$44="3º",Mapa!$I$44,IF(Mapa!$J$45="3º",Mapa!$I$45,IF(Mapa!$J$46="3º",Mapa!$I$46,IF(Mapa!$J$47="3º",Mapa!$I$47,IF(Mapa!$J$48="3º",Mapa!$I$48,IF(Mapa!$J$49="3º",Mapa!$I$49,""))))))))))))</f>
        <v/>
      </c>
      <c r="J38" s="37" t="str">
        <f>IF(ISBLANK(Mapa!$M$38),"",IF(H37="DESERTO","",IF(H37="PROPOSTA NÃO APRESENTADA","",IF(Mapa!$J$51="x","",Mapa!$M$38))))</f>
        <v/>
      </c>
      <c r="K38" s="40"/>
      <c r="L38" s="40"/>
    </row>
    <row r="39" spans="1:12" s="7" customFormat="1" ht="16.5" thickTop="1" thickBot="1">
      <c r="A39" s="214" t="e">
        <f>IF(ISBLANK(Mapa!M37),"",Mapa!M37)</f>
        <v>#N/A</v>
      </c>
      <c r="B39" s="32" t="s">
        <v>567</v>
      </c>
      <c r="C39" s="33" t="str">
        <f>IF(ISBLANK(Mapa!$J$40),"",IF(Mapa!$J$51="x","",IF(Mapa!$J$40="1º",Mapa!$K$40,IF(Mapa!$J$41="1º",Mapa!$K$41,IF(Mapa!$J$42="1º",Mapa!$K$42,IF(Mapa!$J$43="1º",Mapa!$K$43,IF(Mapa!$J$44="1º",Mapa!$K$44,IF(Mapa!$J$45="1º",Mapa!$K$45,IF(Mapa!$J$46="1º",Mapa!$K$46,IF(Mapa!$J$47="1º",Mapa!$K$47,IF(Mapa!$J$48="1º",Mapa!$K$48,IF(Mapa!$J$49="1º",Mapa!$K$49,""))))))))))))</f>
        <v/>
      </c>
      <c r="D39" s="50" t="str">
        <f>IF(ISBLANK(Mapa!$J$40),"",IF(Mapa!$J$51="x","",IF(Mapa!$J$40="1º",Mapa!$M$40,IF(Mapa!$J$41="1º",Mapa!$M$41,IF(Mapa!$J$42="1º",Mapa!$M$42,IF(Mapa!$J$43="1º",Mapa!$M$43,IF(Mapa!$J$44="1º",Mapa!$M$44,IF(Mapa!$J$45="1º",Mapa!$M$45,IF(Mapa!$J$46="1º",Mapa!$M$46,IF(Mapa!$J$47="1º",Mapa!$M$47,IF(Mapa!$J$48="1º",Mapa!$M$48,IF(Mapa!$J$49="1º",Mapa!$M$49,""))))))))))))</f>
        <v/>
      </c>
      <c r="E39" s="32" t="s">
        <v>567</v>
      </c>
      <c r="F39" s="33" t="str">
        <f>IF(ISBLANK(Mapa!$J$40),"",IF(Mapa!$J$51="x","",IF(Mapa!$J$40="2º",Mapa!$K$40,IF(Mapa!$J$41="2º",Mapa!$K$41,IF(Mapa!$J$42="2º",Mapa!$K$42,IF(Mapa!$J$43="2º",Mapa!$K$43,IF(Mapa!$J$44="2º",Mapa!$K$44,IF(Mapa!$J$45="2º",Mapa!$K$45,IF(Mapa!$J$46="2º",Mapa!$K$46,IF(Mapa!$J$47="2º",Mapa!$K$47,IF(Mapa!$J$48="2º",Mapa!$K$48,IF(Mapa!$J$49="2º",Mapa!$K$49,""))))))))))))</f>
        <v/>
      </c>
      <c r="G39" s="50" t="str">
        <f>IF(ISBLANK(Mapa!$J$40),"",IF(Mapa!$J$51="x","",IF(Mapa!$J$40="2º",Mapa!$M$40,IF(Mapa!$J$41="2º",Mapa!$M$41,IF(Mapa!$J$42="2º",Mapa!$M$42,IF(Mapa!$J$43="2º",Mapa!$M$43,IF(Mapa!$J$44="2º",Mapa!$M$44,IF(Mapa!$J$45="2º",Mapa!$M$45,IF(Mapa!$J$46="2º",Mapa!$M$46,IF(Mapa!$J$47="2º",Mapa!$M$47,IF(Mapa!$J$48="2º",Mapa!$M$48,IF(Mapa!$J$49="2º",Mapa!$M$49,""))))))))))))</f>
        <v/>
      </c>
      <c r="H39" s="32" t="s">
        <v>567</v>
      </c>
      <c r="I39" s="33" t="str">
        <f>IF(ISBLANK(Mapa!$J$40),"",IF(Mapa!$J$51="x","",IF(Mapa!$J$40="3º",Mapa!$K$40,IF(Mapa!$J$41="3º",Mapa!$K$41,IF(Mapa!$J$42="3º",Mapa!$K$42,IF(Mapa!$J$43="3º",Mapa!$K$43,IF(Mapa!$J$44="3º",Mapa!$K$44,IF(Mapa!$J$45="3º",Mapa!$K$45,IF(Mapa!$J$46="3º",Mapa!$K$46,IF(Mapa!$J$47="3º",Mapa!$K$47,IF(Mapa!$J$48="3º",Mapa!$J$48,IF(Mapa!$J$49="3º",Mapa!$K$49,""))))))))))))</f>
        <v/>
      </c>
      <c r="J39" s="50" t="str">
        <f>IF(ISBLANK(Mapa!$J$40),"",IF(Mapa!$J$51="x","",IF(Mapa!$J$40="3º",Mapa!$M$40,IF(Mapa!$J$41="3º",Mapa!$M$41,IF(Mapa!$J$42="3º",Mapa!$M$42,IF(Mapa!$J$43="3º",Mapa!$M$43,IF(Mapa!$J$44="3º",Mapa!$M$44,IF(Mapa!$J$45="3º",Mapa!$M$45,IF(Mapa!$J$46="3º",Mapa!$M$46,IF(Mapa!$J$47="3º",Mapa!$M$47,IF(Mapa!$J$48="3º",Mapa!$M$48,IF(Mapa!$J$49="3º",Mapa!$M$49,""))))))))))))</f>
        <v/>
      </c>
      <c r="K39" s="22"/>
      <c r="L39" s="22"/>
    </row>
    <row r="40" spans="1:12" s="65" customFormat="1" ht="17.25" customHeight="1" thickTop="1" thickBot="1">
      <c r="A40" s="873" t="s">
        <v>798</v>
      </c>
      <c r="B40" s="874"/>
      <c r="C40" s="875"/>
      <c r="D40" s="876" t="str">
        <f>IF(ISBLANK(Mapa!$K$51),"",Mapa!$K$51)</f>
        <v/>
      </c>
      <c r="E40" s="877"/>
      <c r="F40" s="877"/>
      <c r="G40" s="877"/>
      <c r="H40" s="877"/>
      <c r="I40" s="877"/>
      <c r="J40" s="878"/>
      <c r="K40" s="2"/>
      <c r="L40" s="2"/>
    </row>
    <row r="41" spans="1:12" s="41" customFormat="1" ht="27" customHeight="1" thickTop="1">
      <c r="A41" s="212">
        <v>9</v>
      </c>
      <c r="B41" s="885" t="str">
        <f>IF(ISBLANK(Mapa!$P$40),"",IF(Mapa!$P$51="x","CANCELADO",IF(Mapa!$P$40="1º",Mapa!$A$40,IF(Mapa!$P$41="1º",Mapa!$A$41,IF(Mapa!$P$42="1º",Mapa!$A$42,IF(Mapa!$P$43="1º",Mapa!$A$43,IF(Mapa!$P$44="1º",Mapa!$A$44,IF(Mapa!$P$45="1º",Mapa!$A$45,IF(Mapa!$P$46="1º",Mapa!$A$46,IF(Mapa!$P$47="1º",Mapa!$A$47,IF(Mapa!$P$48="1º",Mapa!$A$48,IF(Mapa!$P$49="1º",Mapa!$A$49,"DESERTO"))))))))))))</f>
        <v>DESERTO</v>
      </c>
      <c r="C41" s="886"/>
      <c r="D41" s="49" t="str">
        <f>IF(ISBLANK(Mapa!$R$38),"",IF(B41="DESERTO","",IF(Mapa!$P$51="x","",Mapa!$R$38)))</f>
        <v/>
      </c>
      <c r="E41" s="887" t="str">
        <f>IF(ISBLANK(Mapa!$P$40),"",IF(Mapa!$P$51="x","CANCELADO",IF(Mapa!$P$40="2º",Mapa!$A$40,IF(Mapa!$P$41="2º",Mapa!$A$41,IF(Mapa!$P$42="2º",Mapa!$A$42,IF(Mapa!$P$43="2º",Mapa!$A$43,IF(Mapa!$P$44="2º",Mapa!$A$44,IF(Mapa!$P$45="2º",Mapa!$A$45,IF(Mapa!$P$46="2º",Mapa!$A$46,IF(Mapa!$J$47="2º",Mapa!$A$47,IF(Mapa!$P$48="2º",Mapa!$A$48,IF(Mapa!$P$49="2º",Mapa!$A$49,IF(B41="DESERTO","DESERTO","PROPOSTA NÃO APRESENTADA")))))))))))))</f>
        <v>DESERTO</v>
      </c>
      <c r="F41" s="888"/>
      <c r="G41" s="49" t="str">
        <f>IF(ISBLANK(Mapa!$R$38),"",IF(E41="DESERTO","",IF(E41="PROPOSTA NÃO APRESENTADA","",IF(Mapa!$P$51="x","",Mapa!$R$38))))</f>
        <v/>
      </c>
      <c r="H41" s="887" t="str">
        <f>IF(ISBLANK(Mapa!$P$40),"",IF(Mapa!$P$51="x","CANCELADO",IF(Mapa!$P$40="3º",Mapa!$A$40,IF(Mapa!$P$41="3º",Mapa!$A$41,IF(Mapa!$P$42="3º",Mapa!$A$42,IF(Mapa!$P$43="3º",Mapa!$A$43,IF(Mapa!$P$44="3º",Mapa!$A$44,IF(Mapa!$P$45="3º",Mapa!$A$45,IF(Mapa!$P$46="3º",Mapa!$A$46,IF(Mapa!$P$47="3º",Mapa!$A$47,IF(Mapa!$P$48="3º",Mapa!$A$48,IF(Mapa!$P$49="3º",Mapa!$A$49,IF(B41="DESERTO","DESERTO","PROPOSTA NÃO APRESENTADA")))))))))))))</f>
        <v>DESERTO</v>
      </c>
      <c r="I41" s="888"/>
      <c r="J41" s="49" t="str">
        <f>IF(ISBLANK(Mapa!$R$38),"",IF(H41="DESERTO","",IF(H41="PROPOSTA NÃO APRESENTADA","",IF(Mapa!$P$51="x","",Mapa!$R$38))))</f>
        <v/>
      </c>
      <c r="K41" s="40"/>
      <c r="L41" s="40"/>
    </row>
    <row r="42" spans="1:12" s="41" customFormat="1" ht="13.5" thickBot="1">
      <c r="A42" s="213"/>
      <c r="B42" s="39" t="str">
        <f>IF(ISBLANK(Mapa!$P$40),"",IF(Mapa!$P$51="x","",IF(Mapa!$P$40="1º",Mapa!$N$40,IF(Mapa!$P$41="1º",Mapa!$N$41,IF(Mapa!$P$42="1º",Mapa!$N$42,IF(Mapa!$P$43="1º",Mapa!$N$43,IF(Mapa!$P$44="1º",Mapa!$N$44,IF(Mapa!$P$45="1º",Mapa!$N$45,IF(Mapa!$P$46="1º",Mapa!$N$46,IF(Mapa!$P$47="1º",Mapa!$N$47,IF(Mapa!$P$48="1º",Mapa!$N$48,IF(Mapa!$P$49="1º",Mapa!$N$49,""))))))))))))</f>
        <v/>
      </c>
      <c r="C42" s="44" t="str">
        <f>IF(ISBLANK(Mapa!$P$40),"",IF(Mapa!$P$51="x","",IF(Mapa!$P$40="1º",Mapa!$O$40,IF(Mapa!$P$41="1º",Mapa!$O$41,IF(Mapa!$P$42="1º",Mapa!$O$42,IF(Mapa!$P$43="1º",Mapa!$O$43,IF(Mapa!$P$44="1º",Mapa!$O$44,IF(Mapa!$P$45="1º",Mapa!$O$45,IF(Mapa!$P$46="1º",Mapa!$O$46,IF(Mapa!$P$47="1º",Mapa!$O$47,IF(Mapa!$P$48="1º",Mapa!$O$48,IF(Mapa!$P$49="1º",Mapa!$O$49,""))))))))))))</f>
        <v/>
      </c>
      <c r="D42" s="37" t="str">
        <f>IF(ISBLANK(Mapa!$S$38),"",IF(B41="DESERTO","",IF(Mapa!$P$51="x","",Mapa!$S$38)))</f>
        <v/>
      </c>
      <c r="E42" s="39" t="str">
        <f>IF(ISBLANK(Mapa!$P$40),"",IF(Mapa!$P$51="x","",IF(Mapa!$P$40="2º",Mapa!$N$40,IF(Mapa!$P$41="2º",Mapa!$N$41,IF(Mapa!$P$42="2º",Mapa!$N$42,IF(Mapa!$P$43="2º",Mapa!$N$43,IF(Mapa!$P$44="2º",Mapa!$N$44,IF(Mapa!$P$45="2º",Mapa!$N$45,IF(Mapa!$P$46="2º",Mapa!$N$46,IF(Mapa!$P$47="2º",Mapa!$N$47,IF(Mapa!$P$48="2º",Mapa!$N$48,IF(Mapa!$P$49="2º",Mapa!$N$49,""))))))))))))</f>
        <v/>
      </c>
      <c r="F42" s="44" t="str">
        <f>IF(ISBLANK(Mapa!$P$40),"",IF(Mapa!$P$51="x","",IF(Mapa!$P$40="2º",Mapa!$O$40,IF(Mapa!$P$41="2º",Mapa!$O$41,IF(Mapa!$P$42="2º",Mapa!$O$42,IF(Mapa!$P$43="2º",Mapa!$O$43,IF(Mapa!$P$44="2º",Mapa!$O$44,IF(Mapa!$P$45="2º",Mapa!$O$45,IF(Mapa!$P$46="2º",Mapa!$O$46,IF(Mapa!$P$47="2º",Mapa!$O$47,IF(Mapa!$P$48="2º",Mapa!$O$48,IF(Mapa!$P$49="2º",Mapa!$O$49,""))))))))))))</f>
        <v/>
      </c>
      <c r="G42" s="37" t="str">
        <f>IF(ISBLANK(Mapa!$S$38),"",IF(E41="DESERTO","",IF(E41="PROPOSTA NÃO APRESENTADA","",IF(Mapa!$P$51="x","",Mapa!$S$38))))</f>
        <v/>
      </c>
      <c r="H42" s="39" t="str">
        <f>IF(ISBLANK(Mapa!$P$40),"",IF(Mapa!$P$51="x","",IF(Mapa!$P$40="3º",Mapa!$N$40,IF(Mapa!$P$41="3º",Mapa!$N$41,IF(Mapa!$P$42="3º",Mapa!$N$42,IF(Mapa!$P$43="3º",Mapa!$N$43,IF(Mapa!$P$44="3º",Mapa!$N$44,IF(Mapa!$P$45="3º",Mapa!$N$45,IF(Mapa!$P$46="3º",Mapa!$N$46,IF(Mapa!$P$47="3º",Mapa!$N$47,IF(Mapa!$P$48="3º",Mapa!$N$48,IF(Mapa!$P$49="3º",Mapa!$N$49,""))))))))))))</f>
        <v/>
      </c>
      <c r="I42" s="44" t="str">
        <f>IF(ISBLANK(Mapa!$P$40),"",IF(Mapa!$P$51="x","",IF(Mapa!$P$40="3º",Mapa!$O$40,IF(Mapa!$P$41="3º",Mapa!$O$41,IF(Mapa!$P$42="3º",Mapa!$O$42,IF(Mapa!$P$43="3º",Mapa!$O$43,IF(Mapa!$P$44="3º",Mapa!$O$44,IF(Mapa!$P$45="3º",Mapa!$O$45,IF(Mapa!$P$46="3º",Mapa!$O$46,IF(Mapa!$P$47="3º",Mapa!$O$47,IF(Mapa!$P$48="3º",Mapa!$O$48,IF(Mapa!$P$49="3º",Mapa!$O$49,""))))))))))))</f>
        <v/>
      </c>
      <c r="J42" s="37" t="str">
        <f>IF(ISBLANK(Mapa!$S$38),"",IF(H41="DESERTO","",IF(H41="PROPOSTA NÃO APRESENTADA","",IF(Mapa!$P$51="x","",Mapa!$S$38))))</f>
        <v/>
      </c>
      <c r="K42" s="40"/>
      <c r="L42" s="40"/>
    </row>
    <row r="43" spans="1:12" s="7" customFormat="1" ht="16.5" thickTop="1" thickBot="1">
      <c r="A43" s="214" t="e">
        <f>IF(ISBLANK(Mapa!S37),"",Mapa!S37)</f>
        <v>#N/A</v>
      </c>
      <c r="B43" s="32" t="s">
        <v>567</v>
      </c>
      <c r="C43" s="33" t="str">
        <f>IF(ISBLANK(Mapa!$P$40),"",IF(Mapa!$P$51="x","",IF(Mapa!$P$40="1º",Mapa!$Q$40,IF(Mapa!$P$41="1º",Mapa!$Q$41,IF(Mapa!$P$42="1º",Mapa!$Q$42,IF(Mapa!$P$42="1º",Mapa!$Q$43,IF(Mapa!$P$43="1º",Mapa!$Q$44,IF(Mapa!$P$45="1º",Mapa!$Q$45,IF(Mapa!$P$46="1º",Mapa!$Q$46,IF(Mapa!$P$47="1º",Mapa!$Q$47,IF(Mapa!$P$48="1º",Mapa!$Q$48,IF(Mapa!$P$49="1º",Mapa!$Q$49,""))))))))))))</f>
        <v/>
      </c>
      <c r="D43" s="50" t="str">
        <f>IF(ISBLANK(Mapa!$P$40),"",IF(Mapa!$P$51="x","",IF(Mapa!$P$40="1º",Mapa!$S$40,IF(Mapa!$P$41="1º",Mapa!$S$41,IF(Mapa!$P$42="1º",Mapa!$S$42,IF(Mapa!$P$43="1º",Mapa!$S$43,IF(Mapa!$P$44="1º",Mapa!$S$44,IF(Mapa!$P$45="1º",Mapa!$S$45,IF(Mapa!$P$46="1º",Mapa!$S$46,IF(Mapa!$P$47="1º",Mapa!$S$47,IF(Mapa!$P$48="1º",Mapa!$S$48,IF(Mapa!$P$49="1º",Mapa!$S$49,""))))))))))))</f>
        <v/>
      </c>
      <c r="E43" s="32" t="s">
        <v>567</v>
      </c>
      <c r="F43" s="33" t="str">
        <f>IF(ISBLANK(Mapa!$P$40),"",IF(Mapa!$P$51="x","",IF(Mapa!$P$40="2º",Mapa!$Q$40,IF(Mapa!$P$41="2º",Mapa!$Q$41,IF(Mapa!$P$42="2º",Mapa!$Q$42,IF(Mapa!$P$43="2º",Mapa!$Q$43,IF(Mapa!$P$44="2º",Mapa!$Q$44,IF(Mapa!$P$45="2º",Mapa!$Q$45,IF(Mapa!$P$46="2º",Mapa!$Q$46,IF(Mapa!$P$47="2º",Mapa!$Q$47,IF(Mapa!$P$48="2º",Mapa!$Q$48,IF(Mapa!$P$49="2º",Mapa!$Q$49,""))))))))))))</f>
        <v/>
      </c>
      <c r="G43" s="50" t="str">
        <f>IF(ISBLANK(Mapa!$P$40),"",IF(Mapa!$P$51="x","",IF(Mapa!$P$40="2º",Mapa!$S$40,IF(Mapa!$P$41="2º",Mapa!$S$41,IF(Mapa!$P$42="2º",Mapa!$S$42,IF(Mapa!$P$43="2º",Mapa!$S$43,IF(Mapa!$P$44="2º",Mapa!$S$44,IF(Mapa!$P$45="2º",Mapa!$S$45,IF(Mapa!$P$46="2º",Mapa!$S$46,IF(Mapa!$P$47="2º",Mapa!$S$47,IF(Mapa!$P$48="2º",Mapa!$S$48,IF(Mapa!$P$49="2º",Mapa!$S$49,""))))))))))))</f>
        <v/>
      </c>
      <c r="H43" s="32" t="s">
        <v>567</v>
      </c>
      <c r="I43" s="33" t="str">
        <f>IF(ISBLANK(Mapa!$P$40),"",IF(Mapa!$P$51="x","",IF(Mapa!$P$40="3º",Mapa!$Q$40,IF(Mapa!$P$41="3º",Mapa!$Q$41,IF(Mapa!$P$42="3º",Mapa!$Q$42,IF(Mapa!$P$43="3º",Mapa!$Q$43,IF(Mapa!$P$44="3º",Mapa!$Q$44,IF(Mapa!$P$45="3º",Mapa!$Q$45,IF(Mapa!$P$46="3º",Mapa!$Q$46,IF(Mapa!$P$47="3º",Mapa!$Q$47,IF(Mapa!$P$48="3º",Mapa!$Q$48,IF(Mapa!$P$49="3º",Mapa!$Q$49,""))))))))))))</f>
        <v/>
      </c>
      <c r="J43" s="50" t="str">
        <f>IF(ISBLANK(Mapa!$P$40),"",IF(Mapa!$P$51="x","",IF(Mapa!$P$40="3º",Mapa!$S$40,IF(Mapa!$P$41="3º",Mapa!$S$41,IF(Mapa!$P$42="3º",Mapa!$S$42,IF(Mapa!$P$43="3º",Mapa!$S$43,IF(Mapa!$P$44="3º",Mapa!$S$44,IF(Mapa!$P$45="3º",Mapa!$S$45,IF(Mapa!$P$46="3º",Mapa!$S$46,IF(Mapa!$P$47="3º",Mapa!$S$47,IF(Mapa!$P$48="3º",Mapa!$S$48,IF(Mapa!$P$49="3º",Mapa!$S$49,""))))))))))))</f>
        <v/>
      </c>
      <c r="K43" s="22"/>
      <c r="L43" s="22"/>
    </row>
    <row r="44" spans="1:12" s="65" customFormat="1" ht="17.25" customHeight="1" thickTop="1" thickBot="1">
      <c r="A44" s="873" t="s">
        <v>798</v>
      </c>
      <c r="B44" s="874"/>
      <c r="C44" s="875"/>
      <c r="D44" s="876" t="str">
        <f>IF(ISBLANK(Mapa!$Q$51),"",Mapa!$Q$51)</f>
        <v/>
      </c>
      <c r="E44" s="877"/>
      <c r="F44" s="877"/>
      <c r="G44" s="877"/>
      <c r="H44" s="877"/>
      <c r="I44" s="877"/>
      <c r="J44" s="878"/>
      <c r="K44" s="2"/>
      <c r="L44" s="2"/>
    </row>
    <row r="45" spans="1:12" s="41" customFormat="1" ht="27" customHeight="1" thickTop="1">
      <c r="A45" s="212">
        <v>10</v>
      </c>
      <c r="B45" s="885" t="str">
        <f>IF(ISBLANK(Mapa!$D$57),"",IF(Mapa!$D$68="x","CANCELADO",IF(Mapa!$D$57="1º",Mapa!$A$57,IF(Mapa!$D$58="1º",Mapa!$A$58,IF(Mapa!$D$59="1º",Mapa!$A$59,IF(Mapa!$D$60="1º",Mapa!$A$60,IF(Mapa!$D$61="1º",Mapa!$A$61,IF(Mapa!$D$62="1º",Mapa!$A$62,IF(Mapa!$D$63="1º",Mapa!$A$63,IF(Mapa!$D$64="1º",Mapa!$A$64,IF(Mapa!$D$65="1º",Mapa!$A$65,IF(Mapa!$D$66="1º",Mapa!$A$66,"DESERTO"))))))))))))</f>
        <v>DESERTO</v>
      </c>
      <c r="C45" s="886"/>
      <c r="D45" s="49" t="str">
        <f>IF(ISBLANK(Mapa!$F$55),"",IF(B45="DESERTO","",IF(Mapa!$D$68="x","",Mapa!$F$55)))</f>
        <v/>
      </c>
      <c r="E45" s="887" t="str">
        <f>IF(ISBLANK(Mapa!$D$57),"",IF(Mapa!$D$68="x","CANCELADO",IF(Mapa!$D$57="2º",Mapa!$A$57,IF(Mapa!$D$58="2º",Mapa!$A$58,IF(Mapa!$D$59="2º",Mapa!$A$59,IF(Mapa!$D$60="2º",Mapa!$A$60,IF(Mapa!$D$61="2º",Mapa!$A$61,IF(Mapa!$D$62="2º",Mapa!$A$62,IF(Mapa!$D$63="2º",Mapa!$A$63,IF(Mapa!$D$64="2º",Mapa!$A$64,IF(Mapa!$D$65="2º",Mapa!$A$65,IF(Mapa!$D$66="2º",Mapa!$A$66,IF(B45="DESERTO","DESERTO","PROPOSTA NÃO APRESENTADA")))))))))))))</f>
        <v>DESERTO</v>
      </c>
      <c r="F45" s="888"/>
      <c r="G45" s="49" t="str">
        <f>IF(ISBLANK(Mapa!$F$55),"",IF(E45="DESERTO","",IF(E45="PROPOSTA NÃO APRESENTADA","",IF(Mapa!$D$68="x","",Mapa!$F$55))))</f>
        <v/>
      </c>
      <c r="H45" s="887" t="str">
        <f>IF(ISBLANK(Mapa!$D$57),"",IF(Mapa!$D$68="x","CANCELADO",IF(Mapa!$D$57="3º",Mapa!$A$57,IF(Mapa!$D$58="3º",Mapa!$A$58,IF(Mapa!$D$59="3º",Mapa!$A$59,IF(Mapa!$D$60="3º",Mapa!$A$60,IF(Mapa!$D$61="3º",Mapa!$A$61,IF(Mapa!$D$62="3º",Mapa!$A$62,IF(Mapa!$D$63="3º",Mapa!$A$63,IF(Mapa!$D$64="3º",Mapa!$A$64,IF(Mapa!$D$65="3º",Mapa!$A$65,IF(Mapa!$D$66="3º",Mapa!$A$66,IF(B45="DESERTO","DESERTO","PROPOSTA NÃO APRESENTADA")))))))))))))</f>
        <v>DESERTO</v>
      </c>
      <c r="I45" s="888"/>
      <c r="J45" s="49" t="str">
        <f>IF(ISBLANK(Mapa!$F$55),"",IF(H45="DESERTO","",IF(H45="PROPOSTA NÃO APRESENTADA","",IF(Mapa!$D$68="x","",Mapa!$F$55))))</f>
        <v/>
      </c>
      <c r="K45" s="40"/>
      <c r="L45" s="40"/>
    </row>
    <row r="46" spans="1:12" s="41" customFormat="1" ht="13.5" thickBot="1">
      <c r="A46" s="213"/>
      <c r="B46" s="39" t="str">
        <f>IF(ISBLANK(Mapa!$D$57),"",IF(Mapa!$D$68="x","",IF(Mapa!$D$57="1º",Mapa!$B$57,IF(Mapa!$D$58="1º",Mapa!$B$58,IF(Mapa!$D$59="1º",Mapa!$B$59,IF(Mapa!$D$60="1º",Mapa!$B$60,IF(Mapa!$D$61="1º",Mapa!$B$61,IF(Mapa!$D$62="1º",Mapa!$B$62,IF(Mapa!$D$63="1º",Mapa!$B$63,IF(Mapa!$D$64="1º",Mapa!$B$64,IF(Mapa!$D$65="1º",Mapa!$B$65,IF(Mapa!$D$66="1º",Mapa!$B$66,""))))))))))))</f>
        <v/>
      </c>
      <c r="C46" s="44" t="str">
        <f>IF(ISBLANK(Mapa!$D$57),"",IF(Mapa!$D$68="x","",IF(Mapa!$D$57="1º",Mapa!$C$57,IF(Mapa!$D$58="1º",Mapa!$C$58,IF(Mapa!$D$59="1º",Mapa!$C$59,IF(Mapa!$D$60="1º",Mapa!$C$60,IF(Mapa!$D$61="1º",Mapa!$C$61,IF(Mapa!$D$62="1º",Mapa!$C$62,IF(Mapa!$D$63="1º",Mapa!$C$63,IF(Mapa!$D$64="1º",Mapa!$C$64,IF(Mapa!$D$65="1º",Mapa!$C$65,IF(Mapa!$D$66="1º",Mapa!$C$66,""))))))))))))</f>
        <v/>
      </c>
      <c r="D46" s="37" t="str">
        <f>IF(ISBLANK(Mapa!$G$55),"",IF(B45="DESERTO","",IF(Mapa!$D$68="x","",Mapa!$G$55)))</f>
        <v/>
      </c>
      <c r="E46" s="39" t="str">
        <f>IF(ISBLANK(Mapa!$D$57),"",IF(Mapa!$D$68="x","",IF(Mapa!$D$57="2º",Mapa!$B$57,IF(Mapa!$D$58="2º",Mapa!$B$58,IF(Mapa!$D$59="2º",Mapa!$B$59,IF(Mapa!$D$60="2º",Mapa!$B$60,IF(Mapa!$D$61="2º",Mapa!$B$61,IF(Mapa!$D$62="2º",Mapa!$B$62,IF(Mapa!$D$63="2º",Mapa!$B$63,IF(Mapa!$D$64="2º",Mapa!$B$64,IF(Mapa!$D$65="2º",Mapa!$B$65,IF(Mapa!$D$66="2º",Mapa!$B$66,""))))))))))))</f>
        <v/>
      </c>
      <c r="F46" s="44" t="str">
        <f>IF(ISBLANK(Mapa!$D$57),"",IF(Mapa!$D$68="x","",IF(Mapa!$D$57="2º",Mapa!$C$57,IF(Mapa!$D$58="2º",Mapa!$C$58,IF(Mapa!$D$59="2º",Mapa!$C$59,IF(Mapa!$D$60="2º",Mapa!$C$60,IF(Mapa!$D$61="2º",Mapa!$C$61,IF(Mapa!$D$62="2º",Mapa!$C$62,IF(Mapa!$D$63="2º",Mapa!$C$63,IF(Mapa!$D$64="2º",Mapa!$C$64,IF(Mapa!$D$65="2º",Mapa!$C$65,IF(Mapa!$D$66="2º",Mapa!$C$66,""))))))))))))</f>
        <v/>
      </c>
      <c r="G46" s="37" t="str">
        <f>IF(ISBLANK(Mapa!$G$55),"",IF(E45="DESERTO","",IF(E45="PROPOSTA NÃO APRESENTADA","",IF(Mapa!$D$68="x","",Mapa!$G$55))))</f>
        <v/>
      </c>
      <c r="H46" s="39" t="str">
        <f>IF(ISBLANK(Mapa!$D$57),"",IF(Mapa!$D$68="x","",IF(Mapa!$D$57="3º",Mapa!$B$57,IF(Mapa!$D$58="3º",Mapa!$B$58,IF(Mapa!$D$59="3º",Mapa!$B$59,IF(Mapa!$D$60="3º",Mapa!$B$60,IF(Mapa!$D$61="3º",Mapa!$B$61,IF(Mapa!$D$62="3º",Mapa!$B$62,IF(Mapa!$D$63="3º",Mapa!$B$63,IF(Mapa!$D$64="3º",Mapa!$B$64,IF(Mapa!$D$65="3º",Mapa!$B$65,IF(Mapa!$D$66="3º",Mapa!$B$66,""))))))))))))</f>
        <v/>
      </c>
      <c r="I46" s="44" t="str">
        <f>IF(ISBLANK(Mapa!$D$57),"",IF(Mapa!$D$68="x","",IF(Mapa!$D$57="3º",Mapa!$C$57,IF(Mapa!$D$58="3º",Mapa!$C$58,IF(Mapa!$D$59="3º",Mapa!$C$59,IF(Mapa!$D$60="3º",Mapa!$C$60,IF(Mapa!$D$61="3º",Mapa!$C$61,IF(Mapa!$D$62="3º",Mapa!$C$62,IF(Mapa!$D$63="3º",Mapa!$C$63,IF(Mapa!$D$64="3º",Mapa!$C$64,IF(Mapa!$D$65="3º",Mapa!$C$65,IF(Mapa!$D$66="3º",Mapa!$C$66,""))))))))))))</f>
        <v/>
      </c>
      <c r="J46" s="37" t="str">
        <f>IF(ISBLANK(Mapa!$G$55),"",IF(H45="DESERTO","",IF(H45="PROPOSTA NÃO APRESENTADA","",IF(Mapa!$D$68="x","",Mapa!$G$55))))</f>
        <v/>
      </c>
      <c r="K46" s="40"/>
      <c r="L46" s="40"/>
    </row>
    <row r="47" spans="1:12" s="7" customFormat="1" ht="16.5" thickTop="1" thickBot="1">
      <c r="A47" s="214" t="e">
        <f>IF(ISBLANK(Mapa!G54),"",Mapa!G54)</f>
        <v>#N/A</v>
      </c>
      <c r="B47" s="32" t="s">
        <v>567</v>
      </c>
      <c r="C47" s="33" t="str">
        <f>IF(ISBLANK(Mapa!$D$57),"",IF(Mapa!$D$68="x","",IF(Mapa!$D$57="1º",Mapa!$E$57,IF(Mapa!$D$58="1º",Mapa!$E$58,IF(Mapa!$D$59="1º",Mapa!$E$59,IF(Mapa!$D$60="1º",Mapa!$E$60,IF(Mapa!$D$61="1º",Mapa!$E$61,IF(Mapa!$D$62="1º",Mapa!$E$62,IF(Mapa!$D$63="1º",Mapa!$E$63,IF(Mapa!$D$64="1º",Mapa!$E$64,IF(Mapa!$D$65="1º",Mapa!$E$65,IF(Mapa!$D$66="1º",Mapa!$E$66,""))))))))))))</f>
        <v/>
      </c>
      <c r="D47" s="50" t="str">
        <f>IF(ISBLANK(Mapa!$D$57),"",IF(Mapa!$D$68="x","",IF(Mapa!$D$57="1º",Mapa!$G$57,IF(Mapa!$D$58="1º",Mapa!$G$58,IF(Mapa!$D$59="1º",Mapa!$G$59,IF(Mapa!$D$60="1º",Mapa!$G$60,IF(Mapa!$D$61="1º",Mapa!$G$61,IF(Mapa!$D$62="1º",Mapa!$G$62,IF(Mapa!$D$63="1º",Mapa!$G$63,IF(Mapa!$D$64="1º",Mapa!$G$64,IF(Mapa!$D$65="1º",Mapa!$G$65,IF(Mapa!$D$66="1º",Mapa!$G$66,""))))))))))))</f>
        <v/>
      </c>
      <c r="E47" s="32" t="s">
        <v>567</v>
      </c>
      <c r="F47" s="33" t="str">
        <f>IF(ISBLANK(Mapa!$D$57),"",IF(Mapa!$D$68="x","",IF(Mapa!$D$57="2º",Mapa!$E$57,IF(Mapa!$D$58="2º",Mapa!$E$58,IF(Mapa!$D$59="2º",Mapa!$E$59,IF(Mapa!$D$60="2º",Mapa!$E$60,IF(Mapa!$D$61="2º",Mapa!$E$61,IF(Mapa!$D$62="2º",Mapa!$E$62,IF(Mapa!$D$63="2º",Mapa!$E$63,IF(Mapa!$D$64="2º",Mapa!$E$64,IF(Mapa!$D$65="2º",Mapa!$E$65,IF(Mapa!$D$66="2º",Mapa!$E$66,""))))))))))))</f>
        <v/>
      </c>
      <c r="G47" s="50" t="str">
        <f>IF(ISBLANK(Mapa!$D$57),"",IF(Mapa!$D$68="x","",IF(Mapa!$D$57="2º",Mapa!$G$57,IF(Mapa!$D$58="2º",Mapa!$G$58,IF(Mapa!$D$59="2º",Mapa!$G$59,IF(Mapa!$D$60="2º",Mapa!$G$60,IF(Mapa!$D$61="2º",Mapa!$G$61,IF(Mapa!$D$62="2º",Mapa!$G$62,IF(Mapa!$D$63="2º",Mapa!$G$63,IF(Mapa!$D$64="2º",Mapa!$G$64,IF(Mapa!$D$65="2º",Mapa!$G$65,IF(Mapa!$D$66="2º",Mapa!$G$66,""))))))))))))</f>
        <v/>
      </c>
      <c r="H47" s="32" t="s">
        <v>567</v>
      </c>
      <c r="I47" s="33" t="str">
        <f>IF(ISBLANK(Mapa!$D$57),"",IF(Mapa!$D$68="x","",IF(Mapa!$D$57="3º",Mapa!$E$57,IF(Mapa!$D$58="3º",Mapa!$E$58,IF(Mapa!$D$59="3º",Mapa!$E$59,IF(Mapa!$D$60="3º",Mapa!$E$60,IF(Mapa!$D$61="3º",Mapa!$E$61,IF(Mapa!$D$62="3º",Mapa!$E$62,IF(Mapa!$D$63="3º",Mapa!$E$63,IF(Mapa!$D$64="3º",Mapa!$E$64,IF(Mapa!$D$65="3º",Mapa!$E$65,IF(Mapa!$D$66="3º",Mapa!$E$66,""))))))))))))</f>
        <v/>
      </c>
      <c r="J47" s="50" t="str">
        <f>IF(ISBLANK(Mapa!$D$57),"",IF(Mapa!$D$68="x","",IF(Mapa!$D$57="3º",Mapa!$G$57,IF(Mapa!$D$58="3º",Mapa!$G$58,IF(Mapa!$D$59="3º",Mapa!$G$59,IF(Mapa!$D$60="3º",Mapa!$G$60,IF(Mapa!$D$61="3º",Mapa!$G$61,IF(Mapa!$D$62="3º",Mapa!$G$62,IF(Mapa!$D$63="3º",Mapa!$G$63,IF(Mapa!$D$64="3º",Mapa!$G$64,IF(Mapa!$D$65="3º",Mapa!$G$65,IF(Mapa!$D$66="3º",Mapa!$G$66,""))))))))))))</f>
        <v/>
      </c>
      <c r="K47" s="22"/>
      <c r="L47" s="22"/>
    </row>
    <row r="48" spans="1:12" s="65" customFormat="1" ht="17.25" customHeight="1" thickTop="1" thickBot="1">
      <c r="A48" s="873" t="s">
        <v>798</v>
      </c>
      <c r="B48" s="874"/>
      <c r="C48" s="875"/>
      <c r="D48" s="876" t="str">
        <f>IF(ISBLANK(Mapa!$E$68),"",Mapa!$E$68)</f>
        <v/>
      </c>
      <c r="E48" s="877"/>
      <c r="F48" s="877"/>
      <c r="G48" s="877"/>
      <c r="H48" s="877"/>
      <c r="I48" s="877"/>
      <c r="J48" s="878"/>
      <c r="K48" s="2"/>
      <c r="L48" s="2"/>
    </row>
    <row r="49" spans="1:12" s="41" customFormat="1" ht="27" customHeight="1" thickTop="1">
      <c r="A49" s="212">
        <v>11</v>
      </c>
      <c r="B49" s="885" t="str">
        <f>IF(ISBLANK(Mapa!$J$57),"",IF(Mapa!$J$68="x","CANCELADO",IF(Mapa!$J$57="1º",Mapa!$A$57,IF(Mapa!$J$58="1º",Mapa!$A$58,IF(Mapa!$J$59="1º",Mapa!$A$59,IF(Mapa!$J$60="1º",Mapa!$A$60,IF(Mapa!$J$61="1º",Mapa!$A$61,IF(Mapa!$J$62="1º",Mapa!$A$62,IF(Mapa!$J$63="1º",Mapa!$A$63,IF(Mapa!$J$64="1º",Mapa!$A$64,IF(Mapa!$J$65="1º",Mapa!$A$65,IF(Mapa!$J$66="1º",Mapa!$A$66,"DESERTO"))))))))))))</f>
        <v>DESERTO</v>
      </c>
      <c r="C49" s="886"/>
      <c r="D49" s="49" t="str">
        <f>IF(ISBLANK(Mapa!$L$55),"",IF(B49="DESERTO","",IF(Mapa!$J$68="x","",Mapa!$L$55)))</f>
        <v/>
      </c>
      <c r="E49" s="887" t="str">
        <f>IF(ISBLANK(Mapa!$J$57),"",IF(Mapa!$J$68="x","CANCELADO",IF(Mapa!$J$57="2º",Mapa!$A$57,IF(Mapa!$J$58="2º",Mapa!$A$58,IF(Mapa!$J$59="2º",Mapa!$A$59,IF(Mapa!$J$60="2º",Mapa!$A$60,IF(Mapa!$J$61="2º",Mapa!$A$61,IF(Mapa!$J$62="2º",Mapa!$A$62,IF(Mapa!$J$63="2º",Mapa!$A$63,IF(Mapa!$J$64="2º",Mapa!$A$64,IF(Mapa!$J$65="2º",Mapa!$A$65,IF(Mapa!$J$66="2º",Mapa!$A$66,IF(B49="DESERTO","DESERTO","PROPOSTA NÃO APRESENTADA")))))))))))))</f>
        <v>DESERTO</v>
      </c>
      <c r="F49" s="888"/>
      <c r="G49" s="49" t="str">
        <f>IF(ISBLANK(Mapa!$L$55),"",IF(E49="DESERTO","",IF(E49="PROPOSTA NÃO APRESENTADA","",IF(Mapa!$J$68="x","",Mapa!$L$55))))</f>
        <v/>
      </c>
      <c r="H49" s="887" t="str">
        <f>IF(ISBLANK(Mapa!$J$57),"",IF(Mapa!$J$68="x","CANCELADO",IF(Mapa!$J$57="3º",Mapa!$A$57,IF(Mapa!$J$58="3º",Mapa!$A$58,IF(Mapa!$J$59="3º",Mapa!$A$59,IF(Mapa!$J$60="3º",Mapa!$A$60,IF(Mapa!$J$61="3º",Mapa!$A$61,IF(Mapa!$J$62="3º",Mapa!$A$62,IF(Mapa!$J$63="3º",Mapa!$A$63,IF(Mapa!$J$64="3º",Mapa!$A$64,IF(Mapa!$J$65="3º",Mapa!$A$65,IF(Mapa!$J$66="3º",Mapa!$A$66,IF(B49="DESERTO","DESERTO","PROPOSTA NÃO APRESENTADA")))))))))))))</f>
        <v>DESERTO</v>
      </c>
      <c r="I49" s="888"/>
      <c r="J49" s="49" t="str">
        <f>IF(ISBLANK(Mapa!$L$55),"",IF(H49="DESERTO","",IF(H49="PROPOSTA NÃO APRESENTADA","",IF(Mapa!$J$68="x","",Mapa!$L$55))))</f>
        <v/>
      </c>
      <c r="K49" s="40"/>
      <c r="L49" s="40"/>
    </row>
    <row r="50" spans="1:12" s="41" customFormat="1" ht="13.5" thickBot="1">
      <c r="A50" s="213"/>
      <c r="B50" s="39" t="str">
        <f>IF(ISBLANK(Mapa!$J$57),"",IF(Mapa!$J$68="x","",IF(Mapa!$J$57="1º",Mapa!$H$57,IF(Mapa!$J$58="1º",Mapa!$H$58,IF(Mapa!$J$59="1º",Mapa!$H$59,IF(Mapa!$J$60="1º",Mapa!$H$60,IF(Mapa!$J$61="1º",Mapa!$H$61,IF(Mapa!$J$62="1º",Mapa!$H$62,IF(Mapa!$J$63="1º",Mapa!$H$63,IF(Mapa!$J$64="1º",Mapa!$H$64,IF(Mapa!$J$65="1º",Mapa!$H$65,IF(Mapa!$J$66="1º",Mapa!$H$66,""))))))))))))</f>
        <v/>
      </c>
      <c r="C50" s="44" t="str">
        <f>IF(ISBLANK(Mapa!$J$57),"",IF(Mapa!$J$68="x","",IF(Mapa!$J$57="1º",Mapa!$I$57,IF(Mapa!$J$58="1º",Mapa!$I$58,IF(Mapa!$J$59="1º",Mapa!$I$59,IF(Mapa!$J$60="1º",Mapa!$I$60,IF(Mapa!$J$61="1º",Mapa!$I$61,IF(Mapa!$J$62="1º",Mapa!$I$62,IF(Mapa!$J$63="1º",Mapa!$I$63,IF(Mapa!$J$64="1º",Mapa!$I$64,IF(Mapa!$J$65="1º",Mapa!$I$65,IF(Mapa!$J$66="1º",Mapa!$I$66,""))))))))))))</f>
        <v/>
      </c>
      <c r="D50" s="37" t="str">
        <f>IF(ISBLANK(Mapa!$M$55),"",IF(B49="DESERTO","",IF(Mapa!$J$68="x","",Mapa!$M$55)))</f>
        <v/>
      </c>
      <c r="E50" s="39" t="str">
        <f>IF(ISBLANK(Mapa!$J$57),"",IF(Mapa!$J$68="x","",IF(Mapa!$J$57="2º",Mapa!$H$57,IF(Mapa!$J$58="2º",Mapa!$H$58,IF(Mapa!$J$59="2º",Mapa!$H$59,IF(Mapa!$J$60="2º",Mapa!$H$60,IF(Mapa!$J$61="2º",Mapa!$H$61,IF(Mapa!$J$62="2º",Mapa!$H$62,IF(Mapa!$J$63="2º",Mapa!$H$63,IF(Mapa!$J$64="2º",Mapa!$H$64,IF(Mapa!$J$65="2º",Mapa!$H$65,IF(Mapa!$J$66="2º",Mapa!$H$66,""))))))))))))</f>
        <v/>
      </c>
      <c r="F50" s="44" t="str">
        <f>IF(ISBLANK(Mapa!$J$57),"",IF(Mapa!$J$68="x","",IF(Mapa!$J$57="2º",Mapa!$I$57,IF(Mapa!$J$58="2º",Mapa!$I$58,IF(Mapa!$J$59="2º",Mapa!$I$59,IF(Mapa!$J$60="2º",Mapa!$I$60,IF(Mapa!$J$61="2º",Mapa!$I$61,IF(Mapa!$J$62="2º",Mapa!$I$62,IF(Mapa!$J$63="2º",Mapa!$I$63,IF(Mapa!$J$64="2º",Mapa!$I$64,IF(Mapa!$J$65="2º",Mapa!$I$65,IF(Mapa!$J$66="2º",Mapa!$I$66,""))))))))))))</f>
        <v/>
      </c>
      <c r="G50" s="37" t="str">
        <f>IF(ISBLANK(Mapa!$M$55),"",IF(E49="DESERTO","",IF(E49="PROPOSTA NÃO APRESENTADA","",IF(Mapa!$J$68="x","",Mapa!$M$55))))</f>
        <v/>
      </c>
      <c r="H50" s="39" t="str">
        <f>IF(ISBLANK(Mapa!$J$57),"",IF(Mapa!$J$68="x","",IF(Mapa!$J$57="3º",Mapa!$H$57,IF(Mapa!$J$58="3º",Mapa!$H$58,IF(Mapa!$J$59="3º",Mapa!$H$59,IF(Mapa!$J$60="3º",Mapa!$H$60,IF(Mapa!$J$61="3º",Mapa!$H$61,IF(Mapa!$J$62="3º",Mapa!$H$62,IF(Mapa!$J$63="3º",Mapa!$H$63,IF(Mapa!$J$64="3º",Mapa!$H$64,IF(Mapa!$J$65="3º",Mapa!$H$65,IF(Mapa!$J$66="3º",Mapa!$H$66,""))))))))))))</f>
        <v/>
      </c>
      <c r="I50" s="44" t="str">
        <f>IF(ISBLANK(Mapa!$J$57),"",IF(Mapa!$J$68="x","",IF(Mapa!$J$57="3º",Mapa!$I$57,IF(Mapa!$J$58="3º",Mapa!$I$58,IF(Mapa!$J$59="3º",Mapa!$I$59,IF(Mapa!$J$60="3º",Mapa!$I$60,IF(Mapa!$J$61="3º",Mapa!$I$61,IF(Mapa!$J$62="3º",Mapa!$I$62,IF(Mapa!$J$63="3º",Mapa!$I$63,IF(Mapa!$J$64="3º",Mapa!$I$64,IF(Mapa!$J$65="3º",Mapa!$I$65,IF(Mapa!$J$66="3º",Mapa!$I$66,""))))))))))))</f>
        <v/>
      </c>
      <c r="J50" s="37" t="str">
        <f>IF(ISBLANK(Mapa!$M$55),"",IF(H49="DESERTO","",IF(H49="PROPOSTA NÃO APRESENTADA","",IF(Mapa!$J$68="x","",Mapa!$M$55))))</f>
        <v/>
      </c>
      <c r="K50" s="40"/>
      <c r="L50" s="40"/>
    </row>
    <row r="51" spans="1:12" s="7" customFormat="1" ht="16.5" thickTop="1" thickBot="1">
      <c r="A51" s="214" t="e">
        <f>IF(ISBLANK(Mapa!M54),"",Mapa!M54)</f>
        <v>#N/A</v>
      </c>
      <c r="B51" s="32" t="s">
        <v>567</v>
      </c>
      <c r="C51" s="33" t="str">
        <f>IF(ISBLANK(Mapa!$J$57),"",IF(Mapa!$J$68="x","",IF(Mapa!$J$57="1º",Mapa!$K$57,IF(Mapa!$J$58="1º",Mapa!$K$58,IF(Mapa!$J$59="1º",Mapa!$K$59,IF(Mapa!$J$60="1º",Mapa!$K$60,IF(Mapa!$J$61="1º",Mapa!$K$61,IF(Mapa!$J$62="1º",Mapa!$K$62,IF(Mapa!$J$63="1º",Mapa!$K$63,IF(Mapa!$J$64="1º",Mapa!$K$64,IF(Mapa!$J$65="1º",Mapa!$K$65,IF(Mapa!$J$66="1º",Mapa!$K$66,""))))))))))))</f>
        <v/>
      </c>
      <c r="D51" s="50" t="str">
        <f>IF(ISBLANK(Mapa!$J$57),"",IF(Mapa!$J$68="x","",IF(Mapa!$J$57="1º",Mapa!$M$57,IF(Mapa!$J$58="1º",Mapa!$M$58,IF(Mapa!$J$59="1º",Mapa!$M$59,IF(Mapa!$J$60="1º",Mapa!$M$60,IF(Mapa!$J$61="1º",Mapa!$M$61,IF(Mapa!$J$62="1º",Mapa!$M$62,IF(Mapa!$J$63="1º",Mapa!$M$63,IF(Mapa!$J$64="1º",Mapa!$M$64,IF(Mapa!$J$65="1º",Mapa!$M$65,IF(Mapa!$J$66="1º",Mapa!$M$66,""))))))))))))</f>
        <v/>
      </c>
      <c r="E51" s="32" t="s">
        <v>567</v>
      </c>
      <c r="F51" s="33" t="str">
        <f>IF(ISBLANK(Mapa!$J$57),"",IF(Mapa!$J$68="x","",IF(Mapa!$J$57="2º",Mapa!$K$57,IF(Mapa!$J$58="2º",Mapa!$K$58,IF(Mapa!$J$59="2º",Mapa!$K$59,IF(Mapa!$J$60="2º",Mapa!$K$60,IF(Mapa!$J$61="2º",Mapa!$K$61,IF(Mapa!$J$62="2º",Mapa!$K$62,IF(Mapa!$J$63="2º",Mapa!$K$63,IF(Mapa!$J$64="2º",Mapa!$K$64,IF(Mapa!$J$65="2º",Mapa!$K$65,IF(Mapa!$J$66="2º",Mapa!$K$66,""))))))))))))</f>
        <v/>
      </c>
      <c r="G51" s="50" t="str">
        <f>IF(ISBLANK(Mapa!$J$57),"",IF(Mapa!$J$68="x","",IF(Mapa!$J$57="2º",Mapa!$M$57,IF(Mapa!$J$58="2º",Mapa!$M$58,IF(Mapa!$J$59="2º",Mapa!$M$59,IF(Mapa!$J$60="2º",Mapa!$M$60,IF(Mapa!$J$61="2º",Mapa!$M$61,IF(Mapa!$J$62="2º",Mapa!$M$62,IF(Mapa!$J$63="2º",Mapa!$M$63,IF(Mapa!$J$64="2º",Mapa!$M$64,IF(Mapa!$J$65="2º",Mapa!$M$65,IF(Mapa!$J$66="2º",Mapa!$M$66,""))))))))))))</f>
        <v/>
      </c>
      <c r="H51" s="32" t="s">
        <v>567</v>
      </c>
      <c r="I51" s="33" t="str">
        <f>IF(ISBLANK(Mapa!$J$57),"",IF(Mapa!$J$68="x","",IF(Mapa!$J$57="3º",Mapa!$K$57,IF(Mapa!$J$58="3º",Mapa!$K$58,IF(Mapa!$J$59="3º",Mapa!$K$59,IF(Mapa!$J$60="3º",Mapa!$K$60,IF(Mapa!$J$61="3º",Mapa!$K$61,IF(Mapa!$J$62="3º",Mapa!$K$62,IF(Mapa!$J$63="3º",Mapa!$K$63,IF(Mapa!$J$64="3º",Mapa!$K$64,IF(Mapa!$J$65="3º",Mapa!$J$65,IF(Mapa!$J$66="3º",Mapa!$K$66,""))))))))))))</f>
        <v/>
      </c>
      <c r="J51" s="50" t="str">
        <f>IF(ISBLANK(Mapa!$J$57),"",IF(Mapa!$J$68="x","",IF(Mapa!$J$57="3º",Mapa!$M$57,IF(Mapa!$J$58="3º",Mapa!$M$58,IF(Mapa!$J$59="3º",Mapa!$M$59,IF(Mapa!$J$60="3º",Mapa!$M$60,IF(Mapa!$J$61="3º",Mapa!$M$61,IF(Mapa!$J$62="3º",Mapa!$M$62,IF(Mapa!$J$63="3º",Mapa!$M$63,IF(Mapa!$J$64="3º",Mapa!$M$64,IF(Mapa!$J$65="3º",Mapa!$M$65,IF(Mapa!$J$66="3º",Mapa!$M$66,""))))))))))))</f>
        <v/>
      </c>
      <c r="K51" s="22"/>
      <c r="L51" s="22"/>
    </row>
    <row r="52" spans="1:12" s="65" customFormat="1" ht="17.25" customHeight="1" thickTop="1" thickBot="1">
      <c r="A52" s="873" t="s">
        <v>798</v>
      </c>
      <c r="B52" s="874"/>
      <c r="C52" s="875"/>
      <c r="D52" s="876" t="str">
        <f>IF(ISBLANK(Mapa!$K$68),"",Mapa!$K$68)</f>
        <v/>
      </c>
      <c r="E52" s="877"/>
      <c r="F52" s="877"/>
      <c r="G52" s="877"/>
      <c r="H52" s="877"/>
      <c r="I52" s="877"/>
      <c r="J52" s="878"/>
      <c r="K52" s="2"/>
      <c r="L52" s="2"/>
    </row>
    <row r="53" spans="1:12" s="41" customFormat="1" ht="27" customHeight="1" thickTop="1">
      <c r="A53" s="212">
        <v>12</v>
      </c>
      <c r="B53" s="885" t="str">
        <f>IF(ISBLANK(Mapa!$P$57),"",IF(Mapa!$P$68="x","CANCELADO",IF(Mapa!$P$57="1º",Mapa!$A$57,IF(Mapa!$P$58="1º",Mapa!$A$58,IF(Mapa!$P$59="1º",Mapa!$A$59,IF(Mapa!$P$60="1º",Mapa!$A$60,IF(Mapa!$P$61="1º",Mapa!$A$61,IF(Mapa!$P$62="1º",Mapa!$A$62,IF(Mapa!$P$63="1º",Mapa!$A$63,IF(Mapa!$P$64="1º",Mapa!$A$64,IF(Mapa!$P$65="1º",Mapa!$A$65,IF(Mapa!$P$66="1º",Mapa!$A$66,"DESERTO"))))))))))))</f>
        <v>DESERTO</v>
      </c>
      <c r="C53" s="886"/>
      <c r="D53" s="49" t="str">
        <f>IF(ISBLANK(Mapa!$R$55),"",IF(B53="DESERTO","",IF(Mapa!$P$68="x","",Mapa!$R$55)))</f>
        <v/>
      </c>
      <c r="E53" s="887" t="str">
        <f>IF(ISBLANK(Mapa!$P$57),"",IF(Mapa!$P$68="x","CANCELADO",IF(Mapa!$P$57="2º",Mapa!$A$57,IF(Mapa!$P$58="2º",Mapa!$A$58,IF(Mapa!$P$59="2º",Mapa!$A$59,IF(Mapa!$P$60="2º",Mapa!$A$60,IF(Mapa!$P$61="2º",Mapa!$A$61,IF(Mapa!$P$62="2º",Mapa!$A$62,IF(Mapa!$P$63="2º",Mapa!$A$63,IF(Mapa!$J$64="2º",Mapa!$A$64,IF(Mapa!$P$65="2º",Mapa!$A$65,IF(Mapa!$P$66="2º",Mapa!$A$66,IF(B53="DESERTO","DESERTO","PROPOSTA NÃO APRESENTADA")))))))))))))</f>
        <v>DESERTO</v>
      </c>
      <c r="F53" s="888"/>
      <c r="G53" s="49" t="str">
        <f>IF(ISBLANK(Mapa!$R$55),"",IF(E53="DESERTO","",IF(E53="PROPOSTA NÃO APRESENTADA","",IF(Mapa!$P$68="x","",Mapa!$R$55))))</f>
        <v/>
      </c>
      <c r="H53" s="887" t="str">
        <f>IF(ISBLANK(Mapa!$P$57),"",IF(Mapa!$P$68="x","CANCELADO",IF(Mapa!$P$57="3º",Mapa!$A$57,IF(Mapa!$P$58="3º",Mapa!$A$58,IF(Mapa!$P$59="3º",Mapa!$A$59,IF(Mapa!$P$60="3º",Mapa!$A$60,IF(Mapa!$P$61="3º",Mapa!$A$61,IF(Mapa!$P$62="3º",Mapa!$A$62,IF(Mapa!$P$63="3º",Mapa!$A$63,IF(Mapa!$P$64="3º",Mapa!$A$64,IF(Mapa!$P$65="3º",Mapa!$A$65,IF(Mapa!$P$66="3º",Mapa!$A$66,IF(B53="DESERTO","DESERTO","PROPOSTA NÃO APRESENTADA")))))))))))))</f>
        <v>DESERTO</v>
      </c>
      <c r="I53" s="888"/>
      <c r="J53" s="49" t="str">
        <f>IF(ISBLANK(Mapa!$R$55),"",IF(H53="DESERTO","",IF(H53="PROPOSTA NÃO APRESENTADA","",IF(Mapa!$P$68="x","",Mapa!$R$55))))</f>
        <v/>
      </c>
      <c r="K53" s="40"/>
      <c r="L53" s="40"/>
    </row>
    <row r="54" spans="1:12" s="41" customFormat="1" ht="13.5" thickBot="1">
      <c r="A54" s="213"/>
      <c r="B54" s="39" t="str">
        <f>IF(ISBLANK(Mapa!$P$57),"",IF(Mapa!$P$68="x","",IF(Mapa!$P$57="1º",Mapa!$N$57,IF(Mapa!$P$58="1º",Mapa!$N$58,IF(Mapa!$P$59="1º",Mapa!$N$59,IF(Mapa!$P$60="1º",Mapa!$N$60,IF(Mapa!$P$61="1º",Mapa!$N$61,IF(Mapa!$P$62="1º",Mapa!$N$62,IF(Mapa!$P$63="1º",Mapa!$N$63,IF(Mapa!$P$64="1º",Mapa!$N$64,IF(Mapa!$P$65="1º",Mapa!$N$65,IF(Mapa!$P$66="1º",Mapa!$N$66,""))))))))))))</f>
        <v/>
      </c>
      <c r="C54" s="44" t="str">
        <f>IF(ISBLANK(Mapa!$P$57),"",IF(Mapa!$P$68="x","",IF(Mapa!$P$57="1º",Mapa!$O$57,IF(Mapa!$P$58="1º",Mapa!$O$58,IF(Mapa!$P$59="1º",Mapa!$O$59,IF(Mapa!$P$60="1º",Mapa!$O$60,IF(Mapa!$P$61="1º",Mapa!$O$61,IF(Mapa!$P$62="1º",Mapa!$O$62,IF(Mapa!$P$63="1º",Mapa!$O$63,IF(Mapa!$P$64="1º",Mapa!$O$64,IF(Mapa!$P$65="1º",Mapa!$O$65,IF(Mapa!$P$66="1º",Mapa!$O$66,""))))))))))))</f>
        <v/>
      </c>
      <c r="D54" s="37" t="str">
        <f>IF(ISBLANK(Mapa!$S$55),"",IF(B53="DESERTO","",IF(Mapa!$P$68="x","",Mapa!$S$55)))</f>
        <v/>
      </c>
      <c r="E54" s="39" t="str">
        <f>IF(ISBLANK(Mapa!$P$57),"",IF(Mapa!$P$68="x","",IF(Mapa!$P$57="2º",Mapa!$N$57,IF(Mapa!$P$58="2º",Mapa!$N$58,IF(Mapa!$P$59="2º",Mapa!$N$59,IF(Mapa!$P$60="2º",Mapa!$N$60,IF(Mapa!$P$61="2º",Mapa!$N$61,IF(Mapa!$P$62="2º",Mapa!$N$62,IF(Mapa!$P$63="2º",Mapa!$N$63,IF(Mapa!$P$64="2º",Mapa!$N$64,IF(Mapa!$P$65="2º",Mapa!$N$65,IF(Mapa!$P$66="2º",Mapa!$N$66,""))))))))))))</f>
        <v/>
      </c>
      <c r="F54" s="44" t="str">
        <f>IF(ISBLANK(Mapa!$P$57),"",IF(Mapa!$P$68="x","",IF(Mapa!$P$57="2º",Mapa!$O$57,IF(Mapa!$P$58="2º",Mapa!$O$58,IF(Mapa!$P$59="2º",Mapa!$O$59,IF(Mapa!$P$60="2º",Mapa!$O$60,IF(Mapa!$P$61="2º",Mapa!$O$61,IF(Mapa!$P$62="2º",Mapa!$O$62,IF(Mapa!$P$63="2º",Mapa!$O$63,IF(Mapa!$P$64="2º",Mapa!$O$64,IF(Mapa!$P$65="2º",Mapa!$O$65,IF(Mapa!$P$66="2º",Mapa!$O$66,""))))))))))))</f>
        <v/>
      </c>
      <c r="G54" s="37" t="str">
        <f>IF(ISBLANK(Mapa!$S$55),"",IF(E53="DESERTO","",IF(E53="PROPOSTA NÃO APRESENTADA","",IF(Mapa!$P$68="x","",Mapa!$S$55))))</f>
        <v/>
      </c>
      <c r="H54" s="39" t="str">
        <f>IF(ISBLANK(Mapa!$P$57),"",IF(Mapa!$P$68="x","",IF(Mapa!$P$57="3º",Mapa!$N$57,IF(Mapa!$P$58="3º",Mapa!$N$58,IF(Mapa!$P$59="3º",Mapa!$N$59,IF(Mapa!$P$60="3º",Mapa!$N$60,IF(Mapa!$P$61="3º",Mapa!$N$61,IF(Mapa!$P$62="3º",Mapa!$N$62,IF(Mapa!$P$63="3º",Mapa!$N$63,IF(Mapa!$P$64="3º",Mapa!$N$64,IF(Mapa!$P$65="3º",Mapa!$N$65,IF(Mapa!$P$66="3º",Mapa!$N$66,""))))))))))))</f>
        <v/>
      </c>
      <c r="I54" s="44" t="str">
        <f>IF(ISBLANK(Mapa!$P$57),"",IF(Mapa!$P$68="x","",IF(Mapa!$P$57="3º",Mapa!$O$57,IF(Mapa!$P$58="3º",Mapa!$O$58,IF(Mapa!$P$59="3º",Mapa!$O$59,IF(Mapa!$P$60="3º",Mapa!$O$60,IF(Mapa!$P$61="3º",Mapa!$O$61,IF(Mapa!$P$62="3º",Mapa!$O$62,IF(Mapa!$P$63="3º",Mapa!$O$63,IF(Mapa!$P$64="3º",Mapa!$O$64,IF(Mapa!$P$65="3º",Mapa!$O$65,IF(Mapa!$P$66="3º",Mapa!$O$66,""))))))))))))</f>
        <v/>
      </c>
      <c r="J54" s="37" t="str">
        <f>IF(ISBLANK(Mapa!$S$55),"",IF(H53="DESERTO","",IF(H53="PROPOSTA NÃO APRESENTADA","",IF(Mapa!$P$68="x","",Mapa!$S$55))))</f>
        <v/>
      </c>
      <c r="K54" s="40"/>
      <c r="L54" s="40"/>
    </row>
    <row r="55" spans="1:12" s="7" customFormat="1" ht="16.5" thickTop="1" thickBot="1">
      <c r="A55" s="214" t="e">
        <f>IF(ISBLANK(Mapa!S54),"",Mapa!S54)</f>
        <v>#N/A</v>
      </c>
      <c r="B55" s="32" t="s">
        <v>567</v>
      </c>
      <c r="C55" s="33" t="str">
        <f>IF(ISBLANK(Mapa!$P$57),"",IF(Mapa!$P$68="x","",IF(Mapa!$P$57="1º",Mapa!$Q$57,IF(Mapa!$P$58="1º",Mapa!$Q$58,IF(Mapa!$P$59="1º",Mapa!$Q$59,IF(Mapa!$P$60="1º",Mapa!$Q$60,IF(Mapa!$P$61="1º",Mapa!$Q$61,IF(Mapa!$P$62="1º",Mapa!$Q$62,IF(Mapa!$P$63="1º",Mapa!$Q$63,IF(Mapa!$P$64="1º",Mapa!$Q$64,IF(Mapa!$P$65="1º",Mapa!$Q$65,IF(Mapa!$P$66="1º",Mapa!$Q$66,""))))))))))))</f>
        <v/>
      </c>
      <c r="D55" s="50" t="str">
        <f>IF(ISBLANK(Mapa!$P$57),"",IF(Mapa!$P$68="x","",IF(Mapa!$P$57="1º",Mapa!$S$57,IF(Mapa!$P$58="1º",Mapa!$S$58,IF(Mapa!$S$59="1º",Mapa!$S$59,IF(Mapa!$S$60="1º",Mapa!$S$60,IF(Mapa!$P$61="1º",Mapa!$S$61,IF(Mapa!$P$62="1º",Mapa!$S$62,IF(Mapa!$P$63="1º",Mapa!$S$63,IF(Mapa!$P$64="1º",Mapa!$S$64,IF(Mapa!$P$65="1º",Mapa!$S$65,IF(Mapa!$P$66="1º",Mapa!$S$66,""))))))))))))</f>
        <v/>
      </c>
      <c r="E55" s="32" t="s">
        <v>567</v>
      </c>
      <c r="F55" s="33" t="str">
        <f>IF(ISBLANK(Mapa!$P$57),"",IF(Mapa!$P$68="x","",IF(Mapa!$P$57="2º",Mapa!$Q$57,IF(Mapa!$P$58="2º",Mapa!$Q$58,IF(Mapa!$P$59="2º",Mapa!$Q$59,IF(Mapa!$P$60="2º",Mapa!$Q$60,IF(Mapa!$P$61="2º",Mapa!$Q$61,IF(Mapa!$P$62="2º",Mapa!$Q$62,IF(Mapa!$P$63="2º",Mapa!$Q$63,IF(Mapa!$P$64="2º",Mapa!$Q$64,IF(Mapa!$P$65="2º",Mapa!$Q$65,IF(Mapa!$P$66="2º",Mapa!$Q$66,""))))))))))))</f>
        <v/>
      </c>
      <c r="G55" s="50" t="str">
        <f>IF(ISBLANK(Mapa!$P$57),"",IF(Mapa!$P$68="x","",IF(Mapa!$P$57="2º",Mapa!$S$57,IF(Mapa!$P$58="2º",Mapa!$S$58,IF(Mapa!$P$59="2º",Mapa!$S$59,IF(Mapa!$P$60="2º",Mapa!$S$60,IF(Mapa!$P$61="2º",Mapa!$S$61,IF(Mapa!$P$62="2º",Mapa!$S$62,IF(Mapa!$P$63="2º",Mapa!$S$63,IF(Mapa!$P$64="2º",Mapa!$S$64,IF(Mapa!$P$65="2º",Mapa!$S$65,IF(Mapa!$P$66="2º",Mapa!$S$66,""))))))))))))</f>
        <v/>
      </c>
      <c r="H55" s="32" t="s">
        <v>567</v>
      </c>
      <c r="I55" s="33" t="str">
        <f>IF(ISBLANK(Mapa!$P$57),"",IF(Mapa!$P$68="x","",IF(Mapa!$P$57="3º",Mapa!$Q$57,IF(Mapa!$P$58="3º",Mapa!$Q$58,IF(Mapa!$P$59="3º",Mapa!$Q$59,IF(Mapa!$P$60="3º",Mapa!$Q$60,IF(Mapa!$P$61="3º",Mapa!$Q$61,IF(Mapa!$P$62="3º",Mapa!$Q$62,IF(Mapa!$P$63="3º",Mapa!$Q$63,IF(Mapa!$P$64="3º",Mapa!$Q$64,IF(Mapa!$P$65="3º",Mapa!$Q$65,IF(Mapa!$P$66="3º",Mapa!$Q$66,""))))))))))))</f>
        <v/>
      </c>
      <c r="J55" s="50" t="str">
        <f>IF(ISBLANK(Mapa!$P$57),"",IF(Mapa!$P$68="x","",IF(Mapa!$P$57="3º",Mapa!$S$57,IF(Mapa!$P$58="3º",Mapa!$S$58,IF(Mapa!$P$59="3º",Mapa!$S$59,IF(Mapa!$P$60="3º",Mapa!$S$60,IF(Mapa!$P$61="3º",Mapa!$S$61,IF(Mapa!$P$62="3º",Mapa!$S$62,IF(Mapa!$P$63="3º",Mapa!$S$63,IF(Mapa!$P$64="3º",Mapa!$S$64,IF(Mapa!$P$65="3º",Mapa!$S$65,IF(Mapa!$P$66="3º",Mapa!$S$66,""))))))))))))</f>
        <v/>
      </c>
      <c r="K55" s="22"/>
      <c r="L55" s="22"/>
    </row>
    <row r="56" spans="1:12" customFormat="1" ht="17.25" customHeight="1" thickTop="1" thickBot="1">
      <c r="A56" s="873" t="s">
        <v>798</v>
      </c>
      <c r="B56" s="909"/>
      <c r="C56" s="910"/>
      <c r="D56" s="876" t="str">
        <f>IF(ISBLANK(Mapa!$Q$68),"",Mapa!$Q$68)</f>
        <v/>
      </c>
      <c r="E56" s="877"/>
      <c r="F56" s="877"/>
      <c r="G56" s="877"/>
      <c r="H56" s="877"/>
      <c r="I56" s="877"/>
      <c r="J56" s="878"/>
      <c r="K56" s="2"/>
      <c r="L56" s="2"/>
    </row>
    <row r="57" spans="1:12" customFormat="1" ht="58.5" customHeight="1" thickTop="1">
      <c r="A57" s="906" t="s">
        <v>3547</v>
      </c>
      <c r="B57" s="895"/>
      <c r="C57" s="895"/>
      <c r="D57" s="895"/>
      <c r="E57" s="895"/>
      <c r="F57" s="895"/>
      <c r="G57" s="895"/>
      <c r="H57" s="895"/>
      <c r="I57" s="895"/>
      <c r="J57" s="895"/>
      <c r="K57" s="2"/>
      <c r="L57" s="2"/>
    </row>
    <row r="58" spans="1:12" customFormat="1">
      <c r="A58" s="904" t="s">
        <v>800</v>
      </c>
      <c r="B58" s="905"/>
      <c r="C58" s="905"/>
      <c r="D58" s="904" t="s">
        <v>0</v>
      </c>
      <c r="E58" s="907"/>
      <c r="F58" s="907"/>
      <c r="G58" s="907"/>
      <c r="H58" s="907"/>
      <c r="I58" s="907"/>
      <c r="J58" s="907"/>
      <c r="K58" s="2"/>
      <c r="L58" s="2"/>
    </row>
    <row r="59" spans="1:12" customFormat="1" ht="15" customHeight="1">
      <c r="A59" s="900" t="str">
        <f>Fonte!A$14</f>
        <v/>
      </c>
      <c r="B59" s="901"/>
      <c r="C59" s="901"/>
      <c r="D59" s="879" t="str">
        <f>IF(ISERROR(VLOOKUP(Fonte!$A$1,fornecedores!$A$1:$B$417,2)),"",VLOOKUP(Fonte!$A$1,fornecedores!$A$1:$B$417,2))</f>
        <v/>
      </c>
      <c r="E59" s="879"/>
      <c r="F59" s="879"/>
      <c r="G59" s="879"/>
      <c r="H59" s="879"/>
      <c r="I59" s="879"/>
      <c r="J59" s="879"/>
      <c r="K59" s="2"/>
      <c r="L59" s="2"/>
    </row>
    <row r="60" spans="1:12" customFormat="1" ht="15" customHeight="1">
      <c r="A60" s="900" t="str">
        <f>Fonte!B$14</f>
        <v/>
      </c>
      <c r="B60" s="901"/>
      <c r="C60" s="901"/>
      <c r="D60" s="879" t="str">
        <f>IF(ISERROR(VLOOKUP(Fonte!$B$1,fornecedores!$A$1:$B$417,2)),"",VLOOKUP(Fonte!$B$1,fornecedores!$A$1:$B$417,2))</f>
        <v/>
      </c>
      <c r="E60" s="879"/>
      <c r="F60" s="879"/>
      <c r="G60" s="879"/>
      <c r="H60" s="879"/>
      <c r="I60" s="879"/>
      <c r="J60" s="879"/>
      <c r="K60" s="2"/>
      <c r="L60" s="2"/>
    </row>
    <row r="61" spans="1:12" customFormat="1" ht="15" customHeight="1">
      <c r="A61" s="900" t="str">
        <f>Fonte!C$14</f>
        <v/>
      </c>
      <c r="B61" s="901"/>
      <c r="C61" s="901"/>
      <c r="D61" s="879" t="str">
        <f>IF(ISERROR(VLOOKUP(Fonte!$C$1,fornecedores!$A$1:$B$417,2)),"",VLOOKUP(Fonte!$C$1,fornecedores!$A$1:$B$417,2))</f>
        <v/>
      </c>
      <c r="E61" s="879"/>
      <c r="F61" s="879"/>
      <c r="G61" s="879"/>
      <c r="H61" s="879"/>
      <c r="I61" s="879"/>
      <c r="J61" s="879"/>
      <c r="K61" s="2"/>
      <c r="L61" s="2"/>
    </row>
    <row r="62" spans="1:12" customFormat="1" ht="15" customHeight="1">
      <c r="A62" s="900" t="str">
        <f>Fonte!D$14</f>
        <v/>
      </c>
      <c r="B62" s="901"/>
      <c r="C62" s="901"/>
      <c r="D62" s="879" t="str">
        <f>IF(ISERROR(VLOOKUP(Fonte!$D$1,fornecedores!$A$1:$B$417,2)),"",VLOOKUP(Fonte!$D$1,fornecedores!$A$1:$B$417,2))</f>
        <v/>
      </c>
      <c r="E62" s="879"/>
      <c r="F62" s="879"/>
      <c r="G62" s="879"/>
      <c r="H62" s="879"/>
      <c r="I62" s="879"/>
      <c r="J62" s="879"/>
      <c r="K62" s="2"/>
      <c r="L62" s="2"/>
    </row>
    <row r="63" spans="1:12" customFormat="1" ht="15" customHeight="1">
      <c r="A63" s="900" t="str">
        <f>Fonte!E$14</f>
        <v/>
      </c>
      <c r="B63" s="901"/>
      <c r="C63" s="901"/>
      <c r="D63" s="879" t="str">
        <f>IF(ISERROR(VLOOKUP(Fonte!$E$1,fornecedores!$A$1:$B$417,2)),"",VLOOKUP(Fonte!$E$1,fornecedores!$A$1:$B$417,2))</f>
        <v/>
      </c>
      <c r="E63" s="879"/>
      <c r="F63" s="879"/>
      <c r="G63" s="879"/>
      <c r="H63" s="879"/>
      <c r="I63" s="879"/>
      <c r="J63" s="879"/>
      <c r="K63" s="2"/>
      <c r="L63" s="2"/>
    </row>
    <row r="64" spans="1:12" customFormat="1" ht="15" customHeight="1">
      <c r="A64" s="900" t="str">
        <f>Fonte!F$14</f>
        <v/>
      </c>
      <c r="B64" s="901"/>
      <c r="C64" s="901"/>
      <c r="D64" s="879" t="str">
        <f>IF(ISERROR(VLOOKUP(Fonte!$F$1,fornecedores!$A$1:$B$417,2)),"",VLOOKUP(Fonte!$F$1,fornecedores!$A$1:$B$417,2))</f>
        <v/>
      </c>
      <c r="E64" s="879"/>
      <c r="F64" s="879"/>
      <c r="G64" s="879"/>
      <c r="H64" s="879"/>
      <c r="I64" s="879"/>
      <c r="J64" s="879"/>
      <c r="K64" s="2"/>
      <c r="L64" s="2"/>
    </row>
    <row r="65" spans="1:12" customFormat="1" ht="15" customHeight="1">
      <c r="A65" s="900" t="str">
        <f>Fonte!G$14</f>
        <v/>
      </c>
      <c r="B65" s="901"/>
      <c r="C65" s="901"/>
      <c r="D65" s="879" t="str">
        <f>IF(ISERROR(VLOOKUP(Fonte!$G$1,fornecedores!$A$1:$B$417,2)),"",VLOOKUP(Fonte!$G$1,fornecedores!$A$1:$B$417,2))</f>
        <v/>
      </c>
      <c r="E65" s="879"/>
      <c r="F65" s="879"/>
      <c r="G65" s="879"/>
      <c r="H65" s="879"/>
      <c r="I65" s="879"/>
      <c r="J65" s="879"/>
      <c r="K65" s="2"/>
      <c r="L65" s="2"/>
    </row>
    <row r="66" spans="1:12" customFormat="1" ht="15" customHeight="1">
      <c r="A66" s="900" t="str">
        <f>Fonte!H$14</f>
        <v/>
      </c>
      <c r="B66" s="901"/>
      <c r="C66" s="901"/>
      <c r="D66" s="879" t="str">
        <f>IF(ISERROR(VLOOKUP(Fonte!$H$1,fornecedores!$A$1:$B$417,2)),"",VLOOKUP(Fonte!$H$1,fornecedores!$A$1:$B$417,2))</f>
        <v/>
      </c>
      <c r="E66" s="879"/>
      <c r="F66" s="879"/>
      <c r="G66" s="879"/>
      <c r="H66" s="879"/>
      <c r="I66" s="879"/>
      <c r="J66" s="879"/>
      <c r="K66" s="2"/>
      <c r="L66" s="2"/>
    </row>
    <row r="67" spans="1:12" customFormat="1" ht="15" customHeight="1">
      <c r="A67" s="900" t="str">
        <f>Fonte!I$14</f>
        <v/>
      </c>
      <c r="B67" s="901"/>
      <c r="C67" s="901"/>
      <c r="D67" s="879" t="str">
        <f>IF(ISERROR(VLOOKUP(Fonte!$I$1,fornecedores!$A$1:$B$417,2)),"",VLOOKUP(Fonte!$I$1,fornecedores!$A$1:$B$417,2))</f>
        <v/>
      </c>
      <c r="E67" s="879"/>
      <c r="F67" s="879"/>
      <c r="G67" s="879"/>
      <c r="H67" s="879"/>
      <c r="I67" s="879"/>
      <c r="J67" s="879"/>
      <c r="K67" s="2"/>
      <c r="L67" s="2"/>
    </row>
    <row r="68" spans="1:12" customFormat="1" ht="15" customHeight="1">
      <c r="A68" s="900" t="str">
        <f>Fonte!J$14</f>
        <v/>
      </c>
      <c r="B68" s="901"/>
      <c r="C68" s="901"/>
      <c r="D68" s="879" t="str">
        <f>IF(ISERROR(VLOOKUP(Fonte!$J$1,fornecedores!$A$1:$B$417,2)),"",VLOOKUP(Fonte!$J$1,fornecedores!$A$1:$B$417,2))</f>
        <v/>
      </c>
      <c r="E68" s="879"/>
      <c r="F68" s="879"/>
      <c r="G68" s="879"/>
      <c r="H68" s="879"/>
      <c r="I68" s="879"/>
      <c r="J68" s="879"/>
      <c r="K68" s="2"/>
      <c r="L68" s="2"/>
    </row>
    <row r="69" spans="1:12" customFormat="1" ht="15" customHeight="1">
      <c r="A69" s="23"/>
      <c r="B69" s="24"/>
      <c r="C69" s="24"/>
      <c r="D69" s="25"/>
      <c r="E69" s="25"/>
      <c r="F69" s="25"/>
      <c r="G69" s="25"/>
      <c r="H69" s="25"/>
      <c r="I69" s="25"/>
      <c r="J69" s="25"/>
      <c r="K69" s="2"/>
      <c r="L69" s="2"/>
    </row>
    <row r="70" spans="1:12" customFormat="1" ht="24.75" customHeight="1">
      <c r="A70" s="811" t="s">
        <v>1524</v>
      </c>
      <c r="B70" s="812"/>
      <c r="C70" s="812"/>
      <c r="D70" s="812"/>
      <c r="E70" s="812"/>
      <c r="F70" s="812"/>
      <c r="G70" s="812"/>
      <c r="H70" s="812"/>
      <c r="I70" s="812"/>
      <c r="J70" s="812"/>
      <c r="K70" s="2"/>
      <c r="L70" s="2"/>
    </row>
    <row r="71" spans="1:12" customFormat="1" ht="15" customHeight="1">
      <c r="A71" s="915" t="s">
        <v>779</v>
      </c>
      <c r="B71" s="884"/>
      <c r="C71" s="884"/>
      <c r="D71" s="884"/>
      <c r="E71" s="884"/>
      <c r="F71" s="884"/>
      <c r="G71" s="884"/>
      <c r="H71" s="884"/>
      <c r="I71" s="884"/>
      <c r="J71" s="884"/>
      <c r="K71" s="2"/>
      <c r="L71" s="2"/>
    </row>
    <row r="72" spans="1:12" customFormat="1">
      <c r="A72" s="26"/>
      <c r="B72" s="7"/>
      <c r="C72" s="7"/>
      <c r="D72" s="21"/>
      <c r="E72" s="22"/>
      <c r="F72" s="22"/>
      <c r="G72" s="22"/>
      <c r="H72" s="22"/>
      <c r="I72" s="22"/>
      <c r="J72" s="21"/>
      <c r="K72" s="2"/>
      <c r="L72" s="2"/>
    </row>
    <row r="73" spans="1:12" customFormat="1">
      <c r="A73" s="916" t="s">
        <v>777</v>
      </c>
      <c r="B73" s="884"/>
      <c r="C73" s="884"/>
      <c r="D73" s="884"/>
      <c r="E73" s="884"/>
      <c r="F73" s="884"/>
      <c r="G73" s="884"/>
      <c r="H73" s="884"/>
      <c r="I73" s="884"/>
      <c r="J73" s="884"/>
      <c r="K73" s="2"/>
      <c r="L73" s="2"/>
    </row>
    <row r="74" spans="1:12" customFormat="1">
      <c r="A74" s="916" t="s">
        <v>2746</v>
      </c>
      <c r="B74" s="884"/>
      <c r="C74" s="884"/>
      <c r="D74" s="884"/>
      <c r="E74" s="884"/>
      <c r="F74" s="884"/>
      <c r="G74" s="884"/>
      <c r="H74" s="884"/>
      <c r="I74" s="884"/>
      <c r="J74" s="884"/>
      <c r="K74" s="2"/>
      <c r="L74" s="2"/>
    </row>
    <row r="75" spans="1:12" customFormat="1">
      <c r="A75" s="27"/>
      <c r="B75" s="7"/>
      <c r="C75" s="7"/>
      <c r="D75" s="21"/>
      <c r="E75" s="22"/>
      <c r="F75" s="22"/>
      <c r="G75" s="22"/>
      <c r="H75" s="22"/>
      <c r="I75" s="22"/>
      <c r="J75" s="21"/>
      <c r="K75" s="2"/>
      <c r="L75" s="2"/>
    </row>
    <row r="76" spans="1:12" customFormat="1" ht="23.25">
      <c r="A76" s="925" t="s">
        <v>3889</v>
      </c>
      <c r="B76" s="925"/>
      <c r="C76" s="925"/>
      <c r="D76" s="925"/>
      <c r="E76" s="925"/>
      <c r="F76" s="925"/>
      <c r="G76" s="925"/>
      <c r="H76" s="925"/>
      <c r="I76" s="925"/>
      <c r="J76" s="925"/>
      <c r="K76" s="2"/>
      <c r="L76" s="2"/>
    </row>
    <row r="77" spans="1:12" customFormat="1">
      <c r="A77" s="926" t="s">
        <v>778</v>
      </c>
      <c r="B77" s="884"/>
      <c r="C77" s="884"/>
      <c r="D77" s="884"/>
      <c r="E77" s="884"/>
      <c r="F77" s="884"/>
      <c r="G77" s="884"/>
      <c r="H77" s="884"/>
      <c r="I77" s="884"/>
      <c r="J77" s="884"/>
      <c r="K77" s="2"/>
      <c r="L77" s="2"/>
    </row>
    <row r="78" spans="1:12" customFormat="1">
      <c r="A78" s="28"/>
      <c r="B78" s="7"/>
      <c r="C78" s="7"/>
      <c r="D78" s="21"/>
      <c r="E78" s="22"/>
      <c r="F78" s="22"/>
      <c r="G78" s="22"/>
      <c r="H78" s="22"/>
      <c r="I78" s="22"/>
      <c r="J78" s="21"/>
      <c r="K78" s="2"/>
      <c r="L78" s="2"/>
    </row>
    <row r="79" spans="1:12" customFormat="1" ht="27.75" customHeight="1">
      <c r="A79" s="920" t="s">
        <v>780</v>
      </c>
      <c r="B79" s="884"/>
      <c r="C79" s="884"/>
      <c r="D79" s="884"/>
      <c r="E79" s="884"/>
      <c r="F79" s="884"/>
      <c r="G79" s="884"/>
      <c r="H79" s="884"/>
      <c r="I79" s="884"/>
      <c r="J79" s="884"/>
      <c r="K79" s="2"/>
      <c r="L79" s="2"/>
    </row>
    <row r="80" spans="1:12" customFormat="1" ht="25.5" customHeight="1">
      <c r="A80" s="898" t="s">
        <v>781</v>
      </c>
      <c r="B80" s="899"/>
      <c r="C80" s="899"/>
      <c r="D80" s="899"/>
      <c r="E80" s="899"/>
      <c r="F80" s="899"/>
      <c r="G80" s="899"/>
      <c r="H80" s="899"/>
      <c r="I80" s="899"/>
      <c r="J80" s="899"/>
      <c r="K80" s="2"/>
      <c r="L80" s="2"/>
    </row>
    <row r="81" spans="1:12" s="57" customFormat="1" ht="15" customHeight="1">
      <c r="A81" s="58"/>
      <c r="B81" s="914" t="s">
        <v>1323</v>
      </c>
      <c r="C81" s="914"/>
      <c r="D81" s="914"/>
      <c r="E81" s="199" t="e">
        <f>Mapa!Q1</f>
        <v>#N/A</v>
      </c>
      <c r="F81" s="923" t="s">
        <v>1324</v>
      </c>
      <c r="G81" s="924"/>
      <c r="H81" s="924"/>
      <c r="I81" s="924"/>
      <c r="J81" s="924"/>
      <c r="K81" s="56"/>
      <c r="L81" s="56"/>
    </row>
    <row r="82" spans="1:12" customFormat="1">
      <c r="A82" s="59"/>
      <c r="B82" s="60"/>
      <c r="C82" s="60"/>
      <c r="D82" s="61"/>
      <c r="E82" s="62"/>
      <c r="F82" s="62"/>
      <c r="G82" s="62"/>
      <c r="H82" s="62"/>
      <c r="I82" s="62"/>
      <c r="J82" s="61"/>
      <c r="K82" s="2"/>
      <c r="L82" s="2"/>
    </row>
    <row r="83" spans="1:12" customFormat="1">
      <c r="A83" s="921"/>
      <c r="B83" s="922"/>
      <c r="C83" s="922"/>
      <c r="D83" s="922"/>
      <c r="E83" s="922"/>
      <c r="F83" s="922"/>
      <c r="G83" s="922"/>
      <c r="H83" s="922"/>
      <c r="I83" s="922"/>
      <c r="J83" s="922"/>
      <c r="K83" s="2"/>
      <c r="L83" s="2"/>
    </row>
    <row r="84" spans="1:12" customFormat="1">
      <c r="A84" s="29"/>
      <c r="B84" s="7"/>
      <c r="C84" s="7"/>
      <c r="D84" s="21"/>
      <c r="E84" s="22"/>
      <c r="F84" s="22"/>
      <c r="G84" s="22"/>
      <c r="H84" s="22"/>
      <c r="I84" s="22"/>
      <c r="J84" s="21"/>
      <c r="K84" s="2"/>
      <c r="L84" s="2"/>
    </row>
    <row r="85" spans="1:12" customFormat="1" ht="15" customHeight="1">
      <c r="A85" s="902" t="s">
        <v>7127</v>
      </c>
      <c r="B85" s="903"/>
      <c r="C85" s="903"/>
      <c r="D85" s="903"/>
      <c r="E85" s="903"/>
      <c r="F85" s="903"/>
      <c r="G85" s="903"/>
      <c r="H85" s="903"/>
      <c r="I85" s="903"/>
      <c r="J85" s="903"/>
      <c r="K85" s="2"/>
      <c r="L85" s="2"/>
    </row>
    <row r="86" spans="1:12" customFormat="1" ht="15" customHeight="1">
      <c r="A86" s="918" t="s">
        <v>7266</v>
      </c>
      <c r="B86" s="903"/>
      <c r="C86" s="903"/>
      <c r="D86" s="903"/>
      <c r="E86" s="903"/>
      <c r="F86" s="903"/>
      <c r="G86" s="903"/>
      <c r="H86" s="903"/>
      <c r="I86" s="903"/>
      <c r="J86" s="903"/>
      <c r="K86" s="2"/>
      <c r="L86" s="2"/>
    </row>
    <row r="87" spans="1:12" customFormat="1" ht="15" customHeight="1">
      <c r="A87" s="918" t="s">
        <v>7128</v>
      </c>
      <c r="B87" s="919"/>
      <c r="C87" s="919"/>
      <c r="D87" s="919"/>
      <c r="E87" s="919"/>
      <c r="F87" s="919"/>
      <c r="G87" s="919"/>
      <c r="H87" s="919"/>
      <c r="I87" s="919"/>
      <c r="J87" s="919"/>
      <c r="K87" s="2"/>
      <c r="L87" s="2"/>
    </row>
    <row r="88" spans="1:12" customFormat="1">
      <c r="A88" s="7"/>
      <c r="B88" s="7"/>
      <c r="C88" s="7"/>
      <c r="D88" s="21"/>
      <c r="E88" s="22"/>
      <c r="F88" s="22"/>
      <c r="G88" s="22"/>
      <c r="H88" s="22"/>
      <c r="I88" s="22"/>
      <c r="J88" s="21"/>
      <c r="K88" s="2"/>
      <c r="L88" s="2"/>
    </row>
    <row r="89" spans="1:12" customFormat="1">
      <c r="A89" s="9"/>
      <c r="B89" s="912"/>
      <c r="C89" s="913"/>
      <c r="D89" s="913"/>
      <c r="E89" s="913"/>
      <c r="F89" s="913"/>
      <c r="G89" s="913"/>
      <c r="H89" s="913"/>
      <c r="I89" s="10"/>
      <c r="J89" s="11"/>
      <c r="K89" s="2"/>
      <c r="L89" s="2"/>
    </row>
    <row r="90" spans="1:12" customFormat="1" ht="12" customHeight="1">
      <c r="A90" s="917" t="s">
        <v>673</v>
      </c>
      <c r="B90" s="917"/>
      <c r="C90" s="917"/>
      <c r="D90" s="917"/>
      <c r="E90" s="917"/>
      <c r="F90" s="917"/>
      <c r="G90" s="917"/>
      <c r="H90" s="917"/>
      <c r="I90" s="917"/>
      <c r="J90" s="21"/>
      <c r="K90" s="190"/>
      <c r="L90" s="2"/>
    </row>
    <row r="91" spans="1:12" customFormat="1" ht="12" customHeight="1">
      <c r="A91" s="911" t="s">
        <v>2747</v>
      </c>
      <c r="B91" s="911"/>
      <c r="C91" s="911"/>
      <c r="D91" s="911"/>
      <c r="E91" s="911"/>
      <c r="F91" s="911"/>
      <c r="G91" s="911"/>
      <c r="H91" s="911"/>
      <c r="I91" s="911"/>
      <c r="J91" s="21"/>
      <c r="K91" s="190"/>
      <c r="L91" s="2"/>
    </row>
    <row r="92" spans="1:12" customFormat="1" ht="12" customHeight="1">
      <c r="A92" s="911" t="s">
        <v>2738</v>
      </c>
      <c r="B92" s="911"/>
      <c r="C92" s="911"/>
      <c r="D92" s="911"/>
      <c r="E92" s="911"/>
      <c r="F92" s="911"/>
      <c r="G92" s="911"/>
      <c r="H92" s="911"/>
      <c r="I92" s="911"/>
      <c r="J92" s="21"/>
      <c r="K92" s="190"/>
      <c r="L92" s="2"/>
    </row>
    <row r="93" spans="1:12" customFormat="1" ht="12" customHeight="1">
      <c r="A93" s="911" t="s">
        <v>5745</v>
      </c>
      <c r="B93" s="911"/>
      <c r="C93" s="911"/>
      <c r="D93" s="911"/>
      <c r="E93" s="911"/>
      <c r="F93" s="911"/>
      <c r="G93" s="911"/>
      <c r="H93" s="911"/>
      <c r="I93" s="911"/>
      <c r="J93" s="21"/>
      <c r="K93" s="190"/>
      <c r="L93" s="2"/>
    </row>
    <row r="94" spans="1:12" customFormat="1">
      <c r="A94" s="7"/>
      <c r="B94" s="7"/>
      <c r="C94" s="7"/>
      <c r="D94" s="7"/>
      <c r="E94" s="7"/>
      <c r="F94" s="7"/>
      <c r="G94" s="7"/>
      <c r="H94" s="7"/>
      <c r="I94" s="22"/>
      <c r="J94" s="21"/>
      <c r="K94" s="2"/>
      <c r="L94" s="2"/>
    </row>
  </sheetData>
  <sheetProtection formatCells="0" formatColumns="0" formatRows="0"/>
  <mergeCells count="112">
    <mergeCell ref="A90:I90"/>
    <mergeCell ref="H33:I33"/>
    <mergeCell ref="E25:F25"/>
    <mergeCell ref="H25:I25"/>
    <mergeCell ref="B29:C29"/>
    <mergeCell ref="A87:J87"/>
    <mergeCell ref="A79:J79"/>
    <mergeCell ref="A83:J83"/>
    <mergeCell ref="D67:J67"/>
    <mergeCell ref="D66:J66"/>
    <mergeCell ref="A66:C66"/>
    <mergeCell ref="A67:C67"/>
    <mergeCell ref="F81:J81"/>
    <mergeCell ref="A76:J76"/>
    <mergeCell ref="A70:J70"/>
    <mergeCell ref="D65:J65"/>
    <mergeCell ref="H49:I49"/>
    <mergeCell ref="A86:J86"/>
    <mergeCell ref="E49:F49"/>
    <mergeCell ref="A60:C60"/>
    <mergeCell ref="E29:F29"/>
    <mergeCell ref="H29:I29"/>
    <mergeCell ref="D64:J64"/>
    <mergeCell ref="A77:J77"/>
    <mergeCell ref="A93:I93"/>
    <mergeCell ref="B17:C17"/>
    <mergeCell ref="E17:F17"/>
    <mergeCell ref="H17:I17"/>
    <mergeCell ref="B89:H89"/>
    <mergeCell ref="B21:C21"/>
    <mergeCell ref="E21:F21"/>
    <mergeCell ref="H21:I21"/>
    <mergeCell ref="B37:C37"/>
    <mergeCell ref="E37:F37"/>
    <mergeCell ref="H37:I37"/>
    <mergeCell ref="B33:C33"/>
    <mergeCell ref="E33:F33"/>
    <mergeCell ref="E45:F45"/>
    <mergeCell ref="H45:I45"/>
    <mergeCell ref="A91:I91"/>
    <mergeCell ref="A92:I92"/>
    <mergeCell ref="A65:C65"/>
    <mergeCell ref="D63:J63"/>
    <mergeCell ref="B81:D81"/>
    <mergeCell ref="A71:J71"/>
    <mergeCell ref="A73:J73"/>
    <mergeCell ref="A74:J74"/>
    <mergeCell ref="D68:J68"/>
    <mergeCell ref="A7:J7"/>
    <mergeCell ref="D20:J20"/>
    <mergeCell ref="D52:J52"/>
    <mergeCell ref="A56:C56"/>
    <mergeCell ref="D56:J56"/>
    <mergeCell ref="D40:J40"/>
    <mergeCell ref="A44:C44"/>
    <mergeCell ref="A12:C12"/>
    <mergeCell ref="A16:C16"/>
    <mergeCell ref="D16:J16"/>
    <mergeCell ref="A20:C20"/>
    <mergeCell ref="A52:C52"/>
    <mergeCell ref="A24:C24"/>
    <mergeCell ref="E41:F41"/>
    <mergeCell ref="H41:I41"/>
    <mergeCell ref="B25:C25"/>
    <mergeCell ref="D24:J24"/>
    <mergeCell ref="D44:J44"/>
    <mergeCell ref="A48:C48"/>
    <mergeCell ref="B53:C53"/>
    <mergeCell ref="E53:F53"/>
    <mergeCell ref="H53:I53"/>
    <mergeCell ref="D36:J36"/>
    <mergeCell ref="B49:C49"/>
    <mergeCell ref="B45:C45"/>
    <mergeCell ref="B41:C41"/>
    <mergeCell ref="A40:C40"/>
    <mergeCell ref="A80:J80"/>
    <mergeCell ref="A63:C63"/>
    <mergeCell ref="A64:C64"/>
    <mergeCell ref="A85:J85"/>
    <mergeCell ref="A68:C68"/>
    <mergeCell ref="A58:C58"/>
    <mergeCell ref="A59:C59"/>
    <mergeCell ref="A61:C61"/>
    <mergeCell ref="A62:C62"/>
    <mergeCell ref="A57:J57"/>
    <mergeCell ref="D58:J58"/>
    <mergeCell ref="D61:J61"/>
    <mergeCell ref="D62:J62"/>
    <mergeCell ref="A28:C28"/>
    <mergeCell ref="D28:J28"/>
    <mergeCell ref="D60:J60"/>
    <mergeCell ref="D59:J59"/>
    <mergeCell ref="C2:I2"/>
    <mergeCell ref="A5:E5"/>
    <mergeCell ref="B13:C13"/>
    <mergeCell ref="E13:F13"/>
    <mergeCell ref="H13:I13"/>
    <mergeCell ref="B8:C8"/>
    <mergeCell ref="E8:F8"/>
    <mergeCell ref="H8:I8"/>
    <mergeCell ref="A6:J6"/>
    <mergeCell ref="A3:J3"/>
    <mergeCell ref="F5:J5"/>
    <mergeCell ref="A4:J4"/>
    <mergeCell ref="B9:C9"/>
    <mergeCell ref="E9:F9"/>
    <mergeCell ref="H9:I9"/>
    <mergeCell ref="D12:J12"/>
    <mergeCell ref="D48:J48"/>
    <mergeCell ref="A32:C32"/>
    <mergeCell ref="D32:J32"/>
    <mergeCell ref="A36:C36"/>
  </mergeCells>
  <conditionalFormatting sqref="A57:J57">
    <cfRule type="containsText" dxfId="762" priority="28" stopIfTrue="1" operator="containsText" text="menor preço/menor prazo">
      <formula>NOT(ISERROR(SEARCH("menor preço/menor prazo",A57)))</formula>
    </cfRule>
  </conditionalFormatting>
  <conditionalFormatting sqref="A70:J70 A83:J83">
    <cfRule type="containsText" dxfId="761" priority="27" stopIfTrue="1" operator="containsText" text="xx">
      <formula>NOT(ISERROR(SEARCH("xx",A70)))</formula>
    </cfRule>
  </conditionalFormatting>
  <conditionalFormatting sqref="A11 A15 A19 A23 A27 A31 A35 A39 A43 A47 A51 A55">
    <cfRule type="containsErrors" dxfId="760" priority="25" stopIfTrue="1">
      <formula>ISERROR(A11)</formula>
    </cfRule>
  </conditionalFormatting>
  <conditionalFormatting sqref="E9:F9">
    <cfRule type="expression" dxfId="759" priority="24" stopIfTrue="1">
      <formula>A10="S"</formula>
    </cfRule>
  </conditionalFormatting>
  <conditionalFormatting sqref="H9:I9">
    <cfRule type="expression" dxfId="758" priority="23" stopIfTrue="1">
      <formula>A10="T"</formula>
    </cfRule>
  </conditionalFormatting>
  <conditionalFormatting sqref="H13:I13">
    <cfRule type="expression" dxfId="757" priority="22" stopIfTrue="1">
      <formula>A14="T"</formula>
    </cfRule>
  </conditionalFormatting>
  <conditionalFormatting sqref="H17:I17">
    <cfRule type="expression" dxfId="756" priority="21" stopIfTrue="1">
      <formula>A18="T"</formula>
    </cfRule>
  </conditionalFormatting>
  <conditionalFormatting sqref="H21:I21">
    <cfRule type="expression" dxfId="755" priority="20" stopIfTrue="1">
      <formula>A22="T"</formula>
    </cfRule>
  </conditionalFormatting>
  <conditionalFormatting sqref="H25:I25">
    <cfRule type="expression" dxfId="754" priority="19" stopIfTrue="1">
      <formula>A26="T"</formula>
    </cfRule>
  </conditionalFormatting>
  <conditionalFormatting sqref="H29:I29">
    <cfRule type="expression" dxfId="753" priority="18" stopIfTrue="1">
      <formula>A30="T"</formula>
    </cfRule>
  </conditionalFormatting>
  <conditionalFormatting sqref="H33:I33">
    <cfRule type="expression" dxfId="752" priority="17" stopIfTrue="1">
      <formula>A34="T"</formula>
    </cfRule>
  </conditionalFormatting>
  <conditionalFormatting sqref="H37:I37">
    <cfRule type="expression" dxfId="751" priority="16" stopIfTrue="1">
      <formula>A38="T"</formula>
    </cfRule>
  </conditionalFormatting>
  <conditionalFormatting sqref="H41:I41">
    <cfRule type="expression" dxfId="750" priority="15" stopIfTrue="1">
      <formula>A42="T"</formula>
    </cfRule>
  </conditionalFormatting>
  <conditionalFormatting sqref="H45:I45">
    <cfRule type="expression" dxfId="749" priority="14" stopIfTrue="1">
      <formula>A46="T"</formula>
    </cfRule>
  </conditionalFormatting>
  <conditionalFormatting sqref="H49:I49">
    <cfRule type="expression" dxfId="748" priority="13" stopIfTrue="1">
      <formula>A50="T"</formula>
    </cfRule>
  </conditionalFormatting>
  <conditionalFormatting sqref="H53:I53">
    <cfRule type="expression" dxfId="747" priority="12" stopIfTrue="1">
      <formula>A54="T"</formula>
    </cfRule>
  </conditionalFormatting>
  <conditionalFormatting sqref="E13:F13">
    <cfRule type="expression" dxfId="746" priority="11" stopIfTrue="1">
      <formula>A14="S"</formula>
    </cfRule>
  </conditionalFormatting>
  <conditionalFormatting sqref="E17:F17">
    <cfRule type="expression" dxfId="745" priority="10" stopIfTrue="1">
      <formula>A18="S"</formula>
    </cfRule>
  </conditionalFormatting>
  <conditionalFormatting sqref="E21:F21">
    <cfRule type="expression" dxfId="744" priority="9" stopIfTrue="1">
      <formula>A22="S"</formula>
    </cfRule>
  </conditionalFormatting>
  <conditionalFormatting sqref="E25:F25">
    <cfRule type="expression" dxfId="743" priority="8" stopIfTrue="1">
      <formula>A26="S"</formula>
    </cfRule>
  </conditionalFormatting>
  <conditionalFormatting sqref="E29:F29">
    <cfRule type="expression" dxfId="742" priority="7" stopIfTrue="1">
      <formula>A30="S"</formula>
    </cfRule>
  </conditionalFormatting>
  <conditionalFormatting sqref="E33:F33">
    <cfRule type="expression" dxfId="741" priority="6" stopIfTrue="1">
      <formula>A34="S"</formula>
    </cfRule>
  </conditionalFormatting>
  <conditionalFormatting sqref="E37:F37">
    <cfRule type="expression" dxfId="740" priority="5" stopIfTrue="1">
      <formula>A38="S"</formula>
    </cfRule>
  </conditionalFormatting>
  <conditionalFormatting sqref="E41:F41">
    <cfRule type="expression" dxfId="739" priority="4" stopIfTrue="1">
      <formula>A42="S"</formula>
    </cfRule>
  </conditionalFormatting>
  <conditionalFormatting sqref="E45:F45">
    <cfRule type="expression" dxfId="738" priority="3" stopIfTrue="1">
      <formula>A46="S"</formula>
    </cfRule>
  </conditionalFormatting>
  <conditionalFormatting sqref="E49:F49">
    <cfRule type="expression" dxfId="737" priority="2" stopIfTrue="1">
      <formula>A50="S"</formula>
    </cfRule>
  </conditionalFormatting>
  <conditionalFormatting sqref="E53:F53">
    <cfRule type="expression" dxfId="736" priority="1">
      <formula>A54="S"</formula>
    </cfRule>
  </conditionalFormatting>
  <dataValidations count="1">
    <dataValidation type="list" showInputMessage="1" showErrorMessage="1" sqref="A54 A50 A46 A42 A38 A34 A30 A26 A22 A18 A14 A10">
      <formula1>adjudicado</formula1>
    </dataValidation>
  </dataValidations>
  <pageMargins left="0.51181102362204722" right="0.51181102362204722" top="0.78740157480314965" bottom="0.78740157480314965" header="0.31496062992125984" footer="0.31496062992125984"/>
  <pageSetup paperSize="9" scale="80" orientation="portrait" r:id="rId1"/>
  <drawing r:id="rId2"/>
  <legacyDrawing r:id="rId3"/>
  <oleObjects>
    <mc:AlternateContent xmlns:mc="http://schemas.openxmlformats.org/markup-compatibility/2006">
      <mc:Choice Requires="x14">
        <oleObject progId="PBrush" shapeId="5121" r:id="rId4">
          <objectPr defaultSize="0" autoPict="0" r:id="rId5">
            <anchor moveWithCells="1" sizeWithCells="1">
              <from>
                <xdr:col>0</xdr:col>
                <xdr:colOff>104775</xdr:colOff>
                <xdr:row>0</xdr:row>
                <xdr:rowOff>76200</xdr:rowOff>
              </from>
              <to>
                <xdr:col>1</xdr:col>
                <xdr:colOff>228600</xdr:colOff>
                <xdr:row>1</xdr:row>
                <xdr:rowOff>409575</xdr:rowOff>
              </to>
            </anchor>
          </objectPr>
        </oleObject>
      </mc:Choice>
      <mc:Fallback>
        <oleObject progId="PBrush" shapeId="5121" r:id="rId4"/>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7">
    <pageSetUpPr fitToPage="1"/>
  </sheetPr>
  <dimension ref="A1:Q53"/>
  <sheetViews>
    <sheetView view="pageBreakPreview" topLeftCell="A4" zoomScale="90" zoomScaleSheetLayoutView="90" workbookViewId="0">
      <selection activeCell="D15" sqref="D15"/>
    </sheetView>
  </sheetViews>
  <sheetFormatPr defaultColWidth="9.140625" defaultRowHeight="15"/>
  <cols>
    <col min="1" max="1" width="4.7109375" style="146" customWidth="1"/>
    <col min="2" max="2" width="6.42578125" style="146" customWidth="1"/>
    <col min="3" max="3" width="9.28515625" style="146" customWidth="1"/>
    <col min="4" max="4" width="74.5703125" style="146" customWidth="1"/>
    <col min="5" max="5" width="6.42578125" style="146" customWidth="1"/>
    <col min="6" max="6" width="5.140625" style="146" bestFit="1" customWidth="1"/>
    <col min="7" max="7" width="12.7109375" style="146" customWidth="1"/>
    <col min="8" max="8" width="11.7109375" style="146" customWidth="1"/>
    <col min="9" max="9" width="15.140625" style="158" customWidth="1"/>
    <col min="10" max="11" width="9.140625" style="146" customWidth="1"/>
    <col min="12" max="16384" width="9.140625" style="146"/>
  </cols>
  <sheetData>
    <row r="1" spans="1:17">
      <c r="A1" s="145"/>
      <c r="B1" s="145"/>
      <c r="C1" s="145"/>
      <c r="D1" s="145"/>
      <c r="E1" s="145"/>
      <c r="F1" s="145"/>
      <c r="G1" s="145"/>
      <c r="H1" s="145"/>
    </row>
    <row r="2" spans="1:17">
      <c r="A2" s="147"/>
      <c r="B2" s="147" t="s">
        <v>670</v>
      </c>
      <c r="C2" s="145"/>
      <c r="E2" s="145"/>
      <c r="F2" s="145"/>
      <c r="G2" s="145"/>
      <c r="H2" s="145"/>
    </row>
    <row r="3" spans="1:17">
      <c r="A3" s="148"/>
      <c r="B3" s="148" t="s">
        <v>671</v>
      </c>
      <c r="C3" s="145"/>
      <c r="D3" s="149"/>
      <c r="E3" s="145"/>
      <c r="F3" s="145"/>
      <c r="G3" s="145"/>
      <c r="H3" s="145"/>
    </row>
    <row r="4" spans="1:17">
      <c r="A4" s="148"/>
      <c r="B4" s="148" t="s">
        <v>1722</v>
      </c>
      <c r="C4" s="145"/>
      <c r="D4" s="150"/>
      <c r="E4" s="145"/>
      <c r="F4" s="145"/>
      <c r="G4" s="145"/>
      <c r="H4" s="145"/>
    </row>
    <row r="5" spans="1:17">
      <c r="A5" s="148"/>
      <c r="B5" s="148" t="s">
        <v>672</v>
      </c>
      <c r="C5" s="145"/>
      <c r="D5" s="145"/>
      <c r="E5" s="145"/>
      <c r="F5" s="145"/>
      <c r="G5" s="145"/>
      <c r="H5" s="145"/>
    </row>
    <row r="6" spans="1:17">
      <c r="A6" s="148"/>
      <c r="B6" s="148" t="s">
        <v>4137</v>
      </c>
      <c r="C6" s="145"/>
      <c r="D6" s="149"/>
      <c r="E6" s="145"/>
      <c r="F6" s="145"/>
      <c r="G6" s="145"/>
      <c r="H6" s="145"/>
      <c r="M6" s="151"/>
      <c r="N6" s="151"/>
      <c r="O6" s="151"/>
      <c r="P6" s="151"/>
      <c r="Q6" s="151"/>
    </row>
    <row r="7" spans="1:17">
      <c r="A7" s="148"/>
      <c r="B7" s="145"/>
      <c r="C7" s="145"/>
      <c r="D7" s="145"/>
      <c r="E7" s="145"/>
      <c r="F7" s="145"/>
      <c r="G7" s="145"/>
      <c r="H7" s="145"/>
      <c r="M7" s="151"/>
      <c r="N7" s="151"/>
      <c r="O7" s="151"/>
      <c r="P7" s="151"/>
      <c r="Q7" s="151"/>
    </row>
    <row r="8" spans="1:17">
      <c r="A8" s="145"/>
      <c r="B8" s="145"/>
      <c r="C8" s="145"/>
      <c r="D8" s="145"/>
      <c r="E8" s="145"/>
      <c r="F8" s="145"/>
      <c r="G8" s="145"/>
      <c r="H8" s="145"/>
      <c r="M8" s="151"/>
      <c r="N8" s="151"/>
      <c r="O8" s="151"/>
      <c r="P8" s="151"/>
      <c r="Q8" s="151"/>
    </row>
    <row r="9" spans="1:17" ht="15" customHeight="1">
      <c r="A9" s="145"/>
      <c r="B9" s="947" t="str">
        <f>CONCATENATE("ORDEM DE COMPRA COTAÇÃO"," ",Mapa!I1)</f>
        <v>ORDEM DE COMPRA COTAÇÃO xxx/2020</v>
      </c>
      <c r="C9" s="947"/>
      <c r="D9" s="947"/>
      <c r="E9" s="947"/>
      <c r="F9" s="947"/>
      <c r="G9" s="947"/>
      <c r="H9" s="947"/>
      <c r="I9" s="947"/>
      <c r="J9" s="152"/>
      <c r="K9" s="152"/>
      <c r="L9" s="152"/>
      <c r="M9" s="151"/>
      <c r="N9" s="151"/>
      <c r="O9" s="151"/>
      <c r="P9" s="151"/>
      <c r="Q9" s="151"/>
    </row>
    <row r="10" spans="1:17" ht="15" customHeight="1">
      <c r="A10" s="145"/>
      <c r="B10" s="948" t="e">
        <f>CONCATENATE(Mapa!M1," ",Mapa!O1," ","-"," ",Mapa!Q1)</f>
        <v>#N/A</v>
      </c>
      <c r="C10" s="948"/>
      <c r="D10" s="948"/>
      <c r="E10" s="948"/>
      <c r="F10" s="948"/>
      <c r="G10" s="948"/>
      <c r="H10" s="948"/>
      <c r="I10" s="948"/>
      <c r="M10" s="151"/>
      <c r="N10" s="151"/>
      <c r="O10" s="151"/>
      <c r="P10" s="151"/>
      <c r="Q10" s="151"/>
    </row>
    <row r="11" spans="1:17">
      <c r="A11" s="145"/>
      <c r="B11" s="70"/>
      <c r="C11" s="153"/>
      <c r="D11" s="153"/>
      <c r="E11" s="153"/>
      <c r="F11" s="153"/>
      <c r="G11" s="153"/>
      <c r="H11" s="153"/>
      <c r="M11" s="151"/>
      <c r="N11" s="151"/>
      <c r="O11" s="151"/>
      <c r="P11" s="151"/>
      <c r="Q11" s="151"/>
    </row>
    <row r="12" spans="1:17">
      <c r="A12" s="145"/>
      <c r="B12" s="927" t="s">
        <v>669</v>
      </c>
      <c r="C12" s="928"/>
      <c r="D12" s="959"/>
      <c r="E12" s="959"/>
      <c r="F12" s="959"/>
      <c r="G12" s="959"/>
      <c r="H12" s="960"/>
      <c r="J12" s="152"/>
      <c r="K12" s="152"/>
      <c r="L12" s="152"/>
      <c r="M12" s="152"/>
      <c r="N12" s="151"/>
      <c r="O12" s="151"/>
      <c r="P12" s="151"/>
      <c r="Q12" s="151"/>
    </row>
    <row r="13" spans="1:17">
      <c r="A13" s="145"/>
      <c r="B13" s="927" t="s">
        <v>668</v>
      </c>
      <c r="C13" s="928"/>
      <c r="D13" s="958" t="str">
        <f>IF(ISERROR(VLOOKUP($D$12,fornecedores!$B$1:$E$636,2)),"",VLOOKUP($D$12,fornecedores!$B$1:$E$636,2))</f>
        <v/>
      </c>
      <c r="E13" s="958"/>
      <c r="F13" s="958"/>
      <c r="G13" s="53" t="s">
        <v>1303</v>
      </c>
      <c r="H13" s="54" t="str">
        <f>IF(ISERROR(VLOOKUP($D$12,fornecedores!$B$1:$G$636,4)),"",VLOOKUP($D$12,fornecedores!$B$1:$G$636,4))</f>
        <v/>
      </c>
      <c r="J13" s="152"/>
      <c r="K13" s="152"/>
      <c r="M13" s="151"/>
      <c r="N13" s="151"/>
      <c r="O13" s="151"/>
      <c r="P13" s="151"/>
      <c r="Q13" s="151"/>
    </row>
    <row r="14" spans="1:17">
      <c r="A14" s="145"/>
      <c r="B14" s="927" t="s">
        <v>667</v>
      </c>
      <c r="C14" s="928"/>
      <c r="D14" s="929" t="str">
        <f>IF(ISERROR(VLOOKUP($D$12,fornecedores!B1:E636,3)),"",VLOOKUP($D$12,fornecedores!B1:E636,3))</f>
        <v/>
      </c>
      <c r="E14" s="929"/>
      <c r="F14" s="929"/>
      <c r="G14" s="929"/>
      <c r="H14" s="151"/>
      <c r="J14" s="152"/>
      <c r="K14" s="152"/>
      <c r="L14" s="152"/>
      <c r="M14" s="151"/>
      <c r="N14" s="151"/>
      <c r="O14" s="151"/>
      <c r="P14" s="151"/>
      <c r="Q14" s="151"/>
    </row>
    <row r="15" spans="1:17">
      <c r="A15" s="145"/>
      <c r="B15" s="30"/>
      <c r="C15" s="559" t="s">
        <v>10008</v>
      </c>
      <c r="D15" s="149" t="str">
        <f>IF(ISERROR(VLOOKUP($D$12,fornecedores!B1:H637,5)),"",VLOOKUP($D$12,fornecedores!B1:H637,5))</f>
        <v/>
      </c>
      <c r="E15" s="145"/>
      <c r="F15" s="145"/>
      <c r="G15" s="145"/>
      <c r="H15" s="145"/>
      <c r="M15" s="151"/>
      <c r="N15" s="151"/>
      <c r="O15" s="151"/>
      <c r="P15" s="151"/>
      <c r="Q15" s="151"/>
    </row>
    <row r="16" spans="1:17" ht="30.75" customHeight="1">
      <c r="A16" s="145"/>
      <c r="B16" s="939" t="s">
        <v>663</v>
      </c>
      <c r="C16" s="940"/>
      <c r="D16" s="940"/>
      <c r="E16" s="940"/>
      <c r="F16" s="940"/>
      <c r="G16" s="940"/>
      <c r="H16" s="940"/>
      <c r="I16" s="938"/>
      <c r="J16" s="152"/>
      <c r="K16" s="152"/>
      <c r="L16" s="152"/>
      <c r="M16" s="151"/>
      <c r="N16" s="151"/>
      <c r="O16" s="151"/>
      <c r="P16" s="151"/>
      <c r="Q16" s="151"/>
    </row>
    <row r="17" spans="1:17" ht="15.75" thickBot="1">
      <c r="A17" s="145"/>
      <c r="B17" s="142"/>
      <c r="C17" s="145"/>
      <c r="D17" s="145"/>
      <c r="E17" s="145"/>
      <c r="F17" s="145"/>
      <c r="G17" s="145"/>
      <c r="H17" s="145"/>
      <c r="M17" s="151"/>
      <c r="N17" s="151"/>
      <c r="O17" s="151"/>
      <c r="P17" s="151"/>
      <c r="Q17" s="151"/>
    </row>
    <row r="18" spans="1:17" ht="15.75" thickBot="1">
      <c r="A18" s="145"/>
      <c r="B18" s="166" t="s">
        <v>543</v>
      </c>
      <c r="C18" s="166" t="s">
        <v>799</v>
      </c>
      <c r="D18" s="166" t="s">
        <v>801</v>
      </c>
      <c r="E18" s="166" t="s">
        <v>569</v>
      </c>
      <c r="F18" s="166" t="s">
        <v>546</v>
      </c>
      <c r="G18" s="166" t="s">
        <v>802</v>
      </c>
      <c r="H18" s="166" t="s">
        <v>803</v>
      </c>
      <c r="I18" s="166" t="s">
        <v>1645</v>
      </c>
      <c r="L18" s="154"/>
      <c r="M18" s="151"/>
      <c r="N18" s="151"/>
      <c r="O18" s="151"/>
      <c r="P18" s="151"/>
      <c r="Q18" s="151"/>
    </row>
    <row r="19" spans="1:17" ht="17.25" customHeight="1" thickBot="1">
      <c r="A19" s="145"/>
      <c r="B19" s="159">
        <v>1</v>
      </c>
      <c r="C19" s="160" t="e">
        <f>IF(ISBLANK(Mapa!$G$3),"",Mapa!$G$3)</f>
        <v>#N/A</v>
      </c>
      <c r="D19" s="161" t="str">
        <f>Mapa!$B$4</f>
        <v/>
      </c>
      <c r="E19" s="162" t="str">
        <f>IF(Adjudicação!$B$9="CANCELADO","",IF(ISBLANK(Mapa!$F$4),"",Mapa!$F$4))</f>
        <v/>
      </c>
      <c r="F19" s="163" t="str">
        <f>Mapa!$G$4</f>
        <v/>
      </c>
      <c r="G19" s="164" t="str">
        <f>IF(Adjudicação!$B$9="CANCELADO","",IF(Adjudicação!$A$10="",Adjudicação!$B$10,IF(Adjudicação!$A$10="S",Adjudicação!$E$10,IF(Adjudicação!$A$10="T",Adjudicação!$H$10))))</f>
        <v/>
      </c>
      <c r="H19" s="165" t="str">
        <f>IF(ISERROR(E19*G19),"",E19*G19)</f>
        <v/>
      </c>
      <c r="I19" s="167" t="str">
        <f>IF(Adjudicação!$B$9="CANCELADO","",IF(Adjudicação!$A$10="",Adjudicação!$C$11,IF(Adjudicação!$A$10="S",Adjudicação!$F$11,IF(Adjudicação!$A$10="T",Adjudicação!$I$11))))&amp;" dias úteis."</f>
        <v xml:space="preserve"> dias úteis.</v>
      </c>
    </row>
    <row r="20" spans="1:17" ht="17.25" customHeight="1" thickBot="1">
      <c r="A20" s="145"/>
      <c r="B20" s="8">
        <v>2</v>
      </c>
      <c r="C20" s="36" t="e">
        <f>IF(ISBLANK(Mapa!$M$3),"",Mapa!$M$3)</f>
        <v>#N/A</v>
      </c>
      <c r="D20" s="85" t="str">
        <f>Mapa!$H$4</f>
        <v/>
      </c>
      <c r="E20" s="48" t="str">
        <f>IF(Adjudicação!$B$13="CANCELADO","",IF(ISBLANK(Mapa!$L$4),"",Mapa!$L$4))</f>
        <v/>
      </c>
      <c r="F20" s="16" t="str">
        <f>Mapa!$M$4</f>
        <v/>
      </c>
      <c r="G20" s="43" t="str">
        <f>IF(Adjudicação!$B$13="CANCELADO","",IF(Adjudicação!$A$14="",Adjudicação!$B$14,IF(Adjudicação!$A$14="S",Adjudicação!$E$14,IF(Adjudicação!$A$14="T",Adjudicação!$H$14))))</f>
        <v/>
      </c>
      <c r="H20" s="42" t="str">
        <f t="shared" ref="H20:H30" si="0">IF(ISERROR(E20*G20),"",E20*G20)</f>
        <v/>
      </c>
      <c r="I20" s="167" t="str">
        <f>IF(Adjudicação!$B$13="CANCELADO","",IF(Adjudicação!$A$14="",Adjudicação!$C$15,IF(Adjudicação!$A$14="S",Adjudicação!$F$15,IF(Adjudicação!$A$14="T",Adjudicação!$I$15))))&amp;" dias úteis."</f>
        <v xml:space="preserve"> dias úteis.</v>
      </c>
    </row>
    <row r="21" spans="1:17" ht="17.25" customHeight="1" thickBot="1">
      <c r="A21" s="145"/>
      <c r="B21" s="8">
        <v>3</v>
      </c>
      <c r="C21" s="36" t="e">
        <f>IF(ISBLANK(Mapa!$S$3),"",Mapa!$S$3)</f>
        <v>#N/A</v>
      </c>
      <c r="D21" s="85" t="str">
        <f>Mapa!$N$4</f>
        <v/>
      </c>
      <c r="E21" s="48" t="str">
        <f>IF(Adjudicação!$B$17="CANCELADO","",IF(ISBLANK(Mapa!$R$4),"",Mapa!$R$4))</f>
        <v/>
      </c>
      <c r="F21" s="16" t="str">
        <f>Mapa!$S$4</f>
        <v/>
      </c>
      <c r="G21" s="43" t="str">
        <f>IF(Adjudicação!$B$17="CANCELADO","",IF(Adjudicação!$A$18="",Adjudicação!$B$18,IF(Adjudicação!$A$18="S",Adjudicação!$E$18,IF(Adjudicação!$A$18="T",Adjudicação!$H$18))))</f>
        <v/>
      </c>
      <c r="H21" s="42" t="str">
        <f t="shared" si="0"/>
        <v/>
      </c>
      <c r="I21" s="167" t="str">
        <f>IF(Adjudicação!$B$17="CANCELADO","",IF(Adjudicação!$A$18="",Adjudicação!$C$19,IF(Adjudicação!$A$18="S",Adjudicação!$F$19,IF(Adjudicação!$A$18="T",Adjudicação!$I$19))))&amp;" dias úteis."</f>
        <v xml:space="preserve"> dias úteis.</v>
      </c>
    </row>
    <row r="22" spans="1:17" ht="15.75" thickBot="1">
      <c r="A22" s="145"/>
      <c r="B22" s="8">
        <v>4</v>
      </c>
      <c r="C22" s="36" t="e">
        <f>IF(ISBLANK(Mapa!$G$20),"",Mapa!$G$20)</f>
        <v>#N/A</v>
      </c>
      <c r="D22" s="85" t="str">
        <f>Mapa!$B$21</f>
        <v/>
      </c>
      <c r="E22" s="48" t="str">
        <f>IF(Adjudicação!$B$21="CANCELADO","",IF(ISBLANK(Mapa!$F$21),"",Mapa!$F$21))</f>
        <v/>
      </c>
      <c r="F22" s="16" t="str">
        <f>Mapa!$G$21</f>
        <v/>
      </c>
      <c r="G22" s="43" t="str">
        <f>IF(Adjudicação!$B$21="CANCELADO","",IF(Adjudicação!$A$22="",Adjudicação!$B$22,IF(Adjudicação!$A$22="S",Adjudicação!$E$22,IF(Adjudicação!$A$22="T",Adjudicação!$H$22))))</f>
        <v/>
      </c>
      <c r="H22" s="42" t="str">
        <f t="shared" si="0"/>
        <v/>
      </c>
      <c r="I22" s="167" t="str">
        <f>IF(Adjudicação!$B$21="CANCELADO","",IF(Adjudicação!$A$22="",Adjudicação!$C$23,IF(Adjudicação!$A$22="S",Adjudicação!$F$23,IF(Adjudicação!$A$22="T",Adjudicação!$I$23))))&amp;" dias úteis."</f>
        <v xml:space="preserve"> dias úteis.</v>
      </c>
    </row>
    <row r="23" spans="1:17" ht="15.75" thickBot="1">
      <c r="A23" s="145"/>
      <c r="B23" s="8">
        <v>5</v>
      </c>
      <c r="C23" s="36" t="e">
        <f>IF(ISBLANK(Mapa!$M$20),"",Mapa!$M$20)</f>
        <v>#N/A</v>
      </c>
      <c r="D23" s="85" t="str">
        <f>Mapa!$H$21</f>
        <v/>
      </c>
      <c r="E23" s="48" t="str">
        <f>IF(Adjudicação!$B$25="CANCELADO","",IF(ISBLANK(Mapa!$L$21),"",Mapa!$L$21))</f>
        <v/>
      </c>
      <c r="F23" s="16" t="str">
        <f>Mapa!$M$21</f>
        <v/>
      </c>
      <c r="G23" s="43" t="str">
        <f>IF(Adjudicação!$B$25="CANCELADO","",IF(Adjudicação!$A$26="",Adjudicação!$B$26,IF(Adjudicação!$A$26="S",Adjudicação!$E$26,IF(Adjudicação!$A$26="T",Adjudicação!$H$26))))</f>
        <v/>
      </c>
      <c r="H23" s="42" t="str">
        <f t="shared" si="0"/>
        <v/>
      </c>
      <c r="I23" s="167" t="str">
        <f>IF(Adjudicação!$B$25="CANCELADO","",IF(Adjudicação!$A$26="",Adjudicação!$C$27,IF(Adjudicação!$A$26="S",Adjudicação!$F$27,IF(Adjudicação!$A$26="T",Adjudicação!$I$27))))&amp;" dias úteis."</f>
        <v xml:space="preserve"> dias úteis.</v>
      </c>
    </row>
    <row r="24" spans="1:17" ht="15.75" thickBot="1">
      <c r="A24" s="145"/>
      <c r="B24" s="8">
        <v>6</v>
      </c>
      <c r="C24" s="36" t="e">
        <f>IF(ISBLANK(Mapa!$S$20),"",Mapa!$S$20)</f>
        <v>#N/A</v>
      </c>
      <c r="D24" s="85" t="str">
        <f>Mapa!$N$21</f>
        <v/>
      </c>
      <c r="E24" s="48" t="str">
        <f>IF(Adjudicação!$B$29="CANCELADO","",IF(ISBLANK(Mapa!$R$21),"",Mapa!$R$21))</f>
        <v/>
      </c>
      <c r="F24" s="16" t="str">
        <f>Mapa!$S$21</f>
        <v/>
      </c>
      <c r="G24" s="43" t="str">
        <f>IF(Adjudicação!$B$29="CANCELADO","",IF(Adjudicação!$A$30="",Adjudicação!$B$30,IF(Adjudicação!$A$30="S",Adjudicação!$E$30,IF(Adjudicação!$A$30="T",Adjudicação!$H$30))))</f>
        <v/>
      </c>
      <c r="H24" s="42" t="str">
        <f t="shared" si="0"/>
        <v/>
      </c>
      <c r="I24" s="167" t="str">
        <f>IF(Adjudicação!$B$29="CANCELADO","",IF(Adjudicação!$A$30="",Adjudicação!$C$31,IF(Adjudicação!$A$30="S",Adjudicação!$F$31,IF(Adjudicação!$A$30="T",Adjudicação!$I$31))))&amp;" dias úteis."</f>
        <v xml:space="preserve"> dias úteis.</v>
      </c>
    </row>
    <row r="25" spans="1:17" ht="15.75" thickBot="1">
      <c r="A25" s="145"/>
      <c r="B25" s="8">
        <v>7</v>
      </c>
      <c r="C25" s="36" t="e">
        <f>IF(ISBLANK(Mapa!$G$37),"",Mapa!$G$37)</f>
        <v>#N/A</v>
      </c>
      <c r="D25" s="85" t="str">
        <f>Mapa!$B$38</f>
        <v/>
      </c>
      <c r="E25" s="48" t="str">
        <f>IF(Adjudicação!$B$33="CANCELADO","",IF(ISBLANK(Mapa!$F$38),"",Mapa!$F$38))</f>
        <v/>
      </c>
      <c r="F25" s="16" t="str">
        <f>Mapa!$G$38</f>
        <v/>
      </c>
      <c r="G25" s="43" t="str">
        <f>IF(Adjudicação!$B$33="CANCELADO","",IF(Adjudicação!$A$34="",Adjudicação!$B$34,IF(Adjudicação!$A$34="S",Adjudicação!$E$34,IF(Adjudicação!$A$34="T",Adjudicação!$H$34))))</f>
        <v/>
      </c>
      <c r="H25" s="42" t="str">
        <f t="shared" si="0"/>
        <v/>
      </c>
      <c r="I25" s="167" t="str">
        <f>IF(Adjudicação!$B$33="CANCELADO","",IF(Adjudicação!$A$34="",Adjudicação!$C$35,IF(Adjudicação!$A$34="S",Adjudicação!$F$35,IF(Adjudicação!$A$34="T",Adjudicação!$I$35))))&amp;" dias úteis."</f>
        <v xml:space="preserve"> dias úteis.</v>
      </c>
    </row>
    <row r="26" spans="1:17" ht="15.75" thickBot="1">
      <c r="A26" s="145"/>
      <c r="B26" s="8">
        <v>8</v>
      </c>
      <c r="C26" s="36" t="e">
        <f>IF(ISBLANK(Mapa!$M$37),"",Mapa!$M$37)</f>
        <v>#N/A</v>
      </c>
      <c r="D26" s="85" t="str">
        <f>Mapa!$H$38</f>
        <v/>
      </c>
      <c r="E26" s="48" t="str">
        <f>IF(Adjudicação!$B$37="CANCELADO","",IF(ISBLANK(Mapa!$L$38),"",Mapa!$L$38))</f>
        <v/>
      </c>
      <c r="F26" s="16" t="str">
        <f>Mapa!$M$38</f>
        <v/>
      </c>
      <c r="G26" s="43" t="str">
        <f>IF(Adjudicação!$B$37="CANCELADO","",IF(Adjudicação!$A$38="",Adjudicação!$B$38,IF(Adjudicação!$A$38="S",Adjudicação!$E$38,IF(Adjudicação!$A$38="T",Adjudicação!$H$38))))</f>
        <v/>
      </c>
      <c r="H26" s="42" t="str">
        <f t="shared" si="0"/>
        <v/>
      </c>
      <c r="I26" s="167" t="str">
        <f>IF(Adjudicação!$B$37="CANCELADO","",IF(Adjudicação!$A$38="",Adjudicação!$C$39,IF(Adjudicação!$A$38="S",Adjudicação!$F$39,IF(Adjudicação!$A$38="T",Adjudicação!$I$39))))&amp;" dias úteis."</f>
        <v xml:space="preserve"> dias úteis.</v>
      </c>
    </row>
    <row r="27" spans="1:17" ht="15.75" thickBot="1">
      <c r="A27" s="145"/>
      <c r="B27" s="8">
        <v>9</v>
      </c>
      <c r="C27" s="36" t="e">
        <f>IF(ISBLANK(Mapa!$S$37),"",Mapa!$S$37)</f>
        <v>#N/A</v>
      </c>
      <c r="D27" s="85" t="str">
        <f>Mapa!$N$38</f>
        <v/>
      </c>
      <c r="E27" s="48" t="str">
        <f>IF(Adjudicação!$B$41="CANCELADO","",IF(ISBLANK(Mapa!$R$38),"",Mapa!$R$38))</f>
        <v/>
      </c>
      <c r="F27" s="16" t="str">
        <f>Mapa!$S$38</f>
        <v/>
      </c>
      <c r="G27" s="43" t="str">
        <f>IF(Adjudicação!$B$41="CANCELADO","",IF(Adjudicação!$A$42="",Adjudicação!$B$42,IF(Adjudicação!$A$42="S",Adjudicação!$E$42,IF(Adjudicação!$A$42="T",Adjudicação!$H$42))))</f>
        <v/>
      </c>
      <c r="H27" s="42" t="str">
        <f t="shared" si="0"/>
        <v/>
      </c>
      <c r="I27" s="167" t="str">
        <f>IF(Adjudicação!$B$41="CANCELADO","",IF(Adjudicação!$A$42="",Adjudicação!$C$43,IF(Adjudicação!$A$42="S",Adjudicação!$F$43,IF(Adjudicação!$A$42="T",Adjudicação!$I$43))))&amp;" dias úteis."</f>
        <v xml:space="preserve"> dias úteis.</v>
      </c>
    </row>
    <row r="28" spans="1:17" ht="15.75" thickBot="1">
      <c r="A28" s="145"/>
      <c r="B28" s="8">
        <v>10</v>
      </c>
      <c r="C28" s="36" t="e">
        <f>IF(ISBLANK(Mapa!$G$54),"",Mapa!$G$54)</f>
        <v>#N/A</v>
      </c>
      <c r="D28" s="85" t="str">
        <f>Mapa!$B$55</f>
        <v/>
      </c>
      <c r="E28" s="48" t="str">
        <f>IF(Adjudicação!$B$45="CANCELADO","",IF(ISBLANK(Mapa!$F$55),"",Mapa!$F$55))</f>
        <v/>
      </c>
      <c r="F28" s="16" t="str">
        <f>Mapa!$G$55</f>
        <v/>
      </c>
      <c r="G28" s="43" t="str">
        <f>IF(Adjudicação!$B$45="CANCELADO","",IF(Adjudicação!$A$46="",Adjudicação!$B$46,IF(Adjudicação!$A$46="S",Adjudicação!$E$46,IF(Adjudicação!$A$46="T",Adjudicação!$H$46))))</f>
        <v/>
      </c>
      <c r="H28" s="42" t="str">
        <f t="shared" si="0"/>
        <v/>
      </c>
      <c r="I28" s="167" t="str">
        <f>IF(Adjudicação!$B$45="CANCELADO","",IF(Adjudicação!$A$46="",Adjudicação!$C$47,IF(Adjudicação!$A$46="S",Adjudicação!$F$47,IF(Adjudicação!$A$46="T",Adjudicação!$I$47))))&amp;" dias úteis."</f>
        <v xml:space="preserve"> dias úteis.</v>
      </c>
    </row>
    <row r="29" spans="1:17" ht="15.75" thickBot="1">
      <c r="A29" s="145"/>
      <c r="B29" s="8">
        <v>11</v>
      </c>
      <c r="C29" s="36" t="e">
        <f>IF(ISBLANK(Mapa!$M$54),"",Mapa!$M$54)</f>
        <v>#N/A</v>
      </c>
      <c r="D29" s="85" t="str">
        <f>Mapa!$H$55</f>
        <v/>
      </c>
      <c r="E29" s="48" t="str">
        <f>IF(Adjudicação!$B$49="CANCELADO","",IF(ISBLANK(Mapa!$L$55),"",Mapa!$L$55))</f>
        <v/>
      </c>
      <c r="F29" s="16" t="str">
        <f>Mapa!$M$55</f>
        <v/>
      </c>
      <c r="G29" s="43" t="str">
        <f>IF(Adjudicação!$B$49="CANCELADO","",IF(Adjudicação!$A$50="",Adjudicação!$B$50,IF(Adjudicação!$A$50="S",Adjudicação!$E$50,IF(Adjudicação!$A$50="T",Adjudicação!$H$50))))</f>
        <v/>
      </c>
      <c r="H29" s="42" t="str">
        <f t="shared" si="0"/>
        <v/>
      </c>
      <c r="I29" s="167" t="str">
        <f>IF(Adjudicação!$B$49="CANCELADO","",IF(Adjudicação!$A$50="",Adjudicação!$C$51,IF(Adjudicação!$A$50="S",Adjudicação!$F$51,IF(Adjudicação!$A$50="T",Adjudicação!$I$51))))&amp;" dias úteis."</f>
        <v xml:space="preserve"> dias úteis.</v>
      </c>
    </row>
    <row r="30" spans="1:17" ht="15.75" thickBot="1">
      <c r="A30" s="145"/>
      <c r="B30" s="8">
        <v>12</v>
      </c>
      <c r="C30" s="36" t="e">
        <f>IF(ISBLANK(Mapa!$S$54),"",Mapa!$S$54)</f>
        <v>#N/A</v>
      </c>
      <c r="D30" s="85" t="str">
        <f>Mapa!$N$55</f>
        <v/>
      </c>
      <c r="E30" s="48" t="str">
        <f>IF(Adjudicação!$B$53="CANCELADO","",IF(ISBLANK(Mapa!$R$55),"",Mapa!$R$55))</f>
        <v/>
      </c>
      <c r="F30" s="16" t="str">
        <f>Mapa!$S$55</f>
        <v/>
      </c>
      <c r="G30" s="43" t="str">
        <f>IF(Adjudicação!$B$53="CANCELADO","",IF(Adjudicação!$A$54="",Adjudicação!$B$54,IF(Adjudicação!$A$54="S",Adjudicação!$E$54,IF(Adjudicação!$A$54="T",Adjudicação!$H$54))))</f>
        <v/>
      </c>
      <c r="H30" s="42" t="str">
        <f t="shared" si="0"/>
        <v/>
      </c>
      <c r="I30" s="167" t="str">
        <f>IF(Adjudicação!$B$53="CANCELADO","",IF(Adjudicação!$A$54="",Adjudicação!$C$55,IF(Adjudicação!$A$54="S",Adjudicação!$F$55,IF(Adjudicação!$A$54="T",Adjudicação!$I$55))))&amp;" dias úteis."</f>
        <v xml:space="preserve"> dias úteis.</v>
      </c>
    </row>
    <row r="31" spans="1:17" ht="15.75" thickBot="1">
      <c r="A31" s="145"/>
      <c r="B31" s="941" t="s">
        <v>1876</v>
      </c>
      <c r="C31" s="942"/>
      <c r="D31" s="943"/>
      <c r="E31" s="943"/>
      <c r="F31" s="943"/>
      <c r="G31" s="944"/>
      <c r="H31" s="945">
        <f>SUBTOTAL(109,H19:H30)</f>
        <v>0</v>
      </c>
      <c r="I31" s="946"/>
    </row>
    <row r="32" spans="1:17">
      <c r="A32" s="145"/>
      <c r="B32" s="143"/>
      <c r="C32" s="145"/>
      <c r="D32" s="145"/>
      <c r="E32" s="145"/>
      <c r="F32" s="145"/>
      <c r="G32" s="145"/>
      <c r="H32" s="145"/>
      <c r="K32" s="155"/>
    </row>
    <row r="33" spans="1:10" ht="20.25">
      <c r="A33" s="145"/>
      <c r="B33" s="933" t="s">
        <v>1069</v>
      </c>
      <c r="C33" s="934"/>
      <c r="D33" s="934"/>
      <c r="E33" s="934"/>
      <c r="F33" s="934"/>
      <c r="G33" s="934"/>
      <c r="H33" s="934"/>
      <c r="I33" s="935"/>
    </row>
    <row r="34" spans="1:10">
      <c r="A34" s="145"/>
      <c r="B34" s="936" t="s">
        <v>2748</v>
      </c>
      <c r="C34" s="937"/>
      <c r="D34" s="937"/>
      <c r="E34" s="937"/>
      <c r="F34" s="937"/>
      <c r="G34" s="937"/>
      <c r="H34" s="937"/>
      <c r="I34" s="938"/>
    </row>
    <row r="35" spans="1:10">
      <c r="A35" s="145"/>
      <c r="B35" s="936" t="s">
        <v>2749</v>
      </c>
      <c r="C35" s="937"/>
      <c r="D35" s="937"/>
      <c r="E35" s="937"/>
      <c r="F35" s="937"/>
      <c r="G35" s="937"/>
      <c r="H35" s="937"/>
      <c r="I35" s="938"/>
    </row>
    <row r="36" spans="1:10">
      <c r="A36" s="145"/>
      <c r="B36" s="936" t="s">
        <v>2750</v>
      </c>
      <c r="C36" s="937"/>
      <c r="D36" s="937"/>
      <c r="E36" s="937"/>
      <c r="F36" s="937"/>
      <c r="G36" s="937"/>
      <c r="H36" s="937"/>
      <c r="I36" s="938"/>
    </row>
    <row r="37" spans="1:10">
      <c r="A37" s="145"/>
      <c r="B37" s="143"/>
      <c r="C37" s="156"/>
      <c r="D37" s="156"/>
      <c r="E37" s="156"/>
      <c r="F37" s="156"/>
      <c r="G37" s="156"/>
      <c r="H37" s="156"/>
    </row>
    <row r="38" spans="1:10" ht="21">
      <c r="A38" s="145"/>
      <c r="B38" s="930" t="s">
        <v>4135</v>
      </c>
      <c r="C38" s="931"/>
      <c r="D38" s="931"/>
      <c r="E38" s="931"/>
      <c r="F38" s="931"/>
      <c r="G38" s="931"/>
      <c r="H38" s="931"/>
      <c r="I38" s="932"/>
    </row>
    <row r="39" spans="1:10">
      <c r="A39" s="145"/>
      <c r="B39" s="142"/>
      <c r="C39" s="145"/>
      <c r="D39" s="145"/>
      <c r="E39" s="145"/>
      <c r="F39" s="145"/>
      <c r="G39" s="145"/>
      <c r="H39" s="145"/>
    </row>
    <row r="40" spans="1:10" ht="27" customHeight="1">
      <c r="A40" s="145"/>
      <c r="B40" s="939" t="s">
        <v>666</v>
      </c>
      <c r="C40" s="940"/>
      <c r="D40" s="940"/>
      <c r="E40" s="940"/>
      <c r="F40" s="940"/>
      <c r="G40" s="940"/>
      <c r="H40" s="940"/>
      <c r="I40" s="938"/>
    </row>
    <row r="41" spans="1:10">
      <c r="A41" s="145"/>
      <c r="B41" s="954"/>
      <c r="C41" s="955"/>
      <c r="D41" s="955"/>
      <c r="E41" s="955"/>
      <c r="F41" s="955"/>
      <c r="G41" s="955"/>
      <c r="H41" s="955"/>
      <c r="I41" s="956"/>
    </row>
    <row r="42" spans="1:10">
      <c r="A42" s="145"/>
      <c r="B42" s="144"/>
      <c r="C42" s="145"/>
      <c r="D42" s="145"/>
      <c r="E42" s="145"/>
      <c r="F42" s="145"/>
      <c r="G42" s="145"/>
      <c r="H42" s="145"/>
    </row>
    <row r="43" spans="1:10">
      <c r="A43" s="145"/>
      <c r="B43" s="30"/>
      <c r="C43" s="145"/>
      <c r="D43" s="145"/>
      <c r="E43" s="145"/>
      <c r="F43" s="145"/>
      <c r="G43" s="145"/>
      <c r="H43" s="145"/>
    </row>
    <row r="44" spans="1:10" ht="15" customHeight="1">
      <c r="A44" s="145"/>
      <c r="B44" s="957" t="str">
        <f>Adjudicação!A85</f>
        <v>DIEGO FERNANDES DA SILVA</v>
      </c>
      <c r="C44" s="940"/>
      <c r="D44" s="940"/>
      <c r="E44" s="940"/>
      <c r="F44" s="940"/>
      <c r="G44" s="940"/>
      <c r="H44" s="940"/>
      <c r="I44" s="938"/>
    </row>
    <row r="45" spans="1:10" s="152" customFormat="1">
      <c r="A45" s="151"/>
      <c r="B45" s="916" t="str">
        <f>Adjudicação!A86</f>
        <v>Diretor(a) Administrativo(a)/SRSSU</v>
      </c>
      <c r="C45" s="940"/>
      <c r="D45" s="940"/>
      <c r="E45" s="940"/>
      <c r="F45" s="940"/>
      <c r="G45" s="940"/>
      <c r="H45" s="940"/>
      <c r="I45" s="938"/>
    </row>
    <row r="46" spans="1:10" ht="15" customHeight="1">
      <c r="A46" s="145"/>
      <c r="B46" s="949" t="str">
        <f>Adjudicação!A87</f>
        <v>Matrícula: 1.693.844-5</v>
      </c>
      <c r="C46" s="950"/>
      <c r="D46" s="950"/>
      <c r="E46" s="950"/>
      <c r="F46" s="950"/>
      <c r="G46" s="950"/>
      <c r="H46" s="950"/>
      <c r="I46" s="951"/>
      <c r="J46" s="157"/>
    </row>
    <row r="47" spans="1:10">
      <c r="A47" s="145"/>
      <c r="B47" s="145"/>
      <c r="C47" s="145"/>
      <c r="D47" s="145"/>
      <c r="E47" s="145"/>
      <c r="F47" s="145"/>
      <c r="G47" s="145"/>
      <c r="H47" s="145"/>
    </row>
    <row r="48" spans="1:10">
      <c r="A48" s="31"/>
      <c r="B48" s="952"/>
      <c r="C48" s="953"/>
      <c r="D48" s="953"/>
      <c r="E48" s="953"/>
      <c r="F48" s="953"/>
      <c r="G48" s="953"/>
      <c r="H48" s="953"/>
      <c r="I48" s="938"/>
    </row>
    <row r="49" spans="1:9" ht="11.25" customHeight="1">
      <c r="A49" s="917" t="s">
        <v>673</v>
      </c>
      <c r="B49" s="917"/>
      <c r="C49" s="917"/>
      <c r="D49" s="917"/>
      <c r="E49" s="917"/>
      <c r="F49" s="917"/>
      <c r="G49" s="917"/>
      <c r="H49" s="917"/>
      <c r="I49" s="917"/>
    </row>
    <row r="50" spans="1:9" ht="11.25" customHeight="1">
      <c r="A50" s="911" t="s">
        <v>4136</v>
      </c>
      <c r="B50" s="911"/>
      <c r="C50" s="911"/>
      <c r="D50" s="911"/>
      <c r="E50" s="911"/>
      <c r="F50" s="911"/>
      <c r="G50" s="911"/>
      <c r="H50" s="911"/>
      <c r="I50" s="911"/>
    </row>
    <row r="51" spans="1:9" ht="11.25" customHeight="1">
      <c r="A51" s="911" t="s">
        <v>2738</v>
      </c>
      <c r="B51" s="911"/>
      <c r="C51" s="911"/>
      <c r="D51" s="911"/>
      <c r="E51" s="911"/>
      <c r="F51" s="911"/>
      <c r="G51" s="911"/>
      <c r="H51" s="911"/>
      <c r="I51" s="911"/>
    </row>
    <row r="52" spans="1:9" ht="11.25" customHeight="1">
      <c r="A52" s="911" t="s">
        <v>5744</v>
      </c>
      <c r="B52" s="911"/>
      <c r="C52" s="911"/>
      <c r="D52" s="911"/>
      <c r="E52" s="911"/>
      <c r="F52" s="911"/>
      <c r="G52" s="911"/>
      <c r="H52" s="911"/>
      <c r="I52" s="911"/>
    </row>
    <row r="53" spans="1:9">
      <c r="A53" s="145"/>
      <c r="B53" s="145"/>
      <c r="C53" s="145"/>
      <c r="D53" s="145"/>
      <c r="E53" s="145"/>
      <c r="F53" s="145"/>
      <c r="G53" s="145"/>
      <c r="H53" s="145"/>
    </row>
  </sheetData>
  <sheetProtection formatCells="0" formatColumns="0" formatRows="0"/>
  <mergeCells count="26">
    <mergeCell ref="B9:I9"/>
    <mergeCell ref="B10:I10"/>
    <mergeCell ref="A51:I51"/>
    <mergeCell ref="A52:I52"/>
    <mergeCell ref="B45:I45"/>
    <mergeCell ref="B46:I46"/>
    <mergeCell ref="B48:I48"/>
    <mergeCell ref="A50:I50"/>
    <mergeCell ref="A49:I49"/>
    <mergeCell ref="B41:I41"/>
    <mergeCell ref="B44:I44"/>
    <mergeCell ref="B13:C13"/>
    <mergeCell ref="D13:F13"/>
    <mergeCell ref="B12:C12"/>
    <mergeCell ref="D12:H12"/>
    <mergeCell ref="B40:I40"/>
    <mergeCell ref="B14:C14"/>
    <mergeCell ref="D14:G14"/>
    <mergeCell ref="B38:I38"/>
    <mergeCell ref="B33:I33"/>
    <mergeCell ref="B34:I34"/>
    <mergeCell ref="B16:I16"/>
    <mergeCell ref="B31:G31"/>
    <mergeCell ref="B35:I35"/>
    <mergeCell ref="B36:I36"/>
    <mergeCell ref="H31:I31"/>
  </mergeCells>
  <conditionalFormatting sqref="B41:H41">
    <cfRule type="containsText" dxfId="735" priority="2" stopIfTrue="1" operator="containsText" text="xx">
      <formula>NOT(ISERROR(SEARCH("xx",B41)))</formula>
    </cfRule>
  </conditionalFormatting>
  <conditionalFormatting sqref="C19:C30">
    <cfRule type="containsErrors" dxfId="734" priority="1">
      <formula>ISERROR(C19)</formula>
    </cfRule>
  </conditionalFormatting>
  <dataValidations count="1">
    <dataValidation type="list" allowBlank="1" showInputMessage="1" showErrorMessage="1" sqref="D12:G12 N16:Q16 M9:P9">
      <formula1>FORNECEDOR</formula1>
    </dataValidation>
  </dataValidations>
  <pageMargins left="0.511811024" right="0.511811024" top="0.78740157499999996" bottom="0.78740157499999996" header="0.31496062000000002" footer="0.31496062000000002"/>
  <pageSetup paperSize="9" scale="63" fitToHeight="0" orientation="portrait" r:id="rId1"/>
  <drawing r:id="rId2"/>
  <legacyDrawing r:id="rId3"/>
  <oleObjects>
    <mc:AlternateContent xmlns:mc="http://schemas.openxmlformats.org/markup-compatibility/2006">
      <mc:Choice Requires="x14">
        <oleObject progId="PBrush" shapeId="9217" r:id="rId4">
          <objectPr defaultSize="0" autoPict="0" r:id="rId5">
            <anchor moveWithCells="1" sizeWithCells="1">
              <from>
                <xdr:col>1</xdr:col>
                <xdr:colOff>95250</xdr:colOff>
                <xdr:row>1</xdr:row>
                <xdr:rowOff>28575</xdr:rowOff>
              </from>
              <to>
                <xdr:col>2</xdr:col>
                <xdr:colOff>219075</xdr:colOff>
                <xdr:row>5</xdr:row>
                <xdr:rowOff>85725</xdr:rowOff>
              </to>
            </anchor>
          </objectPr>
        </oleObject>
      </mc:Choice>
      <mc:Fallback>
        <oleObject progId="PBrush" shapeId="9217" r:id="rId4"/>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1">
    <pageSetUpPr fitToPage="1"/>
  </sheetPr>
  <dimension ref="A1:AG1508"/>
  <sheetViews>
    <sheetView topLeftCell="B980" zoomScaleNormal="100" workbookViewId="0">
      <selection activeCell="G995" sqref="G995:J995"/>
    </sheetView>
  </sheetViews>
  <sheetFormatPr defaultColWidth="9.140625" defaultRowHeight="14.25" customHeight="1"/>
  <cols>
    <col min="1" max="1" width="10.28515625" style="260" bestFit="1" customWidth="1"/>
    <col min="2" max="2" width="10.140625" style="260" bestFit="1" customWidth="1"/>
    <col min="3" max="3" width="27" style="274" customWidth="1"/>
    <col min="4" max="4" width="14.85546875" style="260" bestFit="1" customWidth="1"/>
    <col min="5" max="5" width="2.7109375" style="260" customWidth="1"/>
    <col min="6" max="6" width="4.140625" style="260" customWidth="1"/>
    <col min="7" max="7" width="14.5703125" style="260" customWidth="1"/>
    <col min="8" max="8" width="13.5703125" style="260" customWidth="1"/>
    <col min="9" max="9" width="35" style="260" bestFit="1" customWidth="1"/>
    <col min="10" max="10" width="16.85546875" style="260" customWidth="1"/>
    <col min="11" max="11" width="19.140625" style="260" bestFit="1" customWidth="1"/>
    <col min="12" max="12" width="31.42578125" style="274" customWidth="1"/>
    <col min="13" max="13" width="11.5703125" style="274" bestFit="1" customWidth="1"/>
    <col min="14" max="14" width="29.7109375" style="274" customWidth="1"/>
    <col min="15" max="15" width="24.140625" style="266" bestFit="1" customWidth="1"/>
    <col min="16" max="16" width="19.5703125" style="261" customWidth="1"/>
    <col min="17" max="17" width="17.42578125" style="260" bestFit="1" customWidth="1"/>
    <col min="18" max="16384" width="9.140625" style="260"/>
  </cols>
  <sheetData>
    <row r="1" spans="1:33" ht="17.25" customHeight="1" thickBot="1">
      <c r="C1" s="279" t="s">
        <v>7199</v>
      </c>
      <c r="I1" s="309" t="s">
        <v>7200</v>
      </c>
      <c r="J1" s="359" t="s">
        <v>6931</v>
      </c>
      <c r="N1" s="385" t="s">
        <v>7201</v>
      </c>
      <c r="O1" s="386"/>
      <c r="P1" s="290"/>
      <c r="AG1" s="264"/>
    </row>
    <row r="2" spans="1:33" ht="14.25" customHeight="1" thickTop="1">
      <c r="A2" s="280" t="s">
        <v>1844</v>
      </c>
      <c r="B2" s="280" t="s">
        <v>568</v>
      </c>
      <c r="C2" s="280" t="s">
        <v>0</v>
      </c>
      <c r="D2" s="280" t="s">
        <v>3669</v>
      </c>
      <c r="F2" s="190"/>
      <c r="G2" s="280" t="s">
        <v>1844</v>
      </c>
      <c r="H2" s="280" t="s">
        <v>568</v>
      </c>
      <c r="I2" s="281" t="s">
        <v>0</v>
      </c>
      <c r="J2" s="280" t="s">
        <v>3669</v>
      </c>
      <c r="K2" s="280" t="s">
        <v>2815</v>
      </c>
      <c r="L2" s="300"/>
      <c r="M2" s="300"/>
      <c r="N2" s="383" t="s">
        <v>2839</v>
      </c>
      <c r="O2" s="383" t="s">
        <v>2789</v>
      </c>
      <c r="P2" s="383" t="s">
        <v>1877</v>
      </c>
      <c r="Q2" s="190"/>
      <c r="R2" s="190"/>
      <c r="AG2" s="264"/>
    </row>
    <row r="3" spans="1:33" s="264" customFormat="1" ht="14.25" customHeight="1">
      <c r="A3" s="262">
        <v>401</v>
      </c>
      <c r="B3" s="262" t="s">
        <v>6923</v>
      </c>
      <c r="C3" s="270" t="s">
        <v>4433</v>
      </c>
      <c r="D3" s="263">
        <v>260</v>
      </c>
      <c r="E3" s="278"/>
      <c r="F3" s="264">
        <v>2</v>
      </c>
      <c r="G3" s="306">
        <v>923</v>
      </c>
      <c r="H3" s="306" t="s">
        <v>7052</v>
      </c>
      <c r="I3" s="307" t="s">
        <v>4358</v>
      </c>
      <c r="J3" s="263">
        <v>26.45</v>
      </c>
      <c r="K3" s="306"/>
      <c r="L3" s="384" t="str">
        <f t="shared" ref="L3:L20" si="0">CONCATENATE(LEFT(H3,3),"-",I3)</f>
        <v>362-LARISSA (703011)</v>
      </c>
      <c r="M3" s="384"/>
      <c r="N3" s="276" t="s">
        <v>4379</v>
      </c>
      <c r="O3" s="265"/>
      <c r="P3" s="265"/>
      <c r="Q3" s="395"/>
    </row>
    <row r="4" spans="1:33" s="264" customFormat="1" ht="14.25" customHeight="1">
      <c r="A4" s="262">
        <v>401</v>
      </c>
      <c r="B4" s="262" t="s">
        <v>6923</v>
      </c>
      <c r="C4" s="270" t="s">
        <v>4433</v>
      </c>
      <c r="D4" s="263">
        <v>260</v>
      </c>
      <c r="E4" s="278"/>
      <c r="F4" s="264">
        <v>3</v>
      </c>
      <c r="G4" s="262">
        <v>478895</v>
      </c>
      <c r="H4" s="262" t="s">
        <v>7052</v>
      </c>
      <c r="I4" s="270" t="s">
        <v>5740</v>
      </c>
      <c r="J4" s="263">
        <v>33.6</v>
      </c>
      <c r="K4" s="306"/>
      <c r="L4" s="384" t="str">
        <f t="shared" si="0"/>
        <v>362-PRIMEIRA LINHA (878)</v>
      </c>
      <c r="M4" s="384"/>
      <c r="N4" s="270" t="s">
        <v>4433</v>
      </c>
      <c r="O4" s="265"/>
      <c r="P4" s="265"/>
      <c r="Q4" s="395"/>
    </row>
    <row r="5" spans="1:33" s="264" customFormat="1" ht="14.25" customHeight="1">
      <c r="A5" s="262">
        <v>401</v>
      </c>
      <c r="B5" s="262" t="s">
        <v>6923</v>
      </c>
      <c r="C5" s="270" t="s">
        <v>4433</v>
      </c>
      <c r="D5" s="263">
        <v>260</v>
      </c>
      <c r="E5" s="278"/>
      <c r="F5" s="264">
        <v>4</v>
      </c>
      <c r="G5" s="262">
        <v>7606</v>
      </c>
      <c r="H5" s="262" t="s">
        <v>7053</v>
      </c>
      <c r="I5" s="270" t="s">
        <v>5727</v>
      </c>
      <c r="J5" s="263">
        <v>90.1</v>
      </c>
      <c r="K5" s="306" t="s">
        <v>7204</v>
      </c>
      <c r="L5" s="384" t="str">
        <f t="shared" si="0"/>
        <v>363-FERRAGENS LÍDER (700064)</v>
      </c>
      <c r="M5" s="384"/>
      <c r="N5" s="270" t="s">
        <v>3530</v>
      </c>
      <c r="O5" s="265"/>
      <c r="P5" s="265"/>
      <c r="Q5" s="395"/>
    </row>
    <row r="6" spans="1:33" s="264" customFormat="1" ht="14.25" customHeight="1">
      <c r="A6" s="262">
        <v>401</v>
      </c>
      <c r="B6" s="262" t="s">
        <v>6923</v>
      </c>
      <c r="C6" s="270" t="s">
        <v>4433</v>
      </c>
      <c r="D6" s="263">
        <v>260</v>
      </c>
      <c r="E6" s="278"/>
      <c r="F6" s="264">
        <v>5</v>
      </c>
      <c r="G6" s="306">
        <v>1100</v>
      </c>
      <c r="H6" s="306" t="s">
        <v>7089</v>
      </c>
      <c r="I6" s="307" t="s">
        <v>4357</v>
      </c>
      <c r="J6" s="263">
        <v>117</v>
      </c>
      <c r="K6" s="306"/>
      <c r="L6" s="384" t="str">
        <f>CONCATENATE(LEFT(H6,3),"-",I6)</f>
        <v>378-JJT AMARAL (703513)</v>
      </c>
      <c r="M6" s="384"/>
      <c r="N6" s="276" t="s">
        <v>7080</v>
      </c>
      <c r="O6" s="265"/>
      <c r="P6" s="265"/>
      <c r="Q6" s="395"/>
    </row>
    <row r="7" spans="1:33" s="264" customFormat="1" ht="14.25" customHeight="1">
      <c r="A7" s="262">
        <v>402</v>
      </c>
      <c r="B7" s="262" t="s">
        <v>6996</v>
      </c>
      <c r="C7" s="270" t="s">
        <v>4433</v>
      </c>
      <c r="D7" s="263">
        <v>260</v>
      </c>
      <c r="E7" s="278"/>
      <c r="F7" s="264">
        <v>6</v>
      </c>
      <c r="G7" s="397">
        <v>796</v>
      </c>
      <c r="H7" s="306" t="s">
        <v>7147</v>
      </c>
      <c r="I7" s="307" t="s">
        <v>3530</v>
      </c>
      <c r="J7" s="263">
        <v>189</v>
      </c>
      <c r="K7" s="306">
        <v>28929</v>
      </c>
      <c r="L7" s="384" t="str">
        <f t="shared" si="0"/>
        <v>407-ÉTICA (703252)</v>
      </c>
      <c r="M7" s="384"/>
      <c r="N7" s="276" t="s">
        <v>5727</v>
      </c>
      <c r="O7" s="265"/>
      <c r="P7" s="265"/>
      <c r="Q7" s="395"/>
    </row>
    <row r="8" spans="1:33" s="264" customFormat="1" ht="14.25" customHeight="1">
      <c r="A8" s="262">
        <v>402</v>
      </c>
      <c r="B8" s="262" t="s">
        <v>6996</v>
      </c>
      <c r="C8" s="307" t="s">
        <v>4433</v>
      </c>
      <c r="D8" s="263">
        <v>260</v>
      </c>
      <c r="E8" s="278"/>
      <c r="F8" s="264">
        <v>7</v>
      </c>
      <c r="G8" s="262">
        <v>613</v>
      </c>
      <c r="H8" s="262" t="s">
        <v>7090</v>
      </c>
      <c r="I8" s="270" t="s">
        <v>3671</v>
      </c>
      <c r="J8" s="263">
        <v>485</v>
      </c>
      <c r="K8" s="306">
        <v>28917</v>
      </c>
      <c r="L8" s="384" t="str">
        <f t="shared" si="0"/>
        <v>380-RV GRÁFICA (703134)</v>
      </c>
      <c r="M8" s="384"/>
      <c r="N8" s="276" t="s">
        <v>7202</v>
      </c>
      <c r="O8" s="265"/>
      <c r="P8" s="265"/>
      <c r="Q8" s="395"/>
    </row>
    <row r="9" spans="1:33" s="264" customFormat="1" ht="14.25" customHeight="1">
      <c r="A9" s="262">
        <v>402</v>
      </c>
      <c r="B9" s="262" t="s">
        <v>6996</v>
      </c>
      <c r="C9" s="270" t="s">
        <v>4433</v>
      </c>
      <c r="D9" s="263">
        <v>260</v>
      </c>
      <c r="E9" s="278"/>
      <c r="F9" s="264">
        <v>8</v>
      </c>
      <c r="G9" s="306">
        <v>455502</v>
      </c>
      <c r="H9" s="306" t="s">
        <v>7165</v>
      </c>
      <c r="I9" s="307" t="s">
        <v>4359</v>
      </c>
      <c r="J9" s="263">
        <v>700</v>
      </c>
      <c r="K9" s="306">
        <v>28904</v>
      </c>
      <c r="L9" s="384" t="str">
        <f t="shared" si="0"/>
        <v>414-WERBRAN (700722)</v>
      </c>
      <c r="M9" s="384"/>
      <c r="N9" s="276" t="s">
        <v>4357</v>
      </c>
      <c r="O9" s="265"/>
      <c r="P9" s="265"/>
      <c r="Q9" s="395"/>
    </row>
    <row r="10" spans="1:33" s="264" customFormat="1" ht="14.25" customHeight="1">
      <c r="A10" s="262">
        <v>478895</v>
      </c>
      <c r="B10" s="262" t="s">
        <v>7052</v>
      </c>
      <c r="C10" s="270" t="s">
        <v>5740</v>
      </c>
      <c r="D10" s="263">
        <v>33.6</v>
      </c>
      <c r="E10" s="278"/>
      <c r="F10" s="264">
        <v>9</v>
      </c>
      <c r="G10" s="306">
        <v>402</v>
      </c>
      <c r="H10" s="306" t="s">
        <v>6996</v>
      </c>
      <c r="I10" s="307" t="s">
        <v>4433</v>
      </c>
      <c r="J10" s="263">
        <v>780</v>
      </c>
      <c r="K10" s="306">
        <v>28885</v>
      </c>
      <c r="L10" s="384" t="str">
        <f t="shared" si="0"/>
        <v>336-DS MEDICAL (702905)</v>
      </c>
      <c r="M10" s="384"/>
      <c r="N10" s="277" t="s">
        <v>4358</v>
      </c>
      <c r="O10" s="265"/>
      <c r="P10" s="265"/>
      <c r="Q10" s="395"/>
    </row>
    <row r="11" spans="1:33" s="354" customFormat="1" ht="14.25" customHeight="1">
      <c r="A11" s="262">
        <v>923</v>
      </c>
      <c r="B11" s="262" t="s">
        <v>7052</v>
      </c>
      <c r="C11" s="270" t="s">
        <v>4358</v>
      </c>
      <c r="D11" s="263">
        <v>13.36</v>
      </c>
      <c r="E11" s="278"/>
      <c r="F11" s="264">
        <v>10</v>
      </c>
      <c r="G11" s="306">
        <v>401</v>
      </c>
      <c r="H11" s="306" t="s">
        <v>6923</v>
      </c>
      <c r="I11" s="307" t="s">
        <v>4433</v>
      </c>
      <c r="J11" s="263">
        <v>1040</v>
      </c>
      <c r="K11" s="306">
        <v>28838</v>
      </c>
      <c r="L11" s="384" t="str">
        <f t="shared" si="0"/>
        <v>302-DS MEDICAL (702905)</v>
      </c>
      <c r="M11" s="384"/>
      <c r="N11" s="276" t="s">
        <v>4397</v>
      </c>
      <c r="O11" s="265"/>
      <c r="P11" s="265"/>
      <c r="Q11" s="395"/>
      <c r="R11" s="264"/>
      <c r="AF11" s="264"/>
      <c r="AG11" s="264"/>
    </row>
    <row r="12" spans="1:33" s="264" customFormat="1" ht="14.25" customHeight="1">
      <c r="A12" s="262">
        <v>923</v>
      </c>
      <c r="B12" s="262" t="s">
        <v>7052</v>
      </c>
      <c r="C12" s="270" t="s">
        <v>4358</v>
      </c>
      <c r="D12" s="263">
        <v>13.09</v>
      </c>
      <c r="E12" s="278"/>
      <c r="F12" s="264">
        <v>11</v>
      </c>
      <c r="G12" s="306">
        <v>1243302</v>
      </c>
      <c r="H12" s="306" t="s">
        <v>7164</v>
      </c>
      <c r="I12" s="307" t="s">
        <v>4398</v>
      </c>
      <c r="J12" s="263">
        <v>1104</v>
      </c>
      <c r="K12" s="306">
        <v>28837</v>
      </c>
      <c r="L12" s="384" t="str">
        <f t="shared" si="0"/>
        <v>412-RIOCLARENSE (3374)</v>
      </c>
      <c r="M12" s="384"/>
      <c r="N12" s="276" t="s">
        <v>5740</v>
      </c>
      <c r="O12" s="265"/>
      <c r="P12" s="265"/>
      <c r="Q12" s="395"/>
    </row>
    <row r="13" spans="1:33" s="264" customFormat="1" ht="14.25" customHeight="1">
      <c r="A13" s="262">
        <v>7605</v>
      </c>
      <c r="B13" s="262" t="s">
        <v>7052</v>
      </c>
      <c r="C13" s="270" t="s">
        <v>5727</v>
      </c>
      <c r="D13" s="263">
        <v>12</v>
      </c>
      <c r="E13" s="278"/>
      <c r="F13" s="264">
        <v>12</v>
      </c>
      <c r="G13" s="397">
        <v>122172</v>
      </c>
      <c r="H13" s="306" t="s">
        <v>7126</v>
      </c>
      <c r="I13" s="307" t="s">
        <v>4397</v>
      </c>
      <c r="J13" s="263">
        <v>1680</v>
      </c>
      <c r="K13" s="306">
        <v>28854</v>
      </c>
      <c r="L13" s="384" t="str">
        <f t="shared" si="0"/>
        <v>400-PLAST LABOR (3537)</v>
      </c>
      <c r="M13" s="384"/>
      <c r="N13" s="275" t="s">
        <v>4398</v>
      </c>
      <c r="O13" s="265"/>
      <c r="P13" s="265"/>
      <c r="Q13" s="395"/>
    </row>
    <row r="14" spans="1:33" s="264" customFormat="1" ht="14.25" customHeight="1">
      <c r="A14" s="262">
        <v>7606</v>
      </c>
      <c r="B14" s="262" t="s">
        <v>7053</v>
      </c>
      <c r="C14" s="270" t="s">
        <v>5727</v>
      </c>
      <c r="D14" s="263">
        <v>37.1</v>
      </c>
      <c r="E14" s="278"/>
      <c r="F14" s="264">
        <v>13</v>
      </c>
      <c r="G14" s="398">
        <v>122488</v>
      </c>
      <c r="H14" s="262" t="s">
        <v>7125</v>
      </c>
      <c r="I14" s="270" t="s">
        <v>4397</v>
      </c>
      <c r="J14" s="263">
        <v>1800</v>
      </c>
      <c r="K14" s="306">
        <v>28828</v>
      </c>
      <c r="L14" s="384" t="str">
        <f t="shared" si="0"/>
        <v>396-PLAST LABOR (3537)</v>
      </c>
      <c r="M14" s="384"/>
      <c r="N14" s="276" t="s">
        <v>4432</v>
      </c>
      <c r="O14" s="265"/>
      <c r="P14" s="265"/>
      <c r="Q14" s="395"/>
    </row>
    <row r="15" spans="1:33" s="264" customFormat="1" ht="14.25" customHeight="1">
      <c r="A15" s="262">
        <v>7606</v>
      </c>
      <c r="B15" s="262" t="s">
        <v>7053</v>
      </c>
      <c r="C15" s="270" t="s">
        <v>5727</v>
      </c>
      <c r="D15" s="263">
        <v>53</v>
      </c>
      <c r="E15" s="278"/>
      <c r="F15" s="264">
        <v>14</v>
      </c>
      <c r="G15" s="262">
        <v>120029</v>
      </c>
      <c r="H15" s="262" t="s">
        <v>7071</v>
      </c>
      <c r="I15" s="270" t="s">
        <v>4397</v>
      </c>
      <c r="J15" s="263">
        <v>1860</v>
      </c>
      <c r="K15" s="306">
        <v>28822</v>
      </c>
      <c r="L15" s="384" t="str">
        <f t="shared" si="0"/>
        <v>371-PLAST LABOR (3537)</v>
      </c>
      <c r="M15" s="384"/>
      <c r="N15" s="276" t="s">
        <v>3671</v>
      </c>
      <c r="O15" s="265"/>
      <c r="P15" s="265"/>
      <c r="Q15" s="395"/>
    </row>
    <row r="16" spans="1:33" s="264" customFormat="1" ht="15">
      <c r="A16" s="262">
        <v>120029</v>
      </c>
      <c r="B16" s="262" t="s">
        <v>7071</v>
      </c>
      <c r="C16" s="270" t="s">
        <v>4397</v>
      </c>
      <c r="D16" s="263">
        <v>1860</v>
      </c>
      <c r="E16" s="278"/>
      <c r="F16" s="264">
        <v>15</v>
      </c>
      <c r="G16" s="306">
        <v>599</v>
      </c>
      <c r="H16" s="306" t="s">
        <v>7130</v>
      </c>
      <c r="I16" s="307" t="s">
        <v>3671</v>
      </c>
      <c r="J16" s="263">
        <v>2132.5</v>
      </c>
      <c r="K16" s="306">
        <v>28812</v>
      </c>
      <c r="L16" s="384" t="str">
        <f t="shared" si="0"/>
        <v>403-RV GRÁFICA (703134)</v>
      </c>
      <c r="M16" s="384"/>
      <c r="N16" s="276" t="s">
        <v>4109</v>
      </c>
      <c r="O16" s="265"/>
      <c r="P16" s="265"/>
      <c r="Q16" s="395"/>
    </row>
    <row r="17" spans="1:17" s="264" customFormat="1" ht="14.25" customHeight="1">
      <c r="A17" s="262">
        <v>1100</v>
      </c>
      <c r="B17" s="262" t="s">
        <v>7089</v>
      </c>
      <c r="C17" s="270" t="s">
        <v>4357</v>
      </c>
      <c r="D17" s="263">
        <v>117</v>
      </c>
      <c r="E17" s="278"/>
      <c r="F17" s="264">
        <v>16</v>
      </c>
      <c r="G17" s="262">
        <v>8363</v>
      </c>
      <c r="H17" s="262" t="s">
        <v>7129</v>
      </c>
      <c r="I17" s="270" t="s">
        <v>4432</v>
      </c>
      <c r="J17" s="263">
        <v>2466</v>
      </c>
      <c r="K17" s="306">
        <v>28770</v>
      </c>
      <c r="L17" s="384" t="str">
        <f t="shared" si="0"/>
        <v>402-RT COMERCIO (702949)</v>
      </c>
      <c r="M17" s="384"/>
      <c r="N17" s="270" t="s">
        <v>4465</v>
      </c>
      <c r="O17" s="265"/>
      <c r="P17" s="265"/>
      <c r="Q17" s="395"/>
    </row>
    <row r="18" spans="1:17" s="264" customFormat="1" ht="14.25" customHeight="1">
      <c r="A18" s="262">
        <v>613</v>
      </c>
      <c r="B18" s="262" t="s">
        <v>7090</v>
      </c>
      <c r="C18" s="270" t="s">
        <v>3671</v>
      </c>
      <c r="D18" s="263">
        <v>485</v>
      </c>
      <c r="E18" s="278"/>
      <c r="F18" s="264">
        <v>17</v>
      </c>
      <c r="G18" s="398">
        <v>454522</v>
      </c>
      <c r="H18" s="262" t="s">
        <v>7145</v>
      </c>
      <c r="I18" s="270" t="s">
        <v>4359</v>
      </c>
      <c r="J18" s="263">
        <v>2717</v>
      </c>
      <c r="K18" s="306">
        <v>28757</v>
      </c>
      <c r="L18" s="384" t="str">
        <f t="shared" si="0"/>
        <v>404-WERBRAN (700722)</v>
      </c>
      <c r="M18" s="384"/>
      <c r="N18" s="270" t="s">
        <v>4359</v>
      </c>
      <c r="O18" s="265"/>
      <c r="P18" s="265"/>
      <c r="Q18" s="395"/>
    </row>
    <row r="19" spans="1:17" s="264" customFormat="1" ht="14.25" customHeight="1">
      <c r="A19" s="262" t="s">
        <v>7183</v>
      </c>
      <c r="B19" s="262" t="s">
        <v>7125</v>
      </c>
      <c r="C19" s="270" t="s">
        <v>4397</v>
      </c>
      <c r="D19" s="263">
        <v>1800</v>
      </c>
      <c r="E19" s="278"/>
      <c r="F19" s="264">
        <v>18</v>
      </c>
      <c r="G19" s="306">
        <v>231521</v>
      </c>
      <c r="H19" s="306" t="s">
        <v>7150</v>
      </c>
      <c r="I19" s="307" t="s">
        <v>7080</v>
      </c>
      <c r="J19" s="263">
        <v>3856</v>
      </c>
      <c r="K19" s="306">
        <v>28730</v>
      </c>
      <c r="L19" s="384" t="str">
        <f t="shared" si="0"/>
        <v>411-FARMARIM (701211)</v>
      </c>
      <c r="M19" s="384"/>
      <c r="N19" s="276"/>
      <c r="O19" s="265"/>
      <c r="P19" s="265"/>
      <c r="Q19" s="395"/>
    </row>
    <row r="20" spans="1:17" s="264" customFormat="1" ht="14.25" customHeight="1">
      <c r="A20" s="262" t="s">
        <v>7185</v>
      </c>
      <c r="B20" s="262" t="s">
        <v>7126</v>
      </c>
      <c r="C20" s="270" t="s">
        <v>4397</v>
      </c>
      <c r="D20" s="263">
        <v>1680</v>
      </c>
      <c r="E20" s="278"/>
      <c r="F20" s="264">
        <v>19</v>
      </c>
      <c r="G20" s="398">
        <v>454504</v>
      </c>
      <c r="H20" s="262" t="s">
        <v>7146</v>
      </c>
      <c r="I20" s="270" t="s">
        <v>4398</v>
      </c>
      <c r="J20" s="263">
        <v>5620</v>
      </c>
      <c r="K20" s="306">
        <v>28709</v>
      </c>
      <c r="L20" s="384" t="str">
        <f t="shared" si="0"/>
        <v>406-RIOCLARENSE (3374)</v>
      </c>
      <c r="M20" s="384"/>
      <c r="N20" s="276"/>
      <c r="O20" s="265"/>
      <c r="P20" s="265"/>
      <c r="Q20" s="395"/>
    </row>
    <row r="21" spans="1:17" s="264" customFormat="1" ht="14.25" customHeight="1">
      <c r="A21" s="262">
        <v>8363</v>
      </c>
      <c r="B21" s="262" t="s">
        <v>7129</v>
      </c>
      <c r="C21" s="270" t="s">
        <v>4432</v>
      </c>
      <c r="D21" s="263">
        <v>2466</v>
      </c>
      <c r="E21" s="278"/>
      <c r="G21" s="266"/>
      <c r="H21" s="266"/>
      <c r="I21" s="314" t="s">
        <v>1876</v>
      </c>
      <c r="J21" s="315">
        <f>SUM(J3:J20)</f>
        <v>26696.65</v>
      </c>
      <c r="K21" s="399"/>
      <c r="L21" s="384"/>
      <c r="M21" s="384"/>
      <c r="N21" s="276"/>
      <c r="O21" s="265"/>
      <c r="P21" s="265"/>
      <c r="Q21" s="395"/>
    </row>
    <row r="22" spans="1:17" s="264" customFormat="1" ht="14.25" customHeight="1">
      <c r="A22" s="262">
        <v>599</v>
      </c>
      <c r="B22" s="262" t="s">
        <v>7130</v>
      </c>
      <c r="C22" s="270" t="s">
        <v>3671</v>
      </c>
      <c r="D22" s="263">
        <v>1716</v>
      </c>
      <c r="E22" s="278"/>
      <c r="G22" s="260"/>
      <c r="H22" s="260"/>
      <c r="I22" s="260"/>
      <c r="J22" s="260"/>
      <c r="K22" s="316"/>
      <c r="L22" s="384"/>
      <c r="M22" s="384"/>
      <c r="N22" s="276"/>
      <c r="O22" s="265"/>
      <c r="P22" s="265"/>
      <c r="Q22" s="395"/>
    </row>
    <row r="23" spans="1:17" s="264" customFormat="1" ht="14.25" customHeight="1">
      <c r="A23" s="262">
        <v>599</v>
      </c>
      <c r="B23" s="262" t="s">
        <v>7130</v>
      </c>
      <c r="C23" s="270" t="s">
        <v>3671</v>
      </c>
      <c r="D23" s="263">
        <v>416.5</v>
      </c>
      <c r="E23" s="278"/>
      <c r="F23" s="264">
        <v>1</v>
      </c>
      <c r="G23" s="306">
        <v>7605</v>
      </c>
      <c r="H23" s="306" t="s">
        <v>7052</v>
      </c>
      <c r="I23" s="307" t="s">
        <v>5727</v>
      </c>
      <c r="J23" s="263" t="s">
        <v>7203</v>
      </c>
      <c r="K23" s="308"/>
      <c r="L23" s="384"/>
      <c r="M23" s="384"/>
      <c r="N23" s="277"/>
      <c r="O23" s="265"/>
      <c r="P23" s="265"/>
      <c r="Q23" s="395"/>
    </row>
    <row r="24" spans="1:17" s="264" customFormat="1" ht="14.25" customHeight="1">
      <c r="A24" s="262" t="s">
        <v>7186</v>
      </c>
      <c r="B24" s="262" t="s">
        <v>7145</v>
      </c>
      <c r="C24" s="270" t="s">
        <v>4359</v>
      </c>
      <c r="D24" s="263">
        <v>1497</v>
      </c>
      <c r="E24" s="278"/>
      <c r="G24" s="260"/>
      <c r="H24" s="260"/>
      <c r="I24" s="260"/>
      <c r="J24" s="260"/>
      <c r="K24" s="260"/>
      <c r="L24" s="384"/>
      <c r="M24" s="384"/>
      <c r="N24" s="276"/>
      <c r="O24" s="265"/>
      <c r="P24" s="265"/>
      <c r="Q24" s="395"/>
    </row>
    <row r="25" spans="1:17" s="264" customFormat="1" ht="14.25" customHeight="1">
      <c r="A25" s="262" t="s">
        <v>7186</v>
      </c>
      <c r="B25" s="262" t="s">
        <v>7145</v>
      </c>
      <c r="C25" s="270" t="s">
        <v>4359</v>
      </c>
      <c r="D25" s="263">
        <v>1220</v>
      </c>
      <c r="E25" s="278"/>
      <c r="G25" s="260"/>
      <c r="H25" s="260"/>
      <c r="I25" s="260"/>
      <c r="J25" s="260"/>
      <c r="K25" s="260"/>
      <c r="L25" s="384"/>
      <c r="M25" s="384"/>
      <c r="N25" s="276"/>
      <c r="O25" s="265"/>
      <c r="P25" s="265"/>
      <c r="Q25" s="395"/>
    </row>
    <row r="26" spans="1:17" s="264" customFormat="1" ht="14.25" customHeight="1">
      <c r="A26" s="262" t="s">
        <v>7187</v>
      </c>
      <c r="B26" s="262" t="s">
        <v>7146</v>
      </c>
      <c r="C26" s="270" t="s">
        <v>4398</v>
      </c>
      <c r="D26" s="263">
        <v>5620</v>
      </c>
      <c r="E26" s="278"/>
      <c r="G26" s="260"/>
      <c r="H26" s="260"/>
      <c r="I26" s="260"/>
      <c r="J26" s="260"/>
      <c r="K26" s="260"/>
      <c r="L26" s="384"/>
      <c r="M26" s="384"/>
      <c r="N26" s="275"/>
      <c r="O26" s="265"/>
      <c r="P26" s="265"/>
      <c r="Q26" s="395"/>
    </row>
    <row r="27" spans="1:17" s="264" customFormat="1" ht="14.25" customHeight="1">
      <c r="A27" s="262" t="s">
        <v>7188</v>
      </c>
      <c r="B27" s="262" t="s">
        <v>7147</v>
      </c>
      <c r="C27" s="270" t="s">
        <v>3530</v>
      </c>
      <c r="D27" s="263">
        <v>189</v>
      </c>
      <c r="E27" s="278"/>
      <c r="G27" s="260"/>
      <c r="H27" s="260"/>
      <c r="I27" s="260"/>
      <c r="J27" s="260"/>
      <c r="K27" s="260"/>
      <c r="L27" s="384"/>
      <c r="M27" s="384"/>
      <c r="N27" s="276"/>
      <c r="O27" s="265"/>
      <c r="P27" s="265"/>
      <c r="Q27" s="395"/>
    </row>
    <row r="28" spans="1:17" s="264" customFormat="1" ht="14.25" customHeight="1">
      <c r="A28" s="262" t="s">
        <v>7184</v>
      </c>
      <c r="B28" s="262" t="s">
        <v>7150</v>
      </c>
      <c r="C28" s="270" t="s">
        <v>7080</v>
      </c>
      <c r="D28" s="263">
        <v>3856</v>
      </c>
      <c r="E28" s="278"/>
      <c r="G28" s="260"/>
      <c r="H28" s="260"/>
      <c r="I28" s="260"/>
      <c r="J28" s="260"/>
      <c r="K28" s="260"/>
      <c r="L28" s="384"/>
      <c r="M28" s="384"/>
      <c r="N28" s="276"/>
      <c r="O28" s="265"/>
      <c r="P28" s="265"/>
      <c r="Q28" s="395"/>
    </row>
    <row r="29" spans="1:17" s="264" customFormat="1" ht="14.25" customHeight="1">
      <c r="A29" s="262" t="s">
        <v>7190</v>
      </c>
      <c r="B29" s="262" t="s">
        <v>7164</v>
      </c>
      <c r="C29" s="307" t="s">
        <v>4398</v>
      </c>
      <c r="D29" s="263">
        <v>1104</v>
      </c>
      <c r="E29" s="278"/>
      <c r="G29" s="260"/>
      <c r="H29" s="260"/>
      <c r="I29" s="260"/>
      <c r="J29" s="260"/>
      <c r="K29" s="260"/>
      <c r="L29" s="384"/>
      <c r="M29" s="384"/>
      <c r="N29" s="276"/>
      <c r="O29" s="265"/>
      <c r="P29" s="265"/>
      <c r="Q29" s="395"/>
    </row>
    <row r="30" spans="1:17" s="264" customFormat="1" ht="14.25" customHeight="1">
      <c r="A30" s="262" t="s">
        <v>7191</v>
      </c>
      <c r="B30" s="262" t="s">
        <v>7165</v>
      </c>
      <c r="C30" s="270" t="s">
        <v>4359</v>
      </c>
      <c r="D30" s="263">
        <v>700</v>
      </c>
      <c r="E30" s="278"/>
      <c r="F30" s="260"/>
      <c r="G30" s="260"/>
      <c r="H30" s="260"/>
      <c r="I30" s="260"/>
      <c r="J30" s="260"/>
      <c r="K30" s="260"/>
      <c r="L30" s="384"/>
      <c r="M30" s="384"/>
      <c r="N30" s="270"/>
      <c r="O30" s="265"/>
      <c r="P30" s="265"/>
      <c r="Q30" s="395"/>
    </row>
    <row r="31" spans="1:17" s="264" customFormat="1" ht="14.25" customHeight="1">
      <c r="A31" s="260"/>
      <c r="B31" s="260"/>
      <c r="C31" s="271" t="s">
        <v>1876</v>
      </c>
      <c r="D31" s="267">
        <f>SUM(D3:D30)</f>
        <v>26708.65</v>
      </c>
      <c r="E31" s="278"/>
      <c r="F31" s="260"/>
      <c r="G31" s="260"/>
      <c r="H31" s="260"/>
      <c r="I31" s="260"/>
      <c r="J31" s="260"/>
      <c r="K31" s="260"/>
      <c r="L31" s="384"/>
      <c r="M31" s="384"/>
      <c r="N31" s="274"/>
      <c r="O31" s="266"/>
      <c r="P31" s="261"/>
      <c r="Q31" s="355"/>
    </row>
    <row r="32" spans="1:17" s="264" customFormat="1" ht="14.25" customHeight="1">
      <c r="A32" s="260"/>
      <c r="B32" s="260"/>
      <c r="C32" s="272" t="s">
        <v>4360</v>
      </c>
      <c r="D32" s="269">
        <v>0</v>
      </c>
      <c r="E32" s="278"/>
      <c r="F32" s="260"/>
      <c r="G32" s="260"/>
      <c r="H32" s="260"/>
      <c r="I32" s="260"/>
      <c r="J32" s="260"/>
      <c r="K32" s="260"/>
      <c r="L32" s="384"/>
      <c r="M32" s="384"/>
      <c r="N32" s="274"/>
      <c r="O32" s="266"/>
      <c r="P32" s="261"/>
      <c r="Q32" s="355"/>
    </row>
    <row r="33" spans="1:33" s="264" customFormat="1" ht="14.25" customHeight="1">
      <c r="A33" s="260"/>
      <c r="B33" s="260"/>
      <c r="C33" s="273" t="s">
        <v>4361</v>
      </c>
      <c r="D33" s="268">
        <f>D31-D32</f>
        <v>26708.65</v>
      </c>
      <c r="E33" s="278"/>
      <c r="F33" s="260"/>
      <c r="G33" s="260"/>
      <c r="H33" s="260"/>
      <c r="I33" s="260"/>
      <c r="J33" s="260"/>
      <c r="K33" s="260"/>
      <c r="L33" s="384"/>
      <c r="M33" s="384"/>
      <c r="N33" s="274"/>
      <c r="O33" s="266"/>
      <c r="P33" s="261"/>
      <c r="Q33" s="355"/>
    </row>
    <row r="34" spans="1:33" ht="14.25" customHeight="1">
      <c r="M34" s="384"/>
      <c r="AF34" s="264"/>
      <c r="AG34" s="264"/>
    </row>
    <row r="35" spans="1:33" ht="17.25" customHeight="1" thickBot="1">
      <c r="C35" s="279" t="s">
        <v>7319</v>
      </c>
      <c r="I35" s="309" t="s">
        <v>7366</v>
      </c>
      <c r="J35" s="359" t="s">
        <v>6931</v>
      </c>
      <c r="N35" s="385" t="s">
        <v>7334</v>
      </c>
      <c r="O35" s="386"/>
      <c r="P35" s="290"/>
      <c r="AF35" s="264"/>
      <c r="AG35" s="264"/>
    </row>
    <row r="36" spans="1:33" ht="14.25" customHeight="1" thickTop="1">
      <c r="A36" s="280" t="s">
        <v>1844</v>
      </c>
      <c r="B36" s="280" t="s">
        <v>568</v>
      </c>
      <c r="C36" s="280" t="s">
        <v>0</v>
      </c>
      <c r="D36" s="280" t="s">
        <v>3669</v>
      </c>
      <c r="F36" s="190"/>
      <c r="G36" s="280" t="s">
        <v>1844</v>
      </c>
      <c r="H36" s="280" t="s">
        <v>568</v>
      </c>
      <c r="I36" s="281" t="s">
        <v>0</v>
      </c>
      <c r="J36" s="280" t="s">
        <v>3669</v>
      </c>
      <c r="K36" s="280" t="s">
        <v>2815</v>
      </c>
      <c r="L36" s="300"/>
      <c r="M36" s="300"/>
      <c r="N36" s="383" t="s">
        <v>2839</v>
      </c>
      <c r="O36" s="383" t="s">
        <v>2789</v>
      </c>
      <c r="P36" s="383" t="s">
        <v>1877</v>
      </c>
      <c r="Q36" s="190"/>
      <c r="R36" s="190"/>
      <c r="AF36" s="264"/>
      <c r="AG36" s="264"/>
    </row>
    <row r="37" spans="1:33" s="264" customFormat="1" ht="14.25" customHeight="1">
      <c r="A37" s="262">
        <v>3656</v>
      </c>
      <c r="B37" s="262" t="s">
        <v>7210</v>
      </c>
      <c r="C37" s="270" t="s">
        <v>3670</v>
      </c>
      <c r="D37" s="263">
        <v>60</v>
      </c>
      <c r="E37" s="278"/>
      <c r="F37" s="264">
        <v>1</v>
      </c>
      <c r="G37" s="306">
        <v>7605</v>
      </c>
      <c r="H37" s="306" t="s">
        <v>7052</v>
      </c>
      <c r="I37" s="307" t="s">
        <v>5727</v>
      </c>
      <c r="J37" s="308">
        <v>12</v>
      </c>
      <c r="K37" s="306" t="s">
        <v>7486</v>
      </c>
      <c r="L37" s="384" t="str">
        <f t="shared" ref="L37:L65" si="1">CONCATENATE(LEFT(H37,3),"-",I37)</f>
        <v>362-FERRAGENS LÍDER (700064)</v>
      </c>
      <c r="M37" s="384"/>
      <c r="N37" s="307" t="s">
        <v>4379</v>
      </c>
      <c r="O37" s="265"/>
      <c r="P37" s="265"/>
      <c r="Q37" s="395"/>
    </row>
    <row r="38" spans="1:33" s="264" customFormat="1" ht="14.25" customHeight="1">
      <c r="A38" s="262">
        <v>3656</v>
      </c>
      <c r="B38" s="262" t="s">
        <v>7210</v>
      </c>
      <c r="C38" s="270" t="s">
        <v>3670</v>
      </c>
      <c r="D38" s="263">
        <v>1173</v>
      </c>
      <c r="E38" s="278"/>
      <c r="F38" s="264">
        <v>2</v>
      </c>
      <c r="G38" s="306">
        <v>7606</v>
      </c>
      <c r="H38" s="306" t="s">
        <v>7053</v>
      </c>
      <c r="I38" s="307" t="s">
        <v>5727</v>
      </c>
      <c r="J38" s="308">
        <v>90.1</v>
      </c>
      <c r="K38" s="306" t="s">
        <v>7487</v>
      </c>
      <c r="L38" s="384" t="str">
        <f t="shared" si="1"/>
        <v>363-FERRAGENS LÍDER (700064)</v>
      </c>
      <c r="M38" s="384"/>
      <c r="N38" s="270" t="s">
        <v>7283</v>
      </c>
      <c r="O38" s="265"/>
      <c r="P38" s="265"/>
      <c r="Q38" s="395"/>
    </row>
    <row r="39" spans="1:33" s="264" customFormat="1" ht="14.25" customHeight="1">
      <c r="A39" s="262">
        <v>3656</v>
      </c>
      <c r="B39" s="262" t="s">
        <v>7210</v>
      </c>
      <c r="C39" s="270" t="s">
        <v>3670</v>
      </c>
      <c r="D39" s="263">
        <v>20</v>
      </c>
      <c r="E39" s="278"/>
      <c r="F39" s="264">
        <v>3</v>
      </c>
      <c r="G39" s="306">
        <v>216203</v>
      </c>
      <c r="H39" s="306" t="s">
        <v>7326</v>
      </c>
      <c r="I39" s="307" t="s">
        <v>4380</v>
      </c>
      <c r="J39" s="263">
        <v>268.8</v>
      </c>
      <c r="K39" s="306" t="s">
        <v>7488</v>
      </c>
      <c r="L39" s="384" t="str">
        <f t="shared" si="1"/>
        <v>376-PMH (347)</v>
      </c>
      <c r="M39" s="384"/>
      <c r="N39" s="270" t="s">
        <v>4247</v>
      </c>
      <c r="O39" s="265"/>
      <c r="P39" s="265"/>
      <c r="Q39" s="395"/>
    </row>
    <row r="40" spans="1:33" s="264" customFormat="1" ht="14.25" customHeight="1">
      <c r="A40" s="262">
        <v>7947</v>
      </c>
      <c r="B40" s="262" t="s">
        <v>7211</v>
      </c>
      <c r="C40" s="270" t="s">
        <v>4139</v>
      </c>
      <c r="D40" s="263">
        <v>468</v>
      </c>
      <c r="E40" s="278"/>
      <c r="F40" s="264">
        <v>4</v>
      </c>
      <c r="G40" s="306">
        <v>136844</v>
      </c>
      <c r="H40" s="306" t="s">
        <v>7524</v>
      </c>
      <c r="I40" s="307" t="s">
        <v>5754</v>
      </c>
      <c r="J40" s="263">
        <v>337</v>
      </c>
      <c r="K40" s="306" t="s">
        <v>7489</v>
      </c>
      <c r="L40" s="384" t="str">
        <f t="shared" si="1"/>
        <v>420-CITOPHARMA (701352)</v>
      </c>
      <c r="M40" s="384"/>
      <c r="N40" s="307" t="s">
        <v>3670</v>
      </c>
      <c r="O40" s="265"/>
      <c r="P40" s="265"/>
      <c r="Q40" s="395"/>
    </row>
    <row r="41" spans="1:33" s="264" customFormat="1" ht="14.25" customHeight="1">
      <c r="A41" s="262">
        <v>7947</v>
      </c>
      <c r="B41" s="262" t="s">
        <v>7211</v>
      </c>
      <c r="C41" s="270" t="s">
        <v>4139</v>
      </c>
      <c r="D41" s="263">
        <v>468</v>
      </c>
      <c r="E41" s="278"/>
      <c r="F41" s="264">
        <v>5</v>
      </c>
      <c r="G41" s="306">
        <v>2498971</v>
      </c>
      <c r="H41" s="262" t="s">
        <v>7329</v>
      </c>
      <c r="I41" s="270" t="s">
        <v>4401</v>
      </c>
      <c r="J41" s="263">
        <v>436</v>
      </c>
      <c r="K41" s="306" t="s">
        <v>7490</v>
      </c>
      <c r="L41" s="384" t="str">
        <f t="shared" si="1"/>
        <v>399-CRISTÁLIA (114)</v>
      </c>
      <c r="M41" s="384"/>
      <c r="N41" s="270" t="s">
        <v>4139</v>
      </c>
      <c r="O41" s="265"/>
      <c r="P41" s="265"/>
      <c r="Q41" s="395"/>
    </row>
    <row r="42" spans="1:33" s="264" customFormat="1" ht="14.25" customHeight="1">
      <c r="A42" s="262">
        <v>7947</v>
      </c>
      <c r="B42" s="262" t="s">
        <v>7211</v>
      </c>
      <c r="C42" s="307" t="s">
        <v>4139</v>
      </c>
      <c r="D42" s="263">
        <v>468</v>
      </c>
      <c r="E42" s="278"/>
      <c r="F42" s="264">
        <v>6</v>
      </c>
      <c r="G42" s="306">
        <v>108451</v>
      </c>
      <c r="H42" s="262" t="s">
        <v>7281</v>
      </c>
      <c r="I42" s="270" t="s">
        <v>2989</v>
      </c>
      <c r="J42" s="263">
        <v>440</v>
      </c>
      <c r="K42" s="306" t="s">
        <v>7491</v>
      </c>
      <c r="L42" s="384" t="str">
        <f t="shared" si="1"/>
        <v>007-CIENTÍFICA (700617)</v>
      </c>
      <c r="M42" s="384"/>
      <c r="N42" s="307" t="s">
        <v>7098</v>
      </c>
      <c r="O42" s="265"/>
      <c r="P42" s="265"/>
      <c r="Q42" s="395"/>
    </row>
    <row r="43" spans="1:33" s="264" customFormat="1" ht="14.25" customHeight="1">
      <c r="A43" s="262">
        <v>408</v>
      </c>
      <c r="B43" s="262" t="s">
        <v>7213</v>
      </c>
      <c r="C43" s="270" t="s">
        <v>4433</v>
      </c>
      <c r="D43" s="263">
        <v>4980</v>
      </c>
      <c r="E43" s="278"/>
      <c r="F43" s="264">
        <v>7</v>
      </c>
      <c r="G43" s="306">
        <v>816</v>
      </c>
      <c r="H43" s="306" t="s">
        <v>7208</v>
      </c>
      <c r="I43" s="307" t="s">
        <v>3407</v>
      </c>
      <c r="J43" s="263">
        <v>679.8</v>
      </c>
      <c r="K43" s="306" t="s">
        <v>7492</v>
      </c>
      <c r="L43" s="384" t="str">
        <f t="shared" si="1"/>
        <v>001-ECOPRINT (701495)</v>
      </c>
      <c r="M43" s="384"/>
      <c r="N43" s="307" t="s">
        <v>7051</v>
      </c>
      <c r="O43" s="265"/>
      <c r="P43" s="265"/>
      <c r="Q43" s="395"/>
    </row>
    <row r="44" spans="1:33" s="264" customFormat="1" ht="14.25" customHeight="1">
      <c r="A44" s="262" t="s">
        <v>7295</v>
      </c>
      <c r="B44" s="262" t="s">
        <v>7218</v>
      </c>
      <c r="C44" s="270" t="s">
        <v>4433</v>
      </c>
      <c r="D44" s="263">
        <v>250</v>
      </c>
      <c r="E44" s="278"/>
      <c r="F44" s="264">
        <v>8</v>
      </c>
      <c r="G44" s="408">
        <v>407</v>
      </c>
      <c r="H44" s="408" t="s">
        <v>7323</v>
      </c>
      <c r="I44" s="410" t="s">
        <v>4433</v>
      </c>
      <c r="J44" s="412">
        <v>750</v>
      </c>
      <c r="K44" s="306" t="s">
        <v>7493</v>
      </c>
      <c r="L44" s="384" t="str">
        <f t="shared" si="1"/>
        <v>338-DS MEDICAL (702905)</v>
      </c>
      <c r="M44" s="384"/>
      <c r="N44" s="401" t="s">
        <v>2989</v>
      </c>
      <c r="O44" s="265"/>
      <c r="P44" s="265"/>
      <c r="Q44" s="395"/>
    </row>
    <row r="45" spans="1:33" s="354" customFormat="1" ht="14.25" customHeight="1">
      <c r="A45" s="262" t="s">
        <v>7295</v>
      </c>
      <c r="B45" s="262" t="s">
        <v>7218</v>
      </c>
      <c r="C45" s="270" t="s">
        <v>4433</v>
      </c>
      <c r="D45" s="263">
        <v>250</v>
      </c>
      <c r="E45" s="278"/>
      <c r="F45" s="264">
        <v>9</v>
      </c>
      <c r="G45" s="306">
        <v>1164569</v>
      </c>
      <c r="H45" s="262" t="s">
        <v>7147</v>
      </c>
      <c r="I45" s="270" t="s">
        <v>3663</v>
      </c>
      <c r="J45" s="263">
        <v>1078</v>
      </c>
      <c r="K45" s="306" t="s">
        <v>7494</v>
      </c>
      <c r="L45" s="384" t="str">
        <f t="shared" si="1"/>
        <v>407-CIRÚRGICA FERNANDES (3510)</v>
      </c>
      <c r="M45" s="384"/>
      <c r="N45" s="270" t="s">
        <v>3663</v>
      </c>
      <c r="O45" s="265"/>
      <c r="P45" s="265"/>
      <c r="Q45" s="395"/>
      <c r="R45" s="264"/>
      <c r="AF45" s="264"/>
      <c r="AG45" s="264"/>
    </row>
    <row r="46" spans="1:33" s="264" customFormat="1" ht="14.25" customHeight="1">
      <c r="A46" s="262" t="s">
        <v>7295</v>
      </c>
      <c r="B46" s="262" t="s">
        <v>7218</v>
      </c>
      <c r="C46" s="270" t="s">
        <v>4433</v>
      </c>
      <c r="D46" s="263">
        <v>250</v>
      </c>
      <c r="E46" s="278"/>
      <c r="F46" s="264">
        <v>10</v>
      </c>
      <c r="G46" s="306">
        <v>817</v>
      </c>
      <c r="H46" s="262" t="s">
        <v>7328</v>
      </c>
      <c r="I46" s="270" t="s">
        <v>3407</v>
      </c>
      <c r="J46" s="263">
        <v>1100</v>
      </c>
      <c r="K46" s="306" t="s">
        <v>7495</v>
      </c>
      <c r="L46" s="384" t="str">
        <f t="shared" si="1"/>
        <v>398-ECOPRINT (701495)</v>
      </c>
      <c r="M46" s="384"/>
      <c r="N46" s="307" t="s">
        <v>5754</v>
      </c>
      <c r="O46" s="265"/>
      <c r="P46" s="265"/>
      <c r="Q46" s="395"/>
    </row>
    <row r="47" spans="1:33" s="264" customFormat="1" ht="14.25" customHeight="1">
      <c r="A47" s="262">
        <v>405</v>
      </c>
      <c r="B47" s="262" t="s">
        <v>7219</v>
      </c>
      <c r="C47" s="270" t="s">
        <v>4433</v>
      </c>
      <c r="D47" s="263">
        <v>700</v>
      </c>
      <c r="E47" s="278"/>
      <c r="F47" s="264">
        <v>11</v>
      </c>
      <c r="G47" s="306">
        <v>3656</v>
      </c>
      <c r="H47" s="306" t="s">
        <v>7320</v>
      </c>
      <c r="I47" s="307" t="s">
        <v>3670</v>
      </c>
      <c r="J47" s="263">
        <v>1253</v>
      </c>
      <c r="K47" s="306" t="s">
        <v>7496</v>
      </c>
      <c r="L47" s="384" t="str">
        <f t="shared" si="1"/>
        <v>281-ATD (700657)</v>
      </c>
      <c r="M47" s="384"/>
      <c r="N47" s="270" t="s">
        <v>4401</v>
      </c>
      <c r="O47" s="265"/>
      <c r="P47" s="265"/>
      <c r="Q47" s="395"/>
    </row>
    <row r="48" spans="1:33" s="264" customFormat="1" ht="14.25" customHeight="1">
      <c r="A48" s="262">
        <v>405</v>
      </c>
      <c r="B48" s="262" t="s">
        <v>7219</v>
      </c>
      <c r="C48" s="270" t="s">
        <v>4433</v>
      </c>
      <c r="D48" s="263">
        <v>700</v>
      </c>
      <c r="E48" s="278"/>
      <c r="F48" s="264">
        <v>12</v>
      </c>
      <c r="G48" s="306">
        <v>7947</v>
      </c>
      <c r="H48" s="262" t="s">
        <v>7321</v>
      </c>
      <c r="I48" s="270" t="s">
        <v>4139</v>
      </c>
      <c r="J48" s="263">
        <v>1404</v>
      </c>
      <c r="K48" s="306" t="s">
        <v>7497</v>
      </c>
      <c r="L48" s="384" t="str">
        <f t="shared" si="1"/>
        <v>301-BIOLOG (396)</v>
      </c>
      <c r="M48" s="384"/>
      <c r="N48" s="270" t="s">
        <v>4433</v>
      </c>
      <c r="O48" s="265"/>
      <c r="P48" s="265"/>
      <c r="Q48" s="395"/>
    </row>
    <row r="49" spans="1:17" s="264" customFormat="1" ht="14.25" customHeight="1">
      <c r="A49" s="262">
        <v>405</v>
      </c>
      <c r="B49" s="262" t="s">
        <v>7219</v>
      </c>
      <c r="C49" s="270" t="s">
        <v>4433</v>
      </c>
      <c r="D49" s="263">
        <v>700</v>
      </c>
      <c r="E49" s="278"/>
      <c r="F49" s="264">
        <v>13</v>
      </c>
      <c r="G49" s="306">
        <v>11267</v>
      </c>
      <c r="H49" s="306" t="s">
        <v>7258</v>
      </c>
      <c r="I49" s="307" t="s">
        <v>7268</v>
      </c>
      <c r="J49" s="263">
        <v>1428</v>
      </c>
      <c r="K49" s="306" t="s">
        <v>7498</v>
      </c>
      <c r="L49" s="384" t="str">
        <f t="shared" si="1"/>
        <v>003-HOSPDROGAS (700179)</v>
      </c>
      <c r="M49" s="384"/>
      <c r="N49" s="270" t="s">
        <v>3407</v>
      </c>
      <c r="O49" s="265"/>
      <c r="P49" s="265"/>
      <c r="Q49" s="395"/>
    </row>
    <row r="50" spans="1:17" s="264" customFormat="1" ht="15">
      <c r="A50" s="262">
        <v>7605</v>
      </c>
      <c r="B50" s="262" t="s">
        <v>7220</v>
      </c>
      <c r="C50" s="270" t="s">
        <v>5727</v>
      </c>
      <c r="D50" s="263">
        <v>12</v>
      </c>
      <c r="E50" s="278"/>
      <c r="F50" s="264">
        <v>14</v>
      </c>
      <c r="G50" s="306">
        <v>9105</v>
      </c>
      <c r="H50" s="306" t="s">
        <v>7165</v>
      </c>
      <c r="I50" s="307" t="s">
        <v>4379</v>
      </c>
      <c r="J50" s="263">
        <v>1872</v>
      </c>
      <c r="K50" s="306" t="s">
        <v>7499</v>
      </c>
      <c r="L50" s="384" t="str">
        <f t="shared" si="1"/>
        <v>414-APOLLO (703256)</v>
      </c>
      <c r="M50" s="384"/>
      <c r="N50" s="401" t="s">
        <v>7335</v>
      </c>
      <c r="O50" s="265"/>
      <c r="P50" s="265"/>
      <c r="Q50" s="395"/>
    </row>
    <row r="51" spans="1:17" s="264" customFormat="1" ht="14.25" customHeight="1">
      <c r="A51" s="262">
        <v>7606</v>
      </c>
      <c r="B51" s="262" t="s">
        <v>7221</v>
      </c>
      <c r="C51" s="270" t="s">
        <v>5727</v>
      </c>
      <c r="D51" s="263">
        <v>37.1</v>
      </c>
      <c r="E51" s="278"/>
      <c r="F51" s="264">
        <v>15</v>
      </c>
      <c r="G51" s="306">
        <v>405</v>
      </c>
      <c r="H51" s="262" t="s">
        <v>7324</v>
      </c>
      <c r="I51" s="307" t="s">
        <v>4433</v>
      </c>
      <c r="J51" s="308">
        <v>2100</v>
      </c>
      <c r="K51" s="306" t="s">
        <v>7500</v>
      </c>
      <c r="L51" s="384" t="str">
        <f t="shared" si="1"/>
        <v>353-DS MEDICAL (702905)</v>
      </c>
      <c r="M51" s="384"/>
      <c r="N51" s="307" t="s">
        <v>3530</v>
      </c>
      <c r="O51" s="265"/>
      <c r="P51" s="265"/>
      <c r="Q51" s="395"/>
    </row>
    <row r="52" spans="1:17" s="264" customFormat="1" ht="14.25" customHeight="1">
      <c r="A52" s="262">
        <v>7606</v>
      </c>
      <c r="B52" s="262" t="s">
        <v>7221</v>
      </c>
      <c r="C52" s="270" t="s">
        <v>5727</v>
      </c>
      <c r="D52" s="263">
        <v>53</v>
      </c>
      <c r="E52" s="278"/>
      <c r="F52" s="264">
        <v>16</v>
      </c>
      <c r="G52" s="306">
        <v>454504</v>
      </c>
      <c r="H52" s="306" t="s">
        <v>7146</v>
      </c>
      <c r="I52" s="307" t="s">
        <v>4359</v>
      </c>
      <c r="J52" s="263">
        <v>2534.4</v>
      </c>
      <c r="K52" s="306" t="s">
        <v>7501</v>
      </c>
      <c r="L52" s="384" t="str">
        <f>CONCATENATE(LEFT(H52,3),"-",I52)</f>
        <v>406-WERBRAN (700722)</v>
      </c>
      <c r="M52" s="384"/>
      <c r="N52" s="307" t="s">
        <v>5751</v>
      </c>
      <c r="O52" s="265"/>
      <c r="P52" s="265"/>
      <c r="Q52" s="395"/>
    </row>
    <row r="53" spans="1:17" s="264" customFormat="1" ht="14.25" customHeight="1">
      <c r="A53" s="262">
        <v>813</v>
      </c>
      <c r="B53" s="262" t="s">
        <v>7222</v>
      </c>
      <c r="C53" s="270" t="s">
        <v>3530</v>
      </c>
      <c r="D53" s="263">
        <v>5460</v>
      </c>
      <c r="E53" s="278"/>
      <c r="F53" s="264">
        <v>17</v>
      </c>
      <c r="G53" s="306">
        <v>1413</v>
      </c>
      <c r="H53" s="262" t="s">
        <v>7281</v>
      </c>
      <c r="I53" s="270" t="s">
        <v>7283</v>
      </c>
      <c r="J53" s="263">
        <v>2940</v>
      </c>
      <c r="K53" s="306" t="s">
        <v>7502</v>
      </c>
      <c r="L53" s="384" t="str">
        <f t="shared" ref="L53:L64" si="2">CONCATENATE(LEFT(H53,3),"-",I53)</f>
        <v>007-ARTWARE (702395)</v>
      </c>
      <c r="M53" s="384"/>
      <c r="N53" s="307" t="s">
        <v>5727</v>
      </c>
      <c r="O53" s="265"/>
      <c r="P53" s="265"/>
      <c r="Q53" s="395"/>
    </row>
    <row r="54" spans="1:17" s="264" customFormat="1" ht="14.25" customHeight="1">
      <c r="A54" s="262">
        <v>216203</v>
      </c>
      <c r="B54" s="262" t="s">
        <v>7223</v>
      </c>
      <c r="C54" s="270" t="s">
        <v>4380</v>
      </c>
      <c r="D54" s="263">
        <v>268.79999999999995</v>
      </c>
      <c r="E54" s="278"/>
      <c r="F54" s="264">
        <v>18</v>
      </c>
      <c r="G54" s="306">
        <v>22694</v>
      </c>
      <c r="H54" s="306" t="s">
        <v>7255</v>
      </c>
      <c r="I54" s="307" t="s">
        <v>7545</v>
      </c>
      <c r="J54" s="263">
        <v>4200</v>
      </c>
      <c r="K54" s="306" t="s">
        <v>7503</v>
      </c>
      <c r="L54" s="384" t="str">
        <f t="shared" si="2"/>
        <v>002-NL-SUPERMEDICAL- (700820)</v>
      </c>
      <c r="M54" s="384"/>
      <c r="N54" s="307" t="s">
        <v>7268</v>
      </c>
      <c r="O54" s="265"/>
      <c r="P54" s="265"/>
      <c r="Q54" s="395"/>
    </row>
    <row r="55" spans="1:17" s="264" customFormat="1" ht="14.25" customHeight="1">
      <c r="A55" s="262">
        <v>20</v>
      </c>
      <c r="B55" s="262" t="s">
        <v>7229</v>
      </c>
      <c r="C55" s="270" t="s">
        <v>7051</v>
      </c>
      <c r="D55" s="263">
        <v>6570</v>
      </c>
      <c r="E55" s="278"/>
      <c r="F55" s="264">
        <v>19</v>
      </c>
      <c r="G55" s="306">
        <v>408</v>
      </c>
      <c r="H55" s="262" t="s">
        <v>7322</v>
      </c>
      <c r="I55" s="270" t="s">
        <v>4433</v>
      </c>
      <c r="J55" s="263">
        <v>4980</v>
      </c>
      <c r="K55" s="306" t="s">
        <v>7504</v>
      </c>
      <c r="L55" s="384" t="str">
        <f t="shared" si="2"/>
        <v>305-DS MEDICAL (702905)</v>
      </c>
      <c r="M55" s="384"/>
      <c r="N55" s="401" t="s">
        <v>7337</v>
      </c>
      <c r="O55" s="265"/>
      <c r="P55" s="265"/>
      <c r="Q55" s="395"/>
    </row>
    <row r="56" spans="1:17" s="264" customFormat="1" ht="14.25" customHeight="1">
      <c r="A56" s="262">
        <v>817</v>
      </c>
      <c r="B56" s="262" t="s">
        <v>7230</v>
      </c>
      <c r="C56" s="270" t="s">
        <v>3407</v>
      </c>
      <c r="D56" s="263">
        <v>1100</v>
      </c>
      <c r="E56" s="278"/>
      <c r="F56" s="264">
        <v>20</v>
      </c>
      <c r="G56" s="306">
        <v>813</v>
      </c>
      <c r="H56" s="306" t="s">
        <v>7325</v>
      </c>
      <c r="I56" s="307" t="s">
        <v>3530</v>
      </c>
      <c r="J56" s="308">
        <v>5460</v>
      </c>
      <c r="K56" s="306" t="s">
        <v>7505</v>
      </c>
      <c r="L56" s="384" t="str">
        <f t="shared" si="2"/>
        <v>364-ÉTICA (703252)</v>
      </c>
      <c r="M56" s="384"/>
      <c r="N56" s="307" t="s">
        <v>7545</v>
      </c>
      <c r="O56" s="265"/>
      <c r="P56" s="265"/>
      <c r="Q56" s="395"/>
    </row>
    <row r="57" spans="1:17" s="264" customFormat="1" ht="14.25" customHeight="1">
      <c r="A57" s="262">
        <v>2498971</v>
      </c>
      <c r="B57" s="262" t="s">
        <v>7231</v>
      </c>
      <c r="C57" s="270" t="s">
        <v>4401</v>
      </c>
      <c r="D57" s="263">
        <v>436.00000000000006</v>
      </c>
      <c r="E57" s="278"/>
      <c r="F57" s="264">
        <v>21</v>
      </c>
      <c r="G57" s="306">
        <v>3712</v>
      </c>
      <c r="H57" s="306" t="s">
        <v>7331</v>
      </c>
      <c r="I57" s="307" t="s">
        <v>5751</v>
      </c>
      <c r="J57" s="263">
        <v>5600</v>
      </c>
      <c r="K57" s="306" t="s">
        <v>7506</v>
      </c>
      <c r="L57" s="384" t="str">
        <f t="shared" si="2"/>
        <v>415-FARMATEX DO BRASIL (703448)</v>
      </c>
      <c r="M57" s="384"/>
      <c r="N57" s="307" t="s">
        <v>4380</v>
      </c>
      <c r="O57" s="265"/>
      <c r="P57" s="265"/>
      <c r="Q57" s="395"/>
    </row>
    <row r="58" spans="1:17" s="264" customFormat="1" ht="14.25" customHeight="1">
      <c r="A58" s="262">
        <v>2168</v>
      </c>
      <c r="B58" s="262" t="s">
        <v>7231</v>
      </c>
      <c r="C58" s="270" t="s">
        <v>7144</v>
      </c>
      <c r="D58" s="263">
        <v>13050</v>
      </c>
      <c r="E58" s="278"/>
      <c r="F58" s="264">
        <v>22</v>
      </c>
      <c r="G58" s="306">
        <v>2498972</v>
      </c>
      <c r="H58" s="262" t="s">
        <v>7145</v>
      </c>
      <c r="I58" s="270" t="s">
        <v>4401</v>
      </c>
      <c r="J58" s="263">
        <v>5630</v>
      </c>
      <c r="K58" s="306" t="s">
        <v>7507</v>
      </c>
      <c r="L58" s="384" t="str">
        <f t="shared" si="2"/>
        <v>404-CRISTÁLIA (114)</v>
      </c>
      <c r="M58" s="384"/>
      <c r="N58" s="270" t="s">
        <v>7182</v>
      </c>
      <c r="O58" s="265"/>
      <c r="P58" s="265"/>
      <c r="Q58" s="395"/>
    </row>
    <row r="59" spans="1:17" s="264" customFormat="1" ht="14.25" customHeight="1">
      <c r="A59" s="262">
        <v>2498972</v>
      </c>
      <c r="B59" s="262" t="s">
        <v>7232</v>
      </c>
      <c r="C59" s="270" t="s">
        <v>4401</v>
      </c>
      <c r="D59" s="263">
        <v>5630</v>
      </c>
      <c r="E59" s="278"/>
      <c r="F59" s="264">
        <v>23</v>
      </c>
      <c r="G59" s="306">
        <v>20</v>
      </c>
      <c r="H59" s="306" t="s">
        <v>7327</v>
      </c>
      <c r="I59" s="307" t="s">
        <v>7051</v>
      </c>
      <c r="J59" s="263">
        <v>6570</v>
      </c>
      <c r="K59" s="306" t="s">
        <v>7508</v>
      </c>
      <c r="L59" s="384" t="str">
        <f t="shared" si="2"/>
        <v>386-CIA SUPRIMENTOS (703699)</v>
      </c>
      <c r="M59" s="384"/>
      <c r="N59" s="401" t="s">
        <v>4109</v>
      </c>
      <c r="O59" s="265"/>
      <c r="P59" s="265"/>
      <c r="Q59" s="395"/>
    </row>
    <row r="60" spans="1:17" s="264" customFormat="1" ht="14.25" customHeight="1">
      <c r="A60" s="262">
        <v>107602</v>
      </c>
      <c r="B60" s="262" t="s">
        <v>7232</v>
      </c>
      <c r="C60" s="270" t="s">
        <v>2989</v>
      </c>
      <c r="D60" s="263">
        <v>1710</v>
      </c>
      <c r="E60" s="278"/>
      <c r="F60" s="264">
        <v>24</v>
      </c>
      <c r="G60" s="306">
        <v>106750</v>
      </c>
      <c r="H60" s="306" t="s">
        <v>7333</v>
      </c>
      <c r="I60" s="307" t="s">
        <v>2989</v>
      </c>
      <c r="J60" s="263">
        <v>9240</v>
      </c>
      <c r="K60" s="306" t="s">
        <v>7509</v>
      </c>
      <c r="L60" s="384" t="str">
        <f t="shared" si="2"/>
        <v>419-CIENTÍFICA (700617)</v>
      </c>
      <c r="M60" s="384"/>
      <c r="N60" s="307" t="s">
        <v>4359</v>
      </c>
      <c r="O60" s="265"/>
      <c r="P60" s="265"/>
      <c r="Q60" s="395"/>
    </row>
    <row r="61" spans="1:17" s="264" customFormat="1" ht="14.25" customHeight="1">
      <c r="A61" s="262">
        <v>107602</v>
      </c>
      <c r="B61" s="262" t="s">
        <v>7232</v>
      </c>
      <c r="C61" s="270" t="s">
        <v>2989</v>
      </c>
      <c r="D61" s="263">
        <v>2212</v>
      </c>
      <c r="E61" s="278"/>
      <c r="F61" s="264">
        <v>25</v>
      </c>
      <c r="G61" s="306">
        <v>138374</v>
      </c>
      <c r="H61" s="262" t="s">
        <v>7330</v>
      </c>
      <c r="I61" s="270" t="s">
        <v>7182</v>
      </c>
      <c r="J61" s="263">
        <v>11500.17</v>
      </c>
      <c r="K61" s="306" t="s">
        <v>7510</v>
      </c>
      <c r="L61" s="384" t="str">
        <f t="shared" si="2"/>
        <v>413-STRATTNER (329)</v>
      </c>
      <c r="M61" s="384"/>
      <c r="N61" s="401" t="s">
        <v>7336</v>
      </c>
      <c r="O61" s="265"/>
      <c r="P61" s="265"/>
      <c r="Q61" s="395"/>
    </row>
    <row r="62" spans="1:17" s="264" customFormat="1" ht="14.25" customHeight="1">
      <c r="A62" s="262">
        <v>107602</v>
      </c>
      <c r="B62" s="262" t="s">
        <v>7232</v>
      </c>
      <c r="C62" s="270" t="s">
        <v>2989</v>
      </c>
      <c r="D62" s="263">
        <v>244</v>
      </c>
      <c r="E62" s="278"/>
      <c r="F62" s="264">
        <v>26</v>
      </c>
      <c r="G62" s="306">
        <v>2168</v>
      </c>
      <c r="H62" s="306" t="s">
        <v>7329</v>
      </c>
      <c r="I62" s="307" t="s">
        <v>7335</v>
      </c>
      <c r="J62" s="263">
        <v>13050</v>
      </c>
      <c r="K62" s="306" t="s">
        <v>7511</v>
      </c>
      <c r="L62" s="384" t="str">
        <f t="shared" si="2"/>
        <v>399-ESPIRITO SANTO (703683)</v>
      </c>
      <c r="M62" s="384"/>
      <c r="N62" s="276"/>
      <c r="O62" s="265"/>
      <c r="P62" s="265"/>
      <c r="Q62" s="395"/>
    </row>
    <row r="63" spans="1:17" s="264" customFormat="1" ht="14.25" customHeight="1">
      <c r="A63" s="262">
        <v>107602</v>
      </c>
      <c r="B63" s="262" t="s">
        <v>7232</v>
      </c>
      <c r="C63" s="270" t="s">
        <v>2989</v>
      </c>
      <c r="D63" s="263">
        <v>11340</v>
      </c>
      <c r="E63" s="278"/>
      <c r="F63" s="264">
        <v>27</v>
      </c>
      <c r="G63" s="306">
        <v>107602</v>
      </c>
      <c r="H63" s="262" t="s">
        <v>7145</v>
      </c>
      <c r="I63" s="270" t="s">
        <v>2989</v>
      </c>
      <c r="J63" s="263">
        <v>15506</v>
      </c>
      <c r="K63" s="306" t="s">
        <v>7512</v>
      </c>
      <c r="L63" s="384" t="str">
        <f t="shared" si="2"/>
        <v>404-CIENTÍFICA (700617)</v>
      </c>
      <c r="M63" s="384"/>
      <c r="N63" s="270"/>
      <c r="O63" s="265"/>
      <c r="P63" s="265"/>
      <c r="Q63" s="395"/>
    </row>
    <row r="64" spans="1:17" s="264" customFormat="1" ht="14.25" customHeight="1">
      <c r="A64" s="262">
        <v>454504</v>
      </c>
      <c r="B64" s="262" t="s">
        <v>7233</v>
      </c>
      <c r="C64" s="270" t="s">
        <v>4359</v>
      </c>
      <c r="D64" s="263">
        <v>278.39999999999998</v>
      </c>
      <c r="E64" s="278"/>
      <c r="F64" s="264">
        <v>28</v>
      </c>
      <c r="G64" s="306">
        <v>2504321</v>
      </c>
      <c r="H64" s="306" t="s">
        <v>7146</v>
      </c>
      <c r="I64" s="307" t="s">
        <v>4401</v>
      </c>
      <c r="J64" s="263">
        <v>17523</v>
      </c>
      <c r="K64" s="306" t="s">
        <v>7513</v>
      </c>
      <c r="L64" s="384" t="str">
        <f t="shared" si="2"/>
        <v>406-CRISTÁLIA (114)</v>
      </c>
      <c r="M64" s="384"/>
      <c r="N64" s="274"/>
      <c r="O64" s="266"/>
      <c r="P64" s="261"/>
      <c r="Q64" s="355"/>
    </row>
    <row r="65" spans="1:33" s="264" customFormat="1" ht="14.25" customHeight="1">
      <c r="A65" s="262">
        <v>454504</v>
      </c>
      <c r="B65" s="262" t="s">
        <v>7233</v>
      </c>
      <c r="C65" s="270" t="s">
        <v>4359</v>
      </c>
      <c r="D65" s="263">
        <v>2256</v>
      </c>
      <c r="E65" s="278"/>
      <c r="G65" s="404"/>
      <c r="H65" s="404"/>
      <c r="I65" s="405" t="s">
        <v>1876</v>
      </c>
      <c r="J65" s="406">
        <f>SUM(J36:J64)</f>
        <v>117982.27</v>
      </c>
      <c r="K65" s="306"/>
      <c r="L65" s="384" t="str">
        <f t="shared" si="1"/>
        <v>-TOTAL</v>
      </c>
      <c r="M65" s="384"/>
      <c r="N65" s="274"/>
      <c r="O65" s="266"/>
      <c r="P65" s="261"/>
      <c r="Q65" s="355"/>
    </row>
    <row r="66" spans="1:33" s="264" customFormat="1" ht="14.25" customHeight="1">
      <c r="A66" s="262">
        <v>2504321</v>
      </c>
      <c r="B66" s="262" t="s">
        <v>7233</v>
      </c>
      <c r="C66" s="270" t="s">
        <v>4401</v>
      </c>
      <c r="D66" s="263">
        <v>17523</v>
      </c>
      <c r="E66" s="278"/>
      <c r="F66" s="260"/>
      <c r="G66" s="409">
        <v>546</v>
      </c>
      <c r="H66" s="409" t="s">
        <v>7332</v>
      </c>
      <c r="I66" s="411" t="s">
        <v>4247</v>
      </c>
      <c r="J66" s="278" t="s">
        <v>7365</v>
      </c>
      <c r="K66" s="306"/>
      <c r="L66" s="384"/>
      <c r="M66" s="384"/>
      <c r="N66" s="274"/>
      <c r="O66" s="266"/>
      <c r="P66" s="261"/>
      <c r="Q66" s="355"/>
    </row>
    <row r="67" spans="1:33" s="264" customFormat="1" ht="14.25" customHeight="1">
      <c r="A67" s="262">
        <v>1164569</v>
      </c>
      <c r="B67" s="262" t="s">
        <v>7234</v>
      </c>
      <c r="C67" s="307" t="s">
        <v>3663</v>
      </c>
      <c r="D67" s="263">
        <v>624</v>
      </c>
      <c r="E67" s="278"/>
      <c r="F67" s="260"/>
      <c r="G67" s="260"/>
      <c r="H67" s="260"/>
      <c r="I67" s="260"/>
      <c r="J67" s="260"/>
      <c r="K67" s="260"/>
      <c r="L67" s="384"/>
      <c r="M67" s="384"/>
      <c r="N67" s="274"/>
      <c r="O67" s="266"/>
      <c r="P67" s="261"/>
      <c r="Q67" s="260"/>
    </row>
    <row r="68" spans="1:33" ht="14.25" customHeight="1">
      <c r="A68" s="262">
        <v>1164569</v>
      </c>
      <c r="B68" s="262" t="s">
        <v>7234</v>
      </c>
      <c r="C68" s="270" t="s">
        <v>3663</v>
      </c>
      <c r="D68" s="263">
        <v>227</v>
      </c>
      <c r="L68" s="384"/>
      <c r="AF68" s="264"/>
      <c r="AG68" s="264"/>
    </row>
    <row r="69" spans="1:33" ht="14.25" customHeight="1">
      <c r="A69" s="262">
        <v>1164569</v>
      </c>
      <c r="B69" s="262" t="s">
        <v>7234</v>
      </c>
      <c r="C69" s="270" t="s">
        <v>3663</v>
      </c>
      <c r="D69" s="263">
        <v>227</v>
      </c>
      <c r="L69" s="384"/>
      <c r="AF69" s="264"/>
      <c r="AG69" s="264"/>
    </row>
    <row r="70" spans="1:33" ht="14.25" customHeight="1">
      <c r="A70" s="262">
        <v>138374</v>
      </c>
      <c r="B70" s="262" t="s">
        <v>7237</v>
      </c>
      <c r="C70" s="270" t="s">
        <v>7182</v>
      </c>
      <c r="D70" s="263">
        <v>11500.17</v>
      </c>
      <c r="L70" s="384"/>
      <c r="AF70" s="264"/>
      <c r="AG70" s="264"/>
    </row>
    <row r="71" spans="1:33" ht="14.25" customHeight="1">
      <c r="A71" s="262">
        <v>9105</v>
      </c>
      <c r="B71" s="262" t="s">
        <v>7238</v>
      </c>
      <c r="C71" s="270" t="s">
        <v>4379</v>
      </c>
      <c r="D71" s="263">
        <v>1872</v>
      </c>
      <c r="L71" s="384"/>
      <c r="AF71" s="264"/>
      <c r="AG71" s="264"/>
    </row>
    <row r="72" spans="1:33" ht="14.25" customHeight="1">
      <c r="A72" s="262">
        <v>3712</v>
      </c>
      <c r="B72" s="262" t="s">
        <v>7239</v>
      </c>
      <c r="C72" s="270" t="s">
        <v>5751</v>
      </c>
      <c r="D72" s="263">
        <v>5600.0000000000009</v>
      </c>
      <c r="L72" s="384"/>
      <c r="AF72" s="264"/>
      <c r="AG72" s="264"/>
    </row>
    <row r="73" spans="1:33" ht="14.25" customHeight="1">
      <c r="A73" s="262">
        <v>546</v>
      </c>
      <c r="B73" s="262" t="s">
        <v>7241</v>
      </c>
      <c r="C73" s="270" t="s">
        <v>4247</v>
      </c>
      <c r="D73" s="263">
        <v>2169</v>
      </c>
      <c r="L73" s="384"/>
      <c r="AF73" s="264"/>
      <c r="AG73" s="264"/>
    </row>
    <row r="74" spans="1:33" ht="14.25" customHeight="1">
      <c r="A74" s="262">
        <v>106750</v>
      </c>
      <c r="B74" s="262" t="s">
        <v>7242</v>
      </c>
      <c r="C74" s="270" t="s">
        <v>2989</v>
      </c>
      <c r="D74" s="263">
        <v>9240</v>
      </c>
      <c r="L74" s="384"/>
      <c r="AF74" s="264"/>
      <c r="AG74" s="264"/>
    </row>
    <row r="75" spans="1:33" ht="14.25" customHeight="1">
      <c r="A75" s="262">
        <v>136844</v>
      </c>
      <c r="B75" s="262" t="s">
        <v>7243</v>
      </c>
      <c r="C75" s="270" t="s">
        <v>5754</v>
      </c>
      <c r="D75" s="263">
        <v>145.80000000000001</v>
      </c>
      <c r="L75" s="384"/>
      <c r="AF75" s="264"/>
      <c r="AG75" s="264"/>
    </row>
    <row r="76" spans="1:33" ht="14.25" customHeight="1">
      <c r="A76" s="262">
        <v>136844</v>
      </c>
      <c r="B76" s="262" t="s">
        <v>7243</v>
      </c>
      <c r="C76" s="270" t="s">
        <v>5754</v>
      </c>
      <c r="D76" s="263">
        <v>191.20000000000002</v>
      </c>
      <c r="L76" s="384"/>
      <c r="AF76" s="264"/>
      <c r="AG76" s="264"/>
    </row>
    <row r="77" spans="1:33" ht="14.25" customHeight="1">
      <c r="A77" s="262">
        <v>816</v>
      </c>
      <c r="B77" s="262" t="s">
        <v>7208</v>
      </c>
      <c r="C77" s="270" t="s">
        <v>3407</v>
      </c>
      <c r="D77" s="263">
        <v>679.80000000000007</v>
      </c>
      <c r="L77" s="384"/>
      <c r="AF77" s="264"/>
      <c r="AG77" s="264"/>
    </row>
    <row r="78" spans="1:33" ht="14.25" customHeight="1">
      <c r="A78" s="262">
        <v>22694</v>
      </c>
      <c r="B78" s="262" t="s">
        <v>7255</v>
      </c>
      <c r="C78" s="270" t="s">
        <v>7267</v>
      </c>
      <c r="D78" s="263">
        <v>4200</v>
      </c>
      <c r="L78" s="384"/>
      <c r="AF78" s="264"/>
      <c r="AG78" s="264"/>
    </row>
    <row r="79" spans="1:33" ht="14.25" customHeight="1">
      <c r="A79" s="262">
        <v>11267</v>
      </c>
      <c r="B79" s="262" t="s">
        <v>7258</v>
      </c>
      <c r="C79" s="270" t="s">
        <v>7268</v>
      </c>
      <c r="D79" s="263">
        <v>1428</v>
      </c>
      <c r="AF79" s="264"/>
      <c r="AG79" s="264"/>
    </row>
    <row r="80" spans="1:33" ht="14.25" customHeight="1">
      <c r="A80" s="262">
        <v>1413</v>
      </c>
      <c r="B80" s="262" t="s">
        <v>7281</v>
      </c>
      <c r="C80" s="270" t="s">
        <v>7283</v>
      </c>
      <c r="D80" s="263">
        <v>2940</v>
      </c>
      <c r="AF80" s="264"/>
      <c r="AG80" s="264"/>
    </row>
    <row r="81" spans="1:33" ht="14.25" customHeight="1">
      <c r="A81" s="262">
        <v>108451</v>
      </c>
      <c r="B81" s="262" t="s">
        <v>7281</v>
      </c>
      <c r="C81" s="270" t="s">
        <v>2989</v>
      </c>
      <c r="D81" s="263">
        <v>440</v>
      </c>
      <c r="AF81" s="264"/>
      <c r="AG81" s="264"/>
    </row>
    <row r="82" spans="1:33" ht="14.25" customHeight="1">
      <c r="A82" s="262"/>
      <c r="B82" s="262"/>
      <c r="C82" s="270"/>
      <c r="D82" s="263"/>
      <c r="AF82" s="264"/>
      <c r="AG82" s="264"/>
    </row>
    <row r="83" spans="1:33" ht="14.25" customHeight="1">
      <c r="A83" s="262"/>
      <c r="B83" s="262"/>
      <c r="C83" s="270"/>
      <c r="D83" s="263"/>
      <c r="AF83" s="264"/>
      <c r="AG83" s="264"/>
    </row>
    <row r="84" spans="1:33" ht="14.25" customHeight="1">
      <c r="C84" s="271" t="s">
        <v>1876</v>
      </c>
      <c r="D84" s="267">
        <f>SUM(D37:D83)</f>
        <v>120151.27</v>
      </c>
      <c r="AF84" s="264"/>
      <c r="AG84" s="264"/>
    </row>
    <row r="85" spans="1:33" ht="14.25" customHeight="1">
      <c r="C85" s="272" t="s">
        <v>4360</v>
      </c>
      <c r="D85" s="269">
        <v>0</v>
      </c>
      <c r="AF85" s="264"/>
      <c r="AG85" s="264"/>
    </row>
    <row r="86" spans="1:33" ht="14.25" customHeight="1">
      <c r="C86" s="273" t="s">
        <v>4361</v>
      </c>
      <c r="D86" s="268">
        <f>D84-D85</f>
        <v>120151.27</v>
      </c>
      <c r="AF86" s="264"/>
      <c r="AG86" s="264"/>
    </row>
    <row r="87" spans="1:33" ht="14.25" customHeight="1">
      <c r="AF87" s="264"/>
      <c r="AG87" s="264"/>
    </row>
    <row r="88" spans="1:33" ht="17.25" customHeight="1" thickBot="1">
      <c r="C88" s="279" t="s">
        <v>7626</v>
      </c>
      <c r="I88" s="309" t="s">
        <v>7767</v>
      </c>
      <c r="J88" s="359" t="s">
        <v>6931</v>
      </c>
      <c r="N88" s="385" t="s">
        <v>7722</v>
      </c>
      <c r="O88" s="386"/>
      <c r="P88" s="422" t="s">
        <v>7633</v>
      </c>
      <c r="AF88" s="264"/>
      <c r="AG88" s="264"/>
    </row>
    <row r="89" spans="1:33" ht="14.25" customHeight="1" thickTop="1">
      <c r="A89" s="280" t="s">
        <v>1844</v>
      </c>
      <c r="B89" s="280" t="s">
        <v>568</v>
      </c>
      <c r="C89" s="280" t="s">
        <v>0</v>
      </c>
      <c r="D89" s="280" t="s">
        <v>3669</v>
      </c>
      <c r="F89" s="190"/>
      <c r="G89" s="280" t="s">
        <v>1844</v>
      </c>
      <c r="H89" s="280" t="s">
        <v>568</v>
      </c>
      <c r="I89" s="281" t="s">
        <v>0</v>
      </c>
      <c r="J89" s="280" t="s">
        <v>3669</v>
      </c>
      <c r="K89" s="280" t="s">
        <v>2815</v>
      </c>
      <c r="L89" s="300"/>
      <c r="M89" s="300"/>
      <c r="N89" s="383" t="s">
        <v>2839</v>
      </c>
      <c r="O89" s="383" t="s">
        <v>2789</v>
      </c>
      <c r="P89" s="383" t="s">
        <v>1877</v>
      </c>
      <c r="Q89" s="190"/>
      <c r="R89" s="190"/>
      <c r="AF89" s="264"/>
      <c r="AG89" s="264"/>
    </row>
    <row r="90" spans="1:33" s="264" customFormat="1" ht="14.25" customHeight="1">
      <c r="A90" s="262">
        <v>1446</v>
      </c>
      <c r="B90" s="262" t="s">
        <v>7217</v>
      </c>
      <c r="C90" s="270" t="s">
        <v>7098</v>
      </c>
      <c r="D90" s="263">
        <v>13167</v>
      </c>
      <c r="E90" s="278"/>
      <c r="F90" s="430">
        <v>1</v>
      </c>
      <c r="G90" s="306">
        <v>109887</v>
      </c>
      <c r="H90" s="306" t="s">
        <v>7433</v>
      </c>
      <c r="I90" s="307" t="s">
        <v>2989</v>
      </c>
      <c r="J90" s="308">
        <v>27</v>
      </c>
      <c r="K90" s="306">
        <v>73992</v>
      </c>
      <c r="L90" s="384" t="str">
        <f>CONCATENATE(LEFT(H90,3),"-",I90)</f>
        <v>045-CIENTÍFICA (700617)</v>
      </c>
      <c r="M90" s="384"/>
      <c r="N90" s="307" t="s">
        <v>7457</v>
      </c>
      <c r="O90" s="265"/>
      <c r="P90" s="265" t="s">
        <v>7635</v>
      </c>
      <c r="Q90" s="395" t="s">
        <v>7668</v>
      </c>
      <c r="R90" s="264" t="s">
        <v>7634</v>
      </c>
    </row>
    <row r="91" spans="1:33" s="264" customFormat="1" ht="14.25" customHeight="1">
      <c r="A91" s="262">
        <v>1446</v>
      </c>
      <c r="B91" s="262" t="s">
        <v>7217</v>
      </c>
      <c r="C91" s="270" t="s">
        <v>7624</v>
      </c>
      <c r="D91" s="263">
        <v>693</v>
      </c>
      <c r="E91" s="278"/>
      <c r="F91" s="430">
        <v>2</v>
      </c>
      <c r="G91" s="306">
        <v>301663</v>
      </c>
      <c r="H91" s="306" t="s">
        <v>7429</v>
      </c>
      <c r="I91" s="307" t="s">
        <v>7371</v>
      </c>
      <c r="J91" s="308">
        <v>73.5</v>
      </c>
      <c r="K91" s="306">
        <v>72838</v>
      </c>
      <c r="L91" s="384" t="str">
        <f t="shared" ref="L91:L104" si="3">CONCATENATE(LEFT(H91,3),"-",I91)</f>
        <v>041-MAFRA (703141)</v>
      </c>
      <c r="M91" s="384"/>
      <c r="N91" s="307" t="s">
        <v>4379</v>
      </c>
      <c r="O91" s="265"/>
      <c r="P91" s="265" t="s">
        <v>7636</v>
      </c>
      <c r="Q91" s="395" t="s">
        <v>7669</v>
      </c>
    </row>
    <row r="92" spans="1:33" s="264" customFormat="1" ht="14.25" customHeight="1">
      <c r="A92" s="419">
        <v>546</v>
      </c>
      <c r="B92" s="419" t="s">
        <v>7241</v>
      </c>
      <c r="C92" s="420" t="s">
        <v>4247</v>
      </c>
      <c r="D92" s="421" t="s">
        <v>7365</v>
      </c>
      <c r="E92" s="278"/>
      <c r="F92" s="430">
        <v>3</v>
      </c>
      <c r="G92" s="306">
        <v>9929</v>
      </c>
      <c r="H92" s="306" t="s">
        <v>7454</v>
      </c>
      <c r="I92" s="307" t="s">
        <v>4379</v>
      </c>
      <c r="J92" s="308">
        <v>77.5</v>
      </c>
      <c r="K92" s="306">
        <v>73335</v>
      </c>
      <c r="L92" s="384" t="str">
        <f t="shared" si="3"/>
        <v>050-APOLLO (703256)</v>
      </c>
      <c r="M92" s="384"/>
      <c r="N92" s="307" t="s">
        <v>7283</v>
      </c>
      <c r="O92" s="265"/>
      <c r="P92" s="265" t="s">
        <v>7637</v>
      </c>
      <c r="Q92" s="395" t="s">
        <v>7670</v>
      </c>
    </row>
    <row r="93" spans="1:33" s="264" customFormat="1" ht="14.25" customHeight="1">
      <c r="A93" s="262">
        <v>597</v>
      </c>
      <c r="B93" s="262" t="s">
        <v>7241</v>
      </c>
      <c r="C93" s="270" t="s">
        <v>4247</v>
      </c>
      <c r="D93" s="263">
        <v>3036.6</v>
      </c>
      <c r="E93" s="278"/>
      <c r="F93" s="430">
        <v>4</v>
      </c>
      <c r="G93" s="306">
        <v>109895</v>
      </c>
      <c r="H93" s="306" t="s">
        <v>7428</v>
      </c>
      <c r="I93" s="307" t="s">
        <v>2989</v>
      </c>
      <c r="J93" s="308">
        <v>78.72</v>
      </c>
      <c r="K93" s="306">
        <v>72824</v>
      </c>
      <c r="L93" s="384" t="str">
        <f t="shared" si="3"/>
        <v>040-CIENTÍFICA (700617)</v>
      </c>
      <c r="M93" s="384"/>
      <c r="N93" s="307" t="s">
        <v>4247</v>
      </c>
      <c r="O93" s="265"/>
      <c r="P93" s="265" t="s">
        <v>7638</v>
      </c>
      <c r="Q93" s="395" t="s">
        <v>7671</v>
      </c>
    </row>
    <row r="94" spans="1:33" s="264" customFormat="1" ht="14.25" customHeight="1">
      <c r="A94" s="262" t="s">
        <v>7622</v>
      </c>
      <c r="B94" s="262" t="s">
        <v>7281</v>
      </c>
      <c r="C94" s="270" t="s">
        <v>7284</v>
      </c>
      <c r="D94" s="263">
        <v>247.00000000000003</v>
      </c>
      <c r="E94" s="278"/>
      <c r="F94" s="430">
        <v>5</v>
      </c>
      <c r="G94" s="306">
        <v>109828</v>
      </c>
      <c r="H94" s="306" t="s">
        <v>7456</v>
      </c>
      <c r="I94" s="307" t="s">
        <v>2989</v>
      </c>
      <c r="J94" s="308">
        <v>82.2</v>
      </c>
      <c r="K94" s="306">
        <v>72812</v>
      </c>
      <c r="L94" s="384" t="str">
        <f t="shared" si="3"/>
        <v>052-CIENTÍFICA (700617)</v>
      </c>
      <c r="M94" s="384"/>
      <c r="N94" s="307" t="s">
        <v>7483</v>
      </c>
      <c r="O94" s="265"/>
      <c r="P94" s="265" t="s">
        <v>7639</v>
      </c>
      <c r="Q94" s="395" t="s">
        <v>7672</v>
      </c>
    </row>
    <row r="95" spans="1:33" s="264" customFormat="1" ht="14.25" customHeight="1">
      <c r="A95" s="262">
        <v>54706</v>
      </c>
      <c r="B95" s="262" t="s">
        <v>7281</v>
      </c>
      <c r="C95" s="307" t="s">
        <v>7285</v>
      </c>
      <c r="D95" s="263">
        <v>798</v>
      </c>
      <c r="E95" s="278"/>
      <c r="F95" s="430">
        <v>6</v>
      </c>
      <c r="G95" s="306">
        <v>109890</v>
      </c>
      <c r="H95" s="306" t="s">
        <v>7427</v>
      </c>
      <c r="I95" s="307" t="s">
        <v>2989</v>
      </c>
      <c r="J95" s="308">
        <v>92.5</v>
      </c>
      <c r="K95" s="306">
        <v>72386</v>
      </c>
      <c r="L95" s="384" t="str">
        <f t="shared" si="3"/>
        <v>039-CIENTÍFICA (700617)</v>
      </c>
      <c r="M95" s="384"/>
      <c r="N95" s="307" t="s">
        <v>7458</v>
      </c>
      <c r="O95" s="265"/>
      <c r="P95" s="265" t="s">
        <v>7640</v>
      </c>
      <c r="Q95" s="395" t="s">
        <v>7673</v>
      </c>
    </row>
    <row r="96" spans="1:33" s="264" customFormat="1" ht="14.25" customHeight="1">
      <c r="A96" s="262">
        <v>3931</v>
      </c>
      <c r="B96" s="262" t="s">
        <v>7300</v>
      </c>
      <c r="C96" s="270" t="s">
        <v>5751</v>
      </c>
      <c r="D96" s="263">
        <v>7400</v>
      </c>
      <c r="E96" s="278"/>
      <c r="F96" s="430">
        <v>7</v>
      </c>
      <c r="G96" s="306">
        <v>20793</v>
      </c>
      <c r="H96" s="306" t="s">
        <v>7420</v>
      </c>
      <c r="I96" s="307" t="s">
        <v>7472</v>
      </c>
      <c r="J96" s="308">
        <v>122.7</v>
      </c>
      <c r="K96" s="306">
        <v>72384</v>
      </c>
      <c r="L96" s="384" t="str">
        <f t="shared" si="3"/>
        <v>037-VERA CRUZ (703207)</v>
      </c>
      <c r="M96" s="384"/>
      <c r="N96" s="307" t="s">
        <v>7098</v>
      </c>
      <c r="O96" s="265"/>
      <c r="P96" s="265" t="s">
        <v>7641</v>
      </c>
      <c r="Q96" s="395" t="s">
        <v>7674</v>
      </c>
    </row>
    <row r="97" spans="1:33" s="264" customFormat="1" ht="14.25" customHeight="1">
      <c r="A97" s="262">
        <v>223949</v>
      </c>
      <c r="B97" s="262" t="s">
        <v>7305</v>
      </c>
      <c r="C97" s="270" t="s">
        <v>4380</v>
      </c>
      <c r="D97" s="263">
        <v>268.79999999999995</v>
      </c>
      <c r="E97" s="278"/>
      <c r="F97" s="430">
        <v>8</v>
      </c>
      <c r="G97" s="306">
        <v>28145</v>
      </c>
      <c r="H97" s="306" t="s">
        <v>7317</v>
      </c>
      <c r="I97" s="307" t="s">
        <v>7364</v>
      </c>
      <c r="J97" s="308">
        <v>150</v>
      </c>
      <c r="K97" s="306">
        <v>73323</v>
      </c>
      <c r="L97" s="384" t="str">
        <f t="shared" si="3"/>
        <v>015-FLUKKA (702981)</v>
      </c>
      <c r="M97" s="384"/>
      <c r="N97" s="307" t="s">
        <v>7051</v>
      </c>
      <c r="O97" s="265"/>
      <c r="P97" s="265" t="s">
        <v>7642</v>
      </c>
      <c r="Q97" s="395" t="s">
        <v>7675</v>
      </c>
    </row>
    <row r="98" spans="1:33" s="354" customFormat="1" ht="14.25" customHeight="1">
      <c r="A98" s="262">
        <v>1251908</v>
      </c>
      <c r="B98" s="262" t="s">
        <v>7307</v>
      </c>
      <c r="C98" s="270" t="s">
        <v>4398</v>
      </c>
      <c r="D98" s="263">
        <v>4318.3999999999996</v>
      </c>
      <c r="E98" s="278"/>
      <c r="F98" s="430">
        <v>9</v>
      </c>
      <c r="G98" s="306">
        <v>110596</v>
      </c>
      <c r="H98" s="306" t="s">
        <v>7414</v>
      </c>
      <c r="I98" s="307" t="s">
        <v>2989</v>
      </c>
      <c r="J98" s="308">
        <v>246.5</v>
      </c>
      <c r="K98" s="306">
        <v>73913</v>
      </c>
      <c r="L98" s="384" t="str">
        <f t="shared" si="3"/>
        <v>038-CIENTÍFICA (700617)</v>
      </c>
      <c r="M98" s="384"/>
      <c r="N98" s="307" t="s">
        <v>2989</v>
      </c>
      <c r="O98" s="265"/>
      <c r="P98" s="265" t="s">
        <v>7643</v>
      </c>
      <c r="Q98" s="395" t="s">
        <v>7676</v>
      </c>
      <c r="R98" s="264"/>
      <c r="AF98" s="264"/>
      <c r="AG98" s="264"/>
    </row>
    <row r="99" spans="1:33" s="264" customFormat="1" ht="14.25" customHeight="1">
      <c r="A99" s="262">
        <v>73243</v>
      </c>
      <c r="B99" s="262" t="s">
        <v>7309</v>
      </c>
      <c r="C99" s="270" t="s">
        <v>4109</v>
      </c>
      <c r="D99" s="263">
        <v>1349.5</v>
      </c>
      <c r="E99" s="278"/>
      <c r="F99" s="430">
        <v>10</v>
      </c>
      <c r="G99" s="306">
        <v>10480</v>
      </c>
      <c r="H99" s="306" t="s">
        <v>7281</v>
      </c>
      <c r="I99" s="307" t="s">
        <v>7284</v>
      </c>
      <c r="J99" s="308">
        <v>247</v>
      </c>
      <c r="K99" s="306">
        <v>73890</v>
      </c>
      <c r="L99" s="384" t="str">
        <f t="shared" si="3"/>
        <v>007-VIDAMED (701448)</v>
      </c>
      <c r="M99" s="384"/>
      <c r="N99" s="307" t="s">
        <v>3663</v>
      </c>
      <c r="O99" s="265"/>
      <c r="P99" s="265" t="s">
        <v>7644</v>
      </c>
      <c r="Q99" s="395" t="s">
        <v>7677</v>
      </c>
    </row>
    <row r="100" spans="1:33" s="264" customFormat="1" ht="14.25" customHeight="1">
      <c r="A100" s="262">
        <v>9967</v>
      </c>
      <c r="B100" s="262" t="s">
        <v>7311</v>
      </c>
      <c r="C100" s="270" t="s">
        <v>7337</v>
      </c>
      <c r="D100" s="263">
        <v>2370</v>
      </c>
      <c r="E100" s="278"/>
      <c r="F100" s="430">
        <v>11</v>
      </c>
      <c r="G100" s="306">
        <v>2533317</v>
      </c>
      <c r="H100" s="306" t="s">
        <v>7453</v>
      </c>
      <c r="I100" s="307" t="s">
        <v>4401</v>
      </c>
      <c r="J100" s="308">
        <v>248.3</v>
      </c>
      <c r="K100" s="306">
        <v>73882</v>
      </c>
      <c r="L100" s="384" t="str">
        <f t="shared" si="3"/>
        <v>049-CRISTÁLIA (114)</v>
      </c>
      <c r="M100" s="384"/>
      <c r="N100" s="307" t="s">
        <v>4401</v>
      </c>
      <c r="O100" s="265"/>
      <c r="P100" s="265" t="s">
        <v>7645</v>
      </c>
      <c r="Q100" s="395" t="s">
        <v>7678</v>
      </c>
    </row>
    <row r="101" spans="1:33" s="264" customFormat="1" ht="14.25" customHeight="1">
      <c r="A101" s="262">
        <v>394477</v>
      </c>
      <c r="B101" s="262" t="s">
        <v>7313</v>
      </c>
      <c r="C101" s="270" t="s">
        <v>7363</v>
      </c>
      <c r="D101" s="263">
        <v>2820</v>
      </c>
      <c r="E101" s="278"/>
      <c r="F101" s="430">
        <v>12</v>
      </c>
      <c r="G101" s="306">
        <v>223949</v>
      </c>
      <c r="H101" s="306" t="s">
        <v>7305</v>
      </c>
      <c r="I101" s="307" t="s">
        <v>4380</v>
      </c>
      <c r="J101" s="308">
        <v>268.8</v>
      </c>
      <c r="K101" s="306">
        <v>73878</v>
      </c>
      <c r="L101" s="384" t="str">
        <f t="shared" si="3"/>
        <v>010-PMH (347)</v>
      </c>
      <c r="M101" s="384"/>
      <c r="N101" s="307" t="s">
        <v>3407</v>
      </c>
      <c r="O101" s="265"/>
      <c r="P101" s="265" t="s">
        <v>7646</v>
      </c>
      <c r="Q101" s="395" t="s">
        <v>7679</v>
      </c>
    </row>
    <row r="102" spans="1:33" s="264" customFormat="1" ht="14.25" customHeight="1">
      <c r="A102" s="262">
        <v>28145</v>
      </c>
      <c r="B102" s="262" t="s">
        <v>7317</v>
      </c>
      <c r="C102" s="270" t="s">
        <v>7364</v>
      </c>
      <c r="D102" s="263">
        <v>150</v>
      </c>
      <c r="E102" s="278"/>
      <c r="F102" s="430">
        <v>13</v>
      </c>
      <c r="G102" s="306">
        <v>110361</v>
      </c>
      <c r="H102" s="306" t="s">
        <v>7453</v>
      </c>
      <c r="I102" s="307" t="s">
        <v>2989</v>
      </c>
      <c r="J102" s="308">
        <v>306</v>
      </c>
      <c r="K102" s="306">
        <v>73868</v>
      </c>
      <c r="L102" s="384" t="str">
        <f t="shared" si="3"/>
        <v>049-CIENTÍFICA (700617)</v>
      </c>
      <c r="M102" s="384"/>
      <c r="N102" s="307" t="s">
        <v>3530</v>
      </c>
      <c r="O102" s="265"/>
      <c r="P102" s="265" t="s">
        <v>7647</v>
      </c>
      <c r="Q102" s="395" t="s">
        <v>7680</v>
      </c>
    </row>
    <row r="103" spans="1:33" s="264" customFormat="1" ht="15">
      <c r="A103" s="262">
        <v>9968</v>
      </c>
      <c r="B103" s="262" t="s">
        <v>7339</v>
      </c>
      <c r="C103" s="270" t="s">
        <v>7337</v>
      </c>
      <c r="D103" s="263">
        <v>3694.04</v>
      </c>
      <c r="E103" s="278"/>
      <c r="F103" s="430">
        <v>14</v>
      </c>
      <c r="G103" s="306">
        <v>109842</v>
      </c>
      <c r="H103" s="306" t="s">
        <v>7420</v>
      </c>
      <c r="I103" s="307" t="s">
        <v>2989</v>
      </c>
      <c r="J103" s="308">
        <v>318</v>
      </c>
      <c r="K103" s="306">
        <v>73861</v>
      </c>
      <c r="L103" s="384" t="str">
        <f t="shared" si="3"/>
        <v>037-CIENTÍFICA (700617)</v>
      </c>
      <c r="M103" s="384"/>
      <c r="N103" s="307" t="s">
        <v>7461</v>
      </c>
      <c r="O103" s="265"/>
      <c r="P103" s="265" t="s">
        <v>7648</v>
      </c>
      <c r="Q103" s="395" t="s">
        <v>7681</v>
      </c>
    </row>
    <row r="104" spans="1:33" s="264" customFormat="1" ht="14.25" customHeight="1">
      <c r="A104" s="262">
        <v>9968</v>
      </c>
      <c r="B104" s="262" t="s">
        <v>7339</v>
      </c>
      <c r="C104" s="270" t="s">
        <v>7337</v>
      </c>
      <c r="D104" s="263">
        <v>224.2</v>
      </c>
      <c r="E104" s="278"/>
      <c r="F104" s="430">
        <v>15</v>
      </c>
      <c r="G104" s="306">
        <v>108948</v>
      </c>
      <c r="H104" s="306" t="s">
        <v>7340</v>
      </c>
      <c r="I104" s="307" t="s">
        <v>2989</v>
      </c>
      <c r="J104" s="308">
        <v>350</v>
      </c>
      <c r="K104" s="306">
        <v>73855</v>
      </c>
      <c r="L104" s="384" t="str">
        <f t="shared" si="3"/>
        <v>017-CIENTÍFICA (700617)</v>
      </c>
      <c r="M104" s="384"/>
      <c r="N104" s="307" t="s">
        <v>5751</v>
      </c>
      <c r="O104" s="265"/>
      <c r="P104" s="265" t="s">
        <v>7649</v>
      </c>
      <c r="Q104" s="395" t="s">
        <v>7682</v>
      </c>
    </row>
    <row r="105" spans="1:33" s="264" customFormat="1" ht="14.25" customHeight="1">
      <c r="A105" s="262" t="s">
        <v>7615</v>
      </c>
      <c r="B105" s="262" t="s">
        <v>7339</v>
      </c>
      <c r="C105" s="270" t="s">
        <v>5751</v>
      </c>
      <c r="D105" s="263">
        <v>4450</v>
      </c>
      <c r="E105" s="278"/>
      <c r="F105" s="430">
        <v>16</v>
      </c>
      <c r="G105" s="306">
        <v>74552</v>
      </c>
      <c r="H105" s="306" t="s">
        <v>7454</v>
      </c>
      <c r="I105" s="307" t="s">
        <v>4109</v>
      </c>
      <c r="J105" s="308">
        <v>390</v>
      </c>
      <c r="K105" s="306">
        <v>73843</v>
      </c>
      <c r="L105" s="384" t="str">
        <f>CONCATENATE(LEFT(H105,3),"-",I105)</f>
        <v>050-SUPERMÉDICA (702730)</v>
      </c>
      <c r="M105" s="384"/>
      <c r="N105" s="307" t="s">
        <v>7364</v>
      </c>
      <c r="O105" s="265"/>
      <c r="P105" s="265" t="s">
        <v>7650</v>
      </c>
      <c r="Q105" s="395" t="s">
        <v>7683</v>
      </c>
    </row>
    <row r="106" spans="1:33" s="264" customFormat="1" ht="14.25" customHeight="1">
      <c r="A106" s="262">
        <v>108948</v>
      </c>
      <c r="B106" s="262" t="s">
        <v>7340</v>
      </c>
      <c r="C106" s="270" t="s">
        <v>2989</v>
      </c>
      <c r="D106" s="263">
        <v>350</v>
      </c>
      <c r="E106" s="278"/>
      <c r="F106" s="430">
        <v>17</v>
      </c>
      <c r="G106" s="306">
        <v>1183503</v>
      </c>
      <c r="H106" s="306" t="s">
        <v>7385</v>
      </c>
      <c r="I106" s="307" t="s">
        <v>3663</v>
      </c>
      <c r="J106" s="308">
        <v>471</v>
      </c>
      <c r="K106" s="306">
        <v>73835</v>
      </c>
      <c r="L106" s="384" t="str">
        <f t="shared" ref="L106:L162" si="4">CONCATENATE(LEFT(H106,3),"-",I106)</f>
        <v>028-CIRÚRGICA FERNANDES (3510)</v>
      </c>
      <c r="M106" s="384"/>
      <c r="N106" s="307" t="s">
        <v>7459</v>
      </c>
      <c r="O106" s="265"/>
      <c r="P106" s="265" t="s">
        <v>7651</v>
      </c>
      <c r="Q106" s="395" t="s">
        <v>7684</v>
      </c>
    </row>
    <row r="107" spans="1:33" s="264" customFormat="1" ht="14.25" customHeight="1">
      <c r="A107" s="262">
        <v>1251903</v>
      </c>
      <c r="B107" s="262" t="s">
        <v>7341</v>
      </c>
      <c r="C107" s="270" t="s">
        <v>4398</v>
      </c>
      <c r="D107" s="263">
        <v>5094</v>
      </c>
      <c r="E107" s="278"/>
      <c r="F107" s="430">
        <v>18</v>
      </c>
      <c r="G107" s="306">
        <v>627</v>
      </c>
      <c r="H107" s="306" t="s">
        <v>7358</v>
      </c>
      <c r="I107" s="307" t="s">
        <v>3671</v>
      </c>
      <c r="J107" s="308">
        <v>480</v>
      </c>
      <c r="K107" s="306">
        <v>73100</v>
      </c>
      <c r="L107" s="384" t="str">
        <f t="shared" si="4"/>
        <v>021-RV GRÁFICA (703134)</v>
      </c>
      <c r="M107" s="384"/>
      <c r="N107" s="307" t="s">
        <v>7540</v>
      </c>
      <c r="O107" s="265"/>
      <c r="P107" s="265" t="s">
        <v>7652</v>
      </c>
      <c r="Q107" s="395" t="s">
        <v>7685</v>
      </c>
    </row>
    <row r="108" spans="1:33" s="264" customFormat="1" ht="14.25" customHeight="1">
      <c r="A108" s="262">
        <v>1177070</v>
      </c>
      <c r="B108" s="262" t="s">
        <v>7352</v>
      </c>
      <c r="C108" s="270" t="s">
        <v>3663</v>
      </c>
      <c r="D108" s="263">
        <v>4300</v>
      </c>
      <c r="E108" s="278"/>
      <c r="F108" s="430">
        <v>19</v>
      </c>
      <c r="G108" s="306">
        <v>74033</v>
      </c>
      <c r="H108" s="306" t="s">
        <v>7387</v>
      </c>
      <c r="I108" s="307" t="s">
        <v>4109</v>
      </c>
      <c r="J108" s="308">
        <v>611.01</v>
      </c>
      <c r="K108" s="433">
        <v>74590</v>
      </c>
      <c r="L108" s="384" t="str">
        <f t="shared" si="4"/>
        <v>030-SUPERMÉDICA (702730)</v>
      </c>
      <c r="M108" s="384"/>
      <c r="N108" s="307" t="s">
        <v>7285</v>
      </c>
      <c r="O108" s="265"/>
      <c r="P108" s="265" t="s">
        <v>7653</v>
      </c>
      <c r="Q108" s="395" t="s">
        <v>7686</v>
      </c>
    </row>
    <row r="109" spans="1:33" s="264" customFormat="1" ht="14.25" customHeight="1">
      <c r="A109" s="262">
        <v>298470</v>
      </c>
      <c r="B109" s="262" t="s">
        <v>7352</v>
      </c>
      <c r="C109" s="270" t="s">
        <v>7371</v>
      </c>
      <c r="D109" s="263">
        <v>2955.9999999999995</v>
      </c>
      <c r="E109" s="278"/>
      <c r="F109" s="430">
        <v>20</v>
      </c>
      <c r="G109" s="306">
        <v>837</v>
      </c>
      <c r="H109" s="306" t="s">
        <v>7566</v>
      </c>
      <c r="I109" s="307" t="s">
        <v>3407</v>
      </c>
      <c r="J109" s="308">
        <v>679.6</v>
      </c>
      <c r="K109" s="433">
        <v>74587</v>
      </c>
      <c r="L109" s="384" t="str">
        <f t="shared" si="4"/>
        <v>061-ECOPRINT (701495)</v>
      </c>
      <c r="M109" s="384"/>
      <c r="N109" s="307" t="s">
        <v>7371</v>
      </c>
      <c r="O109" s="265"/>
      <c r="P109" s="265" t="s">
        <v>7654</v>
      </c>
      <c r="Q109" s="395" t="s">
        <v>7687</v>
      </c>
    </row>
    <row r="110" spans="1:33" s="264" customFormat="1" ht="14.25" customHeight="1">
      <c r="A110" s="262">
        <v>298470</v>
      </c>
      <c r="B110" s="262" t="s">
        <v>7352</v>
      </c>
      <c r="C110" s="270" t="s">
        <v>7371</v>
      </c>
      <c r="D110" s="263">
        <v>995.99999999999989</v>
      </c>
      <c r="E110" s="278"/>
      <c r="F110" s="430">
        <v>21</v>
      </c>
      <c r="G110" s="306">
        <v>1446</v>
      </c>
      <c r="H110" s="306" t="s">
        <v>7768</v>
      </c>
      <c r="I110" s="307" t="s">
        <v>7624</v>
      </c>
      <c r="J110" s="308">
        <v>693</v>
      </c>
      <c r="K110" s="306">
        <v>3270</v>
      </c>
      <c r="L110" s="384" t="str">
        <f t="shared" si="4"/>
        <v>333-ISS ()</v>
      </c>
      <c r="M110" s="384"/>
      <c r="N110" s="307" t="s">
        <v>7372</v>
      </c>
      <c r="O110" s="265"/>
      <c r="P110" s="265" t="s">
        <v>7655</v>
      </c>
      <c r="Q110" s="395" t="s">
        <v>7688</v>
      </c>
    </row>
    <row r="111" spans="1:33" s="264" customFormat="1" ht="14.25" customHeight="1">
      <c r="A111" s="262">
        <v>631</v>
      </c>
      <c r="B111" s="262" t="s">
        <v>7353</v>
      </c>
      <c r="C111" s="270" t="s">
        <v>3671</v>
      </c>
      <c r="D111" s="263">
        <v>4440</v>
      </c>
      <c r="E111" s="278"/>
      <c r="F111" s="430">
        <v>22</v>
      </c>
      <c r="G111" s="306">
        <v>8544</v>
      </c>
      <c r="H111" s="306" t="s">
        <v>7383</v>
      </c>
      <c r="I111" s="307" t="s">
        <v>4432</v>
      </c>
      <c r="J111" s="308">
        <v>695</v>
      </c>
      <c r="K111" s="433">
        <v>74580</v>
      </c>
      <c r="L111" s="384" t="str">
        <f t="shared" si="4"/>
        <v>026-RT COMERCIO (702949)</v>
      </c>
      <c r="M111" s="384"/>
      <c r="N111" s="307" t="s">
        <v>7485</v>
      </c>
      <c r="O111" s="265"/>
      <c r="P111" s="265" t="s">
        <v>7656</v>
      </c>
      <c r="Q111" s="395" t="s">
        <v>7689</v>
      </c>
    </row>
    <row r="112" spans="1:33" s="264" customFormat="1" ht="14.25" customHeight="1">
      <c r="A112" s="262">
        <v>627</v>
      </c>
      <c r="B112" s="262" t="s">
        <v>7358</v>
      </c>
      <c r="C112" s="270" t="s">
        <v>3671</v>
      </c>
      <c r="D112" s="263">
        <v>480</v>
      </c>
      <c r="E112" s="278"/>
      <c r="F112" s="430">
        <v>23</v>
      </c>
      <c r="G112" s="306">
        <v>23038</v>
      </c>
      <c r="H112" s="306" t="s">
        <v>7387</v>
      </c>
      <c r="I112" s="307" t="s">
        <v>7267</v>
      </c>
      <c r="J112" s="308">
        <v>750</v>
      </c>
      <c r="K112" s="433">
        <v>74568</v>
      </c>
      <c r="L112" s="384" t="str">
        <f t="shared" si="4"/>
        <v>030-NL (SUPERMEDICAL) (700820)</v>
      </c>
      <c r="M112" s="384"/>
      <c r="N112" s="307" t="s">
        <v>7337</v>
      </c>
      <c r="O112" s="265"/>
      <c r="P112" s="265" t="s">
        <v>7657</v>
      </c>
      <c r="Q112" s="395" t="s">
        <v>7690</v>
      </c>
    </row>
    <row r="113" spans="1:33" s="264" customFormat="1" ht="14.25" customHeight="1">
      <c r="A113" s="262">
        <v>438701</v>
      </c>
      <c r="B113" s="262" t="s">
        <v>7362</v>
      </c>
      <c r="C113" s="270" t="s">
        <v>7372</v>
      </c>
      <c r="D113" s="263">
        <v>16183.92</v>
      </c>
      <c r="E113" s="278"/>
      <c r="F113" s="430">
        <v>24</v>
      </c>
      <c r="G113" s="306">
        <v>301172</v>
      </c>
      <c r="H113" s="306" t="s">
        <v>7414</v>
      </c>
      <c r="I113" s="307" t="s">
        <v>7371</v>
      </c>
      <c r="J113" s="308">
        <v>776.4</v>
      </c>
      <c r="K113" s="433">
        <v>74563</v>
      </c>
      <c r="L113" s="384" t="str">
        <f t="shared" si="4"/>
        <v>038-MAFRA (703141)</v>
      </c>
      <c r="M113" s="384"/>
      <c r="N113" s="307" t="s">
        <v>7545</v>
      </c>
      <c r="O113" s="265"/>
      <c r="P113" s="265" t="s">
        <v>7697</v>
      </c>
      <c r="Q113" s="395">
        <v>10750894000190</v>
      </c>
    </row>
    <row r="114" spans="1:33" s="264" customFormat="1" ht="14.25" customHeight="1">
      <c r="A114" s="262">
        <v>1429</v>
      </c>
      <c r="B114" s="262" t="s">
        <v>7379</v>
      </c>
      <c r="C114" s="270" t="s">
        <v>7283</v>
      </c>
      <c r="D114" s="263">
        <v>4900</v>
      </c>
      <c r="E114" s="278"/>
      <c r="F114" s="430">
        <v>25</v>
      </c>
      <c r="G114" s="306">
        <v>831</v>
      </c>
      <c r="H114" s="306" t="s">
        <v>7528</v>
      </c>
      <c r="I114" s="307" t="s">
        <v>3530</v>
      </c>
      <c r="J114" s="308">
        <v>780</v>
      </c>
      <c r="K114" s="306">
        <v>74559</v>
      </c>
      <c r="L114" s="384" t="str">
        <f t="shared" si="4"/>
        <v>059-ÉTICA (703252)</v>
      </c>
      <c r="M114" s="384"/>
      <c r="N114" s="307" t="s">
        <v>4380</v>
      </c>
      <c r="O114" s="265"/>
      <c r="P114" s="265" t="s">
        <v>7658</v>
      </c>
      <c r="Q114" s="395" t="s">
        <v>7691</v>
      </c>
    </row>
    <row r="115" spans="1:33" s="264" customFormat="1" ht="14.25" customHeight="1">
      <c r="A115" s="262">
        <v>32</v>
      </c>
      <c r="B115" s="262" t="s">
        <v>7382</v>
      </c>
      <c r="C115" s="270" t="s">
        <v>7051</v>
      </c>
      <c r="D115" s="263">
        <v>1019.9999999999999</v>
      </c>
      <c r="E115" s="278"/>
      <c r="F115" s="430">
        <v>26</v>
      </c>
      <c r="G115" s="306">
        <v>54706</v>
      </c>
      <c r="H115" s="306" t="s">
        <v>7281</v>
      </c>
      <c r="I115" s="307" t="s">
        <v>7285</v>
      </c>
      <c r="J115" s="308">
        <v>798</v>
      </c>
      <c r="K115" s="306">
        <v>74555</v>
      </c>
      <c r="L115" s="384" t="str">
        <f t="shared" si="4"/>
        <v>007-LM FARMA (692)</v>
      </c>
      <c r="M115" s="384"/>
      <c r="N115" s="307" t="s">
        <v>4398</v>
      </c>
      <c r="O115" s="265"/>
      <c r="P115" s="265" t="s">
        <v>7659</v>
      </c>
      <c r="Q115" s="395" t="s">
        <v>7692</v>
      </c>
    </row>
    <row r="116" spans="1:33" s="264" customFormat="1" ht="14.25" customHeight="1">
      <c r="A116" s="262">
        <v>8544</v>
      </c>
      <c r="B116" s="262" t="s">
        <v>7383</v>
      </c>
      <c r="C116" s="270" t="s">
        <v>4432</v>
      </c>
      <c r="D116" s="263">
        <v>695</v>
      </c>
      <c r="E116" s="278"/>
      <c r="F116" s="430">
        <v>27</v>
      </c>
      <c r="G116" s="306">
        <v>1255517</v>
      </c>
      <c r="H116" s="306" t="s">
        <v>7414</v>
      </c>
      <c r="I116" s="307" t="s">
        <v>4398</v>
      </c>
      <c r="J116" s="308">
        <v>948.8</v>
      </c>
      <c r="K116" s="306">
        <v>74540</v>
      </c>
      <c r="L116" s="384" t="str">
        <f t="shared" si="4"/>
        <v>038-RIOCLARENSE (3374)</v>
      </c>
      <c r="M116" s="384"/>
      <c r="N116" s="307" t="s">
        <v>4432</v>
      </c>
      <c r="O116" s="266"/>
      <c r="P116" s="265" t="s">
        <v>7660</v>
      </c>
      <c r="Q116" s="395" t="s">
        <v>7693</v>
      </c>
    </row>
    <row r="117" spans="1:33" s="264" customFormat="1" ht="14.25" customHeight="1">
      <c r="A117" s="262">
        <v>300975</v>
      </c>
      <c r="B117" s="262" t="s">
        <v>7384</v>
      </c>
      <c r="C117" s="270" t="s">
        <v>7371</v>
      </c>
      <c r="D117" s="263">
        <v>4956</v>
      </c>
      <c r="E117" s="278"/>
      <c r="F117" s="430">
        <v>28</v>
      </c>
      <c r="G117" s="306">
        <v>9990</v>
      </c>
      <c r="H117" s="306" t="s">
        <v>7526</v>
      </c>
      <c r="I117" s="307" t="s">
        <v>4379</v>
      </c>
      <c r="J117" s="308">
        <v>1008</v>
      </c>
      <c r="K117" s="306">
        <v>73345</v>
      </c>
      <c r="L117" s="384" t="str">
        <f t="shared" si="4"/>
        <v>058-APOLLO (703256)</v>
      </c>
      <c r="M117" s="384"/>
      <c r="N117" s="307" t="s">
        <v>3671</v>
      </c>
      <c r="O117" s="266"/>
      <c r="P117" s="265" t="s">
        <v>7661</v>
      </c>
      <c r="Q117" s="395" t="s">
        <v>7694</v>
      </c>
    </row>
    <row r="118" spans="1:33" s="264" customFormat="1" ht="14.25" customHeight="1">
      <c r="A118" s="262" t="s">
        <v>7605</v>
      </c>
      <c r="B118" s="262" t="s">
        <v>7385</v>
      </c>
      <c r="C118" s="270" t="s">
        <v>3663</v>
      </c>
      <c r="D118" s="263">
        <v>60</v>
      </c>
      <c r="E118" s="278"/>
      <c r="F118" s="430">
        <v>29</v>
      </c>
      <c r="G118" s="306">
        <v>32</v>
      </c>
      <c r="H118" s="306" t="s">
        <v>7382</v>
      </c>
      <c r="I118" s="307" t="s">
        <v>7051</v>
      </c>
      <c r="J118" s="308">
        <v>1020</v>
      </c>
      <c r="K118" s="306">
        <v>3275</v>
      </c>
      <c r="L118" s="384" t="str">
        <f t="shared" si="4"/>
        <v>025-CIA SUPRIMENTOS (703699)</v>
      </c>
      <c r="M118" s="384"/>
      <c r="N118" s="307" t="s">
        <v>7549</v>
      </c>
      <c r="O118" s="266"/>
      <c r="P118" s="265" t="s">
        <v>7662</v>
      </c>
      <c r="Q118" s="395">
        <v>59225268000174</v>
      </c>
    </row>
    <row r="119" spans="1:33" s="264" customFormat="1" ht="14.25" customHeight="1">
      <c r="A119" s="262" t="s">
        <v>7605</v>
      </c>
      <c r="B119" s="262" t="s">
        <v>7385</v>
      </c>
      <c r="C119" s="270" t="s">
        <v>3663</v>
      </c>
      <c r="D119" s="263">
        <v>60</v>
      </c>
      <c r="E119" s="278"/>
      <c r="F119" s="430">
        <v>30</v>
      </c>
      <c r="G119" s="306">
        <v>73243</v>
      </c>
      <c r="H119" s="306" t="s">
        <v>7309</v>
      </c>
      <c r="I119" s="307" t="s">
        <v>4109</v>
      </c>
      <c r="J119" s="308">
        <v>1349.5</v>
      </c>
      <c r="K119" s="306">
        <v>74537</v>
      </c>
      <c r="L119" s="384" t="str">
        <f t="shared" si="4"/>
        <v>012-SUPERMÉDICA (702730)</v>
      </c>
      <c r="M119" s="384"/>
      <c r="N119" s="307" t="s">
        <v>4109</v>
      </c>
      <c r="O119" s="266"/>
      <c r="P119" s="265" t="s">
        <v>7663</v>
      </c>
      <c r="Q119" s="395" t="s">
        <v>7695</v>
      </c>
    </row>
    <row r="120" spans="1:33" s="264" customFormat="1" ht="14.25" customHeight="1">
      <c r="A120" s="262" t="s">
        <v>7605</v>
      </c>
      <c r="B120" s="262" t="s">
        <v>7385</v>
      </c>
      <c r="C120" s="307" t="s">
        <v>3663</v>
      </c>
      <c r="D120" s="263">
        <v>234</v>
      </c>
      <c r="E120" s="278"/>
      <c r="F120" s="430">
        <v>31</v>
      </c>
      <c r="G120" s="306">
        <v>20946</v>
      </c>
      <c r="H120" s="306" t="s">
        <v>7454</v>
      </c>
      <c r="I120" s="307" t="s">
        <v>7472</v>
      </c>
      <c r="J120" s="308">
        <v>1389.6</v>
      </c>
      <c r="K120" s="306">
        <v>74102</v>
      </c>
      <c r="L120" s="384" t="str">
        <f t="shared" si="4"/>
        <v>050-VERA CRUZ (703207)</v>
      </c>
      <c r="M120" s="384"/>
      <c r="N120" s="307" t="s">
        <v>7392</v>
      </c>
      <c r="O120" s="266"/>
      <c r="P120" s="265" t="s">
        <v>7664</v>
      </c>
      <c r="Q120" s="395">
        <v>27842225000141</v>
      </c>
    </row>
    <row r="121" spans="1:33" ht="14.25" customHeight="1">
      <c r="A121" s="262" t="s">
        <v>7605</v>
      </c>
      <c r="B121" s="262" t="s">
        <v>7385</v>
      </c>
      <c r="C121" s="270" t="s">
        <v>3663</v>
      </c>
      <c r="D121" s="263">
        <v>117</v>
      </c>
      <c r="F121" s="430">
        <v>32</v>
      </c>
      <c r="G121" s="306">
        <v>500</v>
      </c>
      <c r="H121" s="306" t="s">
        <v>7528</v>
      </c>
      <c r="I121" s="307" t="s">
        <v>7540</v>
      </c>
      <c r="J121" s="308">
        <v>1450</v>
      </c>
      <c r="K121" s="306">
        <v>3276</v>
      </c>
      <c r="L121" s="384" t="str">
        <f t="shared" si="4"/>
        <v>059-LABS (703021)</v>
      </c>
      <c r="M121" s="384"/>
      <c r="N121" s="307" t="s">
        <v>7363</v>
      </c>
      <c r="P121" s="265" t="s">
        <v>7665</v>
      </c>
      <c r="Q121" s="395">
        <v>60665981000975</v>
      </c>
      <c r="AF121" s="264"/>
      <c r="AG121" s="264"/>
    </row>
    <row r="122" spans="1:33" ht="14.25" customHeight="1">
      <c r="A122" s="262">
        <v>235563</v>
      </c>
      <c r="B122" s="262" t="s">
        <v>7385</v>
      </c>
      <c r="C122" s="270" t="s">
        <v>7461</v>
      </c>
      <c r="D122" s="263">
        <v>4291.2</v>
      </c>
      <c r="F122" s="430">
        <v>33</v>
      </c>
      <c r="G122" s="306">
        <v>110201</v>
      </c>
      <c r="H122" s="306" t="s">
        <v>7453</v>
      </c>
      <c r="I122" s="307" t="s">
        <v>2989</v>
      </c>
      <c r="J122" s="308">
        <v>1665</v>
      </c>
      <c r="K122" s="306">
        <v>74086</v>
      </c>
      <c r="L122" s="384" t="str">
        <f t="shared" si="4"/>
        <v>049-CIENTÍFICA (700617)</v>
      </c>
      <c r="M122" s="384"/>
      <c r="N122" s="307" t="s">
        <v>7472</v>
      </c>
      <c r="P122" s="265" t="s">
        <v>7666</v>
      </c>
      <c r="Q122" s="395" t="s">
        <v>7696</v>
      </c>
      <c r="AF122" s="264"/>
      <c r="AG122" s="264"/>
    </row>
    <row r="123" spans="1:33" ht="14.25" customHeight="1">
      <c r="A123" s="262">
        <v>235563</v>
      </c>
      <c r="B123" s="262" t="s">
        <v>7385</v>
      </c>
      <c r="C123" s="270" t="s">
        <v>7461</v>
      </c>
      <c r="D123" s="263">
        <v>3856</v>
      </c>
      <c r="F123" s="430">
        <v>34</v>
      </c>
      <c r="G123" s="306">
        <v>82868</v>
      </c>
      <c r="H123" s="306" t="s">
        <v>7443</v>
      </c>
      <c r="I123" s="307" t="s">
        <v>7483</v>
      </c>
      <c r="J123" s="308">
        <v>1750</v>
      </c>
      <c r="K123" s="306">
        <v>74083</v>
      </c>
      <c r="L123" s="384" t="str">
        <f t="shared" si="4"/>
        <v>048-BIOTEC (701860)</v>
      </c>
      <c r="M123" s="384"/>
      <c r="N123" s="307" t="s">
        <v>7284</v>
      </c>
      <c r="P123" s="265" t="s">
        <v>7667</v>
      </c>
      <c r="Q123" s="395">
        <v>635623000130</v>
      </c>
      <c r="AF123" s="264"/>
      <c r="AG123" s="264"/>
    </row>
    <row r="124" spans="1:33" ht="14.25" customHeight="1">
      <c r="A124" s="262" t="s">
        <v>7620</v>
      </c>
      <c r="B124" s="262" t="s">
        <v>7386</v>
      </c>
      <c r="C124" s="270" t="s">
        <v>7392</v>
      </c>
      <c r="D124" s="263">
        <v>360</v>
      </c>
      <c r="F124" s="430">
        <v>35</v>
      </c>
      <c r="G124" s="306">
        <v>110848</v>
      </c>
      <c r="H124" s="306" t="s">
        <v>7442</v>
      </c>
      <c r="I124" s="307" t="s">
        <v>2989</v>
      </c>
      <c r="J124" s="308">
        <v>1935</v>
      </c>
      <c r="K124" s="306">
        <v>74074</v>
      </c>
      <c r="L124" s="384" t="str">
        <f t="shared" si="4"/>
        <v>047-CIENTÍFICA (700617)</v>
      </c>
      <c r="M124" s="384"/>
      <c r="AF124" s="264"/>
      <c r="AG124" s="264"/>
    </row>
    <row r="125" spans="1:33" ht="14.25" customHeight="1">
      <c r="A125" s="262" t="s">
        <v>7620</v>
      </c>
      <c r="B125" s="262" t="s">
        <v>7386</v>
      </c>
      <c r="C125" s="270" t="s">
        <v>7392</v>
      </c>
      <c r="D125" s="263">
        <v>1800</v>
      </c>
      <c r="F125" s="430">
        <v>36</v>
      </c>
      <c r="G125" s="306">
        <v>1265</v>
      </c>
      <c r="H125" s="306" t="s">
        <v>7386</v>
      </c>
      <c r="I125" s="307" t="s">
        <v>7392</v>
      </c>
      <c r="J125" s="308">
        <v>2160</v>
      </c>
      <c r="K125" s="306">
        <v>74065</v>
      </c>
      <c r="L125" s="384" t="str">
        <f t="shared" si="4"/>
        <v>029-TOP DESCARTÁVEIS (703221)</v>
      </c>
      <c r="M125" s="384"/>
      <c r="N125" s="416"/>
      <c r="AF125" s="264"/>
      <c r="AG125" s="264"/>
    </row>
    <row r="126" spans="1:33" ht="14.25" customHeight="1">
      <c r="A126" s="262">
        <v>74033</v>
      </c>
      <c r="B126" s="262" t="s">
        <v>7387</v>
      </c>
      <c r="C126" s="270" t="s">
        <v>4109</v>
      </c>
      <c r="D126" s="263">
        <v>611.01</v>
      </c>
      <c r="F126" s="430">
        <v>37</v>
      </c>
      <c r="G126" s="306">
        <v>546</v>
      </c>
      <c r="H126" s="306" t="s">
        <v>7332</v>
      </c>
      <c r="I126" s="307" t="s">
        <v>4247</v>
      </c>
      <c r="J126" s="308">
        <v>2169</v>
      </c>
      <c r="K126" s="306">
        <v>3269</v>
      </c>
      <c r="L126" s="384" t="str">
        <f t="shared" si="4"/>
        <v>418-ATAX (703508)</v>
      </c>
      <c r="M126" s="384"/>
      <c r="N126"/>
      <c r="AF126" s="264"/>
      <c r="AG126" s="264"/>
    </row>
    <row r="127" spans="1:33" ht="14.25" customHeight="1">
      <c r="A127" s="262" t="s">
        <v>7619</v>
      </c>
      <c r="B127" s="262" t="s">
        <v>7387</v>
      </c>
      <c r="C127" s="270" t="s">
        <v>7267</v>
      </c>
      <c r="D127" s="263">
        <v>750</v>
      </c>
      <c r="F127" s="430">
        <v>38</v>
      </c>
      <c r="G127" s="306">
        <v>20792</v>
      </c>
      <c r="H127" s="306" t="s">
        <v>7414</v>
      </c>
      <c r="I127" s="307" t="s">
        <v>7472</v>
      </c>
      <c r="J127" s="308">
        <v>2290</v>
      </c>
      <c r="K127" s="306">
        <v>74019</v>
      </c>
      <c r="L127" s="384" t="str">
        <f t="shared" si="4"/>
        <v>038-VERA CRUZ (703207)</v>
      </c>
      <c r="M127" s="384"/>
      <c r="N127"/>
      <c r="AF127" s="264"/>
      <c r="AG127" s="264"/>
    </row>
    <row r="128" spans="1:33" ht="14.25" customHeight="1">
      <c r="A128" s="262">
        <v>300829</v>
      </c>
      <c r="B128" s="262" t="s">
        <v>7402</v>
      </c>
      <c r="C128" s="270" t="s">
        <v>7371</v>
      </c>
      <c r="D128" s="263">
        <v>2446.8444</v>
      </c>
      <c r="F128" s="430">
        <v>39</v>
      </c>
      <c r="G128" s="306">
        <v>496</v>
      </c>
      <c r="H128" s="306" t="s">
        <v>7519</v>
      </c>
      <c r="I128" s="307" t="s">
        <v>7540</v>
      </c>
      <c r="J128" s="308">
        <v>2300</v>
      </c>
      <c r="K128" s="306">
        <v>3277</v>
      </c>
      <c r="L128" s="384" t="str">
        <f t="shared" si="4"/>
        <v>057-LABS (703021)</v>
      </c>
      <c r="M128" s="384"/>
      <c r="N128"/>
      <c r="AF128" s="264"/>
      <c r="AG128" s="264"/>
    </row>
    <row r="129" spans="1:33" ht="14.25" customHeight="1">
      <c r="A129" s="262">
        <v>300788</v>
      </c>
      <c r="B129" s="262" t="s">
        <v>7403</v>
      </c>
      <c r="C129" s="270" t="s">
        <v>7371</v>
      </c>
      <c r="D129" s="263">
        <v>5809.79</v>
      </c>
      <c r="F129" s="430">
        <v>40</v>
      </c>
      <c r="G129" s="306">
        <v>9967</v>
      </c>
      <c r="H129" s="306" t="s">
        <v>7311</v>
      </c>
      <c r="I129" s="307" t="s">
        <v>7337</v>
      </c>
      <c r="J129" s="308">
        <v>2370</v>
      </c>
      <c r="K129" s="306">
        <v>74009</v>
      </c>
      <c r="L129" s="384" t="str">
        <f t="shared" si="4"/>
        <v>013-METHABIO (701878)</v>
      </c>
      <c r="M129" s="384"/>
      <c r="N129"/>
      <c r="AF129" s="264"/>
      <c r="AG129" s="264"/>
    </row>
    <row r="130" spans="1:33" ht="14.25" customHeight="1">
      <c r="A130" s="262">
        <v>341673</v>
      </c>
      <c r="B130" s="262" t="s">
        <v>7404</v>
      </c>
      <c r="C130" s="270" t="s">
        <v>7458</v>
      </c>
      <c r="D130" s="263">
        <v>5500</v>
      </c>
      <c r="F130" s="430">
        <v>41</v>
      </c>
      <c r="G130" s="306">
        <v>300829</v>
      </c>
      <c r="H130" s="306" t="s">
        <v>7402</v>
      </c>
      <c r="I130" s="307" t="s">
        <v>7371</v>
      </c>
      <c r="J130" s="308">
        <v>2446.84</v>
      </c>
      <c r="K130" s="306">
        <v>74005</v>
      </c>
      <c r="L130" s="384" t="str">
        <f t="shared" si="4"/>
        <v>031-MAFRA (703141)</v>
      </c>
      <c r="M130" s="384"/>
      <c r="N130"/>
      <c r="AF130" s="264"/>
      <c r="AG130" s="264"/>
    </row>
    <row r="131" spans="1:33" ht="14.25" customHeight="1">
      <c r="A131" s="262" t="s">
        <v>7616</v>
      </c>
      <c r="B131" s="262" t="s">
        <v>7408</v>
      </c>
      <c r="C131" s="270" t="s">
        <v>5751</v>
      </c>
      <c r="D131" s="263">
        <v>8900</v>
      </c>
      <c r="F131" s="430">
        <v>42</v>
      </c>
      <c r="G131" s="306">
        <v>109809</v>
      </c>
      <c r="H131" s="306" t="s">
        <v>7414</v>
      </c>
      <c r="I131" s="307" t="s">
        <v>2989</v>
      </c>
      <c r="J131" s="308">
        <v>2760</v>
      </c>
      <c r="K131" s="306">
        <v>73314</v>
      </c>
      <c r="L131" s="384" t="str">
        <f t="shared" si="4"/>
        <v>038-CIENTÍFICA (700617)</v>
      </c>
      <c r="M131" s="384"/>
      <c r="N131"/>
      <c r="AF131" s="264"/>
      <c r="AG131" s="264"/>
    </row>
    <row r="132" spans="1:33" ht="14.25" customHeight="1">
      <c r="A132" s="262">
        <v>167</v>
      </c>
      <c r="B132" s="262" t="s">
        <v>7408</v>
      </c>
      <c r="C132" s="270" t="s">
        <v>7457</v>
      </c>
      <c r="D132" s="263">
        <v>8800</v>
      </c>
      <c r="F132" s="430">
        <v>43</v>
      </c>
      <c r="G132" s="306">
        <v>394477</v>
      </c>
      <c r="H132" s="306" t="s">
        <v>7313</v>
      </c>
      <c r="I132" s="307" t="s">
        <v>7363</v>
      </c>
      <c r="J132" s="308">
        <v>2820</v>
      </c>
      <c r="K132" s="306">
        <v>73293</v>
      </c>
      <c r="L132" s="384" t="str">
        <f t="shared" si="4"/>
        <v>014-UNIÃO QUÍMICA (702665)</v>
      </c>
      <c r="M132" s="384"/>
      <c r="N132"/>
      <c r="AF132" s="264"/>
      <c r="AG132" s="264"/>
    </row>
    <row r="133" spans="1:33" ht="14.25" customHeight="1">
      <c r="A133" s="262" t="s">
        <v>7609</v>
      </c>
      <c r="B133" s="262" t="s">
        <v>7411</v>
      </c>
      <c r="C133" s="270" t="s">
        <v>7051</v>
      </c>
      <c r="D133" s="263">
        <v>4776</v>
      </c>
      <c r="F133" s="430">
        <v>44</v>
      </c>
      <c r="G133" s="306">
        <v>300775</v>
      </c>
      <c r="H133" s="306" t="s">
        <v>7431</v>
      </c>
      <c r="I133" s="307" t="s">
        <v>7371</v>
      </c>
      <c r="J133" s="308">
        <v>2940</v>
      </c>
      <c r="K133" s="306">
        <v>73286</v>
      </c>
      <c r="L133" s="384" t="str">
        <f t="shared" si="4"/>
        <v>043-MAFRA (703141)</v>
      </c>
      <c r="M133" s="384"/>
      <c r="N133"/>
      <c r="AF133" s="264"/>
      <c r="AG133" s="264"/>
    </row>
    <row r="134" spans="1:33" ht="14.25" customHeight="1">
      <c r="A134" s="262">
        <v>20793</v>
      </c>
      <c r="B134" s="262" t="s">
        <v>7420</v>
      </c>
      <c r="C134" s="270" t="s">
        <v>7472</v>
      </c>
      <c r="D134" s="263">
        <v>72</v>
      </c>
      <c r="F134" s="430">
        <v>45</v>
      </c>
      <c r="G134" s="306">
        <v>597</v>
      </c>
      <c r="H134" s="306" t="s">
        <v>7332</v>
      </c>
      <c r="I134" s="307" t="s">
        <v>4247</v>
      </c>
      <c r="J134" s="308">
        <v>3036.6</v>
      </c>
      <c r="K134" s="306">
        <v>3278</v>
      </c>
      <c r="L134" s="384" t="str">
        <f t="shared" si="4"/>
        <v>418-ATAX (703508)</v>
      </c>
      <c r="M134" s="384"/>
      <c r="N134"/>
      <c r="AF134" s="264"/>
      <c r="AG134" s="264"/>
    </row>
    <row r="135" spans="1:33" ht="14.25" customHeight="1">
      <c r="A135" s="262">
        <v>109842</v>
      </c>
      <c r="B135" s="262" t="s">
        <v>7420</v>
      </c>
      <c r="C135" s="270" t="s">
        <v>2989</v>
      </c>
      <c r="D135" s="263">
        <v>30</v>
      </c>
      <c r="F135" s="430">
        <v>46</v>
      </c>
      <c r="G135" s="306">
        <v>305296</v>
      </c>
      <c r="H135" s="306" t="s">
        <v>7434</v>
      </c>
      <c r="I135" s="307" t="s">
        <v>7459</v>
      </c>
      <c r="J135" s="308">
        <v>3241</v>
      </c>
      <c r="K135" s="306">
        <v>73268</v>
      </c>
      <c r="L135" s="384" t="str">
        <f t="shared" si="4"/>
        <v>046-HOSPFAR (2875)</v>
      </c>
      <c r="M135" s="384"/>
      <c r="N135"/>
      <c r="AF135" s="264"/>
      <c r="AG135" s="264"/>
    </row>
    <row r="136" spans="1:33" ht="14.25" customHeight="1">
      <c r="A136" s="262">
        <v>109842</v>
      </c>
      <c r="B136" s="262" t="s">
        <v>7420</v>
      </c>
      <c r="C136" s="270" t="s">
        <v>2989</v>
      </c>
      <c r="D136" s="263">
        <v>168</v>
      </c>
      <c r="F136" s="430">
        <v>47</v>
      </c>
      <c r="G136" s="306">
        <v>101025</v>
      </c>
      <c r="H136" s="306" t="s">
        <v>7430</v>
      </c>
      <c r="I136" s="307" t="s">
        <v>7549</v>
      </c>
      <c r="J136" s="308">
        <v>3600</v>
      </c>
      <c r="K136" s="306">
        <v>73231</v>
      </c>
      <c r="L136" s="384" t="str">
        <f t="shared" si="4"/>
        <v>042-SOQUIMICA (702925)</v>
      </c>
      <c r="M136" s="384"/>
      <c r="N136"/>
      <c r="AF136" s="264"/>
      <c r="AG136" s="264"/>
    </row>
    <row r="137" spans="1:33" ht="14.25" customHeight="1">
      <c r="A137" s="262">
        <v>109842</v>
      </c>
      <c r="B137" s="262" t="s">
        <v>7420</v>
      </c>
      <c r="C137" s="270" t="s">
        <v>2989</v>
      </c>
      <c r="D137" s="263">
        <v>120</v>
      </c>
      <c r="F137" s="430">
        <v>48</v>
      </c>
      <c r="G137" s="306">
        <v>9968</v>
      </c>
      <c r="H137" s="306" t="s">
        <v>7339</v>
      </c>
      <c r="I137" s="307" t="s">
        <v>7337</v>
      </c>
      <c r="J137" s="308">
        <v>3918.24</v>
      </c>
      <c r="K137" s="306">
        <v>73219</v>
      </c>
      <c r="L137" s="384" t="str">
        <f t="shared" si="4"/>
        <v>016-METHABIO (701878)</v>
      </c>
      <c r="M137" s="384"/>
      <c r="N137"/>
      <c r="AF137" s="264"/>
      <c r="AG137" s="264"/>
    </row>
    <row r="138" spans="1:33" ht="14.25" customHeight="1">
      <c r="A138" s="262">
        <v>20793</v>
      </c>
      <c r="B138" s="262" t="s">
        <v>7420</v>
      </c>
      <c r="C138" s="270" t="s">
        <v>7472</v>
      </c>
      <c r="D138" s="263">
        <v>50.7</v>
      </c>
      <c r="F138" s="430">
        <v>49</v>
      </c>
      <c r="G138" s="306">
        <v>298470</v>
      </c>
      <c r="H138" s="306" t="s">
        <v>7352</v>
      </c>
      <c r="I138" s="307" t="s">
        <v>7371</v>
      </c>
      <c r="J138" s="308">
        <v>3952</v>
      </c>
      <c r="K138" s="306">
        <v>73207</v>
      </c>
      <c r="L138" s="384" t="str">
        <f t="shared" si="4"/>
        <v>019-MAFRA (703141)</v>
      </c>
      <c r="M138" s="384"/>
      <c r="N138"/>
      <c r="AF138" s="264"/>
      <c r="AG138" s="264"/>
    </row>
    <row r="139" spans="1:33" ht="14.25" customHeight="1">
      <c r="A139" s="262">
        <v>10063</v>
      </c>
      <c r="B139" s="262" t="s">
        <v>7414</v>
      </c>
      <c r="C139" s="270" t="s">
        <v>7337</v>
      </c>
      <c r="D139" s="263">
        <v>354</v>
      </c>
      <c r="F139" s="430">
        <v>50</v>
      </c>
      <c r="G139" s="306">
        <v>42191</v>
      </c>
      <c r="H139" s="306" t="s">
        <v>7443</v>
      </c>
      <c r="I139" s="307" t="s">
        <v>7485</v>
      </c>
      <c r="J139" s="308">
        <v>4200</v>
      </c>
      <c r="K139" s="306">
        <v>72858</v>
      </c>
      <c r="L139" s="384" t="str">
        <f t="shared" si="4"/>
        <v>048-MEDSONDA (700669)</v>
      </c>
      <c r="M139" s="384"/>
      <c r="N139"/>
      <c r="AF139" s="264"/>
      <c r="AG139" s="264"/>
    </row>
    <row r="140" spans="1:33" ht="14.25" customHeight="1">
      <c r="A140" s="262">
        <v>20792</v>
      </c>
      <c r="B140" s="262" t="s">
        <v>7414</v>
      </c>
      <c r="C140" s="307" t="s">
        <v>7472</v>
      </c>
      <c r="D140" s="263">
        <v>2290</v>
      </c>
      <c r="F140" s="430">
        <v>51</v>
      </c>
      <c r="G140" s="306">
        <v>1177070</v>
      </c>
      <c r="H140" s="306" t="s">
        <v>7352</v>
      </c>
      <c r="I140" s="307" t="s">
        <v>3663</v>
      </c>
      <c r="J140" s="308">
        <v>4300</v>
      </c>
      <c r="K140" s="306">
        <v>72871</v>
      </c>
      <c r="L140" s="384" t="str">
        <f t="shared" si="4"/>
        <v>019-CIRÚRGICA FERNANDES (3510)</v>
      </c>
      <c r="M140" s="384"/>
      <c r="N140"/>
      <c r="AF140" s="264"/>
      <c r="AG140" s="264"/>
    </row>
    <row r="141" spans="1:33" ht="14.25" customHeight="1">
      <c r="A141" s="262" t="s">
        <v>7611</v>
      </c>
      <c r="B141" s="262" t="s">
        <v>7414</v>
      </c>
      <c r="C141" s="270" t="s">
        <v>2989</v>
      </c>
      <c r="D141" s="263">
        <v>246.5</v>
      </c>
      <c r="F141" s="430">
        <v>52</v>
      </c>
      <c r="G141" s="306">
        <v>1251908</v>
      </c>
      <c r="H141" s="306" t="s">
        <v>7307</v>
      </c>
      <c r="I141" s="307" t="s">
        <v>4398</v>
      </c>
      <c r="J141" s="308">
        <v>4318.3999999999996</v>
      </c>
      <c r="K141" s="306">
        <v>72877</v>
      </c>
      <c r="L141" s="384" t="str">
        <f t="shared" si="4"/>
        <v>011-RIOCLARENSE (3374)</v>
      </c>
      <c r="M141" s="384"/>
      <c r="N141"/>
      <c r="AF141" s="264"/>
      <c r="AG141" s="264"/>
    </row>
    <row r="142" spans="1:33" ht="14.25" customHeight="1">
      <c r="A142" s="262">
        <v>301172</v>
      </c>
      <c r="B142" s="262" t="s">
        <v>7414</v>
      </c>
      <c r="C142" s="270" t="s">
        <v>7371</v>
      </c>
      <c r="D142" s="263">
        <v>776.4</v>
      </c>
      <c r="F142" s="430">
        <v>53</v>
      </c>
      <c r="G142" s="306">
        <v>631</v>
      </c>
      <c r="H142" s="306" t="s">
        <v>7353</v>
      </c>
      <c r="I142" s="307" t="s">
        <v>3671</v>
      </c>
      <c r="J142" s="308">
        <v>4440</v>
      </c>
      <c r="K142" s="306">
        <v>73019</v>
      </c>
      <c r="L142" s="384" t="str">
        <f t="shared" si="4"/>
        <v>020-RV GRÁFICA (703134)</v>
      </c>
      <c r="M142" s="384"/>
      <c r="N142"/>
      <c r="AF142" s="264"/>
      <c r="AG142" s="264"/>
    </row>
    <row r="143" spans="1:33" ht="14.25" customHeight="1">
      <c r="A143" s="262">
        <v>301195</v>
      </c>
      <c r="B143" s="262" t="s">
        <v>7414</v>
      </c>
      <c r="C143" s="270" t="s">
        <v>7371</v>
      </c>
      <c r="D143" s="263">
        <v>1737</v>
      </c>
      <c r="F143" s="430">
        <v>54</v>
      </c>
      <c r="G143" s="306">
        <v>4014</v>
      </c>
      <c r="H143" s="306" t="s">
        <v>7339</v>
      </c>
      <c r="I143" s="307" t="s">
        <v>5751</v>
      </c>
      <c r="J143" s="308">
        <v>4450</v>
      </c>
      <c r="K143" s="306">
        <v>73049</v>
      </c>
      <c r="L143" s="384" t="str">
        <f t="shared" si="4"/>
        <v>016-FARMATEX DO BRASIL (703448)</v>
      </c>
      <c r="M143" s="384"/>
      <c r="N143"/>
      <c r="AF143" s="264"/>
      <c r="AG143" s="264"/>
    </row>
    <row r="144" spans="1:33" ht="14.25" customHeight="1">
      <c r="A144" s="262">
        <v>301195</v>
      </c>
      <c r="B144" s="262" t="s">
        <v>7414</v>
      </c>
      <c r="C144" s="270" t="s">
        <v>7371</v>
      </c>
      <c r="D144" s="263">
        <v>4197</v>
      </c>
      <c r="F144" s="430">
        <v>55</v>
      </c>
      <c r="G144" s="306">
        <v>35</v>
      </c>
      <c r="H144" s="306" t="s">
        <v>7411</v>
      </c>
      <c r="I144" s="307" t="s">
        <v>7051</v>
      </c>
      <c r="J144" s="308">
        <v>4776</v>
      </c>
      <c r="K144" s="306">
        <v>3274</v>
      </c>
      <c r="L144" s="384" t="str">
        <f t="shared" si="4"/>
        <v>036-CIA SUPRIMENTOS (703699)</v>
      </c>
      <c r="M144" s="384"/>
      <c r="N144"/>
      <c r="AF144" s="264"/>
      <c r="AG144" s="264"/>
    </row>
    <row r="145" spans="1:33" ht="14.25" customHeight="1">
      <c r="A145" s="262">
        <v>109809</v>
      </c>
      <c r="B145" s="262" t="s">
        <v>7414</v>
      </c>
      <c r="C145" s="270" t="s">
        <v>2989</v>
      </c>
      <c r="D145" s="263">
        <v>2760</v>
      </c>
      <c r="F145" s="430">
        <v>56</v>
      </c>
      <c r="G145" s="434">
        <v>1429</v>
      </c>
      <c r="H145" s="434" t="s">
        <v>7379</v>
      </c>
      <c r="I145" s="435" t="s">
        <v>7283</v>
      </c>
      <c r="J145" s="436">
        <v>4900</v>
      </c>
      <c r="K145" s="434"/>
      <c r="L145" s="384" t="str">
        <f t="shared" si="4"/>
        <v>023-ARTWARE (702395)</v>
      </c>
      <c r="M145" s="384"/>
      <c r="N145"/>
      <c r="AF145" s="264"/>
      <c r="AG145" s="264"/>
    </row>
    <row r="146" spans="1:33" ht="14.25" customHeight="1">
      <c r="A146" s="262">
        <v>10063</v>
      </c>
      <c r="B146" s="262" t="s">
        <v>7414</v>
      </c>
      <c r="C146" s="270" t="s">
        <v>7337</v>
      </c>
      <c r="D146" s="263">
        <v>4590</v>
      </c>
      <c r="F146" s="430">
        <v>57</v>
      </c>
      <c r="G146" s="306">
        <v>10063</v>
      </c>
      <c r="H146" s="306" t="s">
        <v>7414</v>
      </c>
      <c r="I146" s="307" t="s">
        <v>7337</v>
      </c>
      <c r="J146" s="308">
        <v>4944</v>
      </c>
      <c r="K146" s="306">
        <v>73165</v>
      </c>
      <c r="L146" s="384" t="str">
        <f t="shared" si="4"/>
        <v>038-METHABIO (701878)</v>
      </c>
      <c r="M146" s="384"/>
      <c r="N146"/>
      <c r="AF146" s="264"/>
      <c r="AG146" s="264"/>
    </row>
    <row r="147" spans="1:33" ht="14.25" customHeight="1">
      <c r="A147" s="262">
        <v>301195</v>
      </c>
      <c r="B147" s="262" t="s">
        <v>7414</v>
      </c>
      <c r="C147" s="270" t="s">
        <v>7371</v>
      </c>
      <c r="D147" s="263">
        <v>67.25</v>
      </c>
      <c r="F147" s="430">
        <v>58</v>
      </c>
      <c r="G147" s="306">
        <v>300975</v>
      </c>
      <c r="H147" s="306" t="s">
        <v>7384</v>
      </c>
      <c r="I147" s="307" t="s">
        <v>7371</v>
      </c>
      <c r="J147" s="308">
        <v>4956</v>
      </c>
      <c r="K147" s="306">
        <v>73171</v>
      </c>
      <c r="L147" s="384" t="str">
        <f t="shared" si="4"/>
        <v>027-MAFRA (703141)</v>
      </c>
      <c r="M147" s="384"/>
      <c r="N147"/>
      <c r="AF147" s="264"/>
      <c r="AG147" s="264"/>
    </row>
    <row r="148" spans="1:33" ht="14.25" customHeight="1">
      <c r="A148" s="262">
        <v>1255517</v>
      </c>
      <c r="B148" s="262" t="s">
        <v>7414</v>
      </c>
      <c r="C148" s="270" t="s">
        <v>4398</v>
      </c>
      <c r="D148" s="263">
        <v>948.8</v>
      </c>
      <c r="F148" s="430">
        <v>59</v>
      </c>
      <c r="G148" s="306">
        <v>1251903</v>
      </c>
      <c r="H148" s="306" t="s">
        <v>7341</v>
      </c>
      <c r="I148" s="307" t="s">
        <v>4398</v>
      </c>
      <c r="J148" s="308">
        <v>5094</v>
      </c>
      <c r="K148" s="306">
        <v>73184</v>
      </c>
      <c r="L148" s="384" t="str">
        <f t="shared" si="4"/>
        <v>018-RIOCLARENSE (3374)</v>
      </c>
      <c r="M148" s="384"/>
      <c r="N148"/>
      <c r="AF148" s="264"/>
      <c r="AG148" s="264"/>
    </row>
    <row r="149" spans="1:33" ht="14.25" customHeight="1">
      <c r="A149" s="262">
        <v>109890</v>
      </c>
      <c r="B149" s="262" t="s">
        <v>7427</v>
      </c>
      <c r="C149" s="270" t="s">
        <v>2989</v>
      </c>
      <c r="D149" s="263">
        <v>92.5</v>
      </c>
      <c r="F149" s="430">
        <v>60</v>
      </c>
      <c r="G149" s="306">
        <v>341673</v>
      </c>
      <c r="H149" s="306" t="s">
        <v>7404</v>
      </c>
      <c r="I149" s="307" t="s">
        <v>7458</v>
      </c>
      <c r="J149" s="308">
        <v>5500</v>
      </c>
      <c r="K149" s="306">
        <v>73194</v>
      </c>
      <c r="L149" s="384" t="str">
        <f t="shared" si="4"/>
        <v>033-CEI (4067)</v>
      </c>
      <c r="M149" s="384"/>
      <c r="N149"/>
      <c r="AF149" s="264"/>
      <c r="AG149" s="264"/>
    </row>
    <row r="150" spans="1:33" ht="14.25" customHeight="1">
      <c r="A150" s="262">
        <v>109895</v>
      </c>
      <c r="B150" s="262" t="s">
        <v>7428</v>
      </c>
      <c r="C150" s="270" t="s">
        <v>2989</v>
      </c>
      <c r="D150" s="263">
        <v>78.72</v>
      </c>
      <c r="F150" s="430">
        <v>61</v>
      </c>
      <c r="G150" s="306">
        <v>23083</v>
      </c>
      <c r="H150" s="306" t="s">
        <v>7564</v>
      </c>
      <c r="I150" s="307" t="s">
        <v>7267</v>
      </c>
      <c r="J150" s="308">
        <v>5600</v>
      </c>
      <c r="K150" s="306">
        <v>73371</v>
      </c>
      <c r="L150" s="384" t="str">
        <f t="shared" si="4"/>
        <v>060-NL (SUPERMEDICAL) (700820)</v>
      </c>
      <c r="M150" s="384"/>
      <c r="N150"/>
      <c r="AF150" s="264"/>
      <c r="AG150" s="264"/>
    </row>
    <row r="151" spans="1:33" ht="14.25" customHeight="1">
      <c r="A151" s="262">
        <v>301663</v>
      </c>
      <c r="B151" s="262" t="s">
        <v>7429</v>
      </c>
      <c r="C151" s="270" t="s">
        <v>7371</v>
      </c>
      <c r="D151" s="263">
        <v>73.5</v>
      </c>
      <c r="F151" s="430">
        <v>62</v>
      </c>
      <c r="G151" s="306">
        <v>300788</v>
      </c>
      <c r="H151" s="306" t="s">
        <v>7403</v>
      </c>
      <c r="I151" s="307" t="s">
        <v>7371</v>
      </c>
      <c r="J151" s="308">
        <v>5809.79</v>
      </c>
      <c r="K151" s="306">
        <v>74095</v>
      </c>
      <c r="L151" s="384" t="str">
        <f t="shared" si="4"/>
        <v>032-MAFRA (703141)</v>
      </c>
      <c r="M151" s="384"/>
      <c r="N151"/>
      <c r="AF151" s="264"/>
      <c r="AG151" s="264"/>
    </row>
    <row r="152" spans="1:33" ht="14.25" customHeight="1">
      <c r="A152" s="262">
        <v>101025</v>
      </c>
      <c r="B152" s="262" t="s">
        <v>7430</v>
      </c>
      <c r="C152" s="307" t="s">
        <v>7549</v>
      </c>
      <c r="D152" s="263">
        <v>3600</v>
      </c>
      <c r="F152" s="430">
        <v>63</v>
      </c>
      <c r="G152" s="306">
        <v>301195</v>
      </c>
      <c r="H152" s="306" t="s">
        <v>7414</v>
      </c>
      <c r="I152" s="307" t="s">
        <v>7371</v>
      </c>
      <c r="J152" s="308">
        <v>6001.25</v>
      </c>
      <c r="K152" s="306">
        <v>73916</v>
      </c>
      <c r="L152" s="384" t="str">
        <f t="shared" si="4"/>
        <v>038-MAFRA (703141)</v>
      </c>
      <c r="M152" s="384"/>
      <c r="N152"/>
      <c r="AF152" s="264"/>
      <c r="AG152" s="264"/>
    </row>
    <row r="153" spans="1:33" ht="14.25" customHeight="1">
      <c r="A153" s="262">
        <v>300775</v>
      </c>
      <c r="B153" s="262" t="s">
        <v>7431</v>
      </c>
      <c r="C153" s="270" t="s">
        <v>7371</v>
      </c>
      <c r="D153" s="263">
        <v>2940</v>
      </c>
      <c r="F153" s="430">
        <v>64</v>
      </c>
      <c r="G153" s="306">
        <v>1437</v>
      </c>
      <c r="H153" s="306" t="s">
        <v>7443</v>
      </c>
      <c r="I153" s="307" t="s">
        <v>7283</v>
      </c>
      <c r="J153" s="308">
        <v>6474</v>
      </c>
      <c r="K153" s="306">
        <v>73922</v>
      </c>
      <c r="L153" s="384" t="str">
        <f t="shared" si="4"/>
        <v>048-ARTWARE (702395)</v>
      </c>
      <c r="M153" s="384"/>
      <c r="N153"/>
      <c r="AF153" s="264"/>
      <c r="AG153" s="264"/>
    </row>
    <row r="154" spans="1:33" ht="14.25" customHeight="1">
      <c r="A154" s="262">
        <v>300766</v>
      </c>
      <c r="B154" s="262" t="s">
        <v>7432</v>
      </c>
      <c r="C154" s="270" t="s">
        <v>7371</v>
      </c>
      <c r="D154" s="263">
        <v>7894</v>
      </c>
      <c r="F154" s="430">
        <v>65</v>
      </c>
      <c r="G154" s="306">
        <v>3931</v>
      </c>
      <c r="H154" s="306" t="s">
        <v>7300</v>
      </c>
      <c r="I154" s="307" t="s">
        <v>5751</v>
      </c>
      <c r="J154" s="308">
        <v>7400</v>
      </c>
      <c r="K154" s="306">
        <v>73928</v>
      </c>
      <c r="L154" s="384" t="str">
        <f t="shared" si="4"/>
        <v>009-FARMATEX DO BRASIL (703448)</v>
      </c>
      <c r="M154" s="384"/>
      <c r="N154"/>
      <c r="AF154" s="264"/>
      <c r="AG154" s="264"/>
    </row>
    <row r="155" spans="1:33" ht="14.25" customHeight="1">
      <c r="A155" s="262">
        <v>109887</v>
      </c>
      <c r="B155" s="262" t="s">
        <v>7433</v>
      </c>
      <c r="C155" s="270" t="s">
        <v>2989</v>
      </c>
      <c r="D155" s="263">
        <v>27</v>
      </c>
      <c r="F155" s="430">
        <v>66</v>
      </c>
      <c r="G155" s="306">
        <v>300766</v>
      </c>
      <c r="H155" s="306" t="s">
        <v>7432</v>
      </c>
      <c r="I155" s="307" t="s">
        <v>7371</v>
      </c>
      <c r="J155" s="308">
        <v>7894</v>
      </c>
      <c r="K155" s="306">
        <v>73933</v>
      </c>
      <c r="L155" s="384" t="str">
        <f t="shared" si="4"/>
        <v>044-MAFRA (703141)</v>
      </c>
      <c r="M155" s="384"/>
      <c r="N155"/>
      <c r="AF155" s="264"/>
      <c r="AG155" s="264"/>
    </row>
    <row r="156" spans="1:33" ht="14.25" customHeight="1">
      <c r="A156" s="262">
        <v>305296</v>
      </c>
      <c r="B156" s="262" t="s">
        <v>7434</v>
      </c>
      <c r="C156" s="270" t="s">
        <v>7459</v>
      </c>
      <c r="D156" s="263">
        <v>3241</v>
      </c>
      <c r="F156" s="430">
        <v>67</v>
      </c>
      <c r="G156" s="306">
        <v>2537673</v>
      </c>
      <c r="H156" s="306" t="s">
        <v>7515</v>
      </c>
      <c r="I156" s="307" t="s">
        <v>4401</v>
      </c>
      <c r="J156" s="308">
        <v>8028</v>
      </c>
      <c r="K156" s="306">
        <v>73945</v>
      </c>
      <c r="L156" s="384" t="str">
        <f t="shared" si="4"/>
        <v>056-CRISTÁLIA (114)</v>
      </c>
      <c r="M156" s="384"/>
      <c r="N156"/>
      <c r="AF156" s="264"/>
      <c r="AG156" s="264"/>
    </row>
    <row r="157" spans="1:33" ht="14.25" customHeight="1">
      <c r="A157" s="262" t="s">
        <v>7612</v>
      </c>
      <c r="B157" s="262" t="s">
        <v>7442</v>
      </c>
      <c r="C157" s="270" t="s">
        <v>2989</v>
      </c>
      <c r="D157" s="263">
        <v>1935</v>
      </c>
      <c r="F157" s="430">
        <v>68</v>
      </c>
      <c r="G157" s="306">
        <v>235563</v>
      </c>
      <c r="H157" s="306" t="s">
        <v>7385</v>
      </c>
      <c r="I157" s="307" t="s">
        <v>7461</v>
      </c>
      <c r="J157" s="308">
        <v>8147.2</v>
      </c>
      <c r="K157" s="306">
        <v>73951</v>
      </c>
      <c r="L157" s="384" t="str">
        <f t="shared" si="4"/>
        <v>028-FARMARIN (701211)</v>
      </c>
      <c r="M157" s="384"/>
      <c r="N157"/>
      <c r="AF157" s="264"/>
      <c r="AG157" s="264"/>
    </row>
    <row r="158" spans="1:33" ht="14.25" customHeight="1">
      <c r="A158" s="262" t="s">
        <v>7608</v>
      </c>
      <c r="B158" s="262" t="s">
        <v>7443</v>
      </c>
      <c r="C158" s="270" t="s">
        <v>7483</v>
      </c>
      <c r="D158" s="263">
        <v>597</v>
      </c>
      <c r="F158" s="430">
        <v>69</v>
      </c>
      <c r="G158" s="306">
        <v>167</v>
      </c>
      <c r="H158" s="306" t="s">
        <v>7408</v>
      </c>
      <c r="I158" s="307" t="s">
        <v>7457</v>
      </c>
      <c r="J158" s="308">
        <v>8800</v>
      </c>
      <c r="K158" s="306">
        <v>73955</v>
      </c>
      <c r="L158" s="384" t="str">
        <f t="shared" si="4"/>
        <v>035-ALFA (703521)</v>
      </c>
      <c r="M158" s="384"/>
      <c r="N158"/>
      <c r="AF158" s="264"/>
      <c r="AG158" s="264"/>
    </row>
    <row r="159" spans="1:33" ht="14.25" customHeight="1">
      <c r="A159" s="262" t="s">
        <v>7608</v>
      </c>
      <c r="B159" s="262" t="s">
        <v>7443</v>
      </c>
      <c r="C159" s="270" t="s">
        <v>7483</v>
      </c>
      <c r="D159" s="263">
        <v>597</v>
      </c>
      <c r="F159" s="430">
        <v>70</v>
      </c>
      <c r="G159" s="306">
        <v>4027</v>
      </c>
      <c r="H159" s="306" t="s">
        <v>7408</v>
      </c>
      <c r="I159" s="307" t="s">
        <v>5751</v>
      </c>
      <c r="J159" s="308">
        <v>8900</v>
      </c>
      <c r="K159" s="306">
        <v>73960</v>
      </c>
      <c r="L159" s="384" t="str">
        <f t="shared" si="4"/>
        <v>035-FARMATEX DO BRASIL (703448)</v>
      </c>
      <c r="M159" s="384"/>
      <c r="N159"/>
      <c r="AF159" s="264"/>
      <c r="AG159" s="264"/>
    </row>
    <row r="160" spans="1:33" ht="14.25" customHeight="1">
      <c r="A160" s="262" t="s">
        <v>7607</v>
      </c>
      <c r="B160" s="262" t="s">
        <v>7443</v>
      </c>
      <c r="C160" s="270" t="s">
        <v>7283</v>
      </c>
      <c r="D160" s="263">
        <v>480</v>
      </c>
      <c r="F160" s="430">
        <v>71</v>
      </c>
      <c r="G160" s="306">
        <v>304472</v>
      </c>
      <c r="H160" s="306" t="s">
        <v>7515</v>
      </c>
      <c r="I160" s="307" t="s">
        <v>7371</v>
      </c>
      <c r="J160" s="308">
        <v>9785</v>
      </c>
      <c r="K160" s="306">
        <v>73965</v>
      </c>
      <c r="L160" s="384" t="str">
        <f t="shared" si="4"/>
        <v>056-MAFRA (703141)</v>
      </c>
      <c r="M160" s="384"/>
      <c r="N160"/>
      <c r="AF160" s="264"/>
      <c r="AG160" s="264"/>
    </row>
    <row r="161" spans="1:33" ht="14.25" customHeight="1">
      <c r="A161" s="262" t="s">
        <v>7618</v>
      </c>
      <c r="B161" s="262" t="s">
        <v>7443</v>
      </c>
      <c r="C161" s="270" t="s">
        <v>7485</v>
      </c>
      <c r="D161" s="263">
        <v>4200</v>
      </c>
      <c r="F161" s="430">
        <v>72</v>
      </c>
      <c r="G161" s="306">
        <v>1446</v>
      </c>
      <c r="H161" s="306" t="s">
        <v>7768</v>
      </c>
      <c r="I161" s="307" t="s">
        <v>7098</v>
      </c>
      <c r="J161" s="308">
        <v>13167</v>
      </c>
      <c r="K161" s="306">
        <v>72850</v>
      </c>
      <c r="L161" s="384" t="str">
        <f t="shared" si="4"/>
        <v>333-CEPHEID (703752)</v>
      </c>
      <c r="M161" s="384"/>
      <c r="N161"/>
      <c r="AF161" s="264"/>
      <c r="AG161" s="264"/>
    </row>
    <row r="162" spans="1:33" ht="14.25" customHeight="1">
      <c r="A162" s="262" t="s">
        <v>7607</v>
      </c>
      <c r="B162" s="262" t="s">
        <v>7443</v>
      </c>
      <c r="C162" s="270" t="s">
        <v>7283</v>
      </c>
      <c r="D162" s="263">
        <v>5994</v>
      </c>
      <c r="F162" s="430">
        <v>73</v>
      </c>
      <c r="G162" s="306">
        <v>438701</v>
      </c>
      <c r="H162" s="306" t="s">
        <v>7362</v>
      </c>
      <c r="I162" s="307" t="s">
        <v>7372</v>
      </c>
      <c r="J162" s="308">
        <v>16183.92</v>
      </c>
      <c r="K162" s="306">
        <v>73971</v>
      </c>
      <c r="L162" s="384" t="str">
        <f t="shared" si="4"/>
        <v>022-MEDCOMERCE (2756)</v>
      </c>
      <c r="M162" s="384"/>
      <c r="N162"/>
      <c r="AF162" s="264"/>
      <c r="AG162" s="264"/>
    </row>
    <row r="163" spans="1:33" ht="14.25" customHeight="1">
      <c r="A163" s="262" t="s">
        <v>7608</v>
      </c>
      <c r="B163" s="262" t="s">
        <v>7443</v>
      </c>
      <c r="C163" s="270" t="s">
        <v>7483</v>
      </c>
      <c r="D163" s="263">
        <v>278</v>
      </c>
      <c r="F163" s="430"/>
      <c r="G163" s="306"/>
      <c r="H163" s="306"/>
      <c r="I163" s="431" t="s">
        <v>1876</v>
      </c>
      <c r="J163" s="432">
        <f>SUM(J90:J162)</f>
        <v>226400.87000000002</v>
      </c>
      <c r="K163" s="306"/>
      <c r="M163" s="384"/>
      <c r="N163"/>
      <c r="AF163" s="264"/>
      <c r="AG163" s="264"/>
    </row>
    <row r="164" spans="1:33" ht="14.25" customHeight="1">
      <c r="A164" s="262" t="s">
        <v>7608</v>
      </c>
      <c r="B164" s="262" t="s">
        <v>7443</v>
      </c>
      <c r="C164" s="270" t="s">
        <v>7483</v>
      </c>
      <c r="D164" s="263">
        <v>278</v>
      </c>
      <c r="G164" s="417"/>
      <c r="H164" s="417"/>
      <c r="I164" s="428"/>
      <c r="J164" s="429"/>
      <c r="K164" s="306"/>
      <c r="M164" s="384"/>
      <c r="N164"/>
      <c r="AF164" s="264"/>
      <c r="AG164" s="264"/>
    </row>
    <row r="165" spans="1:33" ht="14.25" customHeight="1">
      <c r="A165" s="262" t="s">
        <v>7610</v>
      </c>
      <c r="B165" s="262" t="s">
        <v>7453</v>
      </c>
      <c r="C165" s="270" t="s">
        <v>2989</v>
      </c>
      <c r="D165" s="263">
        <v>306</v>
      </c>
      <c r="G165" s="418"/>
      <c r="H165" s="418"/>
      <c r="I165" s="418"/>
      <c r="N165"/>
      <c r="AF165" s="264"/>
      <c r="AG165" s="264"/>
    </row>
    <row r="166" spans="1:33" ht="14.25" customHeight="1">
      <c r="A166" s="262">
        <v>110201</v>
      </c>
      <c r="B166" s="262" t="s">
        <v>7453</v>
      </c>
      <c r="C166" s="270" t="s">
        <v>2989</v>
      </c>
      <c r="D166" s="263">
        <v>280</v>
      </c>
      <c r="G166" s="418"/>
      <c r="H166" s="418"/>
      <c r="I166" s="418"/>
      <c r="N166"/>
      <c r="AF166" s="264"/>
      <c r="AG166" s="264"/>
    </row>
    <row r="167" spans="1:33" ht="14.25" customHeight="1">
      <c r="A167" s="262">
        <v>110201</v>
      </c>
      <c r="B167" s="262" t="s">
        <v>7453</v>
      </c>
      <c r="C167" s="270" t="s">
        <v>2989</v>
      </c>
      <c r="D167" s="263">
        <v>1385</v>
      </c>
      <c r="G167" s="418"/>
      <c r="H167" s="418"/>
      <c r="I167" s="418"/>
      <c r="N167"/>
      <c r="AF167" s="264"/>
      <c r="AG167" s="264"/>
    </row>
    <row r="168" spans="1:33" ht="14.25" customHeight="1">
      <c r="A168" s="262" t="s">
        <v>7613</v>
      </c>
      <c r="B168" s="262" t="s">
        <v>7453</v>
      </c>
      <c r="C168" s="270" t="s">
        <v>4401</v>
      </c>
      <c r="D168" s="263">
        <v>128.69999999999999</v>
      </c>
      <c r="G168" s="418"/>
      <c r="H168" s="418"/>
      <c r="I168" s="418"/>
      <c r="AF168" s="264"/>
      <c r="AG168" s="264"/>
    </row>
    <row r="169" spans="1:33" ht="14.25" customHeight="1">
      <c r="A169" s="262" t="s">
        <v>7613</v>
      </c>
      <c r="B169" s="262" t="s">
        <v>7453</v>
      </c>
      <c r="C169" s="270" t="s">
        <v>4401</v>
      </c>
      <c r="D169" s="263">
        <v>119.60000000000001</v>
      </c>
      <c r="G169" s="418"/>
      <c r="H169" s="418"/>
      <c r="I169" s="418"/>
      <c r="AF169" s="264"/>
      <c r="AG169" s="264"/>
    </row>
    <row r="170" spans="1:33" ht="14.25" customHeight="1">
      <c r="A170" s="262">
        <v>9929</v>
      </c>
      <c r="B170" s="262" t="s">
        <v>7454</v>
      </c>
      <c r="C170" s="270" t="s">
        <v>4379</v>
      </c>
      <c r="D170" s="263">
        <v>77.5</v>
      </c>
      <c r="G170" s="418"/>
      <c r="H170" s="418"/>
      <c r="I170" s="418"/>
      <c r="AF170" s="264"/>
      <c r="AG170" s="264"/>
    </row>
    <row r="171" spans="1:33" ht="14.25" customHeight="1">
      <c r="A171" s="262" t="s">
        <v>7604</v>
      </c>
      <c r="B171" s="262" t="s">
        <v>7454</v>
      </c>
      <c r="C171" s="270" t="s">
        <v>4109</v>
      </c>
      <c r="D171" s="263">
        <v>390</v>
      </c>
      <c r="G171" s="418"/>
      <c r="H171" s="418"/>
      <c r="I171" s="418"/>
      <c r="AF171" s="264"/>
      <c r="AG171" s="264"/>
    </row>
    <row r="172" spans="1:33" ht="14.25" customHeight="1">
      <c r="A172" s="262" t="s">
        <v>7621</v>
      </c>
      <c r="B172" s="262" t="s">
        <v>7454</v>
      </c>
      <c r="C172" s="270" t="s">
        <v>7472</v>
      </c>
      <c r="D172" s="263">
        <v>1389.6</v>
      </c>
      <c r="G172" s="418"/>
      <c r="H172" s="418"/>
      <c r="I172" s="418"/>
      <c r="AF172" s="264"/>
      <c r="AG172" s="264"/>
    </row>
    <row r="173" spans="1:33" ht="14.25" customHeight="1">
      <c r="A173" s="262">
        <v>109828</v>
      </c>
      <c r="B173" s="262" t="s">
        <v>7456</v>
      </c>
      <c r="C173" s="270" t="s">
        <v>2989</v>
      </c>
      <c r="D173" s="263">
        <v>82.2</v>
      </c>
      <c r="G173" s="418"/>
      <c r="H173" s="418"/>
      <c r="I173" s="418"/>
      <c r="AF173" s="264"/>
      <c r="AG173" s="264"/>
    </row>
    <row r="174" spans="1:33" ht="14.25" customHeight="1">
      <c r="A174" s="262" t="s">
        <v>7614</v>
      </c>
      <c r="B174" s="262" t="s">
        <v>7515</v>
      </c>
      <c r="C174" s="270" t="s">
        <v>4401</v>
      </c>
      <c r="D174" s="263">
        <v>8028.0000000000009</v>
      </c>
      <c r="G174" s="418"/>
      <c r="H174" s="418"/>
      <c r="I174" s="418"/>
      <c r="AF174" s="264"/>
      <c r="AG174" s="264"/>
    </row>
    <row r="175" spans="1:33" ht="14.25" customHeight="1">
      <c r="A175" s="262" t="s">
        <v>7603</v>
      </c>
      <c r="B175" s="262" t="s">
        <v>7515</v>
      </c>
      <c r="C175" s="270" t="s">
        <v>7371</v>
      </c>
      <c r="D175" s="263">
        <v>1235</v>
      </c>
      <c r="G175" s="418"/>
      <c r="H175" s="418"/>
      <c r="I175" s="418"/>
      <c r="AF175" s="264"/>
      <c r="AG175" s="264"/>
    </row>
    <row r="176" spans="1:33" ht="14.25" customHeight="1">
      <c r="A176" s="262" t="s">
        <v>7603</v>
      </c>
      <c r="B176" s="262" t="s">
        <v>7515</v>
      </c>
      <c r="C176" s="270" t="s">
        <v>7371</v>
      </c>
      <c r="D176" s="263">
        <v>8550</v>
      </c>
      <c r="AF176" s="264"/>
      <c r="AG176" s="264"/>
    </row>
    <row r="177" spans="1:33" ht="14.25" customHeight="1">
      <c r="A177" s="262" t="s">
        <v>7617</v>
      </c>
      <c r="B177" s="262" t="s">
        <v>7519</v>
      </c>
      <c r="C177" s="307" t="s">
        <v>7540</v>
      </c>
      <c r="D177" s="263">
        <v>2300</v>
      </c>
      <c r="AF177" s="264"/>
      <c r="AG177" s="264"/>
    </row>
    <row r="178" spans="1:33" ht="14.25" customHeight="1">
      <c r="A178" s="262" t="s">
        <v>7606</v>
      </c>
      <c r="B178" s="262" t="s">
        <v>7526</v>
      </c>
      <c r="C178" s="270" t="s">
        <v>4379</v>
      </c>
      <c r="D178" s="263">
        <v>336</v>
      </c>
      <c r="AF178" s="264"/>
      <c r="AG178" s="264"/>
    </row>
    <row r="179" spans="1:33" ht="14.25" customHeight="1">
      <c r="A179" s="262" t="s">
        <v>7606</v>
      </c>
      <c r="B179" s="262" t="s">
        <v>7526</v>
      </c>
      <c r="C179" s="270" t="s">
        <v>4379</v>
      </c>
      <c r="D179" s="263">
        <v>336</v>
      </c>
      <c r="AF179" s="264"/>
      <c r="AG179" s="264"/>
    </row>
    <row r="180" spans="1:33" ht="14.25" customHeight="1">
      <c r="A180" s="262" t="s">
        <v>7606</v>
      </c>
      <c r="B180" s="262" t="s">
        <v>7526</v>
      </c>
      <c r="C180" s="270" t="s">
        <v>4379</v>
      </c>
      <c r="D180" s="263">
        <v>336</v>
      </c>
      <c r="AF180" s="264"/>
      <c r="AG180" s="264"/>
    </row>
    <row r="181" spans="1:33" ht="14.25" customHeight="1">
      <c r="A181" s="262">
        <v>500</v>
      </c>
      <c r="B181" s="262" t="s">
        <v>7528</v>
      </c>
      <c r="C181" s="270" t="s">
        <v>7540</v>
      </c>
      <c r="D181" s="263">
        <v>1450</v>
      </c>
      <c r="AF181" s="264"/>
      <c r="AG181" s="264"/>
    </row>
    <row r="182" spans="1:33" ht="14.25" customHeight="1">
      <c r="A182" s="262">
        <v>831</v>
      </c>
      <c r="B182" s="262" t="s">
        <v>7528</v>
      </c>
      <c r="C182" s="270" t="s">
        <v>3530</v>
      </c>
      <c r="D182" s="263">
        <v>780</v>
      </c>
      <c r="AF182" s="264"/>
      <c r="AG182" s="264"/>
    </row>
    <row r="183" spans="1:33" ht="14.25" customHeight="1">
      <c r="A183" s="262" t="s">
        <v>7623</v>
      </c>
      <c r="B183" s="262" t="s">
        <v>7564</v>
      </c>
      <c r="C183" s="270" t="s">
        <v>7267</v>
      </c>
      <c r="D183" s="263">
        <v>5600</v>
      </c>
      <c r="AF183" s="264"/>
      <c r="AG183" s="264"/>
    </row>
    <row r="184" spans="1:33" ht="14.25" customHeight="1">
      <c r="A184" s="262">
        <v>837</v>
      </c>
      <c r="B184" s="262" t="s">
        <v>7566</v>
      </c>
      <c r="C184" s="270" t="s">
        <v>3407</v>
      </c>
      <c r="D184" s="263">
        <v>679.59999999999991</v>
      </c>
      <c r="AF184" s="264"/>
      <c r="AG184" s="264"/>
    </row>
    <row r="185" spans="1:33" ht="14.25" customHeight="1">
      <c r="A185" s="262"/>
      <c r="B185" s="262"/>
      <c r="C185" s="270"/>
      <c r="D185" s="263"/>
      <c r="AF185" s="264"/>
      <c r="AG185" s="264"/>
    </row>
    <row r="186" spans="1:33" ht="14.25" customHeight="1">
      <c r="A186" s="262"/>
      <c r="B186" s="262"/>
      <c r="C186" s="270"/>
      <c r="D186" s="263"/>
      <c r="AF186" s="264"/>
      <c r="AG186" s="264"/>
    </row>
    <row r="187" spans="1:33" ht="14.25" customHeight="1">
      <c r="A187" s="262"/>
      <c r="B187" s="262"/>
      <c r="C187" s="270"/>
      <c r="D187" s="263"/>
      <c r="AF187" s="264"/>
      <c r="AG187" s="264"/>
    </row>
    <row r="188" spans="1:33" ht="14.25" customHeight="1">
      <c r="C188" s="271" t="s">
        <v>1876</v>
      </c>
      <c r="D188" s="267">
        <f>SUM(D90:D187)</f>
        <v>224231.8744</v>
      </c>
      <c r="AF188" s="264"/>
      <c r="AG188" s="264"/>
    </row>
    <row r="189" spans="1:33" ht="14.25" customHeight="1">
      <c r="C189" s="272" t="s">
        <v>4360</v>
      </c>
      <c r="D189" s="269">
        <v>0</v>
      </c>
      <c r="AF189" s="264"/>
      <c r="AG189" s="264"/>
    </row>
    <row r="190" spans="1:33" ht="14.25" customHeight="1">
      <c r="C190" s="273" t="s">
        <v>4361</v>
      </c>
      <c r="D190" s="268">
        <f>D188-D189</f>
        <v>224231.8744</v>
      </c>
      <c r="AF190" s="264"/>
      <c r="AG190" s="264"/>
    </row>
    <row r="191" spans="1:33" ht="14.25" customHeight="1">
      <c r="AF191" s="264"/>
      <c r="AG191" s="264"/>
    </row>
    <row r="192" spans="1:33" ht="17.25" customHeight="1" thickBot="1">
      <c r="C192" s="437">
        <v>43913</v>
      </c>
      <c r="G192" s="404"/>
      <c r="H192" s="404"/>
      <c r="I192" s="441" t="s">
        <v>7922</v>
      </c>
      <c r="J192" s="442" t="s">
        <v>6931</v>
      </c>
      <c r="K192" s="404"/>
      <c r="N192" s="385" t="s">
        <v>7881</v>
      </c>
      <c r="O192" s="386"/>
      <c r="P192" s="422" t="s">
        <v>7633</v>
      </c>
      <c r="AF192" s="264"/>
      <c r="AG192" s="264"/>
    </row>
    <row r="193" spans="1:33" ht="14.25" customHeight="1" thickTop="1">
      <c r="A193" s="280" t="s">
        <v>1844</v>
      </c>
      <c r="B193" s="280" t="s">
        <v>568</v>
      </c>
      <c r="C193" s="280" t="s">
        <v>0</v>
      </c>
      <c r="D193" s="280" t="s">
        <v>3669</v>
      </c>
      <c r="F193" s="190"/>
      <c r="G193" s="280" t="s">
        <v>1844</v>
      </c>
      <c r="H193" s="280" t="s">
        <v>568</v>
      </c>
      <c r="I193" s="281" t="s">
        <v>0</v>
      </c>
      <c r="J193" s="280" t="s">
        <v>3669</v>
      </c>
      <c r="K193" s="280" t="s">
        <v>2815</v>
      </c>
      <c r="L193" s="300"/>
      <c r="M193" s="300"/>
      <c r="N193" s="383" t="s">
        <v>2839</v>
      </c>
      <c r="O193" s="383" t="s">
        <v>2789</v>
      </c>
      <c r="P193" s="383" t="s">
        <v>1877</v>
      </c>
      <c r="Q193" s="190"/>
      <c r="R193" s="190"/>
      <c r="AF193" s="264"/>
      <c r="AG193" s="264"/>
    </row>
    <row r="194" spans="1:33" ht="14.25" customHeight="1">
      <c r="A194" s="260">
        <v>228553</v>
      </c>
      <c r="B194" s="260" t="s">
        <v>7405</v>
      </c>
      <c r="C194" s="274" t="s">
        <v>4380</v>
      </c>
      <c r="D194" s="438">
        <v>960</v>
      </c>
      <c r="F194" s="260">
        <v>1</v>
      </c>
      <c r="G194" s="404">
        <v>307325</v>
      </c>
      <c r="H194" s="404" t="s">
        <v>7596</v>
      </c>
      <c r="I194" s="443" t="s">
        <v>7371</v>
      </c>
      <c r="J194" s="444">
        <v>60.06</v>
      </c>
      <c r="K194" s="404">
        <v>84181</v>
      </c>
      <c r="N194" s="274" t="s">
        <v>4379</v>
      </c>
      <c r="AF194" s="264"/>
      <c r="AG194" s="264"/>
    </row>
    <row r="195" spans="1:33" ht="14.25" customHeight="1">
      <c r="A195" s="260">
        <v>111981</v>
      </c>
      <c r="B195" s="260" t="s">
        <v>7414</v>
      </c>
      <c r="C195" s="274" t="s">
        <v>2989</v>
      </c>
      <c r="D195" s="438">
        <v>493</v>
      </c>
      <c r="F195" s="260">
        <v>2</v>
      </c>
      <c r="G195" s="404">
        <v>10262</v>
      </c>
      <c r="H195" s="404" t="s">
        <v>7625</v>
      </c>
      <c r="I195" s="443" t="s">
        <v>4379</v>
      </c>
      <c r="J195" s="444">
        <v>78</v>
      </c>
      <c r="K195" s="404">
        <v>84197</v>
      </c>
      <c r="N195" s="274" t="s">
        <v>7283</v>
      </c>
      <c r="AF195" s="264"/>
      <c r="AG195" s="264"/>
    </row>
    <row r="196" spans="1:33" ht="14.25" customHeight="1">
      <c r="A196" s="260">
        <v>844</v>
      </c>
      <c r="B196" s="260" t="s">
        <v>7564</v>
      </c>
      <c r="C196" s="274" t="s">
        <v>3530</v>
      </c>
      <c r="D196" s="438">
        <v>62.400000000000006</v>
      </c>
      <c r="F196" s="260">
        <v>3</v>
      </c>
      <c r="G196" s="445">
        <v>490548</v>
      </c>
      <c r="H196" s="445" t="s">
        <v>7797</v>
      </c>
      <c r="I196" s="446" t="s">
        <v>5740</v>
      </c>
      <c r="J196" s="447" t="s">
        <v>7901</v>
      </c>
      <c r="K196" s="404"/>
      <c r="N196" s="274" t="s">
        <v>3670</v>
      </c>
      <c r="AF196" s="264"/>
      <c r="AG196" s="264"/>
    </row>
    <row r="197" spans="1:33" ht="14.25" customHeight="1">
      <c r="A197" s="260">
        <v>844</v>
      </c>
      <c r="B197" s="260" t="s">
        <v>7564</v>
      </c>
      <c r="C197" s="274" t="s">
        <v>3530</v>
      </c>
      <c r="D197" s="438">
        <v>91.199999999999989</v>
      </c>
      <c r="F197" s="260">
        <v>4</v>
      </c>
      <c r="G197" s="404">
        <v>113920</v>
      </c>
      <c r="H197" s="404" t="s">
        <v>7764</v>
      </c>
      <c r="I197" s="443" t="s">
        <v>2989</v>
      </c>
      <c r="J197" s="444">
        <v>175</v>
      </c>
      <c r="K197" s="404">
        <v>84199</v>
      </c>
      <c r="N197" s="274" t="s">
        <v>2989</v>
      </c>
      <c r="AF197" s="264"/>
      <c r="AG197" s="264"/>
    </row>
    <row r="198" spans="1:33" ht="14.25" customHeight="1">
      <c r="A198" s="260">
        <v>844</v>
      </c>
      <c r="B198" s="260" t="s">
        <v>7564</v>
      </c>
      <c r="C198" s="274" t="s">
        <v>3530</v>
      </c>
      <c r="D198" s="438">
        <v>672</v>
      </c>
      <c r="F198" s="260">
        <v>5</v>
      </c>
      <c r="G198" s="404">
        <v>443328</v>
      </c>
      <c r="H198" s="404" t="s">
        <v>7573</v>
      </c>
      <c r="I198" s="443" t="s">
        <v>7372</v>
      </c>
      <c r="J198" s="444">
        <v>200</v>
      </c>
      <c r="K198" s="404">
        <v>84205</v>
      </c>
      <c r="N198" s="440" t="s">
        <v>7860</v>
      </c>
      <c r="AF198" s="264"/>
      <c r="AG198" s="264"/>
    </row>
    <row r="199" spans="1:33" ht="14.25" customHeight="1">
      <c r="A199" s="260">
        <v>1517</v>
      </c>
      <c r="B199" s="260" t="s">
        <v>7571</v>
      </c>
      <c r="C199" s="274" t="s">
        <v>4149</v>
      </c>
      <c r="D199" s="438">
        <v>800</v>
      </c>
      <c r="F199" s="260">
        <v>6</v>
      </c>
      <c r="G199" s="404">
        <v>10198</v>
      </c>
      <c r="H199" s="404" t="s">
        <v>7573</v>
      </c>
      <c r="I199" s="443" t="s">
        <v>7337</v>
      </c>
      <c r="J199" s="444">
        <v>340</v>
      </c>
      <c r="K199" s="404">
        <v>84073</v>
      </c>
      <c r="N199" s="274" t="s">
        <v>3530</v>
      </c>
      <c r="AF199" s="264"/>
      <c r="AG199" s="264"/>
    </row>
    <row r="200" spans="1:33" ht="14.25" customHeight="1">
      <c r="A200" s="260">
        <v>8676</v>
      </c>
      <c r="B200" s="260" t="s">
        <v>7571</v>
      </c>
      <c r="C200" s="274" t="s">
        <v>4432</v>
      </c>
      <c r="D200" s="438">
        <v>780</v>
      </c>
      <c r="F200" s="260">
        <v>7</v>
      </c>
      <c r="G200" s="404">
        <v>68627</v>
      </c>
      <c r="H200" s="404" t="s">
        <v>7573</v>
      </c>
      <c r="I200" s="443" t="s">
        <v>3882</v>
      </c>
      <c r="J200" s="444">
        <v>408.48</v>
      </c>
      <c r="K200" s="404">
        <v>84080</v>
      </c>
      <c r="N200" s="274" t="s">
        <v>7202</v>
      </c>
      <c r="AF200" s="264"/>
      <c r="AG200" s="264"/>
    </row>
    <row r="201" spans="1:33" ht="14.25" customHeight="1">
      <c r="A201" s="260">
        <v>1456</v>
      </c>
      <c r="B201" s="260" t="s">
        <v>7571</v>
      </c>
      <c r="C201" s="274" t="s">
        <v>7283</v>
      </c>
      <c r="D201" s="438">
        <v>6450</v>
      </c>
      <c r="F201" s="260">
        <v>8</v>
      </c>
      <c r="G201" s="404">
        <v>315768</v>
      </c>
      <c r="H201" s="404" t="s">
        <v>7719</v>
      </c>
      <c r="I201" s="443" t="s">
        <v>7371</v>
      </c>
      <c r="J201" s="444">
        <v>440.6</v>
      </c>
      <c r="K201" s="404">
        <v>84082</v>
      </c>
      <c r="N201" s="274" t="s">
        <v>7371</v>
      </c>
      <c r="AF201" s="264"/>
      <c r="AG201" s="264"/>
    </row>
    <row r="202" spans="1:33" ht="14.25" customHeight="1">
      <c r="A202" s="260">
        <v>856</v>
      </c>
      <c r="B202" s="260" t="s">
        <v>7572</v>
      </c>
      <c r="C202" s="274" t="s">
        <v>3530</v>
      </c>
      <c r="D202" s="438">
        <v>240</v>
      </c>
      <c r="F202" s="260">
        <v>9</v>
      </c>
      <c r="G202" s="404">
        <v>892</v>
      </c>
      <c r="H202" s="404" t="s">
        <v>7731</v>
      </c>
      <c r="I202" s="443" t="s">
        <v>3530</v>
      </c>
      <c r="J202" s="444">
        <v>447</v>
      </c>
      <c r="K202" s="404">
        <v>84087</v>
      </c>
      <c r="N202" s="274" t="s">
        <v>3882</v>
      </c>
      <c r="AF202" s="264"/>
      <c r="AG202" s="264"/>
    </row>
    <row r="203" spans="1:33" ht="14.25" customHeight="1">
      <c r="A203" s="260">
        <v>856</v>
      </c>
      <c r="B203" s="260" t="s">
        <v>7572</v>
      </c>
      <c r="C203" s="274" t="s">
        <v>3530</v>
      </c>
      <c r="D203" s="438">
        <v>1939.9999999999998</v>
      </c>
      <c r="F203" s="260">
        <v>10</v>
      </c>
      <c r="G203" s="404">
        <v>657</v>
      </c>
      <c r="H203" s="404" t="s">
        <v>7735</v>
      </c>
      <c r="I203" s="443" t="s">
        <v>3671</v>
      </c>
      <c r="J203" s="444">
        <v>490</v>
      </c>
      <c r="K203" s="404">
        <v>84117</v>
      </c>
      <c r="N203" s="274" t="s">
        <v>7372</v>
      </c>
      <c r="AF203" s="264"/>
      <c r="AG203" s="264"/>
    </row>
    <row r="204" spans="1:33" ht="14.25" customHeight="1">
      <c r="A204" s="260">
        <v>75755</v>
      </c>
      <c r="B204" s="260" t="s">
        <v>7572</v>
      </c>
      <c r="C204" s="274" t="s">
        <v>4109</v>
      </c>
      <c r="D204" s="438">
        <v>945</v>
      </c>
      <c r="F204" s="260">
        <v>11</v>
      </c>
      <c r="G204" s="404">
        <v>111981</v>
      </c>
      <c r="H204" s="404" t="s">
        <v>7414</v>
      </c>
      <c r="I204" s="443" t="s">
        <v>2989</v>
      </c>
      <c r="J204" s="444">
        <v>493</v>
      </c>
      <c r="K204" s="404">
        <v>84139</v>
      </c>
      <c r="N204" s="274" t="s">
        <v>7337</v>
      </c>
      <c r="AF204" s="264"/>
      <c r="AG204" s="264"/>
    </row>
    <row r="205" spans="1:33" ht="14.25" customHeight="1">
      <c r="A205" s="260">
        <v>307827</v>
      </c>
      <c r="B205" s="260" t="s">
        <v>7573</v>
      </c>
      <c r="C205" s="274" t="s">
        <v>7371</v>
      </c>
      <c r="D205" s="438">
        <v>2786.9999999999995</v>
      </c>
      <c r="F205" s="260">
        <v>12</v>
      </c>
      <c r="G205" s="404">
        <v>1263269</v>
      </c>
      <c r="H205" s="404" t="s">
        <v>7573</v>
      </c>
      <c r="I205" s="443" t="s">
        <v>4398</v>
      </c>
      <c r="J205" s="444">
        <v>620.05999999999995</v>
      </c>
      <c r="K205" s="404">
        <v>84071</v>
      </c>
      <c r="N205" s="274" t="s">
        <v>4149</v>
      </c>
      <c r="AF205" s="264"/>
      <c r="AG205" s="264"/>
    </row>
    <row r="206" spans="1:33" ht="14.25" customHeight="1">
      <c r="A206" s="260">
        <v>1263269</v>
      </c>
      <c r="B206" s="260" t="s">
        <v>7573</v>
      </c>
      <c r="C206" s="274" t="s">
        <v>4398</v>
      </c>
      <c r="D206" s="438">
        <v>620.06399999999996</v>
      </c>
      <c r="F206" s="260">
        <v>13</v>
      </c>
      <c r="G206" s="404">
        <v>3723</v>
      </c>
      <c r="H206" s="404" t="s">
        <v>7597</v>
      </c>
      <c r="I206" s="443" t="s">
        <v>3670</v>
      </c>
      <c r="J206" s="444">
        <v>660</v>
      </c>
      <c r="K206" s="404">
        <v>3279</v>
      </c>
      <c r="N206" s="274" t="s">
        <v>4380</v>
      </c>
      <c r="AF206" s="264"/>
      <c r="AG206" s="264"/>
    </row>
    <row r="207" spans="1:33" ht="14.25" customHeight="1">
      <c r="A207" s="260">
        <v>68627</v>
      </c>
      <c r="B207" s="260" t="s">
        <v>7573</v>
      </c>
      <c r="C207" s="274" t="s">
        <v>3882</v>
      </c>
      <c r="D207" s="438">
        <v>408.47999999999996</v>
      </c>
      <c r="F207" s="260">
        <v>14</v>
      </c>
      <c r="G207" s="404">
        <v>100</v>
      </c>
      <c r="H207" s="404" t="s">
        <v>7706</v>
      </c>
      <c r="I207" s="443" t="s">
        <v>7202</v>
      </c>
      <c r="J207" s="444">
        <v>747.5</v>
      </c>
      <c r="K207" s="404">
        <v>84070</v>
      </c>
      <c r="N207" s="440" t="s">
        <v>5740</v>
      </c>
      <c r="AF207" s="264"/>
      <c r="AG207" s="264"/>
    </row>
    <row r="208" spans="1:33" ht="14.25" customHeight="1">
      <c r="A208" s="260">
        <v>10198</v>
      </c>
      <c r="B208" s="260" t="s">
        <v>7573</v>
      </c>
      <c r="C208" s="274" t="s">
        <v>7337</v>
      </c>
      <c r="D208" s="438">
        <v>340</v>
      </c>
      <c r="F208" s="260">
        <v>15</v>
      </c>
      <c r="G208" s="404">
        <v>8676</v>
      </c>
      <c r="H208" s="404" t="s">
        <v>7571</v>
      </c>
      <c r="I208" s="443" t="s">
        <v>4432</v>
      </c>
      <c r="J208" s="444">
        <v>780</v>
      </c>
      <c r="K208" s="404">
        <v>84210</v>
      </c>
      <c r="N208" s="274" t="s">
        <v>4398</v>
      </c>
      <c r="AF208" s="264"/>
      <c r="AG208" s="264"/>
    </row>
    <row r="209" spans="1:33" ht="14.25" customHeight="1">
      <c r="A209" s="260">
        <v>443328</v>
      </c>
      <c r="B209" s="260" t="s">
        <v>7573</v>
      </c>
      <c r="C209" s="274" t="s">
        <v>7372</v>
      </c>
      <c r="D209" s="438">
        <v>200</v>
      </c>
      <c r="F209" s="260">
        <v>16</v>
      </c>
      <c r="G209" s="445">
        <v>3692</v>
      </c>
      <c r="H209" s="445" t="s">
        <v>7797</v>
      </c>
      <c r="I209" s="446" t="s">
        <v>7860</v>
      </c>
      <c r="J209" s="447" t="s">
        <v>7902</v>
      </c>
      <c r="K209" s="404"/>
      <c r="N209" s="274" t="s">
        <v>4432</v>
      </c>
      <c r="AF209" s="264"/>
      <c r="AG209" s="264"/>
    </row>
    <row r="210" spans="1:33" ht="14.25" customHeight="1">
      <c r="A210" s="260">
        <v>1262506</v>
      </c>
      <c r="B210" s="260" t="s">
        <v>7594</v>
      </c>
      <c r="C210" s="274" t="s">
        <v>4398</v>
      </c>
      <c r="D210" s="438">
        <v>2567.9999999999995</v>
      </c>
      <c r="F210" s="260">
        <v>17</v>
      </c>
      <c r="G210" s="404">
        <v>1517</v>
      </c>
      <c r="H210" s="404" t="s">
        <v>7571</v>
      </c>
      <c r="I210" s="443" t="s">
        <v>4149</v>
      </c>
      <c r="J210" s="444">
        <v>800</v>
      </c>
      <c r="K210" s="404">
        <v>84149</v>
      </c>
      <c r="N210" s="274" t="s">
        <v>3671</v>
      </c>
      <c r="AF210" s="264"/>
      <c r="AG210" s="264"/>
    </row>
    <row r="211" spans="1:33" ht="14.25" customHeight="1">
      <c r="A211" s="260">
        <v>307287</v>
      </c>
      <c r="B211" s="260" t="s">
        <v>7595</v>
      </c>
      <c r="C211" s="274" t="s">
        <v>7371</v>
      </c>
      <c r="D211" s="438">
        <v>5833.5</v>
      </c>
      <c r="F211" s="260">
        <v>18</v>
      </c>
      <c r="G211" s="404">
        <v>844</v>
      </c>
      <c r="H211" s="404" t="s">
        <v>7564</v>
      </c>
      <c r="I211" s="443" t="s">
        <v>3530</v>
      </c>
      <c r="J211" s="444">
        <v>825.6</v>
      </c>
      <c r="K211" s="404">
        <v>84258</v>
      </c>
      <c r="N211" s="274" t="s">
        <v>4109</v>
      </c>
      <c r="AF211" s="264"/>
      <c r="AG211" s="264"/>
    </row>
    <row r="212" spans="1:33" ht="14.25" customHeight="1">
      <c r="A212" s="260">
        <v>307325</v>
      </c>
      <c r="B212" s="260" t="s">
        <v>7596</v>
      </c>
      <c r="C212" s="274" t="s">
        <v>7371</v>
      </c>
      <c r="D212" s="438">
        <v>60.06</v>
      </c>
      <c r="F212" s="260">
        <v>19</v>
      </c>
      <c r="G212" s="404">
        <v>75755</v>
      </c>
      <c r="H212" s="404" t="s">
        <v>7572</v>
      </c>
      <c r="I212" s="443" t="s">
        <v>4109</v>
      </c>
      <c r="J212" s="444">
        <v>945</v>
      </c>
      <c r="K212" s="404">
        <v>84259</v>
      </c>
      <c r="N212" s="274" t="s">
        <v>7392</v>
      </c>
      <c r="AF212" s="264"/>
      <c r="AG212" s="264"/>
    </row>
    <row r="213" spans="1:33" ht="14.25" customHeight="1">
      <c r="A213" s="260">
        <v>1283</v>
      </c>
      <c r="B213" s="260" t="s">
        <v>7597</v>
      </c>
      <c r="C213" s="274" t="s">
        <v>7392</v>
      </c>
      <c r="D213" s="438">
        <v>1620</v>
      </c>
      <c r="F213" s="260">
        <v>20</v>
      </c>
      <c r="G213" s="404">
        <v>228553</v>
      </c>
      <c r="H213" s="404" t="s">
        <v>7405</v>
      </c>
      <c r="I213" s="443" t="s">
        <v>4380</v>
      </c>
      <c r="J213" s="444">
        <v>960</v>
      </c>
      <c r="K213" s="404">
        <v>84265</v>
      </c>
      <c r="N213" s="274" t="s">
        <v>7336</v>
      </c>
      <c r="AF213" s="264"/>
      <c r="AG213" s="264"/>
    </row>
    <row r="214" spans="1:33" ht="14.25" customHeight="1">
      <c r="A214" s="260">
        <v>3723</v>
      </c>
      <c r="B214" s="260" t="s">
        <v>7597</v>
      </c>
      <c r="C214" s="274" t="s">
        <v>3670</v>
      </c>
      <c r="D214" s="438">
        <v>660</v>
      </c>
      <c r="F214" s="260">
        <v>21</v>
      </c>
      <c r="G214" s="404">
        <v>10426</v>
      </c>
      <c r="H214" s="404" t="s">
        <v>7795</v>
      </c>
      <c r="I214" s="443" t="s">
        <v>7337</v>
      </c>
      <c r="J214" s="444">
        <v>1254</v>
      </c>
      <c r="K214" s="404">
        <v>84264</v>
      </c>
      <c r="N214"/>
      <c r="AF214" s="264"/>
      <c r="AG214" s="264"/>
    </row>
    <row r="215" spans="1:33" ht="14.25" customHeight="1">
      <c r="A215" s="260">
        <v>307913</v>
      </c>
      <c r="B215" s="260" t="s">
        <v>7625</v>
      </c>
      <c r="C215" s="274" t="s">
        <v>7371</v>
      </c>
      <c r="D215" s="438">
        <v>2665.5</v>
      </c>
      <c r="F215" s="260">
        <v>22</v>
      </c>
      <c r="G215" s="404">
        <v>1283</v>
      </c>
      <c r="H215" s="404" t="s">
        <v>7597</v>
      </c>
      <c r="I215" s="443" t="s">
        <v>7392</v>
      </c>
      <c r="J215" s="444">
        <v>1620</v>
      </c>
      <c r="K215" s="404">
        <v>84262</v>
      </c>
      <c r="N215"/>
      <c r="AF215" s="264"/>
      <c r="AG215" s="264"/>
    </row>
    <row r="216" spans="1:33" ht="14.25" customHeight="1">
      <c r="A216" s="260">
        <v>1264461</v>
      </c>
      <c r="B216" s="260" t="s">
        <v>7625</v>
      </c>
      <c r="C216" s="274" t="s">
        <v>4398</v>
      </c>
      <c r="D216" s="438">
        <v>4750</v>
      </c>
      <c r="F216" s="260">
        <v>23</v>
      </c>
      <c r="G216" s="404">
        <v>75877</v>
      </c>
      <c r="H216" s="404" t="s">
        <v>7708</v>
      </c>
      <c r="I216" s="443" t="s">
        <v>4109</v>
      </c>
      <c r="J216" s="444">
        <v>2150</v>
      </c>
      <c r="K216" s="404">
        <v>84261</v>
      </c>
      <c r="N216"/>
      <c r="AF216" s="264"/>
      <c r="AG216" s="264"/>
    </row>
    <row r="217" spans="1:33" ht="14.25" customHeight="1">
      <c r="A217" s="260">
        <v>10262</v>
      </c>
      <c r="B217" s="260" t="s">
        <v>7625</v>
      </c>
      <c r="C217" s="274" t="s">
        <v>4379</v>
      </c>
      <c r="D217" s="438">
        <v>78</v>
      </c>
      <c r="F217" s="260">
        <v>24</v>
      </c>
      <c r="G217" s="404">
        <v>856</v>
      </c>
      <c r="H217" s="404" t="s">
        <v>7572</v>
      </c>
      <c r="I217" s="443" t="s">
        <v>3530</v>
      </c>
      <c r="J217" s="444">
        <v>2180</v>
      </c>
      <c r="K217" s="404">
        <v>84256</v>
      </c>
      <c r="N217"/>
      <c r="AF217" s="264"/>
      <c r="AG217" s="264"/>
    </row>
    <row r="218" spans="1:33" ht="14.25" customHeight="1">
      <c r="A218" s="260">
        <v>100</v>
      </c>
      <c r="B218" s="260" t="s">
        <v>7706</v>
      </c>
      <c r="C218" s="274" t="s">
        <v>7202</v>
      </c>
      <c r="D218" s="438">
        <v>747.5</v>
      </c>
      <c r="F218" s="260">
        <v>25</v>
      </c>
      <c r="G218" s="404">
        <v>1262506</v>
      </c>
      <c r="H218" s="404" t="s">
        <v>7594</v>
      </c>
      <c r="I218" s="443" t="s">
        <v>4398</v>
      </c>
      <c r="J218" s="444">
        <v>2568</v>
      </c>
      <c r="K218" s="404">
        <v>84245</v>
      </c>
      <c r="N218"/>
      <c r="AF218" s="264"/>
      <c r="AG218" s="264"/>
    </row>
    <row r="219" spans="1:33" ht="14.25" customHeight="1">
      <c r="A219" s="260">
        <v>75877</v>
      </c>
      <c r="B219" s="260" t="s">
        <v>7708</v>
      </c>
      <c r="C219" s="274" t="s">
        <v>4109</v>
      </c>
      <c r="D219" s="438">
        <v>2150</v>
      </c>
      <c r="F219" s="260">
        <v>26</v>
      </c>
      <c r="G219" s="404">
        <v>307913</v>
      </c>
      <c r="H219" s="404" t="s">
        <v>7625</v>
      </c>
      <c r="I219" s="443" t="s">
        <v>7371</v>
      </c>
      <c r="J219" s="444">
        <v>2665.5</v>
      </c>
      <c r="K219" s="404">
        <v>84257</v>
      </c>
      <c r="N219"/>
      <c r="AF219" s="264"/>
      <c r="AG219" s="264"/>
    </row>
    <row r="220" spans="1:33" ht="14.25" customHeight="1">
      <c r="A220" s="260">
        <v>315768</v>
      </c>
      <c r="B220" s="260" t="s">
        <v>7719</v>
      </c>
      <c r="C220" s="274" t="s">
        <v>7371</v>
      </c>
      <c r="D220" s="438">
        <v>440.59999999999997</v>
      </c>
      <c r="F220" s="260">
        <v>27</v>
      </c>
      <c r="G220" s="404">
        <v>307827</v>
      </c>
      <c r="H220" s="404" t="s">
        <v>7573</v>
      </c>
      <c r="I220" s="443" t="s">
        <v>7371</v>
      </c>
      <c r="J220" s="444">
        <v>2787</v>
      </c>
      <c r="K220" s="404">
        <v>84255</v>
      </c>
      <c r="N220"/>
      <c r="AF220" s="264"/>
      <c r="AG220" s="264"/>
    </row>
    <row r="221" spans="1:33" ht="14.25" customHeight="1">
      <c r="A221" s="260">
        <v>892</v>
      </c>
      <c r="B221" s="260" t="s">
        <v>7731</v>
      </c>
      <c r="C221" s="274" t="s">
        <v>3530</v>
      </c>
      <c r="D221" s="438">
        <v>447</v>
      </c>
      <c r="F221" s="260">
        <v>28</v>
      </c>
      <c r="G221" s="404">
        <v>1264461</v>
      </c>
      <c r="H221" s="404" t="s">
        <v>7625</v>
      </c>
      <c r="I221" s="443" t="s">
        <v>4398</v>
      </c>
      <c r="J221" s="444">
        <v>4750</v>
      </c>
      <c r="K221" s="404">
        <v>84252</v>
      </c>
      <c r="N221"/>
      <c r="AF221" s="264"/>
      <c r="AG221" s="264"/>
    </row>
    <row r="222" spans="1:33" ht="14.25" customHeight="1">
      <c r="A222" s="260">
        <v>21340</v>
      </c>
      <c r="B222" s="260" t="s">
        <v>7733</v>
      </c>
      <c r="C222" s="274" t="s">
        <v>7336</v>
      </c>
      <c r="D222" s="438">
        <v>17600</v>
      </c>
      <c r="F222" s="260">
        <v>29</v>
      </c>
      <c r="G222" s="404">
        <v>113944</v>
      </c>
      <c r="H222" s="404" t="s">
        <v>7763</v>
      </c>
      <c r="I222" s="443" t="s">
        <v>2989</v>
      </c>
      <c r="J222" s="444">
        <v>5304</v>
      </c>
      <c r="K222" s="404">
        <v>84233</v>
      </c>
      <c r="N222"/>
      <c r="AF222" s="264"/>
      <c r="AG222" s="264"/>
    </row>
    <row r="223" spans="1:33" ht="14.25" customHeight="1">
      <c r="A223" s="260">
        <v>657</v>
      </c>
      <c r="B223" s="260" t="s">
        <v>7735</v>
      </c>
      <c r="C223" s="274" t="s">
        <v>3671</v>
      </c>
      <c r="D223" s="438">
        <v>490</v>
      </c>
      <c r="F223" s="260">
        <v>30</v>
      </c>
      <c r="G223" s="404">
        <v>307287</v>
      </c>
      <c r="H223" s="404" t="s">
        <v>7595</v>
      </c>
      <c r="I223" s="443" t="s">
        <v>7371</v>
      </c>
      <c r="J223" s="444">
        <v>5833.5</v>
      </c>
      <c r="K223" s="404">
        <v>84227</v>
      </c>
      <c r="N223"/>
      <c r="AF223" s="264"/>
      <c r="AG223" s="264"/>
    </row>
    <row r="224" spans="1:33" ht="14.25" customHeight="1">
      <c r="A224" s="260">
        <v>113944</v>
      </c>
      <c r="B224" s="260" t="s">
        <v>7763</v>
      </c>
      <c r="C224" s="274" t="s">
        <v>2989</v>
      </c>
      <c r="D224" s="438">
        <v>1260</v>
      </c>
      <c r="F224" s="260">
        <v>31</v>
      </c>
      <c r="G224" s="404">
        <v>1456</v>
      </c>
      <c r="H224" s="404" t="s">
        <v>7571</v>
      </c>
      <c r="I224" s="443" t="s">
        <v>7283</v>
      </c>
      <c r="J224" s="444">
        <v>6450</v>
      </c>
      <c r="K224" s="404">
        <v>84212</v>
      </c>
      <c r="N224"/>
      <c r="AF224" s="264"/>
      <c r="AG224" s="264"/>
    </row>
    <row r="225" spans="1:33" ht="14.25" customHeight="1">
      <c r="A225" s="260">
        <v>113944</v>
      </c>
      <c r="B225" s="260" t="s">
        <v>7763</v>
      </c>
      <c r="C225" s="274" t="s">
        <v>2989</v>
      </c>
      <c r="D225" s="438">
        <v>2640</v>
      </c>
      <c r="F225" s="260">
        <v>32</v>
      </c>
      <c r="G225" s="404">
        <v>21340</v>
      </c>
      <c r="H225" s="404" t="s">
        <v>7733</v>
      </c>
      <c r="I225" s="443" t="s">
        <v>7336</v>
      </c>
      <c r="J225" s="444">
        <v>17600</v>
      </c>
      <c r="K225" s="404">
        <v>84214</v>
      </c>
      <c r="N225"/>
      <c r="AF225" s="264"/>
      <c r="AG225" s="264"/>
    </row>
    <row r="226" spans="1:33" ht="14.25" customHeight="1">
      <c r="A226" s="260">
        <v>113944</v>
      </c>
      <c r="B226" s="260" t="s">
        <v>7763</v>
      </c>
      <c r="C226" s="274" t="s">
        <v>2989</v>
      </c>
      <c r="D226" s="438">
        <v>1404</v>
      </c>
      <c r="G226" s="45"/>
      <c r="H226" s="45"/>
      <c r="I226" s="448" t="s">
        <v>1876</v>
      </c>
      <c r="J226" s="449">
        <f>SUM(J194:J225)</f>
        <v>64632.3</v>
      </c>
      <c r="K226" s="404">
        <f>SUM(K194:K225)</f>
        <v>2444859</v>
      </c>
      <c r="AF226" s="264"/>
      <c r="AG226" s="264"/>
    </row>
    <row r="227" spans="1:33" ht="14.25" customHeight="1">
      <c r="A227" s="260">
        <v>113920</v>
      </c>
      <c r="B227" s="260" t="s">
        <v>7764</v>
      </c>
      <c r="C227" s="274" t="s">
        <v>2989</v>
      </c>
      <c r="D227" s="438">
        <v>175</v>
      </c>
      <c r="G227"/>
      <c r="H227"/>
      <c r="I227"/>
      <c r="J227"/>
      <c r="AF227" s="264"/>
      <c r="AG227" s="264"/>
    </row>
    <row r="228" spans="1:33" ht="14.25" customHeight="1">
      <c r="A228" s="260">
        <v>10426</v>
      </c>
      <c r="B228" s="260" t="s">
        <v>7795</v>
      </c>
      <c r="C228" s="274" t="s">
        <v>7337</v>
      </c>
      <c r="D228" s="438">
        <v>1254</v>
      </c>
      <c r="G228"/>
      <c r="H228"/>
      <c r="I228"/>
      <c r="J228"/>
      <c r="AF228" s="264"/>
      <c r="AG228" s="264"/>
    </row>
    <row r="229" spans="1:33" ht="14.25" customHeight="1">
      <c r="A229" s="260">
        <v>3692</v>
      </c>
      <c r="B229" s="260" t="s">
        <v>7797</v>
      </c>
      <c r="C229" s="274" t="s">
        <v>7860</v>
      </c>
      <c r="D229" s="438">
        <v>99.800000000000011</v>
      </c>
      <c r="G229"/>
      <c r="H229"/>
      <c r="I229"/>
      <c r="J229"/>
      <c r="AF229" s="264"/>
      <c r="AG229" s="264"/>
    </row>
    <row r="230" spans="1:33" ht="14.25" customHeight="1">
      <c r="A230" s="260">
        <v>3692</v>
      </c>
      <c r="B230" s="260" t="s">
        <v>7797</v>
      </c>
      <c r="C230" s="274" t="s">
        <v>7860</v>
      </c>
      <c r="D230" s="438">
        <v>700</v>
      </c>
      <c r="G230"/>
      <c r="H230"/>
      <c r="I230"/>
      <c r="J230"/>
      <c r="AF230" s="264"/>
      <c r="AG230" s="264"/>
    </row>
    <row r="231" spans="1:33" ht="14.25" customHeight="1">
      <c r="A231" s="260">
        <v>490548</v>
      </c>
      <c r="B231" s="260" t="s">
        <v>7797</v>
      </c>
      <c r="C231" s="274" t="s">
        <v>5740</v>
      </c>
      <c r="D231" s="438">
        <v>46</v>
      </c>
      <c r="G231"/>
      <c r="H231"/>
      <c r="I231"/>
      <c r="J231"/>
      <c r="AF231" s="264"/>
      <c r="AG231" s="264"/>
    </row>
    <row r="232" spans="1:33" ht="14.25" customHeight="1">
      <c r="A232" s="260">
        <v>490548</v>
      </c>
      <c r="B232" s="260" t="s">
        <v>7797</v>
      </c>
      <c r="C232" s="274" t="s">
        <v>5740</v>
      </c>
      <c r="D232" s="438">
        <v>102.18</v>
      </c>
      <c r="G232"/>
      <c r="H232"/>
      <c r="I232"/>
      <c r="J232"/>
      <c r="AF232" s="264"/>
      <c r="AG232" s="264"/>
    </row>
    <row r="233" spans="1:33" ht="14.25" customHeight="1">
      <c r="A233" s="260">
        <v>490548</v>
      </c>
      <c r="B233" s="260" t="s">
        <v>7797</v>
      </c>
      <c r="C233" s="274" t="s">
        <v>5740</v>
      </c>
      <c r="D233" s="438">
        <v>23.84</v>
      </c>
      <c r="G233"/>
      <c r="H233"/>
      <c r="I233"/>
      <c r="J233"/>
      <c r="AF233" s="264"/>
      <c r="AG233" s="264"/>
    </row>
    <row r="234" spans="1:33" ht="14.25" customHeight="1">
      <c r="AF234" s="264"/>
      <c r="AG234" s="264"/>
    </row>
    <row r="235" spans="1:33" ht="14.25" customHeight="1">
      <c r="D235" s="439">
        <f>SUM(D194:D234)</f>
        <v>65604.123999999996</v>
      </c>
      <c r="J235" s="439"/>
      <c r="AF235" s="264"/>
      <c r="AG235" s="264"/>
    </row>
    <row r="236" spans="1:33" ht="14.25" customHeight="1">
      <c r="AF236" s="264"/>
      <c r="AG236" s="264"/>
    </row>
    <row r="237" spans="1:33" ht="30" customHeight="1" thickBot="1">
      <c r="C237" s="437">
        <v>43927</v>
      </c>
      <c r="G237" s="404"/>
      <c r="H237" s="404"/>
      <c r="I237" s="441" t="s">
        <v>7999</v>
      </c>
      <c r="J237" s="442" t="s">
        <v>6931</v>
      </c>
      <c r="K237" s="404"/>
      <c r="N237" s="385" t="s">
        <v>7998</v>
      </c>
      <c r="O237" s="386"/>
      <c r="P237" s="422" t="s">
        <v>7633</v>
      </c>
      <c r="AF237" s="264"/>
      <c r="AG237" s="264"/>
    </row>
    <row r="238" spans="1:33" ht="14.25" customHeight="1" thickTop="1">
      <c r="A238" s="280" t="s">
        <v>1844</v>
      </c>
      <c r="B238" s="280" t="s">
        <v>568</v>
      </c>
      <c r="C238" s="280" t="s">
        <v>0</v>
      </c>
      <c r="D238" s="280" t="s">
        <v>3669</v>
      </c>
      <c r="F238" s="190"/>
      <c r="G238" s="280" t="s">
        <v>1844</v>
      </c>
      <c r="H238" s="280" t="s">
        <v>568</v>
      </c>
      <c r="I238" s="281" t="s">
        <v>0</v>
      </c>
      <c r="J238" s="280" t="s">
        <v>3669</v>
      </c>
      <c r="K238" s="280" t="s">
        <v>2815</v>
      </c>
      <c r="N238" s="383" t="s">
        <v>2839</v>
      </c>
      <c r="O238" s="383" t="s">
        <v>2789</v>
      </c>
      <c r="P238" s="383" t="s">
        <v>1877</v>
      </c>
      <c r="Q238" s="190"/>
      <c r="AF238" s="264"/>
      <c r="AG238" s="264"/>
    </row>
    <row r="239" spans="1:33" ht="14.25" customHeight="1">
      <c r="A239" s="182">
        <v>768</v>
      </c>
      <c r="B239" s="260" t="s">
        <v>7293</v>
      </c>
      <c r="C239" s="274" t="s">
        <v>7582</v>
      </c>
      <c r="D239" s="438">
        <v>1810</v>
      </c>
      <c r="G239" s="260">
        <v>3737</v>
      </c>
      <c r="H239" s="260" t="s">
        <v>7717</v>
      </c>
      <c r="I239" s="260" t="s">
        <v>3670</v>
      </c>
      <c r="J239" s="438">
        <v>150</v>
      </c>
      <c r="K239" s="260" t="s">
        <v>8134</v>
      </c>
      <c r="L239" s="274" t="s">
        <v>8135</v>
      </c>
      <c r="N239" s="274" t="s">
        <v>7457</v>
      </c>
      <c r="AF239" s="264"/>
      <c r="AG239" s="264"/>
    </row>
    <row r="240" spans="1:33" ht="14.25" customHeight="1">
      <c r="A240" s="182">
        <v>3737</v>
      </c>
      <c r="B240" s="260" t="s">
        <v>7717</v>
      </c>
      <c r="C240" s="274" t="s">
        <v>3670</v>
      </c>
      <c r="D240" s="438">
        <v>150</v>
      </c>
      <c r="G240" s="65">
        <v>490548</v>
      </c>
      <c r="H240" s="65" t="s">
        <v>7797</v>
      </c>
      <c r="I240" s="65" t="s">
        <v>1694</v>
      </c>
      <c r="J240" s="65">
        <v>172.02</v>
      </c>
      <c r="K240" s="260" t="s">
        <v>8136</v>
      </c>
      <c r="L240" s="274" t="s">
        <v>8135</v>
      </c>
      <c r="N240" s="450" t="s">
        <v>4379</v>
      </c>
      <c r="AF240" s="264"/>
      <c r="AG240" s="264"/>
    </row>
    <row r="241" spans="1:33" ht="14.25" customHeight="1">
      <c r="A241" s="182">
        <v>1272770</v>
      </c>
      <c r="B241" s="260" t="s">
        <v>7719</v>
      </c>
      <c r="C241" s="274" t="s">
        <v>4398</v>
      </c>
      <c r="D241" s="438">
        <v>1104</v>
      </c>
      <c r="G241" s="260">
        <v>2577384</v>
      </c>
      <c r="H241" s="260" t="s">
        <v>7891</v>
      </c>
      <c r="I241" s="260" t="s">
        <v>4401</v>
      </c>
      <c r="J241" s="438">
        <v>245.4</v>
      </c>
      <c r="K241" s="260" t="s">
        <v>8137</v>
      </c>
      <c r="L241" s="274" t="s">
        <v>8135</v>
      </c>
      <c r="N241" s="274" t="s">
        <v>3670</v>
      </c>
      <c r="AF241" s="264"/>
      <c r="AG241" s="264"/>
    </row>
    <row r="242" spans="1:33" ht="14.25" customHeight="1">
      <c r="A242" s="182">
        <v>1272770</v>
      </c>
      <c r="B242" s="260" t="s">
        <v>7719</v>
      </c>
      <c r="C242" s="274" t="s">
        <v>4398</v>
      </c>
      <c r="D242" s="438">
        <v>680.85</v>
      </c>
      <c r="G242" s="260">
        <v>10517</v>
      </c>
      <c r="H242" s="260" t="s">
        <v>7890</v>
      </c>
      <c r="I242" s="260" t="s">
        <v>7337</v>
      </c>
      <c r="J242" s="438">
        <v>372</v>
      </c>
      <c r="K242" s="260" t="s">
        <v>8138</v>
      </c>
      <c r="L242" s="274" t="s">
        <v>8135</v>
      </c>
      <c r="N242" s="274" t="s">
        <v>2989</v>
      </c>
      <c r="AF242" s="264"/>
      <c r="AG242" s="264"/>
    </row>
    <row r="243" spans="1:33" ht="14.25" customHeight="1">
      <c r="A243" s="182">
        <v>1687</v>
      </c>
      <c r="B243" s="260" t="s">
        <v>7730</v>
      </c>
      <c r="C243" s="274" t="s">
        <v>4149</v>
      </c>
      <c r="D243" s="438">
        <v>16765</v>
      </c>
      <c r="G243" s="260">
        <v>317725</v>
      </c>
      <c r="H243" s="260" t="s">
        <v>7868</v>
      </c>
      <c r="I243" s="260" t="s">
        <v>7371</v>
      </c>
      <c r="J243" s="438">
        <v>505.2</v>
      </c>
      <c r="K243" s="260" t="s">
        <v>8139</v>
      </c>
      <c r="L243" s="274" t="s">
        <v>8135</v>
      </c>
      <c r="N243" s="274" t="s">
        <v>3663</v>
      </c>
      <c r="AF243" s="264"/>
      <c r="AG243" s="264"/>
    </row>
    <row r="244" spans="1:33" ht="14.25" customHeight="1">
      <c r="A244" s="182">
        <v>7694</v>
      </c>
      <c r="B244" s="260" t="s">
        <v>7763</v>
      </c>
      <c r="C244" s="274" t="s">
        <v>7824</v>
      </c>
      <c r="D244" s="438">
        <v>990</v>
      </c>
      <c r="G244" s="260" t="s">
        <v>7982</v>
      </c>
      <c r="H244" s="260" t="s">
        <v>7855</v>
      </c>
      <c r="I244" s="260" t="s">
        <v>4149</v>
      </c>
      <c r="J244" s="453">
        <v>510.42</v>
      </c>
      <c r="N244" s="274" t="s">
        <v>4401</v>
      </c>
      <c r="AF244" s="264"/>
      <c r="AG244" s="264"/>
    </row>
    <row r="245" spans="1:33" ht="14.25" customHeight="1">
      <c r="A245" s="182">
        <v>2566</v>
      </c>
      <c r="B245" s="260" t="s">
        <v>7764</v>
      </c>
      <c r="C245" s="274" t="s">
        <v>7826</v>
      </c>
      <c r="D245" s="438">
        <v>9100</v>
      </c>
      <c r="G245" s="260">
        <v>78608</v>
      </c>
      <c r="H245" s="260" t="s">
        <v>7868</v>
      </c>
      <c r="I245" s="260" t="s">
        <v>4109</v>
      </c>
      <c r="J245" s="438">
        <v>608</v>
      </c>
      <c r="K245" s="260" t="s">
        <v>8140</v>
      </c>
      <c r="L245" s="274" t="s">
        <v>8135</v>
      </c>
      <c r="N245" s="274" t="s">
        <v>4433</v>
      </c>
      <c r="AF245" s="264"/>
      <c r="AG245" s="264"/>
    </row>
    <row r="246" spans="1:33" ht="14.25" customHeight="1">
      <c r="A246" s="182">
        <v>2566</v>
      </c>
      <c r="B246" s="260" t="s">
        <v>7764</v>
      </c>
      <c r="C246" s="274" t="s">
        <v>7826</v>
      </c>
      <c r="D246" s="438">
        <v>558.29999999999995</v>
      </c>
      <c r="G246" s="260">
        <v>59838</v>
      </c>
      <c r="H246" s="260" t="s">
        <v>7883</v>
      </c>
      <c r="I246" s="260" t="s">
        <v>5740</v>
      </c>
      <c r="J246" s="438">
        <v>683</v>
      </c>
      <c r="K246" s="260" t="s">
        <v>8141</v>
      </c>
      <c r="L246" s="274" t="s">
        <v>8135</v>
      </c>
      <c r="N246" s="440" t="s">
        <v>7860</v>
      </c>
      <c r="O246" s="266" t="s">
        <v>8034</v>
      </c>
      <c r="AF246" s="264"/>
      <c r="AG246" s="264"/>
    </row>
    <row r="247" spans="1:33" ht="14.25" customHeight="1">
      <c r="A247" s="182">
        <v>2566</v>
      </c>
      <c r="B247" s="260" t="s">
        <v>7764</v>
      </c>
      <c r="C247" s="274" t="s">
        <v>7826</v>
      </c>
      <c r="D247" s="438">
        <v>134.5</v>
      </c>
      <c r="G247" s="260">
        <v>577</v>
      </c>
      <c r="H247" s="260" t="s">
        <v>7889</v>
      </c>
      <c r="I247" s="260" t="s">
        <v>7914</v>
      </c>
      <c r="J247" s="438">
        <v>786</v>
      </c>
      <c r="K247" s="260" t="s">
        <v>8142</v>
      </c>
      <c r="L247" s="274" t="s">
        <v>8135</v>
      </c>
      <c r="N247" s="274" t="s">
        <v>3530</v>
      </c>
      <c r="AF247" s="264"/>
      <c r="AG247" s="264"/>
    </row>
    <row r="248" spans="1:33" ht="14.25" customHeight="1">
      <c r="A248" s="182">
        <v>2566</v>
      </c>
      <c r="B248" s="260" t="s">
        <v>7764</v>
      </c>
      <c r="C248" s="274" t="s">
        <v>7826</v>
      </c>
      <c r="D248" s="438">
        <v>269</v>
      </c>
      <c r="G248" s="260">
        <v>3692</v>
      </c>
      <c r="H248" s="260" t="s">
        <v>7797</v>
      </c>
      <c r="I248" s="260" t="s">
        <v>6398</v>
      </c>
      <c r="J248" s="452">
        <v>799.8</v>
      </c>
      <c r="K248" s="260" t="s">
        <v>8143</v>
      </c>
      <c r="L248" s="274" t="s">
        <v>8135</v>
      </c>
      <c r="N248" s="274" t="s">
        <v>7914</v>
      </c>
      <c r="AF248" s="264"/>
      <c r="AG248" s="264"/>
    </row>
    <row r="249" spans="1:33" ht="14.25" customHeight="1">
      <c r="A249" s="182">
        <v>229814</v>
      </c>
      <c r="B249" s="260" t="s">
        <v>7780</v>
      </c>
      <c r="C249" s="274" t="s">
        <v>4380</v>
      </c>
      <c r="D249" s="438">
        <v>17520</v>
      </c>
      <c r="G249" s="260">
        <v>902</v>
      </c>
      <c r="H249" s="260" t="s">
        <v>7870</v>
      </c>
      <c r="I249" s="260" t="s">
        <v>3530</v>
      </c>
      <c r="J249" s="438">
        <v>845</v>
      </c>
      <c r="K249" s="260" t="s">
        <v>8144</v>
      </c>
      <c r="L249" s="274" t="s">
        <v>8145</v>
      </c>
      <c r="N249" s="274" t="s">
        <v>7915</v>
      </c>
      <c r="AF249" s="264"/>
      <c r="AG249" s="264"/>
    </row>
    <row r="250" spans="1:33" ht="14.25" customHeight="1">
      <c r="A250" s="182">
        <v>114255</v>
      </c>
      <c r="B250" s="260" t="s">
        <v>7791</v>
      </c>
      <c r="C250" s="274" t="s">
        <v>2989</v>
      </c>
      <c r="D250" s="438">
        <v>5670</v>
      </c>
      <c r="G250" s="260">
        <v>446349</v>
      </c>
      <c r="H250" s="260" t="s">
        <v>7793</v>
      </c>
      <c r="I250" s="260" t="s">
        <v>7372</v>
      </c>
      <c r="J250" s="438">
        <v>980.4</v>
      </c>
      <c r="K250" s="260" t="s">
        <v>8146</v>
      </c>
      <c r="L250" s="274" t="s">
        <v>8145</v>
      </c>
      <c r="N250" s="274" t="s">
        <v>7824</v>
      </c>
      <c r="AF250" s="264"/>
      <c r="AG250" s="264"/>
    </row>
    <row r="251" spans="1:33" ht="14.25" customHeight="1">
      <c r="A251" s="182">
        <v>15233</v>
      </c>
      <c r="B251" s="260" t="s">
        <v>7792</v>
      </c>
      <c r="C251" s="274" t="s">
        <v>7859</v>
      </c>
      <c r="D251" s="438">
        <v>2760</v>
      </c>
      <c r="G251" s="260">
        <v>7694</v>
      </c>
      <c r="H251" s="260" t="s">
        <v>7763</v>
      </c>
      <c r="I251" s="260" t="s">
        <v>7824</v>
      </c>
      <c r="J251" s="438">
        <v>990</v>
      </c>
      <c r="K251" s="260" t="s">
        <v>8147</v>
      </c>
      <c r="L251" s="274" t="s">
        <v>8145</v>
      </c>
      <c r="N251" s="274" t="s">
        <v>7371</v>
      </c>
      <c r="AF251" s="264"/>
      <c r="AG251" s="264"/>
    </row>
    <row r="252" spans="1:33" ht="14.25" customHeight="1">
      <c r="A252" s="182">
        <v>446349</v>
      </c>
      <c r="B252" s="260" t="s">
        <v>7793</v>
      </c>
      <c r="C252" s="274" t="s">
        <v>7372</v>
      </c>
      <c r="D252" s="438">
        <v>980.4</v>
      </c>
      <c r="G252" s="260">
        <v>915</v>
      </c>
      <c r="H252" s="260" t="s">
        <v>7855</v>
      </c>
      <c r="I252" s="260" t="s">
        <v>3530</v>
      </c>
      <c r="J252" s="438">
        <v>1017.08</v>
      </c>
      <c r="K252" s="260" t="s">
        <v>8148</v>
      </c>
      <c r="L252" s="274" t="s">
        <v>8145</v>
      </c>
      <c r="N252" s="274" t="s">
        <v>7372</v>
      </c>
      <c r="AF252" s="264"/>
      <c r="AG252" s="264"/>
    </row>
    <row r="253" spans="1:33" ht="14.25" customHeight="1">
      <c r="A253" s="182">
        <v>192</v>
      </c>
      <c r="B253" s="260" t="s">
        <v>7794</v>
      </c>
      <c r="C253" s="274" t="s">
        <v>7457</v>
      </c>
      <c r="D253" s="438">
        <v>352</v>
      </c>
      <c r="G253" s="260" t="s">
        <v>7983</v>
      </c>
      <c r="H253" s="260" t="s">
        <v>7889</v>
      </c>
      <c r="I253" s="260" t="s">
        <v>4149</v>
      </c>
      <c r="J253" s="453">
        <v>1080</v>
      </c>
      <c r="N253" s="274" t="s">
        <v>7859</v>
      </c>
      <c r="AF253" s="264"/>
      <c r="AG253" s="264"/>
    </row>
    <row r="254" spans="1:33" ht="14.25" customHeight="1">
      <c r="A254" s="182">
        <v>192</v>
      </c>
      <c r="B254" s="260" t="s">
        <v>7794</v>
      </c>
      <c r="C254" s="274" t="s">
        <v>7457</v>
      </c>
      <c r="D254" s="438">
        <v>1760</v>
      </c>
      <c r="G254" s="260">
        <v>39403</v>
      </c>
      <c r="H254" s="260" t="s">
        <v>7879</v>
      </c>
      <c r="I254" s="260" t="s">
        <v>7896</v>
      </c>
      <c r="J254" s="438">
        <v>1392</v>
      </c>
      <c r="K254" s="260" t="s">
        <v>8149</v>
      </c>
      <c r="L254" s="274" t="s">
        <v>8145</v>
      </c>
      <c r="N254" s="274" t="s">
        <v>7823</v>
      </c>
      <c r="AF254" s="264"/>
      <c r="AG254" s="264"/>
    </row>
    <row r="255" spans="1:33" ht="14.25" customHeight="1">
      <c r="A255" s="182">
        <v>424</v>
      </c>
      <c r="B255" s="260" t="s">
        <v>7797</v>
      </c>
      <c r="C255" s="274" t="s">
        <v>4433</v>
      </c>
      <c r="D255" s="438">
        <v>76</v>
      </c>
      <c r="G255" s="260">
        <v>1203571</v>
      </c>
      <c r="H255" s="260" t="s">
        <v>7910</v>
      </c>
      <c r="I255" s="260" t="s">
        <v>3663</v>
      </c>
      <c r="J255" s="438">
        <v>1460.03</v>
      </c>
      <c r="K255" s="260" t="s">
        <v>8150</v>
      </c>
      <c r="L255" s="274" t="s">
        <v>8145</v>
      </c>
      <c r="N255" s="274" t="s">
        <v>7826</v>
      </c>
      <c r="AF255" s="264"/>
      <c r="AG255" s="264"/>
    </row>
    <row r="256" spans="1:33" ht="14.25" customHeight="1">
      <c r="A256" s="182">
        <v>424</v>
      </c>
      <c r="B256" s="260" t="s">
        <v>7797</v>
      </c>
      <c r="C256" s="274" t="s">
        <v>4433</v>
      </c>
      <c r="D256" s="438">
        <v>2900</v>
      </c>
      <c r="G256" s="260">
        <v>39488</v>
      </c>
      <c r="H256" s="260" t="s">
        <v>7879</v>
      </c>
      <c r="I256" s="260" t="s">
        <v>7896</v>
      </c>
      <c r="J256" s="438">
        <v>1605</v>
      </c>
      <c r="K256" s="260" t="s">
        <v>8151</v>
      </c>
      <c r="L256" s="274" t="s">
        <v>8145</v>
      </c>
      <c r="N256" s="450" t="s">
        <v>7825</v>
      </c>
      <c r="AF256" s="264"/>
      <c r="AG256" s="264"/>
    </row>
    <row r="257" spans="1:33" ht="14.25" customHeight="1">
      <c r="A257" s="182">
        <v>424</v>
      </c>
      <c r="B257" s="260" t="s">
        <v>7797</v>
      </c>
      <c r="C257" s="274" t="s">
        <v>4433</v>
      </c>
      <c r="D257" s="438">
        <v>218</v>
      </c>
      <c r="G257" s="260">
        <v>1272770</v>
      </c>
      <c r="H257" s="260" t="s">
        <v>7719</v>
      </c>
      <c r="I257" s="260" t="s">
        <v>4398</v>
      </c>
      <c r="J257" s="438">
        <v>1784.85</v>
      </c>
      <c r="K257" s="260" t="s">
        <v>8152</v>
      </c>
      <c r="L257" s="274" t="s">
        <v>8145</v>
      </c>
      <c r="N257" s="274" t="s">
        <v>7337</v>
      </c>
      <c r="AF257" s="264"/>
      <c r="AG257" s="264"/>
    </row>
    <row r="258" spans="1:33" ht="14.25" customHeight="1">
      <c r="A258" s="182">
        <v>424</v>
      </c>
      <c r="B258" s="260" t="s">
        <v>7797</v>
      </c>
      <c r="C258" s="274" t="s">
        <v>4433</v>
      </c>
      <c r="D258" s="438">
        <v>470</v>
      </c>
      <c r="G258" s="260">
        <v>768</v>
      </c>
      <c r="H258" s="260" t="s">
        <v>7293</v>
      </c>
      <c r="I258" s="260" t="s">
        <v>7582</v>
      </c>
      <c r="J258" s="438">
        <v>1810</v>
      </c>
      <c r="K258" s="260" t="s">
        <v>8153</v>
      </c>
      <c r="L258" s="274" t="s">
        <v>8145</v>
      </c>
      <c r="N258" s="450" t="s">
        <v>7545</v>
      </c>
      <c r="AF258" s="264"/>
      <c r="AG258" s="264"/>
    </row>
    <row r="259" spans="1:33" ht="14.25" customHeight="1">
      <c r="A259" s="182">
        <v>424</v>
      </c>
      <c r="B259" s="260" t="s">
        <v>7797</v>
      </c>
      <c r="C259" s="274" t="s">
        <v>4433</v>
      </c>
      <c r="D259" s="438">
        <v>60</v>
      </c>
      <c r="G259" s="260">
        <v>192</v>
      </c>
      <c r="H259" s="260" t="s">
        <v>7794</v>
      </c>
      <c r="I259" s="260" t="s">
        <v>7457</v>
      </c>
      <c r="J259" s="438">
        <v>2112</v>
      </c>
      <c r="K259" s="260" t="s">
        <v>8154</v>
      </c>
      <c r="L259" s="274" t="s">
        <v>8145</v>
      </c>
      <c r="N259" s="274" t="s">
        <v>4149</v>
      </c>
      <c r="AF259" s="264"/>
      <c r="AG259" s="264"/>
    </row>
    <row r="260" spans="1:33" ht="14.25" customHeight="1">
      <c r="A260" s="182">
        <v>424</v>
      </c>
      <c r="B260" s="260" t="s">
        <v>7797</v>
      </c>
      <c r="C260" s="274" t="s">
        <v>4433</v>
      </c>
      <c r="D260" s="438">
        <v>244</v>
      </c>
      <c r="G260" s="260">
        <v>15233</v>
      </c>
      <c r="H260" s="260" t="s">
        <v>7792</v>
      </c>
      <c r="I260" s="260" t="s">
        <v>7859</v>
      </c>
      <c r="J260" s="438">
        <v>2760</v>
      </c>
      <c r="K260" s="260" t="s">
        <v>8155</v>
      </c>
      <c r="L260" s="274" t="s">
        <v>8135</v>
      </c>
      <c r="N260" s="274" t="s">
        <v>4380</v>
      </c>
      <c r="AF260" s="264"/>
      <c r="AG260" s="264"/>
    </row>
    <row r="261" spans="1:33" ht="14.25" customHeight="1">
      <c r="A261" s="182">
        <v>2064</v>
      </c>
      <c r="B261" s="260" t="s">
        <v>7798</v>
      </c>
      <c r="C261" s="274" t="s">
        <v>7823</v>
      </c>
      <c r="D261" s="438">
        <v>10680</v>
      </c>
      <c r="G261" s="260">
        <v>10463</v>
      </c>
      <c r="H261" s="260" t="s">
        <v>7868</v>
      </c>
      <c r="I261" s="260" t="s">
        <v>7337</v>
      </c>
      <c r="J261" s="438">
        <v>2850</v>
      </c>
      <c r="K261" s="260" t="s">
        <v>8156</v>
      </c>
      <c r="L261" s="274" t="s">
        <v>8145</v>
      </c>
      <c r="N261" s="440" t="s">
        <v>5740</v>
      </c>
      <c r="AF261" s="264"/>
      <c r="AG261" s="264"/>
    </row>
    <row r="262" spans="1:33" ht="14.25" customHeight="1">
      <c r="A262" s="182">
        <v>915</v>
      </c>
      <c r="B262" s="260" t="s">
        <v>7855</v>
      </c>
      <c r="C262" s="274" t="s">
        <v>3530</v>
      </c>
      <c r="D262" s="438">
        <v>260</v>
      </c>
      <c r="G262" s="260">
        <v>424</v>
      </c>
      <c r="H262" s="260" t="s">
        <v>7797</v>
      </c>
      <c r="I262" s="260" t="s">
        <v>4433</v>
      </c>
      <c r="J262" s="438">
        <v>3968</v>
      </c>
      <c r="K262" s="260" t="s">
        <v>8157</v>
      </c>
      <c r="L262" s="274" t="s">
        <v>8145</v>
      </c>
      <c r="N262" s="274" t="s">
        <v>7896</v>
      </c>
      <c r="AF262" s="264"/>
      <c r="AG262" s="264"/>
    </row>
    <row r="263" spans="1:33" ht="14.25" customHeight="1">
      <c r="A263" s="182" t="s">
        <v>7982</v>
      </c>
      <c r="B263" s="260" t="s">
        <v>7855</v>
      </c>
      <c r="C263" s="274" t="s">
        <v>4149</v>
      </c>
      <c r="D263" s="438">
        <v>75.199999999999989</v>
      </c>
      <c r="G263" s="260">
        <v>534112</v>
      </c>
      <c r="H263" s="260" t="s">
        <v>7949</v>
      </c>
      <c r="I263" s="260" t="s">
        <v>4398</v>
      </c>
      <c r="J263" s="438">
        <v>4084.5</v>
      </c>
      <c r="K263" s="260" t="s">
        <v>8158</v>
      </c>
      <c r="L263" s="274" t="s">
        <v>8145</v>
      </c>
      <c r="N263" s="274" t="s">
        <v>4398</v>
      </c>
      <c r="AF263" s="264"/>
      <c r="AG263" s="264"/>
    </row>
    <row r="264" spans="1:33" ht="14.25" customHeight="1">
      <c r="A264" s="182">
        <v>915</v>
      </c>
      <c r="B264" s="260" t="s">
        <v>7855</v>
      </c>
      <c r="C264" s="274" t="s">
        <v>3530</v>
      </c>
      <c r="D264" s="438">
        <v>355.5</v>
      </c>
      <c r="G264" s="260">
        <v>319467</v>
      </c>
      <c r="H264" s="260" t="s">
        <v>7893</v>
      </c>
      <c r="I264" s="260" t="s">
        <v>7371</v>
      </c>
      <c r="J264" s="438">
        <v>4374</v>
      </c>
      <c r="K264" s="260" t="s">
        <v>8159</v>
      </c>
      <c r="L264" s="274" t="s">
        <v>8145</v>
      </c>
      <c r="N264" s="274" t="s">
        <v>7582</v>
      </c>
      <c r="AF264" s="264"/>
      <c r="AG264" s="264"/>
    </row>
    <row r="265" spans="1:33" ht="14.25" customHeight="1">
      <c r="A265" s="182" t="s">
        <v>7982</v>
      </c>
      <c r="B265" s="260" t="s">
        <v>7855</v>
      </c>
      <c r="C265" s="274" t="s">
        <v>4149</v>
      </c>
      <c r="D265" s="438">
        <v>80.8</v>
      </c>
      <c r="G265" s="260">
        <v>59893</v>
      </c>
      <c r="H265" s="260" t="s">
        <v>7883</v>
      </c>
      <c r="I265" s="260" t="s">
        <v>5740</v>
      </c>
      <c r="J265" s="438">
        <v>4390</v>
      </c>
      <c r="K265" s="260" t="s">
        <v>8160</v>
      </c>
      <c r="L265" s="274" t="s">
        <v>8145</v>
      </c>
      <c r="N265" s="274" t="s">
        <v>4109</v>
      </c>
      <c r="AF265" s="264"/>
      <c r="AG265" s="264"/>
    </row>
    <row r="266" spans="1:33" ht="14.25" customHeight="1">
      <c r="A266" s="182" t="s">
        <v>7982</v>
      </c>
      <c r="B266" s="260" t="s">
        <v>7855</v>
      </c>
      <c r="C266" s="274" t="s">
        <v>4149</v>
      </c>
      <c r="D266" s="438">
        <v>168.66</v>
      </c>
      <c r="G266" s="260">
        <v>387</v>
      </c>
      <c r="H266" s="260" t="s">
        <v>7889</v>
      </c>
      <c r="I266" s="260" t="s">
        <v>7915</v>
      </c>
      <c r="J266" s="438">
        <v>4833</v>
      </c>
      <c r="K266" s="260" t="s">
        <v>8161</v>
      </c>
      <c r="L266" s="274" t="s">
        <v>8145</v>
      </c>
      <c r="N266"/>
      <c r="AF266" s="264"/>
      <c r="AG266" s="264"/>
    </row>
    <row r="267" spans="1:33" ht="14.25" customHeight="1">
      <c r="A267" s="182">
        <v>915</v>
      </c>
      <c r="B267" s="260" t="s">
        <v>7855</v>
      </c>
      <c r="C267" s="274" t="s">
        <v>3530</v>
      </c>
      <c r="D267" s="438">
        <v>81</v>
      </c>
      <c r="G267" s="260">
        <v>79537</v>
      </c>
      <c r="H267" s="260" t="s">
        <v>7948</v>
      </c>
      <c r="I267" s="260" t="s">
        <v>4109</v>
      </c>
      <c r="J267" s="438">
        <v>5293.5</v>
      </c>
      <c r="K267" s="260" t="s">
        <v>8162</v>
      </c>
      <c r="L267" s="274" t="s">
        <v>8145</v>
      </c>
      <c r="N267"/>
      <c r="AF267" s="264"/>
      <c r="AG267" s="264"/>
    </row>
    <row r="268" spans="1:33" ht="14.25" customHeight="1">
      <c r="A268" s="182">
        <v>915</v>
      </c>
      <c r="B268" s="260" t="s">
        <v>7855</v>
      </c>
      <c r="C268" s="274" t="s">
        <v>3530</v>
      </c>
      <c r="D268" s="438">
        <v>84</v>
      </c>
      <c r="G268" s="260">
        <v>114255</v>
      </c>
      <c r="H268" s="260" t="s">
        <v>7791</v>
      </c>
      <c r="I268" s="260" t="s">
        <v>2989</v>
      </c>
      <c r="J268" s="438">
        <v>5670</v>
      </c>
      <c r="K268" s="260" t="s">
        <v>8163</v>
      </c>
      <c r="L268" s="274" t="s">
        <v>8145</v>
      </c>
      <c r="N268"/>
      <c r="AF268" s="264"/>
      <c r="AG268" s="264"/>
    </row>
    <row r="269" spans="1:33" ht="14.25" customHeight="1">
      <c r="A269" s="182" t="s">
        <v>7982</v>
      </c>
      <c r="B269" s="260" t="s">
        <v>7855</v>
      </c>
      <c r="C269" s="274" t="s">
        <v>4149</v>
      </c>
      <c r="D269" s="438">
        <v>185.76</v>
      </c>
      <c r="G269" s="260">
        <v>2575817</v>
      </c>
      <c r="H269" s="260" t="s">
        <v>7879</v>
      </c>
      <c r="I269" s="260" t="s">
        <v>4401</v>
      </c>
      <c r="J269" s="438">
        <v>7500.5</v>
      </c>
      <c r="K269" s="260" t="s">
        <v>8164</v>
      </c>
      <c r="L269" s="274" t="s">
        <v>8145</v>
      </c>
      <c r="N269"/>
      <c r="AF269" s="264"/>
      <c r="AG269" s="264"/>
    </row>
    <row r="270" spans="1:33" ht="14.25" customHeight="1">
      <c r="A270" s="182">
        <v>915</v>
      </c>
      <c r="B270" s="260" t="s">
        <v>7855</v>
      </c>
      <c r="C270" s="274" t="s">
        <v>3530</v>
      </c>
      <c r="D270" s="438">
        <v>28.68</v>
      </c>
      <c r="G270" s="260">
        <v>78607</v>
      </c>
      <c r="H270" s="260" t="s">
        <v>7870</v>
      </c>
      <c r="I270" s="260" t="s">
        <v>4109</v>
      </c>
      <c r="J270" s="438">
        <v>9680</v>
      </c>
      <c r="K270" s="260" t="s">
        <v>8165</v>
      </c>
      <c r="L270" s="274" t="s">
        <v>8145</v>
      </c>
      <c r="N270"/>
      <c r="AF270" s="264"/>
      <c r="AG270" s="264"/>
    </row>
    <row r="271" spans="1:33" ht="14.25" customHeight="1">
      <c r="A271" s="182">
        <v>915</v>
      </c>
      <c r="B271" s="260" t="s">
        <v>7855</v>
      </c>
      <c r="C271" s="274" t="s">
        <v>3530</v>
      </c>
      <c r="D271" s="438">
        <v>40</v>
      </c>
      <c r="G271" s="260">
        <v>2566</v>
      </c>
      <c r="H271" s="260" t="s">
        <v>7764</v>
      </c>
      <c r="I271" s="260" t="s">
        <v>7826</v>
      </c>
      <c r="J271" s="438">
        <v>10061.799999999999</v>
      </c>
      <c r="K271" s="260" t="s">
        <v>8166</v>
      </c>
      <c r="L271" s="274" t="s">
        <v>8145</v>
      </c>
      <c r="N271"/>
      <c r="AF271" s="264"/>
      <c r="AG271" s="264"/>
    </row>
    <row r="272" spans="1:33" ht="14.25" customHeight="1">
      <c r="A272" s="182">
        <v>915</v>
      </c>
      <c r="B272" s="260" t="s">
        <v>7855</v>
      </c>
      <c r="C272" s="274" t="s">
        <v>3530</v>
      </c>
      <c r="D272" s="438">
        <v>167.89999999999998</v>
      </c>
      <c r="G272" s="260">
        <v>2064</v>
      </c>
      <c r="H272" s="260" t="s">
        <v>7798</v>
      </c>
      <c r="I272" s="260" t="s">
        <v>7823</v>
      </c>
      <c r="J272" s="438">
        <v>10680</v>
      </c>
      <c r="K272" s="260" t="s">
        <v>8167</v>
      </c>
      <c r="L272" s="274" t="s">
        <v>8145</v>
      </c>
      <c r="N272"/>
      <c r="AF272" s="264"/>
      <c r="AG272" s="264"/>
    </row>
    <row r="273" spans="1:33" ht="14.25" customHeight="1">
      <c r="A273" s="182">
        <v>78608</v>
      </c>
      <c r="B273" s="260" t="s">
        <v>7868</v>
      </c>
      <c r="C273" s="274" t="s">
        <v>4109</v>
      </c>
      <c r="D273" s="438">
        <v>240</v>
      </c>
      <c r="G273" s="260">
        <v>1687</v>
      </c>
      <c r="H273" s="260" t="s">
        <v>7730</v>
      </c>
      <c r="I273" s="260" t="s">
        <v>4149</v>
      </c>
      <c r="J273" s="438">
        <v>16765</v>
      </c>
      <c r="K273" s="260" t="s">
        <v>8168</v>
      </c>
      <c r="L273" s="274" t="s">
        <v>8145</v>
      </c>
      <c r="N273"/>
      <c r="AF273" s="264"/>
      <c r="AG273" s="264"/>
    </row>
    <row r="274" spans="1:33" ht="14.25" customHeight="1">
      <c r="A274" s="182">
        <v>317725</v>
      </c>
      <c r="B274" s="260" t="s">
        <v>7868</v>
      </c>
      <c r="C274" s="274" t="s">
        <v>7371</v>
      </c>
      <c r="D274" s="438">
        <v>505.20000000000005</v>
      </c>
      <c r="G274" s="260">
        <v>229814</v>
      </c>
      <c r="H274" s="260" t="s">
        <v>7780</v>
      </c>
      <c r="I274" s="260" t="s">
        <v>4380</v>
      </c>
      <c r="J274" s="438">
        <v>17520</v>
      </c>
      <c r="K274" s="260" t="s">
        <v>8169</v>
      </c>
      <c r="L274" s="274" t="s">
        <v>8145</v>
      </c>
      <c r="N274"/>
      <c r="AF274" s="264"/>
      <c r="AG274" s="264"/>
    </row>
    <row r="275" spans="1:33" ht="14.25" customHeight="1">
      <c r="A275" s="182">
        <v>10463</v>
      </c>
      <c r="B275" s="260" t="s">
        <v>7868</v>
      </c>
      <c r="C275" s="274" t="s">
        <v>7337</v>
      </c>
      <c r="D275" s="438">
        <v>2850</v>
      </c>
      <c r="G275"/>
      <c r="H275"/>
      <c r="I275" s="260" t="s">
        <v>1876</v>
      </c>
      <c r="J275" s="451">
        <f>SUM(J239:J274)</f>
        <v>130338.5</v>
      </c>
      <c r="K275" s="260">
        <f>SUM(K239:K274)</f>
        <v>0</v>
      </c>
      <c r="L275" s="274" t="e">
        <v>#N/A</v>
      </c>
      <c r="N275"/>
      <c r="AF275" s="264"/>
      <c r="AG275" s="264"/>
    </row>
    <row r="276" spans="1:33" ht="14.25" customHeight="1">
      <c r="A276" s="182">
        <v>78608</v>
      </c>
      <c r="B276" s="260" t="s">
        <v>7868</v>
      </c>
      <c r="C276" s="274" t="s">
        <v>4109</v>
      </c>
      <c r="D276" s="438">
        <v>368</v>
      </c>
      <c r="G276"/>
      <c r="H276"/>
      <c r="I276"/>
      <c r="J276"/>
      <c r="N276"/>
      <c r="AF276" s="264"/>
      <c r="AG276" s="264"/>
    </row>
    <row r="277" spans="1:33" ht="14.25" customHeight="1">
      <c r="A277" s="182">
        <v>902</v>
      </c>
      <c r="B277" s="260" t="s">
        <v>7870</v>
      </c>
      <c r="C277" s="274" t="s">
        <v>3530</v>
      </c>
      <c r="D277" s="438">
        <v>845</v>
      </c>
      <c r="G277"/>
      <c r="H277"/>
      <c r="I277"/>
      <c r="J277"/>
      <c r="N277"/>
      <c r="AF277" s="264"/>
      <c r="AG277" s="264"/>
    </row>
    <row r="278" spans="1:33" ht="14.25" customHeight="1">
      <c r="A278" s="182">
        <v>78607</v>
      </c>
      <c r="B278" s="260" t="s">
        <v>7870</v>
      </c>
      <c r="C278" s="274" t="s">
        <v>4109</v>
      </c>
      <c r="D278" s="438">
        <v>9680</v>
      </c>
      <c r="G278"/>
      <c r="H278"/>
      <c r="I278"/>
      <c r="J278"/>
      <c r="AF278" s="264"/>
      <c r="AG278" s="264"/>
    </row>
    <row r="279" spans="1:33" ht="14.25" customHeight="1">
      <c r="A279" s="182">
        <v>39403</v>
      </c>
      <c r="B279" s="260" t="s">
        <v>7879</v>
      </c>
      <c r="C279" s="274" t="s">
        <v>7896</v>
      </c>
      <c r="D279" s="438">
        <v>1392</v>
      </c>
      <c r="G279"/>
      <c r="H279"/>
      <c r="I279"/>
      <c r="J279"/>
      <c r="AF279" s="264"/>
      <c r="AG279" s="264"/>
    </row>
    <row r="280" spans="1:33" ht="14.25" customHeight="1">
      <c r="A280" s="182">
        <v>2575817</v>
      </c>
      <c r="B280" s="260" t="s">
        <v>7879</v>
      </c>
      <c r="C280" s="274" t="s">
        <v>4401</v>
      </c>
      <c r="D280" s="438">
        <v>7500.5</v>
      </c>
      <c r="G280"/>
      <c r="H280"/>
      <c r="I280"/>
      <c r="J280"/>
      <c r="AF280" s="264"/>
      <c r="AG280" s="264"/>
    </row>
    <row r="281" spans="1:33" ht="14.25" customHeight="1">
      <c r="A281" s="182">
        <v>39488</v>
      </c>
      <c r="B281" s="260" t="s">
        <v>7879</v>
      </c>
      <c r="C281" s="274" t="s">
        <v>7896</v>
      </c>
      <c r="D281" s="438">
        <v>1604.9999999999998</v>
      </c>
      <c r="G281"/>
      <c r="H281"/>
      <c r="I281"/>
      <c r="J281"/>
      <c r="AF281" s="264"/>
      <c r="AG281" s="264"/>
    </row>
    <row r="282" spans="1:33" ht="14.25" customHeight="1">
      <c r="A282" s="182">
        <v>59893</v>
      </c>
      <c r="B282" s="260" t="s">
        <v>7883</v>
      </c>
      <c r="C282" s="274" t="s">
        <v>5740</v>
      </c>
      <c r="D282" s="438">
        <v>4390</v>
      </c>
      <c r="G282"/>
      <c r="H282"/>
      <c r="I282"/>
      <c r="J282"/>
      <c r="AF282" s="264"/>
      <c r="AG282" s="264"/>
    </row>
    <row r="283" spans="1:33" ht="14.25" customHeight="1">
      <c r="A283" s="182">
        <v>59838</v>
      </c>
      <c r="B283" s="260" t="s">
        <v>7883</v>
      </c>
      <c r="C283" s="274" t="s">
        <v>5740</v>
      </c>
      <c r="D283" s="438">
        <v>683</v>
      </c>
      <c r="G283"/>
      <c r="H283"/>
      <c r="I283"/>
      <c r="J283"/>
      <c r="AF283" s="264"/>
      <c r="AG283" s="264"/>
    </row>
    <row r="284" spans="1:33" ht="14.25" customHeight="1">
      <c r="A284" s="182">
        <v>577</v>
      </c>
      <c r="B284" s="260" t="s">
        <v>7889</v>
      </c>
      <c r="C284" s="274" t="s">
        <v>7914</v>
      </c>
      <c r="D284" s="438">
        <v>786</v>
      </c>
      <c r="G284"/>
      <c r="H284"/>
      <c r="I284"/>
      <c r="J284"/>
      <c r="AF284" s="264"/>
      <c r="AG284" s="264"/>
    </row>
    <row r="285" spans="1:33" ht="14.25" customHeight="1">
      <c r="A285" s="182">
        <v>387</v>
      </c>
      <c r="B285" s="260" t="s">
        <v>7889</v>
      </c>
      <c r="C285" s="274" t="s">
        <v>7915</v>
      </c>
      <c r="D285" s="438">
        <v>4140</v>
      </c>
      <c r="G285"/>
      <c r="H285"/>
      <c r="I285"/>
      <c r="J285"/>
      <c r="AF285" s="264"/>
      <c r="AG285" s="264"/>
    </row>
    <row r="286" spans="1:33" ht="14.25" customHeight="1">
      <c r="A286" s="182" t="s">
        <v>7983</v>
      </c>
      <c r="B286" s="260" t="s">
        <v>7889</v>
      </c>
      <c r="C286" s="274" t="s">
        <v>4149</v>
      </c>
      <c r="D286" s="438">
        <v>1080</v>
      </c>
      <c r="G286"/>
      <c r="H286"/>
      <c r="I286"/>
      <c r="J286"/>
      <c r="AF286" s="264"/>
      <c r="AG286" s="264"/>
    </row>
    <row r="287" spans="1:33" ht="14.25" customHeight="1">
      <c r="A287" s="182">
        <v>387</v>
      </c>
      <c r="B287" s="260" t="s">
        <v>7889</v>
      </c>
      <c r="C287" s="274" t="s">
        <v>7915</v>
      </c>
      <c r="D287" s="438">
        <v>693</v>
      </c>
      <c r="G287"/>
      <c r="H287"/>
      <c r="I287"/>
      <c r="J287"/>
      <c r="AF287" s="264"/>
      <c r="AG287" s="264"/>
    </row>
    <row r="288" spans="1:33" ht="14.25" customHeight="1">
      <c r="A288" s="182">
        <v>10517</v>
      </c>
      <c r="B288" s="260" t="s">
        <v>7890</v>
      </c>
      <c r="C288" s="274" t="s">
        <v>7337</v>
      </c>
      <c r="D288" s="438">
        <v>372</v>
      </c>
      <c r="G288"/>
      <c r="H288"/>
      <c r="I288"/>
      <c r="J288"/>
      <c r="AF288" s="264"/>
      <c r="AG288" s="264"/>
    </row>
    <row r="289" spans="1:33" ht="14.25" customHeight="1">
      <c r="A289" s="182">
        <v>2577384</v>
      </c>
      <c r="B289" s="260" t="s">
        <v>7891</v>
      </c>
      <c r="C289" s="274" t="s">
        <v>4401</v>
      </c>
      <c r="D289" s="438">
        <v>245.39999999999998</v>
      </c>
      <c r="G289"/>
      <c r="H289"/>
      <c r="I289"/>
      <c r="J289"/>
      <c r="AF289" s="264"/>
      <c r="AG289" s="264"/>
    </row>
    <row r="290" spans="1:33" ht="14.25" customHeight="1">
      <c r="A290" s="182">
        <v>319467</v>
      </c>
      <c r="B290" s="260" t="s">
        <v>7893</v>
      </c>
      <c r="C290" s="274" t="s">
        <v>7371</v>
      </c>
      <c r="D290" s="438">
        <v>4374</v>
      </c>
      <c r="G290"/>
      <c r="H290"/>
      <c r="I290"/>
      <c r="J290"/>
      <c r="AF290" s="264"/>
      <c r="AG290" s="264"/>
    </row>
    <row r="291" spans="1:33" ht="14.25" customHeight="1">
      <c r="A291" s="182">
        <v>1203571</v>
      </c>
      <c r="B291" s="260" t="s">
        <v>7910</v>
      </c>
      <c r="C291" s="274" t="s">
        <v>3663</v>
      </c>
      <c r="D291" s="438">
        <v>1460.0249999999999</v>
      </c>
      <c r="G291"/>
      <c r="H291"/>
      <c r="I291"/>
      <c r="J291"/>
      <c r="AF291" s="264"/>
      <c r="AG291" s="264"/>
    </row>
    <row r="292" spans="1:33" ht="14.25" customHeight="1">
      <c r="A292" s="182">
        <v>79537</v>
      </c>
      <c r="B292" s="260" t="s">
        <v>7948</v>
      </c>
      <c r="C292" s="274" t="s">
        <v>4109</v>
      </c>
      <c r="D292" s="438">
        <v>5293.5</v>
      </c>
      <c r="G292"/>
      <c r="H292"/>
      <c r="I292"/>
      <c r="J292"/>
      <c r="AF292" s="264"/>
      <c r="AG292" s="264"/>
    </row>
    <row r="293" spans="1:33" ht="14.25" customHeight="1">
      <c r="A293" s="182">
        <v>534112</v>
      </c>
      <c r="B293" s="260" t="s">
        <v>7949</v>
      </c>
      <c r="C293" s="274" t="s">
        <v>4398</v>
      </c>
      <c r="D293" s="438">
        <v>4084.5</v>
      </c>
      <c r="J293" s="439"/>
      <c r="AF293" s="264"/>
      <c r="AG293" s="264"/>
    </row>
    <row r="294" spans="1:33" ht="14.25" customHeight="1">
      <c r="D294" s="439">
        <f>SUM(D239:D293)</f>
        <v>129366.67499999996</v>
      </c>
      <c r="AF294" s="264"/>
      <c r="AG294" s="264"/>
    </row>
    <row r="295" spans="1:33" ht="14.25" customHeight="1">
      <c r="AF295" s="264"/>
      <c r="AG295" s="264"/>
    </row>
    <row r="296" spans="1:33" ht="30" customHeight="1" thickBot="1">
      <c r="C296" s="437">
        <v>43941</v>
      </c>
      <c r="G296" s="404"/>
      <c r="H296" s="404"/>
      <c r="I296" s="441" t="s">
        <v>8212</v>
      </c>
      <c r="J296" s="442" t="s">
        <v>6931</v>
      </c>
      <c r="K296" s="404"/>
      <c r="N296" s="385" t="s">
        <v>8213</v>
      </c>
      <c r="O296" s="386"/>
      <c r="P296" s="422" t="s">
        <v>7633</v>
      </c>
      <c r="AF296" s="264"/>
      <c r="AG296" s="264"/>
    </row>
    <row r="297" spans="1:33" ht="14.25" customHeight="1" thickTop="1">
      <c r="A297" s="280" t="s">
        <v>1844</v>
      </c>
      <c r="B297" s="280" t="s">
        <v>568</v>
      </c>
      <c r="C297" s="280" t="s">
        <v>0</v>
      </c>
      <c r="D297" s="280" t="s">
        <v>3669</v>
      </c>
      <c r="F297" s="190"/>
      <c r="G297" s="280" t="s">
        <v>1844</v>
      </c>
      <c r="H297" s="280" t="s">
        <v>568</v>
      </c>
      <c r="I297" s="281" t="s">
        <v>0</v>
      </c>
      <c r="J297" s="280" t="s">
        <v>3669</v>
      </c>
      <c r="K297" s="280" t="s">
        <v>2815</v>
      </c>
      <c r="N297" s="383" t="s">
        <v>2839</v>
      </c>
      <c r="O297" s="383" t="s">
        <v>2789</v>
      </c>
      <c r="P297" s="383" t="s">
        <v>1877</v>
      </c>
      <c r="Q297" s="190"/>
      <c r="AF297" s="264"/>
      <c r="AG297" s="264"/>
    </row>
    <row r="298" spans="1:33" ht="14.25" customHeight="1">
      <c r="A298" s="182">
        <v>426</v>
      </c>
      <c r="B298" s="260" t="s">
        <v>7704</v>
      </c>
      <c r="C298" s="274" t="s">
        <v>4433</v>
      </c>
      <c r="D298" s="438">
        <v>300</v>
      </c>
      <c r="G298" s="182">
        <v>2584048</v>
      </c>
      <c r="H298" s="404" t="s">
        <v>7941</v>
      </c>
      <c r="I298" s="443" t="s">
        <v>4401</v>
      </c>
      <c r="J298" s="471">
        <v>145</v>
      </c>
      <c r="K298" s="404">
        <v>97491</v>
      </c>
      <c r="L298" s="274" t="s">
        <v>8313</v>
      </c>
      <c r="N298" s="274" t="s">
        <v>7051</v>
      </c>
      <c r="AF298" s="264"/>
      <c r="AG298" s="264"/>
    </row>
    <row r="299" spans="1:33" ht="14.25" customHeight="1">
      <c r="A299" s="182">
        <v>94</v>
      </c>
      <c r="B299" s="260" t="s">
        <v>7762</v>
      </c>
      <c r="C299" s="274" t="s">
        <v>7820</v>
      </c>
      <c r="D299" s="438">
        <v>243</v>
      </c>
      <c r="G299" s="182">
        <v>115651</v>
      </c>
      <c r="H299" s="404" t="s">
        <v>7950</v>
      </c>
      <c r="I299" s="443" t="s">
        <v>2989</v>
      </c>
      <c r="J299" s="471">
        <v>159.97999999999999</v>
      </c>
      <c r="K299" s="404">
        <v>97720</v>
      </c>
      <c r="L299" s="274" t="s">
        <v>8313</v>
      </c>
      <c r="N299" s="274" t="s">
        <v>2989</v>
      </c>
      <c r="AF299" s="264"/>
      <c r="AG299" s="264"/>
    </row>
    <row r="300" spans="1:33" ht="14.25" customHeight="1">
      <c r="A300" s="182">
        <v>94</v>
      </c>
      <c r="B300" s="260" t="s">
        <v>7762</v>
      </c>
      <c r="C300" s="274" t="s">
        <v>7820</v>
      </c>
      <c r="D300" s="438">
        <v>243</v>
      </c>
      <c r="G300" s="182">
        <v>211374</v>
      </c>
      <c r="H300" s="404" t="s">
        <v>7945</v>
      </c>
      <c r="I300" s="443" t="s">
        <v>7978</v>
      </c>
      <c r="J300" s="471">
        <v>180</v>
      </c>
      <c r="K300" s="404">
        <v>97705</v>
      </c>
      <c r="L300" s="274" t="s">
        <v>8313</v>
      </c>
      <c r="N300" s="274" t="s">
        <v>3663</v>
      </c>
      <c r="AF300" s="264"/>
      <c r="AG300" s="264"/>
    </row>
    <row r="301" spans="1:33" ht="14.25" customHeight="1">
      <c r="A301" s="182">
        <v>94</v>
      </c>
      <c r="B301" s="260" t="s">
        <v>7762</v>
      </c>
      <c r="C301" s="274" t="s">
        <v>7820</v>
      </c>
      <c r="D301" s="438">
        <v>631.79999999999995</v>
      </c>
      <c r="G301" s="182">
        <v>231934</v>
      </c>
      <c r="H301" s="404" t="s">
        <v>8029</v>
      </c>
      <c r="I301" s="443" t="s">
        <v>4380</v>
      </c>
      <c r="J301" s="471">
        <v>289</v>
      </c>
      <c r="K301" s="404">
        <v>98281</v>
      </c>
      <c r="L301" s="274" t="s">
        <v>8314</v>
      </c>
      <c r="N301" s="274" t="s">
        <v>4401</v>
      </c>
      <c r="AF301" s="264"/>
      <c r="AG301" s="264"/>
    </row>
    <row r="302" spans="1:33" ht="14.25" customHeight="1">
      <c r="A302" s="182">
        <v>94</v>
      </c>
      <c r="B302" s="260" t="s">
        <v>7762</v>
      </c>
      <c r="C302" s="274" t="s">
        <v>7820</v>
      </c>
      <c r="D302" s="438">
        <v>631.79999999999995</v>
      </c>
      <c r="G302" s="182">
        <v>426</v>
      </c>
      <c r="H302" s="404" t="s">
        <v>7704</v>
      </c>
      <c r="I302" s="443" t="s">
        <v>4433</v>
      </c>
      <c r="J302" s="471">
        <v>300</v>
      </c>
      <c r="K302" s="404">
        <v>97451</v>
      </c>
      <c r="L302" s="274" t="s">
        <v>8313</v>
      </c>
      <c r="N302" s="274" t="s">
        <v>7984</v>
      </c>
      <c r="AF302" s="264"/>
      <c r="AG302" s="264"/>
    </row>
    <row r="303" spans="1:33" ht="14.25" customHeight="1">
      <c r="A303" s="182">
        <v>94</v>
      </c>
      <c r="B303" s="260" t="s">
        <v>7762</v>
      </c>
      <c r="C303" s="274" t="s">
        <v>7820</v>
      </c>
      <c r="D303" s="438">
        <v>631.79999999999995</v>
      </c>
      <c r="G303" s="182">
        <v>8804</v>
      </c>
      <c r="H303" s="404" t="s">
        <v>7880</v>
      </c>
      <c r="I303" s="443" t="s">
        <v>4432</v>
      </c>
      <c r="J303" s="471">
        <v>300</v>
      </c>
      <c r="K303" s="404">
        <v>97451</v>
      </c>
      <c r="L303" s="274" t="s">
        <v>8313</v>
      </c>
      <c r="N303" s="274" t="s">
        <v>4433</v>
      </c>
      <c r="AF303" s="264"/>
      <c r="AG303" s="264"/>
    </row>
    <row r="304" spans="1:33" ht="14.25" customHeight="1">
      <c r="A304" s="182">
        <v>94</v>
      </c>
      <c r="B304" s="260" t="s">
        <v>7762</v>
      </c>
      <c r="C304" s="274" t="s">
        <v>7820</v>
      </c>
      <c r="D304" s="438">
        <v>631.79999999999995</v>
      </c>
      <c r="G304" s="182">
        <v>22136</v>
      </c>
      <c r="H304" s="404" t="s">
        <v>7951</v>
      </c>
      <c r="I304" s="443" t="s">
        <v>7472</v>
      </c>
      <c r="J304" s="471">
        <v>300</v>
      </c>
      <c r="K304" s="404">
        <v>97451</v>
      </c>
      <c r="L304" s="274" t="s">
        <v>8313</v>
      </c>
      <c r="N304" s="274" t="s">
        <v>3407</v>
      </c>
      <c r="AF304" s="264"/>
      <c r="AG304" s="264"/>
    </row>
    <row r="305" spans="1:33" ht="14.25" customHeight="1">
      <c r="A305" s="182">
        <v>94</v>
      </c>
      <c r="B305" s="260" t="s">
        <v>7762</v>
      </c>
      <c r="C305" s="274" t="s">
        <v>7820</v>
      </c>
      <c r="D305" s="438">
        <v>631.79999999999995</v>
      </c>
      <c r="G305" s="182">
        <v>936</v>
      </c>
      <c r="H305" s="404" t="s">
        <v>8005</v>
      </c>
      <c r="I305" s="443" t="s">
        <v>3530</v>
      </c>
      <c r="J305" s="471">
        <v>317</v>
      </c>
      <c r="K305" s="404">
        <v>97857</v>
      </c>
      <c r="L305" s="274" t="s">
        <v>8313</v>
      </c>
      <c r="N305" s="274" t="s">
        <v>3530</v>
      </c>
      <c r="AF305" s="264"/>
      <c r="AG305" s="264"/>
    </row>
    <row r="306" spans="1:33" ht="14.25" customHeight="1">
      <c r="A306" s="182">
        <v>94</v>
      </c>
      <c r="B306" s="260" t="s">
        <v>7762</v>
      </c>
      <c r="C306" s="274" t="s">
        <v>7820</v>
      </c>
      <c r="D306" s="438">
        <v>1263.5999999999999</v>
      </c>
      <c r="G306" s="182">
        <v>448954</v>
      </c>
      <c r="H306" s="404" t="s">
        <v>7992</v>
      </c>
      <c r="I306" s="443" t="s">
        <v>7372</v>
      </c>
      <c r="J306" s="471">
        <v>360</v>
      </c>
      <c r="K306" s="404">
        <v>97785</v>
      </c>
      <c r="L306" s="274" t="s">
        <v>8313</v>
      </c>
      <c r="N306" s="274" t="s">
        <v>7978</v>
      </c>
      <c r="AF306" s="264"/>
      <c r="AG306" s="264"/>
    </row>
    <row r="307" spans="1:33" ht="14.25" customHeight="1">
      <c r="A307" s="182">
        <v>94</v>
      </c>
      <c r="B307" s="260" t="s">
        <v>7762</v>
      </c>
      <c r="C307" s="274" t="s">
        <v>7820</v>
      </c>
      <c r="D307" s="438">
        <v>631.79999999999995</v>
      </c>
      <c r="G307" s="206">
        <v>1834</v>
      </c>
      <c r="H307" s="404" t="s">
        <v>7855</v>
      </c>
      <c r="I307" s="443" t="s">
        <v>4149</v>
      </c>
      <c r="J307" s="471">
        <v>510.42</v>
      </c>
      <c r="K307" s="404">
        <v>97444</v>
      </c>
      <c r="L307" s="274" t="s">
        <v>8313</v>
      </c>
      <c r="N307" s="274" t="s">
        <v>7820</v>
      </c>
      <c r="AF307" s="264"/>
      <c r="AG307" s="264"/>
    </row>
    <row r="308" spans="1:33" ht="14.25" customHeight="1">
      <c r="A308" s="182">
        <v>94</v>
      </c>
      <c r="B308" s="260" t="s">
        <v>7762</v>
      </c>
      <c r="C308" s="274" t="s">
        <v>7820</v>
      </c>
      <c r="D308" s="438">
        <v>631.79999999999995</v>
      </c>
      <c r="G308" s="182">
        <v>2585836</v>
      </c>
      <c r="H308" s="404" t="s">
        <v>7946</v>
      </c>
      <c r="I308" s="443" t="s">
        <v>4401</v>
      </c>
      <c r="J308" s="471">
        <v>648.5</v>
      </c>
      <c r="K308" s="404">
        <v>97712</v>
      </c>
      <c r="L308" s="274" t="s">
        <v>8313</v>
      </c>
      <c r="N308" s="274" t="s">
        <v>7371</v>
      </c>
      <c r="AF308" s="264"/>
      <c r="AG308" s="264"/>
    </row>
    <row r="309" spans="1:33" ht="14.25" customHeight="1">
      <c r="A309" s="182">
        <v>1814</v>
      </c>
      <c r="B309" s="260" t="s">
        <v>7795</v>
      </c>
      <c r="C309" s="274" t="s">
        <v>4149</v>
      </c>
      <c r="D309" s="438">
        <v>809.09999999999991</v>
      </c>
      <c r="G309" s="182">
        <v>1814</v>
      </c>
      <c r="H309" s="404" t="s">
        <v>7795</v>
      </c>
      <c r="I309" s="443" t="s">
        <v>4149</v>
      </c>
      <c r="J309" s="471">
        <v>809.1</v>
      </c>
      <c r="K309" s="404">
        <v>97441</v>
      </c>
      <c r="L309" s="274" t="s">
        <v>8313</v>
      </c>
      <c r="N309" s="274" t="s">
        <v>7372</v>
      </c>
      <c r="AF309" s="264"/>
      <c r="AG309" s="264"/>
    </row>
    <row r="310" spans="1:33" ht="14.25" customHeight="1">
      <c r="A310" s="182">
        <v>28749</v>
      </c>
      <c r="B310" s="260" t="s">
        <v>7800</v>
      </c>
      <c r="C310" s="274" t="s">
        <v>7822</v>
      </c>
      <c r="D310" s="438">
        <v>1530</v>
      </c>
      <c r="G310" s="182">
        <v>1204374</v>
      </c>
      <c r="H310" s="404" t="s">
        <v>7959</v>
      </c>
      <c r="I310" s="443" t="s">
        <v>3663</v>
      </c>
      <c r="J310" s="471">
        <v>1018.71</v>
      </c>
      <c r="K310" s="404">
        <v>97737</v>
      </c>
      <c r="L310" s="274" t="s">
        <v>8313</v>
      </c>
      <c r="N310" s="274" t="s">
        <v>7826</v>
      </c>
      <c r="AF310" s="264"/>
      <c r="AG310" s="264"/>
    </row>
    <row r="311" spans="1:33" ht="14.25" customHeight="1">
      <c r="A311" s="206">
        <v>1834</v>
      </c>
      <c r="B311" s="260" t="s">
        <v>7855</v>
      </c>
      <c r="C311" s="274" t="s">
        <v>4149</v>
      </c>
      <c r="D311" s="438">
        <v>75.199999999999989</v>
      </c>
      <c r="G311" s="182">
        <v>1204958</v>
      </c>
      <c r="H311" s="404" t="s">
        <v>7960</v>
      </c>
      <c r="I311" s="443" t="s">
        <v>3663</v>
      </c>
      <c r="J311" s="471">
        <v>1018.71</v>
      </c>
      <c r="K311" s="404">
        <v>97737</v>
      </c>
      <c r="L311" s="274" t="s">
        <v>8313</v>
      </c>
      <c r="N311" s="274" t="s">
        <v>7822</v>
      </c>
      <c r="AF311" s="264"/>
      <c r="AG311" s="264"/>
    </row>
    <row r="312" spans="1:33" ht="14.25" customHeight="1">
      <c r="A312" s="206">
        <v>1834</v>
      </c>
      <c r="B312" s="260" t="s">
        <v>7855</v>
      </c>
      <c r="C312" s="274" t="s">
        <v>4149</v>
      </c>
      <c r="D312" s="438">
        <v>80.8</v>
      </c>
      <c r="G312" s="182">
        <v>1203981</v>
      </c>
      <c r="H312" s="404" t="s">
        <v>7963</v>
      </c>
      <c r="I312" s="443" t="s">
        <v>3663</v>
      </c>
      <c r="J312" s="471">
        <v>1018.71</v>
      </c>
      <c r="K312" s="404">
        <v>97737</v>
      </c>
      <c r="L312" s="274" t="s">
        <v>8313</v>
      </c>
      <c r="N312" s="274" t="s">
        <v>7545</v>
      </c>
      <c r="AF312" s="264"/>
      <c r="AG312" s="264"/>
    </row>
    <row r="313" spans="1:33" ht="14.25" customHeight="1">
      <c r="A313" s="206">
        <v>1834</v>
      </c>
      <c r="B313" s="260" t="s">
        <v>7855</v>
      </c>
      <c r="C313" s="274" t="s">
        <v>4149</v>
      </c>
      <c r="D313" s="438">
        <v>168.66</v>
      </c>
      <c r="G313" s="206">
        <v>1833</v>
      </c>
      <c r="H313" s="404" t="s">
        <v>7889</v>
      </c>
      <c r="I313" s="443" t="s">
        <v>4149</v>
      </c>
      <c r="J313" s="471">
        <v>1080</v>
      </c>
      <c r="K313" s="404">
        <v>97471</v>
      </c>
      <c r="L313" s="274" t="s">
        <v>8313</v>
      </c>
      <c r="N313" s="274" t="s">
        <v>4149</v>
      </c>
      <c r="AF313" s="264"/>
      <c r="AG313" s="264"/>
    </row>
    <row r="314" spans="1:33" ht="14.25" customHeight="1">
      <c r="A314" s="206">
        <v>1834</v>
      </c>
      <c r="B314" s="260" t="s">
        <v>7855</v>
      </c>
      <c r="C314" s="274" t="s">
        <v>4149</v>
      </c>
      <c r="D314" s="438">
        <v>185.76</v>
      </c>
      <c r="G314" s="182">
        <v>2699</v>
      </c>
      <c r="H314" s="404" t="s">
        <v>8009</v>
      </c>
      <c r="I314" s="443" t="s">
        <v>7826</v>
      </c>
      <c r="J314" s="471">
        <v>1100</v>
      </c>
      <c r="K314" s="404">
        <v>97862</v>
      </c>
      <c r="L314" s="274" t="s">
        <v>8313</v>
      </c>
      <c r="N314" s="274" t="s">
        <v>4380</v>
      </c>
      <c r="AF314" s="264"/>
      <c r="AG314" s="264"/>
    </row>
    <row r="315" spans="1:33" ht="14.25" customHeight="1">
      <c r="A315" s="182">
        <v>51</v>
      </c>
      <c r="B315" s="260" t="s">
        <v>7876</v>
      </c>
      <c r="C315" s="274" t="s">
        <v>7051</v>
      </c>
      <c r="D315" s="438">
        <v>5700</v>
      </c>
      <c r="G315" s="182">
        <v>325298</v>
      </c>
      <c r="H315" s="404" t="s">
        <v>8116</v>
      </c>
      <c r="I315" s="443" t="s">
        <v>7371</v>
      </c>
      <c r="J315" s="471">
        <v>1240</v>
      </c>
      <c r="K315" s="404">
        <v>97708</v>
      </c>
      <c r="L315" s="274" t="s">
        <v>8313</v>
      </c>
      <c r="N315" s="274" t="s">
        <v>7896</v>
      </c>
      <c r="AF315" s="264"/>
      <c r="AG315" s="264"/>
    </row>
    <row r="316" spans="1:33" ht="14.25" customHeight="1">
      <c r="A316" s="182">
        <v>8804</v>
      </c>
      <c r="B316" s="260" t="s">
        <v>7880</v>
      </c>
      <c r="C316" s="274" t="s">
        <v>4432</v>
      </c>
      <c r="D316" s="438">
        <v>300</v>
      </c>
      <c r="G316" s="182">
        <v>854</v>
      </c>
      <c r="H316" s="404" t="s">
        <v>7889</v>
      </c>
      <c r="I316" s="443" t="s">
        <v>3407</v>
      </c>
      <c r="J316" s="471">
        <v>1425</v>
      </c>
      <c r="K316" s="404">
        <v>97472</v>
      </c>
      <c r="L316" s="274" t="s">
        <v>8313</v>
      </c>
      <c r="N316" s="274" t="s">
        <v>4432</v>
      </c>
      <c r="AF316" s="264"/>
      <c r="AG316" s="264"/>
    </row>
    <row r="317" spans="1:33" ht="14.25" customHeight="1">
      <c r="A317" s="206">
        <v>1833</v>
      </c>
      <c r="B317" s="260" t="s">
        <v>7889</v>
      </c>
      <c r="C317" s="274" t="s">
        <v>4149</v>
      </c>
      <c r="D317" s="438">
        <v>1080</v>
      </c>
      <c r="G317" s="182">
        <v>324068</v>
      </c>
      <c r="H317" s="404" t="s">
        <v>8013</v>
      </c>
      <c r="I317" s="443" t="s">
        <v>7371</v>
      </c>
      <c r="J317" s="471">
        <v>1443</v>
      </c>
      <c r="K317" s="404">
        <v>98257</v>
      </c>
      <c r="L317" s="274" t="s">
        <v>8314</v>
      </c>
      <c r="N317" s="274" t="s">
        <v>4109</v>
      </c>
      <c r="AF317" s="264"/>
      <c r="AG317" s="264"/>
    </row>
    <row r="318" spans="1:33" ht="14.25" customHeight="1">
      <c r="A318" s="182">
        <v>854</v>
      </c>
      <c r="B318" s="260" t="s">
        <v>7889</v>
      </c>
      <c r="C318" s="274" t="s">
        <v>3407</v>
      </c>
      <c r="D318" s="438">
        <v>1425</v>
      </c>
      <c r="G318" s="182">
        <v>23788</v>
      </c>
      <c r="H318" s="404" t="s">
        <v>8031</v>
      </c>
      <c r="I318" s="443" t="s">
        <v>7545</v>
      </c>
      <c r="J318" s="471">
        <v>1550</v>
      </c>
      <c r="K318" s="404">
        <v>98289</v>
      </c>
      <c r="L318" s="274" t="s">
        <v>8314</v>
      </c>
      <c r="N318" s="274" t="s">
        <v>7472</v>
      </c>
      <c r="AF318" s="264"/>
      <c r="AG318" s="264"/>
    </row>
    <row r="319" spans="1:33" ht="14.25" customHeight="1">
      <c r="A319" s="182">
        <v>151437</v>
      </c>
      <c r="B319" s="260" t="s">
        <v>7903</v>
      </c>
      <c r="C319" s="274" t="s">
        <v>7984</v>
      </c>
      <c r="D319" s="438">
        <v>2320</v>
      </c>
      <c r="G319" s="182">
        <v>151437</v>
      </c>
      <c r="H319" s="404" t="s">
        <v>7903</v>
      </c>
      <c r="I319" s="443" t="s">
        <v>7984</v>
      </c>
      <c r="J319" s="471">
        <v>2320</v>
      </c>
      <c r="K319" s="404">
        <v>97476</v>
      </c>
      <c r="L319" s="274" t="s">
        <v>8313</v>
      </c>
      <c r="N319" s="274" t="s">
        <v>8597</v>
      </c>
      <c r="AF319" s="264"/>
      <c r="AG319" s="264"/>
    </row>
    <row r="320" spans="1:33" ht="14.25" customHeight="1">
      <c r="A320" s="182">
        <v>2584048</v>
      </c>
      <c r="B320" s="260" t="s">
        <v>7941</v>
      </c>
      <c r="C320" s="274" t="s">
        <v>4401</v>
      </c>
      <c r="D320" s="438">
        <v>145</v>
      </c>
      <c r="G320" s="182">
        <v>40075</v>
      </c>
      <c r="H320" s="404" t="s">
        <v>8112</v>
      </c>
      <c r="I320" s="443" t="s">
        <v>7896</v>
      </c>
      <c r="J320" s="471">
        <v>4920</v>
      </c>
      <c r="K320" s="404">
        <v>98537</v>
      </c>
      <c r="L320" s="274" t="s">
        <v>8314</v>
      </c>
      <c r="N320"/>
      <c r="AF320" s="264"/>
      <c r="AG320" s="264"/>
    </row>
    <row r="321" spans="1:33" ht="14.25" customHeight="1">
      <c r="A321" s="182">
        <v>425</v>
      </c>
      <c r="B321" s="260" t="s">
        <v>7942</v>
      </c>
      <c r="C321" s="274" t="s">
        <v>4433</v>
      </c>
      <c r="D321" s="438">
        <v>5068.7</v>
      </c>
      <c r="G321" s="182">
        <v>425</v>
      </c>
      <c r="H321" s="404" t="s">
        <v>7942</v>
      </c>
      <c r="I321" s="443" t="s">
        <v>4433</v>
      </c>
      <c r="J321" s="471">
        <v>5068.7</v>
      </c>
      <c r="K321" s="404">
        <v>97703</v>
      </c>
      <c r="L321" s="274" t="s">
        <v>8313</v>
      </c>
      <c r="N321"/>
      <c r="AF321" s="264"/>
      <c r="AG321" s="264"/>
    </row>
    <row r="322" spans="1:33" ht="14.25" customHeight="1">
      <c r="A322" s="182">
        <v>211374</v>
      </c>
      <c r="B322" s="260" t="s">
        <v>7945</v>
      </c>
      <c r="C322" s="274" t="s">
        <v>7978</v>
      </c>
      <c r="D322" s="438">
        <v>180</v>
      </c>
      <c r="G322" s="182">
        <v>51</v>
      </c>
      <c r="H322" s="404" t="s">
        <v>7876</v>
      </c>
      <c r="I322" s="443" t="s">
        <v>7051</v>
      </c>
      <c r="J322" s="471">
        <v>5700</v>
      </c>
      <c r="K322" s="404">
        <v>3283</v>
      </c>
      <c r="L322" s="274" t="s">
        <v>8313</v>
      </c>
      <c r="N322"/>
      <c r="AF322" s="264"/>
      <c r="AG322" s="264"/>
    </row>
    <row r="323" spans="1:33" ht="14.25" customHeight="1">
      <c r="A323" s="182">
        <v>2585836</v>
      </c>
      <c r="B323" s="260" t="s">
        <v>7946</v>
      </c>
      <c r="C323" s="274" t="s">
        <v>4401</v>
      </c>
      <c r="D323" s="438">
        <v>648.5</v>
      </c>
      <c r="G323" s="182">
        <v>80145</v>
      </c>
      <c r="H323" s="404" t="s">
        <v>8025</v>
      </c>
      <c r="I323" s="443" t="s">
        <v>4109</v>
      </c>
      <c r="J323" s="471">
        <v>5780</v>
      </c>
      <c r="K323" s="404">
        <v>98277</v>
      </c>
      <c r="L323" s="274" t="s">
        <v>8314</v>
      </c>
      <c r="N323"/>
      <c r="AF323" s="264"/>
      <c r="AG323" s="264"/>
    </row>
    <row r="324" spans="1:33" ht="14.25" customHeight="1">
      <c r="A324" s="182">
        <v>115651</v>
      </c>
      <c r="B324" s="260" t="s">
        <v>7950</v>
      </c>
      <c r="C324" s="274" t="s">
        <v>2989</v>
      </c>
      <c r="D324" s="438">
        <v>159.98399999999998</v>
      </c>
      <c r="G324" s="182">
        <v>94</v>
      </c>
      <c r="H324" s="404" t="s">
        <v>7762</v>
      </c>
      <c r="I324" s="443" t="s">
        <v>7820</v>
      </c>
      <c r="J324" s="471">
        <v>6172.2</v>
      </c>
      <c r="K324" s="404">
        <v>98804</v>
      </c>
      <c r="L324" s="274" t="s">
        <v>8314</v>
      </c>
      <c r="N324"/>
      <c r="AF324" s="264"/>
      <c r="AG324" s="264"/>
    </row>
    <row r="325" spans="1:33" ht="14.25" customHeight="1">
      <c r="A325" s="182">
        <v>22136</v>
      </c>
      <c r="B325" s="260" t="s">
        <v>7951</v>
      </c>
      <c r="C325" s="274" t="s">
        <v>7472</v>
      </c>
      <c r="D325" s="438">
        <v>300</v>
      </c>
      <c r="G325" s="182">
        <v>231991</v>
      </c>
      <c r="H325" s="404" t="s">
        <v>8019</v>
      </c>
      <c r="I325" s="443" t="s">
        <v>4380</v>
      </c>
      <c r="J325" s="471">
        <v>10125</v>
      </c>
      <c r="K325" s="404">
        <v>98261</v>
      </c>
      <c r="L325" s="274" t="s">
        <v>8314</v>
      </c>
      <c r="N325"/>
      <c r="AF325" s="264"/>
      <c r="AG325" s="264"/>
    </row>
    <row r="326" spans="1:33" ht="14.25" customHeight="1">
      <c r="A326" s="182">
        <v>1204374</v>
      </c>
      <c r="B326" s="260" t="s">
        <v>7959</v>
      </c>
      <c r="C326" s="274" t="s">
        <v>3663</v>
      </c>
      <c r="D326" s="438">
        <v>1018.7099999999999</v>
      </c>
      <c r="G326" s="182">
        <v>325379</v>
      </c>
      <c r="H326" s="404" t="s">
        <v>8021</v>
      </c>
      <c r="I326" s="443" t="s">
        <v>7371</v>
      </c>
      <c r="J326" s="471">
        <v>10125</v>
      </c>
      <c r="K326" s="404">
        <v>98261</v>
      </c>
      <c r="L326" s="274" t="s">
        <v>8314</v>
      </c>
      <c r="N326"/>
      <c r="AF326" s="264"/>
      <c r="AG326" s="264"/>
    </row>
    <row r="327" spans="1:33" ht="14.25" customHeight="1">
      <c r="A327" s="182">
        <v>1204958</v>
      </c>
      <c r="B327" s="260" t="s">
        <v>7960</v>
      </c>
      <c r="C327" s="274" t="s">
        <v>3663</v>
      </c>
      <c r="D327" s="438">
        <v>1018.7099999999999</v>
      </c>
      <c r="G327" s="45"/>
      <c r="H327" s="45"/>
      <c r="I327" s="475" t="s">
        <v>1876</v>
      </c>
      <c r="J327" s="476">
        <f>SUM(J295:J326)</f>
        <v>65424.03</v>
      </c>
      <c r="K327" s="404"/>
      <c r="N327"/>
      <c r="AF327" s="264"/>
      <c r="AG327" s="264"/>
    </row>
    <row r="328" spans="1:33" ht="14.25" customHeight="1">
      <c r="A328" s="182">
        <v>1203981</v>
      </c>
      <c r="B328" s="260" t="s">
        <v>7963</v>
      </c>
      <c r="C328" s="274" t="s">
        <v>3663</v>
      </c>
      <c r="D328" s="438">
        <v>1018.7099999999999</v>
      </c>
      <c r="G328" s="455">
        <v>28749</v>
      </c>
      <c r="H328" s="472" t="s">
        <v>7800</v>
      </c>
      <c r="I328" s="473" t="s">
        <v>7822</v>
      </c>
      <c r="J328" s="474" t="s">
        <v>8312</v>
      </c>
      <c r="K328" s="404"/>
      <c r="AF328" s="264"/>
      <c r="AG328" s="264"/>
    </row>
    <row r="329" spans="1:33" ht="14.25" customHeight="1">
      <c r="A329" s="182">
        <v>448954</v>
      </c>
      <c r="B329" s="260" t="s">
        <v>7992</v>
      </c>
      <c r="C329" s="274" t="s">
        <v>7372</v>
      </c>
      <c r="D329" s="438">
        <v>360</v>
      </c>
      <c r="G329"/>
      <c r="H329"/>
      <c r="I329"/>
      <c r="J329" s="451"/>
      <c r="AF329" s="264"/>
      <c r="AG329" s="264"/>
    </row>
    <row r="330" spans="1:33" ht="14.25" customHeight="1">
      <c r="A330" s="182">
        <v>936</v>
      </c>
      <c r="B330" s="260" t="s">
        <v>8005</v>
      </c>
      <c r="C330" s="274" t="s">
        <v>3530</v>
      </c>
      <c r="D330" s="438">
        <v>317</v>
      </c>
      <c r="G330"/>
      <c r="H330"/>
      <c r="I330"/>
      <c r="J330" s="451"/>
      <c r="AF330" s="264"/>
      <c r="AG330" s="264"/>
    </row>
    <row r="331" spans="1:33" ht="14.25" customHeight="1">
      <c r="A331" s="182">
        <v>2699</v>
      </c>
      <c r="B331" s="260" t="s">
        <v>8009</v>
      </c>
      <c r="C331" s="274" t="s">
        <v>7826</v>
      </c>
      <c r="D331" s="438">
        <v>1100</v>
      </c>
      <c r="G331"/>
      <c r="H331"/>
      <c r="I331"/>
      <c r="J331"/>
      <c r="AF331" s="264"/>
      <c r="AG331" s="264"/>
    </row>
    <row r="332" spans="1:33" ht="14.25" customHeight="1">
      <c r="A332" s="182">
        <v>324068</v>
      </c>
      <c r="B332" s="260" t="s">
        <v>8013</v>
      </c>
      <c r="C332" s="274" t="s">
        <v>7371</v>
      </c>
      <c r="D332" s="438">
        <v>1442.9999999999998</v>
      </c>
      <c r="G332"/>
      <c r="H332"/>
      <c r="I332"/>
      <c r="J332"/>
      <c r="AF332" s="264"/>
      <c r="AG332" s="264"/>
    </row>
    <row r="333" spans="1:33" ht="14.25" customHeight="1">
      <c r="A333" s="182">
        <v>231991</v>
      </c>
      <c r="B333" s="260" t="s">
        <v>8019</v>
      </c>
      <c r="C333" s="274" t="s">
        <v>4380</v>
      </c>
      <c r="D333" s="438">
        <v>10125</v>
      </c>
      <c r="G333"/>
      <c r="H333"/>
      <c r="I333"/>
      <c r="J333"/>
      <c r="AF333" s="264"/>
      <c r="AG333" s="264"/>
    </row>
    <row r="334" spans="1:33" ht="14.25" customHeight="1">
      <c r="A334" s="182">
        <v>325379</v>
      </c>
      <c r="B334" s="260" t="s">
        <v>8021</v>
      </c>
      <c r="C334" s="274" t="s">
        <v>7371</v>
      </c>
      <c r="D334" s="438">
        <v>10125</v>
      </c>
      <c r="G334"/>
      <c r="H334"/>
      <c r="I334"/>
      <c r="J334"/>
      <c r="AF334" s="264"/>
      <c r="AG334" s="264"/>
    </row>
    <row r="335" spans="1:33" ht="14.25" customHeight="1">
      <c r="A335" s="182">
        <v>80145</v>
      </c>
      <c r="B335" s="260" t="s">
        <v>8025</v>
      </c>
      <c r="C335" s="274" t="s">
        <v>4109</v>
      </c>
      <c r="D335" s="438">
        <v>5780</v>
      </c>
      <c r="G335"/>
      <c r="H335"/>
      <c r="I335"/>
      <c r="J335"/>
      <c r="AF335" s="264"/>
      <c r="AG335" s="264"/>
    </row>
    <row r="336" spans="1:33" ht="14.25" customHeight="1">
      <c r="A336" s="182">
        <v>231934</v>
      </c>
      <c r="B336" s="260" t="s">
        <v>8029</v>
      </c>
      <c r="C336" s="274" t="s">
        <v>4380</v>
      </c>
      <c r="D336" s="438">
        <v>289</v>
      </c>
      <c r="G336"/>
      <c r="H336"/>
      <c r="I336"/>
      <c r="J336"/>
      <c r="AF336" s="264"/>
      <c r="AG336" s="264"/>
    </row>
    <row r="337" spans="1:33" ht="14.25" customHeight="1">
      <c r="A337" s="182">
        <v>23788</v>
      </c>
      <c r="B337" s="260" t="s">
        <v>8031</v>
      </c>
      <c r="C337" s="274" t="s">
        <v>7545</v>
      </c>
      <c r="D337" s="438">
        <v>1550</v>
      </c>
      <c r="G337"/>
      <c r="H337"/>
      <c r="I337"/>
      <c r="J337"/>
      <c r="AF337" s="264"/>
      <c r="AG337" s="264"/>
    </row>
    <row r="338" spans="1:33" ht="14.25" customHeight="1">
      <c r="A338" s="182">
        <v>40075</v>
      </c>
      <c r="B338" s="260" t="s">
        <v>8112</v>
      </c>
      <c r="C338" s="274" t="s">
        <v>7896</v>
      </c>
      <c r="D338" s="438">
        <v>4920</v>
      </c>
      <c r="G338"/>
      <c r="H338"/>
      <c r="I338"/>
      <c r="J338"/>
      <c r="AF338" s="264"/>
      <c r="AG338" s="264"/>
    </row>
    <row r="339" spans="1:33" ht="14.25" customHeight="1">
      <c r="A339" s="182">
        <v>325298</v>
      </c>
      <c r="B339" s="260" t="s">
        <v>8116</v>
      </c>
      <c r="C339" s="274" t="s">
        <v>7371</v>
      </c>
      <c r="D339" s="438">
        <v>1240</v>
      </c>
      <c r="G339"/>
      <c r="H339"/>
      <c r="I339"/>
      <c r="J339"/>
      <c r="AF339" s="264"/>
      <c r="AG339" s="264"/>
    </row>
    <row r="340" spans="1:33" ht="14.25" customHeight="1">
      <c r="AF340" s="264"/>
      <c r="AG340" s="264"/>
    </row>
    <row r="341" spans="1:33" ht="14.25" customHeight="1">
      <c r="D341" s="439">
        <f>SUM(D298:D340)</f>
        <v>66954.034</v>
      </c>
      <c r="J341" s="439"/>
      <c r="AF341" s="264"/>
      <c r="AG341" s="264"/>
    </row>
    <row r="342" spans="1:33" ht="14.25" customHeight="1">
      <c r="AF342" s="264"/>
      <c r="AG342" s="264"/>
    </row>
    <row r="343" spans="1:33" ht="24" thickBot="1">
      <c r="C343" s="437">
        <v>43971</v>
      </c>
      <c r="G343" s="404"/>
      <c r="H343" s="404"/>
      <c r="I343" s="441" t="s">
        <v>8676</v>
      </c>
      <c r="J343" s="442" t="s">
        <v>6931</v>
      </c>
      <c r="K343" s="404"/>
      <c r="N343" s="385" t="s">
        <v>8599</v>
      </c>
      <c r="O343" s="386"/>
      <c r="P343" s="422" t="s">
        <v>7633</v>
      </c>
      <c r="AF343" s="264"/>
      <c r="AG343" s="264"/>
    </row>
    <row r="344" spans="1:33" ht="14.25" customHeight="1" thickTop="1">
      <c r="A344" s="280" t="s">
        <v>1844</v>
      </c>
      <c r="B344" s="280" t="s">
        <v>568</v>
      </c>
      <c r="C344" s="280" t="s">
        <v>0</v>
      </c>
      <c r="D344" s="280" t="s">
        <v>3669</v>
      </c>
      <c r="F344" s="190"/>
      <c r="G344" s="280" t="s">
        <v>1844</v>
      </c>
      <c r="H344" s="280" t="s">
        <v>568</v>
      </c>
      <c r="I344" s="281" t="s">
        <v>0</v>
      </c>
      <c r="J344" s="280" t="s">
        <v>3669</v>
      </c>
      <c r="K344" s="280" t="s">
        <v>2815</v>
      </c>
      <c r="N344" s="383" t="s">
        <v>2839</v>
      </c>
      <c r="O344" s="383" t="s">
        <v>2789</v>
      </c>
      <c r="P344" s="383" t="s">
        <v>1877</v>
      </c>
      <c r="Q344" s="190"/>
      <c r="AF344" s="264"/>
      <c r="AG344" s="264"/>
    </row>
    <row r="345" spans="1:33" ht="14.25" customHeight="1">
      <c r="A345" s="260">
        <v>1906</v>
      </c>
      <c r="B345" s="260" t="s">
        <v>7235</v>
      </c>
      <c r="C345" s="274" t="s">
        <v>4149</v>
      </c>
      <c r="D345" s="438">
        <v>900</v>
      </c>
      <c r="G345" s="404">
        <v>8061</v>
      </c>
      <c r="H345" s="404" t="s">
        <v>8401</v>
      </c>
      <c r="I345" s="443" t="s">
        <v>5727</v>
      </c>
      <c r="J345" s="471">
        <v>18</v>
      </c>
      <c r="K345" s="404" t="e">
        <v>#N/A</v>
      </c>
      <c r="L345" s="274" t="s">
        <v>8822</v>
      </c>
      <c r="N345" s="274" t="s">
        <v>7828</v>
      </c>
      <c r="AF345" s="264"/>
      <c r="AG345" s="264"/>
    </row>
    <row r="346" spans="1:33" ht="14.25" customHeight="1">
      <c r="A346" s="260">
        <v>1906</v>
      </c>
      <c r="B346" s="260" t="s">
        <v>7235</v>
      </c>
      <c r="C346" s="274" t="s">
        <v>4149</v>
      </c>
      <c r="D346" s="438">
        <v>1710</v>
      </c>
      <c r="G346" s="404">
        <v>10787</v>
      </c>
      <c r="H346" s="404" t="s">
        <v>7994</v>
      </c>
      <c r="I346" s="443" t="s">
        <v>7337</v>
      </c>
      <c r="J346" s="471">
        <v>34.5</v>
      </c>
      <c r="K346" s="404" t="e">
        <v>#N/A</v>
      </c>
      <c r="L346" s="274" t="s">
        <v>8822</v>
      </c>
      <c r="N346" s="482" t="s">
        <v>4379</v>
      </c>
      <c r="AF346" s="264"/>
      <c r="AG346" s="264"/>
    </row>
    <row r="347" spans="1:33" ht="14.25" customHeight="1">
      <c r="A347" s="260">
        <v>1906</v>
      </c>
      <c r="B347" s="260" t="s">
        <v>7235</v>
      </c>
      <c r="C347" s="274" t="s">
        <v>4149</v>
      </c>
      <c r="D347" s="438">
        <v>2205</v>
      </c>
      <c r="G347" s="404">
        <v>40854</v>
      </c>
      <c r="H347" s="404" t="s">
        <v>8350</v>
      </c>
      <c r="I347" s="443" t="s">
        <v>7896</v>
      </c>
      <c r="J347" s="471">
        <v>48</v>
      </c>
      <c r="K347" s="484">
        <v>17848</v>
      </c>
      <c r="N347" s="274" t="s">
        <v>7283</v>
      </c>
      <c r="AF347" s="264"/>
      <c r="AG347" s="264"/>
    </row>
    <row r="348" spans="1:33" ht="14.25" customHeight="1">
      <c r="A348" s="260">
        <v>8669</v>
      </c>
      <c r="B348" s="260" t="s">
        <v>7471</v>
      </c>
      <c r="C348" s="274" t="s">
        <v>7819</v>
      </c>
      <c r="D348" s="438">
        <v>2452.85</v>
      </c>
      <c r="G348" s="404">
        <v>3005</v>
      </c>
      <c r="H348" s="404" t="s">
        <v>8339</v>
      </c>
      <c r="I348" s="443" t="s">
        <v>8395</v>
      </c>
      <c r="J348" s="471">
        <v>70</v>
      </c>
      <c r="K348" s="484">
        <v>17869</v>
      </c>
      <c r="N348" s="274" t="s">
        <v>8252</v>
      </c>
      <c r="AF348" s="264"/>
      <c r="AG348" s="264"/>
    </row>
    <row r="349" spans="1:33" ht="14.25" customHeight="1">
      <c r="A349" s="260">
        <v>326964</v>
      </c>
      <c r="B349" s="260" t="s">
        <v>7763</v>
      </c>
      <c r="C349" s="274" t="s">
        <v>7371</v>
      </c>
      <c r="D349" s="438">
        <v>813.20399999999995</v>
      </c>
      <c r="G349" s="404">
        <v>28773</v>
      </c>
      <c r="H349" s="404" t="s">
        <v>7800</v>
      </c>
      <c r="I349" s="443" t="s">
        <v>7822</v>
      </c>
      <c r="J349" s="471">
        <v>90</v>
      </c>
      <c r="K349" s="484">
        <v>17877</v>
      </c>
      <c r="N349" s="274" t="s">
        <v>7051</v>
      </c>
      <c r="AF349" s="264"/>
      <c r="AG349" s="264"/>
    </row>
    <row r="350" spans="1:33" ht="14.25" customHeight="1">
      <c r="A350" s="260">
        <v>326974</v>
      </c>
      <c r="B350" s="260" t="s">
        <v>7763</v>
      </c>
      <c r="C350" s="274" t="s">
        <v>7371</v>
      </c>
      <c r="D350" s="438">
        <v>411.6</v>
      </c>
      <c r="G350" s="404">
        <v>117457</v>
      </c>
      <c r="H350" s="404" t="s">
        <v>8127</v>
      </c>
      <c r="I350" s="443" t="s">
        <v>2989</v>
      </c>
      <c r="J350" s="471">
        <v>102</v>
      </c>
      <c r="K350" s="484">
        <v>17884</v>
      </c>
      <c r="N350" s="274" t="s">
        <v>2989</v>
      </c>
      <c r="AF350" s="264"/>
      <c r="AG350" s="264"/>
    </row>
    <row r="351" spans="1:33" ht="14.25" customHeight="1">
      <c r="A351" s="260">
        <v>1721792</v>
      </c>
      <c r="B351" s="260" t="s">
        <v>7795</v>
      </c>
      <c r="C351" s="274" t="s">
        <v>7828</v>
      </c>
      <c r="D351" s="438">
        <v>200</v>
      </c>
      <c r="G351" s="404">
        <v>232745</v>
      </c>
      <c r="H351" s="404" t="s">
        <v>8129</v>
      </c>
      <c r="I351" s="443" t="s">
        <v>4380</v>
      </c>
      <c r="J351" s="471">
        <v>130</v>
      </c>
      <c r="K351" s="484">
        <v>17894</v>
      </c>
      <c r="N351" s="274" t="s">
        <v>3663</v>
      </c>
      <c r="AF351" s="264"/>
      <c r="AG351" s="264"/>
    </row>
    <row r="352" spans="1:33" ht="14.25" customHeight="1">
      <c r="A352" s="260">
        <v>49</v>
      </c>
      <c r="B352" s="260" t="s">
        <v>7795</v>
      </c>
      <c r="C352" s="274" t="s">
        <v>7051</v>
      </c>
      <c r="D352" s="438">
        <v>2697</v>
      </c>
      <c r="G352" s="404">
        <v>328885</v>
      </c>
      <c r="H352" s="404" t="s">
        <v>8246</v>
      </c>
      <c r="I352" s="443" t="s">
        <v>7371</v>
      </c>
      <c r="J352" s="471">
        <v>133.97999999999999</v>
      </c>
      <c r="K352" s="484">
        <v>17903</v>
      </c>
      <c r="N352" s="274" t="s">
        <v>5754</v>
      </c>
      <c r="AF352" s="264"/>
      <c r="AG352" s="264"/>
    </row>
    <row r="353" spans="1:33" ht="14.25" customHeight="1">
      <c r="A353" s="260">
        <v>28749</v>
      </c>
      <c r="B353" s="260" t="s">
        <v>7800</v>
      </c>
      <c r="C353" s="274" t="s">
        <v>7822</v>
      </c>
      <c r="D353" s="438">
        <v>2070</v>
      </c>
      <c r="G353" s="404">
        <v>28388</v>
      </c>
      <c r="H353" s="404" t="s">
        <v>7892</v>
      </c>
      <c r="I353" s="443" t="s">
        <v>7364</v>
      </c>
      <c r="J353" s="471">
        <v>150</v>
      </c>
      <c r="K353" s="484">
        <v>17908</v>
      </c>
      <c r="N353" s="274" t="s">
        <v>4401</v>
      </c>
      <c r="AF353" s="264"/>
      <c r="AG353" s="264"/>
    </row>
    <row r="354" spans="1:33" ht="14.25" customHeight="1">
      <c r="A354" s="260">
        <v>28773</v>
      </c>
      <c r="B354" s="260" t="s">
        <v>7800</v>
      </c>
      <c r="C354" s="274" t="s">
        <v>7822</v>
      </c>
      <c r="D354" s="438">
        <v>90</v>
      </c>
      <c r="G354" s="404">
        <v>23</v>
      </c>
      <c r="H354" s="404" t="s">
        <v>8131</v>
      </c>
      <c r="I354" s="443" t="s">
        <v>8240</v>
      </c>
      <c r="J354" s="471">
        <v>165</v>
      </c>
      <c r="K354" s="484">
        <v>17912</v>
      </c>
      <c r="N354" s="274" t="s">
        <v>8394</v>
      </c>
      <c r="AF354" s="264"/>
      <c r="AG354" s="264"/>
    </row>
    <row r="355" spans="1:33" ht="14.25" customHeight="1">
      <c r="A355" s="260">
        <v>1736724</v>
      </c>
      <c r="B355" s="260" t="s">
        <v>7867</v>
      </c>
      <c r="C355" s="274" t="s">
        <v>7828</v>
      </c>
      <c r="D355" s="438">
        <v>3497.5</v>
      </c>
      <c r="G355" s="404">
        <v>40855</v>
      </c>
      <c r="H355" s="404" t="s">
        <v>8320</v>
      </c>
      <c r="I355" s="443" t="s">
        <v>7896</v>
      </c>
      <c r="J355" s="471">
        <v>189</v>
      </c>
      <c r="K355" s="484">
        <v>17920</v>
      </c>
      <c r="N355" s="274" t="s">
        <v>4433</v>
      </c>
      <c r="AF355" s="264"/>
      <c r="AG355" s="264"/>
    </row>
    <row r="356" spans="1:33" ht="14.25" customHeight="1">
      <c r="A356" s="260">
        <v>864</v>
      </c>
      <c r="B356" s="260" t="s">
        <v>7889</v>
      </c>
      <c r="C356" s="274" t="s">
        <v>3407</v>
      </c>
      <c r="D356" s="438">
        <v>1800</v>
      </c>
      <c r="G356" s="404">
        <v>1721792</v>
      </c>
      <c r="H356" s="404" t="s">
        <v>7795</v>
      </c>
      <c r="I356" s="443" t="s">
        <v>7828</v>
      </c>
      <c r="J356" s="471">
        <v>200</v>
      </c>
      <c r="K356" s="484">
        <v>17926</v>
      </c>
      <c r="N356" s="274" t="s">
        <v>3407</v>
      </c>
      <c r="AF356" s="264"/>
      <c r="AG356" s="264"/>
    </row>
    <row r="357" spans="1:33" ht="14.25" customHeight="1">
      <c r="A357" s="260">
        <v>28388</v>
      </c>
      <c r="B357" s="260" t="s">
        <v>7892</v>
      </c>
      <c r="C357" s="274" t="s">
        <v>7364</v>
      </c>
      <c r="D357" s="438">
        <v>150</v>
      </c>
      <c r="G357" s="404">
        <v>994</v>
      </c>
      <c r="H357" s="404" t="s">
        <v>8334</v>
      </c>
      <c r="I357" s="443" t="s">
        <v>4358</v>
      </c>
      <c r="J357" s="471">
        <v>210.24</v>
      </c>
      <c r="K357" s="484">
        <v>17932</v>
      </c>
      <c r="N357" s="274" t="s">
        <v>8395</v>
      </c>
      <c r="AF357" s="264"/>
    </row>
    <row r="358" spans="1:33" ht="14.25" customHeight="1">
      <c r="A358" s="260">
        <v>319</v>
      </c>
      <c r="B358" s="260" t="s">
        <v>7897</v>
      </c>
      <c r="C358" s="274" t="s">
        <v>8118</v>
      </c>
      <c r="D358" s="438">
        <v>4994.4399999999996</v>
      </c>
      <c r="G358" s="404">
        <v>40432</v>
      </c>
      <c r="H358" s="404" t="s">
        <v>8209</v>
      </c>
      <c r="I358" s="443" t="s">
        <v>7896</v>
      </c>
      <c r="J358" s="471">
        <v>224</v>
      </c>
      <c r="K358" s="484">
        <v>17934</v>
      </c>
      <c r="N358" s="274" t="s">
        <v>3530</v>
      </c>
      <c r="AF358" s="264"/>
    </row>
    <row r="359" spans="1:33" ht="14.25" customHeight="1">
      <c r="A359" s="260">
        <v>144060</v>
      </c>
      <c r="B359" s="260" t="s">
        <v>7943</v>
      </c>
      <c r="C359" s="274" t="s">
        <v>5754</v>
      </c>
      <c r="D359" s="438">
        <v>706.59999999999991</v>
      </c>
      <c r="G359" s="404">
        <v>992</v>
      </c>
      <c r="H359" s="404" t="s">
        <v>8359</v>
      </c>
      <c r="I359" s="443" t="s">
        <v>4358</v>
      </c>
      <c r="J359" s="471">
        <v>225</v>
      </c>
      <c r="K359" s="484">
        <v>17956</v>
      </c>
      <c r="N359" s="274" t="s">
        <v>8393</v>
      </c>
      <c r="O359" s="386" t="s">
        <v>8624</v>
      </c>
      <c r="AF359" s="264"/>
    </row>
    <row r="360" spans="1:33" ht="14.25" customHeight="1">
      <c r="A360" s="260">
        <v>950</v>
      </c>
      <c r="B360" s="260" t="s">
        <v>7967</v>
      </c>
      <c r="C360" s="274" t="s">
        <v>3530</v>
      </c>
      <c r="D360" s="438">
        <v>1368</v>
      </c>
      <c r="G360" s="404">
        <v>331848</v>
      </c>
      <c r="H360" s="404" t="s">
        <v>8318</v>
      </c>
      <c r="I360" s="443" t="s">
        <v>7371</v>
      </c>
      <c r="J360" s="471">
        <v>240</v>
      </c>
      <c r="K360" s="484">
        <v>17983</v>
      </c>
      <c r="N360" s="274" t="s">
        <v>5727</v>
      </c>
      <c r="AF360" s="264"/>
    </row>
    <row r="361" spans="1:33" ht="14.25" customHeight="1">
      <c r="A361" s="260">
        <v>10787</v>
      </c>
      <c r="B361" s="260" t="s">
        <v>7994</v>
      </c>
      <c r="C361" s="274" t="s">
        <v>7337</v>
      </c>
      <c r="D361" s="438">
        <v>34.5</v>
      </c>
      <c r="G361" s="404">
        <v>993</v>
      </c>
      <c r="H361" s="404" t="s">
        <v>8330</v>
      </c>
      <c r="I361" s="443" t="s">
        <v>4358</v>
      </c>
      <c r="J361" s="471">
        <v>242</v>
      </c>
      <c r="K361" s="484">
        <v>17962</v>
      </c>
      <c r="N361" s="274" t="s">
        <v>7364</v>
      </c>
      <c r="AF361" s="264"/>
    </row>
    <row r="362" spans="1:33" ht="14.25" customHeight="1">
      <c r="A362" s="260">
        <v>117921</v>
      </c>
      <c r="B362" s="260" t="s">
        <v>8011</v>
      </c>
      <c r="C362" s="274" t="s">
        <v>2989</v>
      </c>
      <c r="D362" s="438">
        <v>500</v>
      </c>
      <c r="G362" s="404">
        <v>118805</v>
      </c>
      <c r="H362" s="404" t="s">
        <v>8347</v>
      </c>
      <c r="I362" s="443" t="s">
        <v>2989</v>
      </c>
      <c r="J362" s="471">
        <v>254</v>
      </c>
      <c r="K362" s="484">
        <v>17993</v>
      </c>
      <c r="N362" s="274" t="s">
        <v>8240</v>
      </c>
      <c r="AF362" s="264"/>
    </row>
    <row r="363" spans="1:33" ht="14.25" customHeight="1">
      <c r="A363" s="260">
        <v>1531</v>
      </c>
      <c r="B363" s="260" t="s">
        <v>8015</v>
      </c>
      <c r="C363" s="274" t="s">
        <v>7283</v>
      </c>
      <c r="D363" s="438">
        <v>749</v>
      </c>
      <c r="G363" s="404">
        <v>144234</v>
      </c>
      <c r="H363" s="404" t="s">
        <v>8242</v>
      </c>
      <c r="I363" s="443" t="s">
        <v>5754</v>
      </c>
      <c r="J363" s="471">
        <v>258.89999999999998</v>
      </c>
      <c r="K363" s="484">
        <v>18006</v>
      </c>
      <c r="N363" s="274" t="s">
        <v>4358</v>
      </c>
      <c r="AF363" s="264"/>
    </row>
    <row r="364" spans="1:33" ht="14.25" customHeight="1">
      <c r="A364" s="260">
        <v>232926</v>
      </c>
      <c r="B364" s="260" t="s">
        <v>8019</v>
      </c>
      <c r="C364" s="274" t="s">
        <v>4380</v>
      </c>
      <c r="D364" s="438">
        <v>7425</v>
      </c>
      <c r="G364" s="404">
        <v>679</v>
      </c>
      <c r="H364" s="404" t="s">
        <v>8109</v>
      </c>
      <c r="I364" s="443" t="s">
        <v>3671</v>
      </c>
      <c r="J364" s="471">
        <v>300</v>
      </c>
      <c r="K364" s="484">
        <v>18012</v>
      </c>
      <c r="N364" s="274" t="s">
        <v>7285</v>
      </c>
      <c r="AF364" s="264"/>
    </row>
    <row r="365" spans="1:33" ht="14.25" customHeight="1">
      <c r="A365" s="260">
        <v>531816</v>
      </c>
      <c r="B365" s="260" t="s">
        <v>8027</v>
      </c>
      <c r="C365" s="274" t="s">
        <v>7825</v>
      </c>
      <c r="D365" s="438">
        <v>7900</v>
      </c>
      <c r="G365" s="404">
        <v>326974</v>
      </c>
      <c r="H365" s="404" t="s">
        <v>7763</v>
      </c>
      <c r="I365" s="443" t="s">
        <v>7371</v>
      </c>
      <c r="J365" s="471">
        <v>411.6</v>
      </c>
      <c r="K365" s="484">
        <v>18024</v>
      </c>
      <c r="N365" s="274" t="s">
        <v>7371</v>
      </c>
      <c r="AF365" s="264"/>
    </row>
    <row r="366" spans="1:33" ht="14.25" customHeight="1">
      <c r="A366" s="260">
        <v>2045</v>
      </c>
      <c r="B366" s="260" t="s">
        <v>8032</v>
      </c>
      <c r="C366" s="274" t="s">
        <v>7285</v>
      </c>
      <c r="D366" s="438">
        <v>14400</v>
      </c>
      <c r="G366" s="404">
        <v>327148</v>
      </c>
      <c r="H366" s="404" t="s">
        <v>8205</v>
      </c>
      <c r="I366" s="443" t="s">
        <v>7371</v>
      </c>
      <c r="J366" s="471">
        <v>416</v>
      </c>
      <c r="K366" s="484">
        <v>18035</v>
      </c>
      <c r="N366" s="274" t="s">
        <v>8118</v>
      </c>
      <c r="AF366" s="264"/>
    </row>
    <row r="367" spans="1:33" ht="14.25" customHeight="1">
      <c r="A367" s="260">
        <v>8782</v>
      </c>
      <c r="B367" s="260" t="s">
        <v>8036</v>
      </c>
      <c r="C367" s="274" t="s">
        <v>7819</v>
      </c>
      <c r="D367" s="438">
        <v>2556.87</v>
      </c>
      <c r="G367" s="404">
        <v>8908</v>
      </c>
      <c r="H367" s="404" t="s">
        <v>8189</v>
      </c>
      <c r="I367" s="443" t="s">
        <v>4432</v>
      </c>
      <c r="J367" s="471">
        <v>475</v>
      </c>
      <c r="K367" s="484">
        <v>18043</v>
      </c>
      <c r="N367" s="274" t="s">
        <v>7822</v>
      </c>
      <c r="AF367" s="264"/>
    </row>
    <row r="368" spans="1:33" ht="14.25" customHeight="1">
      <c r="A368" s="260">
        <v>8782</v>
      </c>
      <c r="B368" s="260" t="s">
        <v>8036</v>
      </c>
      <c r="C368" s="274" t="s">
        <v>7819</v>
      </c>
      <c r="D368" s="438">
        <v>2556.87</v>
      </c>
      <c r="G368" s="404">
        <v>8875</v>
      </c>
      <c r="H368" s="404" t="s">
        <v>8187</v>
      </c>
      <c r="I368" s="443" t="s">
        <v>4432</v>
      </c>
      <c r="J368" s="471">
        <v>496</v>
      </c>
      <c r="K368" s="484">
        <v>18046</v>
      </c>
      <c r="N368" s="274" t="s">
        <v>7825</v>
      </c>
      <c r="AF368" s="264"/>
    </row>
    <row r="369" spans="1:32" ht="14.25" customHeight="1">
      <c r="A369" s="260">
        <v>679</v>
      </c>
      <c r="B369" s="260" t="s">
        <v>8109</v>
      </c>
      <c r="C369" s="274" t="s">
        <v>3671</v>
      </c>
      <c r="D369" s="438">
        <v>300</v>
      </c>
      <c r="G369" s="404">
        <v>117921</v>
      </c>
      <c r="H369" s="404" t="s">
        <v>8011</v>
      </c>
      <c r="I369" s="443" t="s">
        <v>2989</v>
      </c>
      <c r="J369" s="471">
        <v>500</v>
      </c>
      <c r="K369" s="484">
        <v>18052</v>
      </c>
      <c r="N369" s="274" t="s">
        <v>7337</v>
      </c>
      <c r="AF369" s="264"/>
    </row>
    <row r="370" spans="1:32" ht="14.25" customHeight="1">
      <c r="A370" s="260">
        <v>2599926</v>
      </c>
      <c r="B370" s="260" t="s">
        <v>8114</v>
      </c>
      <c r="C370" s="274" t="s">
        <v>4401</v>
      </c>
      <c r="D370" s="438">
        <v>8700</v>
      </c>
      <c r="G370" s="404">
        <v>118975</v>
      </c>
      <c r="H370" s="404" t="s">
        <v>8346</v>
      </c>
      <c r="I370" s="443" t="s">
        <v>2989</v>
      </c>
      <c r="J370" s="471">
        <v>525</v>
      </c>
      <c r="K370" s="484">
        <v>18059</v>
      </c>
      <c r="N370" s="274" t="s">
        <v>8344</v>
      </c>
      <c r="AF370" s="264"/>
    </row>
    <row r="371" spans="1:32" ht="14.25" customHeight="1">
      <c r="A371" s="260">
        <v>1207296</v>
      </c>
      <c r="B371" s="260" t="s">
        <v>8120</v>
      </c>
      <c r="C371" s="274" t="s">
        <v>3663</v>
      </c>
      <c r="D371" s="438">
        <v>1351.85088</v>
      </c>
      <c r="G371" s="404">
        <v>40509</v>
      </c>
      <c r="H371" s="404" t="s">
        <v>8207</v>
      </c>
      <c r="I371" s="443" t="s">
        <v>7896</v>
      </c>
      <c r="J371" s="471">
        <v>540</v>
      </c>
      <c r="K371" s="484">
        <v>18064</v>
      </c>
      <c r="N371" s="274" t="s">
        <v>7545</v>
      </c>
      <c r="O371" s="386" t="s">
        <v>8626</v>
      </c>
      <c r="AF371" s="264"/>
    </row>
    <row r="372" spans="1:32" ht="14.25" customHeight="1">
      <c r="A372" s="260">
        <v>442</v>
      </c>
      <c r="B372" s="260" t="s">
        <v>8123</v>
      </c>
      <c r="C372" s="274" t="s">
        <v>4433</v>
      </c>
      <c r="D372" s="438">
        <v>750</v>
      </c>
      <c r="G372" s="404">
        <v>7572</v>
      </c>
      <c r="H372" s="404" t="s">
        <v>8232</v>
      </c>
      <c r="I372" s="443" t="s">
        <v>8239</v>
      </c>
      <c r="J372" s="471">
        <v>594</v>
      </c>
      <c r="K372" s="484">
        <v>18066</v>
      </c>
      <c r="N372" s="274" t="s">
        <v>4149</v>
      </c>
      <c r="O372" s="386" t="s">
        <v>8625</v>
      </c>
      <c r="AF372" s="264"/>
    </row>
    <row r="373" spans="1:32" ht="14.25" customHeight="1">
      <c r="A373" s="260">
        <v>117457</v>
      </c>
      <c r="B373" s="260" t="s">
        <v>8127</v>
      </c>
      <c r="C373" s="274" t="s">
        <v>2989</v>
      </c>
      <c r="D373" s="438">
        <v>102</v>
      </c>
      <c r="G373" s="404">
        <v>1078</v>
      </c>
      <c r="H373" s="404" t="s">
        <v>8316</v>
      </c>
      <c r="I373" s="443" t="s">
        <v>8393</v>
      </c>
      <c r="J373" s="471">
        <v>638.4</v>
      </c>
      <c r="K373" s="404" t="e">
        <v>#N/A</v>
      </c>
      <c r="L373" s="274" t="s">
        <v>8821</v>
      </c>
      <c r="N373" s="274" t="s">
        <v>4380</v>
      </c>
      <c r="AF373" s="264"/>
    </row>
    <row r="374" spans="1:32" ht="14.25" customHeight="1">
      <c r="A374" s="260">
        <v>232745</v>
      </c>
      <c r="B374" s="260" t="s">
        <v>8129</v>
      </c>
      <c r="C374" s="274" t="s">
        <v>4380</v>
      </c>
      <c r="D374" s="438">
        <v>130</v>
      </c>
      <c r="G374" s="404">
        <v>24366</v>
      </c>
      <c r="H374" s="404" t="s">
        <v>8411</v>
      </c>
      <c r="I374" s="443" t="s">
        <v>7545</v>
      </c>
      <c r="J374" s="471">
        <v>660</v>
      </c>
      <c r="K374" s="484">
        <v>18069</v>
      </c>
      <c r="N374" s="274" t="s">
        <v>7896</v>
      </c>
      <c r="AF374" s="264"/>
    </row>
    <row r="375" spans="1:32" ht="14.25" customHeight="1">
      <c r="A375" s="260">
        <v>23</v>
      </c>
      <c r="B375" s="260" t="s">
        <v>8131</v>
      </c>
      <c r="C375" s="274" t="s">
        <v>8240</v>
      </c>
      <c r="D375" s="438">
        <v>165</v>
      </c>
      <c r="G375" s="404">
        <v>118804</v>
      </c>
      <c r="H375" s="404" t="s">
        <v>8348</v>
      </c>
      <c r="I375" s="443" t="s">
        <v>2989</v>
      </c>
      <c r="J375" s="471">
        <v>675</v>
      </c>
      <c r="K375" s="484">
        <v>18075</v>
      </c>
      <c r="N375" s="274" t="s">
        <v>4432</v>
      </c>
      <c r="AF375" s="264"/>
    </row>
    <row r="376" spans="1:32" ht="14.25" customHeight="1">
      <c r="A376" s="260">
        <v>855</v>
      </c>
      <c r="B376" s="260" t="s">
        <v>8172</v>
      </c>
      <c r="C376" s="274" t="s">
        <v>3407</v>
      </c>
      <c r="D376" s="438">
        <v>1697.5000000000002</v>
      </c>
      <c r="G376" s="404">
        <v>144060</v>
      </c>
      <c r="H376" s="404" t="s">
        <v>7943</v>
      </c>
      <c r="I376" s="443" t="s">
        <v>5754</v>
      </c>
      <c r="J376" s="471">
        <v>706.6</v>
      </c>
      <c r="K376" s="484">
        <v>18080</v>
      </c>
      <c r="N376" s="274" t="s">
        <v>3671</v>
      </c>
      <c r="AF376" s="264"/>
    </row>
    <row r="377" spans="1:32" ht="14.25" customHeight="1">
      <c r="A377" s="260">
        <v>22479</v>
      </c>
      <c r="B377" s="260" t="s">
        <v>8174</v>
      </c>
      <c r="C377" s="274" t="s">
        <v>7472</v>
      </c>
      <c r="D377" s="438">
        <v>6400</v>
      </c>
      <c r="G377" s="404">
        <v>1531</v>
      </c>
      <c r="H377" s="404" t="s">
        <v>8015</v>
      </c>
      <c r="I377" s="443" t="s">
        <v>7283</v>
      </c>
      <c r="J377" s="471">
        <v>749</v>
      </c>
      <c r="K377" s="484">
        <v>18085</v>
      </c>
      <c r="N377" s="274" t="s">
        <v>8215</v>
      </c>
      <c r="O377" s="386" t="s">
        <v>8626</v>
      </c>
      <c r="AF377" s="264"/>
    </row>
    <row r="378" spans="1:32" ht="14.25" customHeight="1">
      <c r="A378" s="260">
        <v>11662</v>
      </c>
      <c r="B378" s="260" t="s">
        <v>8178</v>
      </c>
      <c r="C378" s="274" t="s">
        <v>8215</v>
      </c>
      <c r="D378" s="438">
        <v>10000</v>
      </c>
      <c r="G378" s="404">
        <v>442</v>
      </c>
      <c r="H378" s="404" t="s">
        <v>8123</v>
      </c>
      <c r="I378" s="443" t="s">
        <v>4433</v>
      </c>
      <c r="J378" s="471">
        <v>750</v>
      </c>
      <c r="K378" s="484">
        <v>18090</v>
      </c>
      <c r="N378" s="274" t="s">
        <v>7819</v>
      </c>
      <c r="AF378" s="264"/>
    </row>
    <row r="379" spans="1:32" ht="14.25" customHeight="1">
      <c r="A379" s="260">
        <v>24012</v>
      </c>
      <c r="B379" s="260" t="s">
        <v>8179</v>
      </c>
      <c r="C379" s="274" t="s">
        <v>7545</v>
      </c>
      <c r="D379" s="438">
        <v>11700</v>
      </c>
      <c r="G379" s="404">
        <v>82496</v>
      </c>
      <c r="H379" s="404" t="s">
        <v>8408</v>
      </c>
      <c r="I379" s="443" t="s">
        <v>4109</v>
      </c>
      <c r="J379" s="471">
        <v>800</v>
      </c>
      <c r="K379" s="484">
        <v>18098</v>
      </c>
      <c r="N379" s="274" t="s">
        <v>8239</v>
      </c>
      <c r="O379" s="386" t="s">
        <v>8624</v>
      </c>
      <c r="AF379" s="264"/>
    </row>
    <row r="380" spans="1:32" ht="14.25" customHeight="1">
      <c r="A380" s="260">
        <v>21874</v>
      </c>
      <c r="B380" s="260" t="s">
        <v>8184</v>
      </c>
      <c r="C380" s="274" t="s">
        <v>7336</v>
      </c>
      <c r="D380" s="438">
        <v>9000</v>
      </c>
      <c r="G380" s="404">
        <v>326964</v>
      </c>
      <c r="H380" s="404" t="s">
        <v>7763</v>
      </c>
      <c r="I380" s="443" t="s">
        <v>7371</v>
      </c>
      <c r="J380" s="471">
        <v>813.2</v>
      </c>
      <c r="K380" s="484">
        <v>18106</v>
      </c>
      <c r="N380" s="274" t="s">
        <v>4109</v>
      </c>
      <c r="AF380" s="264"/>
    </row>
    <row r="381" spans="1:32" ht="14.25" customHeight="1">
      <c r="A381" s="260">
        <v>8875</v>
      </c>
      <c r="B381" s="260" t="s">
        <v>8187</v>
      </c>
      <c r="C381" s="274" t="s">
        <v>4432</v>
      </c>
      <c r="D381" s="438">
        <v>496</v>
      </c>
      <c r="G381" s="404">
        <v>1207296</v>
      </c>
      <c r="H381" s="404" t="s">
        <v>8120</v>
      </c>
      <c r="I381" s="443" t="s">
        <v>3663</v>
      </c>
      <c r="J381" s="471">
        <v>1351.85</v>
      </c>
      <c r="K381" s="484">
        <v>18110</v>
      </c>
      <c r="N381" s="274" t="s">
        <v>7472</v>
      </c>
      <c r="AF381" s="264"/>
    </row>
    <row r="382" spans="1:32" ht="14.25" customHeight="1">
      <c r="A382" s="260">
        <v>8866</v>
      </c>
      <c r="B382" s="260" t="s">
        <v>8193</v>
      </c>
      <c r="C382" s="274" t="s">
        <v>4432</v>
      </c>
      <c r="D382" s="438">
        <v>1466</v>
      </c>
      <c r="G382" s="404">
        <v>950</v>
      </c>
      <c r="H382" s="404" t="s">
        <v>7967</v>
      </c>
      <c r="I382" s="443" t="s">
        <v>3530</v>
      </c>
      <c r="J382" s="471">
        <v>1368</v>
      </c>
      <c r="K382" s="484">
        <v>18113</v>
      </c>
      <c r="N382" s="274" t="s">
        <v>7336</v>
      </c>
      <c r="O382" s="386" t="s">
        <v>8627</v>
      </c>
      <c r="AF382" s="264"/>
    </row>
    <row r="383" spans="1:32" ht="14.25" customHeight="1">
      <c r="A383" s="260">
        <v>8908</v>
      </c>
      <c r="B383" s="260" t="s">
        <v>8189</v>
      </c>
      <c r="C383" s="274" t="s">
        <v>4432</v>
      </c>
      <c r="D383" s="438">
        <v>475</v>
      </c>
      <c r="G383" s="404">
        <v>22849</v>
      </c>
      <c r="H383" s="404" t="s">
        <v>8433</v>
      </c>
      <c r="I383" s="443" t="s">
        <v>7472</v>
      </c>
      <c r="J383" s="471">
        <v>1389.6</v>
      </c>
      <c r="K383" s="484">
        <v>18122</v>
      </c>
      <c r="N383"/>
      <c r="AF383" s="264"/>
    </row>
    <row r="384" spans="1:32" ht="14.25" customHeight="1">
      <c r="A384" s="260">
        <v>7518</v>
      </c>
      <c r="B384" s="260" t="s">
        <v>8195</v>
      </c>
      <c r="C384" s="274" t="s">
        <v>8239</v>
      </c>
      <c r="D384" s="438">
        <v>3744.9</v>
      </c>
      <c r="G384" s="404">
        <v>8866</v>
      </c>
      <c r="H384" s="404" t="s">
        <v>8193</v>
      </c>
      <c r="I384" s="443" t="s">
        <v>4432</v>
      </c>
      <c r="J384" s="471">
        <v>1466</v>
      </c>
      <c r="K384" s="484">
        <v>18118</v>
      </c>
      <c r="N384"/>
      <c r="AF384" s="264"/>
    </row>
    <row r="385" spans="1:32" ht="14.25" customHeight="1">
      <c r="A385" s="260">
        <v>685</v>
      </c>
      <c r="B385" s="260" t="s">
        <v>8197</v>
      </c>
      <c r="C385" s="274" t="s">
        <v>3671</v>
      </c>
      <c r="D385" s="438">
        <v>2010</v>
      </c>
      <c r="G385" s="404">
        <v>869</v>
      </c>
      <c r="H385" s="404" t="s">
        <v>8228</v>
      </c>
      <c r="I385" s="443" t="s">
        <v>3407</v>
      </c>
      <c r="J385" s="471">
        <v>1580</v>
      </c>
      <c r="K385" s="484">
        <v>18131</v>
      </c>
      <c r="N385"/>
      <c r="AF385" s="264"/>
    </row>
    <row r="386" spans="1:32" ht="14.25" customHeight="1">
      <c r="A386" s="260">
        <v>327148</v>
      </c>
      <c r="B386" s="260" t="s">
        <v>8205</v>
      </c>
      <c r="C386" s="274" t="s">
        <v>7371</v>
      </c>
      <c r="D386" s="438">
        <v>416</v>
      </c>
      <c r="G386" s="404">
        <v>5348</v>
      </c>
      <c r="H386" s="404" t="s">
        <v>8236</v>
      </c>
      <c r="I386" s="443" t="s">
        <v>8252</v>
      </c>
      <c r="J386" s="471">
        <v>1664.5</v>
      </c>
      <c r="K386" s="484">
        <v>18136</v>
      </c>
      <c r="N386"/>
      <c r="AF386" s="264"/>
    </row>
    <row r="387" spans="1:32" ht="14.25" customHeight="1">
      <c r="A387" s="260">
        <v>40509</v>
      </c>
      <c r="B387" s="260" t="s">
        <v>8207</v>
      </c>
      <c r="C387" s="274" t="s">
        <v>7896</v>
      </c>
      <c r="D387" s="438">
        <v>540</v>
      </c>
      <c r="G387" s="404">
        <v>392</v>
      </c>
      <c r="H387" s="404" t="s">
        <v>8301</v>
      </c>
      <c r="I387" s="443" t="s">
        <v>8344</v>
      </c>
      <c r="J387" s="471">
        <v>1690</v>
      </c>
      <c r="K387" s="484">
        <v>18138</v>
      </c>
      <c r="N387"/>
      <c r="AF387" s="264"/>
    </row>
    <row r="388" spans="1:32" ht="14.25" customHeight="1">
      <c r="A388" s="260">
        <v>40432</v>
      </c>
      <c r="B388" s="260" t="s">
        <v>8209</v>
      </c>
      <c r="C388" s="274" t="s">
        <v>7896</v>
      </c>
      <c r="D388" s="438">
        <v>224.00000000000003</v>
      </c>
      <c r="G388" s="404">
        <v>393</v>
      </c>
      <c r="H388" s="404" t="s">
        <v>8303</v>
      </c>
      <c r="I388" s="443" t="s">
        <v>8344</v>
      </c>
      <c r="J388" s="471">
        <v>1690</v>
      </c>
      <c r="K388" s="484">
        <v>18138</v>
      </c>
      <c r="N388"/>
      <c r="AF388" s="264"/>
    </row>
    <row r="389" spans="1:32" ht="14.25" customHeight="1">
      <c r="A389" s="260">
        <v>869</v>
      </c>
      <c r="B389" s="260" t="s">
        <v>8228</v>
      </c>
      <c r="C389" s="274" t="s">
        <v>3407</v>
      </c>
      <c r="D389" s="438">
        <v>1580</v>
      </c>
      <c r="G389" s="404">
        <v>855</v>
      </c>
      <c r="H389" s="404" t="s">
        <v>8172</v>
      </c>
      <c r="I389" s="443" t="s">
        <v>3407</v>
      </c>
      <c r="J389" s="471">
        <v>1697.5</v>
      </c>
      <c r="K389" s="484">
        <v>18143</v>
      </c>
      <c r="N389"/>
      <c r="AF389" s="264"/>
    </row>
    <row r="390" spans="1:32" ht="14.25" customHeight="1">
      <c r="A390" s="260">
        <v>7572</v>
      </c>
      <c r="B390" s="260" t="s">
        <v>8232</v>
      </c>
      <c r="C390" s="274" t="s">
        <v>8239</v>
      </c>
      <c r="D390" s="438">
        <v>594</v>
      </c>
      <c r="G390" s="404">
        <v>117520</v>
      </c>
      <c r="H390" s="404" t="s">
        <v>8244</v>
      </c>
      <c r="I390" s="443" t="s">
        <v>2989</v>
      </c>
      <c r="J390" s="471">
        <v>1720</v>
      </c>
      <c r="K390" s="484">
        <v>18146</v>
      </c>
      <c r="N390"/>
      <c r="AF390" s="264"/>
    </row>
    <row r="391" spans="1:32" ht="14.25" customHeight="1">
      <c r="A391" s="260">
        <v>5348</v>
      </c>
      <c r="B391" s="260" t="s">
        <v>8236</v>
      </c>
      <c r="C391" s="274" t="s">
        <v>8252</v>
      </c>
      <c r="D391" s="438">
        <v>1664.5</v>
      </c>
      <c r="G391" s="404">
        <v>864</v>
      </c>
      <c r="H391" s="404" t="s">
        <v>7889</v>
      </c>
      <c r="I391" s="443" t="s">
        <v>3407</v>
      </c>
      <c r="J391" s="471">
        <v>1800</v>
      </c>
      <c r="K391" s="484">
        <v>18154</v>
      </c>
      <c r="N391"/>
      <c r="AF391" s="264"/>
    </row>
    <row r="392" spans="1:32" ht="14.25" customHeight="1">
      <c r="A392" s="260">
        <v>144234</v>
      </c>
      <c r="B392" s="260" t="s">
        <v>8242</v>
      </c>
      <c r="C392" s="274" t="s">
        <v>5754</v>
      </c>
      <c r="D392" s="438">
        <v>258.89999999999998</v>
      </c>
      <c r="G392" s="404">
        <v>685</v>
      </c>
      <c r="H392" s="404" t="s">
        <v>8197</v>
      </c>
      <c r="I392" s="443" t="s">
        <v>3671</v>
      </c>
      <c r="J392" s="471">
        <v>2010</v>
      </c>
      <c r="K392" s="484">
        <v>18172</v>
      </c>
      <c r="N392"/>
      <c r="AF392" s="264"/>
    </row>
    <row r="393" spans="1:32" ht="14.25" customHeight="1">
      <c r="A393" s="260">
        <v>117520</v>
      </c>
      <c r="B393" s="260" t="s">
        <v>8244</v>
      </c>
      <c r="C393" s="274" t="s">
        <v>2989</v>
      </c>
      <c r="D393" s="438">
        <v>1720</v>
      </c>
      <c r="G393" s="404">
        <v>28749</v>
      </c>
      <c r="H393" s="404" t="s">
        <v>7800</v>
      </c>
      <c r="I393" s="443" t="s">
        <v>7822</v>
      </c>
      <c r="J393" s="471">
        <v>2070</v>
      </c>
      <c r="K393" s="484">
        <v>18169</v>
      </c>
      <c r="N393"/>
      <c r="AF393" s="264"/>
    </row>
    <row r="394" spans="1:32" ht="14.25" customHeight="1">
      <c r="A394" s="260">
        <v>328885</v>
      </c>
      <c r="B394" s="260" t="s">
        <v>8246</v>
      </c>
      <c r="C394" s="274" t="s">
        <v>7371</v>
      </c>
      <c r="D394" s="438">
        <v>133.97999999999999</v>
      </c>
      <c r="G394" s="404">
        <v>8669</v>
      </c>
      <c r="H394" s="404" t="s">
        <v>7471</v>
      </c>
      <c r="I394" s="443" t="s">
        <v>7819</v>
      </c>
      <c r="J394" s="471">
        <v>2452.85</v>
      </c>
      <c r="K394" s="484">
        <v>18178</v>
      </c>
      <c r="N394"/>
      <c r="AF394" s="264"/>
    </row>
    <row r="395" spans="1:32" ht="14.25" customHeight="1">
      <c r="A395" s="260">
        <v>328699</v>
      </c>
      <c r="B395" s="260" t="s">
        <v>8254</v>
      </c>
      <c r="C395" s="274" t="s">
        <v>7371</v>
      </c>
      <c r="D395" s="438">
        <v>3790.2000000000003</v>
      </c>
      <c r="G395" s="404">
        <v>49</v>
      </c>
      <c r="H395" s="404" t="s">
        <v>7795</v>
      </c>
      <c r="I395" s="443" t="s">
        <v>7051</v>
      </c>
      <c r="J395" s="471">
        <v>2697</v>
      </c>
      <c r="K395" s="484">
        <v>3284</v>
      </c>
      <c r="L395" s="274" t="s">
        <v>3050</v>
      </c>
      <c r="N395"/>
      <c r="AF395" s="264"/>
    </row>
    <row r="396" spans="1:32" ht="14.25" customHeight="1">
      <c r="A396" s="260">
        <v>328591</v>
      </c>
      <c r="B396" s="260" t="s">
        <v>8256</v>
      </c>
      <c r="C396" s="274" t="s">
        <v>7371</v>
      </c>
      <c r="D396" s="438">
        <v>14000</v>
      </c>
      <c r="G396" s="404">
        <v>7119</v>
      </c>
      <c r="H396" s="404" t="s">
        <v>8268</v>
      </c>
      <c r="I396" s="443" t="s">
        <v>8394</v>
      </c>
      <c r="J396" s="471">
        <v>2950</v>
      </c>
      <c r="K396" s="484">
        <v>3286</v>
      </c>
      <c r="L396" s="274" t="s">
        <v>3050</v>
      </c>
      <c r="N396"/>
      <c r="AF396" s="264"/>
    </row>
    <row r="397" spans="1:32" ht="14.25" customHeight="1">
      <c r="A397" s="260">
        <v>7119</v>
      </c>
      <c r="B397" s="260" t="s">
        <v>8268</v>
      </c>
      <c r="C397" s="274" t="s">
        <v>8394</v>
      </c>
      <c r="D397" s="438">
        <v>2950</v>
      </c>
      <c r="G397" s="404">
        <v>1736724</v>
      </c>
      <c r="H397" s="404" t="s">
        <v>7867</v>
      </c>
      <c r="I397" s="443" t="s">
        <v>7828</v>
      </c>
      <c r="J397" s="471">
        <v>3497.5</v>
      </c>
      <c r="K397" s="484">
        <v>18183</v>
      </c>
      <c r="N397"/>
      <c r="AF397" s="264"/>
    </row>
    <row r="398" spans="1:32" ht="14.25" customHeight="1">
      <c r="A398" s="260">
        <v>392</v>
      </c>
      <c r="B398" s="260" t="s">
        <v>8301</v>
      </c>
      <c r="C398" s="274" t="s">
        <v>8344</v>
      </c>
      <c r="D398" s="438">
        <v>1689.9999999999998</v>
      </c>
      <c r="G398" s="404">
        <v>7518</v>
      </c>
      <c r="H398" s="404" t="s">
        <v>8195</v>
      </c>
      <c r="I398" s="443" t="s">
        <v>8239</v>
      </c>
      <c r="J398" s="471">
        <v>3744.9</v>
      </c>
      <c r="K398" s="484">
        <v>18187</v>
      </c>
      <c r="N398"/>
      <c r="AF398" s="264"/>
    </row>
    <row r="399" spans="1:32" ht="14.25" customHeight="1">
      <c r="A399" s="260">
        <v>393</v>
      </c>
      <c r="B399" s="260" t="s">
        <v>8303</v>
      </c>
      <c r="C399" s="274" t="s">
        <v>8344</v>
      </c>
      <c r="D399" s="438">
        <v>1689.9999999999998</v>
      </c>
      <c r="G399" s="404">
        <v>328699</v>
      </c>
      <c r="H399" s="404" t="s">
        <v>8254</v>
      </c>
      <c r="I399" s="443" t="s">
        <v>7371</v>
      </c>
      <c r="J399" s="471">
        <v>3790.2</v>
      </c>
      <c r="K399" s="484">
        <v>18208</v>
      </c>
      <c r="N399"/>
      <c r="AF399" s="264"/>
    </row>
    <row r="400" spans="1:32" ht="14.25" customHeight="1">
      <c r="A400" s="260">
        <v>1078</v>
      </c>
      <c r="B400" s="260" t="s">
        <v>8316</v>
      </c>
      <c r="C400" s="274" t="s">
        <v>8393</v>
      </c>
      <c r="D400" s="438">
        <v>638.4</v>
      </c>
      <c r="G400" s="404">
        <v>1906</v>
      </c>
      <c r="H400" s="404" t="s">
        <v>7235</v>
      </c>
      <c r="I400" s="443" t="s">
        <v>4149</v>
      </c>
      <c r="J400" s="471">
        <v>4815</v>
      </c>
      <c r="K400" s="484">
        <v>18212</v>
      </c>
      <c r="N400"/>
      <c r="AF400" s="264"/>
    </row>
    <row r="401" spans="1:32" ht="14.25" customHeight="1">
      <c r="A401" s="260">
        <v>331848</v>
      </c>
      <c r="B401" s="260" t="s">
        <v>8318</v>
      </c>
      <c r="C401" s="274" t="s">
        <v>7371</v>
      </c>
      <c r="D401" s="438">
        <v>240</v>
      </c>
      <c r="G401" s="404">
        <v>1557</v>
      </c>
      <c r="H401" s="404" t="s">
        <v>8321</v>
      </c>
      <c r="I401" s="443" t="s">
        <v>7283</v>
      </c>
      <c r="J401" s="471">
        <v>4900</v>
      </c>
      <c r="K401" s="484">
        <v>18220</v>
      </c>
      <c r="N401"/>
      <c r="AF401" s="264"/>
    </row>
    <row r="402" spans="1:32" ht="14.25" customHeight="1">
      <c r="A402" s="260">
        <v>40855</v>
      </c>
      <c r="B402" s="260" t="s">
        <v>8320</v>
      </c>
      <c r="C402" s="274" t="s">
        <v>7896</v>
      </c>
      <c r="D402" s="438">
        <v>189</v>
      </c>
      <c r="G402" s="404">
        <v>319</v>
      </c>
      <c r="H402" s="404" t="s">
        <v>7897</v>
      </c>
      <c r="I402" s="443" t="s">
        <v>8118</v>
      </c>
      <c r="J402" s="471">
        <v>4994.4399999999996</v>
      </c>
      <c r="K402" s="484">
        <v>3285</v>
      </c>
      <c r="L402" s="274" t="s">
        <v>3050</v>
      </c>
      <c r="N402"/>
      <c r="AF402" s="264"/>
    </row>
    <row r="403" spans="1:32" ht="14.25" customHeight="1">
      <c r="A403" s="260">
        <v>1557</v>
      </c>
      <c r="B403" s="260" t="s">
        <v>8321</v>
      </c>
      <c r="C403" s="274" t="s">
        <v>7283</v>
      </c>
      <c r="D403" s="438">
        <v>4900</v>
      </c>
      <c r="G403" s="404">
        <v>8782</v>
      </c>
      <c r="H403" s="404" t="s">
        <v>8036</v>
      </c>
      <c r="I403" s="443" t="s">
        <v>7819</v>
      </c>
      <c r="J403" s="471">
        <v>5113.74</v>
      </c>
      <c r="K403" s="484">
        <v>18224</v>
      </c>
      <c r="N403"/>
      <c r="AF403" s="264"/>
    </row>
    <row r="404" spans="1:32" ht="14.25" customHeight="1">
      <c r="A404" s="260">
        <v>993</v>
      </c>
      <c r="B404" s="260" t="s">
        <v>8330</v>
      </c>
      <c r="C404" s="274" t="s">
        <v>4358</v>
      </c>
      <c r="D404" s="438">
        <v>242</v>
      </c>
      <c r="G404" s="404">
        <v>22479</v>
      </c>
      <c r="H404" s="404" t="s">
        <v>8174</v>
      </c>
      <c r="I404" s="443" t="s">
        <v>7472</v>
      </c>
      <c r="J404" s="471">
        <v>6400</v>
      </c>
      <c r="K404" s="484">
        <v>18230</v>
      </c>
      <c r="N404"/>
      <c r="AF404" s="264"/>
    </row>
    <row r="405" spans="1:32" ht="14.25" customHeight="1">
      <c r="A405" s="260">
        <v>994</v>
      </c>
      <c r="B405" s="260" t="s">
        <v>8334</v>
      </c>
      <c r="C405" s="274" t="s">
        <v>4358</v>
      </c>
      <c r="D405" s="438">
        <v>210.24</v>
      </c>
      <c r="G405" s="404">
        <v>232926</v>
      </c>
      <c r="H405" s="404" t="s">
        <v>8019</v>
      </c>
      <c r="I405" s="443" t="s">
        <v>4380</v>
      </c>
      <c r="J405" s="471">
        <v>7425</v>
      </c>
      <c r="K405" s="484">
        <v>18232</v>
      </c>
      <c r="N405"/>
      <c r="AF405" s="264"/>
    </row>
    <row r="406" spans="1:32" ht="14.25" customHeight="1">
      <c r="A406" s="260">
        <v>3005</v>
      </c>
      <c r="B406" s="260" t="s">
        <v>8339</v>
      </c>
      <c r="C406" s="274" t="s">
        <v>8395</v>
      </c>
      <c r="D406" s="438">
        <v>70</v>
      </c>
      <c r="G406" s="404">
        <v>531816</v>
      </c>
      <c r="H406" s="404" t="s">
        <v>8027</v>
      </c>
      <c r="I406" s="443" t="s">
        <v>7825</v>
      </c>
      <c r="J406" s="471">
        <v>7900</v>
      </c>
      <c r="K406" s="484">
        <v>18237</v>
      </c>
      <c r="N406"/>
      <c r="AF406" s="264"/>
    </row>
    <row r="407" spans="1:32" ht="14.25" customHeight="1">
      <c r="A407" s="260">
        <v>118975</v>
      </c>
      <c r="B407" s="260" t="s">
        <v>8346</v>
      </c>
      <c r="C407" s="274" t="s">
        <v>2989</v>
      </c>
      <c r="D407" s="438">
        <v>525</v>
      </c>
      <c r="G407" s="404">
        <v>2599926</v>
      </c>
      <c r="H407" s="404" t="s">
        <v>8114</v>
      </c>
      <c r="I407" s="443" t="s">
        <v>4401</v>
      </c>
      <c r="J407" s="471">
        <v>8700</v>
      </c>
      <c r="K407" s="484">
        <v>18246</v>
      </c>
      <c r="N407"/>
      <c r="AF407" s="264"/>
    </row>
    <row r="408" spans="1:32" ht="14.25" customHeight="1">
      <c r="A408" s="260">
        <v>118805</v>
      </c>
      <c r="B408" s="260" t="s">
        <v>8347</v>
      </c>
      <c r="C408" s="274" t="s">
        <v>2989</v>
      </c>
      <c r="D408" s="438">
        <v>254</v>
      </c>
      <c r="G408" s="404">
        <v>21874</v>
      </c>
      <c r="H408" s="404" t="s">
        <v>8184</v>
      </c>
      <c r="I408" s="443" t="s">
        <v>7336</v>
      </c>
      <c r="J408" s="471">
        <v>9000</v>
      </c>
      <c r="K408" s="484">
        <v>18253</v>
      </c>
      <c r="N408"/>
      <c r="AF408" s="264"/>
    </row>
    <row r="409" spans="1:32" ht="14.25" customHeight="1">
      <c r="A409" s="260">
        <v>118804</v>
      </c>
      <c r="B409" s="260" t="s">
        <v>8348</v>
      </c>
      <c r="C409" s="274" t="s">
        <v>2989</v>
      </c>
      <c r="D409" s="438">
        <v>675</v>
      </c>
      <c r="G409" s="404">
        <v>24012</v>
      </c>
      <c r="H409" s="404" t="s">
        <v>8179</v>
      </c>
      <c r="I409" s="443" t="s">
        <v>7545</v>
      </c>
      <c r="J409" s="471">
        <v>11700</v>
      </c>
      <c r="K409" s="484">
        <v>18260</v>
      </c>
      <c r="N409"/>
      <c r="AF409" s="264"/>
    </row>
    <row r="410" spans="1:32" ht="14.25" customHeight="1">
      <c r="A410" s="260">
        <v>40854</v>
      </c>
      <c r="B410" s="260" t="s">
        <v>8350</v>
      </c>
      <c r="C410" s="274" t="s">
        <v>7896</v>
      </c>
      <c r="D410" s="438">
        <v>48</v>
      </c>
      <c r="G410" s="404">
        <v>328591</v>
      </c>
      <c r="H410" s="404" t="s">
        <v>8256</v>
      </c>
      <c r="I410" s="443" t="s">
        <v>7371</v>
      </c>
      <c r="J410" s="471">
        <v>14000</v>
      </c>
      <c r="K410" s="484">
        <v>18263</v>
      </c>
      <c r="N410"/>
      <c r="AF410" s="264"/>
    </row>
    <row r="411" spans="1:32" ht="14.25" customHeight="1">
      <c r="A411" s="260">
        <v>992</v>
      </c>
      <c r="B411" s="260" t="s">
        <v>8359</v>
      </c>
      <c r="C411" s="274" t="s">
        <v>4358</v>
      </c>
      <c r="D411" s="438">
        <v>225</v>
      </c>
      <c r="G411" s="404">
        <v>2045</v>
      </c>
      <c r="H411" s="404" t="s">
        <v>8032</v>
      </c>
      <c r="I411" s="443" t="s">
        <v>7285</v>
      </c>
      <c r="J411" s="471">
        <v>14400</v>
      </c>
      <c r="K411" s="484">
        <v>18270</v>
      </c>
      <c r="N411"/>
      <c r="AF411" s="264"/>
    </row>
    <row r="412" spans="1:32" ht="14.25" customHeight="1">
      <c r="A412" s="260">
        <v>8061</v>
      </c>
      <c r="B412" s="260" t="s">
        <v>8401</v>
      </c>
      <c r="C412" s="274" t="s">
        <v>5727</v>
      </c>
      <c r="D412" s="438">
        <v>18</v>
      </c>
      <c r="G412" s="404"/>
      <c r="H412" s="404"/>
      <c r="I412" s="404" t="s">
        <v>8677</v>
      </c>
      <c r="J412" s="483">
        <f>SUM(J344:J411)</f>
        <v>153012.5</v>
      </c>
      <c r="K412" s="404" t="e">
        <v>#N/A</v>
      </c>
      <c r="N412"/>
      <c r="AF412" s="264"/>
    </row>
    <row r="413" spans="1:32" ht="14.25" customHeight="1">
      <c r="A413" s="260">
        <v>82496</v>
      </c>
      <c r="B413" s="260" t="s">
        <v>8408</v>
      </c>
      <c r="C413" s="274" t="s">
        <v>4109</v>
      </c>
      <c r="D413" s="438">
        <v>800</v>
      </c>
      <c r="G413" s="404">
        <v>11662</v>
      </c>
      <c r="H413" s="404" t="s">
        <v>8178</v>
      </c>
      <c r="I413" s="443" t="s">
        <v>8215</v>
      </c>
      <c r="J413" s="471" t="s">
        <v>8678</v>
      </c>
      <c r="K413" s="404" t="s">
        <v>8034</v>
      </c>
      <c r="N413"/>
      <c r="AF413" s="264"/>
    </row>
    <row r="414" spans="1:32" ht="14.25" customHeight="1">
      <c r="A414" s="260">
        <v>24366</v>
      </c>
      <c r="B414" s="260" t="s">
        <v>8411</v>
      </c>
      <c r="C414" s="274" t="s">
        <v>7545</v>
      </c>
      <c r="D414" s="438">
        <v>660</v>
      </c>
      <c r="N414"/>
      <c r="AF414" s="264"/>
    </row>
    <row r="415" spans="1:32" ht="14.25" customHeight="1">
      <c r="A415" s="260">
        <v>22849</v>
      </c>
      <c r="B415" s="260" t="s">
        <v>8433</v>
      </c>
      <c r="C415" s="274" t="s">
        <v>7472</v>
      </c>
      <c r="D415" s="438">
        <v>1389.6</v>
      </c>
      <c r="N415"/>
      <c r="AF415" s="264"/>
    </row>
    <row r="416" spans="1:32" ht="14.25" customHeight="1">
      <c r="N416"/>
      <c r="AF416" s="264"/>
    </row>
    <row r="417" spans="1:33" ht="14.25" customHeight="1">
      <c r="D417" s="439">
        <f>SUM(D345:D416)</f>
        <v>163012.50487999999</v>
      </c>
      <c r="N417"/>
      <c r="AF417" s="264"/>
    </row>
    <row r="418" spans="1:33" ht="14.25" customHeight="1">
      <c r="N418"/>
      <c r="AF418" s="264"/>
    </row>
    <row r="419" spans="1:33" ht="19.5" thickBot="1">
      <c r="C419" s="437">
        <v>43992</v>
      </c>
      <c r="G419" s="404"/>
      <c r="H419" s="404"/>
      <c r="I419" s="485">
        <v>43992</v>
      </c>
      <c r="J419" s="442" t="s">
        <v>6931</v>
      </c>
      <c r="K419" s="404"/>
      <c r="N419" s="385" t="s">
        <v>8895</v>
      </c>
      <c r="O419" s="386"/>
      <c r="P419" s="422" t="s">
        <v>7633</v>
      </c>
      <c r="AF419" s="264"/>
      <c r="AG419" s="264"/>
    </row>
    <row r="420" spans="1:33" ht="14.25" customHeight="1" thickTop="1">
      <c r="A420" s="280" t="s">
        <v>1844</v>
      </c>
      <c r="B420" s="280" t="s">
        <v>568</v>
      </c>
      <c r="C420" s="280" t="s">
        <v>0</v>
      </c>
      <c r="D420" s="280" t="s">
        <v>3669</v>
      </c>
      <c r="F420" s="190"/>
      <c r="G420" s="280" t="s">
        <v>1844</v>
      </c>
      <c r="H420" s="280" t="s">
        <v>568</v>
      </c>
      <c r="I420" s="281" t="s">
        <v>0</v>
      </c>
      <c r="J420" s="280" t="s">
        <v>3669</v>
      </c>
      <c r="K420" s="280" t="s">
        <v>2815</v>
      </c>
      <c r="N420" s="383" t="s">
        <v>2839</v>
      </c>
      <c r="O420" s="383" t="s">
        <v>2789</v>
      </c>
      <c r="P420" s="383" t="s">
        <v>1877</v>
      </c>
      <c r="Q420" s="190"/>
      <c r="R420" s="260" t="s">
        <v>8888</v>
      </c>
      <c r="S420" s="260" t="s">
        <v>8712</v>
      </c>
      <c r="T420" s="274" t="s">
        <v>7457</v>
      </c>
      <c r="U420" s="438">
        <v>1950.2</v>
      </c>
      <c r="AF420" s="264"/>
      <c r="AG420" s="264"/>
    </row>
    <row r="421" spans="1:33" ht="14.25" customHeight="1">
      <c r="A421" s="260">
        <v>791</v>
      </c>
      <c r="B421" s="260" t="s">
        <v>7482</v>
      </c>
      <c r="C421" s="274" t="s">
        <v>7582</v>
      </c>
      <c r="D421" s="438">
        <v>956</v>
      </c>
      <c r="G421" s="404">
        <v>1003</v>
      </c>
      <c r="H421" s="404" t="s">
        <v>8528</v>
      </c>
      <c r="I421" s="443" t="s">
        <v>4358</v>
      </c>
      <c r="J421" s="471">
        <v>65</v>
      </c>
      <c r="K421" s="404">
        <v>29972</v>
      </c>
      <c r="L421" s="498"/>
      <c r="N421" s="274" t="s">
        <v>7457</v>
      </c>
      <c r="R421" s="260">
        <v>1571</v>
      </c>
      <c r="S421" s="260" t="s">
        <v>8455</v>
      </c>
      <c r="T421" s="274" t="s">
        <v>7283</v>
      </c>
      <c r="U421" s="438">
        <v>3297</v>
      </c>
      <c r="AF421" s="264"/>
    </row>
    <row r="422" spans="1:33" ht="14.25" customHeight="1">
      <c r="A422" s="260">
        <v>791</v>
      </c>
      <c r="B422" s="260" t="s">
        <v>7482</v>
      </c>
      <c r="C422" s="274" t="s">
        <v>7582</v>
      </c>
      <c r="D422" s="438">
        <v>956</v>
      </c>
      <c r="G422" s="404">
        <v>337167</v>
      </c>
      <c r="H422" s="404" t="s">
        <v>8544</v>
      </c>
      <c r="I422" s="443" t="s">
        <v>7371</v>
      </c>
      <c r="J422" s="471">
        <v>72.5</v>
      </c>
      <c r="K422" s="404">
        <v>29999</v>
      </c>
      <c r="N422" s="274" t="s">
        <v>7283</v>
      </c>
      <c r="R422" s="260">
        <v>1585</v>
      </c>
      <c r="S422" s="260" t="s">
        <v>8454</v>
      </c>
      <c r="T422" s="274" t="s">
        <v>7283</v>
      </c>
      <c r="U422" s="438">
        <v>1760</v>
      </c>
      <c r="AF422" s="264"/>
    </row>
    <row r="423" spans="1:33" ht="14.25" customHeight="1">
      <c r="A423" s="260">
        <v>59828</v>
      </c>
      <c r="B423" s="260" t="s">
        <v>7856</v>
      </c>
      <c r="C423" s="274" t="s">
        <v>5740</v>
      </c>
      <c r="D423" s="438">
        <v>3046.44</v>
      </c>
      <c r="G423" s="404">
        <v>1002</v>
      </c>
      <c r="H423" s="404" t="s">
        <v>8421</v>
      </c>
      <c r="I423" s="443" t="s">
        <v>3530</v>
      </c>
      <c r="J423" s="471">
        <v>105.6</v>
      </c>
      <c r="K423" s="404">
        <v>30012</v>
      </c>
      <c r="N423" s="274" t="s">
        <v>7483</v>
      </c>
      <c r="R423" s="260">
        <v>87761</v>
      </c>
      <c r="S423" s="260" t="s">
        <v>8456</v>
      </c>
      <c r="T423" s="274" t="s">
        <v>7483</v>
      </c>
      <c r="U423" s="438">
        <v>1425.6000000000001</v>
      </c>
      <c r="AF423" s="264"/>
    </row>
    <row r="424" spans="1:33" ht="14.25" customHeight="1">
      <c r="A424" s="260">
        <v>59828</v>
      </c>
      <c r="B424" s="260" t="s">
        <v>7856</v>
      </c>
      <c r="C424" s="274" t="s">
        <v>5740</v>
      </c>
      <c r="D424" s="438">
        <v>189</v>
      </c>
      <c r="G424" s="404">
        <v>1003</v>
      </c>
      <c r="H424" s="404" t="s">
        <v>8427</v>
      </c>
      <c r="I424" s="443" t="s">
        <v>3530</v>
      </c>
      <c r="J424" s="471">
        <v>158.4</v>
      </c>
      <c r="K424" s="404">
        <v>29985</v>
      </c>
      <c r="N424" s="274" t="s">
        <v>8849</v>
      </c>
      <c r="R424" s="260">
        <v>451</v>
      </c>
      <c r="S424" s="260" t="s">
        <v>8784</v>
      </c>
      <c r="T424" s="274" t="s">
        <v>8849</v>
      </c>
      <c r="U424" s="438">
        <v>8900</v>
      </c>
      <c r="AF424" s="264"/>
    </row>
    <row r="425" spans="1:33" ht="14.25" customHeight="1">
      <c r="A425" s="260">
        <v>3994</v>
      </c>
      <c r="B425" s="260" t="s">
        <v>7866</v>
      </c>
      <c r="C425" s="274" t="s">
        <v>7860</v>
      </c>
      <c r="D425" s="438">
        <v>816</v>
      </c>
      <c r="G425" s="404">
        <v>336008</v>
      </c>
      <c r="H425" s="404" t="s">
        <v>8543</v>
      </c>
      <c r="I425" s="443" t="s">
        <v>7371</v>
      </c>
      <c r="J425" s="471">
        <v>159</v>
      </c>
      <c r="K425" s="404">
        <v>30025</v>
      </c>
      <c r="N425" s="274" t="s">
        <v>7051</v>
      </c>
      <c r="R425" s="260">
        <v>68</v>
      </c>
      <c r="S425" s="260" t="s">
        <v>8345</v>
      </c>
      <c r="T425" s="274" t="s">
        <v>7051</v>
      </c>
      <c r="U425" s="438">
        <v>7330.5</v>
      </c>
      <c r="AF425" s="264"/>
    </row>
    <row r="426" spans="1:33" ht="14.25" customHeight="1">
      <c r="A426" s="260">
        <v>703</v>
      </c>
      <c r="B426" s="260" t="s">
        <v>8305</v>
      </c>
      <c r="C426" s="274" t="s">
        <v>3671</v>
      </c>
      <c r="D426" s="438">
        <v>600</v>
      </c>
      <c r="G426" s="404">
        <v>120445</v>
      </c>
      <c r="H426" s="404" t="s">
        <v>8554</v>
      </c>
      <c r="I426" s="443" t="s">
        <v>2989</v>
      </c>
      <c r="J426" s="471">
        <v>165</v>
      </c>
      <c r="K426" s="404">
        <v>30033</v>
      </c>
      <c r="N426" s="274" t="s">
        <v>2989</v>
      </c>
      <c r="R426" s="260">
        <v>120129</v>
      </c>
      <c r="S426" s="260" t="s">
        <v>8524</v>
      </c>
      <c r="T426" s="274" t="s">
        <v>2989</v>
      </c>
      <c r="U426" s="438">
        <v>420</v>
      </c>
      <c r="AF426" s="264"/>
    </row>
    <row r="427" spans="1:33" ht="14.25" customHeight="1">
      <c r="A427" s="260">
        <v>874</v>
      </c>
      <c r="B427" s="260" t="s">
        <v>8327</v>
      </c>
      <c r="C427" s="274" t="s">
        <v>3407</v>
      </c>
      <c r="D427" s="438">
        <v>696</v>
      </c>
      <c r="G427" s="404">
        <v>18933</v>
      </c>
      <c r="H427" s="404" t="s">
        <v>8529</v>
      </c>
      <c r="I427" s="443" t="s">
        <v>8452</v>
      </c>
      <c r="J427" s="471">
        <v>171</v>
      </c>
      <c r="K427" s="404">
        <v>30041</v>
      </c>
      <c r="N427" s="274" t="s">
        <v>8556</v>
      </c>
      <c r="R427" s="260">
        <v>120320</v>
      </c>
      <c r="S427" s="260" t="s">
        <v>8535</v>
      </c>
      <c r="T427" s="274" t="s">
        <v>2989</v>
      </c>
      <c r="U427" s="438">
        <v>692</v>
      </c>
      <c r="AF427" s="264"/>
    </row>
    <row r="428" spans="1:33" ht="14.25" customHeight="1">
      <c r="A428" s="260">
        <v>68</v>
      </c>
      <c r="B428" s="260" t="s">
        <v>8345</v>
      </c>
      <c r="C428" s="274" t="s">
        <v>7051</v>
      </c>
      <c r="D428" s="438">
        <v>7330.5</v>
      </c>
      <c r="G428" s="404">
        <v>69876</v>
      </c>
      <c r="H428" s="404" t="s">
        <v>8404</v>
      </c>
      <c r="I428" s="443" t="s">
        <v>3882</v>
      </c>
      <c r="J428" s="471">
        <v>185.8</v>
      </c>
      <c r="K428" s="404">
        <v>30115</v>
      </c>
      <c r="N428" s="274" t="s">
        <v>8694</v>
      </c>
      <c r="R428" s="260">
        <v>120354</v>
      </c>
      <c r="S428" s="260" t="s">
        <v>8536</v>
      </c>
      <c r="T428" s="274" t="s">
        <v>2989</v>
      </c>
      <c r="U428" s="438">
        <v>317.5</v>
      </c>
      <c r="AF428" s="264"/>
    </row>
    <row r="429" spans="1:33" ht="14.25" customHeight="1">
      <c r="A429" s="260">
        <v>2619337</v>
      </c>
      <c r="B429" s="260" t="s">
        <v>8349</v>
      </c>
      <c r="C429" s="274" t="s">
        <v>4401</v>
      </c>
      <c r="D429" s="438">
        <v>11000</v>
      </c>
      <c r="G429" s="404">
        <v>60848</v>
      </c>
      <c r="H429" s="404" t="s">
        <v>8577</v>
      </c>
      <c r="I429" s="443" t="s">
        <v>5740</v>
      </c>
      <c r="J429" s="471">
        <v>225</v>
      </c>
      <c r="K429" s="404">
        <v>30058</v>
      </c>
      <c r="N429" s="274" t="s">
        <v>4401</v>
      </c>
      <c r="R429" s="260">
        <v>120445</v>
      </c>
      <c r="S429" s="260" t="s">
        <v>8554</v>
      </c>
      <c r="T429" s="274" t="s">
        <v>2989</v>
      </c>
      <c r="U429" s="438">
        <v>165</v>
      </c>
      <c r="AF429" s="264"/>
    </row>
    <row r="430" spans="1:33" ht="14.25" customHeight="1">
      <c r="A430" s="260">
        <v>2813</v>
      </c>
      <c r="B430" s="260" t="s">
        <v>8386</v>
      </c>
      <c r="C430" s="274" t="s">
        <v>7826</v>
      </c>
      <c r="D430" s="438">
        <v>746.79600000000005</v>
      </c>
      <c r="G430" s="404">
        <v>60848</v>
      </c>
      <c r="H430" s="404" t="s">
        <v>8578</v>
      </c>
      <c r="I430" s="443" t="s">
        <v>5740</v>
      </c>
      <c r="J430" s="471">
        <v>225</v>
      </c>
      <c r="K430" s="404">
        <v>30058</v>
      </c>
      <c r="N430" s="274" t="s">
        <v>4433</v>
      </c>
      <c r="R430" s="260">
        <v>121018</v>
      </c>
      <c r="S430" s="260" t="s">
        <v>8635</v>
      </c>
      <c r="T430" s="274" t="s">
        <v>2989</v>
      </c>
      <c r="U430" s="438">
        <v>320</v>
      </c>
      <c r="AF430" s="264"/>
    </row>
    <row r="431" spans="1:33" ht="14.25" customHeight="1">
      <c r="A431" s="260">
        <v>18785</v>
      </c>
      <c r="B431" s="260" t="s">
        <v>8397</v>
      </c>
      <c r="C431" s="274" t="s">
        <v>8452</v>
      </c>
      <c r="D431" s="438">
        <v>417</v>
      </c>
      <c r="G431" s="404">
        <v>60848</v>
      </c>
      <c r="H431" s="404" t="s">
        <v>8581</v>
      </c>
      <c r="I431" s="443" t="s">
        <v>5740</v>
      </c>
      <c r="J431" s="471">
        <v>225</v>
      </c>
      <c r="K431" s="404">
        <v>30058</v>
      </c>
      <c r="N431" s="274" t="s">
        <v>3407</v>
      </c>
      <c r="R431" s="260">
        <v>121344</v>
      </c>
      <c r="S431" s="260" t="s">
        <v>8724</v>
      </c>
      <c r="T431" s="274" t="s">
        <v>2989</v>
      </c>
      <c r="U431" s="438">
        <v>765</v>
      </c>
      <c r="AF431" s="264"/>
    </row>
    <row r="432" spans="1:33" ht="14.25" customHeight="1">
      <c r="A432" s="260">
        <v>2616347</v>
      </c>
      <c r="B432" s="260" t="s">
        <v>8399</v>
      </c>
      <c r="C432" s="274" t="s">
        <v>4401</v>
      </c>
      <c r="D432" s="438">
        <v>805.00000000000011</v>
      </c>
      <c r="G432" s="404">
        <v>60848</v>
      </c>
      <c r="H432" s="404" t="s">
        <v>8582</v>
      </c>
      <c r="I432" s="443" t="s">
        <v>5740</v>
      </c>
      <c r="J432" s="471">
        <v>225</v>
      </c>
      <c r="K432" s="404">
        <v>30058</v>
      </c>
      <c r="N432" s="274" t="s">
        <v>8566</v>
      </c>
      <c r="R432" s="260">
        <v>97883</v>
      </c>
      <c r="S432" s="260" t="s">
        <v>8459</v>
      </c>
      <c r="T432" s="274" t="s">
        <v>8556</v>
      </c>
      <c r="U432" s="438">
        <v>2995</v>
      </c>
      <c r="AF432" s="264"/>
    </row>
    <row r="433" spans="1:32" ht="14.25" customHeight="1">
      <c r="A433" s="260">
        <v>69876</v>
      </c>
      <c r="B433" s="260" t="s">
        <v>8404</v>
      </c>
      <c r="C433" s="274" t="s">
        <v>3882</v>
      </c>
      <c r="D433" s="438">
        <v>185.79999999999998</v>
      </c>
      <c r="G433" s="404">
        <v>339329</v>
      </c>
      <c r="H433" s="404" t="s">
        <v>8708</v>
      </c>
      <c r="I433" s="443" t="s">
        <v>7371</v>
      </c>
      <c r="J433" s="471">
        <v>250</v>
      </c>
      <c r="K433" s="404">
        <v>30091</v>
      </c>
      <c r="N433" s="274" t="s">
        <v>7860</v>
      </c>
      <c r="R433" s="260">
        <v>33868</v>
      </c>
      <c r="S433" s="260" t="s">
        <v>8619</v>
      </c>
      <c r="T433" s="274" t="s">
        <v>8694</v>
      </c>
      <c r="U433" s="438">
        <v>700</v>
      </c>
      <c r="AF433" s="264"/>
    </row>
    <row r="434" spans="1:32" ht="14.25" customHeight="1">
      <c r="A434" s="260">
        <v>448</v>
      </c>
      <c r="B434" s="260" t="s">
        <v>8406</v>
      </c>
      <c r="C434" s="274" t="s">
        <v>4433</v>
      </c>
      <c r="D434" s="438">
        <v>375</v>
      </c>
      <c r="G434" s="404">
        <v>1515</v>
      </c>
      <c r="H434" s="404" t="s">
        <v>8636</v>
      </c>
      <c r="I434" s="443" t="s">
        <v>4357</v>
      </c>
      <c r="J434" s="471">
        <v>290</v>
      </c>
      <c r="K434" s="404">
        <v>30102</v>
      </c>
      <c r="N434" s="274" t="s">
        <v>3530</v>
      </c>
      <c r="R434" s="260">
        <v>2616347</v>
      </c>
      <c r="S434" s="260" t="s">
        <v>8399</v>
      </c>
      <c r="T434" s="274" t="s">
        <v>4401</v>
      </c>
      <c r="U434" s="438">
        <v>805.00000000000011</v>
      </c>
      <c r="AF434" s="264"/>
    </row>
    <row r="435" spans="1:32" ht="14.25" customHeight="1">
      <c r="A435" s="260">
        <v>448</v>
      </c>
      <c r="B435" s="260" t="s">
        <v>8406</v>
      </c>
      <c r="C435" s="274" t="s">
        <v>4433</v>
      </c>
      <c r="D435" s="438">
        <v>240</v>
      </c>
      <c r="G435" s="404">
        <v>23147</v>
      </c>
      <c r="H435" s="404" t="s">
        <v>8726</v>
      </c>
      <c r="I435" s="443" t="s">
        <v>7472</v>
      </c>
      <c r="J435" s="471">
        <v>309</v>
      </c>
      <c r="K435" s="404">
        <v>30107</v>
      </c>
      <c r="N435" s="274" t="s">
        <v>4357</v>
      </c>
      <c r="R435" s="260">
        <v>2619337</v>
      </c>
      <c r="S435" s="260" t="s">
        <v>8349</v>
      </c>
      <c r="T435" s="274" t="s">
        <v>4401</v>
      </c>
      <c r="U435" s="438">
        <v>11000</v>
      </c>
      <c r="AF435" s="264"/>
    </row>
    <row r="436" spans="1:32" ht="14.25" customHeight="1">
      <c r="A436" s="260">
        <v>417823</v>
      </c>
      <c r="B436" s="260" t="s">
        <v>8410</v>
      </c>
      <c r="C436" s="274" t="s">
        <v>7363</v>
      </c>
      <c r="D436" s="438">
        <v>824</v>
      </c>
      <c r="G436" s="404">
        <v>339328</v>
      </c>
      <c r="H436" s="404" t="s">
        <v>8720</v>
      </c>
      <c r="I436" s="443" t="s">
        <v>7371</v>
      </c>
      <c r="J436" s="471">
        <v>314.39999999999998</v>
      </c>
      <c r="K436" s="404">
        <v>30121</v>
      </c>
      <c r="N436" s="274" t="s">
        <v>7371</v>
      </c>
      <c r="R436" s="260">
        <v>448</v>
      </c>
      <c r="S436" s="260" t="s">
        <v>8406</v>
      </c>
      <c r="T436" s="274" t="s">
        <v>4433</v>
      </c>
      <c r="U436" s="438">
        <v>240</v>
      </c>
      <c r="AF436" s="264"/>
    </row>
    <row r="437" spans="1:32" ht="14.25" customHeight="1">
      <c r="A437" s="260">
        <v>1002</v>
      </c>
      <c r="B437" s="260" t="s">
        <v>8421</v>
      </c>
      <c r="C437" s="274" t="s">
        <v>3530</v>
      </c>
      <c r="D437" s="438">
        <v>105.60000000000001</v>
      </c>
      <c r="G437" s="404">
        <v>120354</v>
      </c>
      <c r="H437" s="404" t="s">
        <v>8536</v>
      </c>
      <c r="I437" s="443" t="s">
        <v>2989</v>
      </c>
      <c r="J437" s="471">
        <v>317.5</v>
      </c>
      <c r="K437" s="404">
        <v>30129</v>
      </c>
      <c r="N437" s="274" t="s">
        <v>3882</v>
      </c>
      <c r="R437" s="260">
        <v>449</v>
      </c>
      <c r="S437" s="260" t="s">
        <v>8510</v>
      </c>
      <c r="T437" s="274" t="s">
        <v>4433</v>
      </c>
      <c r="U437" s="438">
        <v>1190</v>
      </c>
      <c r="AF437" s="264"/>
    </row>
    <row r="438" spans="1:32" ht="14.25" customHeight="1">
      <c r="A438" s="260">
        <v>359</v>
      </c>
      <c r="B438" s="260" t="s">
        <v>8423</v>
      </c>
      <c r="C438" s="274" t="s">
        <v>4465</v>
      </c>
      <c r="D438" s="438">
        <v>500</v>
      </c>
      <c r="G438" s="404">
        <v>121018</v>
      </c>
      <c r="H438" s="404" t="s">
        <v>8635</v>
      </c>
      <c r="I438" s="443" t="s">
        <v>2989</v>
      </c>
      <c r="J438" s="471">
        <v>320</v>
      </c>
      <c r="K438" s="404">
        <v>30135</v>
      </c>
      <c r="N438" s="274" t="s">
        <v>8468</v>
      </c>
      <c r="R438" s="260">
        <v>874</v>
      </c>
      <c r="S438" s="260" t="s">
        <v>8327</v>
      </c>
      <c r="T438" s="274" t="s">
        <v>3407</v>
      </c>
      <c r="U438" s="438">
        <v>696</v>
      </c>
      <c r="AF438" s="264"/>
    </row>
    <row r="439" spans="1:32" ht="14.25" customHeight="1">
      <c r="A439" s="260">
        <v>1003</v>
      </c>
      <c r="B439" s="260" t="s">
        <v>8427</v>
      </c>
      <c r="C439" s="274" t="s">
        <v>3530</v>
      </c>
      <c r="D439" s="438">
        <v>158.39999999999998</v>
      </c>
      <c r="G439" s="404">
        <v>60848</v>
      </c>
      <c r="H439" s="404" t="s">
        <v>8477</v>
      </c>
      <c r="I439" s="443" t="s">
        <v>5740</v>
      </c>
      <c r="J439" s="471">
        <v>337.5</v>
      </c>
      <c r="K439" s="404">
        <v>30139</v>
      </c>
      <c r="N439" s="274" t="s">
        <v>7826</v>
      </c>
      <c r="R439" s="260">
        <v>8385</v>
      </c>
      <c r="S439" s="260" t="s">
        <v>8460</v>
      </c>
      <c r="T439" s="274" t="s">
        <v>8566</v>
      </c>
      <c r="U439" s="438">
        <v>2745</v>
      </c>
      <c r="AF439" s="264"/>
    </row>
    <row r="440" spans="1:32" ht="14.25" customHeight="1">
      <c r="A440" s="260">
        <v>702</v>
      </c>
      <c r="B440" s="260" t="s">
        <v>8429</v>
      </c>
      <c r="C440" s="274" t="s">
        <v>8468</v>
      </c>
      <c r="D440" s="438">
        <v>17585.400000000001</v>
      </c>
      <c r="G440" s="404">
        <v>60848</v>
      </c>
      <c r="H440" s="404" t="s">
        <v>8574</v>
      </c>
      <c r="I440" s="443" t="s">
        <v>5740</v>
      </c>
      <c r="J440" s="471">
        <v>337.5</v>
      </c>
      <c r="K440" s="404">
        <v>30139</v>
      </c>
      <c r="N440" s="274" t="s">
        <v>7825</v>
      </c>
      <c r="R440" s="260">
        <v>3994</v>
      </c>
      <c r="S440" s="260" t="s">
        <v>7866</v>
      </c>
      <c r="T440" s="274" t="s">
        <v>7860</v>
      </c>
      <c r="U440" s="438">
        <v>816</v>
      </c>
      <c r="AF440" s="264"/>
    </row>
    <row r="441" spans="1:32" ht="14.25" customHeight="1">
      <c r="A441" s="260">
        <v>334370</v>
      </c>
      <c r="B441" s="260" t="s">
        <v>8436</v>
      </c>
      <c r="C441" s="274" t="s">
        <v>7371</v>
      </c>
      <c r="D441" s="438">
        <v>2526.8000000000002</v>
      </c>
      <c r="G441" s="404">
        <v>60848</v>
      </c>
      <c r="H441" s="404" t="s">
        <v>8575</v>
      </c>
      <c r="I441" s="443" t="s">
        <v>5740</v>
      </c>
      <c r="J441" s="471">
        <v>337.5</v>
      </c>
      <c r="K441" s="404">
        <v>30139</v>
      </c>
      <c r="N441" s="274" t="s">
        <v>8452</v>
      </c>
      <c r="R441" s="260">
        <v>1002</v>
      </c>
      <c r="S441" s="260" t="s">
        <v>8421</v>
      </c>
      <c r="T441" s="274" t="s">
        <v>3530</v>
      </c>
      <c r="U441" s="438">
        <v>105.60000000000001</v>
      </c>
      <c r="AF441" s="264"/>
    </row>
    <row r="442" spans="1:32" ht="14.25" customHeight="1">
      <c r="A442" s="260">
        <v>1265</v>
      </c>
      <c r="B442" s="260" t="s">
        <v>8443</v>
      </c>
      <c r="C442" s="274" t="s">
        <v>8596</v>
      </c>
      <c r="D442" s="438">
        <v>2437</v>
      </c>
      <c r="G442" s="404">
        <v>60848</v>
      </c>
      <c r="H442" s="404" t="s">
        <v>8576</v>
      </c>
      <c r="I442" s="443" t="s">
        <v>5740</v>
      </c>
      <c r="J442" s="471">
        <v>337.5</v>
      </c>
      <c r="K442" s="404">
        <v>30139</v>
      </c>
      <c r="N442" s="274" t="s">
        <v>5740</v>
      </c>
      <c r="R442" s="260">
        <v>1003</v>
      </c>
      <c r="S442" s="260" t="s">
        <v>8427</v>
      </c>
      <c r="T442" s="274" t="s">
        <v>3530</v>
      </c>
      <c r="U442" s="438">
        <v>158.39999999999998</v>
      </c>
      <c r="AF442" s="264"/>
    </row>
    <row r="443" spans="1:32" ht="14.25" customHeight="1">
      <c r="A443" s="260">
        <v>1585</v>
      </c>
      <c r="B443" s="260" t="s">
        <v>8454</v>
      </c>
      <c r="C443" s="274" t="s">
        <v>7283</v>
      </c>
      <c r="D443" s="438">
        <v>1760</v>
      </c>
      <c r="G443" s="404">
        <v>60848</v>
      </c>
      <c r="H443" s="404" t="s">
        <v>8579</v>
      </c>
      <c r="I443" s="443" t="s">
        <v>5740</v>
      </c>
      <c r="J443" s="471">
        <v>337.5</v>
      </c>
      <c r="K443" s="404">
        <v>30139</v>
      </c>
      <c r="N443" s="274" t="s">
        <v>3671</v>
      </c>
      <c r="R443" s="260">
        <v>1515</v>
      </c>
      <c r="S443" s="260" t="s">
        <v>8636</v>
      </c>
      <c r="T443" s="274" t="s">
        <v>4357</v>
      </c>
      <c r="U443" s="438">
        <v>290</v>
      </c>
      <c r="AF443" s="264"/>
    </row>
    <row r="444" spans="1:32" ht="14.25" customHeight="1">
      <c r="A444" s="260">
        <v>1571</v>
      </c>
      <c r="B444" s="260" t="s">
        <v>8455</v>
      </c>
      <c r="C444" s="274" t="s">
        <v>7283</v>
      </c>
      <c r="D444" s="438">
        <v>3297</v>
      </c>
      <c r="G444" s="404">
        <v>60848</v>
      </c>
      <c r="H444" s="404" t="s">
        <v>8580</v>
      </c>
      <c r="I444" s="443" t="s">
        <v>5740</v>
      </c>
      <c r="J444" s="471">
        <v>337.5</v>
      </c>
      <c r="K444" s="404">
        <v>30139</v>
      </c>
      <c r="N444" s="274" t="s">
        <v>7582</v>
      </c>
      <c r="R444" s="260">
        <v>1516</v>
      </c>
      <c r="S444" s="260" t="s">
        <v>8589</v>
      </c>
      <c r="T444" s="274" t="s">
        <v>4357</v>
      </c>
      <c r="U444" s="438">
        <v>8523.3000000000011</v>
      </c>
      <c r="AF444" s="264"/>
    </row>
    <row r="445" spans="1:32" ht="14.25" customHeight="1">
      <c r="A445" s="260">
        <v>87761</v>
      </c>
      <c r="B445" s="260" t="s">
        <v>8456</v>
      </c>
      <c r="C445" s="274" t="s">
        <v>7483</v>
      </c>
      <c r="D445" s="438">
        <v>1425.6000000000001</v>
      </c>
      <c r="G445" s="404">
        <v>83698</v>
      </c>
      <c r="H445" s="404" t="s">
        <v>8532</v>
      </c>
      <c r="I445" s="443" t="s">
        <v>4109</v>
      </c>
      <c r="J445" s="471">
        <v>350.35</v>
      </c>
      <c r="K445" s="404">
        <v>30367</v>
      </c>
      <c r="N445" s="274" t="s">
        <v>7549</v>
      </c>
      <c r="R445" s="260">
        <v>1518</v>
      </c>
      <c r="S445" s="260" t="s">
        <v>8534</v>
      </c>
      <c r="T445" s="274" t="s">
        <v>4357</v>
      </c>
      <c r="U445" s="438">
        <v>1730</v>
      </c>
      <c r="AF445" s="264"/>
    </row>
    <row r="446" spans="1:32" ht="14.25" customHeight="1">
      <c r="A446" s="260">
        <v>97883</v>
      </c>
      <c r="B446" s="260" t="s">
        <v>8459</v>
      </c>
      <c r="C446" s="274" t="s">
        <v>8556</v>
      </c>
      <c r="D446" s="438">
        <v>2995</v>
      </c>
      <c r="G446" s="404">
        <v>18785</v>
      </c>
      <c r="H446" s="404" t="s">
        <v>8397</v>
      </c>
      <c r="I446" s="443" t="s">
        <v>8452</v>
      </c>
      <c r="J446" s="471">
        <v>417</v>
      </c>
      <c r="K446" s="404">
        <v>30396</v>
      </c>
      <c r="N446" s="274" t="s">
        <v>4109</v>
      </c>
      <c r="R446" s="260">
        <v>1540</v>
      </c>
      <c r="S446" s="260" t="s">
        <v>8530</v>
      </c>
      <c r="T446" s="274" t="s">
        <v>4357</v>
      </c>
      <c r="U446" s="438">
        <v>2422</v>
      </c>
      <c r="AF446" s="264"/>
    </row>
    <row r="447" spans="1:32" ht="14.25" customHeight="1">
      <c r="A447" s="260">
        <v>8385</v>
      </c>
      <c r="B447" s="260" t="s">
        <v>8460</v>
      </c>
      <c r="C447" s="274" t="s">
        <v>8566</v>
      </c>
      <c r="D447" s="438">
        <v>2745</v>
      </c>
      <c r="G447" s="404">
        <v>120129</v>
      </c>
      <c r="H447" s="404" t="s">
        <v>8524</v>
      </c>
      <c r="I447" s="443" t="s">
        <v>2989</v>
      </c>
      <c r="J447" s="471">
        <v>420</v>
      </c>
      <c r="K447" s="404">
        <v>30377</v>
      </c>
      <c r="N447" s="274" t="s">
        <v>8596</v>
      </c>
      <c r="R447" s="260">
        <v>1003</v>
      </c>
      <c r="S447" s="260" t="s">
        <v>8528</v>
      </c>
      <c r="T447" s="274" t="s">
        <v>4358</v>
      </c>
      <c r="U447" s="438">
        <v>65</v>
      </c>
      <c r="AF447" s="264"/>
    </row>
    <row r="448" spans="1:32" ht="14.25" customHeight="1">
      <c r="A448" s="260">
        <v>60848</v>
      </c>
      <c r="B448" s="260" t="s">
        <v>8477</v>
      </c>
      <c r="C448" s="274" t="s">
        <v>5740</v>
      </c>
      <c r="D448" s="438">
        <v>337.5</v>
      </c>
      <c r="G448" s="404">
        <v>359</v>
      </c>
      <c r="H448" s="404" t="s">
        <v>8423</v>
      </c>
      <c r="I448" s="443" t="s">
        <v>4465</v>
      </c>
      <c r="J448" s="471">
        <v>500</v>
      </c>
      <c r="K448" s="404">
        <v>30403</v>
      </c>
      <c r="N448" s="274" t="s">
        <v>7392</v>
      </c>
      <c r="R448" s="260">
        <v>334370</v>
      </c>
      <c r="S448" s="260" t="s">
        <v>8436</v>
      </c>
      <c r="T448" s="274" t="s">
        <v>7371</v>
      </c>
      <c r="U448" s="438">
        <v>2526.8000000000002</v>
      </c>
      <c r="AF448" s="264"/>
    </row>
    <row r="449" spans="1:32" ht="14.25" customHeight="1">
      <c r="A449" s="260">
        <v>60848</v>
      </c>
      <c r="B449" s="260" t="s">
        <v>8574</v>
      </c>
      <c r="C449" s="274" t="s">
        <v>5740</v>
      </c>
      <c r="D449" s="438">
        <v>337.5</v>
      </c>
      <c r="G449" s="404">
        <v>338988</v>
      </c>
      <c r="H449" s="404" t="s">
        <v>8722</v>
      </c>
      <c r="I449" s="443" t="s">
        <v>7371</v>
      </c>
      <c r="J449" s="471">
        <v>508</v>
      </c>
      <c r="K449" s="404">
        <v>30388</v>
      </c>
      <c r="N449" s="274" t="s">
        <v>7363</v>
      </c>
      <c r="R449" s="260">
        <v>335382</v>
      </c>
      <c r="S449" s="260" t="s">
        <v>8526</v>
      </c>
      <c r="T449" s="274" t="s">
        <v>7371</v>
      </c>
      <c r="U449" s="438">
        <v>4041</v>
      </c>
      <c r="AF449" s="264"/>
    </row>
    <row r="450" spans="1:32" ht="14.25" customHeight="1">
      <c r="A450" s="260">
        <v>60848</v>
      </c>
      <c r="B450" s="260" t="s">
        <v>8575</v>
      </c>
      <c r="C450" s="274" t="s">
        <v>5740</v>
      </c>
      <c r="D450" s="438">
        <v>337.5</v>
      </c>
      <c r="G450" s="404">
        <v>703</v>
      </c>
      <c r="H450" s="404" t="s">
        <v>8305</v>
      </c>
      <c r="I450" s="443" t="s">
        <v>3671</v>
      </c>
      <c r="J450" s="471">
        <v>600</v>
      </c>
      <c r="K450" s="404">
        <v>30415</v>
      </c>
      <c r="N450" s="274" t="s">
        <v>7472</v>
      </c>
      <c r="R450" s="260">
        <v>336008</v>
      </c>
      <c r="S450" s="260" t="s">
        <v>8543</v>
      </c>
      <c r="T450" s="274" t="s">
        <v>7371</v>
      </c>
      <c r="U450" s="438">
        <v>159</v>
      </c>
      <c r="AF450" s="264"/>
    </row>
    <row r="451" spans="1:32" ht="14.25" customHeight="1">
      <c r="A451" s="260">
        <v>60848</v>
      </c>
      <c r="B451" s="260" t="s">
        <v>8576</v>
      </c>
      <c r="C451" s="274" t="s">
        <v>5740</v>
      </c>
      <c r="D451" s="438">
        <v>337.5</v>
      </c>
      <c r="G451" s="404">
        <v>448</v>
      </c>
      <c r="H451" s="404" t="s">
        <v>8406</v>
      </c>
      <c r="I451" s="443" t="s">
        <v>4433</v>
      </c>
      <c r="J451" s="471">
        <v>615</v>
      </c>
      <c r="K451" s="404">
        <v>30419</v>
      </c>
      <c r="N451" s="274" t="s">
        <v>4465</v>
      </c>
      <c r="R451" s="260">
        <v>336093</v>
      </c>
      <c r="S451" s="260" t="s">
        <v>8531</v>
      </c>
      <c r="T451" s="274" t="s">
        <v>7371</v>
      </c>
      <c r="U451" s="438">
        <v>1872</v>
      </c>
      <c r="AF451" s="264"/>
    </row>
    <row r="452" spans="1:32" ht="14.25" customHeight="1">
      <c r="A452" s="260">
        <v>60848</v>
      </c>
      <c r="B452" s="260" t="s">
        <v>8577</v>
      </c>
      <c r="C452" s="274" t="s">
        <v>5740</v>
      </c>
      <c r="D452" s="438">
        <v>225</v>
      </c>
      <c r="G452" s="404">
        <v>120320</v>
      </c>
      <c r="H452" s="404" t="s">
        <v>8535</v>
      </c>
      <c r="I452" s="443" t="s">
        <v>2989</v>
      </c>
      <c r="J452" s="471">
        <v>692</v>
      </c>
      <c r="K452" s="404">
        <v>30437</v>
      </c>
      <c r="N452"/>
      <c r="R452" s="260">
        <v>337167</v>
      </c>
      <c r="S452" s="260" t="s">
        <v>8544</v>
      </c>
      <c r="T452" s="274" t="s">
        <v>7371</v>
      </c>
      <c r="U452" s="438">
        <v>72.5</v>
      </c>
      <c r="AF452" s="264"/>
    </row>
    <row r="453" spans="1:32" ht="14.25" customHeight="1">
      <c r="A453" s="260">
        <v>60848</v>
      </c>
      <c r="B453" s="260" t="s">
        <v>8578</v>
      </c>
      <c r="C453" s="274" t="s">
        <v>5740</v>
      </c>
      <c r="D453" s="438">
        <v>225</v>
      </c>
      <c r="G453" s="404">
        <v>874</v>
      </c>
      <c r="H453" s="404" t="s">
        <v>8327</v>
      </c>
      <c r="I453" s="443" t="s">
        <v>3407</v>
      </c>
      <c r="J453" s="471">
        <v>696</v>
      </c>
      <c r="K453" s="404">
        <v>30461</v>
      </c>
      <c r="N453" s="274" t="s">
        <v>4358</v>
      </c>
      <c r="R453" s="260">
        <v>338988</v>
      </c>
      <c r="S453" s="260" t="s">
        <v>8722</v>
      </c>
      <c r="T453" s="274" t="s">
        <v>7371</v>
      </c>
      <c r="U453" s="438">
        <v>508</v>
      </c>
      <c r="AF453" s="264"/>
    </row>
    <row r="454" spans="1:32" ht="14.25" customHeight="1">
      <c r="A454" s="260">
        <v>60848</v>
      </c>
      <c r="B454" s="260" t="s">
        <v>8579</v>
      </c>
      <c r="C454" s="274" t="s">
        <v>5740</v>
      </c>
      <c r="D454" s="438">
        <v>337.5</v>
      </c>
      <c r="G454" s="404">
        <v>33868</v>
      </c>
      <c r="H454" s="404" t="s">
        <v>8619</v>
      </c>
      <c r="I454" s="443" t="s">
        <v>8694</v>
      </c>
      <c r="J454" s="471">
        <v>700</v>
      </c>
      <c r="K454" s="404">
        <v>30476</v>
      </c>
      <c r="N454"/>
      <c r="R454" s="260">
        <v>339328</v>
      </c>
      <c r="S454" s="260" t="s">
        <v>8720</v>
      </c>
      <c r="T454" s="274" t="s">
        <v>7371</v>
      </c>
      <c r="U454" s="438">
        <v>314.40000000000003</v>
      </c>
      <c r="AF454" s="264"/>
    </row>
    <row r="455" spans="1:32" ht="14.25" customHeight="1">
      <c r="A455" s="260">
        <v>60848</v>
      </c>
      <c r="B455" s="260" t="s">
        <v>8580</v>
      </c>
      <c r="C455" s="274" t="s">
        <v>5740</v>
      </c>
      <c r="D455" s="438">
        <v>337.5</v>
      </c>
      <c r="G455" s="404">
        <v>2813</v>
      </c>
      <c r="H455" s="404" t="s">
        <v>8386</v>
      </c>
      <c r="I455" s="443" t="s">
        <v>7826</v>
      </c>
      <c r="J455" s="471">
        <v>746.8</v>
      </c>
      <c r="K455" s="404">
        <v>30493</v>
      </c>
      <c r="N455"/>
      <c r="R455" s="260">
        <v>339329</v>
      </c>
      <c r="S455" s="260" t="s">
        <v>8708</v>
      </c>
      <c r="T455" s="274" t="s">
        <v>7371</v>
      </c>
      <c r="U455" s="438">
        <v>250</v>
      </c>
      <c r="AF455" s="264"/>
    </row>
    <row r="456" spans="1:32" ht="14.25" customHeight="1">
      <c r="A456" s="260">
        <v>60848</v>
      </c>
      <c r="B456" s="260" t="s">
        <v>8581</v>
      </c>
      <c r="C456" s="274" t="s">
        <v>5740</v>
      </c>
      <c r="D456" s="438">
        <v>225</v>
      </c>
      <c r="G456" s="404">
        <v>121344</v>
      </c>
      <c r="H456" s="404" t="s">
        <v>8724</v>
      </c>
      <c r="I456" s="443" t="s">
        <v>2989</v>
      </c>
      <c r="J456" s="471">
        <v>765</v>
      </c>
      <c r="K456" s="404">
        <v>30501</v>
      </c>
      <c r="N456"/>
      <c r="R456" s="260">
        <v>339380</v>
      </c>
      <c r="S456" s="260" t="s">
        <v>8770</v>
      </c>
      <c r="T456" s="274" t="s">
        <v>7371</v>
      </c>
      <c r="U456" s="438">
        <v>16000</v>
      </c>
      <c r="AF456" s="264"/>
    </row>
    <row r="457" spans="1:32" ht="14.25" customHeight="1">
      <c r="A457" s="260">
        <v>60848</v>
      </c>
      <c r="B457" s="260" t="s">
        <v>8582</v>
      </c>
      <c r="C457" s="274" t="s">
        <v>5740</v>
      </c>
      <c r="D457" s="438">
        <v>225</v>
      </c>
      <c r="G457" s="404">
        <v>2616347</v>
      </c>
      <c r="H457" s="404" t="s">
        <v>8399</v>
      </c>
      <c r="I457" s="443" t="s">
        <v>4401</v>
      </c>
      <c r="J457" s="471">
        <v>805</v>
      </c>
      <c r="K457" s="404">
        <v>30512</v>
      </c>
      <c r="N457"/>
      <c r="R457" s="260">
        <v>339454</v>
      </c>
      <c r="S457" s="260" t="s">
        <v>8764</v>
      </c>
      <c r="T457" s="274" t="s">
        <v>7371</v>
      </c>
      <c r="U457" s="438">
        <v>1270</v>
      </c>
      <c r="AF457" s="264"/>
    </row>
    <row r="458" spans="1:32" ht="14.25" customHeight="1">
      <c r="A458" s="260">
        <v>84302</v>
      </c>
      <c r="B458" s="260" t="s">
        <v>8508</v>
      </c>
      <c r="C458" s="274" t="s">
        <v>4109</v>
      </c>
      <c r="D458" s="438">
        <v>980</v>
      </c>
      <c r="G458" s="404">
        <v>3994</v>
      </c>
      <c r="H458" s="404" t="s">
        <v>7866</v>
      </c>
      <c r="I458" s="443" t="s">
        <v>7860</v>
      </c>
      <c r="J458" s="471">
        <v>816</v>
      </c>
      <c r="K458" s="404">
        <v>30530</v>
      </c>
      <c r="N458"/>
      <c r="R458" s="260">
        <v>69876</v>
      </c>
      <c r="S458" s="260" t="s">
        <v>8404</v>
      </c>
      <c r="T458" s="274" t="s">
        <v>3882</v>
      </c>
      <c r="U458" s="438">
        <v>185.79999999999998</v>
      </c>
      <c r="AF458" s="264"/>
    </row>
    <row r="459" spans="1:32" ht="14.25" customHeight="1">
      <c r="A459" s="260">
        <v>449</v>
      </c>
      <c r="B459" s="260" t="s">
        <v>8510</v>
      </c>
      <c r="C459" s="274" t="s">
        <v>4433</v>
      </c>
      <c r="D459" s="438">
        <v>1190</v>
      </c>
      <c r="G459" s="404">
        <v>417823</v>
      </c>
      <c r="H459" s="404" t="s">
        <v>8410</v>
      </c>
      <c r="I459" s="443" t="s">
        <v>7363</v>
      </c>
      <c r="J459" s="471">
        <v>824</v>
      </c>
      <c r="K459" s="404">
        <v>30546</v>
      </c>
      <c r="N459"/>
      <c r="R459" s="260">
        <v>702</v>
      </c>
      <c r="S459" s="260" t="s">
        <v>8429</v>
      </c>
      <c r="T459" s="274" t="s">
        <v>8468</v>
      </c>
      <c r="U459" s="438">
        <v>17585.400000000001</v>
      </c>
      <c r="AF459" s="264"/>
    </row>
    <row r="460" spans="1:32" ht="14.25" customHeight="1">
      <c r="A460" s="260">
        <v>120129</v>
      </c>
      <c r="B460" s="260" t="s">
        <v>8524</v>
      </c>
      <c r="C460" s="274" t="s">
        <v>2989</v>
      </c>
      <c r="D460" s="438">
        <v>420</v>
      </c>
      <c r="G460" s="404">
        <v>105371</v>
      </c>
      <c r="H460" s="404" t="s">
        <v>8533</v>
      </c>
      <c r="I460" s="443" t="s">
        <v>7549</v>
      </c>
      <c r="J460" s="471">
        <v>825</v>
      </c>
      <c r="K460" s="404">
        <v>30549</v>
      </c>
      <c r="N460"/>
      <c r="R460" s="260">
        <v>2813</v>
      </c>
      <c r="S460" s="260" t="s">
        <v>8386</v>
      </c>
      <c r="T460" s="274" t="s">
        <v>7826</v>
      </c>
      <c r="U460" s="438">
        <v>746.79600000000005</v>
      </c>
      <c r="AF460" s="264"/>
    </row>
    <row r="461" spans="1:32" ht="14.25" customHeight="1">
      <c r="A461" s="260">
        <v>335382</v>
      </c>
      <c r="B461" s="260" t="s">
        <v>8526</v>
      </c>
      <c r="C461" s="274" t="s">
        <v>7371</v>
      </c>
      <c r="D461" s="438">
        <v>4041</v>
      </c>
      <c r="G461" s="404">
        <v>84302</v>
      </c>
      <c r="H461" s="404" t="s">
        <v>8508</v>
      </c>
      <c r="I461" s="443" t="s">
        <v>4109</v>
      </c>
      <c r="J461" s="471">
        <v>980</v>
      </c>
      <c r="K461" s="404">
        <v>30559</v>
      </c>
      <c r="N461"/>
      <c r="R461" s="260">
        <v>542060</v>
      </c>
      <c r="S461" s="260" t="s">
        <v>8617</v>
      </c>
      <c r="T461" s="274" t="s">
        <v>7825</v>
      </c>
      <c r="U461" s="438">
        <v>2400</v>
      </c>
      <c r="AF461" s="264"/>
    </row>
    <row r="462" spans="1:32" ht="14.25" customHeight="1">
      <c r="A462" s="260">
        <v>1003</v>
      </c>
      <c r="B462" s="260" t="s">
        <v>8528</v>
      </c>
      <c r="C462" s="274" t="s">
        <v>4358</v>
      </c>
      <c r="D462" s="438">
        <v>65</v>
      </c>
      <c r="G462" s="404">
        <v>1328</v>
      </c>
      <c r="H462" s="404" t="s">
        <v>8538</v>
      </c>
      <c r="I462" s="443" t="s">
        <v>7392</v>
      </c>
      <c r="J462" s="471">
        <v>1044</v>
      </c>
      <c r="K462" s="404">
        <v>30600</v>
      </c>
      <c r="N462"/>
      <c r="R462" s="260">
        <v>542152</v>
      </c>
      <c r="S462" s="260" t="s">
        <v>8655</v>
      </c>
      <c r="T462" s="274" t="s">
        <v>7825</v>
      </c>
      <c r="U462" s="438">
        <v>1778</v>
      </c>
      <c r="AF462" s="264"/>
    </row>
    <row r="463" spans="1:32" ht="14.25" customHeight="1">
      <c r="A463" s="260">
        <v>18933</v>
      </c>
      <c r="B463" s="260" t="s">
        <v>8529</v>
      </c>
      <c r="C463" s="274" t="s">
        <v>8452</v>
      </c>
      <c r="D463" s="438">
        <v>171</v>
      </c>
      <c r="G463" s="404">
        <v>449</v>
      </c>
      <c r="H463" s="404" t="s">
        <v>8510</v>
      </c>
      <c r="I463" s="443" t="s">
        <v>4433</v>
      </c>
      <c r="J463" s="471">
        <v>1190</v>
      </c>
      <c r="K463" s="404">
        <v>30606</v>
      </c>
      <c r="N463"/>
      <c r="R463" s="260">
        <v>18785</v>
      </c>
      <c r="S463" s="260" t="s">
        <v>8397</v>
      </c>
      <c r="T463" s="274" t="s">
        <v>8452</v>
      </c>
      <c r="U463" s="438">
        <v>417</v>
      </c>
      <c r="AF463" s="264"/>
    </row>
    <row r="464" spans="1:32" ht="14.25" customHeight="1">
      <c r="A464" s="260">
        <v>1540</v>
      </c>
      <c r="B464" s="260" t="s">
        <v>8530</v>
      </c>
      <c r="C464" s="274" t="s">
        <v>4357</v>
      </c>
      <c r="D464" s="438">
        <v>2422</v>
      </c>
      <c r="G464" s="404">
        <v>339454</v>
      </c>
      <c r="H464" s="404" t="s">
        <v>8764</v>
      </c>
      <c r="I464" s="443" t="s">
        <v>7371</v>
      </c>
      <c r="J464" s="471">
        <v>1270</v>
      </c>
      <c r="K464" s="404">
        <v>30609</v>
      </c>
      <c r="N464"/>
      <c r="R464" s="260">
        <v>18933</v>
      </c>
      <c r="S464" s="260" t="s">
        <v>8529</v>
      </c>
      <c r="T464" s="274" t="s">
        <v>8452</v>
      </c>
      <c r="U464" s="438">
        <v>171</v>
      </c>
      <c r="AF464" s="264"/>
    </row>
    <row r="465" spans="1:32" ht="14.25" customHeight="1">
      <c r="A465" s="260">
        <v>336093</v>
      </c>
      <c r="B465" s="260" t="s">
        <v>8531</v>
      </c>
      <c r="C465" s="274" t="s">
        <v>7371</v>
      </c>
      <c r="D465" s="438">
        <v>1872</v>
      </c>
      <c r="G465" s="404">
        <v>87761</v>
      </c>
      <c r="H465" s="404" t="s">
        <v>8456</v>
      </c>
      <c r="I465" s="443" t="s">
        <v>7483</v>
      </c>
      <c r="J465" s="471">
        <v>1425.6</v>
      </c>
      <c r="K465" s="404">
        <v>30616</v>
      </c>
      <c r="N465"/>
      <c r="R465" s="260">
        <v>59828</v>
      </c>
      <c r="S465" s="260" t="s">
        <v>7856</v>
      </c>
      <c r="T465" s="274" t="s">
        <v>5740</v>
      </c>
      <c r="U465" s="438">
        <v>189</v>
      </c>
      <c r="AF465" s="264"/>
    </row>
    <row r="466" spans="1:32" ht="14.25" customHeight="1">
      <c r="A466" s="260">
        <v>83698</v>
      </c>
      <c r="B466" s="260" t="s">
        <v>8532</v>
      </c>
      <c r="C466" s="274" t="s">
        <v>4109</v>
      </c>
      <c r="D466" s="438">
        <v>350.34999999999997</v>
      </c>
      <c r="G466" s="404">
        <v>1585</v>
      </c>
      <c r="H466" s="404" t="s">
        <v>8454</v>
      </c>
      <c r="I466" s="443" t="s">
        <v>7283</v>
      </c>
      <c r="J466" s="471">
        <v>1760</v>
      </c>
      <c r="K466" s="404">
        <v>30625</v>
      </c>
      <c r="N466"/>
      <c r="R466" s="260">
        <v>60848</v>
      </c>
      <c r="S466" s="260" t="s">
        <v>8477</v>
      </c>
      <c r="T466" s="274" t="s">
        <v>5740</v>
      </c>
      <c r="U466" s="438">
        <v>337.5</v>
      </c>
      <c r="AF466" s="264"/>
    </row>
    <row r="467" spans="1:32" ht="14.25" customHeight="1">
      <c r="A467" s="260">
        <v>105371</v>
      </c>
      <c r="B467" s="260" t="s">
        <v>8533</v>
      </c>
      <c r="C467" s="274" t="s">
        <v>7549</v>
      </c>
      <c r="D467" s="438">
        <v>825</v>
      </c>
      <c r="G467" s="404">
        <v>542152</v>
      </c>
      <c r="H467" s="404" t="s">
        <v>8655</v>
      </c>
      <c r="I467" s="443" t="s">
        <v>7825</v>
      </c>
      <c r="J467" s="471">
        <v>1778</v>
      </c>
      <c r="K467" s="404">
        <v>30678</v>
      </c>
      <c r="N467"/>
      <c r="R467" s="260">
        <v>60848</v>
      </c>
      <c r="S467" s="260" t="s">
        <v>8574</v>
      </c>
      <c r="T467" s="274" t="s">
        <v>5740</v>
      </c>
      <c r="U467" s="438">
        <v>337.5</v>
      </c>
      <c r="AF467" s="264"/>
    </row>
    <row r="468" spans="1:32" ht="14.25" customHeight="1">
      <c r="A468" s="260">
        <v>1518</v>
      </c>
      <c r="B468" s="260" t="s">
        <v>8534</v>
      </c>
      <c r="C468" s="274" t="s">
        <v>4357</v>
      </c>
      <c r="D468" s="438">
        <v>1730</v>
      </c>
      <c r="G468" s="404">
        <v>1327</v>
      </c>
      <c r="H468" s="404" t="s">
        <v>8541</v>
      </c>
      <c r="I468" s="443" t="s">
        <v>7392</v>
      </c>
      <c r="J468" s="471">
        <v>1860</v>
      </c>
      <c r="K468" s="404">
        <v>30683</v>
      </c>
      <c r="N468"/>
      <c r="R468" s="260">
        <v>60848</v>
      </c>
      <c r="S468" s="260" t="s">
        <v>8575</v>
      </c>
      <c r="T468" s="274" t="s">
        <v>5740</v>
      </c>
      <c r="U468" s="438">
        <v>337.5</v>
      </c>
      <c r="AF468" s="264"/>
    </row>
    <row r="469" spans="1:32" ht="14.25" customHeight="1">
      <c r="A469" s="492">
        <v>1518</v>
      </c>
      <c r="B469" s="492" t="s">
        <v>8534</v>
      </c>
      <c r="C469" s="493" t="s">
        <v>4357</v>
      </c>
      <c r="D469" s="494" t="s">
        <v>9167</v>
      </c>
      <c r="E469" s="492" t="s">
        <v>9168</v>
      </c>
      <c r="G469" s="404">
        <v>336093</v>
      </c>
      <c r="H469" s="404" t="s">
        <v>8531</v>
      </c>
      <c r="I469" s="443" t="s">
        <v>7371</v>
      </c>
      <c r="J469" s="471">
        <v>1872</v>
      </c>
      <c r="K469" s="404">
        <v>30694</v>
      </c>
      <c r="N469"/>
      <c r="R469" s="260">
        <v>60848</v>
      </c>
      <c r="S469" s="260" t="s">
        <v>8576</v>
      </c>
      <c r="T469" s="274" t="s">
        <v>5740</v>
      </c>
      <c r="U469" s="438">
        <v>337.5</v>
      </c>
      <c r="AF469" s="264"/>
    </row>
    <row r="470" spans="1:32" ht="14.25" customHeight="1">
      <c r="A470" s="260">
        <v>120320</v>
      </c>
      <c r="B470" s="260" t="s">
        <v>8535</v>
      </c>
      <c r="C470" s="274" t="s">
        <v>2989</v>
      </c>
      <c r="D470" s="438">
        <v>692</v>
      </c>
      <c r="G470" s="404">
        <v>791</v>
      </c>
      <c r="H470" s="404" t="s">
        <v>7482</v>
      </c>
      <c r="I470" s="443" t="s">
        <v>7582</v>
      </c>
      <c r="J470" s="471">
        <v>1912</v>
      </c>
      <c r="K470" s="404">
        <v>30702</v>
      </c>
      <c r="N470"/>
      <c r="R470" s="260">
        <v>60848</v>
      </c>
      <c r="S470" s="260" t="s">
        <v>8577</v>
      </c>
      <c r="T470" s="274" t="s">
        <v>5740</v>
      </c>
      <c r="U470" s="438">
        <v>225</v>
      </c>
      <c r="AF470" s="264"/>
    </row>
    <row r="471" spans="1:32" ht="14.25" customHeight="1">
      <c r="A471" s="260">
        <v>120354</v>
      </c>
      <c r="B471" s="260" t="s">
        <v>8536</v>
      </c>
      <c r="C471" s="274" t="s">
        <v>2989</v>
      </c>
      <c r="D471" s="438">
        <v>317.5</v>
      </c>
      <c r="G471" s="404" t="s">
        <v>8888</v>
      </c>
      <c r="H471" s="404" t="s">
        <v>8712</v>
      </c>
      <c r="I471" s="443" t="s">
        <v>7457</v>
      </c>
      <c r="J471" s="471">
        <v>1950.2</v>
      </c>
      <c r="K471" s="404">
        <v>30711</v>
      </c>
      <c r="N471"/>
      <c r="R471" s="260">
        <v>60848</v>
      </c>
      <c r="S471" s="260" t="s">
        <v>8578</v>
      </c>
      <c r="T471" s="274" t="s">
        <v>5740</v>
      </c>
      <c r="U471" s="438">
        <v>225</v>
      </c>
      <c r="AF471" s="264"/>
    </row>
    <row r="472" spans="1:32" ht="14.25" customHeight="1">
      <c r="A472" s="260">
        <v>1328</v>
      </c>
      <c r="B472" s="260" t="s">
        <v>8538</v>
      </c>
      <c r="C472" s="274" t="s">
        <v>7392</v>
      </c>
      <c r="D472" s="438">
        <v>1044</v>
      </c>
      <c r="G472" s="404">
        <v>84301</v>
      </c>
      <c r="H472" s="404" t="s">
        <v>8661</v>
      </c>
      <c r="I472" s="443" t="s">
        <v>4109</v>
      </c>
      <c r="J472" s="471">
        <v>2205</v>
      </c>
      <c r="K472" s="404">
        <v>30725</v>
      </c>
      <c r="N472"/>
      <c r="R472" s="260">
        <v>60848</v>
      </c>
      <c r="S472" s="260" t="s">
        <v>8579</v>
      </c>
      <c r="T472" s="274" t="s">
        <v>5740</v>
      </c>
      <c r="U472" s="438">
        <v>337.5</v>
      </c>
      <c r="AF472" s="264"/>
    </row>
    <row r="473" spans="1:32" ht="14.25" customHeight="1">
      <c r="A473" s="260">
        <v>1327</v>
      </c>
      <c r="B473" s="260" t="s">
        <v>8541</v>
      </c>
      <c r="C473" s="274" t="s">
        <v>7392</v>
      </c>
      <c r="D473" s="438">
        <v>1860</v>
      </c>
      <c r="G473" s="404">
        <v>542060</v>
      </c>
      <c r="H473" s="404" t="s">
        <v>8617</v>
      </c>
      <c r="I473" s="443" t="s">
        <v>7825</v>
      </c>
      <c r="J473" s="471">
        <v>2400</v>
      </c>
      <c r="K473" s="404">
        <v>30735</v>
      </c>
      <c r="N473"/>
      <c r="R473" s="260">
        <v>60848</v>
      </c>
      <c r="S473" s="260" t="s">
        <v>8580</v>
      </c>
      <c r="T473" s="274" t="s">
        <v>5740</v>
      </c>
      <c r="U473" s="438">
        <v>337.5</v>
      </c>
      <c r="AF473" s="264"/>
    </row>
    <row r="474" spans="1:32" ht="14.25" customHeight="1">
      <c r="A474" s="260">
        <v>336008</v>
      </c>
      <c r="B474" s="260" t="s">
        <v>8543</v>
      </c>
      <c r="C474" s="274" t="s">
        <v>7371</v>
      </c>
      <c r="D474" s="438">
        <v>159</v>
      </c>
      <c r="G474" s="404">
        <v>1540</v>
      </c>
      <c r="H474" s="404" t="s">
        <v>8530</v>
      </c>
      <c r="I474" s="443" t="s">
        <v>4357</v>
      </c>
      <c r="J474" s="471">
        <v>2422</v>
      </c>
      <c r="K474" s="404">
        <v>30743</v>
      </c>
      <c r="N474"/>
      <c r="R474" s="260">
        <v>60848</v>
      </c>
      <c r="S474" s="260" t="s">
        <v>8581</v>
      </c>
      <c r="T474" s="274" t="s">
        <v>5740</v>
      </c>
      <c r="U474" s="438">
        <v>225</v>
      </c>
      <c r="AF474" s="264"/>
    </row>
    <row r="475" spans="1:32" ht="14.25" customHeight="1">
      <c r="A475" s="260">
        <v>337167</v>
      </c>
      <c r="B475" s="260" t="s">
        <v>8544</v>
      </c>
      <c r="C475" s="274" t="s">
        <v>7371</v>
      </c>
      <c r="D475" s="438">
        <v>72.5</v>
      </c>
      <c r="G475" s="404">
        <v>1265</v>
      </c>
      <c r="H475" s="404" t="s">
        <v>8443</v>
      </c>
      <c r="I475" s="443" t="s">
        <v>8596</v>
      </c>
      <c r="J475" s="471">
        <v>2437</v>
      </c>
      <c r="K475" s="404">
        <v>30752</v>
      </c>
      <c r="N475"/>
      <c r="R475" s="260">
        <v>60848</v>
      </c>
      <c r="S475" s="260" t="s">
        <v>8582</v>
      </c>
      <c r="T475" s="274" t="s">
        <v>5740</v>
      </c>
      <c r="U475" s="438">
        <v>225</v>
      </c>
      <c r="AF475" s="264"/>
    </row>
    <row r="476" spans="1:32" ht="14.25" customHeight="1">
      <c r="A476" s="260">
        <v>120445</v>
      </c>
      <c r="B476" s="260" t="s">
        <v>8554</v>
      </c>
      <c r="C476" s="274" t="s">
        <v>2989</v>
      </c>
      <c r="D476" s="438">
        <v>165</v>
      </c>
      <c r="G476" s="404">
        <v>334370</v>
      </c>
      <c r="H476" s="404" t="s">
        <v>8436</v>
      </c>
      <c r="I476" s="443" t="s">
        <v>7371</v>
      </c>
      <c r="J476" s="471">
        <v>2526.8000000000002</v>
      </c>
      <c r="K476" s="404">
        <v>30762</v>
      </c>
      <c r="N476"/>
      <c r="R476" s="260">
        <v>703</v>
      </c>
      <c r="S476" s="260" t="s">
        <v>8305</v>
      </c>
      <c r="T476" s="274" t="s">
        <v>3671</v>
      </c>
      <c r="U476" s="438">
        <v>600</v>
      </c>
      <c r="AF476" s="264"/>
    </row>
    <row r="477" spans="1:32" ht="14.25" customHeight="1">
      <c r="A477" s="260">
        <v>1516</v>
      </c>
      <c r="B477" s="260" t="s">
        <v>8589</v>
      </c>
      <c r="C477" s="274" t="s">
        <v>4357</v>
      </c>
      <c r="D477" s="438">
        <v>8523.3000000000011</v>
      </c>
      <c r="G477" s="404">
        <v>8385</v>
      </c>
      <c r="H477" s="404" t="s">
        <v>8460</v>
      </c>
      <c r="I477" s="443" t="s">
        <v>8566</v>
      </c>
      <c r="J477" s="471">
        <v>2745</v>
      </c>
      <c r="K477" s="404">
        <v>30774</v>
      </c>
      <c r="N477"/>
      <c r="R477" s="260">
        <v>791</v>
      </c>
      <c r="S477" s="260" t="s">
        <v>7482</v>
      </c>
      <c r="T477" s="274" t="s">
        <v>7582</v>
      </c>
      <c r="U477" s="438">
        <v>956</v>
      </c>
      <c r="AF477" s="264"/>
    </row>
    <row r="478" spans="1:32" ht="14.25" customHeight="1">
      <c r="A478" s="260">
        <v>542060</v>
      </c>
      <c r="B478" s="260" t="s">
        <v>8617</v>
      </c>
      <c r="C478" s="274" t="s">
        <v>7825</v>
      </c>
      <c r="D478" s="438">
        <v>2400</v>
      </c>
      <c r="G478" s="404">
        <v>97883</v>
      </c>
      <c r="H478" s="404" t="s">
        <v>8459</v>
      </c>
      <c r="I478" s="443" t="s">
        <v>8556</v>
      </c>
      <c r="J478" s="471">
        <v>2995</v>
      </c>
      <c r="K478" s="404">
        <v>30780</v>
      </c>
      <c r="N478"/>
      <c r="R478" s="260">
        <v>105371</v>
      </c>
      <c r="S478" s="260" t="s">
        <v>8533</v>
      </c>
      <c r="T478" s="274" t="s">
        <v>7549</v>
      </c>
      <c r="U478" s="438">
        <v>825</v>
      </c>
      <c r="AF478" s="264"/>
    </row>
    <row r="479" spans="1:32" ht="14.25" customHeight="1">
      <c r="A479" s="260">
        <v>33868</v>
      </c>
      <c r="B479" s="260" t="s">
        <v>8619</v>
      </c>
      <c r="C479" s="274" t="s">
        <v>8694</v>
      </c>
      <c r="D479" s="438">
        <v>700</v>
      </c>
      <c r="G479" s="404">
        <v>59828</v>
      </c>
      <c r="H479" s="404" t="s">
        <v>7856</v>
      </c>
      <c r="I479" s="443" t="s">
        <v>5740</v>
      </c>
      <c r="J479" s="471">
        <v>3235.44</v>
      </c>
      <c r="K479" s="404">
        <v>30787</v>
      </c>
      <c r="N479"/>
      <c r="R479" s="260">
        <v>83698</v>
      </c>
      <c r="S479" s="260" t="s">
        <v>8532</v>
      </c>
      <c r="T479" s="274" t="s">
        <v>4109</v>
      </c>
      <c r="U479" s="438">
        <v>350.34999999999997</v>
      </c>
      <c r="AF479" s="264"/>
    </row>
    <row r="480" spans="1:32" ht="14.25" customHeight="1">
      <c r="A480" s="260">
        <v>121018</v>
      </c>
      <c r="B480" s="260" t="s">
        <v>8635</v>
      </c>
      <c r="C480" s="274" t="s">
        <v>2989</v>
      </c>
      <c r="D480" s="438">
        <v>320</v>
      </c>
      <c r="G480" s="404">
        <v>1571</v>
      </c>
      <c r="H480" s="404" t="s">
        <v>8455</v>
      </c>
      <c r="I480" s="443" t="s">
        <v>7283</v>
      </c>
      <c r="J480" s="471">
        <v>3297</v>
      </c>
      <c r="K480" s="404">
        <v>30802</v>
      </c>
      <c r="N480"/>
      <c r="R480" s="260">
        <v>84301</v>
      </c>
      <c r="S480" s="260" t="s">
        <v>8661</v>
      </c>
      <c r="T480" s="274" t="s">
        <v>4109</v>
      </c>
      <c r="U480" s="438">
        <v>2205</v>
      </c>
      <c r="AF480" s="264"/>
    </row>
    <row r="481" spans="1:32" ht="14.25" customHeight="1">
      <c r="A481" s="260">
        <v>1515</v>
      </c>
      <c r="B481" s="260" t="s">
        <v>8636</v>
      </c>
      <c r="C481" s="274" t="s">
        <v>4357</v>
      </c>
      <c r="D481" s="438">
        <v>290</v>
      </c>
      <c r="G481" s="404">
        <v>335382</v>
      </c>
      <c r="H481" s="404" t="s">
        <v>8526</v>
      </c>
      <c r="I481" s="443" t="s">
        <v>7371</v>
      </c>
      <c r="J481" s="471">
        <v>4041</v>
      </c>
      <c r="K481" s="404">
        <v>30806</v>
      </c>
      <c r="R481" s="260">
        <v>84302</v>
      </c>
      <c r="S481" s="260" t="s">
        <v>8508</v>
      </c>
      <c r="T481" s="274" t="s">
        <v>4109</v>
      </c>
      <c r="U481" s="438">
        <v>980</v>
      </c>
      <c r="AF481" s="264"/>
    </row>
    <row r="482" spans="1:32" ht="14.25" customHeight="1">
      <c r="A482" s="260">
        <v>23073</v>
      </c>
      <c r="B482" s="260" t="s">
        <v>8649</v>
      </c>
      <c r="C482" s="274" t="s">
        <v>7472</v>
      </c>
      <c r="D482" s="438">
        <v>6160.0000000000009</v>
      </c>
      <c r="G482" s="495">
        <v>1518</v>
      </c>
      <c r="H482" s="495" t="s">
        <v>8534</v>
      </c>
      <c r="I482" s="496" t="s">
        <v>4357</v>
      </c>
      <c r="J482" s="497" t="s">
        <v>9170</v>
      </c>
      <c r="K482" s="404" t="e">
        <v>#N/A</v>
      </c>
      <c r="L482" s="492" t="s">
        <v>9166</v>
      </c>
      <c r="R482" s="260">
        <v>1265</v>
      </c>
      <c r="S482" s="260" t="s">
        <v>8443</v>
      </c>
      <c r="T482" s="274" t="s">
        <v>8596</v>
      </c>
      <c r="U482" s="438">
        <v>2437</v>
      </c>
      <c r="AF482" s="264"/>
    </row>
    <row r="483" spans="1:32" ht="14.25" customHeight="1">
      <c r="A483" s="260">
        <v>542152</v>
      </c>
      <c r="B483" s="260" t="s">
        <v>8655</v>
      </c>
      <c r="C483" s="274" t="s">
        <v>7825</v>
      </c>
      <c r="D483" s="438">
        <v>1778</v>
      </c>
      <c r="G483" s="404">
        <v>23073</v>
      </c>
      <c r="H483" s="404" t="s">
        <v>8649</v>
      </c>
      <c r="I483" s="443" t="s">
        <v>7472</v>
      </c>
      <c r="J483" s="471">
        <v>6160</v>
      </c>
      <c r="K483" s="404">
        <v>30811</v>
      </c>
      <c r="L483" s="260"/>
      <c r="R483" s="260">
        <v>1327</v>
      </c>
      <c r="S483" s="260" t="s">
        <v>8541</v>
      </c>
      <c r="T483" s="274" t="s">
        <v>7392</v>
      </c>
      <c r="U483" s="438">
        <v>1860</v>
      </c>
      <c r="AF483" s="264"/>
    </row>
    <row r="484" spans="1:32" ht="14.25" customHeight="1">
      <c r="A484" s="260">
        <v>84301</v>
      </c>
      <c r="B484" s="260" t="s">
        <v>8661</v>
      </c>
      <c r="C484" s="274" t="s">
        <v>4109</v>
      </c>
      <c r="D484" s="438">
        <v>2205</v>
      </c>
      <c r="G484" s="404">
        <v>68</v>
      </c>
      <c r="H484" s="404" t="s">
        <v>8345</v>
      </c>
      <c r="I484" s="443" t="s">
        <v>7051</v>
      </c>
      <c r="J484" s="471">
        <v>7330.5</v>
      </c>
      <c r="K484" s="404">
        <v>3289</v>
      </c>
      <c r="L484" s="260" t="s">
        <v>3050</v>
      </c>
      <c r="R484" s="260">
        <v>1328</v>
      </c>
      <c r="S484" s="260" t="s">
        <v>8538</v>
      </c>
      <c r="T484" s="274" t="s">
        <v>7392</v>
      </c>
      <c r="U484" s="438">
        <v>1044</v>
      </c>
      <c r="AF484" s="264"/>
    </row>
    <row r="485" spans="1:32" ht="14.25" customHeight="1">
      <c r="A485" s="260">
        <v>339329</v>
      </c>
      <c r="B485" s="260" t="s">
        <v>8708</v>
      </c>
      <c r="C485" s="274" t="s">
        <v>7371</v>
      </c>
      <c r="D485" s="438">
        <v>250</v>
      </c>
      <c r="G485" s="404">
        <v>1516</v>
      </c>
      <c r="H485" s="404" t="s">
        <v>8589</v>
      </c>
      <c r="I485" s="443" t="s">
        <v>4357</v>
      </c>
      <c r="J485" s="471">
        <v>8523.2999999999993</v>
      </c>
      <c r="K485" s="404">
        <v>30817</v>
      </c>
      <c r="L485" s="260"/>
      <c r="R485" s="260">
        <v>417823</v>
      </c>
      <c r="S485" s="260" t="s">
        <v>8410</v>
      </c>
      <c r="T485" s="274" t="s">
        <v>7363</v>
      </c>
      <c r="U485" s="438">
        <v>824</v>
      </c>
      <c r="AF485" s="264"/>
    </row>
    <row r="486" spans="1:32" ht="14.25" customHeight="1">
      <c r="A486" s="260" t="s">
        <v>8888</v>
      </c>
      <c r="B486" s="260" t="s">
        <v>8712</v>
      </c>
      <c r="C486" s="274" t="s">
        <v>7457</v>
      </c>
      <c r="D486" s="438">
        <v>1950.2</v>
      </c>
      <c r="G486" s="404">
        <v>451</v>
      </c>
      <c r="H486" s="404" t="s">
        <v>8784</v>
      </c>
      <c r="I486" s="443" t="s">
        <v>8849</v>
      </c>
      <c r="J486" s="471">
        <v>8900</v>
      </c>
      <c r="K486" s="404">
        <v>30827</v>
      </c>
      <c r="L486" s="260"/>
      <c r="R486" s="260">
        <v>23073</v>
      </c>
      <c r="S486" s="260" t="s">
        <v>8649</v>
      </c>
      <c r="T486" s="274" t="s">
        <v>7472</v>
      </c>
      <c r="U486" s="438">
        <v>6160.0000000000009</v>
      </c>
      <c r="AF486" s="264"/>
    </row>
    <row r="487" spans="1:32" ht="14.25" customHeight="1">
      <c r="A487" s="260">
        <v>339328</v>
      </c>
      <c r="B487" s="260" t="s">
        <v>8720</v>
      </c>
      <c r="C487" s="274" t="s">
        <v>7371</v>
      </c>
      <c r="D487" s="438">
        <v>314.40000000000003</v>
      </c>
      <c r="G487" s="404">
        <v>2619337</v>
      </c>
      <c r="H487" s="404" t="s">
        <v>8349</v>
      </c>
      <c r="I487" s="443" t="s">
        <v>4401</v>
      </c>
      <c r="J487" s="471">
        <v>11000</v>
      </c>
      <c r="K487" s="404">
        <v>30850</v>
      </c>
      <c r="L487" s="260"/>
      <c r="R487" s="260">
        <v>23147</v>
      </c>
      <c r="S487" s="260" t="s">
        <v>8726</v>
      </c>
      <c r="T487" s="274" t="s">
        <v>7472</v>
      </c>
      <c r="U487" s="438">
        <v>309</v>
      </c>
      <c r="AF487" s="264"/>
    </row>
    <row r="488" spans="1:32" ht="14.25" customHeight="1">
      <c r="A488" s="260">
        <v>338988</v>
      </c>
      <c r="B488" s="260" t="s">
        <v>8722</v>
      </c>
      <c r="C488" s="274" t="s">
        <v>7371</v>
      </c>
      <c r="D488" s="438">
        <v>508</v>
      </c>
      <c r="G488" s="404">
        <v>339380</v>
      </c>
      <c r="H488" s="404" t="s">
        <v>8770</v>
      </c>
      <c r="I488" s="443" t="s">
        <v>7371</v>
      </c>
      <c r="J488" s="471">
        <v>16000</v>
      </c>
      <c r="K488" s="404">
        <v>30859</v>
      </c>
      <c r="L488" s="260"/>
      <c r="R488" s="260">
        <v>359</v>
      </c>
      <c r="S488" s="260" t="s">
        <v>8423</v>
      </c>
      <c r="T488" s="274" t="s">
        <v>4465</v>
      </c>
      <c r="U488" s="438">
        <v>500</v>
      </c>
      <c r="AF488" s="264"/>
    </row>
    <row r="489" spans="1:32" ht="14.25" customHeight="1">
      <c r="A489" s="260">
        <v>121344</v>
      </c>
      <c r="B489" s="260" t="s">
        <v>8724</v>
      </c>
      <c r="C489" s="274" t="s">
        <v>2989</v>
      </c>
      <c r="D489" s="438">
        <v>765</v>
      </c>
      <c r="G489" s="404">
        <v>702</v>
      </c>
      <c r="H489" s="404" t="s">
        <v>8429</v>
      </c>
      <c r="I489" s="443" t="s">
        <v>8468</v>
      </c>
      <c r="J489" s="471">
        <v>17585.400000000001</v>
      </c>
      <c r="K489" s="404">
        <v>3288</v>
      </c>
      <c r="L489" s="260" t="s">
        <v>3050</v>
      </c>
      <c r="R489"/>
      <c r="S489"/>
      <c r="T489"/>
      <c r="U489"/>
      <c r="AF489" s="264"/>
    </row>
    <row r="490" spans="1:32" ht="14.25" customHeight="1">
      <c r="A490" s="260">
        <v>23147</v>
      </c>
      <c r="B490" s="260" t="s">
        <v>8726</v>
      </c>
      <c r="C490" s="274" t="s">
        <v>7472</v>
      </c>
      <c r="D490" s="438">
        <v>309</v>
      </c>
      <c r="G490" s="45"/>
      <c r="H490" s="45"/>
      <c r="I490" s="45"/>
      <c r="J490" s="476">
        <f>SUM(J421:J489)</f>
        <v>136933.59</v>
      </c>
      <c r="K490" s="404"/>
      <c r="R490"/>
      <c r="S490"/>
      <c r="T490"/>
      <c r="U490"/>
      <c r="AF490" s="264"/>
    </row>
    <row r="491" spans="1:32" ht="14.25" customHeight="1">
      <c r="A491" s="260">
        <v>339454</v>
      </c>
      <c r="B491" s="260" t="s">
        <v>8764</v>
      </c>
      <c r="C491" s="274" t="s">
        <v>7371</v>
      </c>
      <c r="D491" s="438">
        <v>1270</v>
      </c>
      <c r="G491"/>
      <c r="H491"/>
      <c r="I491"/>
      <c r="J491"/>
      <c r="R491"/>
      <c r="S491"/>
      <c r="T491"/>
      <c r="U491"/>
      <c r="AF491" s="264"/>
    </row>
    <row r="492" spans="1:32" ht="14.25" customHeight="1">
      <c r="A492" s="260">
        <v>339380</v>
      </c>
      <c r="B492" s="260" t="s">
        <v>8770</v>
      </c>
      <c r="C492" s="274" t="s">
        <v>7371</v>
      </c>
      <c r="D492" s="438">
        <v>16000</v>
      </c>
      <c r="G492"/>
      <c r="H492"/>
      <c r="I492"/>
      <c r="J492"/>
      <c r="R492"/>
      <c r="S492"/>
      <c r="T492"/>
      <c r="U492"/>
      <c r="AF492" s="264"/>
    </row>
    <row r="493" spans="1:32" ht="14.25" customHeight="1">
      <c r="A493" s="260">
        <v>451</v>
      </c>
      <c r="B493" s="260" t="s">
        <v>8784</v>
      </c>
      <c r="C493" s="274" t="s">
        <v>8849</v>
      </c>
      <c r="D493" s="438">
        <v>8900</v>
      </c>
      <c r="G493"/>
      <c r="H493"/>
      <c r="I493"/>
      <c r="J493"/>
      <c r="AF493" s="264"/>
    </row>
    <row r="494" spans="1:32" ht="14.25" customHeight="1">
      <c r="AF494" s="264"/>
    </row>
    <row r="495" spans="1:32" ht="14.25" customHeight="1">
      <c r="D495" s="439">
        <f>SUM(D421:D494)</f>
        <v>138663.58600000001</v>
      </c>
      <c r="J495" s="439"/>
      <c r="AF495" s="264"/>
    </row>
    <row r="496" spans="1:32" ht="14.25" customHeight="1">
      <c r="AF496" s="264"/>
    </row>
    <row r="497" spans="1:33" ht="19.5" thickBot="1">
      <c r="C497" s="437">
        <v>44006</v>
      </c>
      <c r="G497" s="404"/>
      <c r="H497" s="404"/>
      <c r="I497" s="485">
        <v>44006</v>
      </c>
      <c r="J497" s="442" t="s">
        <v>9143</v>
      </c>
      <c r="K497" s="404"/>
      <c r="N497" s="385" t="s">
        <v>9142</v>
      </c>
      <c r="O497" s="386"/>
      <c r="P497" s="422" t="s">
        <v>7633</v>
      </c>
      <c r="AF497" s="264"/>
      <c r="AG497" s="264"/>
    </row>
    <row r="498" spans="1:33" ht="14.25" customHeight="1" thickTop="1">
      <c r="A498" s="280" t="s">
        <v>1844</v>
      </c>
      <c r="B498" s="280" t="s">
        <v>568</v>
      </c>
      <c r="C498" s="280" t="s">
        <v>0</v>
      </c>
      <c r="D498" s="280" t="s">
        <v>3669</v>
      </c>
      <c r="F498" s="190"/>
      <c r="G498" s="280" t="s">
        <v>1844</v>
      </c>
      <c r="H498" s="280" t="s">
        <v>568</v>
      </c>
      <c r="I498" s="281" t="s">
        <v>0</v>
      </c>
      <c r="J498" s="280" t="s">
        <v>3669</v>
      </c>
      <c r="K498" s="280" t="s">
        <v>2815</v>
      </c>
      <c r="N498" s="383" t="s">
        <v>2839</v>
      </c>
      <c r="O498" s="383" t="s">
        <v>2789</v>
      </c>
      <c r="P498" s="383" t="s">
        <v>1877</v>
      </c>
      <c r="Q498" s="190"/>
      <c r="T498" s="274"/>
      <c r="U498" s="438"/>
      <c r="AF498" s="264"/>
      <c r="AG498" s="264"/>
    </row>
    <row r="499" spans="1:33" ht="14.25" customHeight="1">
      <c r="A499" s="182">
        <v>220</v>
      </c>
      <c r="B499" s="260" t="s">
        <v>7214</v>
      </c>
      <c r="C499" s="274" t="s">
        <v>3420</v>
      </c>
      <c r="D499" s="438">
        <v>680</v>
      </c>
      <c r="G499" s="182">
        <v>8061</v>
      </c>
      <c r="H499" s="404" t="s">
        <v>8401</v>
      </c>
      <c r="I499" s="443" t="s">
        <v>5727</v>
      </c>
      <c r="J499" s="471">
        <v>18</v>
      </c>
      <c r="K499" s="404">
        <v>32470</v>
      </c>
      <c r="L499" s="498">
        <v>44011</v>
      </c>
      <c r="N499" s="274" t="s">
        <v>4379</v>
      </c>
      <c r="O499" s="65"/>
      <c r="AF499" s="264"/>
    </row>
    <row r="500" spans="1:33" ht="14.25" customHeight="1">
      <c r="A500" s="182">
        <v>10787</v>
      </c>
      <c r="B500" s="260" t="s">
        <v>7994</v>
      </c>
      <c r="C500" s="274" t="s">
        <v>7337</v>
      </c>
      <c r="D500" s="438">
        <v>34.5</v>
      </c>
      <c r="G500" s="182">
        <v>10787</v>
      </c>
      <c r="H500" s="404" t="s">
        <v>7994</v>
      </c>
      <c r="I500" s="443" t="s">
        <v>7337</v>
      </c>
      <c r="J500" s="471">
        <v>34.5</v>
      </c>
      <c r="K500" s="404">
        <v>32530</v>
      </c>
      <c r="L500" s="498">
        <v>44011</v>
      </c>
      <c r="N500" s="274" t="s">
        <v>7283</v>
      </c>
      <c r="O500" s="65"/>
      <c r="AF500" s="264"/>
    </row>
    <row r="501" spans="1:33" ht="14.25" customHeight="1">
      <c r="A501" s="182">
        <v>1078</v>
      </c>
      <c r="B501" s="260" t="s">
        <v>8316</v>
      </c>
      <c r="C501" s="274" t="s">
        <v>8991</v>
      </c>
      <c r="D501" s="438">
        <v>638.4</v>
      </c>
      <c r="G501" s="182">
        <v>341284</v>
      </c>
      <c r="H501" s="404" t="s">
        <v>8698</v>
      </c>
      <c r="I501" s="443" t="s">
        <v>7371</v>
      </c>
      <c r="J501" s="471">
        <v>41.870000000000005</v>
      </c>
      <c r="K501" s="404">
        <v>32526</v>
      </c>
      <c r="L501" s="498">
        <v>44011</v>
      </c>
      <c r="N501" s="274" t="s">
        <v>3670</v>
      </c>
      <c r="O501" s="65"/>
      <c r="AF501" s="264"/>
    </row>
    <row r="502" spans="1:33" ht="14.25" customHeight="1">
      <c r="A502" s="182">
        <v>8061</v>
      </c>
      <c r="B502" s="260" t="s">
        <v>8401</v>
      </c>
      <c r="C502" s="274" t="s">
        <v>5727</v>
      </c>
      <c r="D502" s="438">
        <v>18</v>
      </c>
      <c r="G502" s="182">
        <v>41902</v>
      </c>
      <c r="H502" s="404" t="s">
        <v>8778</v>
      </c>
      <c r="I502" s="443" t="s">
        <v>7896</v>
      </c>
      <c r="J502" s="471">
        <v>42.6</v>
      </c>
      <c r="K502" s="404">
        <v>32520</v>
      </c>
      <c r="L502" s="498">
        <v>44011</v>
      </c>
      <c r="N502" s="274" t="s">
        <v>4139</v>
      </c>
      <c r="O502" s="65"/>
      <c r="AF502" s="264"/>
    </row>
    <row r="503" spans="1:33" ht="14.25" customHeight="1">
      <c r="A503" s="182">
        <v>27930</v>
      </c>
      <c r="B503" s="260" t="s">
        <v>8525</v>
      </c>
      <c r="C503" s="274" t="s">
        <v>8695</v>
      </c>
      <c r="D503" s="438">
        <v>980.00000000000011</v>
      </c>
      <c r="G503" s="182">
        <v>343452</v>
      </c>
      <c r="H503" s="404" t="s">
        <v>8965</v>
      </c>
      <c r="I503" s="443" t="s">
        <v>7371</v>
      </c>
      <c r="J503" s="471">
        <v>54</v>
      </c>
      <c r="K503" s="404">
        <v>32515</v>
      </c>
      <c r="L503" s="498">
        <v>44011</v>
      </c>
      <c r="N503" s="274" t="s">
        <v>7483</v>
      </c>
      <c r="O503" s="65"/>
      <c r="AF503" s="264"/>
    </row>
    <row r="504" spans="1:33" ht="14.25" customHeight="1">
      <c r="A504" s="182">
        <v>1049</v>
      </c>
      <c r="B504" s="260" t="s">
        <v>8527</v>
      </c>
      <c r="C504" s="274" t="s">
        <v>8573</v>
      </c>
      <c r="D504" s="438">
        <v>10950</v>
      </c>
      <c r="G504" s="182">
        <v>543195</v>
      </c>
      <c r="H504" s="404" t="s">
        <v>8702</v>
      </c>
      <c r="I504" s="443" t="s">
        <v>7825</v>
      </c>
      <c r="J504" s="471">
        <v>86.240000000000009</v>
      </c>
      <c r="K504" s="404">
        <v>32504</v>
      </c>
      <c r="L504" s="498">
        <v>44011</v>
      </c>
      <c r="N504" s="274" t="s">
        <v>8849</v>
      </c>
      <c r="O504" s="65"/>
      <c r="AF504" s="264"/>
    </row>
    <row r="505" spans="1:33" ht="14.25" customHeight="1">
      <c r="A505" s="260">
        <v>1518</v>
      </c>
      <c r="B505" s="260" t="s">
        <v>8534</v>
      </c>
      <c r="C505" s="274" t="s">
        <v>4357</v>
      </c>
      <c r="D505" s="438">
        <v>1730</v>
      </c>
      <c r="G505" s="182">
        <v>3835</v>
      </c>
      <c r="H505" s="404" t="s">
        <v>8872</v>
      </c>
      <c r="I505" s="443" t="s">
        <v>3670</v>
      </c>
      <c r="J505" s="471">
        <v>280</v>
      </c>
      <c r="K505" s="404">
        <v>3290</v>
      </c>
      <c r="L505" s="498">
        <v>44011</v>
      </c>
      <c r="N505" s="274" t="s">
        <v>2989</v>
      </c>
      <c r="O505" s="65"/>
      <c r="AF505" s="264"/>
    </row>
    <row r="506" spans="1:33" ht="14.25" customHeight="1">
      <c r="A506" s="182">
        <v>618</v>
      </c>
      <c r="B506" s="260" t="s">
        <v>8539</v>
      </c>
      <c r="C506" s="274" t="s">
        <v>7540</v>
      </c>
      <c r="D506" s="438">
        <v>434</v>
      </c>
      <c r="G506" s="182">
        <v>19679</v>
      </c>
      <c r="H506" s="404" t="s">
        <v>8706</v>
      </c>
      <c r="I506" s="443" t="s">
        <v>8452</v>
      </c>
      <c r="J506" s="471">
        <v>290</v>
      </c>
      <c r="K506" s="404">
        <v>32496</v>
      </c>
      <c r="L506" s="498">
        <v>44011</v>
      </c>
      <c r="N506" s="274" t="s">
        <v>7860</v>
      </c>
      <c r="O506" s="65"/>
      <c r="AF506" s="264"/>
    </row>
    <row r="507" spans="1:33" ht="14.25" customHeight="1">
      <c r="A507" s="182">
        <v>3824</v>
      </c>
      <c r="B507" s="260" t="s">
        <v>8540</v>
      </c>
      <c r="C507" s="274" t="s">
        <v>3670</v>
      </c>
      <c r="D507" s="438">
        <v>930</v>
      </c>
      <c r="G507" s="182">
        <v>618</v>
      </c>
      <c r="H507" s="404" t="s">
        <v>8539</v>
      </c>
      <c r="I507" s="443" t="s">
        <v>7540</v>
      </c>
      <c r="J507" s="474">
        <v>434</v>
      </c>
      <c r="K507" s="404">
        <v>3292</v>
      </c>
      <c r="L507" s="498">
        <v>44011</v>
      </c>
      <c r="N507" s="274" t="s">
        <v>3530</v>
      </c>
      <c r="O507" s="65"/>
      <c r="AF507" s="264"/>
    </row>
    <row r="508" spans="1:33" ht="14.25" customHeight="1">
      <c r="A508" s="182">
        <v>4187</v>
      </c>
      <c r="B508" s="260" t="s">
        <v>8605</v>
      </c>
      <c r="C508" s="274" t="s">
        <v>7860</v>
      </c>
      <c r="D508" s="438">
        <v>220</v>
      </c>
      <c r="G508" s="182">
        <v>238847</v>
      </c>
      <c r="H508" s="404" t="s">
        <v>8782</v>
      </c>
      <c r="I508" s="443" t="s">
        <v>4380</v>
      </c>
      <c r="J508" s="471">
        <v>440.00000000000006</v>
      </c>
      <c r="K508" s="404">
        <v>32493</v>
      </c>
      <c r="L508" s="498">
        <v>44011</v>
      </c>
      <c r="N508" s="274" t="s">
        <v>5727</v>
      </c>
      <c r="O508" s="65"/>
      <c r="AF508" s="264"/>
    </row>
    <row r="509" spans="1:33" ht="14.25" customHeight="1">
      <c r="A509" s="182">
        <v>4187</v>
      </c>
      <c r="B509" s="260" t="s">
        <v>8605</v>
      </c>
      <c r="C509" s="274" t="s">
        <v>7860</v>
      </c>
      <c r="D509" s="438">
        <v>220</v>
      </c>
      <c r="G509" s="182">
        <v>1559</v>
      </c>
      <c r="H509" s="404" t="s">
        <v>8800</v>
      </c>
      <c r="I509" s="443" t="s">
        <v>4357</v>
      </c>
      <c r="J509" s="471">
        <v>490.00000000000006</v>
      </c>
      <c r="K509" s="404">
        <v>32485</v>
      </c>
      <c r="L509" s="498">
        <v>44011</v>
      </c>
      <c r="N509" s="274" t="s">
        <v>8991</v>
      </c>
      <c r="O509" s="65"/>
      <c r="AF509" s="264"/>
    </row>
    <row r="510" spans="1:33" ht="14.25" customHeight="1">
      <c r="A510" s="182">
        <v>4187</v>
      </c>
      <c r="B510" s="260" t="s">
        <v>8605</v>
      </c>
      <c r="C510" s="274" t="s">
        <v>7860</v>
      </c>
      <c r="D510" s="438">
        <v>220</v>
      </c>
      <c r="G510" s="182">
        <v>85840</v>
      </c>
      <c r="H510" s="404" t="s">
        <v>8803</v>
      </c>
      <c r="I510" s="443" t="s">
        <v>4109</v>
      </c>
      <c r="J510" s="471">
        <v>600</v>
      </c>
      <c r="K510" s="404">
        <v>32478</v>
      </c>
      <c r="L510" s="498">
        <v>44011</v>
      </c>
      <c r="N510" s="274" t="s">
        <v>8573</v>
      </c>
      <c r="O510" s="65"/>
      <c r="AF510" s="264"/>
    </row>
    <row r="511" spans="1:33" ht="14.25" customHeight="1">
      <c r="A511" s="182">
        <v>89026</v>
      </c>
      <c r="B511" s="260" t="s">
        <v>8639</v>
      </c>
      <c r="C511" s="274" t="s">
        <v>7483</v>
      </c>
      <c r="D511" s="438">
        <v>854.09999999999991</v>
      </c>
      <c r="G511" s="182">
        <v>1078</v>
      </c>
      <c r="H511" s="404" t="s">
        <v>8316</v>
      </c>
      <c r="I511" s="443" t="s">
        <v>8991</v>
      </c>
      <c r="J511" s="471">
        <v>638.4</v>
      </c>
      <c r="K511" s="404">
        <v>32467</v>
      </c>
      <c r="L511" s="498">
        <v>44011</v>
      </c>
      <c r="N511" s="274" t="s">
        <v>4357</v>
      </c>
      <c r="O511" s="65"/>
      <c r="AF511" s="264"/>
    </row>
    <row r="512" spans="1:33" ht="14.25" customHeight="1">
      <c r="A512" s="182">
        <v>8082</v>
      </c>
      <c r="B512" s="260" t="s">
        <v>8659</v>
      </c>
      <c r="C512" s="274" t="s">
        <v>4139</v>
      </c>
      <c r="D512" s="438">
        <v>2970</v>
      </c>
      <c r="G512" s="182">
        <v>122538</v>
      </c>
      <c r="H512" s="404" t="s">
        <v>8971</v>
      </c>
      <c r="I512" s="443" t="s">
        <v>2989</v>
      </c>
      <c r="J512" s="471">
        <v>648</v>
      </c>
      <c r="K512" s="404">
        <v>32430</v>
      </c>
      <c r="L512" s="498">
        <v>44011</v>
      </c>
      <c r="N512" s="274" t="s">
        <v>7540</v>
      </c>
      <c r="O512" s="65"/>
      <c r="AF512" s="264"/>
    </row>
    <row r="513" spans="1:32" ht="14.25" customHeight="1">
      <c r="A513" s="182">
        <v>8083</v>
      </c>
      <c r="B513" s="260" t="s">
        <v>8665</v>
      </c>
      <c r="C513" s="274" t="s">
        <v>4139</v>
      </c>
      <c r="D513" s="438">
        <v>2970</v>
      </c>
      <c r="G513" s="182">
        <v>4187</v>
      </c>
      <c r="H513" s="404" t="s">
        <v>8605</v>
      </c>
      <c r="I513" s="443" t="s">
        <v>7860</v>
      </c>
      <c r="J513" s="471">
        <v>660</v>
      </c>
      <c r="K513" s="404">
        <v>32460</v>
      </c>
      <c r="L513" s="498">
        <v>44011</v>
      </c>
      <c r="N513" s="274" t="s">
        <v>4358</v>
      </c>
      <c r="O513" s="65"/>
      <c r="AF513" s="264"/>
    </row>
    <row r="514" spans="1:32" ht="14.25" customHeight="1">
      <c r="A514" s="182">
        <v>8088</v>
      </c>
      <c r="B514" s="260" t="s">
        <v>8669</v>
      </c>
      <c r="C514" s="274" t="s">
        <v>4139</v>
      </c>
      <c r="D514" s="438">
        <v>6240</v>
      </c>
      <c r="G514" s="182">
        <v>220</v>
      </c>
      <c r="H514" s="404" t="s">
        <v>7214</v>
      </c>
      <c r="I514" s="443" t="s">
        <v>3420</v>
      </c>
      <c r="J514" s="474">
        <v>680</v>
      </c>
      <c r="K514" s="404">
        <v>32455</v>
      </c>
      <c r="L514" s="498">
        <v>44011</v>
      </c>
      <c r="N514" s="274" t="s">
        <v>9164</v>
      </c>
      <c r="O514" s="266" t="s">
        <v>9165</v>
      </c>
      <c r="AF514" s="264"/>
    </row>
    <row r="515" spans="1:32" ht="14.25" customHeight="1">
      <c r="A515" s="182">
        <v>341284</v>
      </c>
      <c r="B515" s="260" t="s">
        <v>8698</v>
      </c>
      <c r="C515" s="274" t="s">
        <v>7371</v>
      </c>
      <c r="D515" s="438">
        <v>41.870000000000005</v>
      </c>
      <c r="G515" s="182">
        <v>342616</v>
      </c>
      <c r="H515" s="404" t="s">
        <v>8961</v>
      </c>
      <c r="I515" s="443" t="s">
        <v>7371</v>
      </c>
      <c r="J515" s="471">
        <v>701.46</v>
      </c>
      <c r="K515" s="404">
        <v>32450</v>
      </c>
      <c r="L515" s="498">
        <v>44011</v>
      </c>
      <c r="N515" s="274" t="s">
        <v>7285</v>
      </c>
      <c r="O515" s="65"/>
      <c r="AF515" s="264"/>
    </row>
    <row r="516" spans="1:32" ht="14.25" customHeight="1">
      <c r="A516" s="182">
        <v>543195</v>
      </c>
      <c r="B516" s="260" t="s">
        <v>8702</v>
      </c>
      <c r="C516" s="274" t="s">
        <v>7825</v>
      </c>
      <c r="D516" s="438">
        <v>86.240000000000009</v>
      </c>
      <c r="G516" s="182">
        <v>477</v>
      </c>
      <c r="H516" s="404" t="s">
        <v>8807</v>
      </c>
      <c r="I516" s="443" t="s">
        <v>8849</v>
      </c>
      <c r="J516" s="471">
        <v>849</v>
      </c>
      <c r="K516" s="404">
        <v>32448</v>
      </c>
      <c r="L516" s="498">
        <v>44011</v>
      </c>
      <c r="N516" s="274" t="s">
        <v>7371</v>
      </c>
      <c r="O516" s="65"/>
      <c r="AF516" s="264"/>
    </row>
    <row r="517" spans="1:32" ht="14.25" customHeight="1">
      <c r="A517" s="182">
        <v>542915</v>
      </c>
      <c r="B517" s="260" t="s">
        <v>8704</v>
      </c>
      <c r="C517" s="274" t="s">
        <v>7825</v>
      </c>
      <c r="D517" s="438">
        <v>4800</v>
      </c>
      <c r="G517" s="182">
        <v>89026</v>
      </c>
      <c r="H517" s="404" t="s">
        <v>8639</v>
      </c>
      <c r="I517" s="443" t="s">
        <v>7483</v>
      </c>
      <c r="J517" s="471">
        <v>854.09999999999991</v>
      </c>
      <c r="K517" s="404">
        <v>32432</v>
      </c>
      <c r="L517" s="498">
        <v>44011</v>
      </c>
      <c r="N517" s="274" t="s">
        <v>7825</v>
      </c>
      <c r="O517" s="65"/>
      <c r="AF517" s="264"/>
    </row>
    <row r="518" spans="1:32" ht="14.25" customHeight="1">
      <c r="A518" s="182">
        <v>19679</v>
      </c>
      <c r="B518" s="260" t="s">
        <v>8706</v>
      </c>
      <c r="C518" s="274" t="s">
        <v>8452</v>
      </c>
      <c r="D518" s="438">
        <v>290</v>
      </c>
      <c r="G518" s="182">
        <v>3824</v>
      </c>
      <c r="H518" s="404" t="s">
        <v>8540</v>
      </c>
      <c r="I518" s="443" t="s">
        <v>3670</v>
      </c>
      <c r="J518" s="474">
        <v>930</v>
      </c>
      <c r="K518" s="404">
        <v>3291</v>
      </c>
      <c r="L518" s="498">
        <v>44011</v>
      </c>
      <c r="N518" s="274" t="s">
        <v>7337</v>
      </c>
      <c r="O518" s="65"/>
      <c r="AF518" s="264"/>
    </row>
    <row r="519" spans="1:32" ht="14.25" customHeight="1">
      <c r="A519" s="182">
        <v>27936</v>
      </c>
      <c r="B519" s="260" t="s">
        <v>8718</v>
      </c>
      <c r="C519" s="274" t="s">
        <v>8695</v>
      </c>
      <c r="D519" s="438">
        <v>11993.999999999998</v>
      </c>
      <c r="G519" s="182">
        <v>106294</v>
      </c>
      <c r="H519" s="404" t="s">
        <v>8964</v>
      </c>
      <c r="I519" s="443" t="s">
        <v>7549</v>
      </c>
      <c r="J519" s="471">
        <v>980</v>
      </c>
      <c r="K519" s="404">
        <v>32414</v>
      </c>
      <c r="L519" s="498">
        <v>44011</v>
      </c>
      <c r="N519" s="274" t="s">
        <v>8452</v>
      </c>
      <c r="O519" s="65"/>
      <c r="AF519" s="264"/>
    </row>
    <row r="520" spans="1:32" ht="14.25" customHeight="1">
      <c r="A520" s="182">
        <v>11252</v>
      </c>
      <c r="B520" s="260" t="s">
        <v>8762</v>
      </c>
      <c r="C520" s="274" t="s">
        <v>7337</v>
      </c>
      <c r="D520" s="438">
        <v>6600</v>
      </c>
      <c r="G520" s="182">
        <v>27930</v>
      </c>
      <c r="H520" s="404" t="s">
        <v>8525</v>
      </c>
      <c r="I520" s="443" t="s">
        <v>8695</v>
      </c>
      <c r="J520" s="471">
        <v>980.00000000000011</v>
      </c>
      <c r="K520" s="404">
        <v>32414</v>
      </c>
      <c r="L520" s="498">
        <v>44011</v>
      </c>
      <c r="N520" s="274" t="s">
        <v>4380</v>
      </c>
      <c r="O520" s="65"/>
      <c r="AF520" s="264"/>
    </row>
    <row r="521" spans="1:32" ht="14.25" customHeight="1">
      <c r="A521" s="182">
        <v>543194</v>
      </c>
      <c r="B521" s="260" t="s">
        <v>8766</v>
      </c>
      <c r="C521" s="274" t="s">
        <v>7825</v>
      </c>
      <c r="D521" s="438">
        <v>16350</v>
      </c>
      <c r="G521" s="182">
        <v>12655</v>
      </c>
      <c r="H521" s="404" t="s">
        <v>8966</v>
      </c>
      <c r="I521" s="443" t="s">
        <v>4379</v>
      </c>
      <c r="J521" s="471">
        <v>1180</v>
      </c>
      <c r="K521" s="404">
        <v>32408</v>
      </c>
      <c r="L521" s="498">
        <v>44011</v>
      </c>
      <c r="N521" s="274" t="s">
        <v>7896</v>
      </c>
      <c r="O521" s="65"/>
      <c r="AF521" s="264"/>
    </row>
    <row r="522" spans="1:32" ht="14.25" customHeight="1">
      <c r="A522" s="182">
        <v>340231</v>
      </c>
      <c r="B522" s="260" t="s">
        <v>8768</v>
      </c>
      <c r="C522" s="274" t="s">
        <v>7371</v>
      </c>
      <c r="D522" s="438">
        <v>12634</v>
      </c>
      <c r="G522" s="182">
        <v>341010</v>
      </c>
      <c r="H522" s="404" t="s">
        <v>8851</v>
      </c>
      <c r="I522" s="443" t="s">
        <v>7371</v>
      </c>
      <c r="J522" s="471">
        <v>1240</v>
      </c>
      <c r="K522" s="404">
        <v>32395</v>
      </c>
      <c r="L522" s="498">
        <v>44011</v>
      </c>
      <c r="N522" s="274" t="s">
        <v>4398</v>
      </c>
      <c r="O522" s="65"/>
      <c r="AF522" s="264"/>
    </row>
    <row r="523" spans="1:32" ht="14.25" customHeight="1">
      <c r="A523" s="182">
        <v>543935</v>
      </c>
      <c r="B523" s="260" t="s">
        <v>8776</v>
      </c>
      <c r="C523" s="274" t="s">
        <v>7825</v>
      </c>
      <c r="D523" s="438">
        <v>12800</v>
      </c>
      <c r="G523" s="182">
        <v>12624</v>
      </c>
      <c r="H523" s="404" t="s">
        <v>8936</v>
      </c>
      <c r="I523" s="443" t="s">
        <v>4379</v>
      </c>
      <c r="J523" s="471">
        <v>1247.3999999999999</v>
      </c>
      <c r="K523" s="404">
        <v>32388</v>
      </c>
      <c r="L523" s="498">
        <v>44011</v>
      </c>
      <c r="N523" s="274" t="s">
        <v>4432</v>
      </c>
      <c r="O523" s="65"/>
      <c r="AF523" s="264"/>
    </row>
    <row r="524" spans="1:32" ht="14.25" customHeight="1">
      <c r="A524" s="182">
        <v>41902</v>
      </c>
      <c r="B524" s="260" t="s">
        <v>8778</v>
      </c>
      <c r="C524" s="274" t="s">
        <v>7896</v>
      </c>
      <c r="D524" s="438">
        <v>42.6</v>
      </c>
      <c r="G524" s="182">
        <v>1025</v>
      </c>
      <c r="H524" s="404" t="s">
        <v>8792</v>
      </c>
      <c r="I524" s="443" t="s">
        <v>3530</v>
      </c>
      <c r="J524" s="471">
        <v>1485</v>
      </c>
      <c r="K524" s="404">
        <v>32373</v>
      </c>
      <c r="L524" s="498">
        <v>44011</v>
      </c>
      <c r="N524" s="274" t="s">
        <v>3420</v>
      </c>
      <c r="O524" s="65"/>
      <c r="AF524" s="264"/>
    </row>
    <row r="525" spans="1:32" ht="14.25" customHeight="1">
      <c r="A525" s="182">
        <v>41805</v>
      </c>
      <c r="B525" s="260" t="s">
        <v>8780</v>
      </c>
      <c r="C525" s="274" t="s">
        <v>7896</v>
      </c>
      <c r="D525" s="438">
        <v>905</v>
      </c>
      <c r="G525" s="404">
        <v>1518</v>
      </c>
      <c r="H525" s="404" t="s">
        <v>8534</v>
      </c>
      <c r="I525" s="443" t="s">
        <v>4357</v>
      </c>
      <c r="J525" s="471">
        <v>1730</v>
      </c>
      <c r="K525" s="404">
        <v>32367</v>
      </c>
      <c r="L525" s="498">
        <v>44011</v>
      </c>
      <c r="N525" s="274" t="s">
        <v>7549</v>
      </c>
      <c r="O525" s="65"/>
      <c r="AF525" s="264"/>
    </row>
    <row r="526" spans="1:32" ht="14.25" customHeight="1">
      <c r="A526" s="182">
        <v>41805</v>
      </c>
      <c r="B526" s="260" t="s">
        <v>8780</v>
      </c>
      <c r="C526" s="274" t="s">
        <v>7896</v>
      </c>
      <c r="D526" s="438">
        <v>1810</v>
      </c>
      <c r="G526" s="182">
        <v>1576</v>
      </c>
      <c r="H526" s="404" t="s">
        <v>8833</v>
      </c>
      <c r="I526" s="443" t="s">
        <v>4357</v>
      </c>
      <c r="J526" s="471">
        <v>1975</v>
      </c>
      <c r="K526" s="404">
        <v>32354</v>
      </c>
      <c r="L526" s="498">
        <v>44011</v>
      </c>
      <c r="N526" s="274" t="s">
        <v>4109</v>
      </c>
      <c r="O526" s="65"/>
      <c r="AF526" s="264"/>
    </row>
    <row r="527" spans="1:32" ht="14.25" customHeight="1">
      <c r="A527" s="182">
        <v>238847</v>
      </c>
      <c r="B527" s="260" t="s">
        <v>8782</v>
      </c>
      <c r="C527" s="274" t="s">
        <v>4380</v>
      </c>
      <c r="D527" s="438">
        <v>440.00000000000006</v>
      </c>
      <c r="G527" s="182">
        <v>41805</v>
      </c>
      <c r="H527" s="404" t="s">
        <v>8780</v>
      </c>
      <c r="I527" s="443" t="s">
        <v>7896</v>
      </c>
      <c r="J527" s="471">
        <v>2715</v>
      </c>
      <c r="K527" s="404">
        <v>32416</v>
      </c>
      <c r="L527" s="498">
        <v>44011</v>
      </c>
      <c r="N527" s="274" t="s">
        <v>8695</v>
      </c>
      <c r="O527" s="65"/>
      <c r="AF527" s="264"/>
    </row>
    <row r="528" spans="1:32" ht="14.25" customHeight="1">
      <c r="A528" s="182">
        <v>1015</v>
      </c>
      <c r="B528" s="260" t="s">
        <v>8790</v>
      </c>
      <c r="C528" s="274" t="s">
        <v>4358</v>
      </c>
      <c r="D528" s="438">
        <v>2740</v>
      </c>
      <c r="G528" s="182">
        <v>1015</v>
      </c>
      <c r="H528" s="404" t="s">
        <v>8790</v>
      </c>
      <c r="I528" s="443" t="s">
        <v>4358</v>
      </c>
      <c r="J528" s="471">
        <v>2740</v>
      </c>
      <c r="K528" s="404">
        <v>32411</v>
      </c>
      <c r="L528" s="498">
        <v>44011</v>
      </c>
      <c r="AF528" s="264"/>
    </row>
    <row r="529" spans="1:32" ht="14.25" customHeight="1">
      <c r="A529" s="182">
        <v>1025</v>
      </c>
      <c r="B529" s="260" t="s">
        <v>8792</v>
      </c>
      <c r="C529" s="274" t="s">
        <v>3530</v>
      </c>
      <c r="D529" s="438">
        <v>1485</v>
      </c>
      <c r="G529" s="182">
        <v>8082</v>
      </c>
      <c r="H529" s="404" t="s">
        <v>8659</v>
      </c>
      <c r="I529" s="443" t="s">
        <v>4139</v>
      </c>
      <c r="J529" s="471">
        <v>2970</v>
      </c>
      <c r="K529" s="404">
        <v>32394</v>
      </c>
      <c r="L529" s="498">
        <v>44011</v>
      </c>
      <c r="AF529" s="264"/>
    </row>
    <row r="530" spans="1:32" ht="14.25" customHeight="1">
      <c r="A530" s="182">
        <v>9059</v>
      </c>
      <c r="B530" s="260" t="s">
        <v>8794</v>
      </c>
      <c r="C530" s="274" t="s">
        <v>4432</v>
      </c>
      <c r="D530" s="438">
        <v>4200</v>
      </c>
      <c r="G530" s="182">
        <v>8083</v>
      </c>
      <c r="H530" s="404" t="s">
        <v>8665</v>
      </c>
      <c r="I530" s="443" t="s">
        <v>4139</v>
      </c>
      <c r="J530" s="471">
        <v>2970</v>
      </c>
      <c r="K530" s="404">
        <v>32394</v>
      </c>
      <c r="L530" s="498">
        <v>44011</v>
      </c>
      <c r="AF530" s="264"/>
    </row>
    <row r="531" spans="1:32" ht="14.25" customHeight="1">
      <c r="A531" s="182">
        <v>1559</v>
      </c>
      <c r="B531" s="260" t="s">
        <v>8800</v>
      </c>
      <c r="C531" s="274" t="s">
        <v>4357</v>
      </c>
      <c r="D531" s="438">
        <v>490.00000000000006</v>
      </c>
      <c r="G531" s="182">
        <v>9059</v>
      </c>
      <c r="H531" s="404" t="s">
        <v>8794</v>
      </c>
      <c r="I531" s="443" t="s">
        <v>4432</v>
      </c>
      <c r="J531" s="471">
        <v>4200</v>
      </c>
      <c r="K531" s="404">
        <v>32387</v>
      </c>
      <c r="L531" s="498">
        <v>44011</v>
      </c>
      <c r="AF531" s="264"/>
    </row>
    <row r="532" spans="1:32" ht="14.25" customHeight="1">
      <c r="A532" s="182">
        <v>85840</v>
      </c>
      <c r="B532" s="260" t="s">
        <v>8803</v>
      </c>
      <c r="C532" s="274" t="s">
        <v>4109</v>
      </c>
      <c r="D532" s="438">
        <v>600</v>
      </c>
      <c r="G532" s="182">
        <v>12696</v>
      </c>
      <c r="H532" s="404" t="s">
        <v>8972</v>
      </c>
      <c r="I532" s="443" t="s">
        <v>4379</v>
      </c>
      <c r="J532" s="471">
        <v>4726</v>
      </c>
      <c r="K532" s="404">
        <v>32385</v>
      </c>
      <c r="L532" s="498">
        <v>44011</v>
      </c>
      <c r="AF532" s="264"/>
    </row>
    <row r="533" spans="1:32" ht="14.25" customHeight="1">
      <c r="A533" s="182" t="s">
        <v>8914</v>
      </c>
      <c r="B533" s="260" t="s">
        <v>8805</v>
      </c>
      <c r="C533" s="274" t="s">
        <v>7371</v>
      </c>
      <c r="D533" s="438">
        <v>12450</v>
      </c>
      <c r="G533" s="182">
        <v>542915</v>
      </c>
      <c r="H533" s="404" t="s">
        <v>8704</v>
      </c>
      <c r="I533" s="443" t="s">
        <v>7825</v>
      </c>
      <c r="J533" s="471">
        <v>4800</v>
      </c>
      <c r="K533" s="404">
        <v>32374</v>
      </c>
      <c r="L533" s="498">
        <v>44011</v>
      </c>
      <c r="AF533" s="264"/>
    </row>
    <row r="534" spans="1:32" ht="14.25" customHeight="1">
      <c r="A534" s="182">
        <v>477</v>
      </c>
      <c r="B534" s="260" t="s">
        <v>8807</v>
      </c>
      <c r="C534" s="274" t="s">
        <v>8849</v>
      </c>
      <c r="D534" s="438">
        <v>849</v>
      </c>
      <c r="G534" s="182">
        <v>8088</v>
      </c>
      <c r="H534" s="404" t="s">
        <v>8669</v>
      </c>
      <c r="I534" s="443" t="s">
        <v>4139</v>
      </c>
      <c r="J534" s="471">
        <v>6240</v>
      </c>
      <c r="K534" s="404">
        <v>32365</v>
      </c>
      <c r="L534" s="498">
        <v>44011</v>
      </c>
      <c r="AF534" s="264"/>
    </row>
    <row r="535" spans="1:32" ht="14.25" customHeight="1">
      <c r="A535" s="182">
        <v>56533</v>
      </c>
      <c r="B535" s="260" t="s">
        <v>8808</v>
      </c>
      <c r="C535" s="274" t="s">
        <v>7285</v>
      </c>
      <c r="D535" s="438">
        <v>15120</v>
      </c>
      <c r="G535" s="182">
        <v>11252</v>
      </c>
      <c r="H535" s="404" t="s">
        <v>8762</v>
      </c>
      <c r="I535" s="443" t="s">
        <v>7337</v>
      </c>
      <c r="J535" s="471">
        <v>6600</v>
      </c>
      <c r="K535" s="404">
        <v>32353</v>
      </c>
      <c r="L535" s="498">
        <v>44011</v>
      </c>
      <c r="AF535" s="264"/>
    </row>
    <row r="536" spans="1:32" ht="14.25" customHeight="1">
      <c r="A536" s="182">
        <v>1576</v>
      </c>
      <c r="B536" s="260" t="s">
        <v>8833</v>
      </c>
      <c r="C536" s="274" t="s">
        <v>4357</v>
      </c>
      <c r="D536" s="438">
        <v>1975</v>
      </c>
      <c r="G536" s="182">
        <v>1616</v>
      </c>
      <c r="H536" s="404" t="s">
        <v>8870</v>
      </c>
      <c r="I536" s="443" t="s">
        <v>7283</v>
      </c>
      <c r="J536" s="471">
        <v>8750</v>
      </c>
      <c r="K536" s="404">
        <v>32342</v>
      </c>
      <c r="L536" s="498">
        <v>44011</v>
      </c>
      <c r="AF536" s="264"/>
    </row>
    <row r="537" spans="1:32" ht="14.25" customHeight="1">
      <c r="A537" s="182">
        <v>1307649</v>
      </c>
      <c r="B537" s="260" t="s">
        <v>8834</v>
      </c>
      <c r="C537" s="274" t="s">
        <v>4398</v>
      </c>
      <c r="D537" s="438">
        <v>18400</v>
      </c>
      <c r="G537" s="182">
        <v>1049</v>
      </c>
      <c r="H537" s="404" t="s">
        <v>8527</v>
      </c>
      <c r="I537" s="443" t="s">
        <v>8573</v>
      </c>
      <c r="J537" s="471">
        <v>10950</v>
      </c>
      <c r="K537" s="404">
        <v>32326</v>
      </c>
      <c r="L537" s="498">
        <v>44011</v>
      </c>
      <c r="AF537" s="264"/>
    </row>
    <row r="538" spans="1:32" ht="14.25" customHeight="1">
      <c r="A538" s="182">
        <v>341010</v>
      </c>
      <c r="B538" s="260" t="s">
        <v>8851</v>
      </c>
      <c r="C538" s="274" t="s">
        <v>7371</v>
      </c>
      <c r="D538" s="438">
        <v>1240</v>
      </c>
      <c r="G538" s="182">
        <v>27936</v>
      </c>
      <c r="H538" s="404" t="s">
        <v>8718</v>
      </c>
      <c r="I538" s="443" t="s">
        <v>8695</v>
      </c>
      <c r="J538" s="471">
        <v>11993.999999999998</v>
      </c>
      <c r="K538" s="404">
        <v>32324</v>
      </c>
      <c r="L538" s="498">
        <v>44011</v>
      </c>
      <c r="AF538" s="264"/>
    </row>
    <row r="539" spans="1:32" ht="14.25" customHeight="1">
      <c r="A539" s="182">
        <v>1309458</v>
      </c>
      <c r="B539" s="260" t="s">
        <v>8853</v>
      </c>
      <c r="C539" s="274" t="s">
        <v>4398</v>
      </c>
      <c r="D539" s="438">
        <v>21000</v>
      </c>
      <c r="G539" s="182" t="s">
        <v>8914</v>
      </c>
      <c r="H539" s="404" t="s">
        <v>8805</v>
      </c>
      <c r="I539" s="443" t="s">
        <v>7371</v>
      </c>
      <c r="J539" s="471">
        <v>12450</v>
      </c>
      <c r="K539" s="404">
        <v>32305</v>
      </c>
      <c r="L539" s="498">
        <v>44011</v>
      </c>
      <c r="AF539" s="264"/>
    </row>
    <row r="540" spans="1:32" ht="14.25" customHeight="1">
      <c r="A540" s="182">
        <v>1616</v>
      </c>
      <c r="B540" s="260" t="s">
        <v>8870</v>
      </c>
      <c r="C540" s="274" t="s">
        <v>7283</v>
      </c>
      <c r="D540" s="438">
        <v>8750</v>
      </c>
      <c r="G540" s="182">
        <v>340231</v>
      </c>
      <c r="H540" s="404" t="s">
        <v>8768</v>
      </c>
      <c r="I540" s="443" t="s">
        <v>7371</v>
      </c>
      <c r="J540" s="471">
        <v>12634</v>
      </c>
      <c r="K540" s="404">
        <v>32479</v>
      </c>
      <c r="L540" s="498">
        <v>44011</v>
      </c>
      <c r="AF540" s="264"/>
    </row>
    <row r="541" spans="1:32" ht="14.25" customHeight="1">
      <c r="A541" s="182">
        <v>3835</v>
      </c>
      <c r="B541" s="260" t="s">
        <v>8872</v>
      </c>
      <c r="C541" s="274" t="s">
        <v>3670</v>
      </c>
      <c r="D541" s="438">
        <v>280</v>
      </c>
      <c r="G541" s="182">
        <v>543935</v>
      </c>
      <c r="H541" s="404" t="s">
        <v>8776</v>
      </c>
      <c r="I541" s="443" t="s">
        <v>7825</v>
      </c>
      <c r="J541" s="471">
        <v>12800</v>
      </c>
      <c r="K541" s="404">
        <v>32484</v>
      </c>
      <c r="L541" s="498">
        <v>44011</v>
      </c>
      <c r="AF541" s="264"/>
    </row>
    <row r="542" spans="1:32" ht="14.25" customHeight="1">
      <c r="A542" s="182">
        <v>12624</v>
      </c>
      <c r="B542" s="260" t="s">
        <v>8936</v>
      </c>
      <c r="C542" s="274" t="s">
        <v>4379</v>
      </c>
      <c r="D542" s="438">
        <v>1247.3999999999999</v>
      </c>
      <c r="G542" s="182">
        <v>56533</v>
      </c>
      <c r="H542" s="404" t="s">
        <v>8808</v>
      </c>
      <c r="I542" s="443" t="s">
        <v>7285</v>
      </c>
      <c r="J542" s="471">
        <v>15120</v>
      </c>
      <c r="K542" s="404">
        <v>32492</v>
      </c>
      <c r="L542" s="498">
        <v>44011</v>
      </c>
      <c r="AF542" s="264"/>
    </row>
    <row r="543" spans="1:32" ht="14.25" customHeight="1">
      <c r="A543" s="182">
        <v>342616</v>
      </c>
      <c r="B543" s="260" t="s">
        <v>8961</v>
      </c>
      <c r="C543" s="274" t="s">
        <v>7371</v>
      </c>
      <c r="D543" s="438">
        <v>701.46</v>
      </c>
      <c r="G543" s="182">
        <v>543194</v>
      </c>
      <c r="H543" s="404" t="s">
        <v>8766</v>
      </c>
      <c r="I543" s="443" t="s">
        <v>7825</v>
      </c>
      <c r="J543" s="471">
        <v>16350</v>
      </c>
      <c r="K543" s="404">
        <v>32499</v>
      </c>
      <c r="L543" s="498">
        <v>44011</v>
      </c>
      <c r="AF543" s="264"/>
    </row>
    <row r="544" spans="1:32" ht="14.25" customHeight="1">
      <c r="A544" s="182">
        <v>106294</v>
      </c>
      <c r="B544" s="260" t="s">
        <v>8964</v>
      </c>
      <c r="C544" s="274" t="s">
        <v>7549</v>
      </c>
      <c r="D544" s="438">
        <v>980</v>
      </c>
      <c r="G544" s="182">
        <v>1307649</v>
      </c>
      <c r="H544" s="404" t="s">
        <v>8834</v>
      </c>
      <c r="I544" s="443" t="s">
        <v>4398</v>
      </c>
      <c r="J544" s="471">
        <v>18400</v>
      </c>
      <c r="K544" s="404">
        <v>32519</v>
      </c>
      <c r="L544" s="498">
        <v>44011</v>
      </c>
      <c r="AF544" s="264"/>
    </row>
    <row r="545" spans="1:33" ht="14.25" customHeight="1">
      <c r="A545" s="182">
        <v>343452</v>
      </c>
      <c r="B545" s="260" t="s">
        <v>8965</v>
      </c>
      <c r="C545" s="274" t="s">
        <v>7371</v>
      </c>
      <c r="D545" s="438">
        <v>54</v>
      </c>
      <c r="G545" s="182">
        <v>1309458</v>
      </c>
      <c r="H545" s="404" t="s">
        <v>8853</v>
      </c>
      <c r="I545" s="443" t="s">
        <v>4398</v>
      </c>
      <c r="J545" s="471">
        <v>21000</v>
      </c>
      <c r="K545" s="404">
        <v>32527</v>
      </c>
      <c r="L545" s="498">
        <v>44011</v>
      </c>
      <c r="AF545" s="264"/>
    </row>
    <row r="546" spans="1:33" ht="14.25" customHeight="1">
      <c r="A546" s="182">
        <v>12655</v>
      </c>
      <c r="B546" s="260" t="s">
        <v>8966</v>
      </c>
      <c r="C546" s="274" t="s">
        <v>4379</v>
      </c>
      <c r="D546" s="438">
        <v>1180</v>
      </c>
      <c r="G546" s="45"/>
      <c r="H546" s="45"/>
      <c r="I546" s="45"/>
      <c r="J546" s="45"/>
      <c r="K546" s="404"/>
      <c r="AF546" s="264"/>
    </row>
    <row r="547" spans="1:33" ht="14.25" customHeight="1">
      <c r="A547" s="182">
        <v>122538</v>
      </c>
      <c r="B547" s="260" t="s">
        <v>8971</v>
      </c>
      <c r="C547" s="274" t="s">
        <v>2989</v>
      </c>
      <c r="D547" s="438">
        <v>648</v>
      </c>
      <c r="G547" s="45"/>
      <c r="H547" s="45"/>
      <c r="I547" s="45"/>
      <c r="J547" s="45"/>
      <c r="K547" s="404"/>
      <c r="AF547" s="264"/>
    </row>
    <row r="548" spans="1:33" ht="14.25" customHeight="1">
      <c r="A548" s="182">
        <v>12696</v>
      </c>
      <c r="B548" s="260" t="s">
        <v>8972</v>
      </c>
      <c r="C548" s="274" t="s">
        <v>4379</v>
      </c>
      <c r="D548" s="438">
        <v>4726</v>
      </c>
      <c r="G548" s="45"/>
      <c r="H548" s="45"/>
      <c r="I548" s="45"/>
      <c r="J548" s="45"/>
      <c r="K548" s="404"/>
      <c r="AF548" s="264"/>
    </row>
    <row r="549" spans="1:33" ht="14.25" customHeight="1">
      <c r="G549" s="404"/>
      <c r="H549" s="404"/>
      <c r="I549" s="404"/>
      <c r="J549" s="404"/>
      <c r="K549" s="404"/>
      <c r="AF549" s="264"/>
    </row>
    <row r="550" spans="1:33" ht="14.25" customHeight="1">
      <c r="D550" s="439">
        <f>SUM(D499:D549)</f>
        <v>197998.57</v>
      </c>
      <c r="G550" s="404"/>
      <c r="H550" s="404"/>
      <c r="I550" s="404"/>
      <c r="J550" s="500">
        <f>SUM(J499:J549)</f>
        <v>197998.57</v>
      </c>
      <c r="K550" s="404"/>
      <c r="AF550" s="264"/>
    </row>
    <row r="551" spans="1:33" ht="14.25" customHeight="1">
      <c r="AF551" s="264"/>
    </row>
    <row r="552" spans="1:33" ht="14.25" customHeight="1">
      <c r="AF552" s="264"/>
    </row>
    <row r="553" spans="1:33" ht="19.5" thickBot="1">
      <c r="C553" s="437">
        <v>44025</v>
      </c>
      <c r="F553" s="404"/>
      <c r="G553" s="404"/>
      <c r="H553" s="404"/>
      <c r="I553" s="485">
        <v>44029</v>
      </c>
      <c r="J553" s="442" t="s">
        <v>9143</v>
      </c>
      <c r="K553" s="404"/>
      <c r="N553" s="504" t="s">
        <v>9423</v>
      </c>
      <c r="O553" s="386"/>
      <c r="P553" s="422" t="s">
        <v>7633</v>
      </c>
      <c r="AF553" s="264"/>
      <c r="AG553" s="264"/>
    </row>
    <row r="554" spans="1:33" ht="14.25" customHeight="1" thickTop="1">
      <c r="A554" s="280" t="s">
        <v>1844</v>
      </c>
      <c r="B554" s="280" t="s">
        <v>568</v>
      </c>
      <c r="C554" s="280" t="s">
        <v>0</v>
      </c>
      <c r="D554" s="280" t="s">
        <v>3669</v>
      </c>
      <c r="F554" s="340"/>
      <c r="G554" s="280" t="s">
        <v>1844</v>
      </c>
      <c r="H554" s="280" t="s">
        <v>568</v>
      </c>
      <c r="I554" s="281" t="s">
        <v>0</v>
      </c>
      <c r="J554" s="280" t="s">
        <v>3669</v>
      </c>
      <c r="K554" s="280" t="s">
        <v>2815</v>
      </c>
      <c r="N554" s="383" t="s">
        <v>2839</v>
      </c>
      <c r="O554" s="383" t="s">
        <v>2789</v>
      </c>
      <c r="P554" s="383" t="s">
        <v>1877</v>
      </c>
      <c r="Q554" s="190"/>
      <c r="T554" s="274"/>
      <c r="U554" s="438"/>
      <c r="AF554" s="264"/>
      <c r="AG554" s="264"/>
    </row>
    <row r="555" spans="1:33" ht="14.25" customHeight="1">
      <c r="A555" s="260">
        <v>2466</v>
      </c>
      <c r="B555" s="260" t="s">
        <v>8419</v>
      </c>
      <c r="C555" s="274" t="s">
        <v>4149</v>
      </c>
      <c r="D555" s="438">
        <v>4900</v>
      </c>
      <c r="F555" s="404">
        <v>1</v>
      </c>
      <c r="G555" s="404">
        <v>3077</v>
      </c>
      <c r="H555" s="404" t="s">
        <v>8994</v>
      </c>
      <c r="I555" s="443" t="s">
        <v>8395</v>
      </c>
      <c r="J555" s="471">
        <v>35</v>
      </c>
      <c r="K555" s="404">
        <v>45663</v>
      </c>
      <c r="L555" s="274" t="s">
        <v>9538</v>
      </c>
      <c r="N555" s="274" t="s">
        <v>4379</v>
      </c>
      <c r="AF555" s="264"/>
    </row>
    <row r="556" spans="1:33" ht="14.25" customHeight="1">
      <c r="A556" s="260">
        <v>2465</v>
      </c>
      <c r="B556" s="260" t="s">
        <v>8425</v>
      </c>
      <c r="C556" s="274" t="s">
        <v>4149</v>
      </c>
      <c r="D556" s="438">
        <v>2700</v>
      </c>
      <c r="F556" s="404">
        <v>2</v>
      </c>
      <c r="G556" s="404">
        <v>1032</v>
      </c>
      <c r="H556" s="404" t="s">
        <v>9232</v>
      </c>
      <c r="I556" s="443" t="s">
        <v>4358</v>
      </c>
      <c r="J556" s="471">
        <v>70.599999999999994</v>
      </c>
      <c r="K556" s="404">
        <v>45678</v>
      </c>
      <c r="L556" s="274" t="s">
        <v>9538</v>
      </c>
      <c r="N556" s="274" t="s">
        <v>7283</v>
      </c>
      <c r="AF556" s="264"/>
    </row>
    <row r="557" spans="1:33" ht="14.25" customHeight="1">
      <c r="A557" s="260">
        <v>2473</v>
      </c>
      <c r="B557" s="260" t="s">
        <v>8431</v>
      </c>
      <c r="C557" s="274" t="s">
        <v>4149</v>
      </c>
      <c r="D557" s="438">
        <v>17577</v>
      </c>
      <c r="F557" s="404">
        <v>3</v>
      </c>
      <c r="G557" s="404">
        <v>123468</v>
      </c>
      <c r="H557" s="404" t="s">
        <v>9003</v>
      </c>
      <c r="I557" s="443" t="s">
        <v>2989</v>
      </c>
      <c r="J557" s="471">
        <v>107.25</v>
      </c>
      <c r="K557" s="404">
        <v>45685</v>
      </c>
      <c r="L557" s="274" t="s">
        <v>9538</v>
      </c>
      <c r="N557" s="274" t="s">
        <v>8252</v>
      </c>
      <c r="AF557" s="264"/>
    </row>
    <row r="558" spans="1:33" ht="14.25" customHeight="1">
      <c r="A558" s="260">
        <v>2467</v>
      </c>
      <c r="B558" s="260" t="s">
        <v>8439</v>
      </c>
      <c r="C558" s="274" t="s">
        <v>4149</v>
      </c>
      <c r="D558" s="438">
        <v>17600</v>
      </c>
      <c r="F558" s="404">
        <v>4</v>
      </c>
      <c r="G558" s="404">
        <v>122972</v>
      </c>
      <c r="H558" s="404" t="s">
        <v>8960</v>
      </c>
      <c r="I558" s="443" t="s">
        <v>2989</v>
      </c>
      <c r="J558" s="471">
        <v>110</v>
      </c>
      <c r="K558" s="404">
        <v>45690</v>
      </c>
      <c r="L558" s="274" t="s">
        <v>9538</v>
      </c>
      <c r="N558" s="274" t="s">
        <v>7483</v>
      </c>
      <c r="AF558" s="264"/>
    </row>
    <row r="559" spans="1:33" ht="14.25" customHeight="1">
      <c r="A559" s="260">
        <v>30</v>
      </c>
      <c r="B559" s="260" t="s">
        <v>8441</v>
      </c>
      <c r="C559" s="274" t="s">
        <v>8893</v>
      </c>
      <c r="D559" s="438">
        <v>1560</v>
      </c>
      <c r="F559" s="404">
        <v>5</v>
      </c>
      <c r="G559" s="404">
        <v>12927</v>
      </c>
      <c r="H559" s="404" t="s">
        <v>9221</v>
      </c>
      <c r="I559" s="443" t="s">
        <v>4379</v>
      </c>
      <c r="J559" s="471">
        <v>145</v>
      </c>
      <c r="K559" s="404">
        <v>45709</v>
      </c>
      <c r="L559" s="274" t="s">
        <v>9538</v>
      </c>
      <c r="N559" s="274" t="s">
        <v>8894</v>
      </c>
      <c r="AF559" s="264"/>
    </row>
    <row r="560" spans="1:33" ht="14.25" customHeight="1">
      <c r="A560" s="260">
        <v>1617</v>
      </c>
      <c r="B560" s="260" t="s">
        <v>8530</v>
      </c>
      <c r="C560" s="274" t="s">
        <v>4357</v>
      </c>
      <c r="D560" s="438">
        <v>4844</v>
      </c>
      <c r="F560" s="404">
        <v>6</v>
      </c>
      <c r="G560" s="404">
        <v>20325</v>
      </c>
      <c r="H560" s="404" t="s">
        <v>8978</v>
      </c>
      <c r="I560" s="443" t="s">
        <v>8452</v>
      </c>
      <c r="J560" s="471">
        <v>350</v>
      </c>
      <c r="K560" s="404">
        <v>45718</v>
      </c>
      <c r="L560" s="274" t="s">
        <v>9538</v>
      </c>
      <c r="N560" s="274" t="s">
        <v>7051</v>
      </c>
      <c r="AF560" s="264"/>
    </row>
    <row r="561" spans="1:32" ht="14.25" customHeight="1">
      <c r="A561" s="260">
        <v>1604</v>
      </c>
      <c r="B561" s="260" t="s">
        <v>8534</v>
      </c>
      <c r="C561" s="274" t="s">
        <v>4357</v>
      </c>
      <c r="D561" s="438">
        <v>3114</v>
      </c>
      <c r="F561" s="404">
        <v>7</v>
      </c>
      <c r="G561" s="404">
        <v>545914</v>
      </c>
      <c r="H561" s="404" t="s">
        <v>8974</v>
      </c>
      <c r="I561" s="443" t="s">
        <v>7825</v>
      </c>
      <c r="J561" s="471">
        <v>367.5</v>
      </c>
      <c r="K561" s="404">
        <v>45733</v>
      </c>
      <c r="L561" s="274" t="s">
        <v>9538</v>
      </c>
      <c r="N561" s="274" t="s">
        <v>2989</v>
      </c>
      <c r="AF561" s="264"/>
    </row>
    <row r="562" spans="1:32" ht="14.25" customHeight="1">
      <c r="A562" s="511" t="s">
        <v>9487</v>
      </c>
      <c r="B562" s="511" t="s">
        <v>8613</v>
      </c>
      <c r="C562" s="512" t="s">
        <v>8894</v>
      </c>
      <c r="D562" s="513">
        <f>1050+2947.04</f>
        <v>3997.04</v>
      </c>
      <c r="F562" s="404">
        <v>8</v>
      </c>
      <c r="G562" s="404">
        <v>123600</v>
      </c>
      <c r="H562" s="404" t="s">
        <v>9131</v>
      </c>
      <c r="I562" s="443" t="s">
        <v>2989</v>
      </c>
      <c r="J562" s="471">
        <v>381</v>
      </c>
      <c r="K562" s="404">
        <v>45753</v>
      </c>
      <c r="L562" s="274" t="s">
        <v>9538</v>
      </c>
      <c r="N562" s="274" t="s">
        <v>3663</v>
      </c>
      <c r="AF562" s="264"/>
    </row>
    <row r="563" spans="1:32" ht="14.25" customHeight="1">
      <c r="A563" s="260" t="s">
        <v>9413</v>
      </c>
      <c r="B563" s="260" t="s">
        <v>8641</v>
      </c>
      <c r="C563" s="274" t="s">
        <v>8894</v>
      </c>
      <c r="D563" s="438">
        <v>5583.59</v>
      </c>
      <c r="F563" s="404">
        <v>9</v>
      </c>
      <c r="G563" s="404">
        <v>346122</v>
      </c>
      <c r="H563" s="404" t="s">
        <v>9127</v>
      </c>
      <c r="I563" s="443" t="s">
        <v>7371</v>
      </c>
      <c r="J563" s="471">
        <v>417</v>
      </c>
      <c r="K563" s="404">
        <v>45761</v>
      </c>
      <c r="L563" s="274" t="s">
        <v>9538</v>
      </c>
      <c r="N563" s="274" t="s">
        <v>8394</v>
      </c>
      <c r="AF563" s="264"/>
    </row>
    <row r="564" spans="1:32" ht="14.25" customHeight="1">
      <c r="A564" s="260" t="s">
        <v>9414</v>
      </c>
      <c r="B564" s="260" t="s">
        <v>8641</v>
      </c>
      <c r="C564" s="274" t="s">
        <v>8894</v>
      </c>
      <c r="D564" s="438">
        <v>5583.59</v>
      </c>
      <c r="F564" s="404">
        <v>10</v>
      </c>
      <c r="G564" s="404">
        <v>5003</v>
      </c>
      <c r="H564" s="404" t="s">
        <v>8858</v>
      </c>
      <c r="I564" s="443" t="s">
        <v>8931</v>
      </c>
      <c r="J564" s="471">
        <v>504</v>
      </c>
      <c r="K564" s="404">
        <v>45771</v>
      </c>
      <c r="L564" s="274" t="s">
        <v>9538</v>
      </c>
      <c r="N564" s="274" t="s">
        <v>8897</v>
      </c>
      <c r="AF564" s="264"/>
    </row>
    <row r="565" spans="1:32" ht="14.25" customHeight="1">
      <c r="A565" s="260" t="s">
        <v>9412</v>
      </c>
      <c r="B565" s="260" t="s">
        <v>8641</v>
      </c>
      <c r="C565" s="274" t="s">
        <v>8894</v>
      </c>
      <c r="D565" s="438">
        <v>5583.59</v>
      </c>
      <c r="F565" s="404">
        <v>11</v>
      </c>
      <c r="G565" s="404">
        <v>87300</v>
      </c>
      <c r="H565" s="404" t="s">
        <v>9292</v>
      </c>
      <c r="I565" s="443" t="s">
        <v>4109</v>
      </c>
      <c r="J565" s="471">
        <v>600</v>
      </c>
      <c r="K565" s="404">
        <v>45780</v>
      </c>
      <c r="L565" s="274" t="s">
        <v>9538</v>
      </c>
      <c r="N565" s="274" t="s">
        <v>8924</v>
      </c>
      <c r="AF565" s="264"/>
    </row>
    <row r="566" spans="1:32" ht="14.25" customHeight="1">
      <c r="A566" s="260">
        <v>465</v>
      </c>
      <c r="B566" s="260" t="s">
        <v>8657</v>
      </c>
      <c r="C566" s="274" t="s">
        <v>4433</v>
      </c>
      <c r="D566" s="438">
        <v>8400</v>
      </c>
      <c r="F566" s="404">
        <v>12</v>
      </c>
      <c r="G566" s="404">
        <v>20387</v>
      </c>
      <c r="H566" s="404" t="s">
        <v>8968</v>
      </c>
      <c r="I566" s="443" t="s">
        <v>8452</v>
      </c>
      <c r="J566" s="471">
        <v>610</v>
      </c>
      <c r="K566" s="404">
        <v>45815</v>
      </c>
      <c r="L566" s="274" t="s">
        <v>9538</v>
      </c>
      <c r="N566" s="274" t="s">
        <v>4433</v>
      </c>
      <c r="AF566" s="264"/>
    </row>
    <row r="567" spans="1:32" ht="14.25" customHeight="1">
      <c r="A567" s="260">
        <v>466</v>
      </c>
      <c r="B567" s="260" t="s">
        <v>8673</v>
      </c>
      <c r="C567" s="274" t="s">
        <v>4433</v>
      </c>
      <c r="D567" s="438">
        <v>8400</v>
      </c>
      <c r="F567" s="404">
        <v>13</v>
      </c>
      <c r="G567" s="404">
        <v>89691</v>
      </c>
      <c r="H567" s="404" t="s">
        <v>9110</v>
      </c>
      <c r="I567" s="443" t="s">
        <v>7483</v>
      </c>
      <c r="J567" s="471">
        <v>779.4</v>
      </c>
      <c r="K567" s="404">
        <v>45845</v>
      </c>
      <c r="L567" s="274" t="s">
        <v>9538</v>
      </c>
      <c r="N567" s="274" t="s">
        <v>3407</v>
      </c>
      <c r="AF567" s="264"/>
    </row>
    <row r="568" spans="1:32" ht="14.25" customHeight="1">
      <c r="A568" s="260">
        <v>7324</v>
      </c>
      <c r="B568" s="260" t="s">
        <v>8760</v>
      </c>
      <c r="C568" s="274" t="s">
        <v>8394</v>
      </c>
      <c r="D568" s="438">
        <v>250</v>
      </c>
      <c r="F568" s="404">
        <v>14</v>
      </c>
      <c r="G568" s="404">
        <v>1230053</v>
      </c>
      <c r="H568" s="404" t="s">
        <v>9092</v>
      </c>
      <c r="I568" s="443" t="s">
        <v>3663</v>
      </c>
      <c r="J568" s="471">
        <v>783</v>
      </c>
      <c r="K568" s="404">
        <v>45986</v>
      </c>
      <c r="L568" s="274" t="s">
        <v>9538</v>
      </c>
      <c r="N568" s="274" t="s">
        <v>8395</v>
      </c>
      <c r="AF568" s="264"/>
    </row>
    <row r="569" spans="1:32" ht="14.25" customHeight="1">
      <c r="A569" s="260">
        <v>7324</v>
      </c>
      <c r="B569" s="260" t="s">
        <v>8760</v>
      </c>
      <c r="C569" s="274" t="s">
        <v>8394</v>
      </c>
      <c r="D569" s="438">
        <v>250</v>
      </c>
      <c r="F569" s="404">
        <v>15</v>
      </c>
      <c r="G569" s="404">
        <v>43543</v>
      </c>
      <c r="H569" s="404" t="s">
        <v>8963</v>
      </c>
      <c r="I569" s="443" t="s">
        <v>7485</v>
      </c>
      <c r="J569" s="471">
        <v>800</v>
      </c>
      <c r="K569" s="404">
        <v>46003</v>
      </c>
      <c r="L569" s="274" t="s">
        <v>9538</v>
      </c>
      <c r="N569" s="274" t="s">
        <v>3530</v>
      </c>
      <c r="AF569" s="264"/>
    </row>
    <row r="570" spans="1:32" ht="14.25" customHeight="1">
      <c r="A570" s="260">
        <v>7324</v>
      </c>
      <c r="B570" s="260" t="s">
        <v>8760</v>
      </c>
      <c r="C570" s="274" t="s">
        <v>8394</v>
      </c>
      <c r="D570" s="438">
        <v>250</v>
      </c>
      <c r="F570" s="404">
        <v>16</v>
      </c>
      <c r="G570" s="404">
        <v>886</v>
      </c>
      <c r="H570" s="404" t="s">
        <v>8886</v>
      </c>
      <c r="I570" s="443" t="s">
        <v>3407</v>
      </c>
      <c r="J570" s="471">
        <v>890</v>
      </c>
      <c r="K570" s="404">
        <v>46011</v>
      </c>
      <c r="L570" s="274" t="s">
        <v>9538</v>
      </c>
      <c r="N570" s="274" t="s">
        <v>9183</v>
      </c>
      <c r="AF570" s="264"/>
    </row>
    <row r="571" spans="1:32" ht="14.25" customHeight="1">
      <c r="A571" s="260">
        <v>7324</v>
      </c>
      <c r="B571" s="260" t="s">
        <v>8760</v>
      </c>
      <c r="C571" s="274" t="s">
        <v>8394</v>
      </c>
      <c r="D571" s="438">
        <v>250</v>
      </c>
      <c r="F571" s="404">
        <v>17</v>
      </c>
      <c r="G571" s="404">
        <v>1051</v>
      </c>
      <c r="H571" s="404" t="s">
        <v>8796</v>
      </c>
      <c r="I571" s="443" t="s">
        <v>3530</v>
      </c>
      <c r="J571" s="471">
        <v>900</v>
      </c>
      <c r="K571" s="404">
        <v>46017</v>
      </c>
      <c r="L571" s="274" t="s">
        <v>9538</v>
      </c>
      <c r="N571" s="274" t="s">
        <v>4357</v>
      </c>
      <c r="AF571" s="264"/>
    </row>
    <row r="572" spans="1:32" ht="14.25" customHeight="1">
      <c r="A572" s="260">
        <v>7324</v>
      </c>
      <c r="B572" s="260" t="s">
        <v>8760</v>
      </c>
      <c r="C572" s="274" t="s">
        <v>8394</v>
      </c>
      <c r="D572" s="438">
        <v>250</v>
      </c>
      <c r="F572" s="404">
        <v>18</v>
      </c>
      <c r="G572" s="404">
        <v>347135</v>
      </c>
      <c r="H572" s="404" t="s">
        <v>9155</v>
      </c>
      <c r="I572" s="443" t="s">
        <v>7371</v>
      </c>
      <c r="J572" s="471">
        <v>984</v>
      </c>
      <c r="K572" s="404">
        <v>46030</v>
      </c>
      <c r="L572" s="274" t="s">
        <v>9538</v>
      </c>
      <c r="N572" s="274" t="s">
        <v>8899</v>
      </c>
      <c r="AF572" s="264"/>
    </row>
    <row r="573" spans="1:32" ht="14.25" customHeight="1">
      <c r="A573" s="260" t="s">
        <v>9415</v>
      </c>
      <c r="B573" s="260" t="s">
        <v>8760</v>
      </c>
      <c r="C573" s="274" t="s">
        <v>8897</v>
      </c>
      <c r="D573" s="438">
        <v>299</v>
      </c>
      <c r="F573" s="404">
        <v>19</v>
      </c>
      <c r="G573" s="404">
        <v>83</v>
      </c>
      <c r="H573" s="404" t="s">
        <v>8842</v>
      </c>
      <c r="I573" s="443" t="s">
        <v>7051</v>
      </c>
      <c r="J573" s="471">
        <v>1099.9000000000001</v>
      </c>
      <c r="K573" s="404">
        <v>3295</v>
      </c>
      <c r="L573" s="274" t="s">
        <v>9538</v>
      </c>
      <c r="N573" s="274" t="s">
        <v>9278</v>
      </c>
      <c r="AF573" s="264"/>
    </row>
    <row r="574" spans="1:32" ht="14.25" customHeight="1">
      <c r="A574" s="260" t="s">
        <v>9416</v>
      </c>
      <c r="B574" s="260" t="s">
        <v>8760</v>
      </c>
      <c r="C574" s="274" t="s">
        <v>8897</v>
      </c>
      <c r="D574" s="438">
        <v>299</v>
      </c>
      <c r="F574" s="404">
        <v>20</v>
      </c>
      <c r="G574" s="404">
        <v>7324</v>
      </c>
      <c r="H574" s="404" t="s">
        <v>8760</v>
      </c>
      <c r="I574" s="443" t="s">
        <v>8394</v>
      </c>
      <c r="J574" s="471">
        <v>1250</v>
      </c>
      <c r="K574" s="404">
        <v>3293</v>
      </c>
      <c r="L574" s="274" t="s">
        <v>9538</v>
      </c>
      <c r="N574" s="274" t="s">
        <v>4358</v>
      </c>
      <c r="AF574" s="264"/>
    </row>
    <row r="575" spans="1:32" ht="14.25" customHeight="1">
      <c r="A575" s="260" t="s">
        <v>9411</v>
      </c>
      <c r="B575" s="260" t="s">
        <v>8760</v>
      </c>
      <c r="C575" s="274" t="s">
        <v>8899</v>
      </c>
      <c r="D575" s="438">
        <v>62</v>
      </c>
      <c r="F575" s="404">
        <v>21</v>
      </c>
      <c r="G575" s="404">
        <v>1058</v>
      </c>
      <c r="H575" s="404" t="s">
        <v>8967</v>
      </c>
      <c r="I575" s="443" t="s">
        <v>3530</v>
      </c>
      <c r="J575" s="471">
        <v>1272.7</v>
      </c>
      <c r="K575" s="404">
        <v>46047</v>
      </c>
      <c r="L575" s="274" t="s">
        <v>9538</v>
      </c>
      <c r="N575" s="274" t="s">
        <v>7371</v>
      </c>
      <c r="AF575" s="264"/>
    </row>
    <row r="576" spans="1:32" ht="14.25" customHeight="1">
      <c r="A576" s="260" t="s">
        <v>9411</v>
      </c>
      <c r="B576" s="260" t="s">
        <v>8760</v>
      </c>
      <c r="C576" s="274" t="s">
        <v>8899</v>
      </c>
      <c r="D576" s="438">
        <v>25.2</v>
      </c>
      <c r="F576" s="495">
        <v>22</v>
      </c>
      <c r="G576" s="495">
        <v>30</v>
      </c>
      <c r="H576" s="495" t="s">
        <v>8441</v>
      </c>
      <c r="I576" s="496" t="s">
        <v>8893</v>
      </c>
      <c r="J576" s="497" t="s">
        <v>9541</v>
      </c>
      <c r="K576" s="495" t="s">
        <v>9540</v>
      </c>
      <c r="L576" s="493"/>
      <c r="N576" s="274" t="s">
        <v>8931</v>
      </c>
      <c r="AF576" s="264"/>
    </row>
    <row r="577" spans="1:32" ht="14.25" customHeight="1">
      <c r="A577" s="260" t="s">
        <v>9411</v>
      </c>
      <c r="B577" s="260" t="s">
        <v>8760</v>
      </c>
      <c r="C577" s="274" t="s">
        <v>8899</v>
      </c>
      <c r="D577" s="438">
        <v>83.2</v>
      </c>
      <c r="F577" s="404">
        <v>23</v>
      </c>
      <c r="G577" s="404">
        <v>549493</v>
      </c>
      <c r="H577" s="404" t="s">
        <v>9281</v>
      </c>
      <c r="I577" s="443" t="s">
        <v>7825</v>
      </c>
      <c r="J577" s="471">
        <v>2100</v>
      </c>
      <c r="K577" s="404">
        <v>46084</v>
      </c>
      <c r="L577" s="274" t="s">
        <v>9538</v>
      </c>
      <c r="N577" s="274" t="s">
        <v>8893</v>
      </c>
      <c r="AF577" s="264"/>
    </row>
    <row r="578" spans="1:32" ht="14.25" customHeight="1">
      <c r="A578" s="260" t="s">
        <v>9411</v>
      </c>
      <c r="B578" s="260" t="s">
        <v>8760</v>
      </c>
      <c r="C578" s="274" t="s">
        <v>8899</v>
      </c>
      <c r="D578" s="438">
        <v>87.2</v>
      </c>
      <c r="F578" s="404">
        <v>24</v>
      </c>
      <c r="G578" s="404">
        <v>48754</v>
      </c>
      <c r="H578" s="404" t="s">
        <v>9157</v>
      </c>
      <c r="I578" s="443" t="s">
        <v>9299</v>
      </c>
      <c r="J578" s="471">
        <v>2448</v>
      </c>
      <c r="K578" s="404">
        <v>46109</v>
      </c>
      <c r="L578" s="274" t="s">
        <v>9538</v>
      </c>
      <c r="N578" s="274" t="s">
        <v>7825</v>
      </c>
      <c r="AF578" s="264"/>
    </row>
    <row r="579" spans="1:32" ht="14.25" customHeight="1">
      <c r="A579" s="260" t="s">
        <v>9411</v>
      </c>
      <c r="B579" s="260" t="s">
        <v>8760</v>
      </c>
      <c r="C579" s="274" t="s">
        <v>8899</v>
      </c>
      <c r="D579" s="438">
        <v>44</v>
      </c>
      <c r="F579" s="404">
        <v>25</v>
      </c>
      <c r="G579" s="404">
        <v>2465</v>
      </c>
      <c r="H579" s="404" t="s">
        <v>8425</v>
      </c>
      <c r="I579" s="443" t="s">
        <v>4149</v>
      </c>
      <c r="J579" s="471">
        <v>2700</v>
      </c>
      <c r="K579" s="404">
        <v>46853</v>
      </c>
      <c r="L579" s="274" t="s">
        <v>9539</v>
      </c>
      <c r="N579" s="274" t="s">
        <v>7485</v>
      </c>
      <c r="AF579" s="264"/>
    </row>
    <row r="580" spans="1:32" ht="14.25" customHeight="1">
      <c r="A580" s="260">
        <v>1051</v>
      </c>
      <c r="B580" s="260" t="s">
        <v>8796</v>
      </c>
      <c r="C580" s="274" t="s">
        <v>3530</v>
      </c>
      <c r="D580" s="438">
        <v>900</v>
      </c>
      <c r="F580" s="404">
        <v>26</v>
      </c>
      <c r="G580" s="404">
        <v>10255</v>
      </c>
      <c r="H580" s="404" t="s">
        <v>9092</v>
      </c>
      <c r="I580" s="443" t="s">
        <v>9174</v>
      </c>
      <c r="J580" s="471">
        <v>2721.6</v>
      </c>
      <c r="K580" s="404">
        <v>46858</v>
      </c>
      <c r="L580" s="274" t="s">
        <v>9539</v>
      </c>
      <c r="N580" s="274" t="s">
        <v>7545</v>
      </c>
      <c r="AF580" s="264"/>
    </row>
    <row r="581" spans="1:32" ht="14.25" customHeight="1">
      <c r="A581" s="260">
        <v>3389</v>
      </c>
      <c r="B581" s="260" t="s">
        <v>8798</v>
      </c>
      <c r="C581" s="274" t="s">
        <v>8923</v>
      </c>
      <c r="D581" s="438">
        <v>5900</v>
      </c>
      <c r="F581" s="404">
        <v>27</v>
      </c>
      <c r="G581" s="404">
        <v>1604</v>
      </c>
      <c r="H581" s="404" t="s">
        <v>8534</v>
      </c>
      <c r="I581" s="443" t="s">
        <v>4357</v>
      </c>
      <c r="J581" s="471">
        <v>3114</v>
      </c>
      <c r="K581" s="404">
        <v>46872</v>
      </c>
      <c r="L581" s="274" t="s">
        <v>9539</v>
      </c>
      <c r="N581" s="274" t="s">
        <v>4149</v>
      </c>
      <c r="AF581" s="264"/>
    </row>
    <row r="582" spans="1:32" ht="14.25" customHeight="1">
      <c r="A582" s="260">
        <v>11</v>
      </c>
      <c r="B582" s="260" t="s">
        <v>8811</v>
      </c>
      <c r="C582" s="274" t="s">
        <v>8924</v>
      </c>
      <c r="D582" s="438">
        <v>5000</v>
      </c>
      <c r="F582" s="404">
        <v>28</v>
      </c>
      <c r="G582" s="404">
        <v>1654</v>
      </c>
      <c r="H582" s="404" t="s">
        <v>8870</v>
      </c>
      <c r="I582" s="443" t="s">
        <v>7283</v>
      </c>
      <c r="J582" s="471">
        <v>3500</v>
      </c>
      <c r="K582" s="404">
        <v>46900</v>
      </c>
      <c r="L582" s="274" t="s">
        <v>9539</v>
      </c>
      <c r="N582" s="274" t="s">
        <v>8452</v>
      </c>
      <c r="AF582" s="264"/>
    </row>
    <row r="583" spans="1:32" ht="14.25" customHeight="1">
      <c r="A583" s="260">
        <v>3387</v>
      </c>
      <c r="B583" s="260" t="s">
        <v>8832</v>
      </c>
      <c r="C583" s="274" t="s">
        <v>8923</v>
      </c>
      <c r="D583" s="438">
        <v>22350</v>
      </c>
      <c r="F583" s="404">
        <v>29</v>
      </c>
      <c r="G583" s="404">
        <v>3388</v>
      </c>
      <c r="H583" s="404" t="s">
        <v>9099</v>
      </c>
      <c r="I583" s="443" t="s">
        <v>8923</v>
      </c>
      <c r="J583" s="515">
        <v>3870</v>
      </c>
      <c r="K583" s="404">
        <v>46913</v>
      </c>
      <c r="L583" s="274" t="s">
        <v>9539</v>
      </c>
      <c r="N583" s="274" t="s">
        <v>9174</v>
      </c>
      <c r="AF583" s="264"/>
    </row>
    <row r="584" spans="1:32" ht="14.25" customHeight="1">
      <c r="A584" s="260">
        <v>83</v>
      </c>
      <c r="B584" s="260" t="s">
        <v>8842</v>
      </c>
      <c r="C584" s="274" t="s">
        <v>7051</v>
      </c>
      <c r="D584" s="438">
        <v>1099.8999999999999</v>
      </c>
      <c r="F584" s="404">
        <v>30</v>
      </c>
      <c r="G584" s="404">
        <v>547886</v>
      </c>
      <c r="H584" s="404" t="s">
        <v>9099</v>
      </c>
      <c r="I584" s="443" t="s">
        <v>7825</v>
      </c>
      <c r="J584" s="471">
        <v>4440</v>
      </c>
      <c r="K584" s="404">
        <v>46929</v>
      </c>
      <c r="L584" s="274" t="s">
        <v>9539</v>
      </c>
      <c r="N584" s="274" t="s">
        <v>3671</v>
      </c>
      <c r="AF584" s="264"/>
    </row>
    <row r="585" spans="1:32" ht="14.25" customHeight="1">
      <c r="A585" s="260">
        <v>5003</v>
      </c>
      <c r="B585" s="260" t="s">
        <v>8858</v>
      </c>
      <c r="C585" s="274" t="s">
        <v>8931</v>
      </c>
      <c r="D585" s="438">
        <v>504</v>
      </c>
      <c r="F585" s="404">
        <v>31</v>
      </c>
      <c r="G585" s="404">
        <v>725</v>
      </c>
      <c r="H585" s="404" t="s">
        <v>9135</v>
      </c>
      <c r="I585" s="443" t="s">
        <v>3671</v>
      </c>
      <c r="J585" s="471">
        <v>4440</v>
      </c>
      <c r="K585" s="404">
        <v>46929</v>
      </c>
      <c r="L585" s="274" t="s">
        <v>9539</v>
      </c>
      <c r="N585" s="274" t="s">
        <v>8923</v>
      </c>
      <c r="AF585" s="264"/>
    </row>
    <row r="586" spans="1:32" ht="14.25" customHeight="1">
      <c r="A586" s="260">
        <v>1654</v>
      </c>
      <c r="B586" s="260" t="s">
        <v>8870</v>
      </c>
      <c r="C586" s="274" t="s">
        <v>7283</v>
      </c>
      <c r="D586" s="438">
        <v>3500</v>
      </c>
      <c r="F586" s="404">
        <v>32</v>
      </c>
      <c r="G586" s="404">
        <v>25337</v>
      </c>
      <c r="H586" s="404" t="s">
        <v>9305</v>
      </c>
      <c r="I586" s="443" t="s">
        <v>7545</v>
      </c>
      <c r="J586" s="471">
        <v>4800</v>
      </c>
      <c r="K586" s="404">
        <v>46952</v>
      </c>
      <c r="L586" s="274" t="s">
        <v>9539</v>
      </c>
      <c r="N586" s="274" t="s">
        <v>4109</v>
      </c>
      <c r="AF586" s="264"/>
    </row>
    <row r="587" spans="1:32" ht="14.25" customHeight="1">
      <c r="A587" s="260">
        <v>886</v>
      </c>
      <c r="B587" s="260" t="s">
        <v>8886</v>
      </c>
      <c r="C587" s="274" t="s">
        <v>3407</v>
      </c>
      <c r="D587" s="438">
        <v>890</v>
      </c>
      <c r="F587" s="404">
        <v>33</v>
      </c>
      <c r="G587" s="404">
        <v>1617</v>
      </c>
      <c r="H587" s="404" t="s">
        <v>8530</v>
      </c>
      <c r="I587" s="443" t="s">
        <v>4357</v>
      </c>
      <c r="J587" s="471">
        <v>4844</v>
      </c>
      <c r="K587" s="404">
        <v>46961</v>
      </c>
      <c r="L587" s="274" t="s">
        <v>9539</v>
      </c>
      <c r="N587" s="274" t="s">
        <v>9299</v>
      </c>
      <c r="AF587" s="264"/>
    </row>
    <row r="588" spans="1:32" ht="14.25" customHeight="1">
      <c r="A588" s="260">
        <v>122972</v>
      </c>
      <c r="B588" s="260" t="s">
        <v>8960</v>
      </c>
      <c r="C588" s="274" t="s">
        <v>2989</v>
      </c>
      <c r="D588" s="438">
        <v>110</v>
      </c>
      <c r="F588" s="404">
        <v>34</v>
      </c>
      <c r="G588" s="404">
        <v>2466</v>
      </c>
      <c r="H588" s="404" t="s">
        <v>8419</v>
      </c>
      <c r="I588" s="443" t="s">
        <v>4149</v>
      </c>
      <c r="J588" s="471">
        <v>4900</v>
      </c>
      <c r="K588" s="404">
        <v>46972</v>
      </c>
      <c r="L588" s="274" t="s">
        <v>9539</v>
      </c>
      <c r="N588"/>
      <c r="AF588" s="264"/>
    </row>
    <row r="589" spans="1:32" ht="14.25" customHeight="1">
      <c r="A589" s="260">
        <v>43543</v>
      </c>
      <c r="B589" s="260" t="s">
        <v>8963</v>
      </c>
      <c r="C589" s="274" t="s">
        <v>7485</v>
      </c>
      <c r="D589" s="438">
        <v>800</v>
      </c>
      <c r="F589" s="404">
        <v>35</v>
      </c>
      <c r="G589" s="404">
        <v>11</v>
      </c>
      <c r="H589" s="404" t="s">
        <v>8811</v>
      </c>
      <c r="I589" s="443" t="s">
        <v>8924</v>
      </c>
      <c r="J589" s="471">
        <v>5000</v>
      </c>
      <c r="K589" s="404">
        <v>46978</v>
      </c>
      <c r="L589" s="274" t="s">
        <v>9539</v>
      </c>
      <c r="N589"/>
      <c r="AF589" s="264"/>
    </row>
    <row r="590" spans="1:32" ht="14.25" customHeight="1">
      <c r="A590" s="260">
        <v>1058</v>
      </c>
      <c r="B590" s="260" t="s">
        <v>8967</v>
      </c>
      <c r="C590" s="274" t="s">
        <v>3530</v>
      </c>
      <c r="D590" s="438">
        <v>489.49999999999994</v>
      </c>
      <c r="F590" s="404">
        <v>36</v>
      </c>
      <c r="G590" s="404">
        <v>3389</v>
      </c>
      <c r="H590" s="404" t="s">
        <v>8798</v>
      </c>
      <c r="I590" s="443" t="s">
        <v>8923</v>
      </c>
      <c r="J590" s="471">
        <v>5900</v>
      </c>
      <c r="K590" s="404">
        <v>46993</v>
      </c>
      <c r="L590" s="274" t="s">
        <v>9539</v>
      </c>
      <c r="N590"/>
      <c r="AF590" s="264"/>
    </row>
    <row r="591" spans="1:32" ht="14.25" customHeight="1">
      <c r="A591" s="260">
        <v>1058</v>
      </c>
      <c r="B591" s="260" t="s">
        <v>8967</v>
      </c>
      <c r="C591" s="274" t="s">
        <v>3530</v>
      </c>
      <c r="D591" s="438">
        <v>489.49999999999994</v>
      </c>
      <c r="F591" s="404">
        <v>37</v>
      </c>
      <c r="G591" s="404">
        <v>5647</v>
      </c>
      <c r="H591" s="404" t="s">
        <v>9137</v>
      </c>
      <c r="I591" s="443" t="s">
        <v>8252</v>
      </c>
      <c r="J591" s="471">
        <v>6397.5</v>
      </c>
      <c r="K591" s="404">
        <v>46998</v>
      </c>
      <c r="L591" s="274" t="s">
        <v>9539</v>
      </c>
      <c r="N591"/>
      <c r="AF591" s="264"/>
    </row>
    <row r="592" spans="1:32" ht="14.25" customHeight="1">
      <c r="A592" s="260">
        <v>1058</v>
      </c>
      <c r="B592" s="260" t="s">
        <v>8967</v>
      </c>
      <c r="C592" s="274" t="s">
        <v>3530</v>
      </c>
      <c r="D592" s="438">
        <v>293.7</v>
      </c>
      <c r="F592" s="404">
        <v>39</v>
      </c>
      <c r="G592" s="404">
        <v>466</v>
      </c>
      <c r="H592" s="404" t="s">
        <v>8673</v>
      </c>
      <c r="I592" s="443" t="s">
        <v>4433</v>
      </c>
      <c r="J592" s="471">
        <v>8400</v>
      </c>
      <c r="K592" s="404">
        <v>47019</v>
      </c>
      <c r="L592" s="274" t="s">
        <v>9539</v>
      </c>
      <c r="N592"/>
      <c r="AF592" s="264"/>
    </row>
    <row r="593" spans="1:32" ht="14.25" customHeight="1">
      <c r="A593" s="260">
        <v>20387</v>
      </c>
      <c r="B593" s="260" t="s">
        <v>8968</v>
      </c>
      <c r="C593" s="274" t="s">
        <v>8452</v>
      </c>
      <c r="D593" s="438">
        <v>610</v>
      </c>
      <c r="F593" s="404">
        <v>40</v>
      </c>
      <c r="G593" s="404">
        <v>433</v>
      </c>
      <c r="H593" s="404" t="s">
        <v>9092</v>
      </c>
      <c r="I593" s="443" t="s">
        <v>9183</v>
      </c>
      <c r="J593" s="471">
        <v>10508.64</v>
      </c>
      <c r="K593" s="404">
        <v>47184</v>
      </c>
      <c r="L593" s="274" t="s">
        <v>9539</v>
      </c>
      <c r="N593"/>
      <c r="AF593" s="264"/>
    </row>
    <row r="594" spans="1:32" ht="14.25" customHeight="1">
      <c r="A594" s="260">
        <v>545914</v>
      </c>
      <c r="B594" s="260" t="s">
        <v>8974</v>
      </c>
      <c r="C594" s="274" t="s">
        <v>7825</v>
      </c>
      <c r="D594" s="438">
        <v>367.5</v>
      </c>
      <c r="F594" s="404">
        <v>41</v>
      </c>
      <c r="G594" s="404">
        <v>548030</v>
      </c>
      <c r="H594" s="404" t="s">
        <v>9153</v>
      </c>
      <c r="I594" s="443" t="s">
        <v>7825</v>
      </c>
      <c r="J594" s="471">
        <v>11975</v>
      </c>
      <c r="K594" s="404">
        <v>47195</v>
      </c>
      <c r="L594" s="274" t="s">
        <v>9539</v>
      </c>
      <c r="N594"/>
      <c r="AF594" s="264"/>
    </row>
    <row r="595" spans="1:32" ht="14.25" customHeight="1">
      <c r="A595" s="260">
        <v>20325</v>
      </c>
      <c r="B595" s="260" t="s">
        <v>8978</v>
      </c>
      <c r="C595" s="274" t="s">
        <v>8452</v>
      </c>
      <c r="D595" s="438">
        <v>350</v>
      </c>
      <c r="F595" s="404">
        <v>42</v>
      </c>
      <c r="G595" s="404">
        <v>345789</v>
      </c>
      <c r="H595" s="404" t="s">
        <v>9149</v>
      </c>
      <c r="I595" s="443" t="s">
        <v>7371</v>
      </c>
      <c r="J595" s="471">
        <v>16000</v>
      </c>
      <c r="K595" s="404">
        <v>47224</v>
      </c>
      <c r="L595" s="274" t="s">
        <v>9539</v>
      </c>
      <c r="N595"/>
      <c r="AF595" s="264"/>
    </row>
    <row r="596" spans="1:32" ht="14.25" customHeight="1">
      <c r="A596" s="260">
        <v>3077</v>
      </c>
      <c r="B596" s="260" t="s">
        <v>8994</v>
      </c>
      <c r="C596" s="274" t="s">
        <v>8395</v>
      </c>
      <c r="D596" s="438">
        <v>35</v>
      </c>
      <c r="F596" s="404">
        <v>43</v>
      </c>
      <c r="G596" s="404">
        <v>2473</v>
      </c>
      <c r="H596" s="404" t="s">
        <v>8431</v>
      </c>
      <c r="I596" s="443" t="s">
        <v>4149</v>
      </c>
      <c r="J596" s="471">
        <v>17577</v>
      </c>
      <c r="K596" s="404">
        <v>47240</v>
      </c>
      <c r="L596" s="274" t="s">
        <v>9539</v>
      </c>
      <c r="N596"/>
      <c r="AF596" s="264"/>
    </row>
    <row r="597" spans="1:32" ht="14.25" customHeight="1">
      <c r="A597" s="260">
        <v>123468</v>
      </c>
      <c r="B597" s="260" t="s">
        <v>9003</v>
      </c>
      <c r="C597" s="274" t="s">
        <v>2989</v>
      </c>
      <c r="D597" s="438">
        <v>107.25000000000001</v>
      </c>
      <c r="F597" s="404">
        <v>44</v>
      </c>
      <c r="G597" s="404">
        <v>2467</v>
      </c>
      <c r="H597" s="404" t="s">
        <v>8439</v>
      </c>
      <c r="I597" s="443" t="s">
        <v>4149</v>
      </c>
      <c r="J597" s="471">
        <v>17600</v>
      </c>
      <c r="K597" s="404">
        <v>47252</v>
      </c>
      <c r="L597" s="274" t="s">
        <v>9539</v>
      </c>
      <c r="N597"/>
      <c r="AF597" s="264"/>
    </row>
    <row r="598" spans="1:32" ht="14.25" customHeight="1">
      <c r="A598" s="260">
        <v>1230053</v>
      </c>
      <c r="B598" s="260" t="s">
        <v>9092</v>
      </c>
      <c r="C598" s="274" t="s">
        <v>3663</v>
      </c>
      <c r="D598" s="438">
        <v>783</v>
      </c>
      <c r="F598" s="404">
        <v>45</v>
      </c>
      <c r="G598" s="404">
        <v>3387</v>
      </c>
      <c r="H598" s="404" t="s">
        <v>8832</v>
      </c>
      <c r="I598" s="443" t="s">
        <v>8923</v>
      </c>
      <c r="J598" s="471">
        <v>22350</v>
      </c>
      <c r="K598" s="404">
        <v>47255</v>
      </c>
      <c r="L598" s="274" t="s">
        <v>9539</v>
      </c>
      <c r="N598"/>
      <c r="AF598" s="264"/>
    </row>
    <row r="599" spans="1:32" ht="14.25" customHeight="1">
      <c r="A599" s="260">
        <v>433</v>
      </c>
      <c r="B599" s="260" t="s">
        <v>9092</v>
      </c>
      <c r="C599" s="274" t="s">
        <v>9183</v>
      </c>
      <c r="D599" s="438">
        <v>2039.04</v>
      </c>
      <c r="F599" s="404">
        <v>46</v>
      </c>
      <c r="G599" s="404">
        <v>153036</v>
      </c>
      <c r="H599" s="404" t="s">
        <v>9114</v>
      </c>
      <c r="I599" s="443" t="s">
        <v>9278</v>
      </c>
      <c r="J599" s="471">
        <v>34672.629999999997</v>
      </c>
      <c r="K599" s="404">
        <v>47270</v>
      </c>
      <c r="L599" s="274" t="s">
        <v>9539</v>
      </c>
      <c r="N599"/>
      <c r="AF599" s="264"/>
    </row>
    <row r="600" spans="1:32" ht="14.25" customHeight="1">
      <c r="A600" s="260">
        <v>433</v>
      </c>
      <c r="B600" s="260" t="s">
        <v>9092</v>
      </c>
      <c r="C600" s="274" t="s">
        <v>9183</v>
      </c>
      <c r="D600" s="438">
        <v>2647.92</v>
      </c>
      <c r="F600" s="404"/>
      <c r="G600" s="45"/>
      <c r="H600" s="45"/>
      <c r="I600" s="45"/>
      <c r="J600" s="45"/>
      <c r="K600" s="404"/>
      <c r="N600"/>
      <c r="AF600" s="264"/>
    </row>
    <row r="601" spans="1:32" ht="14.25" customHeight="1">
      <c r="A601" s="260">
        <v>433</v>
      </c>
      <c r="B601" s="260" t="s">
        <v>9092</v>
      </c>
      <c r="C601" s="274" t="s">
        <v>9183</v>
      </c>
      <c r="D601" s="438">
        <v>2037.8</v>
      </c>
      <c r="F601" s="404"/>
      <c r="G601" s="45"/>
      <c r="H601" s="45"/>
      <c r="I601" s="448" t="s">
        <v>1876</v>
      </c>
      <c r="J601" s="476">
        <f>SUM(J555:J600)</f>
        <v>212714.72</v>
      </c>
      <c r="K601" s="404"/>
      <c r="N601"/>
      <c r="AF601" s="264"/>
    </row>
    <row r="602" spans="1:32" ht="14.25" customHeight="1">
      <c r="A602" s="260">
        <v>433</v>
      </c>
      <c r="B602" s="260" t="s">
        <v>9092</v>
      </c>
      <c r="C602" s="274" t="s">
        <v>9183</v>
      </c>
      <c r="D602" s="438">
        <v>1931.4799999999998</v>
      </c>
      <c r="G602" s="65"/>
      <c r="H602" s="65"/>
      <c r="I602" s="65"/>
      <c r="J602" s="65"/>
      <c r="N602"/>
      <c r="AF602" s="264"/>
    </row>
    <row r="603" spans="1:32" ht="14.25" customHeight="1">
      <c r="A603" s="260">
        <v>433</v>
      </c>
      <c r="B603" s="260" t="s">
        <v>9092</v>
      </c>
      <c r="C603" s="274" t="s">
        <v>9183</v>
      </c>
      <c r="D603" s="438">
        <v>1210.4000000000001</v>
      </c>
      <c r="F603" s="404"/>
      <c r="G603" s="419" t="s">
        <v>9487</v>
      </c>
      <c r="H603" s="419" t="s">
        <v>8613</v>
      </c>
      <c r="I603" s="420" t="s">
        <v>8894</v>
      </c>
      <c r="J603" s="474" t="s">
        <v>9486</v>
      </c>
      <c r="K603" s="419" t="s">
        <v>9485</v>
      </c>
      <c r="N603"/>
      <c r="AF603" s="264"/>
    </row>
    <row r="604" spans="1:32" ht="14.25" customHeight="1">
      <c r="A604" s="260">
        <v>433</v>
      </c>
      <c r="B604" s="260" t="s">
        <v>9092</v>
      </c>
      <c r="C604" s="274" t="s">
        <v>9183</v>
      </c>
      <c r="D604" s="438">
        <v>642</v>
      </c>
      <c r="F604" s="419"/>
      <c r="G604" s="419" t="s">
        <v>9411</v>
      </c>
      <c r="H604" s="419" t="s">
        <v>8760</v>
      </c>
      <c r="I604" s="420" t="s">
        <v>8899</v>
      </c>
      <c r="J604" s="474" t="s">
        <v>9531</v>
      </c>
      <c r="K604" s="419" t="s">
        <v>9532</v>
      </c>
      <c r="N604"/>
      <c r="AF604" s="264"/>
    </row>
    <row r="605" spans="1:32" ht="14.25" customHeight="1">
      <c r="A605" s="260">
        <v>10255</v>
      </c>
      <c r="B605" s="260" t="s">
        <v>9092</v>
      </c>
      <c r="C605" s="274" t="s">
        <v>9174</v>
      </c>
      <c r="D605" s="438">
        <v>2721.6</v>
      </c>
      <c r="F605" s="419"/>
      <c r="G605" s="419" t="s">
        <v>9413</v>
      </c>
      <c r="H605" s="419" t="s">
        <v>8641</v>
      </c>
      <c r="I605" s="420" t="s">
        <v>8894</v>
      </c>
      <c r="J605" s="474" t="s">
        <v>9533</v>
      </c>
      <c r="K605" s="419" t="s">
        <v>9532</v>
      </c>
      <c r="N605"/>
      <c r="AF605" s="264"/>
    </row>
    <row r="606" spans="1:32" ht="14.25" customHeight="1">
      <c r="A606" s="260">
        <v>547886</v>
      </c>
      <c r="B606" s="260" t="s">
        <v>9099</v>
      </c>
      <c r="C606" s="274" t="s">
        <v>7825</v>
      </c>
      <c r="D606" s="438">
        <v>4440</v>
      </c>
      <c r="F606" s="419"/>
      <c r="G606" s="419" t="s">
        <v>9414</v>
      </c>
      <c r="H606" s="419" t="s">
        <v>8641</v>
      </c>
      <c r="I606" s="420" t="s">
        <v>8894</v>
      </c>
      <c r="J606" s="474" t="s">
        <v>9533</v>
      </c>
      <c r="K606" s="419" t="s">
        <v>9532</v>
      </c>
      <c r="N606"/>
      <c r="AF606" s="264"/>
    </row>
    <row r="607" spans="1:32" ht="14.25" customHeight="1">
      <c r="A607" s="260">
        <v>3388</v>
      </c>
      <c r="B607" s="260" t="s">
        <v>9099</v>
      </c>
      <c r="C607" s="274" t="s">
        <v>8923</v>
      </c>
      <c r="D607" s="438">
        <v>3870</v>
      </c>
      <c r="F607" s="419"/>
      <c r="G607" s="419" t="s">
        <v>9412</v>
      </c>
      <c r="H607" s="419" t="s">
        <v>8641</v>
      </c>
      <c r="I607" s="420" t="s">
        <v>8894</v>
      </c>
      <c r="J607" s="474" t="s">
        <v>9533</v>
      </c>
      <c r="K607" s="419" t="s">
        <v>9532</v>
      </c>
      <c r="N607"/>
      <c r="AF607" s="264"/>
    </row>
    <row r="608" spans="1:32" ht="14.25" customHeight="1">
      <c r="A608" s="260">
        <v>89691</v>
      </c>
      <c r="B608" s="260" t="s">
        <v>9110</v>
      </c>
      <c r="C608" s="274" t="s">
        <v>7483</v>
      </c>
      <c r="D608" s="438">
        <v>389.7</v>
      </c>
      <c r="F608" s="419"/>
      <c r="G608" s="419" t="s">
        <v>9415</v>
      </c>
      <c r="H608" s="419" t="s">
        <v>8760</v>
      </c>
      <c r="I608" s="420" t="s">
        <v>8897</v>
      </c>
      <c r="J608" s="474" t="s">
        <v>9534</v>
      </c>
      <c r="K608" s="419" t="s">
        <v>9535</v>
      </c>
      <c r="N608"/>
      <c r="AF608" s="264"/>
    </row>
    <row r="609" spans="1:32" ht="14.25" customHeight="1">
      <c r="A609" s="260">
        <v>89691</v>
      </c>
      <c r="B609" s="260" t="s">
        <v>9110</v>
      </c>
      <c r="C609" s="274" t="s">
        <v>7483</v>
      </c>
      <c r="D609" s="438">
        <v>389.7</v>
      </c>
      <c r="F609" s="419"/>
      <c r="G609" s="419">
        <v>465</v>
      </c>
      <c r="H609" s="419" t="s">
        <v>8657</v>
      </c>
      <c r="I609" s="420" t="s">
        <v>4433</v>
      </c>
      <c r="J609" s="474" t="s">
        <v>9536</v>
      </c>
      <c r="K609" s="419" t="s">
        <v>9537</v>
      </c>
      <c r="N609"/>
      <c r="AF609" s="264"/>
    </row>
    <row r="610" spans="1:32" ht="14.25" customHeight="1">
      <c r="A610" s="260">
        <v>153036</v>
      </c>
      <c r="B610" s="260" t="s">
        <v>9114</v>
      </c>
      <c r="C610" s="274" t="s">
        <v>9278</v>
      </c>
      <c r="D610" s="438">
        <v>7024.95</v>
      </c>
      <c r="G610" s="65"/>
      <c r="H610" s="65"/>
      <c r="I610" s="65"/>
      <c r="J610" s="65"/>
      <c r="N610"/>
      <c r="AF610" s="264"/>
    </row>
    <row r="611" spans="1:32" ht="14.25" customHeight="1">
      <c r="A611" s="260">
        <v>153036</v>
      </c>
      <c r="B611" s="260" t="s">
        <v>9114</v>
      </c>
      <c r="C611" s="274" t="s">
        <v>9278</v>
      </c>
      <c r="D611" s="438">
        <v>4429.74</v>
      </c>
      <c r="G611"/>
      <c r="H611"/>
      <c r="I611"/>
      <c r="J611"/>
      <c r="AF611" s="264"/>
    </row>
    <row r="612" spans="1:32" ht="14.25" customHeight="1">
      <c r="A612" s="260">
        <v>153036</v>
      </c>
      <c r="B612" s="260" t="s">
        <v>9114</v>
      </c>
      <c r="C612" s="274" t="s">
        <v>9278</v>
      </c>
      <c r="D612" s="438">
        <v>9063.9000000000015</v>
      </c>
      <c r="G612"/>
      <c r="H612"/>
      <c r="I612"/>
      <c r="J612"/>
      <c r="AF612" s="264"/>
    </row>
    <row r="613" spans="1:32" ht="14.25" customHeight="1">
      <c r="A613" s="260">
        <v>153036</v>
      </c>
      <c r="B613" s="260" t="s">
        <v>9114</v>
      </c>
      <c r="C613" s="274" t="s">
        <v>9278</v>
      </c>
      <c r="D613" s="438">
        <v>9350</v>
      </c>
      <c r="G613"/>
      <c r="H613"/>
      <c r="I613"/>
      <c r="J613"/>
      <c r="AF613" s="264"/>
    </row>
    <row r="614" spans="1:32" ht="14.25" customHeight="1">
      <c r="A614" s="260">
        <v>153036</v>
      </c>
      <c r="B614" s="260" t="s">
        <v>9114</v>
      </c>
      <c r="C614" s="274" t="s">
        <v>9278</v>
      </c>
      <c r="D614" s="438">
        <v>4804.04</v>
      </c>
      <c r="G614"/>
      <c r="H614"/>
      <c r="I614"/>
      <c r="J614"/>
      <c r="AF614" s="264"/>
    </row>
    <row r="615" spans="1:32" ht="14.25" customHeight="1">
      <c r="A615" s="260">
        <v>346122</v>
      </c>
      <c r="B615" s="260" t="s">
        <v>9127</v>
      </c>
      <c r="C615" s="274" t="s">
        <v>7371</v>
      </c>
      <c r="D615" s="438">
        <v>416.99999999999994</v>
      </c>
      <c r="G615"/>
      <c r="H615"/>
      <c r="I615"/>
      <c r="J615"/>
      <c r="AF615" s="264"/>
    </row>
    <row r="616" spans="1:32" ht="14.25" customHeight="1">
      <c r="A616" s="260">
        <v>123600</v>
      </c>
      <c r="B616" s="260" t="s">
        <v>9131</v>
      </c>
      <c r="C616" s="274" t="s">
        <v>2989</v>
      </c>
      <c r="D616" s="438">
        <v>381</v>
      </c>
      <c r="G616"/>
      <c r="H616"/>
      <c r="I616"/>
      <c r="J616"/>
      <c r="AF616" s="264"/>
    </row>
    <row r="617" spans="1:32" ht="14.25" customHeight="1">
      <c r="A617" s="260">
        <v>725</v>
      </c>
      <c r="B617" s="260" t="s">
        <v>9135</v>
      </c>
      <c r="C617" s="274" t="s">
        <v>3671</v>
      </c>
      <c r="D617" s="438">
        <v>4440</v>
      </c>
      <c r="G617"/>
      <c r="H617"/>
      <c r="I617"/>
      <c r="J617"/>
      <c r="AF617" s="264"/>
    </row>
    <row r="618" spans="1:32" ht="14.25" customHeight="1">
      <c r="A618" s="260">
        <v>5647</v>
      </c>
      <c r="B618" s="260" t="s">
        <v>9137</v>
      </c>
      <c r="C618" s="274" t="s">
        <v>8252</v>
      </c>
      <c r="D618" s="438">
        <v>6397.5</v>
      </c>
      <c r="G618"/>
      <c r="H618"/>
      <c r="I618"/>
      <c r="J618"/>
      <c r="AF618" s="264"/>
    </row>
    <row r="619" spans="1:32" ht="14.25" customHeight="1">
      <c r="A619" s="260">
        <v>345789</v>
      </c>
      <c r="B619" s="260" t="s">
        <v>9149</v>
      </c>
      <c r="C619" s="274" t="s">
        <v>7371</v>
      </c>
      <c r="D619" s="438">
        <v>16000</v>
      </c>
      <c r="G619"/>
      <c r="H619"/>
      <c r="I619"/>
      <c r="J619"/>
      <c r="AF619" s="264"/>
    </row>
    <row r="620" spans="1:32" ht="14.25" customHeight="1">
      <c r="A620" s="260">
        <v>548030</v>
      </c>
      <c r="B620" s="260" t="s">
        <v>9153</v>
      </c>
      <c r="C620" s="274" t="s">
        <v>7825</v>
      </c>
      <c r="D620" s="438">
        <v>11975</v>
      </c>
      <c r="G620"/>
      <c r="H620"/>
      <c r="I620"/>
      <c r="J620"/>
      <c r="AF620" s="264"/>
    </row>
    <row r="621" spans="1:32" ht="14.25" customHeight="1">
      <c r="A621" s="260">
        <v>347135</v>
      </c>
      <c r="B621" s="260" t="s">
        <v>9155</v>
      </c>
      <c r="C621" s="274" t="s">
        <v>7371</v>
      </c>
      <c r="D621" s="438">
        <v>984</v>
      </c>
      <c r="G621"/>
      <c r="H621"/>
      <c r="I621"/>
      <c r="J621"/>
      <c r="AF621" s="264"/>
    </row>
    <row r="622" spans="1:32" ht="14.25" customHeight="1">
      <c r="A622" s="260">
        <v>48754</v>
      </c>
      <c r="B622" s="260" t="s">
        <v>9157</v>
      </c>
      <c r="C622" s="274" t="s">
        <v>9299</v>
      </c>
      <c r="D622" s="438">
        <v>2448</v>
      </c>
      <c r="G622"/>
      <c r="H622"/>
      <c r="I622"/>
      <c r="J622"/>
      <c r="AF622" s="264"/>
    </row>
    <row r="623" spans="1:32" ht="14.25" customHeight="1">
      <c r="A623" s="260">
        <v>12927</v>
      </c>
      <c r="B623" s="260" t="s">
        <v>9221</v>
      </c>
      <c r="C623" s="274" t="s">
        <v>4379</v>
      </c>
      <c r="D623" s="438">
        <v>145</v>
      </c>
      <c r="G623"/>
      <c r="H623"/>
      <c r="I623"/>
      <c r="J623"/>
      <c r="AF623" s="264"/>
    </row>
    <row r="624" spans="1:32" ht="14.25" customHeight="1">
      <c r="A624" s="260">
        <v>1032</v>
      </c>
      <c r="B624" s="260" t="s">
        <v>9232</v>
      </c>
      <c r="C624" s="274" t="s">
        <v>4358</v>
      </c>
      <c r="D624" s="438">
        <v>70.599999999999994</v>
      </c>
      <c r="G624"/>
      <c r="H624"/>
      <c r="I624"/>
      <c r="J624"/>
      <c r="AF624" s="264"/>
    </row>
    <row r="625" spans="1:33" ht="14.25" customHeight="1">
      <c r="A625" s="260">
        <v>549493</v>
      </c>
      <c r="B625" s="260" t="s">
        <v>9281</v>
      </c>
      <c r="C625" s="274" t="s">
        <v>7825</v>
      </c>
      <c r="D625" s="438">
        <v>2100</v>
      </c>
      <c r="G625"/>
      <c r="H625"/>
      <c r="I625"/>
      <c r="J625"/>
      <c r="AF625" s="264"/>
    </row>
    <row r="626" spans="1:33" ht="14.25" customHeight="1">
      <c r="A626" s="260">
        <v>87300</v>
      </c>
      <c r="B626" s="260" t="s">
        <v>9292</v>
      </c>
      <c r="C626" s="274" t="s">
        <v>4109</v>
      </c>
      <c r="D626" s="438">
        <v>600</v>
      </c>
      <c r="G626"/>
      <c r="H626"/>
      <c r="I626"/>
      <c r="J626"/>
      <c r="AF626" s="264"/>
    </row>
    <row r="627" spans="1:33" ht="14.25" customHeight="1">
      <c r="A627" s="260">
        <v>25337</v>
      </c>
      <c r="B627" s="260" t="s">
        <v>9305</v>
      </c>
      <c r="C627" s="274" t="s">
        <v>7545</v>
      </c>
      <c r="D627" s="438">
        <v>4800</v>
      </c>
      <c r="AF627" s="264"/>
    </row>
    <row r="628" spans="1:33" ht="14.25" customHeight="1">
      <c r="J628" s="439"/>
      <c r="AF628" s="264"/>
    </row>
    <row r="629" spans="1:33" ht="14.25" customHeight="1">
      <c r="D629" s="439">
        <f>SUM(D555:D628)</f>
        <v>244322.13000000006</v>
      </c>
      <c r="AF629" s="264"/>
    </row>
    <row r="630" spans="1:33" ht="14.25" customHeight="1">
      <c r="AF630" s="264"/>
    </row>
    <row r="631" spans="1:33" ht="14.25" customHeight="1">
      <c r="AF631" s="264"/>
    </row>
    <row r="632" spans="1:33" ht="14.25" customHeight="1">
      <c r="AF632" s="264"/>
    </row>
    <row r="633" spans="1:33" ht="19.5" thickBot="1">
      <c r="C633" s="437">
        <v>44039</v>
      </c>
      <c r="F633" s="404"/>
      <c r="G633" s="404"/>
      <c r="H633" s="404"/>
      <c r="I633" s="485">
        <v>44043</v>
      </c>
      <c r="J633" s="442" t="s">
        <v>9143</v>
      </c>
      <c r="K633" s="404"/>
      <c r="N633" s="385" t="s">
        <v>9640</v>
      </c>
      <c r="O633" s="386"/>
      <c r="P633" s="422" t="s">
        <v>7633</v>
      </c>
      <c r="AF633" s="264"/>
      <c r="AG633" s="264"/>
    </row>
    <row r="634" spans="1:33" ht="14.25" customHeight="1" thickTop="1">
      <c r="A634" s="280" t="s">
        <v>1844</v>
      </c>
      <c r="B634" s="280" t="s">
        <v>568</v>
      </c>
      <c r="C634" s="280" t="s">
        <v>0</v>
      </c>
      <c r="D634" s="280" t="s">
        <v>3669</v>
      </c>
      <c r="F634" s="340"/>
      <c r="G634" s="280" t="s">
        <v>1844</v>
      </c>
      <c r="H634" s="280" t="s">
        <v>568</v>
      </c>
      <c r="I634" s="281" t="s">
        <v>0</v>
      </c>
      <c r="J634" s="280" t="s">
        <v>3669</v>
      </c>
      <c r="K634" s="280" t="s">
        <v>2815</v>
      </c>
      <c r="N634" s="383" t="s">
        <v>2839</v>
      </c>
      <c r="O634" s="383" t="s">
        <v>2789</v>
      </c>
      <c r="P634" s="383" t="s">
        <v>1877</v>
      </c>
      <c r="Q634" s="190"/>
      <c r="T634" s="274"/>
      <c r="U634" s="438"/>
      <c r="AF634" s="264"/>
      <c r="AG634" s="264"/>
    </row>
    <row r="635" spans="1:33" ht="14.25" customHeight="1">
      <c r="A635" s="404">
        <v>30</v>
      </c>
      <c r="B635" s="404" t="s">
        <v>8441</v>
      </c>
      <c r="C635" s="443" t="s">
        <v>8893</v>
      </c>
      <c r="D635" s="518">
        <v>1560</v>
      </c>
      <c r="F635" s="404">
        <v>1</v>
      </c>
      <c r="G635" s="404">
        <v>1024</v>
      </c>
      <c r="H635" s="404" t="s">
        <v>9233</v>
      </c>
      <c r="I635" s="404" t="s">
        <v>4358</v>
      </c>
      <c r="J635" s="518">
        <v>46.8</v>
      </c>
      <c r="K635" s="404">
        <v>53857</v>
      </c>
      <c r="M635" s="274">
        <v>1</v>
      </c>
      <c r="N635" s="274" t="s">
        <v>4379</v>
      </c>
      <c r="AF635" s="264"/>
    </row>
    <row r="636" spans="1:33" ht="14.25" customHeight="1">
      <c r="A636" s="404">
        <v>99570</v>
      </c>
      <c r="B636" s="404" t="s">
        <v>8457</v>
      </c>
      <c r="C636" s="443" t="s">
        <v>8556</v>
      </c>
      <c r="D636" s="518">
        <v>2396</v>
      </c>
      <c r="F636" s="404">
        <v>2</v>
      </c>
      <c r="G636" s="404">
        <v>13330</v>
      </c>
      <c r="H636" s="404" t="s">
        <v>9336</v>
      </c>
      <c r="I636" s="404" t="s">
        <v>4379</v>
      </c>
      <c r="J636" s="518">
        <v>60</v>
      </c>
      <c r="K636" s="404">
        <v>53871</v>
      </c>
      <c r="M636" s="274">
        <v>2</v>
      </c>
      <c r="N636" s="274" t="s">
        <v>7283</v>
      </c>
      <c r="AF636" s="264"/>
    </row>
    <row r="637" spans="1:33" ht="14.25" customHeight="1">
      <c r="A637" s="404" t="s">
        <v>9484</v>
      </c>
      <c r="B637" s="404" t="s">
        <v>8613</v>
      </c>
      <c r="C637" s="443" t="s">
        <v>8894</v>
      </c>
      <c r="D637" s="518">
        <v>3997.04</v>
      </c>
      <c r="F637" s="404">
        <v>3</v>
      </c>
      <c r="G637" s="404">
        <v>2668838</v>
      </c>
      <c r="H637" s="404" t="s">
        <v>9129</v>
      </c>
      <c r="I637" s="404" t="s">
        <v>4401</v>
      </c>
      <c r="J637" s="518">
        <v>79.599999999999994</v>
      </c>
      <c r="K637" s="404">
        <v>53880</v>
      </c>
      <c r="M637" s="274">
        <v>3</v>
      </c>
      <c r="N637" s="274" t="s">
        <v>8252</v>
      </c>
      <c r="AF637" s="264"/>
    </row>
    <row r="638" spans="1:33" ht="14.25" customHeight="1">
      <c r="A638" s="404">
        <v>465</v>
      </c>
      <c r="B638" s="404" t="s">
        <v>8657</v>
      </c>
      <c r="C638" s="443" t="s">
        <v>4433</v>
      </c>
      <c r="D638" s="518">
        <v>8400</v>
      </c>
      <c r="F638" s="404">
        <v>4</v>
      </c>
      <c r="G638" s="404">
        <v>126</v>
      </c>
      <c r="H638" s="404" t="s">
        <v>9139</v>
      </c>
      <c r="I638" s="404" t="s">
        <v>7202</v>
      </c>
      <c r="J638" s="518">
        <v>99.98</v>
      </c>
      <c r="K638" s="404">
        <v>53882</v>
      </c>
      <c r="M638" s="274">
        <v>4</v>
      </c>
      <c r="N638" s="274" t="s">
        <v>8894</v>
      </c>
      <c r="O638" s="266" t="s">
        <v>9690</v>
      </c>
      <c r="AF638" s="264"/>
    </row>
    <row r="639" spans="1:33" ht="14.25" customHeight="1">
      <c r="A639" s="404" t="s">
        <v>9488</v>
      </c>
      <c r="B639" s="404" t="s">
        <v>8843</v>
      </c>
      <c r="C639" s="443" t="s">
        <v>8252</v>
      </c>
      <c r="D639" s="518">
        <v>4185</v>
      </c>
      <c r="F639" s="404">
        <v>5</v>
      </c>
      <c r="G639" s="404">
        <v>5080</v>
      </c>
      <c r="H639" s="404" t="s">
        <v>9227</v>
      </c>
      <c r="I639" s="404" t="s">
        <v>9330</v>
      </c>
      <c r="J639" s="518">
        <v>128</v>
      </c>
      <c r="K639" s="404">
        <v>53952</v>
      </c>
      <c r="M639" s="274">
        <v>5</v>
      </c>
      <c r="N639" s="274" t="s">
        <v>2989</v>
      </c>
      <c r="AF639" s="264"/>
    </row>
    <row r="640" spans="1:33" ht="14.25" customHeight="1">
      <c r="A640" s="404">
        <v>1037</v>
      </c>
      <c r="B640" s="404" t="s">
        <v>8846</v>
      </c>
      <c r="C640" s="443" t="s">
        <v>3530</v>
      </c>
      <c r="D640" s="518">
        <v>3600</v>
      </c>
      <c r="F640" s="404">
        <v>6</v>
      </c>
      <c r="G640" s="404">
        <v>125363</v>
      </c>
      <c r="H640" s="404" t="s">
        <v>9403</v>
      </c>
      <c r="I640" s="404" t="s">
        <v>2989</v>
      </c>
      <c r="J640" s="518">
        <v>150</v>
      </c>
      <c r="K640" s="404">
        <v>53921</v>
      </c>
      <c r="M640" s="274">
        <v>6</v>
      </c>
      <c r="N640" s="274" t="s">
        <v>8556</v>
      </c>
      <c r="AF640" s="264"/>
    </row>
    <row r="641" spans="1:32" ht="14.25" customHeight="1">
      <c r="A641" s="404">
        <v>1034</v>
      </c>
      <c r="B641" s="404" t="s">
        <v>8847</v>
      </c>
      <c r="C641" s="443" t="s">
        <v>3530</v>
      </c>
      <c r="D641" s="518">
        <v>5040</v>
      </c>
      <c r="F641" s="404">
        <v>7</v>
      </c>
      <c r="G641" s="404">
        <v>353683</v>
      </c>
      <c r="H641" s="404" t="s">
        <v>9335</v>
      </c>
      <c r="I641" s="404" t="s">
        <v>7371</v>
      </c>
      <c r="J641" s="518">
        <v>180</v>
      </c>
      <c r="K641" s="404">
        <v>53923</v>
      </c>
      <c r="M641" s="274">
        <v>7</v>
      </c>
      <c r="N641" s="274" t="s">
        <v>3663</v>
      </c>
      <c r="AF641" s="264"/>
    </row>
    <row r="642" spans="1:32" ht="14.25" customHeight="1">
      <c r="A642" s="404">
        <v>61531</v>
      </c>
      <c r="B642" s="404" t="s">
        <v>8876</v>
      </c>
      <c r="C642" s="443" t="s">
        <v>5740</v>
      </c>
      <c r="D642" s="518">
        <v>450</v>
      </c>
      <c r="F642" s="404">
        <v>8</v>
      </c>
      <c r="G642" s="404">
        <v>250581</v>
      </c>
      <c r="H642" s="404" t="s">
        <v>9290</v>
      </c>
      <c r="I642" s="404" t="s">
        <v>7461</v>
      </c>
      <c r="J642" s="518">
        <v>270</v>
      </c>
      <c r="K642" s="404">
        <v>53926</v>
      </c>
      <c r="M642" s="274">
        <v>8</v>
      </c>
      <c r="N642" s="274" t="s">
        <v>5754</v>
      </c>
      <c r="AF642" s="264"/>
    </row>
    <row r="643" spans="1:32" ht="14.25" customHeight="1">
      <c r="A643" s="404">
        <v>61531</v>
      </c>
      <c r="B643" s="404" t="s">
        <v>8876</v>
      </c>
      <c r="C643" s="443" t="s">
        <v>5740</v>
      </c>
      <c r="D643" s="518">
        <v>867</v>
      </c>
      <c r="F643" s="404">
        <v>9</v>
      </c>
      <c r="G643" s="404">
        <v>148747</v>
      </c>
      <c r="H643" s="404" t="s">
        <v>9338</v>
      </c>
      <c r="I643" s="404" t="s">
        <v>5754</v>
      </c>
      <c r="J643" s="518">
        <v>348.5</v>
      </c>
      <c r="K643" s="404">
        <v>53942</v>
      </c>
      <c r="M643" s="274">
        <v>9</v>
      </c>
      <c r="N643" s="274" t="s">
        <v>9344</v>
      </c>
      <c r="O643" s="266" t="s">
        <v>9690</v>
      </c>
      <c r="AF643" s="264"/>
    </row>
    <row r="644" spans="1:32" ht="14.25" customHeight="1">
      <c r="A644" s="404">
        <v>61531</v>
      </c>
      <c r="B644" s="404" t="s">
        <v>8876</v>
      </c>
      <c r="C644" s="443" t="s">
        <v>5740</v>
      </c>
      <c r="D644" s="518">
        <v>433.5</v>
      </c>
      <c r="F644" s="404">
        <v>10</v>
      </c>
      <c r="G644" s="404">
        <v>737</v>
      </c>
      <c r="H644" s="404" t="s">
        <v>9352</v>
      </c>
      <c r="I644" s="404" t="s">
        <v>3671</v>
      </c>
      <c r="J644" s="518">
        <v>400</v>
      </c>
      <c r="K644" s="404">
        <v>53948</v>
      </c>
      <c r="M644" s="274">
        <v>10</v>
      </c>
      <c r="N644" s="274" t="s">
        <v>4401</v>
      </c>
      <c r="AF644" s="264"/>
    </row>
    <row r="645" spans="1:32" ht="14.25" customHeight="1">
      <c r="A645" s="404">
        <v>61531</v>
      </c>
      <c r="B645" s="404" t="s">
        <v>8876</v>
      </c>
      <c r="C645" s="443" t="s">
        <v>5740</v>
      </c>
      <c r="D645" s="518">
        <v>289</v>
      </c>
      <c r="F645" s="404">
        <v>11</v>
      </c>
      <c r="G645" s="404">
        <v>1233726</v>
      </c>
      <c r="H645" s="404" t="s">
        <v>9327</v>
      </c>
      <c r="I645" s="404" t="s">
        <v>3663</v>
      </c>
      <c r="J645" s="518">
        <v>522.75</v>
      </c>
      <c r="K645" s="404">
        <v>53959</v>
      </c>
      <c r="M645" s="274">
        <v>11</v>
      </c>
      <c r="N645" s="274" t="s">
        <v>8897</v>
      </c>
      <c r="AF645" s="264"/>
    </row>
    <row r="646" spans="1:32" ht="14.25" customHeight="1">
      <c r="A646" s="404">
        <v>61531</v>
      </c>
      <c r="B646" s="404" t="s">
        <v>8876</v>
      </c>
      <c r="C646" s="443" t="s">
        <v>5740</v>
      </c>
      <c r="D646" s="518">
        <v>115.6</v>
      </c>
      <c r="F646" s="404">
        <v>12</v>
      </c>
      <c r="G646" s="404">
        <v>2982</v>
      </c>
      <c r="H646" s="404" t="s">
        <v>9133</v>
      </c>
      <c r="I646" s="404" t="s">
        <v>7826</v>
      </c>
      <c r="J646" s="518">
        <v>1016.4</v>
      </c>
      <c r="K646" s="404">
        <v>53963</v>
      </c>
      <c r="M646" s="274">
        <v>12</v>
      </c>
      <c r="N646" s="274" t="s">
        <v>7984</v>
      </c>
      <c r="AF646" s="264"/>
    </row>
    <row r="647" spans="1:32" ht="14.25" customHeight="1">
      <c r="A647" s="404">
        <v>61531</v>
      </c>
      <c r="B647" s="404" t="s">
        <v>8876</v>
      </c>
      <c r="C647" s="443" t="s">
        <v>5740</v>
      </c>
      <c r="D647" s="518">
        <v>127.14000000000001</v>
      </c>
      <c r="F647" s="404">
        <v>13</v>
      </c>
      <c r="G647" s="404">
        <v>251266</v>
      </c>
      <c r="H647" s="404" t="s">
        <v>9405</v>
      </c>
      <c r="I647" s="404" t="s">
        <v>7461</v>
      </c>
      <c r="J647" s="518">
        <v>1160</v>
      </c>
      <c r="K647" s="404">
        <v>53969</v>
      </c>
      <c r="M647" s="274">
        <v>13</v>
      </c>
      <c r="N647" s="274" t="s">
        <v>4433</v>
      </c>
      <c r="AF647" s="264"/>
    </row>
    <row r="648" spans="1:32" ht="14.25" customHeight="1">
      <c r="A648" s="404">
        <v>61531</v>
      </c>
      <c r="B648" s="404" t="s">
        <v>8876</v>
      </c>
      <c r="C648" s="443" t="s">
        <v>5740</v>
      </c>
      <c r="D648" s="518">
        <v>127.14000000000001</v>
      </c>
      <c r="F648" s="404">
        <v>14</v>
      </c>
      <c r="G648" s="404">
        <v>5728</v>
      </c>
      <c r="H648" s="404" t="s">
        <v>9399</v>
      </c>
      <c r="I648" s="404" t="s">
        <v>8252</v>
      </c>
      <c r="J648" s="518">
        <v>1177.5</v>
      </c>
      <c r="K648" s="404">
        <v>53973</v>
      </c>
      <c r="M648" s="274">
        <v>14</v>
      </c>
      <c r="N648" s="274" t="s">
        <v>3530</v>
      </c>
      <c r="AF648" s="264"/>
    </row>
    <row r="649" spans="1:32" ht="14.25" customHeight="1">
      <c r="A649" s="404">
        <v>1060</v>
      </c>
      <c r="B649" s="404" t="s">
        <v>8970</v>
      </c>
      <c r="C649" s="443" t="s">
        <v>3530</v>
      </c>
      <c r="D649" s="518">
        <v>1190</v>
      </c>
      <c r="F649" s="404">
        <v>15</v>
      </c>
      <c r="G649" s="404">
        <v>742</v>
      </c>
      <c r="H649" s="404" t="s">
        <v>9348</v>
      </c>
      <c r="I649" s="404" t="s">
        <v>3671</v>
      </c>
      <c r="J649" s="518">
        <v>1180</v>
      </c>
      <c r="K649" s="404">
        <v>53994</v>
      </c>
      <c r="M649" s="274">
        <v>15</v>
      </c>
      <c r="N649" s="274" t="s">
        <v>9183</v>
      </c>
      <c r="AF649" s="264"/>
    </row>
    <row r="650" spans="1:32" ht="14.25" customHeight="1">
      <c r="A650" s="404">
        <v>106341</v>
      </c>
      <c r="B650" s="404" t="s">
        <v>8986</v>
      </c>
      <c r="C650" s="443" t="s">
        <v>7549</v>
      </c>
      <c r="D650" s="518">
        <v>4140</v>
      </c>
      <c r="F650" s="404">
        <v>16</v>
      </c>
      <c r="G650" s="404">
        <v>1060</v>
      </c>
      <c r="H650" s="404" t="s">
        <v>8970</v>
      </c>
      <c r="I650" s="404" t="s">
        <v>3530</v>
      </c>
      <c r="J650" s="518">
        <v>1190</v>
      </c>
      <c r="K650" s="404">
        <v>53997</v>
      </c>
      <c r="M650" s="274">
        <v>16</v>
      </c>
      <c r="N650" s="274" t="s">
        <v>7461</v>
      </c>
      <c r="AF650" s="264"/>
    </row>
    <row r="651" spans="1:32" ht="14.25" customHeight="1">
      <c r="A651" s="404">
        <v>25398</v>
      </c>
      <c r="B651" s="404" t="s">
        <v>9009</v>
      </c>
      <c r="C651" s="443" t="s">
        <v>7545</v>
      </c>
      <c r="D651" s="518">
        <v>1770</v>
      </c>
      <c r="F651" s="404">
        <v>17</v>
      </c>
      <c r="G651" s="404">
        <v>88302</v>
      </c>
      <c r="H651" s="404" t="s">
        <v>9318</v>
      </c>
      <c r="I651" s="404" t="s">
        <v>4109</v>
      </c>
      <c r="J651" s="518">
        <v>1200</v>
      </c>
      <c r="K651" s="404">
        <v>54156</v>
      </c>
      <c r="M651" s="274">
        <v>17</v>
      </c>
      <c r="N651" s="274" t="s">
        <v>7202</v>
      </c>
      <c r="AF651" s="264"/>
    </row>
    <row r="652" spans="1:32" ht="14.25" customHeight="1">
      <c r="A652" s="404">
        <v>25398</v>
      </c>
      <c r="B652" s="404" t="s">
        <v>9009</v>
      </c>
      <c r="C652" s="443" t="s">
        <v>7545</v>
      </c>
      <c r="D652" s="518">
        <v>1239</v>
      </c>
      <c r="F652" s="404">
        <v>18</v>
      </c>
      <c r="G652" s="404">
        <v>432</v>
      </c>
      <c r="H652" s="404" t="s">
        <v>9091</v>
      </c>
      <c r="I652" s="404" t="s">
        <v>9183</v>
      </c>
      <c r="J652" s="518">
        <v>1232</v>
      </c>
      <c r="K652" s="404">
        <v>54166</v>
      </c>
      <c r="M652" s="274">
        <v>18</v>
      </c>
      <c r="N652" s="274" t="s">
        <v>8899</v>
      </c>
      <c r="AF652" s="264"/>
    </row>
    <row r="653" spans="1:32" ht="14.25" customHeight="1">
      <c r="A653" s="404">
        <v>431</v>
      </c>
      <c r="B653" s="404" t="s">
        <v>9045</v>
      </c>
      <c r="C653" s="443" t="s">
        <v>9183</v>
      </c>
      <c r="D653" s="518">
        <v>2111.85</v>
      </c>
      <c r="F653" s="404">
        <v>19</v>
      </c>
      <c r="G653" s="404">
        <v>250583</v>
      </c>
      <c r="H653" s="404" t="s">
        <v>9307</v>
      </c>
      <c r="I653" s="404" t="s">
        <v>7461</v>
      </c>
      <c r="J653" s="518">
        <v>1392</v>
      </c>
      <c r="K653" s="404">
        <v>54189</v>
      </c>
      <c r="M653" s="274">
        <v>19</v>
      </c>
      <c r="N653" s="274" t="s">
        <v>4358</v>
      </c>
      <c r="AF653" s="264"/>
    </row>
    <row r="654" spans="1:32" ht="14.25" customHeight="1">
      <c r="A654" s="404">
        <v>436</v>
      </c>
      <c r="B654" s="404" t="s">
        <v>9090</v>
      </c>
      <c r="C654" s="443" t="s">
        <v>9183</v>
      </c>
      <c r="D654" s="518">
        <v>4979</v>
      </c>
      <c r="F654" s="404">
        <v>20</v>
      </c>
      <c r="G654" s="404">
        <v>99269</v>
      </c>
      <c r="H654" s="404" t="s">
        <v>9122</v>
      </c>
      <c r="I654" s="404" t="s">
        <v>8556</v>
      </c>
      <c r="J654" s="518">
        <v>1737.1</v>
      </c>
      <c r="K654" s="404">
        <v>54195</v>
      </c>
      <c r="M654" s="274">
        <v>20</v>
      </c>
      <c r="N654" s="274" t="s">
        <v>7371</v>
      </c>
      <c r="AF654" s="264"/>
    </row>
    <row r="655" spans="1:32" ht="14.25" customHeight="1">
      <c r="A655" s="404">
        <v>3394</v>
      </c>
      <c r="B655" s="404" t="s">
        <v>9091</v>
      </c>
      <c r="C655" s="443" t="s">
        <v>8923</v>
      </c>
      <c r="D655" s="518">
        <v>13500</v>
      </c>
      <c r="F655" s="404">
        <v>21</v>
      </c>
      <c r="G655" s="404">
        <v>1322931</v>
      </c>
      <c r="H655" s="404" t="s">
        <v>9425</v>
      </c>
      <c r="I655" s="404" t="s">
        <v>4398</v>
      </c>
      <c r="J655" s="518">
        <v>1998</v>
      </c>
      <c r="K655" s="404">
        <v>54202</v>
      </c>
      <c r="M655" s="274">
        <v>21</v>
      </c>
      <c r="N655" s="274" t="s">
        <v>8931</v>
      </c>
      <c r="AF655" s="264"/>
    </row>
    <row r="656" spans="1:32" ht="14.25" customHeight="1">
      <c r="A656" s="404">
        <v>3394</v>
      </c>
      <c r="B656" s="404" t="s">
        <v>9091</v>
      </c>
      <c r="C656" s="443" t="s">
        <v>8923</v>
      </c>
      <c r="D656" s="518">
        <v>10500</v>
      </c>
      <c r="F656" s="404">
        <v>22</v>
      </c>
      <c r="G656" s="404">
        <v>6382</v>
      </c>
      <c r="H656" s="404" t="s">
        <v>9288</v>
      </c>
      <c r="I656" s="404" t="s">
        <v>8931</v>
      </c>
      <c r="J656" s="518">
        <v>2098</v>
      </c>
      <c r="K656" s="404">
        <v>54215</v>
      </c>
      <c r="M656" s="274">
        <v>22</v>
      </c>
      <c r="N656" s="274" t="s">
        <v>8893</v>
      </c>
      <c r="AF656" s="264"/>
    </row>
    <row r="657" spans="1:32" ht="14.25" customHeight="1">
      <c r="A657" s="404">
        <v>3394</v>
      </c>
      <c r="B657" s="404" t="s">
        <v>9091</v>
      </c>
      <c r="C657" s="443" t="s">
        <v>8923</v>
      </c>
      <c r="D657" s="518">
        <v>3920</v>
      </c>
      <c r="F657" s="404">
        <v>23</v>
      </c>
      <c r="G657" s="404">
        <v>431</v>
      </c>
      <c r="H657" s="404" t="s">
        <v>9045</v>
      </c>
      <c r="I657" s="404" t="s">
        <v>9183</v>
      </c>
      <c r="J657" s="518">
        <v>2111.85</v>
      </c>
      <c r="K657" s="404">
        <v>54218</v>
      </c>
      <c r="M657" s="274">
        <v>23</v>
      </c>
      <c r="N657" s="274" t="s">
        <v>7826</v>
      </c>
      <c r="AF657" s="264"/>
    </row>
    <row r="658" spans="1:32" ht="14.25" customHeight="1">
      <c r="A658" s="404">
        <v>432</v>
      </c>
      <c r="B658" s="404" t="s">
        <v>9091</v>
      </c>
      <c r="C658" s="443" t="s">
        <v>9183</v>
      </c>
      <c r="D658" s="518">
        <v>1232</v>
      </c>
      <c r="F658" s="404">
        <v>24</v>
      </c>
      <c r="G658" s="404">
        <v>99570</v>
      </c>
      <c r="H658" s="404" t="s">
        <v>8457</v>
      </c>
      <c r="I658" s="404" t="s">
        <v>8556</v>
      </c>
      <c r="J658" s="518">
        <v>2396</v>
      </c>
      <c r="K658" s="404">
        <v>54226</v>
      </c>
      <c r="M658" s="274">
        <v>24</v>
      </c>
      <c r="N658" s="274" t="s">
        <v>7825</v>
      </c>
      <c r="AF658" s="264"/>
    </row>
    <row r="659" spans="1:32" ht="14.25" customHeight="1">
      <c r="A659" s="404">
        <v>99269</v>
      </c>
      <c r="B659" s="404" t="s">
        <v>9122</v>
      </c>
      <c r="C659" s="443" t="s">
        <v>8556</v>
      </c>
      <c r="D659" s="518">
        <v>1737.1</v>
      </c>
      <c r="F659" s="404">
        <v>25</v>
      </c>
      <c r="G659" s="404">
        <v>124948</v>
      </c>
      <c r="H659" s="404" t="s">
        <v>9407</v>
      </c>
      <c r="I659" s="404" t="s">
        <v>2989</v>
      </c>
      <c r="J659" s="518">
        <v>2400</v>
      </c>
      <c r="K659" s="404">
        <v>54235</v>
      </c>
      <c r="M659" s="274">
        <v>25</v>
      </c>
      <c r="N659" s="274" t="s">
        <v>9353</v>
      </c>
      <c r="AF659" s="264"/>
    </row>
    <row r="660" spans="1:32" ht="14.25" customHeight="1">
      <c r="A660" s="404">
        <v>157627</v>
      </c>
      <c r="B660" s="404" t="s">
        <v>9124</v>
      </c>
      <c r="C660" s="443" t="s">
        <v>7984</v>
      </c>
      <c r="D660" s="518">
        <v>2620</v>
      </c>
      <c r="F660" s="404">
        <v>26</v>
      </c>
      <c r="G660" s="404">
        <v>61531</v>
      </c>
      <c r="H660" s="404" t="s">
        <v>8876</v>
      </c>
      <c r="I660" s="404" t="s">
        <v>5740</v>
      </c>
      <c r="J660" s="518">
        <v>2409.38</v>
      </c>
      <c r="K660" s="404">
        <v>54242</v>
      </c>
      <c r="M660" s="274">
        <v>26</v>
      </c>
      <c r="N660" s="274" t="s">
        <v>7545</v>
      </c>
      <c r="AF660" s="264"/>
    </row>
    <row r="661" spans="1:32" ht="14.25" customHeight="1">
      <c r="A661" s="404">
        <v>2668838</v>
      </c>
      <c r="B661" s="404" t="s">
        <v>9129</v>
      </c>
      <c r="C661" s="443" t="s">
        <v>4401</v>
      </c>
      <c r="D661" s="518">
        <v>79.600000000000009</v>
      </c>
      <c r="F661" s="404">
        <v>27</v>
      </c>
      <c r="G661" s="404">
        <v>157627</v>
      </c>
      <c r="H661" s="404" t="s">
        <v>9124</v>
      </c>
      <c r="I661" s="404" t="s">
        <v>7984</v>
      </c>
      <c r="J661" s="518">
        <v>2620</v>
      </c>
      <c r="K661" s="404">
        <v>54250</v>
      </c>
      <c r="M661" s="274">
        <v>27</v>
      </c>
      <c r="N661" s="274" t="s">
        <v>9330</v>
      </c>
      <c r="AF661" s="264"/>
    </row>
    <row r="662" spans="1:32" ht="14.25" customHeight="1">
      <c r="A662" s="404">
        <v>2982</v>
      </c>
      <c r="B662" s="404" t="s">
        <v>9133</v>
      </c>
      <c r="C662" s="443" t="s">
        <v>7826</v>
      </c>
      <c r="D662" s="518">
        <v>1016.4000000000001</v>
      </c>
      <c r="F662" s="404">
        <v>28</v>
      </c>
      <c r="G662" s="404">
        <v>250580</v>
      </c>
      <c r="H662" s="404" t="s">
        <v>9296</v>
      </c>
      <c r="I662" s="404" t="s">
        <v>7461</v>
      </c>
      <c r="J662" s="518">
        <v>2880</v>
      </c>
      <c r="K662" s="404">
        <v>54255</v>
      </c>
      <c r="M662" s="274">
        <v>28</v>
      </c>
      <c r="N662" s="274" t="s">
        <v>5740</v>
      </c>
      <c r="AF662" s="264"/>
    </row>
    <row r="663" spans="1:32" ht="14.25" customHeight="1">
      <c r="A663" s="404">
        <v>126</v>
      </c>
      <c r="B663" s="404" t="s">
        <v>9139</v>
      </c>
      <c r="C663" s="443" t="s">
        <v>7202</v>
      </c>
      <c r="D663" s="518">
        <v>99.98</v>
      </c>
      <c r="F663" s="404">
        <v>29</v>
      </c>
      <c r="G663" s="404">
        <v>25398</v>
      </c>
      <c r="H663" s="404" t="s">
        <v>9009</v>
      </c>
      <c r="I663" s="404" t="s">
        <v>7545</v>
      </c>
      <c r="J663" s="518">
        <v>3009</v>
      </c>
      <c r="K663" s="404">
        <v>54271</v>
      </c>
      <c r="M663" s="274">
        <v>29</v>
      </c>
      <c r="N663" s="274" t="s">
        <v>4398</v>
      </c>
      <c r="AF663" s="264"/>
    </row>
    <row r="664" spans="1:32" ht="14.25" customHeight="1">
      <c r="A664" s="404">
        <v>2667786</v>
      </c>
      <c r="B664" s="404" t="s">
        <v>9147</v>
      </c>
      <c r="C664" s="443" t="s">
        <v>4401</v>
      </c>
      <c r="D664" s="518">
        <v>18875</v>
      </c>
      <c r="F664" s="404">
        <v>30</v>
      </c>
      <c r="G664" s="404">
        <v>1690</v>
      </c>
      <c r="H664" s="404" t="s">
        <v>9383</v>
      </c>
      <c r="I664" s="404" t="s">
        <v>7283</v>
      </c>
      <c r="J664" s="518">
        <v>3300</v>
      </c>
      <c r="K664" s="404">
        <v>54280</v>
      </c>
      <c r="M664" s="274">
        <v>30</v>
      </c>
      <c r="N664" s="274" t="s">
        <v>3671</v>
      </c>
      <c r="AF664" s="264"/>
    </row>
    <row r="665" spans="1:32" ht="14.25" customHeight="1">
      <c r="A665" s="404">
        <v>5080</v>
      </c>
      <c r="B665" s="404" t="s">
        <v>9227</v>
      </c>
      <c r="C665" s="443" t="s">
        <v>9330</v>
      </c>
      <c r="D665" s="518">
        <v>128</v>
      </c>
      <c r="F665" s="404">
        <v>31</v>
      </c>
      <c r="G665" s="404">
        <v>1037</v>
      </c>
      <c r="H665" s="404" t="s">
        <v>8846</v>
      </c>
      <c r="I665" s="404" t="s">
        <v>3530</v>
      </c>
      <c r="J665" s="518">
        <v>3600</v>
      </c>
      <c r="K665" s="404">
        <v>54288</v>
      </c>
      <c r="M665" s="274">
        <v>31</v>
      </c>
      <c r="N665" s="274" t="s">
        <v>8923</v>
      </c>
      <c r="AF665" s="264"/>
    </row>
    <row r="666" spans="1:32" ht="14.25" customHeight="1">
      <c r="A666" s="404">
        <v>1024</v>
      </c>
      <c r="B666" s="404" t="s">
        <v>9233</v>
      </c>
      <c r="C666" s="443" t="s">
        <v>4358</v>
      </c>
      <c r="D666" s="518">
        <v>46.8</v>
      </c>
      <c r="F666" s="404">
        <v>32</v>
      </c>
      <c r="G666" s="404">
        <v>106341</v>
      </c>
      <c r="H666" s="404" t="s">
        <v>8986</v>
      </c>
      <c r="I666" s="404" t="s">
        <v>7549</v>
      </c>
      <c r="J666" s="518">
        <v>4140</v>
      </c>
      <c r="K666" s="404">
        <v>54299</v>
      </c>
      <c r="M666" s="274">
        <v>32</v>
      </c>
      <c r="N666" s="274" t="s">
        <v>7549</v>
      </c>
      <c r="AF666" s="264"/>
    </row>
    <row r="667" spans="1:32" ht="14.25" customHeight="1">
      <c r="A667" s="404">
        <v>6382</v>
      </c>
      <c r="B667" s="404" t="s">
        <v>9288</v>
      </c>
      <c r="C667" s="443" t="s">
        <v>8931</v>
      </c>
      <c r="D667" s="518">
        <v>2098</v>
      </c>
      <c r="F667" s="404">
        <v>33</v>
      </c>
      <c r="G667" s="404" t="s">
        <v>9488</v>
      </c>
      <c r="H667" s="404" t="s">
        <v>8843</v>
      </c>
      <c r="I667" s="404" t="s">
        <v>8252</v>
      </c>
      <c r="J667" s="518">
        <v>4185</v>
      </c>
      <c r="K667" s="404">
        <v>54305</v>
      </c>
      <c r="M667" s="274">
        <v>33</v>
      </c>
      <c r="N667" s="274" t="s">
        <v>4109</v>
      </c>
      <c r="AF667" s="264"/>
    </row>
    <row r="668" spans="1:32" ht="14.25" customHeight="1">
      <c r="A668" s="404">
        <v>250581</v>
      </c>
      <c r="B668" s="404" t="s">
        <v>9290</v>
      </c>
      <c r="C668" s="443" t="s">
        <v>7461</v>
      </c>
      <c r="D668" s="518">
        <v>270</v>
      </c>
      <c r="F668" s="404">
        <v>34</v>
      </c>
      <c r="G668" s="404">
        <v>436</v>
      </c>
      <c r="H668" s="404" t="s">
        <v>9090</v>
      </c>
      <c r="I668" s="404" t="s">
        <v>9183</v>
      </c>
      <c r="J668" s="518">
        <v>4979</v>
      </c>
      <c r="K668" s="404">
        <v>54603</v>
      </c>
      <c r="M668" s="274">
        <v>34</v>
      </c>
      <c r="N668" s="274" t="s">
        <v>7336</v>
      </c>
      <c r="AF668" s="264"/>
    </row>
    <row r="669" spans="1:32" ht="14.25" customHeight="1">
      <c r="A669" s="404">
        <v>250580</v>
      </c>
      <c r="B669" s="404" t="s">
        <v>9296</v>
      </c>
      <c r="C669" s="443" t="s">
        <v>7461</v>
      </c>
      <c r="D669" s="518">
        <v>2880</v>
      </c>
      <c r="F669" s="404">
        <v>35</v>
      </c>
      <c r="G669" s="404">
        <v>1034</v>
      </c>
      <c r="H669" s="404" t="s">
        <v>8847</v>
      </c>
      <c r="I669" s="404" t="s">
        <v>3530</v>
      </c>
      <c r="J669" s="518">
        <v>5040</v>
      </c>
      <c r="K669" s="404">
        <v>54625</v>
      </c>
      <c r="AF669" s="264"/>
    </row>
    <row r="670" spans="1:32" ht="14.25" customHeight="1">
      <c r="A670" s="404">
        <v>4</v>
      </c>
      <c r="B670" s="404" t="s">
        <v>9306</v>
      </c>
      <c r="C670" s="443" t="s">
        <v>9344</v>
      </c>
      <c r="D670" s="518">
        <v>5600.0000000000009</v>
      </c>
      <c r="F670" s="404">
        <v>36</v>
      </c>
      <c r="G670" s="404">
        <v>2665646</v>
      </c>
      <c r="H670" s="404" t="s">
        <v>9337</v>
      </c>
      <c r="I670" s="404" t="s">
        <v>4401</v>
      </c>
      <c r="J670" s="518">
        <v>6336</v>
      </c>
      <c r="K670" s="404">
        <v>54631</v>
      </c>
      <c r="AF670" s="264"/>
    </row>
    <row r="671" spans="1:32" ht="14.25" customHeight="1">
      <c r="A671" s="404">
        <v>250583</v>
      </c>
      <c r="B671" s="404" t="s">
        <v>9307</v>
      </c>
      <c r="C671" s="443" t="s">
        <v>7461</v>
      </c>
      <c r="D671" s="518">
        <v>1392</v>
      </c>
      <c r="F671" s="404">
        <v>37</v>
      </c>
      <c r="G671" s="404">
        <v>13078</v>
      </c>
      <c r="H671" s="404" t="s">
        <v>9316</v>
      </c>
      <c r="I671" s="404" t="s">
        <v>9353</v>
      </c>
      <c r="J671" s="518">
        <v>6375</v>
      </c>
      <c r="K671" s="404">
        <v>3296</v>
      </c>
      <c r="AF671" s="264"/>
    </row>
    <row r="672" spans="1:32" ht="14.25" customHeight="1">
      <c r="A672" s="404">
        <v>23056</v>
      </c>
      <c r="B672" s="404" t="s">
        <v>9308</v>
      </c>
      <c r="C672" s="443" t="s">
        <v>7336</v>
      </c>
      <c r="D672" s="518">
        <v>32400</v>
      </c>
      <c r="F672" s="404">
        <v>38</v>
      </c>
      <c r="G672" s="404">
        <v>465</v>
      </c>
      <c r="H672" s="404" t="s">
        <v>8657</v>
      </c>
      <c r="I672" s="404" t="s">
        <v>4433</v>
      </c>
      <c r="J672" s="518">
        <v>8400</v>
      </c>
      <c r="K672" s="404">
        <v>54633</v>
      </c>
      <c r="AF672" s="264"/>
    </row>
    <row r="673" spans="1:32" ht="14.25" customHeight="1">
      <c r="A673" s="404">
        <v>13078</v>
      </c>
      <c r="B673" s="404" t="s">
        <v>9316</v>
      </c>
      <c r="C673" s="443" t="s">
        <v>9353</v>
      </c>
      <c r="D673" s="518">
        <v>6375</v>
      </c>
      <c r="F673" s="404">
        <v>39</v>
      </c>
      <c r="G673" s="404">
        <v>2667786</v>
      </c>
      <c r="H673" s="404" t="s">
        <v>9147</v>
      </c>
      <c r="I673" s="404" t="s">
        <v>4401</v>
      </c>
      <c r="J673" s="518">
        <v>18875</v>
      </c>
      <c r="K673" s="404">
        <v>54650</v>
      </c>
      <c r="AF673" s="264"/>
    </row>
    <row r="674" spans="1:32" ht="14.25" customHeight="1">
      <c r="A674" s="404">
        <v>88302</v>
      </c>
      <c r="B674" s="404" t="s">
        <v>9318</v>
      </c>
      <c r="C674" s="443" t="s">
        <v>4109</v>
      </c>
      <c r="D674" s="518">
        <v>1200</v>
      </c>
      <c r="F674" s="404">
        <v>40</v>
      </c>
      <c r="G674" s="404">
        <v>550034</v>
      </c>
      <c r="H674" s="404" t="s">
        <v>9346</v>
      </c>
      <c r="I674" s="404" t="s">
        <v>7825</v>
      </c>
      <c r="J674" s="518">
        <v>24870</v>
      </c>
      <c r="K674" s="404">
        <v>54664</v>
      </c>
      <c r="AF674" s="264"/>
    </row>
    <row r="675" spans="1:32" ht="14.25" customHeight="1">
      <c r="A675" s="404">
        <v>1233726</v>
      </c>
      <c r="B675" s="404" t="s">
        <v>9327</v>
      </c>
      <c r="C675" s="443" t="s">
        <v>3663</v>
      </c>
      <c r="D675" s="518">
        <v>522.75</v>
      </c>
      <c r="F675" s="404">
        <v>41</v>
      </c>
      <c r="G675" s="404">
        <v>3394</v>
      </c>
      <c r="H675" s="404" t="s">
        <v>9091</v>
      </c>
      <c r="I675" s="404" t="s">
        <v>8923</v>
      </c>
      <c r="J675" s="518">
        <v>27920</v>
      </c>
      <c r="K675" s="404">
        <v>54674</v>
      </c>
      <c r="AF675" s="264"/>
    </row>
    <row r="676" spans="1:32" ht="14.25" customHeight="1">
      <c r="A676" s="404">
        <v>353683</v>
      </c>
      <c r="B676" s="404" t="s">
        <v>9335</v>
      </c>
      <c r="C676" s="443" t="s">
        <v>7371</v>
      </c>
      <c r="D676" s="518">
        <v>180</v>
      </c>
      <c r="F676" s="404"/>
      <c r="G676" s="404"/>
      <c r="H676" s="404"/>
      <c r="I676" s="405" t="s">
        <v>1876</v>
      </c>
      <c r="J676" s="406">
        <f>SUM(J631:J675)</f>
        <v>153512.85999999999</v>
      </c>
      <c r="K676" s="404"/>
      <c r="AF676" s="264"/>
    </row>
    <row r="677" spans="1:32" ht="14.25" customHeight="1">
      <c r="A677" s="404">
        <v>13330</v>
      </c>
      <c r="B677" s="404" t="s">
        <v>9336</v>
      </c>
      <c r="C677" s="443" t="s">
        <v>4379</v>
      </c>
      <c r="D677" s="518">
        <v>60</v>
      </c>
      <c r="F677" s="404">
        <v>42</v>
      </c>
      <c r="G677" s="404">
        <v>23056</v>
      </c>
      <c r="H677" s="404" t="s">
        <v>9308</v>
      </c>
      <c r="I677" s="404" t="s">
        <v>7336</v>
      </c>
      <c r="J677" s="518">
        <v>32400</v>
      </c>
      <c r="K677" s="404">
        <v>54678</v>
      </c>
      <c r="L677" s="274" t="s">
        <v>9666</v>
      </c>
      <c r="AF677" s="264"/>
    </row>
    <row r="678" spans="1:32" ht="14.25" customHeight="1">
      <c r="A678" s="404">
        <v>2665646</v>
      </c>
      <c r="B678" s="404" t="s">
        <v>9337</v>
      </c>
      <c r="C678" s="443" t="s">
        <v>4401</v>
      </c>
      <c r="D678" s="518">
        <v>6336</v>
      </c>
      <c r="F678" s="404"/>
      <c r="G678" s="404"/>
      <c r="H678" s="404"/>
      <c r="I678" s="404"/>
      <c r="J678" s="518"/>
      <c r="K678" s="404"/>
      <c r="AF678" s="264"/>
    </row>
    <row r="679" spans="1:32" ht="14.25" customHeight="1">
      <c r="A679" s="404">
        <v>148747</v>
      </c>
      <c r="B679" s="404" t="s">
        <v>9338</v>
      </c>
      <c r="C679" s="443" t="s">
        <v>5754</v>
      </c>
      <c r="D679" s="518">
        <v>348.5</v>
      </c>
      <c r="F679" s="404"/>
      <c r="G679" s="404">
        <v>30</v>
      </c>
      <c r="H679" s="404" t="s">
        <v>8441</v>
      </c>
      <c r="I679" s="404" t="s">
        <v>8893</v>
      </c>
      <c r="J679" s="518" t="s">
        <v>9636</v>
      </c>
      <c r="K679" s="404" t="s">
        <v>9637</v>
      </c>
      <c r="AF679" s="264"/>
    </row>
    <row r="680" spans="1:32" ht="14.25" customHeight="1">
      <c r="A680" s="404">
        <v>550034</v>
      </c>
      <c r="B680" s="404" t="s">
        <v>9346</v>
      </c>
      <c r="C680" s="443" t="s">
        <v>7825</v>
      </c>
      <c r="D680" s="518">
        <v>24870</v>
      </c>
      <c r="F680" s="404"/>
      <c r="G680" s="404" t="s">
        <v>9484</v>
      </c>
      <c r="H680" s="404" t="s">
        <v>8613</v>
      </c>
      <c r="I680" s="404" t="s">
        <v>8894</v>
      </c>
      <c r="J680" s="518" t="s">
        <v>9641</v>
      </c>
      <c r="K680" s="404" t="s">
        <v>9635</v>
      </c>
      <c r="AF680" s="264"/>
    </row>
    <row r="681" spans="1:32" ht="14.25" customHeight="1">
      <c r="A681" s="404">
        <v>742</v>
      </c>
      <c r="B681" s="404" t="s">
        <v>9348</v>
      </c>
      <c r="C681" s="443" t="s">
        <v>3671</v>
      </c>
      <c r="D681" s="518">
        <v>1179.9959999999999</v>
      </c>
      <c r="F681" s="404"/>
      <c r="G681" s="404">
        <v>4</v>
      </c>
      <c r="H681" s="404" t="s">
        <v>9306</v>
      </c>
      <c r="I681" s="404" t="s">
        <v>9344</v>
      </c>
      <c r="J681" s="523" t="s">
        <v>9638</v>
      </c>
      <c r="K681" s="404" t="s">
        <v>9639</v>
      </c>
      <c r="AF681" s="264"/>
    </row>
    <row r="682" spans="1:32" ht="14.25" customHeight="1">
      <c r="A682" s="404">
        <v>737</v>
      </c>
      <c r="B682" s="404" t="s">
        <v>9352</v>
      </c>
      <c r="C682" s="443" t="s">
        <v>3671</v>
      </c>
      <c r="D682" s="518">
        <v>400</v>
      </c>
      <c r="AF682" s="264"/>
    </row>
    <row r="683" spans="1:32" ht="14.25" customHeight="1">
      <c r="A683" s="404">
        <v>1690</v>
      </c>
      <c r="B683" s="404" t="s">
        <v>9383</v>
      </c>
      <c r="C683" s="443" t="s">
        <v>7283</v>
      </c>
      <c r="D683" s="518">
        <v>3300</v>
      </c>
      <c r="G683" s="419" t="s">
        <v>9411</v>
      </c>
      <c r="H683" s="419" t="s">
        <v>8760</v>
      </c>
      <c r="I683" s="420" t="s">
        <v>8899</v>
      </c>
      <c r="J683" s="421">
        <v>301.60000000000002</v>
      </c>
      <c r="K683" s="961" t="s">
        <v>9609</v>
      </c>
      <c r="AF683" s="264"/>
    </row>
    <row r="684" spans="1:32" ht="14.25" customHeight="1">
      <c r="A684" s="404">
        <v>5728</v>
      </c>
      <c r="B684" s="404" t="s">
        <v>9399</v>
      </c>
      <c r="C684" s="443" t="s">
        <v>8252</v>
      </c>
      <c r="D684" s="518">
        <v>1177.5</v>
      </c>
      <c r="G684" s="419" t="s">
        <v>9413</v>
      </c>
      <c r="H684" s="419" t="s">
        <v>8641</v>
      </c>
      <c r="I684" s="420" t="s">
        <v>8894</v>
      </c>
      <c r="J684" s="421">
        <v>5583.59</v>
      </c>
      <c r="K684" s="962"/>
      <c r="AF684" s="264"/>
    </row>
    <row r="685" spans="1:32" ht="14.25" customHeight="1">
      <c r="A685" s="404">
        <v>125363</v>
      </c>
      <c r="B685" s="404" t="s">
        <v>9403</v>
      </c>
      <c r="C685" s="443" t="s">
        <v>2989</v>
      </c>
      <c r="D685" s="518">
        <v>150</v>
      </c>
      <c r="G685" s="419" t="s">
        <v>9414</v>
      </c>
      <c r="H685" s="419" t="s">
        <v>8641</v>
      </c>
      <c r="I685" s="420" t="s">
        <v>8894</v>
      </c>
      <c r="J685" s="421">
        <v>5583.59</v>
      </c>
      <c r="K685" s="962"/>
      <c r="AF685" s="264"/>
    </row>
    <row r="686" spans="1:32" ht="14.25" customHeight="1">
      <c r="A686" s="404">
        <v>251266</v>
      </c>
      <c r="B686" s="404" t="s">
        <v>9405</v>
      </c>
      <c r="C686" s="443" t="s">
        <v>7461</v>
      </c>
      <c r="D686" s="518">
        <v>1160</v>
      </c>
      <c r="G686" s="419" t="s">
        <v>9412</v>
      </c>
      <c r="H686" s="419" t="s">
        <v>8641</v>
      </c>
      <c r="I686" s="420" t="s">
        <v>8894</v>
      </c>
      <c r="J686" s="421">
        <v>5583.59</v>
      </c>
      <c r="K686" s="962"/>
      <c r="L686" s="274" t="s">
        <v>9610</v>
      </c>
      <c r="AF686" s="264"/>
    </row>
    <row r="687" spans="1:32" ht="14.25" customHeight="1">
      <c r="A687" s="404">
        <v>124948</v>
      </c>
      <c r="B687" s="404" t="s">
        <v>9407</v>
      </c>
      <c r="C687" s="443" t="s">
        <v>2989</v>
      </c>
      <c r="D687" s="518">
        <v>2400</v>
      </c>
      <c r="G687" s="419" t="s">
        <v>9415</v>
      </c>
      <c r="H687" s="419" t="s">
        <v>8760</v>
      </c>
      <c r="I687" s="420" t="s">
        <v>8897</v>
      </c>
      <c r="J687" s="421">
        <v>598</v>
      </c>
      <c r="K687" s="963"/>
      <c r="AF687" s="264"/>
    </row>
    <row r="688" spans="1:32" ht="14.25" customHeight="1">
      <c r="A688" s="404">
        <v>1322931</v>
      </c>
      <c r="B688" s="404" t="s">
        <v>9425</v>
      </c>
      <c r="C688" s="443" t="s">
        <v>4398</v>
      </c>
      <c r="D688" s="518">
        <v>1998</v>
      </c>
      <c r="J688" s="520">
        <f>SUM(J683:J687)</f>
        <v>17650.370000000003</v>
      </c>
      <c r="AF688" s="264"/>
    </row>
    <row r="689" spans="1:33" ht="14.25" customHeight="1">
      <c r="A689" s="404"/>
      <c r="B689" s="404"/>
      <c r="C689" s="443"/>
      <c r="D689" s="519">
        <f>SUM(D635:D688)</f>
        <v>197069.89600000001</v>
      </c>
      <c r="AF689" s="264"/>
    </row>
    <row r="690" spans="1:33" ht="14.25" customHeight="1">
      <c r="I690" s="521"/>
      <c r="J690" s="522"/>
      <c r="AF690" s="264"/>
    </row>
    <row r="691" spans="1:33" ht="14.25" customHeight="1">
      <c r="AF691" s="264"/>
    </row>
    <row r="692" spans="1:33" ht="19.5" thickBot="1">
      <c r="C692" s="437"/>
      <c r="F692" s="404"/>
      <c r="G692" s="404"/>
      <c r="H692" s="404"/>
      <c r="I692" s="485">
        <v>44055</v>
      </c>
      <c r="J692" s="442" t="s">
        <v>9143</v>
      </c>
      <c r="K692" s="404"/>
      <c r="N692" s="385" t="s">
        <v>9707</v>
      </c>
      <c r="O692" s="386"/>
      <c r="P692" s="422" t="s">
        <v>7633</v>
      </c>
      <c r="AF692" s="264"/>
      <c r="AG692" s="264"/>
    </row>
    <row r="693" spans="1:33" ht="14.25" customHeight="1" thickTop="1">
      <c r="A693" s="280" t="s">
        <v>1844</v>
      </c>
      <c r="B693" s="280" t="s">
        <v>568</v>
      </c>
      <c r="C693" s="280" t="s">
        <v>0</v>
      </c>
      <c r="D693" s="280" t="s">
        <v>3669</v>
      </c>
      <c r="F693" s="340"/>
      <c r="G693" s="280" t="s">
        <v>1844</v>
      </c>
      <c r="H693" s="280" t="s">
        <v>568</v>
      </c>
      <c r="I693" s="281" t="s">
        <v>0</v>
      </c>
      <c r="J693" s="280" t="s">
        <v>3669</v>
      </c>
      <c r="K693" s="280" t="s">
        <v>2815</v>
      </c>
      <c r="N693" s="383" t="s">
        <v>2839</v>
      </c>
      <c r="O693" s="383" t="s">
        <v>2789</v>
      </c>
      <c r="P693" s="383" t="s">
        <v>1877</v>
      </c>
      <c r="Q693" s="190"/>
      <c r="T693" s="274"/>
      <c r="U693" s="438"/>
      <c r="AF693" s="264"/>
      <c r="AG693" s="264"/>
    </row>
    <row r="694" spans="1:33" ht="14.25" customHeight="1">
      <c r="A694" s="404">
        <v>479</v>
      </c>
      <c r="B694" s="404" t="s">
        <v>7765</v>
      </c>
      <c r="C694" s="443" t="s">
        <v>4433</v>
      </c>
      <c r="D694" s="518">
        <v>2450</v>
      </c>
      <c r="F694" s="404">
        <v>1</v>
      </c>
      <c r="G694" s="404" t="s">
        <v>9779</v>
      </c>
      <c r="H694" s="404" t="s">
        <v>8613</v>
      </c>
      <c r="I694" s="404" t="s">
        <v>7624</v>
      </c>
      <c r="J694" s="518">
        <v>52.5</v>
      </c>
      <c r="K694" s="404">
        <v>3297</v>
      </c>
      <c r="L694" s="527"/>
      <c r="M694" s="274">
        <v>1</v>
      </c>
      <c r="N694" s="274" t="s">
        <v>4379</v>
      </c>
      <c r="AF694" s="264"/>
    </row>
    <row r="695" spans="1:33" ht="14.25" customHeight="1">
      <c r="A695" s="404">
        <v>479</v>
      </c>
      <c r="B695" s="404" t="s">
        <v>7765</v>
      </c>
      <c r="C695" s="443" t="s">
        <v>4433</v>
      </c>
      <c r="D695" s="518">
        <v>2450</v>
      </c>
      <c r="F695" s="404">
        <v>2</v>
      </c>
      <c r="G695" s="404">
        <v>2686313</v>
      </c>
      <c r="H695" s="404" t="s">
        <v>9446</v>
      </c>
      <c r="I695" s="404" t="s">
        <v>4401</v>
      </c>
      <c r="J695" s="518">
        <v>75</v>
      </c>
      <c r="K695" s="404">
        <v>63295</v>
      </c>
      <c r="L695" s="527"/>
      <c r="M695" s="274">
        <v>2</v>
      </c>
      <c r="N695" s="274" t="s">
        <v>8252</v>
      </c>
      <c r="AF695" s="264"/>
    </row>
    <row r="696" spans="1:33" ht="14.25" customHeight="1">
      <c r="A696" s="404">
        <v>479</v>
      </c>
      <c r="B696" s="404" t="s">
        <v>7765</v>
      </c>
      <c r="C696" s="443" t="s">
        <v>4433</v>
      </c>
      <c r="D696" s="518">
        <v>2450</v>
      </c>
      <c r="F696" s="404">
        <v>3</v>
      </c>
      <c r="G696" s="404">
        <v>476</v>
      </c>
      <c r="H696" s="404" t="s">
        <v>8907</v>
      </c>
      <c r="I696" s="404" t="s">
        <v>4433</v>
      </c>
      <c r="J696" s="518">
        <v>110</v>
      </c>
      <c r="K696" s="404">
        <v>63297</v>
      </c>
      <c r="L696" s="527"/>
      <c r="M696" s="274">
        <v>3</v>
      </c>
      <c r="N696" s="274" t="s">
        <v>8894</v>
      </c>
      <c r="AF696" s="264"/>
    </row>
    <row r="697" spans="1:33" ht="14.25" customHeight="1">
      <c r="A697" s="404">
        <v>25698</v>
      </c>
      <c r="B697" s="404" t="s">
        <v>8179</v>
      </c>
      <c r="C697" s="443" t="s">
        <v>7545</v>
      </c>
      <c r="D697" s="518">
        <v>5850</v>
      </c>
      <c r="F697" s="404">
        <v>4</v>
      </c>
      <c r="G697" s="404">
        <v>358645</v>
      </c>
      <c r="H697" s="404" t="s">
        <v>9496</v>
      </c>
      <c r="I697" s="404" t="s">
        <v>7371</v>
      </c>
      <c r="J697" s="518">
        <v>252</v>
      </c>
      <c r="K697" s="404">
        <v>63301</v>
      </c>
      <c r="L697" s="527"/>
      <c r="M697" s="274">
        <v>4</v>
      </c>
      <c r="N697" s="274" t="s">
        <v>9584</v>
      </c>
      <c r="AF697" s="264"/>
    </row>
    <row r="698" spans="1:33" ht="14.25" customHeight="1">
      <c r="A698" s="404">
        <v>127</v>
      </c>
      <c r="B698" s="404" t="s">
        <v>8360</v>
      </c>
      <c r="C698" s="443" t="s">
        <v>8890</v>
      </c>
      <c r="D698" s="518">
        <v>7598</v>
      </c>
      <c r="F698" s="404">
        <v>5</v>
      </c>
      <c r="G698" s="404">
        <v>13731</v>
      </c>
      <c r="H698" s="404" t="s">
        <v>9294</v>
      </c>
      <c r="I698" s="404" t="s">
        <v>4379</v>
      </c>
      <c r="J698" s="518">
        <v>300</v>
      </c>
      <c r="K698" s="404">
        <v>63310</v>
      </c>
      <c r="L698" s="527"/>
      <c r="M698" s="274">
        <v>5</v>
      </c>
      <c r="N698" s="274" t="s">
        <v>2989</v>
      </c>
      <c r="AF698" s="264"/>
    </row>
    <row r="699" spans="1:33" ht="14.25" customHeight="1">
      <c r="A699" s="404">
        <v>127</v>
      </c>
      <c r="B699" s="404" t="s">
        <v>8360</v>
      </c>
      <c r="C699" s="443" t="s">
        <v>8890</v>
      </c>
      <c r="D699" s="518">
        <v>7598</v>
      </c>
      <c r="F699" s="404">
        <v>6</v>
      </c>
      <c r="G699" s="404">
        <v>13959</v>
      </c>
      <c r="H699" s="404" t="s">
        <v>9515</v>
      </c>
      <c r="I699" s="404" t="s">
        <v>4379</v>
      </c>
      <c r="J699" s="518">
        <v>330</v>
      </c>
      <c r="K699" s="404">
        <v>63313</v>
      </c>
      <c r="L699" s="527"/>
      <c r="M699" s="274">
        <v>6</v>
      </c>
      <c r="N699" s="274" t="s">
        <v>8556</v>
      </c>
      <c r="AF699" s="264"/>
    </row>
    <row r="700" spans="1:33" ht="14.25" customHeight="1">
      <c r="A700" s="404">
        <v>127</v>
      </c>
      <c r="B700" s="404" t="s">
        <v>8360</v>
      </c>
      <c r="C700" s="443" t="s">
        <v>8890</v>
      </c>
      <c r="D700" s="518">
        <v>7598</v>
      </c>
      <c r="F700" s="404">
        <v>7</v>
      </c>
      <c r="G700" s="404">
        <v>8417</v>
      </c>
      <c r="H700" s="404" t="s">
        <v>9571</v>
      </c>
      <c r="I700" s="404" t="s">
        <v>9608</v>
      </c>
      <c r="J700" s="518">
        <v>380</v>
      </c>
      <c r="K700" s="404">
        <v>63320</v>
      </c>
      <c r="L700" s="527"/>
      <c r="M700" s="274">
        <v>7</v>
      </c>
      <c r="N700" s="274" t="s">
        <v>3663</v>
      </c>
      <c r="AF700" s="264"/>
    </row>
    <row r="701" spans="1:33" ht="14.25" customHeight="1">
      <c r="A701" s="404">
        <v>127</v>
      </c>
      <c r="B701" s="404" t="s">
        <v>8360</v>
      </c>
      <c r="C701" s="443" t="s">
        <v>8890</v>
      </c>
      <c r="D701" s="518">
        <v>7598</v>
      </c>
      <c r="F701" s="404">
        <v>8</v>
      </c>
      <c r="G701" s="404">
        <v>1748</v>
      </c>
      <c r="H701" s="404" t="s">
        <v>8530</v>
      </c>
      <c r="I701" s="404" t="s">
        <v>4357</v>
      </c>
      <c r="J701" s="518">
        <v>519</v>
      </c>
      <c r="K701" s="404">
        <v>63328</v>
      </c>
      <c r="L701" s="527"/>
      <c r="M701" s="274">
        <v>8</v>
      </c>
      <c r="N701" s="274" t="s">
        <v>8694</v>
      </c>
      <c r="AF701" s="264"/>
    </row>
    <row r="702" spans="1:33" ht="14.25" customHeight="1">
      <c r="A702" s="404">
        <v>127</v>
      </c>
      <c r="B702" s="404" t="s">
        <v>8360</v>
      </c>
      <c r="C702" s="443" t="s">
        <v>8890</v>
      </c>
      <c r="D702" s="518">
        <v>7598</v>
      </c>
      <c r="F702" s="404">
        <v>9</v>
      </c>
      <c r="G702" s="404">
        <v>155385</v>
      </c>
      <c r="H702" s="404" t="s">
        <v>9385</v>
      </c>
      <c r="I702" s="404" t="s">
        <v>9471</v>
      </c>
      <c r="J702" s="518">
        <v>567</v>
      </c>
      <c r="K702" s="404">
        <v>63333</v>
      </c>
      <c r="L702" s="527"/>
      <c r="M702" s="274">
        <v>9</v>
      </c>
      <c r="N702" s="274" t="s">
        <v>9344</v>
      </c>
      <c r="AF702" s="264"/>
    </row>
    <row r="703" spans="1:33" ht="14.25" customHeight="1">
      <c r="A703" s="404">
        <v>30</v>
      </c>
      <c r="B703" s="404" t="s">
        <v>8441</v>
      </c>
      <c r="C703" s="443" t="s">
        <v>8893</v>
      </c>
      <c r="D703" s="518">
        <v>1560</v>
      </c>
      <c r="F703" s="404">
        <v>10</v>
      </c>
      <c r="G703" s="404">
        <v>3070</v>
      </c>
      <c r="H703" s="404" t="s">
        <v>9475</v>
      </c>
      <c r="I703" s="404" t="s">
        <v>7826</v>
      </c>
      <c r="J703" s="518">
        <v>738</v>
      </c>
      <c r="K703" s="404">
        <v>63350</v>
      </c>
      <c r="L703" s="527"/>
      <c r="M703" s="274">
        <v>10</v>
      </c>
      <c r="N703" s="274" t="s">
        <v>4401</v>
      </c>
      <c r="AF703" s="264"/>
    </row>
    <row r="704" spans="1:33" ht="14.25" customHeight="1">
      <c r="A704" s="404">
        <v>5730</v>
      </c>
      <c r="B704" s="404" t="s">
        <v>8448</v>
      </c>
      <c r="C704" s="443" t="s">
        <v>8252</v>
      </c>
      <c r="D704" s="518">
        <v>5708.9</v>
      </c>
      <c r="F704" s="404">
        <v>11</v>
      </c>
      <c r="G704" s="404">
        <v>555375</v>
      </c>
      <c r="H704" s="404" t="s">
        <v>9448</v>
      </c>
      <c r="I704" s="404" t="s">
        <v>7825</v>
      </c>
      <c r="J704" s="518">
        <v>980</v>
      </c>
      <c r="K704" s="404">
        <v>63367</v>
      </c>
      <c r="L704" s="527"/>
      <c r="M704" s="274">
        <v>11</v>
      </c>
      <c r="N704" s="274" t="s">
        <v>4433</v>
      </c>
      <c r="AF704" s="264"/>
    </row>
    <row r="705" spans="1:32" ht="14.25" customHeight="1">
      <c r="A705" s="404">
        <v>5730</v>
      </c>
      <c r="B705" s="404" t="s">
        <v>8448</v>
      </c>
      <c r="C705" s="443" t="s">
        <v>8252</v>
      </c>
      <c r="D705" s="518">
        <v>4389.8999999999996</v>
      </c>
      <c r="F705" s="404">
        <v>12</v>
      </c>
      <c r="G705" s="404">
        <v>24079</v>
      </c>
      <c r="H705" s="404" t="s">
        <v>9567</v>
      </c>
      <c r="I705" s="404" t="s">
        <v>7472</v>
      </c>
      <c r="J705" s="518">
        <v>1050</v>
      </c>
      <c r="K705" s="404">
        <v>63385</v>
      </c>
      <c r="L705" s="527"/>
      <c r="M705" s="274">
        <v>12</v>
      </c>
      <c r="N705" s="274" t="s">
        <v>9471</v>
      </c>
      <c r="AF705" s="264"/>
    </row>
    <row r="706" spans="1:32" ht="14.25" customHeight="1">
      <c r="A706" s="404">
        <v>5730</v>
      </c>
      <c r="B706" s="404" t="s">
        <v>8448</v>
      </c>
      <c r="C706" s="443" t="s">
        <v>8252</v>
      </c>
      <c r="D706" s="518">
        <v>4885.6499999999996</v>
      </c>
      <c r="F706" s="404">
        <v>13</v>
      </c>
      <c r="G706" s="404">
        <v>127315</v>
      </c>
      <c r="H706" s="404" t="s">
        <v>9490</v>
      </c>
      <c r="I706" s="404" t="s">
        <v>2989</v>
      </c>
      <c r="J706" s="518">
        <v>1080</v>
      </c>
      <c r="K706" s="404">
        <v>63390</v>
      </c>
      <c r="L706" s="527"/>
      <c r="M706" s="274">
        <v>13</v>
      </c>
      <c r="N706" s="274" t="s">
        <v>3407</v>
      </c>
      <c r="AF706" s="264"/>
    </row>
    <row r="707" spans="1:32" ht="14.25" customHeight="1">
      <c r="A707" s="404">
        <v>1748</v>
      </c>
      <c r="B707" s="404" t="s">
        <v>8530</v>
      </c>
      <c r="C707" s="443" t="s">
        <v>4357</v>
      </c>
      <c r="D707" s="518">
        <v>519</v>
      </c>
      <c r="F707" s="404">
        <v>14</v>
      </c>
      <c r="G707" s="404">
        <v>1359</v>
      </c>
      <c r="H707" s="404" t="s">
        <v>9492</v>
      </c>
      <c r="I707" s="404" t="s">
        <v>7392</v>
      </c>
      <c r="J707" s="518">
        <v>1080</v>
      </c>
      <c r="K707" s="404">
        <v>63413</v>
      </c>
      <c r="L707" s="527"/>
      <c r="M707" s="274">
        <v>14</v>
      </c>
      <c r="N707" s="274" t="s">
        <v>3530</v>
      </c>
      <c r="AF707" s="264"/>
    </row>
    <row r="708" spans="1:32" ht="14.25" customHeight="1">
      <c r="A708" s="404" t="s">
        <v>9484</v>
      </c>
      <c r="B708" s="404" t="s">
        <v>8613</v>
      </c>
      <c r="C708" s="443" t="s">
        <v>8894</v>
      </c>
      <c r="D708" s="518">
        <v>3944.54</v>
      </c>
      <c r="F708" s="404">
        <v>15</v>
      </c>
      <c r="G708" s="404">
        <v>9276</v>
      </c>
      <c r="H708" s="404" t="s">
        <v>9601</v>
      </c>
      <c r="I708" s="404" t="s">
        <v>4432</v>
      </c>
      <c r="J708" s="518">
        <v>1155</v>
      </c>
      <c r="K708" s="404">
        <v>63425</v>
      </c>
      <c r="L708" s="527"/>
      <c r="M708" s="274">
        <v>15</v>
      </c>
      <c r="N708" s="274" t="s">
        <v>7268</v>
      </c>
      <c r="AF708" s="264"/>
    </row>
    <row r="709" spans="1:32" ht="14.25" customHeight="1">
      <c r="A709" s="404" t="s">
        <v>9779</v>
      </c>
      <c r="B709" s="404" t="s">
        <v>8613</v>
      </c>
      <c r="C709" s="443" t="s">
        <v>7624</v>
      </c>
      <c r="D709" s="518">
        <v>52.5</v>
      </c>
      <c r="F709" s="404">
        <v>16</v>
      </c>
      <c r="G709" s="404">
        <v>1098</v>
      </c>
      <c r="H709" s="404" t="s">
        <v>9410</v>
      </c>
      <c r="I709" s="404" t="s">
        <v>3530</v>
      </c>
      <c r="J709" s="518">
        <v>1260</v>
      </c>
      <c r="K709" s="404">
        <v>63435</v>
      </c>
      <c r="L709" s="527"/>
      <c r="M709" s="274">
        <v>16</v>
      </c>
      <c r="N709" s="274" t="s">
        <v>4357</v>
      </c>
      <c r="AF709" s="264"/>
    </row>
    <row r="710" spans="1:32" ht="14.25" customHeight="1">
      <c r="A710" s="404">
        <v>339530</v>
      </c>
      <c r="B710" s="404" t="s">
        <v>8629</v>
      </c>
      <c r="C710" s="443" t="s">
        <v>8696</v>
      </c>
      <c r="D710" s="518">
        <v>1560</v>
      </c>
      <c r="F710" s="404">
        <v>17</v>
      </c>
      <c r="G710" s="404">
        <v>13693</v>
      </c>
      <c r="H710" s="404" t="s">
        <v>9460</v>
      </c>
      <c r="I710" s="404" t="s">
        <v>4379</v>
      </c>
      <c r="J710" s="518">
        <v>1260</v>
      </c>
      <c r="K710" s="404">
        <v>63441</v>
      </c>
      <c r="L710" s="527"/>
      <c r="M710" s="274">
        <v>17</v>
      </c>
      <c r="N710" s="274" t="s">
        <v>9190</v>
      </c>
      <c r="AF710" s="264"/>
    </row>
    <row r="711" spans="1:32" ht="14.25" customHeight="1">
      <c r="A711" s="404">
        <v>481</v>
      </c>
      <c r="B711" s="404" t="s">
        <v>8667</v>
      </c>
      <c r="C711" s="443" t="s">
        <v>4433</v>
      </c>
      <c r="D711" s="518">
        <v>4200</v>
      </c>
      <c r="F711" s="404">
        <v>18</v>
      </c>
      <c r="G711" s="404">
        <v>2691166</v>
      </c>
      <c r="H711" s="404" t="s">
        <v>9509</v>
      </c>
      <c r="I711" s="404" t="s">
        <v>4401</v>
      </c>
      <c r="J711" s="518">
        <v>1400</v>
      </c>
      <c r="K711" s="404">
        <v>63456</v>
      </c>
      <c r="L711" s="527"/>
      <c r="M711" s="274">
        <v>18</v>
      </c>
      <c r="N711" s="274" t="s">
        <v>7371</v>
      </c>
      <c r="AF711" s="264"/>
    </row>
    <row r="712" spans="1:32" ht="14.25" customHeight="1">
      <c r="A712" s="404">
        <v>476</v>
      </c>
      <c r="B712" s="404" t="s">
        <v>8907</v>
      </c>
      <c r="C712" s="443" t="s">
        <v>4433</v>
      </c>
      <c r="D712" s="518">
        <v>110</v>
      </c>
      <c r="F712" s="404">
        <v>19</v>
      </c>
      <c r="G712" s="404">
        <v>30</v>
      </c>
      <c r="H712" s="404" t="s">
        <v>8441</v>
      </c>
      <c r="I712" s="404" t="s">
        <v>8893</v>
      </c>
      <c r="J712" s="518">
        <v>1560</v>
      </c>
      <c r="K712" s="404">
        <v>63464</v>
      </c>
      <c r="L712" s="527"/>
      <c r="M712" s="274">
        <v>19</v>
      </c>
      <c r="N712" s="274" t="s">
        <v>8893</v>
      </c>
      <c r="AF712" s="264"/>
    </row>
    <row r="713" spans="1:32" ht="14.25" customHeight="1">
      <c r="A713" s="404">
        <v>34617</v>
      </c>
      <c r="B713" s="404" t="s">
        <v>9092</v>
      </c>
      <c r="C713" s="443" t="s">
        <v>8694</v>
      </c>
      <c r="D713" s="518">
        <v>1720</v>
      </c>
      <c r="F713" s="404">
        <v>20</v>
      </c>
      <c r="G713" s="404">
        <v>339530</v>
      </c>
      <c r="H713" s="404" t="s">
        <v>8629</v>
      </c>
      <c r="I713" s="404" t="s">
        <v>8696</v>
      </c>
      <c r="J713" s="518">
        <v>1560</v>
      </c>
      <c r="K713" s="404">
        <v>63483</v>
      </c>
      <c r="L713" s="527"/>
      <c r="M713" s="274">
        <v>20</v>
      </c>
      <c r="N713" s="274" t="s">
        <v>7826</v>
      </c>
      <c r="AF713" s="264"/>
    </row>
    <row r="714" spans="1:32" ht="14.25" customHeight="1">
      <c r="A714" s="404">
        <v>88935</v>
      </c>
      <c r="B714" s="404" t="s">
        <v>9092</v>
      </c>
      <c r="C714" s="443" t="s">
        <v>9190</v>
      </c>
      <c r="D714" s="518">
        <v>2200</v>
      </c>
      <c r="F714" s="404">
        <v>21</v>
      </c>
      <c r="G714" s="404">
        <v>904</v>
      </c>
      <c r="H714" s="404" t="s">
        <v>9454</v>
      </c>
      <c r="I714" s="404" t="s">
        <v>3407</v>
      </c>
      <c r="J714" s="518">
        <v>1747.5</v>
      </c>
      <c r="K714" s="404">
        <v>63494</v>
      </c>
      <c r="L714" s="527"/>
      <c r="M714" s="274">
        <v>21</v>
      </c>
      <c r="N714" s="274" t="s">
        <v>7825</v>
      </c>
      <c r="AF714" s="264"/>
    </row>
    <row r="715" spans="1:32" ht="14.25" customHeight="1">
      <c r="A715" s="404">
        <v>88935</v>
      </c>
      <c r="B715" s="404" t="s">
        <v>9092</v>
      </c>
      <c r="C715" s="443" t="s">
        <v>9190</v>
      </c>
      <c r="D715" s="518">
        <v>2200</v>
      </c>
      <c r="F715" s="404">
        <v>22</v>
      </c>
      <c r="G715" s="404">
        <v>555395</v>
      </c>
      <c r="H715" s="404" t="s">
        <v>9444</v>
      </c>
      <c r="I715" s="404" t="s">
        <v>7825</v>
      </c>
      <c r="J715" s="518">
        <v>2218.8000000000002</v>
      </c>
      <c r="K715" s="404">
        <v>63504</v>
      </c>
      <c r="L715" s="527"/>
      <c r="M715" s="274">
        <v>22</v>
      </c>
      <c r="N715" s="274" t="s">
        <v>7545</v>
      </c>
      <c r="AF715" s="264"/>
    </row>
    <row r="716" spans="1:32" ht="14.25" customHeight="1">
      <c r="A716" s="404">
        <v>34617</v>
      </c>
      <c r="B716" s="404" t="s">
        <v>9092</v>
      </c>
      <c r="C716" s="443" t="s">
        <v>8694</v>
      </c>
      <c r="D716" s="518">
        <v>1500</v>
      </c>
      <c r="F716" s="404">
        <v>23</v>
      </c>
      <c r="G716" s="404">
        <v>1750</v>
      </c>
      <c r="H716" s="404" t="s">
        <v>9643</v>
      </c>
      <c r="I716" s="404" t="s">
        <v>4357</v>
      </c>
      <c r="J716" s="518">
        <v>2412</v>
      </c>
      <c r="K716" s="404">
        <v>63512</v>
      </c>
      <c r="L716" s="527"/>
      <c r="M716" s="274">
        <v>23</v>
      </c>
      <c r="N716" s="274" t="s">
        <v>9279</v>
      </c>
      <c r="AF716" s="264"/>
    </row>
    <row r="717" spans="1:32" ht="14.25" customHeight="1">
      <c r="A717" s="404">
        <v>5346</v>
      </c>
      <c r="B717" s="404" t="s">
        <v>9118</v>
      </c>
      <c r="C717" s="443" t="s">
        <v>9279</v>
      </c>
      <c r="D717" s="518">
        <v>4608</v>
      </c>
      <c r="F717" s="404">
        <v>24</v>
      </c>
      <c r="G717" s="404">
        <v>49557</v>
      </c>
      <c r="H717" s="404" t="s">
        <v>9397</v>
      </c>
      <c r="I717" s="404" t="s">
        <v>8894</v>
      </c>
      <c r="J717" s="518">
        <v>2505.6</v>
      </c>
      <c r="K717" s="404">
        <v>63517</v>
      </c>
      <c r="L717" s="527"/>
      <c r="M717" s="274">
        <v>24</v>
      </c>
      <c r="N717" s="274" t="s">
        <v>8696</v>
      </c>
      <c r="AF717" s="264"/>
    </row>
    <row r="718" spans="1:32" ht="14.25" customHeight="1">
      <c r="A718" s="404">
        <v>100492</v>
      </c>
      <c r="B718" s="404" t="s">
        <v>9122</v>
      </c>
      <c r="C718" s="443" t="s">
        <v>8556</v>
      </c>
      <c r="D718" s="518">
        <v>2995</v>
      </c>
      <c r="F718" s="404">
        <v>25</v>
      </c>
      <c r="G718" s="404">
        <v>6</v>
      </c>
      <c r="H718" s="404" t="s">
        <v>9306</v>
      </c>
      <c r="I718" s="404" t="s">
        <v>9344</v>
      </c>
      <c r="J718" s="518">
        <v>2800</v>
      </c>
      <c r="K718" s="404" t="e">
        <v>#N/A</v>
      </c>
      <c r="L718" s="404" t="s">
        <v>9783</v>
      </c>
      <c r="M718" s="274">
        <v>25</v>
      </c>
      <c r="N718" s="274" t="s">
        <v>7896</v>
      </c>
      <c r="AF718" s="264"/>
    </row>
    <row r="719" spans="1:32" ht="14.25" customHeight="1">
      <c r="A719" s="404">
        <v>13731</v>
      </c>
      <c r="B719" s="404" t="s">
        <v>9294</v>
      </c>
      <c r="C719" s="443" t="s">
        <v>4379</v>
      </c>
      <c r="D719" s="518">
        <v>300</v>
      </c>
      <c r="F719" s="404">
        <v>26</v>
      </c>
      <c r="G719" s="495">
        <v>6</v>
      </c>
      <c r="H719" s="495" t="s">
        <v>9306</v>
      </c>
      <c r="I719" s="495" t="s">
        <v>9344</v>
      </c>
      <c r="J719" s="526">
        <v>2800.0000000000005</v>
      </c>
      <c r="K719" s="495" t="s">
        <v>9783</v>
      </c>
      <c r="L719" s="527"/>
      <c r="M719" s="274">
        <v>26</v>
      </c>
      <c r="N719" s="274" t="s">
        <v>4398</v>
      </c>
      <c r="AF719" s="264"/>
    </row>
    <row r="720" spans="1:32" ht="14.25" customHeight="1">
      <c r="A720" s="404">
        <v>6</v>
      </c>
      <c r="B720" s="404" t="s">
        <v>9306</v>
      </c>
      <c r="C720" s="443" t="s">
        <v>9344</v>
      </c>
      <c r="D720" s="518">
        <v>2800.0000000000005</v>
      </c>
      <c r="F720" s="404">
        <v>27</v>
      </c>
      <c r="G720" s="404">
        <v>100492</v>
      </c>
      <c r="H720" s="404" t="s">
        <v>9122</v>
      </c>
      <c r="I720" s="404" t="s">
        <v>8556</v>
      </c>
      <c r="J720" s="518">
        <v>2995</v>
      </c>
      <c r="K720" s="404">
        <v>63522</v>
      </c>
      <c r="L720" s="527"/>
      <c r="M720" s="274">
        <v>27</v>
      </c>
      <c r="N720" s="274" t="s">
        <v>9608</v>
      </c>
      <c r="AF720" s="264"/>
    </row>
    <row r="721" spans="1:32" ht="14.25" customHeight="1">
      <c r="A721" s="404">
        <v>2681394</v>
      </c>
      <c r="B721" s="404" t="s">
        <v>9329</v>
      </c>
      <c r="C721" s="443" t="s">
        <v>4401</v>
      </c>
      <c r="D721" s="518">
        <v>11040</v>
      </c>
      <c r="F721" s="404">
        <v>28</v>
      </c>
      <c r="G721" s="404">
        <v>34617</v>
      </c>
      <c r="H721" s="404" t="s">
        <v>9092</v>
      </c>
      <c r="I721" s="404" t="s">
        <v>8694</v>
      </c>
      <c r="J721" s="518">
        <v>3220</v>
      </c>
      <c r="K721" s="404">
        <v>63527</v>
      </c>
      <c r="L721" s="527"/>
      <c r="M721" s="274">
        <v>28</v>
      </c>
      <c r="N721" s="274" t="s">
        <v>4432</v>
      </c>
      <c r="AF721" s="264"/>
    </row>
    <row r="722" spans="1:32" ht="14.25" customHeight="1">
      <c r="A722" s="404">
        <v>155385</v>
      </c>
      <c r="B722" s="404" t="s">
        <v>9385</v>
      </c>
      <c r="C722" s="443" t="s">
        <v>9471</v>
      </c>
      <c r="D722" s="518">
        <v>567</v>
      </c>
      <c r="F722" s="404">
        <v>29</v>
      </c>
      <c r="G722" s="404">
        <v>1658</v>
      </c>
      <c r="H722" s="404" t="s">
        <v>9503</v>
      </c>
      <c r="I722" s="404" t="s">
        <v>9584</v>
      </c>
      <c r="J722" s="518">
        <v>3400</v>
      </c>
      <c r="K722" s="404">
        <v>63703</v>
      </c>
      <c r="L722" s="527"/>
      <c r="M722" s="274">
        <v>29</v>
      </c>
      <c r="N722" s="274" t="s">
        <v>8890</v>
      </c>
      <c r="AF722" s="264"/>
    </row>
    <row r="723" spans="1:32" ht="14.25" customHeight="1">
      <c r="A723" s="404">
        <v>49557</v>
      </c>
      <c r="B723" s="404" t="s">
        <v>9397</v>
      </c>
      <c r="C723" s="443" t="s">
        <v>8894</v>
      </c>
      <c r="D723" s="518">
        <v>2160</v>
      </c>
      <c r="F723" s="404">
        <v>30</v>
      </c>
      <c r="G723" s="404" t="s">
        <v>9484</v>
      </c>
      <c r="H723" s="404" t="s">
        <v>8613</v>
      </c>
      <c r="I723" s="404" t="s">
        <v>8894</v>
      </c>
      <c r="J723" s="518">
        <v>3944.54</v>
      </c>
      <c r="K723" s="404">
        <v>63536</v>
      </c>
      <c r="L723" s="527"/>
      <c r="M723" s="274">
        <v>30</v>
      </c>
      <c r="N723" s="274" t="s">
        <v>7392</v>
      </c>
      <c r="AF723" s="264"/>
    </row>
    <row r="724" spans="1:32" ht="14.25" customHeight="1">
      <c r="A724" s="404">
        <v>49557</v>
      </c>
      <c r="B724" s="404" t="s">
        <v>9397</v>
      </c>
      <c r="C724" s="443" t="s">
        <v>8894</v>
      </c>
      <c r="D724" s="518">
        <v>345.6</v>
      </c>
      <c r="F724" s="404">
        <v>31</v>
      </c>
      <c r="G724" s="404">
        <v>481</v>
      </c>
      <c r="H724" s="404" t="s">
        <v>8667</v>
      </c>
      <c r="I724" s="404" t="s">
        <v>4433</v>
      </c>
      <c r="J724" s="518">
        <v>4200</v>
      </c>
      <c r="K724" s="404">
        <v>63706</v>
      </c>
      <c r="L724" s="527"/>
      <c r="M724" s="274">
        <v>31</v>
      </c>
      <c r="N724" s="274" t="s">
        <v>7472</v>
      </c>
      <c r="AF724" s="264"/>
    </row>
    <row r="725" spans="1:32" ht="14.25" customHeight="1">
      <c r="A725" s="404">
        <v>1098</v>
      </c>
      <c r="B725" s="404" t="s">
        <v>9410</v>
      </c>
      <c r="C725" s="443" t="s">
        <v>3530</v>
      </c>
      <c r="D725" s="518">
        <v>1260</v>
      </c>
      <c r="F725" s="404">
        <v>32</v>
      </c>
      <c r="G725" s="404">
        <v>88935</v>
      </c>
      <c r="H725" s="404" t="s">
        <v>9092</v>
      </c>
      <c r="I725" s="404" t="s">
        <v>9190</v>
      </c>
      <c r="J725" s="518">
        <v>4400</v>
      </c>
      <c r="K725" s="404">
        <v>63709</v>
      </c>
      <c r="L725" s="527"/>
      <c r="AF725" s="264"/>
    </row>
    <row r="726" spans="1:32" ht="14.25" customHeight="1">
      <c r="A726" s="404">
        <v>555395</v>
      </c>
      <c r="B726" s="404" t="s">
        <v>9444</v>
      </c>
      <c r="C726" s="443" t="s">
        <v>7825</v>
      </c>
      <c r="D726" s="518">
        <v>2218.8000000000002</v>
      </c>
      <c r="F726" s="404">
        <v>33</v>
      </c>
      <c r="G726" s="404">
        <v>5346</v>
      </c>
      <c r="H726" s="404" t="s">
        <v>9118</v>
      </c>
      <c r="I726" s="404" t="s">
        <v>9279</v>
      </c>
      <c r="J726" s="518">
        <v>4608</v>
      </c>
      <c r="K726" s="404">
        <v>63718</v>
      </c>
      <c r="L726" s="527"/>
      <c r="AF726" s="264"/>
    </row>
    <row r="727" spans="1:32" ht="14.25" customHeight="1">
      <c r="A727" s="404">
        <v>2686313</v>
      </c>
      <c r="B727" s="404" t="s">
        <v>9446</v>
      </c>
      <c r="C727" s="443" t="s">
        <v>4401</v>
      </c>
      <c r="D727" s="518">
        <v>75</v>
      </c>
      <c r="F727" s="404">
        <v>34</v>
      </c>
      <c r="G727" s="404">
        <v>1240759</v>
      </c>
      <c r="H727" s="404" t="s">
        <v>9556</v>
      </c>
      <c r="I727" s="404" t="s">
        <v>3663</v>
      </c>
      <c r="J727" s="518">
        <v>5431.68</v>
      </c>
      <c r="K727" s="404">
        <v>63727</v>
      </c>
      <c r="L727" s="527"/>
      <c r="AF727" s="264"/>
    </row>
    <row r="728" spans="1:32" ht="14.25" customHeight="1">
      <c r="A728" s="404">
        <v>555375</v>
      </c>
      <c r="B728" s="404" t="s">
        <v>9448</v>
      </c>
      <c r="C728" s="443" t="s">
        <v>7825</v>
      </c>
      <c r="D728" s="518">
        <v>979.99999999999989</v>
      </c>
      <c r="F728" s="404">
        <v>35</v>
      </c>
      <c r="G728" s="404">
        <v>24135</v>
      </c>
      <c r="H728" s="404" t="s">
        <v>9560</v>
      </c>
      <c r="I728" s="404" t="s">
        <v>7472</v>
      </c>
      <c r="J728" s="518">
        <v>5500</v>
      </c>
      <c r="K728" s="404">
        <v>63733</v>
      </c>
      <c r="L728" s="527"/>
      <c r="AF728" s="264"/>
    </row>
    <row r="729" spans="1:32" ht="14.25" customHeight="1">
      <c r="A729" s="404">
        <v>904</v>
      </c>
      <c r="B729" s="404" t="s">
        <v>9454</v>
      </c>
      <c r="C729" s="443" t="s">
        <v>3407</v>
      </c>
      <c r="D729" s="518">
        <v>1747.5</v>
      </c>
      <c r="F729" s="404">
        <v>36</v>
      </c>
      <c r="G729" s="404">
        <v>25698</v>
      </c>
      <c r="H729" s="404" t="s">
        <v>8179</v>
      </c>
      <c r="I729" s="404" t="s">
        <v>7545</v>
      </c>
      <c r="J729" s="518">
        <v>5850</v>
      </c>
      <c r="K729" s="404">
        <v>63744</v>
      </c>
      <c r="L729" s="527"/>
      <c r="AF729" s="264"/>
    </row>
    <row r="730" spans="1:32" ht="14.25" customHeight="1">
      <c r="A730" s="404">
        <v>13693</v>
      </c>
      <c r="B730" s="404" t="s">
        <v>9460</v>
      </c>
      <c r="C730" s="443" t="s">
        <v>4379</v>
      </c>
      <c r="D730" s="518">
        <v>1260</v>
      </c>
      <c r="F730" s="404">
        <v>37</v>
      </c>
      <c r="G730" s="404">
        <v>555846</v>
      </c>
      <c r="H730" s="404" t="s">
        <v>9481</v>
      </c>
      <c r="I730" s="404" t="s">
        <v>7825</v>
      </c>
      <c r="J730" s="518">
        <v>6950</v>
      </c>
      <c r="K730" s="404">
        <v>63747</v>
      </c>
      <c r="L730" s="527"/>
      <c r="AF730" s="264"/>
    </row>
    <row r="731" spans="1:32" ht="14.25" customHeight="1">
      <c r="A731" s="404">
        <v>2686162</v>
      </c>
      <c r="B731" s="404" t="s">
        <v>9468</v>
      </c>
      <c r="C731" s="443" t="s">
        <v>4401</v>
      </c>
      <c r="D731" s="518">
        <v>9800</v>
      </c>
      <c r="F731" s="404">
        <v>38</v>
      </c>
      <c r="G731" s="404">
        <v>479</v>
      </c>
      <c r="H731" s="404" t="s">
        <v>7765</v>
      </c>
      <c r="I731" s="404" t="s">
        <v>4433</v>
      </c>
      <c r="J731" s="518">
        <v>7350</v>
      </c>
      <c r="K731" s="404">
        <v>63759</v>
      </c>
      <c r="L731" s="527"/>
      <c r="AF731" s="264"/>
    </row>
    <row r="732" spans="1:32" ht="14.25" customHeight="1">
      <c r="A732" s="404">
        <v>3070</v>
      </c>
      <c r="B732" s="404" t="s">
        <v>9475</v>
      </c>
      <c r="C732" s="443" t="s">
        <v>7826</v>
      </c>
      <c r="D732" s="518">
        <v>738</v>
      </c>
      <c r="F732" s="404">
        <v>39</v>
      </c>
      <c r="G732" s="404">
        <v>126863</v>
      </c>
      <c r="H732" s="404" t="s">
        <v>9481</v>
      </c>
      <c r="I732" s="404" t="s">
        <v>2989</v>
      </c>
      <c r="J732" s="518">
        <v>8250</v>
      </c>
      <c r="K732" s="404">
        <v>63762</v>
      </c>
      <c r="L732" s="527"/>
      <c r="AF732" s="264"/>
    </row>
    <row r="733" spans="1:32" ht="14.25" customHeight="1">
      <c r="A733" s="404">
        <v>126863</v>
      </c>
      <c r="B733" s="404" t="s">
        <v>9481</v>
      </c>
      <c r="C733" s="443" t="s">
        <v>2989</v>
      </c>
      <c r="D733" s="518">
        <v>8250</v>
      </c>
      <c r="F733" s="404">
        <v>40</v>
      </c>
      <c r="G733" s="404">
        <v>14514</v>
      </c>
      <c r="H733" s="404" t="s">
        <v>9632</v>
      </c>
      <c r="I733" s="404" t="s">
        <v>7268</v>
      </c>
      <c r="J733" s="518">
        <v>8960</v>
      </c>
      <c r="K733" s="404">
        <v>63767</v>
      </c>
      <c r="L733" s="527"/>
      <c r="AF733" s="264"/>
    </row>
    <row r="734" spans="1:32" ht="14.25" customHeight="1">
      <c r="A734" s="404">
        <v>555846</v>
      </c>
      <c r="B734" s="404" t="s">
        <v>9481</v>
      </c>
      <c r="C734" s="443" t="s">
        <v>7825</v>
      </c>
      <c r="D734" s="518">
        <v>6949.9999999999991</v>
      </c>
      <c r="F734" s="404">
        <v>41</v>
      </c>
      <c r="G734" s="404">
        <v>909</v>
      </c>
      <c r="H734" s="404" t="s">
        <v>9550</v>
      </c>
      <c r="I734" s="404" t="s">
        <v>3407</v>
      </c>
      <c r="J734" s="518">
        <v>9250</v>
      </c>
      <c r="K734" s="404">
        <v>63779</v>
      </c>
      <c r="L734" s="527"/>
      <c r="AF734" s="264"/>
    </row>
    <row r="735" spans="1:32" ht="14.25" customHeight="1">
      <c r="A735" s="404">
        <v>127315</v>
      </c>
      <c r="B735" s="404" t="s">
        <v>9490</v>
      </c>
      <c r="C735" s="443" t="s">
        <v>2989</v>
      </c>
      <c r="D735" s="518">
        <v>1080</v>
      </c>
      <c r="F735" s="404">
        <v>42</v>
      </c>
      <c r="G735" s="404">
        <v>1749</v>
      </c>
      <c r="H735" s="404" t="s">
        <v>9590</v>
      </c>
      <c r="I735" s="404" t="s">
        <v>4357</v>
      </c>
      <c r="J735" s="518">
        <v>9750</v>
      </c>
      <c r="K735" s="404">
        <v>63783</v>
      </c>
      <c r="L735" s="527"/>
      <c r="AF735" s="264"/>
    </row>
    <row r="736" spans="1:32" ht="14.25" customHeight="1">
      <c r="A736" s="404">
        <v>1359</v>
      </c>
      <c r="B736" s="404" t="s">
        <v>9492</v>
      </c>
      <c r="C736" s="443" t="s">
        <v>7392</v>
      </c>
      <c r="D736" s="518">
        <v>1080</v>
      </c>
      <c r="F736" s="404">
        <v>43</v>
      </c>
      <c r="G736" s="404">
        <v>2686162</v>
      </c>
      <c r="H736" s="404" t="s">
        <v>9468</v>
      </c>
      <c r="I736" s="404" t="s">
        <v>4401</v>
      </c>
      <c r="J736" s="518">
        <v>9800</v>
      </c>
      <c r="K736" s="404">
        <v>63787</v>
      </c>
      <c r="L736" s="527"/>
      <c r="AF736" s="264"/>
    </row>
    <row r="737" spans="1:32" ht="14.25" customHeight="1">
      <c r="A737" s="404">
        <v>358645</v>
      </c>
      <c r="B737" s="404" t="s">
        <v>9496</v>
      </c>
      <c r="C737" s="443" t="s">
        <v>7371</v>
      </c>
      <c r="D737" s="518">
        <v>252</v>
      </c>
      <c r="F737" s="404">
        <v>44</v>
      </c>
      <c r="G737" s="404">
        <v>2681394</v>
      </c>
      <c r="H737" s="404" t="s">
        <v>9329</v>
      </c>
      <c r="I737" s="404" t="s">
        <v>4401</v>
      </c>
      <c r="J737" s="518">
        <v>11040</v>
      </c>
      <c r="K737" s="404">
        <v>63793</v>
      </c>
      <c r="L737" s="527"/>
      <c r="AF737" s="264"/>
    </row>
    <row r="738" spans="1:32" ht="14.25" customHeight="1">
      <c r="A738" s="404">
        <v>1658</v>
      </c>
      <c r="B738" s="404" t="s">
        <v>9503</v>
      </c>
      <c r="C738" s="443" t="s">
        <v>9584</v>
      </c>
      <c r="D738" s="518">
        <v>3400</v>
      </c>
      <c r="F738" s="404">
        <v>45</v>
      </c>
      <c r="G738" s="404">
        <v>549782</v>
      </c>
      <c r="H738" s="404" t="s">
        <v>9623</v>
      </c>
      <c r="I738" s="404" t="s">
        <v>4398</v>
      </c>
      <c r="J738" s="518">
        <v>12811.5</v>
      </c>
      <c r="K738" s="404">
        <v>63797</v>
      </c>
      <c r="L738" s="527"/>
      <c r="AF738" s="264"/>
    </row>
    <row r="739" spans="1:32" ht="14.25" customHeight="1">
      <c r="A739" s="404">
        <v>2691166</v>
      </c>
      <c r="B739" s="404" t="s">
        <v>9509</v>
      </c>
      <c r="C739" s="443" t="s">
        <v>4401</v>
      </c>
      <c r="D739" s="518">
        <v>1400</v>
      </c>
      <c r="F739" s="404">
        <v>46</v>
      </c>
      <c r="G739" s="404">
        <v>5730</v>
      </c>
      <c r="H739" s="404" t="s">
        <v>8448</v>
      </c>
      <c r="I739" s="404" t="s">
        <v>8252</v>
      </c>
      <c r="J739" s="518">
        <v>14984.45</v>
      </c>
      <c r="K739" s="404">
        <v>63801</v>
      </c>
      <c r="L739" s="527"/>
      <c r="AF739" s="264"/>
    </row>
    <row r="740" spans="1:32" ht="14.25" customHeight="1">
      <c r="A740" s="404">
        <v>13959</v>
      </c>
      <c r="B740" s="404" t="s">
        <v>9515</v>
      </c>
      <c r="C740" s="443" t="s">
        <v>4379</v>
      </c>
      <c r="D740" s="518">
        <v>330</v>
      </c>
      <c r="F740" s="404">
        <v>47</v>
      </c>
      <c r="G740" s="404">
        <v>1327029</v>
      </c>
      <c r="H740" s="404" t="s">
        <v>9558</v>
      </c>
      <c r="I740" s="404" t="s">
        <v>4398</v>
      </c>
      <c r="J740" s="518">
        <v>16483.5</v>
      </c>
      <c r="K740" s="404">
        <v>63809</v>
      </c>
      <c r="L740" s="527"/>
      <c r="AF740" s="264"/>
    </row>
    <row r="741" spans="1:32" ht="14.25" customHeight="1">
      <c r="A741" s="404">
        <v>44039</v>
      </c>
      <c r="B741" s="404" t="s">
        <v>9517</v>
      </c>
      <c r="C741" s="443" t="s">
        <v>7896</v>
      </c>
      <c r="D741" s="518">
        <v>23994</v>
      </c>
      <c r="F741" s="404">
        <v>48</v>
      </c>
      <c r="G741" s="404">
        <v>14402</v>
      </c>
      <c r="H741" s="404" t="s">
        <v>9517</v>
      </c>
      <c r="I741" s="404" t="s">
        <v>7268</v>
      </c>
      <c r="J741" s="518">
        <v>22800</v>
      </c>
      <c r="K741" s="404">
        <v>63815</v>
      </c>
      <c r="L741" s="527"/>
      <c r="AF741" s="264"/>
    </row>
    <row r="742" spans="1:32" ht="14.25" customHeight="1">
      <c r="A742" s="404">
        <v>14402</v>
      </c>
      <c r="B742" s="404" t="s">
        <v>9517</v>
      </c>
      <c r="C742" s="443" t="s">
        <v>7268</v>
      </c>
      <c r="D742" s="518">
        <v>22800</v>
      </c>
      <c r="F742" s="404">
        <v>49</v>
      </c>
      <c r="G742" s="404">
        <v>44039</v>
      </c>
      <c r="H742" s="404" t="s">
        <v>9517</v>
      </c>
      <c r="I742" s="404" t="s">
        <v>7896</v>
      </c>
      <c r="J742" s="518">
        <v>23994</v>
      </c>
      <c r="K742" s="404">
        <v>63820</v>
      </c>
      <c r="AF742" s="264"/>
    </row>
    <row r="743" spans="1:32" ht="14.25" customHeight="1">
      <c r="A743" s="404">
        <v>909</v>
      </c>
      <c r="B743" s="404" t="s">
        <v>9550</v>
      </c>
      <c r="C743" s="443" t="s">
        <v>3407</v>
      </c>
      <c r="D743" s="518">
        <v>9250</v>
      </c>
      <c r="F743" s="404"/>
      <c r="G743" s="404">
        <v>127</v>
      </c>
      <c r="H743" s="404" t="s">
        <v>8360</v>
      </c>
      <c r="I743" s="404" t="s">
        <v>8890</v>
      </c>
      <c r="J743" s="518">
        <v>37990</v>
      </c>
      <c r="K743" s="404">
        <v>63829</v>
      </c>
      <c r="AF743" s="264"/>
    </row>
    <row r="744" spans="1:32" ht="14.25" customHeight="1">
      <c r="A744" s="404">
        <v>1240759</v>
      </c>
      <c r="B744" s="404" t="s">
        <v>9556</v>
      </c>
      <c r="C744" s="443" t="s">
        <v>3663</v>
      </c>
      <c r="D744" s="518">
        <v>5431.6799999999994</v>
      </c>
      <c r="F744" s="495">
        <v>25</v>
      </c>
      <c r="G744" s="404"/>
      <c r="H744" s="404"/>
      <c r="I744" s="404"/>
      <c r="J744" s="406">
        <f>+J742-J743</f>
        <v>-13996</v>
      </c>
      <c r="K744" s="404"/>
      <c r="AF744" s="264"/>
    </row>
    <row r="745" spans="1:32" ht="14.25" customHeight="1">
      <c r="A745" s="404">
        <v>1327029</v>
      </c>
      <c r="B745" s="404" t="s">
        <v>9558</v>
      </c>
      <c r="C745" s="443" t="s">
        <v>4398</v>
      </c>
      <c r="D745" s="518">
        <v>16483.5</v>
      </c>
      <c r="G745" s="266"/>
      <c r="H745" s="266"/>
      <c r="I745" s="314" t="s">
        <v>1876</v>
      </c>
      <c r="J745" s="315">
        <f>SUM(J696:J744)</f>
        <v>260031.57</v>
      </c>
      <c r="K745" s="266"/>
      <c r="AF745" s="264"/>
    </row>
    <row r="746" spans="1:32" ht="14.25" customHeight="1">
      <c r="A746" s="404">
        <v>24135</v>
      </c>
      <c r="B746" s="404" t="s">
        <v>9560</v>
      </c>
      <c r="C746" s="443" t="s">
        <v>7472</v>
      </c>
      <c r="D746" s="518">
        <v>5500</v>
      </c>
      <c r="AF746" s="264"/>
    </row>
    <row r="747" spans="1:32" ht="14.25" customHeight="1">
      <c r="A747" s="404">
        <v>24079</v>
      </c>
      <c r="B747" s="404" t="s">
        <v>9567</v>
      </c>
      <c r="C747" s="443" t="s">
        <v>7472</v>
      </c>
      <c r="D747" s="518">
        <v>1050</v>
      </c>
      <c r="AF747" s="264"/>
    </row>
    <row r="748" spans="1:32" ht="14.25" customHeight="1">
      <c r="A748" s="404">
        <v>8417</v>
      </c>
      <c r="B748" s="404" t="s">
        <v>9571</v>
      </c>
      <c r="C748" s="443" t="s">
        <v>9608</v>
      </c>
      <c r="D748" s="518">
        <v>380</v>
      </c>
      <c r="F748" s="419" t="s">
        <v>9411</v>
      </c>
      <c r="G748" s="419" t="s">
        <v>8760</v>
      </c>
      <c r="H748" s="420" t="s">
        <v>8899</v>
      </c>
      <c r="I748" s="421">
        <v>301.60000000000002</v>
      </c>
      <c r="J748" s="964" t="s">
        <v>9782</v>
      </c>
      <c r="K748" s="274"/>
      <c r="AF748" s="264"/>
    </row>
    <row r="749" spans="1:32" ht="14.25" customHeight="1">
      <c r="A749" s="404">
        <v>1749</v>
      </c>
      <c r="B749" s="404" t="s">
        <v>9590</v>
      </c>
      <c r="C749" s="443" t="s">
        <v>4357</v>
      </c>
      <c r="D749" s="518">
        <v>9750</v>
      </c>
      <c r="F749" s="419" t="s">
        <v>9413</v>
      </c>
      <c r="G749" s="419" t="s">
        <v>8641</v>
      </c>
      <c r="H749" s="420" t="s">
        <v>8894</v>
      </c>
      <c r="I749" s="421">
        <v>5583.59</v>
      </c>
      <c r="J749" s="965"/>
      <c r="K749" s="274"/>
      <c r="AF749" s="264"/>
    </row>
    <row r="750" spans="1:32" ht="14.25" customHeight="1">
      <c r="A750" s="404">
        <v>9276</v>
      </c>
      <c r="B750" s="404" t="s">
        <v>9601</v>
      </c>
      <c r="C750" s="443" t="s">
        <v>4432</v>
      </c>
      <c r="D750" s="518">
        <v>372</v>
      </c>
      <c r="F750" s="419" t="s">
        <v>9414</v>
      </c>
      <c r="G750" s="419" t="s">
        <v>8641</v>
      </c>
      <c r="H750" s="420" t="s">
        <v>8894</v>
      </c>
      <c r="I750" s="421">
        <v>5583.59</v>
      </c>
      <c r="J750" s="965"/>
      <c r="K750" s="274"/>
      <c r="AF750" s="264"/>
    </row>
    <row r="751" spans="1:32" ht="14.25" customHeight="1">
      <c r="A751" s="404">
        <v>9276</v>
      </c>
      <c r="B751" s="404" t="s">
        <v>9601</v>
      </c>
      <c r="C751" s="443" t="s">
        <v>4432</v>
      </c>
      <c r="D751" s="518">
        <v>783</v>
      </c>
      <c r="F751" s="419" t="s">
        <v>9412</v>
      </c>
      <c r="G751" s="419" t="s">
        <v>8641</v>
      </c>
      <c r="H751" s="420" t="s">
        <v>8894</v>
      </c>
      <c r="I751" s="421">
        <v>5583.59</v>
      </c>
      <c r="J751" s="965"/>
      <c r="K751" s="274"/>
      <c r="AF751" s="264"/>
    </row>
    <row r="752" spans="1:32" ht="14.25" customHeight="1">
      <c r="A752" s="404">
        <v>549782</v>
      </c>
      <c r="B752" s="404" t="s">
        <v>9623</v>
      </c>
      <c r="C752" s="443" t="s">
        <v>4398</v>
      </c>
      <c r="D752" s="518">
        <v>12811.5</v>
      </c>
      <c r="F752" s="419" t="s">
        <v>9415</v>
      </c>
      <c r="G752" s="419" t="s">
        <v>8760</v>
      </c>
      <c r="H752" s="420" t="s">
        <v>8897</v>
      </c>
      <c r="I752" s="421">
        <v>598</v>
      </c>
      <c r="J752" s="965"/>
      <c r="K752" s="274"/>
      <c r="AF752" s="264"/>
    </row>
    <row r="753" spans="1:33" ht="14.25" customHeight="1">
      <c r="A753" s="404">
        <v>14514</v>
      </c>
      <c r="B753" s="404" t="s">
        <v>9632</v>
      </c>
      <c r="C753" s="443" t="s">
        <v>7268</v>
      </c>
      <c r="D753" s="518">
        <v>7000</v>
      </c>
      <c r="I753" s="520">
        <f>SUM(I748:I752)</f>
        <v>17650.370000000003</v>
      </c>
      <c r="J753" s="965"/>
      <c r="K753" s="274"/>
      <c r="AF753" s="264"/>
    </row>
    <row r="754" spans="1:33" ht="14.25" customHeight="1">
      <c r="A754" s="404">
        <v>14514</v>
      </c>
      <c r="B754" s="404" t="s">
        <v>9632</v>
      </c>
      <c r="C754" s="443" t="s">
        <v>7268</v>
      </c>
      <c r="D754" s="518">
        <v>1959.9999999999998</v>
      </c>
      <c r="J754" s="965"/>
      <c r="AF754" s="264"/>
    </row>
    <row r="755" spans="1:33" ht="14.25" customHeight="1">
      <c r="A755" s="404">
        <v>1750</v>
      </c>
      <c r="B755" s="404" t="s">
        <v>9643</v>
      </c>
      <c r="C755" s="443" t="s">
        <v>4357</v>
      </c>
      <c r="D755" s="518">
        <v>1206</v>
      </c>
      <c r="J755" s="965"/>
      <c r="AF755" s="264"/>
    </row>
    <row r="756" spans="1:33" ht="14.25" customHeight="1">
      <c r="A756" s="404">
        <v>1750</v>
      </c>
      <c r="B756" s="404" t="s">
        <v>9643</v>
      </c>
      <c r="C756" s="443" t="s">
        <v>4357</v>
      </c>
      <c r="D756" s="518">
        <v>1206</v>
      </c>
      <c r="AF756" s="264"/>
    </row>
    <row r="757" spans="1:33" ht="14.25" customHeight="1">
      <c r="A757" s="404"/>
      <c r="B757" s="404"/>
      <c r="C757" s="443"/>
      <c r="D757" s="525">
        <f>SUM(D694:D756)</f>
        <v>271355.07</v>
      </c>
      <c r="AF757" s="264"/>
    </row>
    <row r="758" spans="1:33" ht="14.25" customHeight="1">
      <c r="AF758" s="264"/>
    </row>
    <row r="759" spans="1:33" ht="14.25" customHeight="1">
      <c r="AF759" s="264"/>
    </row>
    <row r="760" spans="1:33" ht="19.5" thickBot="1">
      <c r="C760" s="437"/>
      <c r="F760" s="404"/>
      <c r="G760" s="404"/>
      <c r="H760" s="404"/>
      <c r="I760" s="485">
        <v>44067</v>
      </c>
      <c r="J760" s="442" t="s">
        <v>9143</v>
      </c>
      <c r="K760" s="404"/>
      <c r="N760" s="385" t="s">
        <v>9842</v>
      </c>
      <c r="O760" s="386"/>
      <c r="P760" s="422" t="s">
        <v>7633</v>
      </c>
      <c r="AF760" s="264"/>
      <c r="AG760" s="264"/>
    </row>
    <row r="761" spans="1:33" ht="14.25" customHeight="1" thickTop="1">
      <c r="A761" s="280" t="s">
        <v>1844</v>
      </c>
      <c r="B761" s="280" t="s">
        <v>568</v>
      </c>
      <c r="C761" s="280" t="s">
        <v>0</v>
      </c>
      <c r="D761" s="280" t="s">
        <v>3669</v>
      </c>
      <c r="F761" s="340"/>
      <c r="G761" s="280" t="s">
        <v>1844</v>
      </c>
      <c r="H761" s="280" t="s">
        <v>568</v>
      </c>
      <c r="I761" s="281" t="s">
        <v>0</v>
      </c>
      <c r="J761" s="280" t="s">
        <v>3669</v>
      </c>
      <c r="K761" s="528" t="s">
        <v>2815</v>
      </c>
      <c r="N761" s="383" t="s">
        <v>2839</v>
      </c>
      <c r="O761" s="383" t="s">
        <v>2789</v>
      </c>
      <c r="P761" s="383" t="s">
        <v>1877</v>
      </c>
      <c r="Q761" s="190"/>
      <c r="T761" s="274"/>
      <c r="U761" s="438"/>
      <c r="AF761" s="264"/>
      <c r="AG761" s="264"/>
    </row>
    <row r="762" spans="1:33" ht="14.25" customHeight="1">
      <c r="A762" s="260" t="s">
        <v>9413</v>
      </c>
      <c r="B762" s="260" t="s">
        <v>8641</v>
      </c>
      <c r="C762" s="274" t="s">
        <v>8894</v>
      </c>
      <c r="D762" s="438">
        <v>5583.59</v>
      </c>
      <c r="F762" s="404"/>
      <c r="G762" s="404">
        <v>1042</v>
      </c>
      <c r="H762" s="529" t="s">
        <v>9452</v>
      </c>
      <c r="I762" s="443" t="s">
        <v>4358</v>
      </c>
      <c r="J762" s="471">
        <v>91.39</v>
      </c>
      <c r="K762" s="260">
        <v>71344</v>
      </c>
      <c r="N762" s="274" t="s">
        <v>7283</v>
      </c>
      <c r="AF762" s="264"/>
    </row>
    <row r="763" spans="1:33" ht="14.25" customHeight="1">
      <c r="A763" s="260" t="s">
        <v>9414</v>
      </c>
      <c r="B763" s="260" t="s">
        <v>8641</v>
      </c>
      <c r="C763" s="274" t="s">
        <v>8894</v>
      </c>
      <c r="D763" s="438">
        <v>5583.59</v>
      </c>
      <c r="F763" s="404"/>
      <c r="G763" s="404">
        <v>5162</v>
      </c>
      <c r="H763" s="529" t="s">
        <v>9604</v>
      </c>
      <c r="I763" s="443" t="s">
        <v>9330</v>
      </c>
      <c r="J763" s="471">
        <v>225</v>
      </c>
      <c r="K763" s="260">
        <v>71345</v>
      </c>
      <c r="N763" s="274" t="s">
        <v>8894</v>
      </c>
      <c r="AF763" s="264"/>
    </row>
    <row r="764" spans="1:33" ht="14.25" customHeight="1">
      <c r="A764" s="260" t="s">
        <v>9412</v>
      </c>
      <c r="B764" s="260" t="s">
        <v>8641</v>
      </c>
      <c r="C764" s="274" t="s">
        <v>8894</v>
      </c>
      <c r="D764" s="438">
        <v>5583.59</v>
      </c>
      <c r="F764" s="404"/>
      <c r="G764" s="404">
        <v>2697002</v>
      </c>
      <c r="H764" s="529" t="s">
        <v>9145</v>
      </c>
      <c r="I764" s="443" t="s">
        <v>4401</v>
      </c>
      <c r="J764" s="471">
        <v>239</v>
      </c>
      <c r="K764" s="260">
        <v>71346</v>
      </c>
      <c r="N764" s="482" t="s">
        <v>8849</v>
      </c>
      <c r="O764" s="266" t="s">
        <v>9165</v>
      </c>
      <c r="AF764" s="264"/>
    </row>
    <row r="765" spans="1:33" ht="14.25" customHeight="1">
      <c r="A765" s="260">
        <v>62537</v>
      </c>
      <c r="B765" s="260" t="s">
        <v>8876</v>
      </c>
      <c r="C765" s="274" t="s">
        <v>5740</v>
      </c>
      <c r="D765" s="438">
        <v>838.09999999999991</v>
      </c>
      <c r="F765" s="404"/>
      <c r="G765" s="404">
        <v>128494</v>
      </c>
      <c r="H765" s="529" t="s">
        <v>9678</v>
      </c>
      <c r="I765" s="443" t="s">
        <v>2989</v>
      </c>
      <c r="J765" s="471">
        <v>250</v>
      </c>
      <c r="K765" s="260">
        <v>71348</v>
      </c>
      <c r="N765" s="274" t="s">
        <v>2989</v>
      </c>
      <c r="AF765" s="264"/>
    </row>
    <row r="766" spans="1:33" ht="14.25" customHeight="1">
      <c r="A766" s="260">
        <v>2697002</v>
      </c>
      <c r="B766" s="260" t="s">
        <v>9145</v>
      </c>
      <c r="C766" s="274" t="s">
        <v>4401</v>
      </c>
      <c r="D766" s="438">
        <v>239</v>
      </c>
      <c r="F766" s="404"/>
      <c r="G766" s="404">
        <v>361991</v>
      </c>
      <c r="H766" s="529" t="s">
        <v>9698</v>
      </c>
      <c r="I766" s="443" t="s">
        <v>7371</v>
      </c>
      <c r="J766" s="471">
        <v>260</v>
      </c>
      <c r="K766" s="260">
        <v>71349</v>
      </c>
      <c r="N766" s="274" t="s">
        <v>4401</v>
      </c>
      <c r="AF766" s="264"/>
    </row>
    <row r="767" spans="1:33" ht="14.25" customHeight="1">
      <c r="A767" s="260">
        <v>1042</v>
      </c>
      <c r="B767" s="260" t="s">
        <v>9452</v>
      </c>
      <c r="C767" s="274" t="s">
        <v>4358</v>
      </c>
      <c r="D767" s="438">
        <v>91.39</v>
      </c>
      <c r="F767" s="404"/>
      <c r="G767" s="404">
        <v>591</v>
      </c>
      <c r="H767" s="529" t="s">
        <v>8760</v>
      </c>
      <c r="I767" s="443" t="s">
        <v>8899</v>
      </c>
      <c r="J767" s="471">
        <v>301.60000000000002</v>
      </c>
      <c r="K767" s="260">
        <v>71350</v>
      </c>
      <c r="N767" s="274" t="s">
        <v>9471</v>
      </c>
      <c r="AF767" s="264"/>
    </row>
    <row r="768" spans="1:33" ht="14.25" customHeight="1">
      <c r="A768" s="260">
        <v>70704</v>
      </c>
      <c r="B768" s="260" t="s">
        <v>9462</v>
      </c>
      <c r="C768" s="274" t="s">
        <v>3882</v>
      </c>
      <c r="D768" s="438">
        <v>432.00000000000006</v>
      </c>
      <c r="F768" s="404"/>
      <c r="G768" s="404">
        <v>70704</v>
      </c>
      <c r="H768" s="529" t="s">
        <v>9462</v>
      </c>
      <c r="I768" s="443" t="s">
        <v>3882</v>
      </c>
      <c r="J768" s="471">
        <v>432</v>
      </c>
      <c r="K768" s="260">
        <v>71351</v>
      </c>
      <c r="N768" s="274" t="s">
        <v>9278</v>
      </c>
      <c r="AF768" s="264"/>
    </row>
    <row r="769" spans="1:32" ht="14.25" customHeight="1">
      <c r="A769" s="260">
        <v>154541</v>
      </c>
      <c r="B769" s="260" t="s">
        <v>9477</v>
      </c>
      <c r="C769" s="274" t="s">
        <v>9278</v>
      </c>
      <c r="D769" s="438">
        <v>3373.98</v>
      </c>
      <c r="F769" s="404"/>
      <c r="G769" s="404" t="s">
        <v>9415</v>
      </c>
      <c r="H769" s="529" t="s">
        <v>8760</v>
      </c>
      <c r="I769" s="443" t="s">
        <v>8897</v>
      </c>
      <c r="J769" s="471">
        <v>598</v>
      </c>
      <c r="K769" s="260" t="s">
        <v>9876</v>
      </c>
      <c r="L769" s="260"/>
      <c r="N769" s="274" t="s">
        <v>4358</v>
      </c>
      <c r="AF769" s="264"/>
    </row>
    <row r="770" spans="1:32" ht="14.25" customHeight="1">
      <c r="A770" s="260">
        <v>154541</v>
      </c>
      <c r="B770" s="260" t="s">
        <v>9477</v>
      </c>
      <c r="C770" s="274" t="s">
        <v>9278</v>
      </c>
      <c r="D770" s="438">
        <v>6172.2000000000007</v>
      </c>
      <c r="F770" s="404"/>
      <c r="G770" s="404">
        <v>62537</v>
      </c>
      <c r="H770" s="529" t="s">
        <v>8876</v>
      </c>
      <c r="I770" s="443" t="s">
        <v>5740</v>
      </c>
      <c r="J770" s="471">
        <v>838.1</v>
      </c>
      <c r="K770" s="260">
        <v>71353</v>
      </c>
      <c r="N770" s="274" t="s">
        <v>7371</v>
      </c>
      <c r="AF770" s="264"/>
    </row>
    <row r="771" spans="1:32" ht="14.25" customHeight="1">
      <c r="A771" s="260">
        <v>154541</v>
      </c>
      <c r="B771" s="260" t="s">
        <v>9477</v>
      </c>
      <c r="C771" s="274" t="s">
        <v>9278</v>
      </c>
      <c r="D771" s="438">
        <v>7759.47</v>
      </c>
      <c r="F771" s="404"/>
      <c r="G771" s="404">
        <v>2699461</v>
      </c>
      <c r="H771" s="529" t="s">
        <v>9668</v>
      </c>
      <c r="I771" s="443" t="s">
        <v>4401</v>
      </c>
      <c r="J771" s="471">
        <v>1380</v>
      </c>
      <c r="K771" s="260">
        <v>71355</v>
      </c>
      <c r="N771" s="274" t="s">
        <v>3882</v>
      </c>
      <c r="AF771" s="264"/>
    </row>
    <row r="772" spans="1:32" ht="14.25" customHeight="1">
      <c r="A772" s="260">
        <v>154541</v>
      </c>
      <c r="B772" s="260" t="s">
        <v>9477</v>
      </c>
      <c r="C772" s="274" t="s">
        <v>9278</v>
      </c>
      <c r="D772" s="438">
        <v>2011.9199999999998</v>
      </c>
      <c r="F772" s="404"/>
      <c r="G772" s="404">
        <v>156715</v>
      </c>
      <c r="H772" s="529" t="s">
        <v>9655</v>
      </c>
      <c r="I772" s="443" t="s">
        <v>9471</v>
      </c>
      <c r="J772" s="471">
        <v>1813.05</v>
      </c>
      <c r="K772" s="260">
        <v>71357</v>
      </c>
      <c r="N772" s="274" t="s">
        <v>9330</v>
      </c>
      <c r="AF772" s="264"/>
    </row>
    <row r="773" spans="1:32" ht="14.25" customHeight="1">
      <c r="A773" s="260">
        <v>154541</v>
      </c>
      <c r="B773" s="260" t="s">
        <v>9477</v>
      </c>
      <c r="C773" s="274" t="s">
        <v>9278</v>
      </c>
      <c r="D773" s="438">
        <v>865.8</v>
      </c>
      <c r="F773" s="404"/>
      <c r="G773" s="404">
        <v>365045</v>
      </c>
      <c r="H773" s="529" t="s">
        <v>9689</v>
      </c>
      <c r="I773" s="443" t="s">
        <v>7371</v>
      </c>
      <c r="J773" s="471">
        <v>2136.4</v>
      </c>
      <c r="K773" s="260">
        <v>71358</v>
      </c>
      <c r="N773" s="274" t="s">
        <v>5740</v>
      </c>
      <c r="AF773" s="264"/>
    </row>
    <row r="774" spans="1:32" ht="14.25" customHeight="1">
      <c r="A774" s="260">
        <v>154541</v>
      </c>
      <c r="B774" s="260" t="s">
        <v>9477</v>
      </c>
      <c r="C774" s="274" t="s">
        <v>9278</v>
      </c>
      <c r="D774" s="438">
        <v>6834.88</v>
      </c>
      <c r="F774" s="404"/>
      <c r="G774" s="404">
        <v>24237</v>
      </c>
      <c r="H774" s="529" t="s">
        <v>9592</v>
      </c>
      <c r="I774" s="443" t="s">
        <v>7472</v>
      </c>
      <c r="J774" s="471">
        <v>2236.5</v>
      </c>
      <c r="K774" s="260">
        <v>71359</v>
      </c>
      <c r="N774" s="274" t="s">
        <v>4398</v>
      </c>
      <c r="AF774" s="264"/>
    </row>
    <row r="775" spans="1:32" ht="14.25" customHeight="1">
      <c r="A775" s="260">
        <v>24237</v>
      </c>
      <c r="B775" s="260" t="s">
        <v>9592</v>
      </c>
      <c r="C775" s="274" t="s">
        <v>7472</v>
      </c>
      <c r="D775" s="438">
        <v>2236.5</v>
      </c>
      <c r="F775" s="404"/>
      <c r="G775" s="404">
        <v>1758</v>
      </c>
      <c r="H775" s="529" t="s">
        <v>9657</v>
      </c>
      <c r="I775" s="443" t="s">
        <v>7283</v>
      </c>
      <c r="J775" s="471">
        <v>2900</v>
      </c>
      <c r="K775" s="260">
        <v>71361</v>
      </c>
      <c r="N775" s="274" t="s">
        <v>7472</v>
      </c>
      <c r="AF775" s="264"/>
    </row>
    <row r="776" spans="1:32" ht="14.25" customHeight="1">
      <c r="A776" s="260">
        <v>5162</v>
      </c>
      <c r="B776" s="260" t="s">
        <v>9604</v>
      </c>
      <c r="C776" s="274" t="s">
        <v>9330</v>
      </c>
      <c r="D776" s="438">
        <v>225</v>
      </c>
      <c r="F776" s="404"/>
      <c r="G776" s="404">
        <v>361992</v>
      </c>
      <c r="H776" s="529" t="s">
        <v>9646</v>
      </c>
      <c r="I776" s="443" t="s">
        <v>7371</v>
      </c>
      <c r="J776" s="471">
        <v>3040.8</v>
      </c>
      <c r="K776" s="260">
        <v>71363</v>
      </c>
      <c r="N776" s="512" t="s">
        <v>8899</v>
      </c>
      <c r="AF776" s="264"/>
    </row>
    <row r="777" spans="1:32" ht="14.25" customHeight="1">
      <c r="A777" s="260">
        <v>361992</v>
      </c>
      <c r="B777" s="260" t="s">
        <v>9646</v>
      </c>
      <c r="C777" s="274" t="s">
        <v>7371</v>
      </c>
      <c r="D777" s="438">
        <v>3040.8</v>
      </c>
      <c r="F777" s="404"/>
      <c r="G777" s="404">
        <v>2697357</v>
      </c>
      <c r="H777" s="529" t="s">
        <v>9665</v>
      </c>
      <c r="I777" s="443" t="s">
        <v>4401</v>
      </c>
      <c r="J777" s="471">
        <v>6080</v>
      </c>
      <c r="K777" s="260">
        <v>71366</v>
      </c>
      <c r="N777" s="512" t="s">
        <v>8897</v>
      </c>
      <c r="AF777" s="264"/>
    </row>
    <row r="778" spans="1:32" ht="14.25" customHeight="1">
      <c r="A778" s="260">
        <v>2697355</v>
      </c>
      <c r="B778" s="260" t="s">
        <v>9648</v>
      </c>
      <c r="C778" s="274" t="s">
        <v>4401</v>
      </c>
      <c r="D778" s="438">
        <v>1360</v>
      </c>
      <c r="F778" s="404"/>
      <c r="G778" s="404">
        <v>1334055</v>
      </c>
      <c r="H778" s="529" t="s">
        <v>9682</v>
      </c>
      <c r="I778" s="443" t="s">
        <v>4398</v>
      </c>
      <c r="J778" s="471">
        <v>12888</v>
      </c>
      <c r="K778" s="260">
        <v>71371</v>
      </c>
      <c r="N778"/>
      <c r="AF778" s="264"/>
    </row>
    <row r="779" spans="1:32" ht="14.25" customHeight="1">
      <c r="A779" s="260">
        <v>156715</v>
      </c>
      <c r="B779" s="260" t="s">
        <v>9655</v>
      </c>
      <c r="C779" s="274" t="s">
        <v>9471</v>
      </c>
      <c r="D779" s="438">
        <v>1813.0500000000002</v>
      </c>
      <c r="F779" s="404"/>
      <c r="G779" s="404">
        <v>154541</v>
      </c>
      <c r="H779" s="529" t="s">
        <v>9477</v>
      </c>
      <c r="I779" s="443" t="s">
        <v>9278</v>
      </c>
      <c r="J779" s="471">
        <v>27018.25</v>
      </c>
      <c r="K779" s="260">
        <v>71340</v>
      </c>
      <c r="N779"/>
      <c r="AF779" s="264"/>
    </row>
    <row r="780" spans="1:32" ht="14.25" customHeight="1">
      <c r="A780" s="260">
        <v>1758</v>
      </c>
      <c r="B780" s="260" t="s">
        <v>9657</v>
      </c>
      <c r="C780" s="274" t="s">
        <v>7283</v>
      </c>
      <c r="D780" s="438">
        <v>2900</v>
      </c>
      <c r="F780" s="404"/>
      <c r="G780" s="404">
        <v>2697355</v>
      </c>
      <c r="H780" s="529" t="s">
        <v>9648</v>
      </c>
      <c r="I780" s="443" t="s">
        <v>4401</v>
      </c>
      <c r="J780" s="471" t="s">
        <v>9875</v>
      </c>
      <c r="K780" s="260">
        <v>3294</v>
      </c>
      <c r="N780"/>
      <c r="AF780" s="264"/>
    </row>
    <row r="781" spans="1:32" ht="14.25" customHeight="1">
      <c r="A781" s="260">
        <v>2697357</v>
      </c>
      <c r="B781" s="260" t="s">
        <v>9665</v>
      </c>
      <c r="C781" s="274" t="s">
        <v>4401</v>
      </c>
      <c r="D781" s="438">
        <v>6080</v>
      </c>
      <c r="F781" s="404"/>
      <c r="G781" s="404"/>
      <c r="H781" s="529"/>
      <c r="I781" s="443"/>
      <c r="J781" s="471"/>
      <c r="N781"/>
      <c r="AF781" s="264"/>
    </row>
    <row r="782" spans="1:32" ht="14.25" customHeight="1">
      <c r="A782" s="260">
        <v>2699461</v>
      </c>
      <c r="B782" s="260" t="s">
        <v>9668</v>
      </c>
      <c r="C782" s="274" t="s">
        <v>4401</v>
      </c>
      <c r="D782" s="438">
        <v>1380</v>
      </c>
      <c r="F782" s="404"/>
      <c r="G782" s="404"/>
      <c r="H782" s="529"/>
      <c r="I782" s="443"/>
      <c r="J782" s="471"/>
      <c r="N782"/>
      <c r="AF782" s="264"/>
    </row>
    <row r="783" spans="1:32" ht="14.25" customHeight="1">
      <c r="A783" s="260">
        <v>128494</v>
      </c>
      <c r="B783" s="260" t="s">
        <v>9678</v>
      </c>
      <c r="C783" s="274" t="s">
        <v>2989</v>
      </c>
      <c r="D783" s="438">
        <v>250</v>
      </c>
      <c r="F783" s="404"/>
      <c r="G783" s="404"/>
      <c r="H783" s="404"/>
      <c r="I783" s="443"/>
      <c r="J783" s="471"/>
      <c r="AF783" s="264"/>
    </row>
    <row r="784" spans="1:32" ht="14.25" customHeight="1">
      <c r="A784" s="260">
        <v>1334055</v>
      </c>
      <c r="B784" s="260" t="s">
        <v>9682</v>
      </c>
      <c r="C784" s="274" t="s">
        <v>4398</v>
      </c>
      <c r="D784" s="438">
        <v>12888</v>
      </c>
      <c r="F784" s="404"/>
      <c r="G784" s="45"/>
      <c r="H784" s="45"/>
      <c r="I784" s="45"/>
      <c r="J784" s="45"/>
      <c r="AF784" s="264"/>
    </row>
    <row r="785" spans="1:33" ht="14.25" customHeight="1">
      <c r="A785" s="260">
        <v>365045</v>
      </c>
      <c r="B785" s="260" t="s">
        <v>9689</v>
      </c>
      <c r="C785" s="274" t="s">
        <v>7371</v>
      </c>
      <c r="D785" s="438">
        <v>2136.4</v>
      </c>
      <c r="F785" s="404"/>
      <c r="G785" s="45"/>
      <c r="H785" s="45"/>
      <c r="I785" s="45"/>
      <c r="J785" s="45"/>
      <c r="AF785" s="264"/>
    </row>
    <row r="786" spans="1:33" ht="14.25" customHeight="1">
      <c r="A786" s="260">
        <v>361991</v>
      </c>
      <c r="B786" s="260" t="s">
        <v>9698</v>
      </c>
      <c r="C786" s="274" t="s">
        <v>7371</v>
      </c>
      <c r="D786" s="438">
        <v>260</v>
      </c>
      <c r="F786" s="404"/>
      <c r="G786" s="45"/>
      <c r="H786" s="45"/>
      <c r="I786" s="45"/>
      <c r="J786" s="45"/>
      <c r="AF786" s="264"/>
    </row>
    <row r="787" spans="1:33" ht="14.25" customHeight="1">
      <c r="F787" s="404"/>
      <c r="G787" s="404"/>
      <c r="H787" s="404"/>
      <c r="I787" s="404"/>
      <c r="J787" s="404"/>
      <c r="AF787" s="264"/>
    </row>
    <row r="788" spans="1:33" ht="14.25" customHeight="1">
      <c r="D788" s="439">
        <f>SUM(D762:D787)</f>
        <v>79939.259999999995</v>
      </c>
      <c r="F788" s="404"/>
      <c r="G788" s="404"/>
      <c r="H788" s="404"/>
      <c r="I788" s="404"/>
      <c r="J788" s="500">
        <f>SUM(J762:J787)</f>
        <v>62728.09</v>
      </c>
      <c r="AF788" s="264"/>
    </row>
    <row r="789" spans="1:33" ht="14.25" customHeight="1">
      <c r="AF789" s="264"/>
    </row>
    <row r="790" spans="1:33" ht="14.25" customHeight="1">
      <c r="G790" s="419"/>
      <c r="H790" s="419"/>
      <c r="I790" s="420"/>
      <c r="J790" s="421"/>
      <c r="K790" s="964" t="s">
        <v>9859</v>
      </c>
      <c r="AF790" s="264"/>
    </row>
    <row r="791" spans="1:33" ht="14.25" customHeight="1">
      <c r="G791" s="419" t="s">
        <v>9413</v>
      </c>
      <c r="H791" s="419" t="s">
        <v>8641</v>
      </c>
      <c r="I791" s="420" t="s">
        <v>8894</v>
      </c>
      <c r="J791" s="421">
        <v>5583.59</v>
      </c>
      <c r="K791" s="965"/>
      <c r="AF791" s="264"/>
    </row>
    <row r="792" spans="1:33" ht="14.25" customHeight="1">
      <c r="G792" s="419" t="s">
        <v>9414</v>
      </c>
      <c r="H792" s="419" t="s">
        <v>8641</v>
      </c>
      <c r="I792" s="420" t="s">
        <v>8894</v>
      </c>
      <c r="J792" s="421">
        <v>5583.59</v>
      </c>
      <c r="K792" s="965"/>
      <c r="AF792" s="264"/>
    </row>
    <row r="793" spans="1:33" ht="14.25" customHeight="1">
      <c r="G793" s="419" t="s">
        <v>9412</v>
      </c>
      <c r="H793" s="419" t="s">
        <v>8641</v>
      </c>
      <c r="I793" s="420" t="s">
        <v>8894</v>
      </c>
      <c r="J793" s="421">
        <v>5583.59</v>
      </c>
      <c r="K793" s="965"/>
      <c r="AF793" s="264"/>
    </row>
    <row r="794" spans="1:33" ht="14.25" customHeight="1">
      <c r="G794" s="419"/>
      <c r="H794" s="419"/>
      <c r="I794" s="420"/>
      <c r="J794" s="421"/>
      <c r="K794" s="965"/>
      <c r="AF794" s="264"/>
    </row>
    <row r="795" spans="1:33" ht="14.25" customHeight="1">
      <c r="I795" s="274"/>
      <c r="J795" s="438"/>
      <c r="K795" s="965"/>
      <c r="AF795" s="264"/>
    </row>
    <row r="796" spans="1:33" ht="14.25" customHeight="1">
      <c r="I796" s="274"/>
      <c r="J796" s="438"/>
      <c r="K796" s="965"/>
      <c r="AF796" s="264"/>
    </row>
    <row r="797" spans="1:33" ht="14.25" customHeight="1">
      <c r="I797" s="274"/>
      <c r="J797" s="438"/>
      <c r="K797" s="965"/>
      <c r="AF797" s="264"/>
    </row>
    <row r="798" spans="1:33" ht="14.25" customHeight="1">
      <c r="AF798" s="264"/>
    </row>
    <row r="799" spans="1:33" ht="19.5" thickBot="1">
      <c r="C799" s="437"/>
      <c r="F799" s="404"/>
      <c r="G799" s="404"/>
      <c r="H799" s="404"/>
      <c r="I799" s="485">
        <v>44095</v>
      </c>
      <c r="J799" s="442" t="s">
        <v>9143</v>
      </c>
      <c r="K799" s="404"/>
      <c r="N799" s="385" t="s">
        <v>10006</v>
      </c>
      <c r="O799" s="386"/>
      <c r="P799" s="422" t="s">
        <v>7633</v>
      </c>
      <c r="AF799" s="264"/>
      <c r="AG799" s="264"/>
    </row>
    <row r="800" spans="1:33" ht="14.25" customHeight="1" thickTop="1">
      <c r="A800" s="280" t="s">
        <v>1844</v>
      </c>
      <c r="B800" s="280" t="s">
        <v>568</v>
      </c>
      <c r="C800" s="280" t="s">
        <v>0</v>
      </c>
      <c r="D800" s="280" t="s">
        <v>3669</v>
      </c>
      <c r="F800" s="340"/>
      <c r="G800" s="280" t="s">
        <v>1844</v>
      </c>
      <c r="H800" s="280" t="s">
        <v>568</v>
      </c>
      <c r="I800" s="281" t="s">
        <v>0</v>
      </c>
      <c r="J800" s="280" t="s">
        <v>3669</v>
      </c>
      <c r="K800" s="280" t="s">
        <v>2815</v>
      </c>
      <c r="N800" s="383" t="s">
        <v>2839</v>
      </c>
      <c r="O800" s="383" t="s">
        <v>2789</v>
      </c>
      <c r="P800" s="383" t="s">
        <v>1877</v>
      </c>
      <c r="Q800" s="190"/>
      <c r="T800" s="274"/>
      <c r="U800" s="438"/>
      <c r="AF800" s="264"/>
      <c r="AG800" s="264"/>
    </row>
    <row r="801" spans="1:32" ht="14.25" customHeight="1">
      <c r="A801" s="260">
        <v>1253</v>
      </c>
      <c r="B801" s="260" t="s">
        <v>8307</v>
      </c>
      <c r="C801" s="274" t="s">
        <v>8402</v>
      </c>
      <c r="D801" s="438">
        <v>9100</v>
      </c>
      <c r="F801" s="404"/>
      <c r="G801" s="404">
        <v>1253</v>
      </c>
      <c r="H801" s="529" t="s">
        <v>8307</v>
      </c>
      <c r="I801" s="404" t="s">
        <v>8402</v>
      </c>
      <c r="J801" s="471">
        <v>9100</v>
      </c>
      <c r="K801" s="404">
        <v>3298</v>
      </c>
      <c r="L801" s="260" t="s">
        <v>10010</v>
      </c>
      <c r="N801" s="260" t="s">
        <v>8402</v>
      </c>
      <c r="AF801" s="264"/>
    </row>
    <row r="802" spans="1:32" ht="14.25" customHeight="1">
      <c r="A802" s="260">
        <v>101109</v>
      </c>
      <c r="B802" s="260" t="s">
        <v>8457</v>
      </c>
      <c r="C802" s="274" t="s">
        <v>8556</v>
      </c>
      <c r="D802" s="438">
        <v>3594</v>
      </c>
      <c r="F802" s="404"/>
      <c r="G802" s="404" t="s">
        <v>9943</v>
      </c>
      <c r="H802" s="529" t="s">
        <v>8641</v>
      </c>
      <c r="I802" s="404" t="s">
        <v>8894</v>
      </c>
      <c r="J802" s="471">
        <v>5530.56</v>
      </c>
      <c r="K802" s="404">
        <v>3299</v>
      </c>
      <c r="L802" s="260" t="s">
        <v>10010</v>
      </c>
      <c r="N802" s="260" t="s">
        <v>8894</v>
      </c>
      <c r="AF802" s="264"/>
    </row>
    <row r="803" spans="1:32" ht="14.25" customHeight="1">
      <c r="A803" s="260" t="s">
        <v>9877</v>
      </c>
      <c r="B803" s="260" t="s">
        <v>8458</v>
      </c>
      <c r="C803" s="274" t="s">
        <v>8556</v>
      </c>
      <c r="D803" s="438">
        <v>2995</v>
      </c>
      <c r="F803" s="404"/>
      <c r="G803" s="404" t="s">
        <v>9944</v>
      </c>
      <c r="H803" s="529" t="s">
        <v>8641</v>
      </c>
      <c r="I803" s="404" t="s">
        <v>8894</v>
      </c>
      <c r="J803" s="471">
        <v>5531.09</v>
      </c>
      <c r="K803" s="404">
        <v>3300</v>
      </c>
      <c r="L803" s="260" t="s">
        <v>10010</v>
      </c>
      <c r="N803" s="260" t="s">
        <v>2989</v>
      </c>
      <c r="AF803" s="264"/>
    </row>
    <row r="804" spans="1:32" ht="14.25" customHeight="1">
      <c r="A804" s="260">
        <v>1804</v>
      </c>
      <c r="B804" s="260" t="s">
        <v>8530</v>
      </c>
      <c r="C804" s="274" t="s">
        <v>4357</v>
      </c>
      <c r="D804" s="438">
        <v>865</v>
      </c>
      <c r="F804" s="404"/>
      <c r="G804" s="404" t="s">
        <v>9942</v>
      </c>
      <c r="H804" s="529" t="s">
        <v>8641</v>
      </c>
      <c r="I804" s="404" t="s">
        <v>8894</v>
      </c>
      <c r="J804" s="471">
        <v>5531.09</v>
      </c>
      <c r="K804" s="404">
        <v>91215</v>
      </c>
      <c r="N804" s="260" t="s">
        <v>8556</v>
      </c>
      <c r="AF804" s="264"/>
    </row>
    <row r="805" spans="1:32" ht="14.25" customHeight="1">
      <c r="A805" s="260">
        <v>1748</v>
      </c>
      <c r="B805" s="260" t="s">
        <v>8534</v>
      </c>
      <c r="C805" s="274" t="s">
        <v>4357</v>
      </c>
      <c r="D805" s="438">
        <v>159.16</v>
      </c>
      <c r="F805" s="404"/>
      <c r="G805" s="404">
        <v>129151</v>
      </c>
      <c r="H805" s="529" t="s">
        <v>9739</v>
      </c>
      <c r="I805" s="404" t="s">
        <v>2989</v>
      </c>
      <c r="J805" s="471">
        <v>148.5</v>
      </c>
      <c r="K805" s="404">
        <v>91221</v>
      </c>
      <c r="N805" s="260" t="s">
        <v>5754</v>
      </c>
      <c r="AF805" s="264"/>
    </row>
    <row r="806" spans="1:32" ht="14.25" customHeight="1">
      <c r="A806" s="260" t="s">
        <v>9944</v>
      </c>
      <c r="B806" s="260" t="s">
        <v>8641</v>
      </c>
      <c r="C806" s="274" t="s">
        <v>8894</v>
      </c>
      <c r="D806" s="438">
        <v>5531.09</v>
      </c>
      <c r="F806" s="404"/>
      <c r="G806" s="404">
        <v>129162</v>
      </c>
      <c r="H806" s="529" t="s">
        <v>9676</v>
      </c>
      <c r="I806" s="404" t="s">
        <v>2989</v>
      </c>
      <c r="J806" s="471">
        <v>1866</v>
      </c>
      <c r="K806" s="404">
        <v>91227</v>
      </c>
      <c r="N806" s="260" t="s">
        <v>4401</v>
      </c>
      <c r="AF806" s="264"/>
    </row>
    <row r="807" spans="1:32" ht="14.25" customHeight="1">
      <c r="A807" s="260" t="s">
        <v>9944</v>
      </c>
      <c r="B807" s="260" t="s">
        <v>8641</v>
      </c>
      <c r="C807" s="274" t="s">
        <v>7624</v>
      </c>
      <c r="D807" s="438">
        <v>52.5</v>
      </c>
      <c r="F807" s="404"/>
      <c r="G807" s="404">
        <v>101310</v>
      </c>
      <c r="H807" s="529" t="s">
        <v>9657</v>
      </c>
      <c r="I807" s="404" t="s">
        <v>8556</v>
      </c>
      <c r="J807" s="471">
        <v>599</v>
      </c>
      <c r="K807" s="404">
        <v>91237</v>
      </c>
      <c r="N807" s="260" t="s">
        <v>4433</v>
      </c>
      <c r="AF807" s="264"/>
    </row>
    <row r="808" spans="1:32" ht="14.25" customHeight="1">
      <c r="A808" s="260" t="s">
        <v>9943</v>
      </c>
      <c r="B808" s="260" t="s">
        <v>8641</v>
      </c>
      <c r="C808" s="274" t="s">
        <v>8894</v>
      </c>
      <c r="D808" s="438">
        <v>5530.56</v>
      </c>
      <c r="F808" s="404"/>
      <c r="G808" s="404" t="s">
        <v>9877</v>
      </c>
      <c r="H808" s="529" t="s">
        <v>8458</v>
      </c>
      <c r="I808" s="404" t="s">
        <v>8556</v>
      </c>
      <c r="J808" s="471">
        <v>2995</v>
      </c>
      <c r="K808" s="404">
        <v>91230</v>
      </c>
      <c r="N808" s="482" t="s">
        <v>3530</v>
      </c>
      <c r="AF808" s="264"/>
    </row>
    <row r="809" spans="1:32" ht="14.25" customHeight="1">
      <c r="A809" s="260" t="s">
        <v>9943</v>
      </c>
      <c r="B809" s="260" t="s">
        <v>8641</v>
      </c>
      <c r="C809" s="274" t="s">
        <v>7624</v>
      </c>
      <c r="D809" s="438">
        <v>52.5</v>
      </c>
      <c r="F809" s="404"/>
      <c r="G809" s="404">
        <v>101109</v>
      </c>
      <c r="H809" s="529" t="s">
        <v>8457</v>
      </c>
      <c r="I809" s="404" t="s">
        <v>8556</v>
      </c>
      <c r="J809" s="471">
        <v>3594</v>
      </c>
      <c r="K809" s="404">
        <v>91259</v>
      </c>
      <c r="N809" s="260" t="s">
        <v>9785</v>
      </c>
      <c r="AF809" s="264"/>
    </row>
    <row r="810" spans="1:32" ht="14.25" customHeight="1">
      <c r="A810" s="260" t="s">
        <v>9942</v>
      </c>
      <c r="B810" s="260" t="s">
        <v>8641</v>
      </c>
      <c r="C810" s="274" t="s">
        <v>8894</v>
      </c>
      <c r="D810" s="438">
        <v>5531.09</v>
      </c>
      <c r="F810" s="404"/>
      <c r="G810" s="404">
        <v>10145</v>
      </c>
      <c r="H810" s="529" t="s">
        <v>9657</v>
      </c>
      <c r="I810" s="404" t="s">
        <v>8556</v>
      </c>
      <c r="J810" s="471">
        <v>4193</v>
      </c>
      <c r="K810" s="404">
        <v>91273</v>
      </c>
      <c r="N810" s="260" t="s">
        <v>4357</v>
      </c>
      <c r="AF810" s="264"/>
    </row>
    <row r="811" spans="1:32" ht="14.25" customHeight="1">
      <c r="A811" s="260" t="s">
        <v>9942</v>
      </c>
      <c r="B811" s="260" t="s">
        <v>8641</v>
      </c>
      <c r="C811" s="274" t="s">
        <v>7624</v>
      </c>
      <c r="D811" s="438">
        <v>52.5</v>
      </c>
      <c r="F811" s="404"/>
      <c r="G811" s="404">
        <v>101120</v>
      </c>
      <c r="H811" s="529" t="s">
        <v>9122</v>
      </c>
      <c r="I811" s="404" t="s">
        <v>8556</v>
      </c>
      <c r="J811" s="471">
        <v>4252.8999999999996</v>
      </c>
      <c r="K811" s="404">
        <v>91277</v>
      </c>
      <c r="N811" s="260" t="s">
        <v>9797</v>
      </c>
      <c r="AF811" s="264"/>
    </row>
    <row r="812" spans="1:32" ht="14.25" customHeight="1">
      <c r="A812" s="260">
        <v>502</v>
      </c>
      <c r="B812" s="260" t="s">
        <v>8667</v>
      </c>
      <c r="C812" s="274" t="s">
        <v>4433</v>
      </c>
      <c r="D812" s="438">
        <v>4200</v>
      </c>
      <c r="F812" s="404"/>
      <c r="G812" s="404">
        <v>151261</v>
      </c>
      <c r="H812" s="529" t="s">
        <v>9505</v>
      </c>
      <c r="I812" s="404" t="s">
        <v>5754</v>
      </c>
      <c r="J812" s="471">
        <v>1110</v>
      </c>
      <c r="K812" s="404">
        <v>91294</v>
      </c>
      <c r="N812" s="260" t="s">
        <v>7371</v>
      </c>
      <c r="AF812" s="264"/>
    </row>
    <row r="813" spans="1:32" ht="14.25" customHeight="1">
      <c r="A813" s="260">
        <v>62447</v>
      </c>
      <c r="B813" s="260" t="s">
        <v>8876</v>
      </c>
      <c r="C813" s="274" t="s">
        <v>5740</v>
      </c>
      <c r="D813" s="438">
        <v>173.39999999999998</v>
      </c>
      <c r="F813" s="404"/>
      <c r="G813" s="404">
        <v>6</v>
      </c>
      <c r="H813" s="529" t="s">
        <v>9306</v>
      </c>
      <c r="I813" s="404" t="s">
        <v>9344</v>
      </c>
      <c r="J813" s="471">
        <v>2800</v>
      </c>
      <c r="K813" s="404">
        <v>91302</v>
      </c>
      <c r="N813" s="260" t="s">
        <v>9013</v>
      </c>
      <c r="AF813" s="264"/>
    </row>
    <row r="814" spans="1:32" ht="14.25" customHeight="1">
      <c r="A814" s="260">
        <v>101120</v>
      </c>
      <c r="B814" s="260" t="s">
        <v>9122</v>
      </c>
      <c r="C814" s="274" t="s">
        <v>8556</v>
      </c>
      <c r="D814" s="438">
        <v>4252.8999999999996</v>
      </c>
      <c r="F814" s="404"/>
      <c r="G814" s="404">
        <v>2706742</v>
      </c>
      <c r="H814" s="529" t="s">
        <v>9692</v>
      </c>
      <c r="I814" s="404" t="s">
        <v>4401</v>
      </c>
      <c r="J814" s="471">
        <v>145</v>
      </c>
      <c r="K814" s="404">
        <v>91311</v>
      </c>
      <c r="N814" s="260" t="s">
        <v>4380</v>
      </c>
      <c r="AF814" s="264"/>
    </row>
    <row r="815" spans="1:32" ht="14.25" customHeight="1">
      <c r="A815" s="260">
        <v>20222</v>
      </c>
      <c r="B815" s="260" t="s">
        <v>9317</v>
      </c>
      <c r="C815" s="274" t="s">
        <v>9013</v>
      </c>
      <c r="D815" s="438">
        <v>6125</v>
      </c>
      <c r="F815" s="404"/>
      <c r="G815" s="404">
        <v>2665646</v>
      </c>
      <c r="H815" s="529" t="s">
        <v>9337</v>
      </c>
      <c r="I815" s="404" t="s">
        <v>4401</v>
      </c>
      <c r="J815" s="471">
        <v>300</v>
      </c>
      <c r="K815" s="404">
        <v>91316</v>
      </c>
      <c r="N815" s="260" t="s">
        <v>5740</v>
      </c>
      <c r="AF815" s="264"/>
    </row>
    <row r="816" spans="1:32" ht="14.25" customHeight="1">
      <c r="A816" s="260">
        <v>20045</v>
      </c>
      <c r="B816" s="260" t="s">
        <v>9317</v>
      </c>
      <c r="C816" s="274" t="s">
        <v>9013</v>
      </c>
      <c r="D816" s="438">
        <v>1225</v>
      </c>
      <c r="F816" s="404"/>
      <c r="G816" s="404">
        <v>2714134</v>
      </c>
      <c r="H816" s="529" t="s">
        <v>9675</v>
      </c>
      <c r="I816" s="404" t="s">
        <v>4401</v>
      </c>
      <c r="J816" s="471">
        <v>659.7</v>
      </c>
      <c r="K816" s="404">
        <v>91332</v>
      </c>
      <c r="N816" s="260" t="s">
        <v>4398</v>
      </c>
      <c r="AF816" s="264"/>
    </row>
    <row r="817" spans="1:32" ht="14.25" customHeight="1">
      <c r="A817" s="260">
        <v>20045</v>
      </c>
      <c r="B817" s="260" t="s">
        <v>9317</v>
      </c>
      <c r="C817" s="274" t="s">
        <v>9013</v>
      </c>
      <c r="D817" s="438">
        <v>15312.5</v>
      </c>
      <c r="F817" s="404"/>
      <c r="G817" s="404">
        <v>2697355</v>
      </c>
      <c r="H817" s="529" t="s">
        <v>9648</v>
      </c>
      <c r="I817" s="404" t="s">
        <v>4401</v>
      </c>
      <c r="J817" s="471">
        <v>1360</v>
      </c>
      <c r="K817" s="404">
        <v>91186</v>
      </c>
      <c r="N817" s="260" t="s">
        <v>7549</v>
      </c>
      <c r="AF817" s="264"/>
    </row>
    <row r="818" spans="1:32" ht="14.25" customHeight="1">
      <c r="A818" s="260">
        <v>2665646</v>
      </c>
      <c r="B818" s="260" t="s">
        <v>9337</v>
      </c>
      <c r="C818" s="274" t="s">
        <v>4401</v>
      </c>
      <c r="D818" s="438">
        <v>300</v>
      </c>
      <c r="F818" s="404"/>
      <c r="G818" s="404">
        <v>2718236</v>
      </c>
      <c r="H818" s="529" t="s">
        <v>9722</v>
      </c>
      <c r="I818" s="404" t="s">
        <v>4401</v>
      </c>
      <c r="J818" s="471">
        <v>1928</v>
      </c>
      <c r="K818" s="404">
        <v>91341</v>
      </c>
      <c r="N818" s="260" t="s">
        <v>8695</v>
      </c>
      <c r="AF818" s="264"/>
    </row>
    <row r="819" spans="1:32" ht="14.25" customHeight="1">
      <c r="A819" s="260">
        <v>28140</v>
      </c>
      <c r="B819" s="260" t="s">
        <v>9450</v>
      </c>
      <c r="C819" s="274" t="s">
        <v>8695</v>
      </c>
      <c r="D819" s="438">
        <v>1485</v>
      </c>
      <c r="F819" s="404"/>
      <c r="G819" s="404">
        <v>2704256</v>
      </c>
      <c r="H819" s="529" t="s">
        <v>9586</v>
      </c>
      <c r="I819" s="404" t="s">
        <v>4401</v>
      </c>
      <c r="J819" s="471">
        <v>2820</v>
      </c>
      <c r="K819" s="404">
        <v>91353</v>
      </c>
      <c r="N819" s="260" t="s">
        <v>4465</v>
      </c>
      <c r="AF819" s="264"/>
    </row>
    <row r="820" spans="1:32" ht="14.25" customHeight="1">
      <c r="A820" s="260">
        <v>151261</v>
      </c>
      <c r="B820" s="260" t="s">
        <v>9505</v>
      </c>
      <c r="C820" s="274" t="s">
        <v>5754</v>
      </c>
      <c r="D820" s="438">
        <v>1110</v>
      </c>
      <c r="F820" s="404"/>
      <c r="G820" s="404">
        <v>2718235</v>
      </c>
      <c r="H820" s="529" t="s">
        <v>9817</v>
      </c>
      <c r="I820" s="404" t="s">
        <v>4401</v>
      </c>
      <c r="J820" s="471">
        <v>6150</v>
      </c>
      <c r="K820" s="404">
        <v>91361</v>
      </c>
      <c r="N820" s="482" t="s">
        <v>7336</v>
      </c>
      <c r="AF820" s="264"/>
    </row>
    <row r="821" spans="1:32" ht="14.25" customHeight="1">
      <c r="A821" s="260">
        <v>2704256</v>
      </c>
      <c r="B821" s="260" t="s">
        <v>9586</v>
      </c>
      <c r="C821" s="274" t="s">
        <v>4401</v>
      </c>
      <c r="D821" s="438">
        <v>2820</v>
      </c>
      <c r="F821" s="404"/>
      <c r="G821" s="404">
        <v>502</v>
      </c>
      <c r="H821" s="529" t="s">
        <v>8667</v>
      </c>
      <c r="I821" s="404" t="s">
        <v>4433</v>
      </c>
      <c r="J821" s="471">
        <v>4200</v>
      </c>
      <c r="K821" s="404">
        <v>91189</v>
      </c>
      <c r="N821" s="495" t="s">
        <v>9344</v>
      </c>
      <c r="AF821" s="264"/>
    </row>
    <row r="822" spans="1:32" ht="14.25" customHeight="1">
      <c r="A822" s="260">
        <v>468</v>
      </c>
      <c r="B822" s="260" t="s">
        <v>9625</v>
      </c>
      <c r="C822" s="274" t="s">
        <v>4465</v>
      </c>
      <c r="D822" s="438">
        <v>400</v>
      </c>
      <c r="F822" s="404"/>
      <c r="G822" s="404" t="s">
        <v>9944</v>
      </c>
      <c r="H822" s="529" t="s">
        <v>8641</v>
      </c>
      <c r="I822" s="404" t="s">
        <v>7624</v>
      </c>
      <c r="J822" s="471">
        <v>52.5</v>
      </c>
      <c r="K822" s="404">
        <v>91367</v>
      </c>
      <c r="N822"/>
      <c r="AF822" s="264"/>
    </row>
    <row r="823" spans="1:32" ht="14.25" customHeight="1">
      <c r="A823" s="260">
        <v>2697355</v>
      </c>
      <c r="B823" s="260" t="s">
        <v>9648</v>
      </c>
      <c r="C823" s="274" t="s">
        <v>4401</v>
      </c>
      <c r="D823" s="438">
        <v>1360</v>
      </c>
      <c r="F823" s="404"/>
      <c r="G823" s="404" t="s">
        <v>9943</v>
      </c>
      <c r="H823" s="529" t="s">
        <v>8641</v>
      </c>
      <c r="I823" s="404" t="s">
        <v>7624</v>
      </c>
      <c r="J823" s="471">
        <v>52.5</v>
      </c>
      <c r="K823" s="404">
        <v>91417</v>
      </c>
      <c r="N823"/>
      <c r="AF823" s="264"/>
    </row>
    <row r="824" spans="1:32" ht="14.25" customHeight="1">
      <c r="A824" s="260">
        <v>10145</v>
      </c>
      <c r="B824" s="260" t="s">
        <v>9657</v>
      </c>
      <c r="C824" s="274" t="s">
        <v>8556</v>
      </c>
      <c r="D824" s="438">
        <v>2396</v>
      </c>
      <c r="F824" s="404"/>
      <c r="G824" s="404" t="s">
        <v>9942</v>
      </c>
      <c r="H824" s="529" t="s">
        <v>8641</v>
      </c>
      <c r="I824" s="404" t="s">
        <v>7624</v>
      </c>
      <c r="J824" s="471">
        <v>52.5</v>
      </c>
      <c r="K824" s="404">
        <v>91426</v>
      </c>
      <c r="N824"/>
      <c r="AF824" s="264"/>
    </row>
    <row r="825" spans="1:32" ht="14.25" customHeight="1">
      <c r="A825" s="260">
        <v>10145</v>
      </c>
      <c r="B825" s="260" t="s">
        <v>9657</v>
      </c>
      <c r="C825" s="274" t="s">
        <v>8556</v>
      </c>
      <c r="D825" s="438">
        <v>1797</v>
      </c>
      <c r="F825" s="404"/>
      <c r="G825" s="404">
        <v>1748</v>
      </c>
      <c r="H825" s="529" t="s">
        <v>8534</v>
      </c>
      <c r="I825" s="404" t="s">
        <v>4357</v>
      </c>
      <c r="J825" s="471">
        <v>159.16</v>
      </c>
      <c r="K825" s="404">
        <v>91450</v>
      </c>
      <c r="N825"/>
      <c r="AF825" s="264"/>
    </row>
    <row r="826" spans="1:32" ht="14.25" customHeight="1">
      <c r="A826" s="260">
        <v>101310</v>
      </c>
      <c r="B826" s="260" t="s">
        <v>9657</v>
      </c>
      <c r="C826" s="274" t="s">
        <v>8556</v>
      </c>
      <c r="D826" s="438">
        <v>599</v>
      </c>
      <c r="F826" s="404"/>
      <c r="G826" s="404">
        <v>1804</v>
      </c>
      <c r="H826" s="529" t="s">
        <v>8530</v>
      </c>
      <c r="I826" s="404" t="s">
        <v>4357</v>
      </c>
      <c r="J826" s="471">
        <v>865</v>
      </c>
      <c r="K826" s="404">
        <v>91466</v>
      </c>
      <c r="N826"/>
      <c r="AF826" s="264"/>
    </row>
    <row r="827" spans="1:32" ht="14.25" customHeight="1">
      <c r="A827" s="260">
        <v>83401</v>
      </c>
      <c r="B827" s="260" t="s">
        <v>9674</v>
      </c>
      <c r="C827" s="274" t="s">
        <v>9785</v>
      </c>
      <c r="D827" s="438">
        <v>1658.4749999999999</v>
      </c>
      <c r="F827" s="404"/>
      <c r="G827" s="404">
        <v>1798</v>
      </c>
      <c r="H827" s="529" t="s">
        <v>9677</v>
      </c>
      <c r="I827" s="404" t="s">
        <v>4357</v>
      </c>
      <c r="J827" s="471">
        <v>2991</v>
      </c>
      <c r="K827" s="404">
        <v>91484</v>
      </c>
      <c r="N827"/>
      <c r="AF827" s="264"/>
    </row>
    <row r="828" spans="1:32" ht="14.25" customHeight="1">
      <c r="A828" s="260">
        <v>2714134</v>
      </c>
      <c r="B828" s="260" t="s">
        <v>9675</v>
      </c>
      <c r="C828" s="274" t="s">
        <v>4401</v>
      </c>
      <c r="D828" s="438">
        <v>659.7</v>
      </c>
      <c r="F828" s="404"/>
      <c r="G828" s="404">
        <v>363833</v>
      </c>
      <c r="H828" s="529" t="s">
        <v>9694</v>
      </c>
      <c r="I828" s="404" t="s">
        <v>7371</v>
      </c>
      <c r="J828" s="471">
        <v>124</v>
      </c>
      <c r="K828" s="404">
        <v>91493</v>
      </c>
      <c r="N828"/>
      <c r="AF828" s="264"/>
    </row>
    <row r="829" spans="1:32" ht="14.25" customHeight="1">
      <c r="A829" s="260">
        <v>129162</v>
      </c>
      <c r="B829" s="260" t="s">
        <v>9676</v>
      </c>
      <c r="C829" s="274" t="s">
        <v>2989</v>
      </c>
      <c r="D829" s="438">
        <v>1866</v>
      </c>
      <c r="F829" s="404"/>
      <c r="G829" s="404">
        <v>20222</v>
      </c>
      <c r="H829" s="529" t="s">
        <v>9317</v>
      </c>
      <c r="I829" s="404" t="s">
        <v>9013</v>
      </c>
      <c r="J829" s="471">
        <v>6125</v>
      </c>
      <c r="K829" s="404">
        <v>91497</v>
      </c>
      <c r="N829"/>
      <c r="AF829" s="264"/>
    </row>
    <row r="830" spans="1:32" ht="14.25" customHeight="1">
      <c r="A830" s="260">
        <v>1798</v>
      </c>
      <c r="B830" s="260" t="s">
        <v>9677</v>
      </c>
      <c r="C830" s="274" t="s">
        <v>4357</v>
      </c>
      <c r="D830" s="438">
        <v>2991</v>
      </c>
      <c r="F830" s="404"/>
      <c r="G830" s="404">
        <v>20045</v>
      </c>
      <c r="H830" s="529" t="s">
        <v>9317</v>
      </c>
      <c r="I830" s="404" t="s">
        <v>9013</v>
      </c>
      <c r="J830" s="471">
        <v>16537.5</v>
      </c>
      <c r="K830" s="404">
        <v>91662</v>
      </c>
      <c r="N830"/>
      <c r="AF830" s="264"/>
    </row>
    <row r="831" spans="1:32" ht="14.25" customHeight="1">
      <c r="A831" s="260" t="s">
        <v>9878</v>
      </c>
      <c r="B831" s="260" t="s">
        <v>9680</v>
      </c>
      <c r="C831" s="274" t="s">
        <v>4380</v>
      </c>
      <c r="D831" s="438">
        <v>780</v>
      </c>
      <c r="F831" s="404"/>
      <c r="G831" s="404" t="s">
        <v>9878</v>
      </c>
      <c r="H831" s="529" t="s">
        <v>9680</v>
      </c>
      <c r="I831" s="404" t="s">
        <v>4380</v>
      </c>
      <c r="J831" s="471">
        <v>780</v>
      </c>
      <c r="K831" s="404">
        <v>91524</v>
      </c>
      <c r="N831"/>
      <c r="AF831" s="264"/>
    </row>
    <row r="832" spans="1:32" ht="14.25" customHeight="1">
      <c r="A832" s="260">
        <v>2706742</v>
      </c>
      <c r="B832" s="260" t="s">
        <v>9692</v>
      </c>
      <c r="C832" s="274" t="s">
        <v>4401</v>
      </c>
      <c r="D832" s="438">
        <v>145</v>
      </c>
      <c r="F832" s="404"/>
      <c r="G832" s="404">
        <v>62447</v>
      </c>
      <c r="H832" s="529" t="s">
        <v>8876</v>
      </c>
      <c r="I832" s="404" t="s">
        <v>5740</v>
      </c>
      <c r="J832" s="471">
        <v>173.4</v>
      </c>
      <c r="K832" s="404">
        <v>91683</v>
      </c>
      <c r="N832"/>
      <c r="AF832" s="264"/>
    </row>
    <row r="833" spans="1:33" ht="14.25" customHeight="1">
      <c r="A833" s="260">
        <v>363833</v>
      </c>
      <c r="B833" s="260" t="s">
        <v>9694</v>
      </c>
      <c r="C833" s="274" t="s">
        <v>7371</v>
      </c>
      <c r="D833" s="438">
        <v>124</v>
      </c>
      <c r="F833" s="404"/>
      <c r="G833" s="404">
        <v>1335915</v>
      </c>
      <c r="H833" s="529" t="s">
        <v>9702</v>
      </c>
      <c r="I833" s="404" t="s">
        <v>4398</v>
      </c>
      <c r="J833" s="471">
        <v>3360</v>
      </c>
      <c r="K833" s="404">
        <v>91677</v>
      </c>
      <c r="N833"/>
      <c r="AF833" s="264"/>
    </row>
    <row r="834" spans="1:33" ht="14.25" customHeight="1">
      <c r="A834" s="260">
        <v>108883</v>
      </c>
      <c r="B834" s="260" t="s">
        <v>9696</v>
      </c>
      <c r="C834" s="274" t="s">
        <v>7549</v>
      </c>
      <c r="D834" s="438">
        <v>965.99999999999989</v>
      </c>
      <c r="F834" s="404"/>
      <c r="G834" s="404">
        <v>108883</v>
      </c>
      <c r="H834" s="529" t="s">
        <v>9696</v>
      </c>
      <c r="I834" s="404" t="s">
        <v>7549</v>
      </c>
      <c r="J834" s="471">
        <v>966</v>
      </c>
      <c r="K834" s="404">
        <v>91507</v>
      </c>
      <c r="N834"/>
      <c r="AF834" s="264"/>
    </row>
    <row r="835" spans="1:33" ht="14.25" customHeight="1">
      <c r="A835" s="260">
        <v>1335915</v>
      </c>
      <c r="B835" s="260" t="s">
        <v>9702</v>
      </c>
      <c r="C835" s="274" t="s">
        <v>4398</v>
      </c>
      <c r="D835" s="438">
        <v>3360</v>
      </c>
      <c r="F835" s="404"/>
      <c r="G835" s="404">
        <v>28140</v>
      </c>
      <c r="H835" s="529" t="s">
        <v>9450</v>
      </c>
      <c r="I835" s="404" t="s">
        <v>8695</v>
      </c>
      <c r="J835" s="471">
        <v>1485</v>
      </c>
      <c r="K835" s="404">
        <v>91520</v>
      </c>
      <c r="N835"/>
      <c r="AF835" s="264"/>
    </row>
    <row r="836" spans="1:33" ht="14.25" customHeight="1">
      <c r="A836" s="260">
        <v>2718236</v>
      </c>
      <c r="B836" s="260" t="s">
        <v>9722</v>
      </c>
      <c r="C836" s="274" t="s">
        <v>4401</v>
      </c>
      <c r="D836" s="438">
        <v>1928</v>
      </c>
      <c r="F836" s="404"/>
      <c r="G836" s="45"/>
      <c r="H836" s="45"/>
      <c r="I836" s="405" t="s">
        <v>10009</v>
      </c>
      <c r="J836" s="483">
        <f>SUM(J800:J835)</f>
        <v>98537.4</v>
      </c>
      <c r="K836" s="404">
        <v>91693</v>
      </c>
      <c r="N836"/>
      <c r="AF836" s="264"/>
    </row>
    <row r="837" spans="1:33" ht="14.25" customHeight="1">
      <c r="A837" s="260">
        <v>129151</v>
      </c>
      <c r="B837" s="260" t="s">
        <v>9739</v>
      </c>
      <c r="C837" s="274" t="s">
        <v>2989</v>
      </c>
      <c r="D837" s="438">
        <v>148.5</v>
      </c>
      <c r="F837" s="404"/>
      <c r="G837" s="404">
        <v>468</v>
      </c>
      <c r="H837" s="529" t="s">
        <v>9625</v>
      </c>
      <c r="I837" s="404" t="s">
        <v>4465</v>
      </c>
      <c r="J837" s="471">
        <v>400</v>
      </c>
      <c r="K837" s="404"/>
      <c r="N837"/>
      <c r="AF837" s="264"/>
    </row>
    <row r="838" spans="1:33" ht="14.25" customHeight="1">
      <c r="A838" s="260">
        <v>10244</v>
      </c>
      <c r="B838" s="260" t="s">
        <v>9741</v>
      </c>
      <c r="C838" s="274" t="s">
        <v>9797</v>
      </c>
      <c r="D838" s="438">
        <v>1980</v>
      </c>
      <c r="N838"/>
      <c r="AF838" s="264"/>
    </row>
    <row r="839" spans="1:33" ht="14.25" customHeight="1">
      <c r="A839" s="260">
        <v>2718235</v>
      </c>
      <c r="B839" s="260" t="s">
        <v>9817</v>
      </c>
      <c r="C839" s="274" t="s">
        <v>4401</v>
      </c>
      <c r="D839" s="438">
        <v>6150</v>
      </c>
      <c r="F839" s="404"/>
      <c r="G839" s="404">
        <v>83401</v>
      </c>
      <c r="H839" s="529" t="s">
        <v>9674</v>
      </c>
      <c r="I839" s="404" t="s">
        <v>9785</v>
      </c>
      <c r="J839" s="471" t="s">
        <v>10078</v>
      </c>
      <c r="K839" s="404" t="s">
        <v>10076</v>
      </c>
      <c r="N839"/>
      <c r="AF839" s="264"/>
    </row>
    <row r="840" spans="1:33" ht="14.25" customHeight="1">
      <c r="F840" s="404"/>
      <c r="G840" s="404">
        <v>10244</v>
      </c>
      <c r="H840" s="529" t="s">
        <v>9741</v>
      </c>
      <c r="I840" s="404" t="s">
        <v>9797</v>
      </c>
      <c r="J840" s="471" t="s">
        <v>10077</v>
      </c>
      <c r="K840" s="404" t="s">
        <v>10076</v>
      </c>
      <c r="AF840" s="264"/>
    </row>
    <row r="841" spans="1:33" ht="14.25" customHeight="1">
      <c r="AF841" s="264"/>
    </row>
    <row r="842" spans="1:33" ht="14.25" customHeight="1">
      <c r="D842" s="439">
        <f>SUM(D801:D841)</f>
        <v>99775.875000000015</v>
      </c>
      <c r="AF842" s="264"/>
    </row>
    <row r="843" spans="1:33" ht="14.25" customHeight="1">
      <c r="AF843" s="264"/>
    </row>
    <row r="844" spans="1:33" ht="19.5" thickBot="1">
      <c r="C844" s="437"/>
      <c r="F844" s="404"/>
      <c r="G844" s="404"/>
      <c r="H844" s="404"/>
      <c r="I844" s="485" t="s">
        <v>10260</v>
      </c>
      <c r="J844" s="442" t="s">
        <v>9143</v>
      </c>
      <c r="K844" s="404"/>
      <c r="N844" s="562" t="s">
        <v>10261</v>
      </c>
      <c r="O844" s="386"/>
      <c r="P844" s="422" t="s">
        <v>7633</v>
      </c>
      <c r="AF844" s="264"/>
      <c r="AG844" s="264"/>
    </row>
    <row r="845" spans="1:33" ht="14.25" customHeight="1" thickTop="1">
      <c r="A845" s="280" t="s">
        <v>1844</v>
      </c>
      <c r="B845" s="280" t="s">
        <v>568</v>
      </c>
      <c r="C845" s="280" t="s">
        <v>0</v>
      </c>
      <c r="D845" s="280" t="s">
        <v>3669</v>
      </c>
      <c r="F845" s="340"/>
      <c r="G845" s="280" t="s">
        <v>1844</v>
      </c>
      <c r="H845" s="280" t="s">
        <v>568</v>
      </c>
      <c r="I845" s="281" t="s">
        <v>0</v>
      </c>
      <c r="J845" s="280" t="s">
        <v>3669</v>
      </c>
      <c r="K845" s="280" t="s">
        <v>2815</v>
      </c>
      <c r="N845" s="383" t="s">
        <v>2839</v>
      </c>
      <c r="O845" s="383" t="s">
        <v>2789</v>
      </c>
      <c r="P845" s="383" t="s">
        <v>1877</v>
      </c>
      <c r="Q845" s="190"/>
      <c r="T845" s="274"/>
      <c r="U845" s="438"/>
      <c r="AF845" s="264"/>
      <c r="AG845" s="264"/>
    </row>
    <row r="846" spans="1:33" ht="14.25" customHeight="1">
      <c r="A846" s="260">
        <v>8937</v>
      </c>
      <c r="B846" s="260" t="s">
        <v>8555</v>
      </c>
      <c r="C846" s="274" t="s">
        <v>7819</v>
      </c>
      <c r="D846" s="438">
        <v>4140.0999999999995</v>
      </c>
      <c r="F846" s="404">
        <v>1</v>
      </c>
      <c r="G846" s="404">
        <v>130302</v>
      </c>
      <c r="H846" s="404" t="s">
        <v>9916</v>
      </c>
      <c r="I846" s="443" t="s">
        <v>9981</v>
      </c>
      <c r="J846" s="471">
        <v>89.83</v>
      </c>
      <c r="K846" s="484">
        <v>14813</v>
      </c>
      <c r="L846" s="274" t="s">
        <v>10272</v>
      </c>
      <c r="N846" s="274" t="s">
        <v>8252</v>
      </c>
      <c r="AF846" s="264"/>
    </row>
    <row r="847" spans="1:33" ht="14.25" customHeight="1">
      <c r="A847" s="260">
        <v>8937</v>
      </c>
      <c r="B847" s="260" t="s">
        <v>8555</v>
      </c>
      <c r="C847" s="274" t="s">
        <v>7819</v>
      </c>
      <c r="D847" s="438">
        <v>4140.0999999999995</v>
      </c>
      <c r="F847" s="404">
        <v>2</v>
      </c>
      <c r="G847" s="404">
        <v>9244</v>
      </c>
      <c r="H847" s="404" t="s">
        <v>9992</v>
      </c>
      <c r="I847" s="443" t="s">
        <v>10075</v>
      </c>
      <c r="J847" s="471">
        <v>144</v>
      </c>
      <c r="K847" s="484">
        <v>14737</v>
      </c>
      <c r="L847" s="274" t="s">
        <v>10272</v>
      </c>
      <c r="N847" s="274" t="s">
        <v>3670</v>
      </c>
      <c r="AF847" s="264"/>
    </row>
    <row r="848" spans="1:33" ht="14.25" customHeight="1">
      <c r="A848" s="260">
        <v>8937</v>
      </c>
      <c r="B848" s="260" t="s">
        <v>8555</v>
      </c>
      <c r="C848" s="274" t="s">
        <v>7624</v>
      </c>
      <c r="D848" s="438">
        <v>435.8</v>
      </c>
      <c r="F848" s="404">
        <v>3</v>
      </c>
      <c r="G848" s="404">
        <v>130303</v>
      </c>
      <c r="H848" s="404" t="s">
        <v>9924</v>
      </c>
      <c r="I848" s="443" t="s">
        <v>9981</v>
      </c>
      <c r="J848" s="471">
        <v>149.16</v>
      </c>
      <c r="K848" s="484">
        <v>14748</v>
      </c>
      <c r="L848" s="274" t="s">
        <v>10272</v>
      </c>
      <c r="N848" s="274" t="s">
        <v>2989</v>
      </c>
      <c r="AF848" s="264"/>
    </row>
    <row r="849" spans="1:32" ht="14.25" customHeight="1">
      <c r="A849" s="260">
        <v>6037</v>
      </c>
      <c r="B849" s="260" t="s">
        <v>8818</v>
      </c>
      <c r="C849" s="274" t="s">
        <v>8252</v>
      </c>
      <c r="D849" s="438">
        <v>7065</v>
      </c>
      <c r="F849" s="404">
        <v>4</v>
      </c>
      <c r="G849" s="404">
        <v>378692</v>
      </c>
      <c r="H849" s="404" t="s">
        <v>9872</v>
      </c>
      <c r="I849" s="443" t="s">
        <v>7371</v>
      </c>
      <c r="J849" s="471">
        <v>200</v>
      </c>
      <c r="K849" s="484">
        <v>14762</v>
      </c>
      <c r="L849" s="274" t="s">
        <v>10272</v>
      </c>
      <c r="N849" s="563" t="s">
        <v>3663</v>
      </c>
      <c r="AF849" s="264"/>
    </row>
    <row r="850" spans="1:32" ht="14.25" customHeight="1">
      <c r="A850" s="260">
        <v>1316</v>
      </c>
      <c r="B850" s="260" t="s">
        <v>9242</v>
      </c>
      <c r="C850" s="274" t="s">
        <v>8596</v>
      </c>
      <c r="D850" s="438">
        <v>5905</v>
      </c>
      <c r="F850" s="404">
        <v>5</v>
      </c>
      <c r="G850" s="404">
        <v>133104</v>
      </c>
      <c r="H850" s="404" t="s">
        <v>9910</v>
      </c>
      <c r="I850" s="443" t="s">
        <v>2989</v>
      </c>
      <c r="J850" s="471">
        <v>250</v>
      </c>
      <c r="K850" s="484">
        <v>14793</v>
      </c>
      <c r="L850" s="274" t="s">
        <v>10272</v>
      </c>
      <c r="N850" s="274" t="s">
        <v>5754</v>
      </c>
      <c r="AF850" s="264"/>
    </row>
    <row r="851" spans="1:32" ht="14.25" customHeight="1">
      <c r="A851" s="260">
        <v>6037</v>
      </c>
      <c r="B851" s="260" t="s">
        <v>9399</v>
      </c>
      <c r="C851" s="274" t="s">
        <v>8252</v>
      </c>
      <c r="D851" s="438">
        <v>1177.5</v>
      </c>
      <c r="F851" s="404">
        <v>6</v>
      </c>
      <c r="G851" s="404">
        <v>569906</v>
      </c>
      <c r="H851" s="404" t="s">
        <v>9824</v>
      </c>
      <c r="I851" s="443" t="s">
        <v>7825</v>
      </c>
      <c r="J851" s="471">
        <v>257.14999999999998</v>
      </c>
      <c r="K851" s="484">
        <v>14800</v>
      </c>
      <c r="L851" s="274" t="s">
        <v>10272</v>
      </c>
      <c r="N851" s="274" t="s">
        <v>4401</v>
      </c>
      <c r="AF851" s="264"/>
    </row>
    <row r="852" spans="1:32" ht="14.25" customHeight="1">
      <c r="A852" s="260">
        <v>154616</v>
      </c>
      <c r="B852" s="260" t="s">
        <v>9456</v>
      </c>
      <c r="C852" s="274" t="s">
        <v>5754</v>
      </c>
      <c r="D852" s="438">
        <v>445.2</v>
      </c>
      <c r="F852" s="404">
        <v>7</v>
      </c>
      <c r="G852" s="419">
        <v>3945</v>
      </c>
      <c r="H852" s="419" t="s">
        <v>9789</v>
      </c>
      <c r="I852" s="420" t="s">
        <v>3670</v>
      </c>
      <c r="J852" s="474">
        <v>325</v>
      </c>
      <c r="K852" s="484">
        <v>3301</v>
      </c>
      <c r="L852" s="274" t="s">
        <v>10273</v>
      </c>
      <c r="N852" s="274" t="s">
        <v>9981</v>
      </c>
      <c r="AF852" s="264"/>
    </row>
    <row r="853" spans="1:32" ht="14.25" customHeight="1">
      <c r="A853" s="260">
        <v>6044</v>
      </c>
      <c r="B853" s="260" t="s">
        <v>9519</v>
      </c>
      <c r="C853" s="274" t="s">
        <v>8252</v>
      </c>
      <c r="D853" s="438">
        <v>3070.45</v>
      </c>
      <c r="F853" s="404">
        <v>8</v>
      </c>
      <c r="G853" s="404">
        <v>15689</v>
      </c>
      <c r="H853" s="404" t="s">
        <v>10098</v>
      </c>
      <c r="I853" s="443" t="s">
        <v>7268</v>
      </c>
      <c r="J853" s="471">
        <v>350</v>
      </c>
      <c r="K853" s="484">
        <v>16573</v>
      </c>
      <c r="L853" s="274" t="s">
        <v>10330</v>
      </c>
      <c r="N853" s="65" t="s">
        <v>3407</v>
      </c>
      <c r="AF853" s="264"/>
    </row>
    <row r="854" spans="1:32" ht="14.25" customHeight="1">
      <c r="A854" s="260">
        <v>6043</v>
      </c>
      <c r="B854" s="260" t="s">
        <v>9523</v>
      </c>
      <c r="C854" s="274" t="s">
        <v>8252</v>
      </c>
      <c r="D854" s="438">
        <v>4063.95</v>
      </c>
      <c r="F854" s="404">
        <v>9</v>
      </c>
      <c r="G854" s="404">
        <v>26162</v>
      </c>
      <c r="H854" s="404" t="s">
        <v>10130</v>
      </c>
      <c r="I854" s="443" t="s">
        <v>8452</v>
      </c>
      <c r="J854" s="471">
        <v>350</v>
      </c>
      <c r="K854" s="484">
        <v>14946</v>
      </c>
      <c r="L854" s="274" t="s">
        <v>10272</v>
      </c>
      <c r="N854" s="274" t="s">
        <v>3530</v>
      </c>
      <c r="AF854" s="264"/>
    </row>
    <row r="855" spans="1:32" ht="14.25" customHeight="1">
      <c r="A855" s="260">
        <v>70</v>
      </c>
      <c r="B855" s="260" t="s">
        <v>9580</v>
      </c>
      <c r="C855" s="274" t="s">
        <v>9711</v>
      </c>
      <c r="D855" s="438">
        <v>2800</v>
      </c>
      <c r="F855" s="404">
        <v>10</v>
      </c>
      <c r="G855" s="404">
        <v>87</v>
      </c>
      <c r="H855" s="404" t="s">
        <v>10024</v>
      </c>
      <c r="I855" s="443" t="s">
        <v>8240</v>
      </c>
      <c r="J855" s="471">
        <v>377</v>
      </c>
      <c r="K855" s="484">
        <v>15924</v>
      </c>
      <c r="L855" s="274" t="s">
        <v>10274</v>
      </c>
      <c r="N855" s="65" t="s">
        <v>9887</v>
      </c>
      <c r="AF855" s="264"/>
    </row>
    <row r="856" spans="1:32" ht="14.25" customHeight="1">
      <c r="A856" s="260">
        <v>1145</v>
      </c>
      <c r="B856" s="260" t="s">
        <v>9631</v>
      </c>
      <c r="C856" s="274" t="s">
        <v>3530</v>
      </c>
      <c r="D856" s="438">
        <v>15900</v>
      </c>
      <c r="F856" s="404">
        <v>11</v>
      </c>
      <c r="G856" s="404">
        <v>8998</v>
      </c>
      <c r="H856" s="404" t="s">
        <v>9922</v>
      </c>
      <c r="I856" s="443" t="s">
        <v>10075</v>
      </c>
      <c r="J856" s="471">
        <v>420</v>
      </c>
      <c r="K856" s="484">
        <v>14987</v>
      </c>
      <c r="L856" s="274" t="s">
        <v>10272</v>
      </c>
      <c r="N856" s="274" t="s">
        <v>8240</v>
      </c>
      <c r="AF856" s="264"/>
    </row>
    <row r="857" spans="1:32" ht="14.25" customHeight="1">
      <c r="A857" s="260">
        <v>83401</v>
      </c>
      <c r="B857" s="260" t="s">
        <v>9674</v>
      </c>
      <c r="C857" s="274" t="s">
        <v>9785</v>
      </c>
      <c r="D857" s="438">
        <v>1658.4749999999999</v>
      </c>
      <c r="F857" s="404">
        <v>12</v>
      </c>
      <c r="G857" s="419">
        <v>8937</v>
      </c>
      <c r="H857" s="419" t="s">
        <v>8555</v>
      </c>
      <c r="I857" s="420" t="s">
        <v>7624</v>
      </c>
      <c r="J857" s="474">
        <v>435.8</v>
      </c>
      <c r="K857" s="484">
        <v>3303</v>
      </c>
      <c r="L857" s="274" t="s">
        <v>10273</v>
      </c>
      <c r="N857" s="65" t="s">
        <v>9785</v>
      </c>
      <c r="AF857" s="264"/>
    </row>
    <row r="858" spans="1:32" ht="14.25" customHeight="1">
      <c r="A858" s="260">
        <v>378034</v>
      </c>
      <c r="B858" s="260" t="s">
        <v>9716</v>
      </c>
      <c r="C858" s="274" t="s">
        <v>7371</v>
      </c>
      <c r="D858" s="438">
        <v>1626.8</v>
      </c>
      <c r="F858" s="404">
        <v>13</v>
      </c>
      <c r="G858" s="404">
        <v>378421</v>
      </c>
      <c r="H858" s="404" t="s">
        <v>9822</v>
      </c>
      <c r="I858" s="443" t="s">
        <v>7371</v>
      </c>
      <c r="J858" s="471">
        <v>437.5</v>
      </c>
      <c r="K858" s="484">
        <v>14996</v>
      </c>
      <c r="L858" s="274" t="s">
        <v>10272</v>
      </c>
      <c r="N858" s="274" t="s">
        <v>7268</v>
      </c>
      <c r="AF858" s="264"/>
    </row>
    <row r="859" spans="1:32" ht="14.25" customHeight="1">
      <c r="A859" s="260">
        <v>378136</v>
      </c>
      <c r="B859" s="260" t="s">
        <v>9724</v>
      </c>
      <c r="C859" s="274" t="s">
        <v>7371</v>
      </c>
      <c r="D859" s="438">
        <v>8379</v>
      </c>
      <c r="F859" s="404">
        <v>14</v>
      </c>
      <c r="G859" s="404">
        <v>154616</v>
      </c>
      <c r="H859" s="404" t="s">
        <v>9456</v>
      </c>
      <c r="I859" s="443" t="s">
        <v>5754</v>
      </c>
      <c r="J859" s="471">
        <v>445.2</v>
      </c>
      <c r="K859" s="484">
        <v>14982</v>
      </c>
      <c r="L859" s="274" t="s">
        <v>10272</v>
      </c>
      <c r="N859" s="274" t="s">
        <v>4357</v>
      </c>
      <c r="AF859" s="264"/>
    </row>
    <row r="860" spans="1:32" ht="14.25" customHeight="1">
      <c r="A860" s="260">
        <v>1260736</v>
      </c>
      <c r="B860" s="260" t="s">
        <v>9730</v>
      </c>
      <c r="C860" s="274" t="s">
        <v>3663</v>
      </c>
      <c r="D860" s="438">
        <v>770.96400000000006</v>
      </c>
      <c r="F860" s="404">
        <v>15</v>
      </c>
      <c r="G860" s="404">
        <v>1929</v>
      </c>
      <c r="H860" s="404" t="s">
        <v>9835</v>
      </c>
      <c r="I860" s="443" t="s">
        <v>4357</v>
      </c>
      <c r="J860" s="471">
        <v>479.7</v>
      </c>
      <c r="K860" s="484">
        <v>16576</v>
      </c>
      <c r="L860" s="274" t="s">
        <v>10330</v>
      </c>
      <c r="N860" s="274" t="s">
        <v>9278</v>
      </c>
      <c r="AF860" s="264"/>
    </row>
    <row r="861" spans="1:32" ht="14.25" customHeight="1">
      <c r="A861" s="260">
        <v>91572</v>
      </c>
      <c r="B861" s="260" t="s">
        <v>9741</v>
      </c>
      <c r="C861" s="274" t="s">
        <v>9797</v>
      </c>
      <c r="D861" s="438">
        <v>1980</v>
      </c>
      <c r="F861" s="404">
        <v>16</v>
      </c>
      <c r="G861" s="404">
        <v>12197</v>
      </c>
      <c r="H861" s="404" t="s">
        <v>9767</v>
      </c>
      <c r="I861" s="443" t="s">
        <v>7337</v>
      </c>
      <c r="J861" s="471">
        <v>480</v>
      </c>
      <c r="K861" s="484">
        <v>16433</v>
      </c>
      <c r="L861" s="274" t="s">
        <v>10330</v>
      </c>
      <c r="N861" s="65" t="s">
        <v>7540</v>
      </c>
      <c r="AF861" s="264"/>
    </row>
    <row r="862" spans="1:32" ht="14.25" customHeight="1">
      <c r="A862" s="260">
        <v>130304</v>
      </c>
      <c r="B862" s="260" t="s">
        <v>9763</v>
      </c>
      <c r="C862" s="274" t="s">
        <v>9981</v>
      </c>
      <c r="D862" s="438">
        <v>600</v>
      </c>
      <c r="F862" s="404">
        <v>17</v>
      </c>
      <c r="G862" s="404">
        <v>9636</v>
      </c>
      <c r="H862" s="404" t="s">
        <v>10012</v>
      </c>
      <c r="I862" s="443" t="s">
        <v>4432</v>
      </c>
      <c r="J862" s="471">
        <v>517.5</v>
      </c>
      <c r="K862" s="484">
        <v>16438</v>
      </c>
      <c r="L862" s="274" t="s">
        <v>10330</v>
      </c>
      <c r="N862" s="65" t="s">
        <v>9797</v>
      </c>
      <c r="AF862" s="264"/>
    </row>
    <row r="863" spans="1:32" ht="14.25" customHeight="1">
      <c r="A863" s="260">
        <v>12197</v>
      </c>
      <c r="B863" s="260" t="s">
        <v>9767</v>
      </c>
      <c r="C863" s="274" t="s">
        <v>7337</v>
      </c>
      <c r="D863" s="438">
        <v>480</v>
      </c>
      <c r="F863" s="404">
        <v>18</v>
      </c>
      <c r="G863" s="404">
        <v>9249</v>
      </c>
      <c r="H863" s="404" t="s">
        <v>10099</v>
      </c>
      <c r="I863" s="443" t="s">
        <v>10075</v>
      </c>
      <c r="J863" s="471">
        <v>520</v>
      </c>
      <c r="K863" s="484">
        <v>16456</v>
      </c>
      <c r="L863" s="274" t="s">
        <v>10330</v>
      </c>
      <c r="N863" s="274" t="s">
        <v>7371</v>
      </c>
      <c r="AF863" s="264"/>
    </row>
    <row r="864" spans="1:32" ht="14.25" customHeight="1">
      <c r="A864" s="260">
        <v>1490626</v>
      </c>
      <c r="B864" s="260" t="s">
        <v>9786</v>
      </c>
      <c r="C864" s="274" t="s">
        <v>9887</v>
      </c>
      <c r="D864" s="438">
        <v>2580.6</v>
      </c>
      <c r="F864" s="404">
        <v>19</v>
      </c>
      <c r="G864" s="404">
        <v>15434</v>
      </c>
      <c r="H864" s="404" t="s">
        <v>9860</v>
      </c>
      <c r="I864" s="443" t="s">
        <v>7268</v>
      </c>
      <c r="J864" s="471">
        <v>546</v>
      </c>
      <c r="K864" s="484">
        <v>16510</v>
      </c>
      <c r="L864" s="274" t="s">
        <v>10330</v>
      </c>
      <c r="N864" s="65" t="s">
        <v>3882</v>
      </c>
      <c r="AF864" s="264"/>
    </row>
    <row r="865" spans="1:32" ht="14.25" customHeight="1">
      <c r="A865" s="260">
        <v>3945</v>
      </c>
      <c r="B865" s="260" t="s">
        <v>9789</v>
      </c>
      <c r="C865" s="274" t="s">
        <v>3670</v>
      </c>
      <c r="D865" s="438">
        <v>325</v>
      </c>
      <c r="F865" s="404">
        <v>20</v>
      </c>
      <c r="G865" s="404">
        <v>130304</v>
      </c>
      <c r="H865" s="404" t="s">
        <v>9763</v>
      </c>
      <c r="I865" s="443" t="s">
        <v>9981</v>
      </c>
      <c r="J865" s="471">
        <v>600</v>
      </c>
      <c r="K865" s="484">
        <v>16584</v>
      </c>
      <c r="L865" s="274" t="s">
        <v>10330</v>
      </c>
      <c r="N865" s="65" t="s">
        <v>9711</v>
      </c>
      <c r="AF865" s="264"/>
    </row>
    <row r="866" spans="1:32" ht="14.25" customHeight="1">
      <c r="A866" s="260">
        <v>2748251</v>
      </c>
      <c r="B866" s="260" t="s">
        <v>9809</v>
      </c>
      <c r="C866" s="274" t="s">
        <v>4401</v>
      </c>
      <c r="D866" s="438">
        <v>4080</v>
      </c>
      <c r="F866" s="404">
        <v>21</v>
      </c>
      <c r="G866" s="404">
        <v>384129</v>
      </c>
      <c r="H866" s="404" t="s">
        <v>10104</v>
      </c>
      <c r="I866" s="443" t="s">
        <v>7371</v>
      </c>
      <c r="J866" s="471">
        <v>650</v>
      </c>
      <c r="K866" s="484">
        <v>14860</v>
      </c>
      <c r="L866" s="274" t="s">
        <v>10272</v>
      </c>
      <c r="N866" s="274" t="s">
        <v>7825</v>
      </c>
      <c r="AF866" s="264"/>
    </row>
    <row r="867" spans="1:32" ht="14.25" customHeight="1">
      <c r="A867" s="260">
        <v>24927</v>
      </c>
      <c r="B867" s="260" t="s">
        <v>9813</v>
      </c>
      <c r="C867" s="274" t="s">
        <v>7472</v>
      </c>
      <c r="D867" s="438">
        <v>1139.6399999999999</v>
      </c>
      <c r="F867" s="404">
        <v>22</v>
      </c>
      <c r="G867" s="404">
        <v>1260736</v>
      </c>
      <c r="H867" s="404" t="s">
        <v>9730</v>
      </c>
      <c r="I867" s="443" t="s">
        <v>3663</v>
      </c>
      <c r="J867" s="471">
        <v>770.96</v>
      </c>
      <c r="K867" s="484">
        <v>14914</v>
      </c>
      <c r="L867" s="274" t="s">
        <v>10272</v>
      </c>
      <c r="N867" s="274" t="s">
        <v>7337</v>
      </c>
      <c r="AF867" s="264"/>
    </row>
    <row r="868" spans="1:32" ht="14.25" customHeight="1">
      <c r="A868" s="260">
        <v>2754412</v>
      </c>
      <c r="B868" s="260" t="s">
        <v>9815</v>
      </c>
      <c r="C868" s="274" t="s">
        <v>4401</v>
      </c>
      <c r="D868" s="438">
        <v>14460</v>
      </c>
      <c r="F868" s="404">
        <v>23</v>
      </c>
      <c r="G868" s="404">
        <v>2747323</v>
      </c>
      <c r="H868" s="404" t="s">
        <v>9914</v>
      </c>
      <c r="I868" s="443" t="s">
        <v>4401</v>
      </c>
      <c r="J868" s="471">
        <v>785</v>
      </c>
      <c r="K868" s="484">
        <v>14911</v>
      </c>
      <c r="L868" s="274" t="s">
        <v>10272</v>
      </c>
      <c r="N868" s="260" t="s">
        <v>8452</v>
      </c>
      <c r="AF868" s="264"/>
    </row>
    <row r="869" spans="1:32" ht="14.25" customHeight="1">
      <c r="A869" s="260">
        <v>378421</v>
      </c>
      <c r="B869" s="260" t="s">
        <v>9822</v>
      </c>
      <c r="C869" s="274" t="s">
        <v>7371</v>
      </c>
      <c r="D869" s="438">
        <v>437.5</v>
      </c>
      <c r="F869" s="404">
        <v>24</v>
      </c>
      <c r="G869" s="404">
        <v>6136</v>
      </c>
      <c r="H869" s="404" t="s">
        <v>10112</v>
      </c>
      <c r="I869" s="443" t="s">
        <v>8252</v>
      </c>
      <c r="J869" s="471">
        <v>817.5</v>
      </c>
      <c r="K869" s="484">
        <v>14905</v>
      </c>
      <c r="L869" s="274" t="s">
        <v>10272</v>
      </c>
      <c r="N869" s="482" t="s">
        <v>4380</v>
      </c>
      <c r="AF869" s="264"/>
    </row>
    <row r="870" spans="1:32" ht="14.25" customHeight="1">
      <c r="A870" s="260">
        <v>569906</v>
      </c>
      <c r="B870" s="260" t="s">
        <v>9824</v>
      </c>
      <c r="C870" s="274" t="s">
        <v>7825</v>
      </c>
      <c r="D870" s="438">
        <v>257.14499999999998</v>
      </c>
      <c r="F870" s="404">
        <v>25</v>
      </c>
      <c r="G870" s="404">
        <v>134162</v>
      </c>
      <c r="H870" s="404" t="s">
        <v>10020</v>
      </c>
      <c r="I870" s="443" t="s">
        <v>2989</v>
      </c>
      <c r="J870" s="471">
        <v>845</v>
      </c>
      <c r="K870" s="484">
        <v>15723</v>
      </c>
      <c r="L870" s="274" t="s">
        <v>10274</v>
      </c>
      <c r="N870" s="274" t="s">
        <v>10075</v>
      </c>
      <c r="AF870" s="264"/>
    </row>
    <row r="871" spans="1:32" ht="14.25" customHeight="1">
      <c r="A871" s="260">
        <v>15411</v>
      </c>
      <c r="B871" s="260" t="s">
        <v>9831</v>
      </c>
      <c r="C871" s="274" t="s">
        <v>7268</v>
      </c>
      <c r="D871" s="438">
        <v>22800</v>
      </c>
      <c r="F871" s="404">
        <v>26</v>
      </c>
      <c r="G871" s="404">
        <v>9339</v>
      </c>
      <c r="H871" s="404" t="s">
        <v>10026</v>
      </c>
      <c r="I871" s="443" t="s">
        <v>10075</v>
      </c>
      <c r="J871" s="471">
        <v>888</v>
      </c>
      <c r="K871" s="484">
        <v>16591</v>
      </c>
      <c r="L871" s="274" t="s">
        <v>10330</v>
      </c>
      <c r="N871" s="274" t="s">
        <v>7896</v>
      </c>
      <c r="AF871" s="264"/>
    </row>
    <row r="872" spans="1:32" ht="14.25" customHeight="1">
      <c r="A872" s="260">
        <v>2753189</v>
      </c>
      <c r="B872" s="260" t="s">
        <v>9833</v>
      </c>
      <c r="C872" s="274" t="s">
        <v>4401</v>
      </c>
      <c r="D872" s="438">
        <v>3640</v>
      </c>
      <c r="F872" s="404">
        <v>27</v>
      </c>
      <c r="G872" s="404">
        <v>110727</v>
      </c>
      <c r="H872" s="404" t="s">
        <v>10101</v>
      </c>
      <c r="I872" s="443" t="s">
        <v>7549</v>
      </c>
      <c r="J872" s="471">
        <v>910</v>
      </c>
      <c r="K872" s="484">
        <v>16630</v>
      </c>
      <c r="L872" s="274" t="s">
        <v>10330</v>
      </c>
      <c r="N872" s="65" t="s">
        <v>10148</v>
      </c>
      <c r="AF872" s="264"/>
    </row>
    <row r="873" spans="1:32" ht="14.25" customHeight="1">
      <c r="A873" s="260">
        <v>1929</v>
      </c>
      <c r="B873" s="260" t="s">
        <v>9835</v>
      </c>
      <c r="C873" s="274" t="s">
        <v>4357</v>
      </c>
      <c r="D873" s="438">
        <v>479.7</v>
      </c>
      <c r="F873" s="404">
        <v>28</v>
      </c>
      <c r="G873" s="404">
        <v>15424</v>
      </c>
      <c r="H873" s="404" t="s">
        <v>9926</v>
      </c>
      <c r="I873" s="443" t="s">
        <v>7268</v>
      </c>
      <c r="J873" s="471">
        <v>948.5</v>
      </c>
      <c r="K873" s="484">
        <v>16675</v>
      </c>
      <c r="L873" s="274" t="s">
        <v>10330</v>
      </c>
      <c r="N873" s="482" t="s">
        <v>4398</v>
      </c>
      <c r="AF873" s="264"/>
    </row>
    <row r="874" spans="1:32" ht="14.25" customHeight="1">
      <c r="A874" s="260">
        <v>2748766</v>
      </c>
      <c r="B874" s="260" t="s">
        <v>9841</v>
      </c>
      <c r="C874" s="274" t="s">
        <v>4401</v>
      </c>
      <c r="D874" s="438">
        <v>2800</v>
      </c>
      <c r="F874" s="404">
        <v>29</v>
      </c>
      <c r="G874" s="404">
        <v>523</v>
      </c>
      <c r="H874" s="404" t="s">
        <v>10022</v>
      </c>
      <c r="I874" s="443" t="s">
        <v>4465</v>
      </c>
      <c r="J874" s="471">
        <v>990</v>
      </c>
      <c r="K874" s="484">
        <v>16721</v>
      </c>
      <c r="L874" s="274" t="s">
        <v>10330</v>
      </c>
      <c r="N874" s="274" t="s">
        <v>4432</v>
      </c>
      <c r="AF874" s="264"/>
    </row>
    <row r="875" spans="1:32" ht="14.25" customHeight="1">
      <c r="A875" s="260">
        <v>2747390</v>
      </c>
      <c r="B875" s="260" t="s">
        <v>9839</v>
      </c>
      <c r="C875" s="274" t="s">
        <v>4401</v>
      </c>
      <c r="D875" s="438">
        <v>5640</v>
      </c>
      <c r="F875" s="404">
        <v>30</v>
      </c>
      <c r="G875" s="404">
        <v>24927</v>
      </c>
      <c r="H875" s="404" t="s">
        <v>9813</v>
      </c>
      <c r="I875" s="443" t="s">
        <v>7472</v>
      </c>
      <c r="J875" s="471">
        <v>1139.6400000000001</v>
      </c>
      <c r="K875" s="484">
        <v>17516</v>
      </c>
      <c r="L875" s="274" t="s">
        <v>10330</v>
      </c>
      <c r="N875" s="65" t="s">
        <v>3671</v>
      </c>
      <c r="AF875" s="264"/>
    </row>
    <row r="876" spans="1:32" ht="14.25" customHeight="1">
      <c r="A876" s="260">
        <v>15434</v>
      </c>
      <c r="B876" s="260" t="s">
        <v>9860</v>
      </c>
      <c r="C876" s="274" t="s">
        <v>7268</v>
      </c>
      <c r="D876" s="438">
        <v>546</v>
      </c>
      <c r="F876" s="404">
        <v>31</v>
      </c>
      <c r="G876" s="404">
        <v>1374</v>
      </c>
      <c r="H876" s="404" t="s">
        <v>10039</v>
      </c>
      <c r="I876" s="443" t="s">
        <v>7392</v>
      </c>
      <c r="J876" s="471">
        <v>1150</v>
      </c>
      <c r="K876" s="484">
        <v>17517</v>
      </c>
      <c r="L876" s="274" t="s">
        <v>10330</v>
      </c>
      <c r="N876" s="274" t="s">
        <v>7819</v>
      </c>
      <c r="AF876" s="264"/>
    </row>
    <row r="877" spans="1:32" ht="14.25" customHeight="1">
      <c r="A877" s="260">
        <v>378692</v>
      </c>
      <c r="B877" s="260" t="s">
        <v>9872</v>
      </c>
      <c r="C877" s="274" t="s">
        <v>7371</v>
      </c>
      <c r="D877" s="438">
        <v>200</v>
      </c>
      <c r="F877" s="404">
        <v>32</v>
      </c>
      <c r="G877" s="404">
        <v>379810</v>
      </c>
      <c r="H877" s="404" t="s">
        <v>9934</v>
      </c>
      <c r="I877" s="443" t="s">
        <v>7371</v>
      </c>
      <c r="J877" s="471">
        <v>1155.8399999999999</v>
      </c>
      <c r="K877" s="484">
        <v>17524</v>
      </c>
      <c r="L877" s="274" t="s">
        <v>10330</v>
      </c>
      <c r="N877" s="274" t="s">
        <v>8923</v>
      </c>
      <c r="AF877" s="264"/>
    </row>
    <row r="878" spans="1:32" ht="14.25" customHeight="1">
      <c r="A878" s="260">
        <v>156939</v>
      </c>
      <c r="B878" s="260" t="s">
        <v>9898</v>
      </c>
      <c r="C878" s="274" t="s">
        <v>9278</v>
      </c>
      <c r="D878" s="438">
        <v>2270.52</v>
      </c>
      <c r="F878" s="404">
        <v>33</v>
      </c>
      <c r="G878" s="404">
        <v>6037</v>
      </c>
      <c r="H878" s="404" t="s">
        <v>9399</v>
      </c>
      <c r="I878" s="443" t="s">
        <v>8252</v>
      </c>
      <c r="J878" s="471">
        <v>1177.5</v>
      </c>
      <c r="K878" s="484">
        <v>18111</v>
      </c>
      <c r="L878" s="274" t="s">
        <v>10331</v>
      </c>
      <c r="N878" s="274" t="s">
        <v>7549</v>
      </c>
      <c r="AF878" s="264"/>
    </row>
    <row r="879" spans="1:32" ht="14.25" customHeight="1">
      <c r="A879" s="260">
        <v>156939</v>
      </c>
      <c r="B879" s="260" t="s">
        <v>9898</v>
      </c>
      <c r="C879" s="274" t="s">
        <v>9278</v>
      </c>
      <c r="D879" s="438">
        <v>3086.1000000000004</v>
      </c>
      <c r="F879" s="404">
        <v>34</v>
      </c>
      <c r="G879" s="404">
        <v>71312</v>
      </c>
      <c r="H879" s="404" t="s">
        <v>10000</v>
      </c>
      <c r="I879" s="443" t="s">
        <v>3882</v>
      </c>
      <c r="J879" s="471">
        <v>1199.8</v>
      </c>
      <c r="K879" s="484">
        <v>18119</v>
      </c>
      <c r="L879" s="274" t="s">
        <v>10331</v>
      </c>
      <c r="N879" s="274" t="s">
        <v>8596</v>
      </c>
      <c r="AF879" s="264"/>
    </row>
    <row r="880" spans="1:32" ht="14.25" customHeight="1">
      <c r="A880" s="260">
        <v>156939</v>
      </c>
      <c r="B880" s="260" t="s">
        <v>9898</v>
      </c>
      <c r="C880" s="274" t="s">
        <v>9278</v>
      </c>
      <c r="D880" s="438">
        <v>7759.47</v>
      </c>
      <c r="F880" s="404">
        <v>35</v>
      </c>
      <c r="G880" s="404">
        <v>789</v>
      </c>
      <c r="H880" s="404" t="s">
        <v>10066</v>
      </c>
      <c r="I880" s="443" t="s">
        <v>3671</v>
      </c>
      <c r="J880" s="471">
        <v>1461.24</v>
      </c>
      <c r="K880" s="484">
        <v>18129</v>
      </c>
      <c r="L880" s="274" t="s">
        <v>10331</v>
      </c>
      <c r="N880" s="65" t="s">
        <v>7392</v>
      </c>
      <c r="AF880" s="264"/>
    </row>
    <row r="881" spans="1:32" ht="14.25" customHeight="1">
      <c r="A881" s="260">
        <v>156939</v>
      </c>
      <c r="B881" s="260" t="s">
        <v>9898</v>
      </c>
      <c r="C881" s="274" t="s">
        <v>9278</v>
      </c>
      <c r="D881" s="438">
        <v>2237.6799999999998</v>
      </c>
      <c r="F881" s="404">
        <v>36</v>
      </c>
      <c r="G881" s="419">
        <v>775</v>
      </c>
      <c r="H881" s="419" t="s">
        <v>10065</v>
      </c>
      <c r="I881" s="420" t="s">
        <v>7540</v>
      </c>
      <c r="J881" s="474">
        <v>1485</v>
      </c>
      <c r="K881" s="484">
        <v>3302</v>
      </c>
      <c r="L881" s="274" t="s">
        <v>10273</v>
      </c>
      <c r="N881" s="65" t="s">
        <v>7472</v>
      </c>
      <c r="AF881" s="264"/>
    </row>
    <row r="882" spans="1:32" ht="14.25" customHeight="1">
      <c r="A882" s="260">
        <v>156939</v>
      </c>
      <c r="B882" s="260" t="s">
        <v>9898</v>
      </c>
      <c r="C882" s="274" t="s">
        <v>9278</v>
      </c>
      <c r="D882" s="438">
        <v>1731.6</v>
      </c>
      <c r="F882" s="404">
        <v>37</v>
      </c>
      <c r="G882" s="404">
        <v>569914</v>
      </c>
      <c r="H882" s="404" t="s">
        <v>9912</v>
      </c>
      <c r="I882" s="443" t="s">
        <v>7825</v>
      </c>
      <c r="J882" s="471">
        <v>1567.5</v>
      </c>
      <c r="K882" s="484">
        <v>17977</v>
      </c>
      <c r="L882" s="274" t="s">
        <v>10331</v>
      </c>
      <c r="N882" s="65" t="s">
        <v>4465</v>
      </c>
      <c r="AF882" s="264"/>
    </row>
    <row r="883" spans="1:32" ht="14.25" customHeight="1">
      <c r="A883" s="260">
        <v>156939</v>
      </c>
      <c r="B883" s="260" t="s">
        <v>9898</v>
      </c>
      <c r="C883" s="274" t="s">
        <v>9278</v>
      </c>
      <c r="D883" s="438">
        <v>10315.92</v>
      </c>
      <c r="F883" s="404">
        <v>38</v>
      </c>
      <c r="G883" s="404">
        <v>378034</v>
      </c>
      <c r="H883" s="404" t="s">
        <v>9716</v>
      </c>
      <c r="I883" s="443" t="s">
        <v>7371</v>
      </c>
      <c r="J883" s="471">
        <v>1626.8</v>
      </c>
      <c r="K883" s="484">
        <v>18096</v>
      </c>
      <c r="L883" s="274" t="s">
        <v>10331</v>
      </c>
      <c r="N883"/>
      <c r="AF883" s="264"/>
    </row>
    <row r="884" spans="1:32" ht="14.25" customHeight="1">
      <c r="A884" s="260">
        <v>156939</v>
      </c>
      <c r="B884" s="260" t="s">
        <v>9898</v>
      </c>
      <c r="C884" s="274" t="s">
        <v>9278</v>
      </c>
      <c r="D884" s="438">
        <v>1130.05</v>
      </c>
      <c r="F884" s="404">
        <v>39</v>
      </c>
      <c r="G884" s="405">
        <v>83401</v>
      </c>
      <c r="H884" s="405" t="s">
        <v>9674</v>
      </c>
      <c r="I884" s="475" t="s">
        <v>9785</v>
      </c>
      <c r="J884" s="657">
        <v>1658.48</v>
      </c>
      <c r="K884" s="484">
        <v>18116</v>
      </c>
      <c r="L884" s="274" t="s">
        <v>10331</v>
      </c>
      <c r="M884" s="274" t="s">
        <v>10262</v>
      </c>
      <c r="N884"/>
      <c r="AF884" s="264"/>
    </row>
    <row r="885" spans="1:32" ht="14.25" customHeight="1">
      <c r="A885" s="260">
        <v>570780</v>
      </c>
      <c r="B885" s="260" t="s">
        <v>9906</v>
      </c>
      <c r="C885" s="274" t="s">
        <v>7825</v>
      </c>
      <c r="D885" s="438">
        <v>6750</v>
      </c>
      <c r="F885" s="404">
        <v>40</v>
      </c>
      <c r="G885" s="404">
        <v>1261703</v>
      </c>
      <c r="H885" s="404" t="s">
        <v>9930</v>
      </c>
      <c r="I885" s="443" t="s">
        <v>3663</v>
      </c>
      <c r="J885" s="471">
        <v>1671.86</v>
      </c>
      <c r="K885" s="484">
        <v>18118</v>
      </c>
      <c r="L885" s="274" t="s">
        <v>10331</v>
      </c>
      <c r="N885"/>
      <c r="AF885" s="264"/>
    </row>
    <row r="886" spans="1:32" ht="14.25" customHeight="1">
      <c r="A886" s="260">
        <v>570780</v>
      </c>
      <c r="B886" s="260" t="s">
        <v>9906</v>
      </c>
      <c r="C886" s="274" t="s">
        <v>7825</v>
      </c>
      <c r="D886" s="438">
        <v>6750</v>
      </c>
      <c r="F886" s="404">
        <v>41</v>
      </c>
      <c r="G886" s="404">
        <v>168083</v>
      </c>
      <c r="H886" s="404" t="s">
        <v>10100</v>
      </c>
      <c r="I886" s="443" t="s">
        <v>10148</v>
      </c>
      <c r="J886" s="471">
        <v>1905</v>
      </c>
      <c r="K886" s="484">
        <v>18150</v>
      </c>
      <c r="L886" s="274" t="s">
        <v>10331</v>
      </c>
      <c r="N886"/>
      <c r="AF886" s="264"/>
    </row>
    <row r="887" spans="1:32" ht="14.25" customHeight="1">
      <c r="A887" s="260">
        <v>133104</v>
      </c>
      <c r="B887" s="260" t="s">
        <v>9910</v>
      </c>
      <c r="C887" s="274" t="s">
        <v>2989</v>
      </c>
      <c r="D887" s="438">
        <v>250</v>
      </c>
      <c r="F887" s="404">
        <v>42</v>
      </c>
      <c r="G887" s="405">
        <v>91572</v>
      </c>
      <c r="H887" s="405" t="s">
        <v>9741</v>
      </c>
      <c r="I887" s="475" t="s">
        <v>9797</v>
      </c>
      <c r="J887" s="657">
        <v>1980</v>
      </c>
      <c r="K887" s="484">
        <v>18163</v>
      </c>
      <c r="L887" s="274" t="s">
        <v>10331</v>
      </c>
      <c r="M887" s="274" t="s">
        <v>10262</v>
      </c>
      <c r="N887"/>
      <c r="AF887" s="264"/>
    </row>
    <row r="888" spans="1:32" ht="14.25" customHeight="1">
      <c r="A888" s="260">
        <v>569914</v>
      </c>
      <c r="B888" s="260" t="s">
        <v>9912</v>
      </c>
      <c r="C888" s="274" t="s">
        <v>7825</v>
      </c>
      <c r="D888" s="438">
        <v>1567.5</v>
      </c>
      <c r="F888" s="404">
        <v>43</v>
      </c>
      <c r="G888" s="404">
        <v>379233</v>
      </c>
      <c r="H888" s="404" t="s">
        <v>9932</v>
      </c>
      <c r="I888" s="443" t="s">
        <v>7371</v>
      </c>
      <c r="J888" s="471">
        <v>2211.9</v>
      </c>
      <c r="K888" s="484">
        <v>18169</v>
      </c>
      <c r="L888" s="274" t="s">
        <v>10331</v>
      </c>
      <c r="N888"/>
      <c r="AF888" s="264"/>
    </row>
    <row r="889" spans="1:32" ht="14.25" customHeight="1">
      <c r="A889" s="260">
        <v>2747323</v>
      </c>
      <c r="B889" s="260" t="s">
        <v>9914</v>
      </c>
      <c r="C889" s="274" t="s">
        <v>4401</v>
      </c>
      <c r="D889" s="438">
        <v>785</v>
      </c>
      <c r="F889" s="404">
        <v>44</v>
      </c>
      <c r="G889" s="404">
        <v>1490626</v>
      </c>
      <c r="H889" s="404" t="s">
        <v>9786</v>
      </c>
      <c r="I889" s="443" t="s">
        <v>9887</v>
      </c>
      <c r="J889" s="471">
        <v>2580.6</v>
      </c>
      <c r="K889" s="484">
        <v>18180</v>
      </c>
      <c r="L889" s="274" t="s">
        <v>10331</v>
      </c>
      <c r="N889"/>
      <c r="AF889" s="264"/>
    </row>
    <row r="890" spans="1:32" ht="14.25" customHeight="1">
      <c r="A890" s="260">
        <v>130302</v>
      </c>
      <c r="B890" s="260" t="s">
        <v>9916</v>
      </c>
      <c r="C890" s="274" t="s">
        <v>9981</v>
      </c>
      <c r="D890" s="438">
        <v>89.83</v>
      </c>
      <c r="F890" s="404">
        <v>45</v>
      </c>
      <c r="G890" s="404">
        <v>2748766</v>
      </c>
      <c r="H890" s="404" t="s">
        <v>9841</v>
      </c>
      <c r="I890" s="443" t="s">
        <v>4401</v>
      </c>
      <c r="J890" s="471">
        <v>2800</v>
      </c>
      <c r="K890" s="484">
        <v>18194</v>
      </c>
      <c r="L890" s="274" t="s">
        <v>10331</v>
      </c>
      <c r="N890"/>
      <c r="AF890" s="264"/>
    </row>
    <row r="891" spans="1:32" ht="14.25" customHeight="1">
      <c r="A891" s="260">
        <v>8998</v>
      </c>
      <c r="B891" s="260" t="s">
        <v>9922</v>
      </c>
      <c r="C891" s="274" t="s">
        <v>10075</v>
      </c>
      <c r="D891" s="438">
        <v>420</v>
      </c>
      <c r="F891" s="404">
        <v>46</v>
      </c>
      <c r="G891" s="404">
        <v>70</v>
      </c>
      <c r="H891" s="404" t="s">
        <v>9580</v>
      </c>
      <c r="I891" s="443" t="s">
        <v>9711</v>
      </c>
      <c r="J891" s="471">
        <v>2800</v>
      </c>
      <c r="K891" s="484">
        <v>18194</v>
      </c>
      <c r="L891" s="274" t="s">
        <v>10331</v>
      </c>
      <c r="N891"/>
      <c r="AF891" s="264"/>
    </row>
    <row r="892" spans="1:32" ht="14.25" customHeight="1">
      <c r="A892" s="260">
        <v>130303</v>
      </c>
      <c r="B892" s="260" t="s">
        <v>9924</v>
      </c>
      <c r="C892" s="274" t="s">
        <v>9981</v>
      </c>
      <c r="D892" s="438">
        <v>149.16</v>
      </c>
      <c r="F892" s="404">
        <v>47</v>
      </c>
      <c r="G892" s="404">
        <v>927</v>
      </c>
      <c r="H892" s="404" t="s">
        <v>10067</v>
      </c>
      <c r="I892" s="443" t="s">
        <v>3407</v>
      </c>
      <c r="J892" s="471">
        <v>2847</v>
      </c>
      <c r="K892" s="484">
        <v>18034</v>
      </c>
      <c r="L892" s="274" t="s">
        <v>10331</v>
      </c>
      <c r="N892"/>
      <c r="AF892" s="264"/>
    </row>
    <row r="893" spans="1:32" ht="14.25" customHeight="1">
      <c r="A893" s="260">
        <v>15424</v>
      </c>
      <c r="B893" s="260" t="s">
        <v>9926</v>
      </c>
      <c r="C893" s="274" t="s">
        <v>7268</v>
      </c>
      <c r="D893" s="438">
        <v>948.5</v>
      </c>
      <c r="F893" s="404">
        <v>48</v>
      </c>
      <c r="G893" s="404">
        <v>6044</v>
      </c>
      <c r="H893" s="404" t="s">
        <v>9519</v>
      </c>
      <c r="I893" s="443" t="s">
        <v>8252</v>
      </c>
      <c r="J893" s="471">
        <v>3070.45</v>
      </c>
      <c r="K893" s="484">
        <v>14633</v>
      </c>
      <c r="L893" s="274" t="s">
        <v>10272</v>
      </c>
      <c r="N893"/>
      <c r="AF893" s="264"/>
    </row>
    <row r="894" spans="1:32" ht="14.25" customHeight="1">
      <c r="A894" s="260">
        <v>1261703</v>
      </c>
      <c r="B894" s="260" t="s">
        <v>9930</v>
      </c>
      <c r="C894" s="274" t="s">
        <v>3663</v>
      </c>
      <c r="D894" s="438">
        <v>1671.8625</v>
      </c>
      <c r="F894" s="404">
        <v>49</v>
      </c>
      <c r="G894" s="404">
        <v>2766041</v>
      </c>
      <c r="H894" s="404" t="s">
        <v>10151</v>
      </c>
      <c r="I894" s="443" t="s">
        <v>4401</v>
      </c>
      <c r="J894" s="471">
        <v>3500</v>
      </c>
      <c r="K894" s="484">
        <v>18039</v>
      </c>
      <c r="L894" s="274" t="s">
        <v>10331</v>
      </c>
      <c r="N894"/>
      <c r="AF894" s="264"/>
    </row>
    <row r="895" spans="1:32" ht="14.25" customHeight="1">
      <c r="A895" s="260">
        <v>379233</v>
      </c>
      <c r="B895" s="260" t="s">
        <v>9932</v>
      </c>
      <c r="C895" s="274" t="s">
        <v>7371</v>
      </c>
      <c r="D895" s="438">
        <v>2211.9</v>
      </c>
      <c r="F895" s="404">
        <v>50</v>
      </c>
      <c r="G895" s="404">
        <v>2753189</v>
      </c>
      <c r="H895" s="404" t="s">
        <v>9833</v>
      </c>
      <c r="I895" s="443" t="s">
        <v>4401</v>
      </c>
      <c r="J895" s="471">
        <v>3640</v>
      </c>
      <c r="K895" s="484">
        <v>18047</v>
      </c>
      <c r="L895" s="274" t="s">
        <v>10331</v>
      </c>
      <c r="N895"/>
      <c r="AF895" s="264"/>
    </row>
    <row r="896" spans="1:32" ht="14.25" customHeight="1">
      <c r="A896" s="260">
        <v>379810</v>
      </c>
      <c r="B896" s="260" t="s">
        <v>9934</v>
      </c>
      <c r="C896" s="274" t="s">
        <v>7371</v>
      </c>
      <c r="D896" s="438">
        <v>1155.8399999999999</v>
      </c>
      <c r="F896" s="404">
        <v>51</v>
      </c>
      <c r="G896" s="404">
        <v>932</v>
      </c>
      <c r="H896" s="404" t="s">
        <v>9948</v>
      </c>
      <c r="I896" s="443" t="s">
        <v>3407</v>
      </c>
      <c r="J896" s="471">
        <v>3828</v>
      </c>
      <c r="K896" s="484">
        <v>18090</v>
      </c>
      <c r="L896" s="274" t="s">
        <v>10331</v>
      </c>
      <c r="N896"/>
      <c r="AF896" s="264"/>
    </row>
    <row r="897" spans="1:32" ht="14.25" customHeight="1">
      <c r="A897" s="260">
        <v>932</v>
      </c>
      <c r="B897" s="260" t="s">
        <v>9948</v>
      </c>
      <c r="C897" s="274" t="s">
        <v>3407</v>
      </c>
      <c r="D897" s="438">
        <v>1914</v>
      </c>
      <c r="F897" s="404">
        <v>52</v>
      </c>
      <c r="G897" s="404">
        <v>6043</v>
      </c>
      <c r="H897" s="404" t="s">
        <v>9523</v>
      </c>
      <c r="I897" s="443" t="s">
        <v>8252</v>
      </c>
      <c r="J897" s="471">
        <v>4063.95</v>
      </c>
      <c r="K897" s="484">
        <v>18095</v>
      </c>
      <c r="L897" s="274" t="s">
        <v>10331</v>
      </c>
      <c r="N897"/>
      <c r="AF897" s="264"/>
    </row>
    <row r="898" spans="1:32" ht="14.25" customHeight="1">
      <c r="A898" s="260">
        <v>932</v>
      </c>
      <c r="B898" s="260" t="s">
        <v>9948</v>
      </c>
      <c r="C898" s="274" t="s">
        <v>3407</v>
      </c>
      <c r="D898" s="438">
        <v>1914</v>
      </c>
      <c r="F898" s="404">
        <v>53</v>
      </c>
      <c r="G898" s="404">
        <v>2748251</v>
      </c>
      <c r="H898" s="404" t="s">
        <v>9809</v>
      </c>
      <c r="I898" s="443" t="s">
        <v>4401</v>
      </c>
      <c r="J898" s="471">
        <v>4080</v>
      </c>
      <c r="K898" s="484">
        <v>18092</v>
      </c>
      <c r="L898" s="274" t="s">
        <v>10331</v>
      </c>
      <c r="N898"/>
      <c r="AF898" s="264"/>
    </row>
    <row r="899" spans="1:32" ht="14.25" customHeight="1">
      <c r="A899" s="260">
        <v>157713</v>
      </c>
      <c r="B899" s="260" t="s">
        <v>9982</v>
      </c>
      <c r="C899" s="274" t="s">
        <v>9278</v>
      </c>
      <c r="D899" s="438">
        <v>4288.21</v>
      </c>
      <c r="F899" s="404">
        <v>54</v>
      </c>
      <c r="G899" s="404">
        <v>157713</v>
      </c>
      <c r="H899" s="404" t="s">
        <v>9982</v>
      </c>
      <c r="I899" s="443" t="s">
        <v>9278</v>
      </c>
      <c r="J899" s="471">
        <v>4288.21</v>
      </c>
      <c r="K899" s="484">
        <v>18102</v>
      </c>
      <c r="L899" s="274" t="s">
        <v>10331</v>
      </c>
      <c r="N899"/>
      <c r="AF899" s="264"/>
    </row>
    <row r="900" spans="1:32" ht="14.25" customHeight="1">
      <c r="A900" s="260">
        <v>380907</v>
      </c>
      <c r="B900" s="260" t="s">
        <v>9990</v>
      </c>
      <c r="C900" s="274" t="s">
        <v>7371</v>
      </c>
      <c r="D900" s="438">
        <v>11600</v>
      </c>
      <c r="F900" s="404">
        <v>55</v>
      </c>
      <c r="G900" s="404">
        <v>2747390</v>
      </c>
      <c r="H900" s="404" t="s">
        <v>9839</v>
      </c>
      <c r="I900" s="443" t="s">
        <v>4401</v>
      </c>
      <c r="J900" s="471">
        <v>5640</v>
      </c>
      <c r="K900" s="484">
        <v>18106</v>
      </c>
      <c r="L900" s="274" t="s">
        <v>10331</v>
      </c>
      <c r="N900"/>
      <c r="AF900" s="264"/>
    </row>
    <row r="901" spans="1:32" ht="14.25" customHeight="1">
      <c r="A901" s="260">
        <v>9244</v>
      </c>
      <c r="B901" s="260" t="s">
        <v>9992</v>
      </c>
      <c r="C901" s="274" t="s">
        <v>10075</v>
      </c>
      <c r="D901" s="438">
        <v>144</v>
      </c>
      <c r="F901" s="404">
        <v>56</v>
      </c>
      <c r="G901" s="404">
        <v>1316</v>
      </c>
      <c r="H901" s="404" t="s">
        <v>9242</v>
      </c>
      <c r="I901" s="443" t="s">
        <v>8596</v>
      </c>
      <c r="J901" s="471">
        <v>5905</v>
      </c>
      <c r="K901" s="484">
        <v>18110</v>
      </c>
      <c r="L901" s="274" t="s">
        <v>10331</v>
      </c>
      <c r="N901"/>
      <c r="AF901" s="264"/>
    </row>
    <row r="902" spans="1:32" ht="14.25" customHeight="1">
      <c r="A902" s="260">
        <v>2762046</v>
      </c>
      <c r="B902" s="260" t="s">
        <v>9998</v>
      </c>
      <c r="C902" s="274" t="s">
        <v>4401</v>
      </c>
      <c r="D902" s="438">
        <v>6440.0000000000009</v>
      </c>
      <c r="F902" s="404">
        <v>57</v>
      </c>
      <c r="G902" s="404">
        <v>2762046</v>
      </c>
      <c r="H902" s="404" t="s">
        <v>9998</v>
      </c>
      <c r="I902" s="443" t="s">
        <v>4401</v>
      </c>
      <c r="J902" s="471">
        <v>6440</v>
      </c>
      <c r="K902" s="484">
        <v>15580</v>
      </c>
      <c r="L902" s="274" t="s">
        <v>10274</v>
      </c>
      <c r="N902"/>
      <c r="AF902" s="264"/>
    </row>
    <row r="903" spans="1:32" ht="14.25" customHeight="1">
      <c r="A903" s="260">
        <v>71312</v>
      </c>
      <c r="B903" s="260" t="s">
        <v>10000</v>
      </c>
      <c r="C903" s="274" t="s">
        <v>3882</v>
      </c>
      <c r="D903" s="438">
        <v>1199.8</v>
      </c>
      <c r="F903" s="404">
        <v>58</v>
      </c>
      <c r="G903" s="404">
        <v>9243</v>
      </c>
      <c r="H903" s="404" t="s">
        <v>10087</v>
      </c>
      <c r="I903" s="443" t="s">
        <v>10075</v>
      </c>
      <c r="J903" s="471">
        <v>6720</v>
      </c>
      <c r="K903" s="484">
        <v>15615</v>
      </c>
      <c r="L903" s="274" t="s">
        <v>10274</v>
      </c>
      <c r="N903"/>
      <c r="AF903" s="264"/>
    </row>
    <row r="904" spans="1:32" ht="14.25" customHeight="1">
      <c r="A904" s="260">
        <v>9636</v>
      </c>
      <c r="B904" s="260" t="s">
        <v>10012</v>
      </c>
      <c r="C904" s="274" t="s">
        <v>4432</v>
      </c>
      <c r="D904" s="438">
        <v>517.5</v>
      </c>
      <c r="F904" s="404">
        <v>59</v>
      </c>
      <c r="G904" s="404">
        <v>9242</v>
      </c>
      <c r="H904" s="404" t="s">
        <v>10088</v>
      </c>
      <c r="I904" s="443" t="s">
        <v>10075</v>
      </c>
      <c r="J904" s="471">
        <v>7020</v>
      </c>
      <c r="K904" s="484">
        <v>15641</v>
      </c>
      <c r="L904" s="274" t="s">
        <v>10274</v>
      </c>
      <c r="N904"/>
      <c r="AF904" s="264"/>
    </row>
    <row r="905" spans="1:32" ht="14.25" customHeight="1">
      <c r="A905" s="260">
        <v>134162</v>
      </c>
      <c r="B905" s="260" t="s">
        <v>10020</v>
      </c>
      <c r="C905" s="274" t="s">
        <v>2989</v>
      </c>
      <c r="D905" s="438">
        <v>420</v>
      </c>
      <c r="F905" s="404">
        <v>60</v>
      </c>
      <c r="G905" s="404">
        <v>6037</v>
      </c>
      <c r="H905" s="404" t="s">
        <v>8818</v>
      </c>
      <c r="I905" s="443" t="s">
        <v>8252</v>
      </c>
      <c r="J905" s="471">
        <v>7065</v>
      </c>
      <c r="K905" s="484">
        <v>15758</v>
      </c>
      <c r="L905" s="274" t="s">
        <v>10274</v>
      </c>
      <c r="N905"/>
      <c r="AF905" s="264"/>
    </row>
    <row r="906" spans="1:32" ht="14.25" customHeight="1">
      <c r="A906" s="260">
        <v>134162</v>
      </c>
      <c r="B906" s="260" t="s">
        <v>10020</v>
      </c>
      <c r="C906" s="274" t="s">
        <v>2989</v>
      </c>
      <c r="D906" s="438">
        <v>425</v>
      </c>
      <c r="F906" s="404">
        <v>61</v>
      </c>
      <c r="G906" s="404">
        <v>3451</v>
      </c>
      <c r="H906" s="404" t="s">
        <v>10085</v>
      </c>
      <c r="I906" s="443" t="s">
        <v>8923</v>
      </c>
      <c r="J906" s="471">
        <v>7286.1</v>
      </c>
      <c r="K906" s="484">
        <v>14522</v>
      </c>
      <c r="L906" s="274" t="s">
        <v>10272</v>
      </c>
      <c r="N906"/>
      <c r="AF906" s="264"/>
    </row>
    <row r="907" spans="1:32" ht="14.25" customHeight="1">
      <c r="A907" s="260">
        <v>523</v>
      </c>
      <c r="B907" s="260" t="s">
        <v>10022</v>
      </c>
      <c r="C907" s="274" t="s">
        <v>4465</v>
      </c>
      <c r="D907" s="438">
        <v>990</v>
      </c>
      <c r="F907" s="404">
        <v>62</v>
      </c>
      <c r="G907" s="404">
        <v>8937</v>
      </c>
      <c r="H907" s="404" t="s">
        <v>8555</v>
      </c>
      <c r="I907" s="443" t="s">
        <v>7819</v>
      </c>
      <c r="J907" s="471">
        <v>8280.2000000000007</v>
      </c>
      <c r="K907" s="484">
        <v>14534</v>
      </c>
      <c r="L907" s="274" t="s">
        <v>10272</v>
      </c>
      <c r="N907"/>
      <c r="AF907" s="264"/>
    </row>
    <row r="908" spans="1:32" ht="14.25" customHeight="1">
      <c r="A908" s="260">
        <v>87</v>
      </c>
      <c r="B908" s="260" t="s">
        <v>10024</v>
      </c>
      <c r="C908" s="274" t="s">
        <v>8240</v>
      </c>
      <c r="D908" s="438">
        <v>377</v>
      </c>
      <c r="F908" s="404">
        <v>63</v>
      </c>
      <c r="G908" s="404">
        <v>378136</v>
      </c>
      <c r="H908" s="404" t="s">
        <v>9724</v>
      </c>
      <c r="I908" s="443" t="s">
        <v>7371</v>
      </c>
      <c r="J908" s="471">
        <v>8379</v>
      </c>
      <c r="K908" s="484">
        <v>14546</v>
      </c>
      <c r="L908" s="274" t="s">
        <v>10272</v>
      </c>
      <c r="N908"/>
      <c r="AF908" s="264"/>
    </row>
    <row r="909" spans="1:32" ht="14.25" customHeight="1">
      <c r="A909" s="260">
        <v>9339</v>
      </c>
      <c r="B909" s="260" t="s">
        <v>10026</v>
      </c>
      <c r="C909" s="274" t="s">
        <v>10075</v>
      </c>
      <c r="D909" s="438">
        <v>888.00000000000011</v>
      </c>
      <c r="F909" s="404">
        <v>64</v>
      </c>
      <c r="G909" s="404">
        <v>573938</v>
      </c>
      <c r="H909" s="404" t="s">
        <v>10049</v>
      </c>
      <c r="I909" s="443" t="s">
        <v>7825</v>
      </c>
      <c r="J909" s="471">
        <v>10196.799999999999</v>
      </c>
      <c r="K909" s="484">
        <v>14550</v>
      </c>
      <c r="L909" s="274" t="s">
        <v>10272</v>
      </c>
      <c r="N909"/>
      <c r="AF909" s="264"/>
    </row>
    <row r="910" spans="1:32" ht="14.25" customHeight="1">
      <c r="A910" s="260">
        <v>1374</v>
      </c>
      <c r="B910" s="260" t="s">
        <v>10039</v>
      </c>
      <c r="C910" s="274" t="s">
        <v>7392</v>
      </c>
      <c r="D910" s="438">
        <v>1150</v>
      </c>
      <c r="F910" s="404">
        <v>65</v>
      </c>
      <c r="G910" s="404">
        <v>380907</v>
      </c>
      <c r="H910" s="404" t="s">
        <v>9990</v>
      </c>
      <c r="I910" s="443" t="s">
        <v>7371</v>
      </c>
      <c r="J910" s="471">
        <v>11600</v>
      </c>
      <c r="K910" s="484">
        <v>14555</v>
      </c>
      <c r="L910" s="274" t="s">
        <v>10272</v>
      </c>
      <c r="N910"/>
      <c r="AF910" s="264"/>
    </row>
    <row r="911" spans="1:32" ht="14.25" customHeight="1">
      <c r="A911" s="260">
        <v>573938</v>
      </c>
      <c r="B911" s="260" t="s">
        <v>10049</v>
      </c>
      <c r="C911" s="274" t="s">
        <v>7825</v>
      </c>
      <c r="D911" s="438">
        <v>6373</v>
      </c>
      <c r="F911" s="404">
        <v>66</v>
      </c>
      <c r="G911" s="404">
        <v>570780</v>
      </c>
      <c r="H911" s="404" t="s">
        <v>9906</v>
      </c>
      <c r="I911" s="443" t="s">
        <v>7825</v>
      </c>
      <c r="J911" s="471">
        <v>13500</v>
      </c>
      <c r="K911" s="484">
        <v>14563</v>
      </c>
      <c r="L911" s="274" t="s">
        <v>10272</v>
      </c>
      <c r="N911"/>
      <c r="AF911" s="264"/>
    </row>
    <row r="912" spans="1:32" ht="14.25" customHeight="1">
      <c r="A912" s="260">
        <v>573938</v>
      </c>
      <c r="B912" s="260" t="s">
        <v>10049</v>
      </c>
      <c r="C912" s="274" t="s">
        <v>7825</v>
      </c>
      <c r="D912" s="438">
        <v>3823.7999999999997</v>
      </c>
      <c r="F912" s="404">
        <v>67</v>
      </c>
      <c r="G912" s="404">
        <v>2754412</v>
      </c>
      <c r="H912" s="404" t="s">
        <v>9815</v>
      </c>
      <c r="I912" s="443" t="s">
        <v>4401</v>
      </c>
      <c r="J912" s="471">
        <v>14460</v>
      </c>
      <c r="K912" s="484">
        <v>14580</v>
      </c>
      <c r="L912" s="274" t="s">
        <v>10272</v>
      </c>
      <c r="N912"/>
      <c r="AF912" s="264"/>
    </row>
    <row r="913" spans="1:32" ht="14.25" customHeight="1">
      <c r="A913" s="260">
        <v>775</v>
      </c>
      <c r="B913" s="260" t="s">
        <v>10065</v>
      </c>
      <c r="C913" s="274" t="s">
        <v>7540</v>
      </c>
      <c r="D913" s="438">
        <v>1485</v>
      </c>
      <c r="F913" s="404">
        <v>68</v>
      </c>
      <c r="G913" s="404">
        <v>46100</v>
      </c>
      <c r="H913" s="404" t="s">
        <v>10085</v>
      </c>
      <c r="I913" s="443" t="s">
        <v>7896</v>
      </c>
      <c r="J913" s="471">
        <v>15345</v>
      </c>
      <c r="K913" s="484">
        <v>14602</v>
      </c>
      <c r="L913" s="274" t="s">
        <v>10272</v>
      </c>
      <c r="N913"/>
      <c r="AF913" s="264"/>
    </row>
    <row r="914" spans="1:32" ht="14.25" customHeight="1">
      <c r="A914" s="260">
        <v>789</v>
      </c>
      <c r="B914" s="260" t="s">
        <v>10066</v>
      </c>
      <c r="C914" s="274" t="s">
        <v>3671</v>
      </c>
      <c r="D914" s="438">
        <v>1461.24</v>
      </c>
      <c r="F914" s="404">
        <v>69</v>
      </c>
      <c r="G914" s="404">
        <v>1145</v>
      </c>
      <c r="H914" s="404" t="s">
        <v>9631</v>
      </c>
      <c r="I914" s="443" t="s">
        <v>3530</v>
      </c>
      <c r="J914" s="471">
        <v>15900</v>
      </c>
      <c r="K914" s="484">
        <v>18621</v>
      </c>
      <c r="L914" s="274" t="s">
        <v>10332</v>
      </c>
      <c r="N914"/>
      <c r="AF914" s="264"/>
    </row>
    <row r="915" spans="1:32" ht="14.25" customHeight="1">
      <c r="A915" s="260">
        <v>927</v>
      </c>
      <c r="B915" s="260" t="s">
        <v>10067</v>
      </c>
      <c r="C915" s="274" t="s">
        <v>3407</v>
      </c>
      <c r="D915" s="438">
        <v>2397</v>
      </c>
      <c r="F915" s="404">
        <v>70</v>
      </c>
      <c r="G915" s="404">
        <v>15411</v>
      </c>
      <c r="H915" s="404" t="s">
        <v>9831</v>
      </c>
      <c r="I915" s="443" t="s">
        <v>7268</v>
      </c>
      <c r="J915" s="471">
        <v>22800</v>
      </c>
      <c r="K915" s="484">
        <v>18616</v>
      </c>
      <c r="L915" s="274" t="s">
        <v>10332</v>
      </c>
      <c r="N915"/>
      <c r="AF915" s="264"/>
    </row>
    <row r="916" spans="1:32" ht="14.25" customHeight="1">
      <c r="A916" s="260">
        <v>927</v>
      </c>
      <c r="B916" s="260" t="s">
        <v>10067</v>
      </c>
      <c r="C916" s="274" t="s">
        <v>3407</v>
      </c>
      <c r="D916" s="438">
        <v>450</v>
      </c>
      <c r="F916" s="404">
        <v>71</v>
      </c>
      <c r="G916" s="404">
        <v>156939</v>
      </c>
      <c r="H916" s="404" t="s">
        <v>9898</v>
      </c>
      <c r="I916" s="443" t="s">
        <v>9278</v>
      </c>
      <c r="J916" s="471">
        <v>28531.34</v>
      </c>
      <c r="K916" s="484">
        <v>14618</v>
      </c>
      <c r="L916" s="274" t="s">
        <v>10272</v>
      </c>
      <c r="N916"/>
      <c r="AF916" s="264"/>
    </row>
    <row r="917" spans="1:32" ht="14.25" customHeight="1">
      <c r="A917" s="260">
        <v>46100</v>
      </c>
      <c r="B917" s="260" t="s">
        <v>10085</v>
      </c>
      <c r="C917" s="274" t="s">
        <v>7896</v>
      </c>
      <c r="D917" s="438">
        <v>15345</v>
      </c>
      <c r="G917" s="342"/>
      <c r="H917" s="342"/>
      <c r="I917" s="658" t="s">
        <v>1876</v>
      </c>
      <c r="J917" s="483">
        <f>SUM(J846:J916)</f>
        <v>268936.01</v>
      </c>
      <c r="K917" s="266"/>
      <c r="N917"/>
      <c r="AF917" s="264"/>
    </row>
    <row r="918" spans="1:32" ht="14.25" customHeight="1">
      <c r="A918" s="260">
        <v>3451</v>
      </c>
      <c r="B918" s="260" t="s">
        <v>10085</v>
      </c>
      <c r="C918" s="274" t="s">
        <v>8923</v>
      </c>
      <c r="D918" s="438">
        <v>7286.0999999999995</v>
      </c>
      <c r="G918"/>
      <c r="H918"/>
      <c r="I918"/>
      <c r="J918" s="659"/>
      <c r="N918"/>
      <c r="AF918" s="264"/>
    </row>
    <row r="919" spans="1:32" ht="14.25" customHeight="1">
      <c r="A919" s="260">
        <v>9243</v>
      </c>
      <c r="B919" s="260" t="s">
        <v>10087</v>
      </c>
      <c r="C919" s="274" t="s">
        <v>10075</v>
      </c>
      <c r="D919" s="438">
        <v>6720</v>
      </c>
      <c r="G919"/>
      <c r="H919"/>
      <c r="I919"/>
      <c r="J919" s="660"/>
      <c r="N919"/>
      <c r="AF919" s="264"/>
    </row>
    <row r="920" spans="1:32" ht="14.25" customHeight="1">
      <c r="A920" s="260">
        <v>9242</v>
      </c>
      <c r="B920" s="260" t="s">
        <v>10088</v>
      </c>
      <c r="C920" s="274" t="s">
        <v>10075</v>
      </c>
      <c r="D920" s="438">
        <v>7020</v>
      </c>
      <c r="G920"/>
      <c r="H920"/>
      <c r="I920"/>
      <c r="J920"/>
      <c r="N920"/>
      <c r="AF920" s="264"/>
    </row>
    <row r="921" spans="1:32" ht="14.25" customHeight="1">
      <c r="A921" s="260">
        <v>15689</v>
      </c>
      <c r="B921" s="260" t="s">
        <v>10098</v>
      </c>
      <c r="C921" s="274" t="s">
        <v>7268</v>
      </c>
      <c r="D921" s="438">
        <v>350</v>
      </c>
      <c r="G921"/>
      <c r="H921"/>
      <c r="I921"/>
      <c r="J921"/>
      <c r="N921"/>
      <c r="AF921" s="264"/>
    </row>
    <row r="922" spans="1:32" ht="14.25" customHeight="1">
      <c r="A922" s="260">
        <v>9249</v>
      </c>
      <c r="B922" s="260" t="s">
        <v>10099</v>
      </c>
      <c r="C922" s="274" t="s">
        <v>10075</v>
      </c>
      <c r="D922" s="438">
        <v>520</v>
      </c>
      <c r="G922"/>
      <c r="H922"/>
      <c r="I922"/>
      <c r="J922"/>
      <c r="AF922" s="264"/>
    </row>
    <row r="923" spans="1:32" ht="14.25" customHeight="1">
      <c r="A923" s="260" t="s">
        <v>10204</v>
      </c>
      <c r="B923" s="260" t="s">
        <v>10100</v>
      </c>
      <c r="C923" s="274" t="s">
        <v>10148</v>
      </c>
      <c r="D923" s="438">
        <v>1905</v>
      </c>
      <c r="G923"/>
      <c r="H923"/>
      <c r="I923"/>
      <c r="J923"/>
      <c r="AF923" s="264"/>
    </row>
    <row r="924" spans="1:32" ht="14.25" customHeight="1">
      <c r="A924" s="260">
        <v>110727</v>
      </c>
      <c r="B924" s="260" t="s">
        <v>10101</v>
      </c>
      <c r="C924" s="274" t="s">
        <v>7549</v>
      </c>
      <c r="D924" s="438">
        <v>910</v>
      </c>
      <c r="G924"/>
      <c r="H924"/>
      <c r="I924"/>
      <c r="J924"/>
      <c r="AF924" s="264"/>
    </row>
    <row r="925" spans="1:32" ht="14.25" customHeight="1">
      <c r="A925" s="260">
        <v>384129</v>
      </c>
      <c r="B925" s="260" t="s">
        <v>10104</v>
      </c>
      <c r="C925" s="274" t="s">
        <v>7371</v>
      </c>
      <c r="D925" s="438">
        <v>650</v>
      </c>
      <c r="G925"/>
      <c r="H925"/>
      <c r="I925"/>
      <c r="J925"/>
      <c r="AF925" s="264"/>
    </row>
    <row r="926" spans="1:32" ht="14.25" customHeight="1">
      <c r="A926" s="260">
        <v>6136</v>
      </c>
      <c r="B926" s="260" t="s">
        <v>10112</v>
      </c>
      <c r="C926" s="274" t="s">
        <v>8252</v>
      </c>
      <c r="D926" s="438">
        <v>817.5</v>
      </c>
      <c r="G926"/>
      <c r="H926"/>
      <c r="I926"/>
      <c r="J926"/>
      <c r="AF926" s="264"/>
    </row>
    <row r="927" spans="1:32" ht="14.25" customHeight="1">
      <c r="A927" s="260">
        <v>26162</v>
      </c>
      <c r="B927" s="260" t="s">
        <v>10130</v>
      </c>
      <c r="C927" s="274" t="s">
        <v>8452</v>
      </c>
      <c r="D927" s="438">
        <v>350</v>
      </c>
      <c r="AF927" s="264"/>
    </row>
    <row r="928" spans="1:32" ht="14.25" customHeight="1">
      <c r="A928" s="260">
        <v>2766041</v>
      </c>
      <c r="B928" s="260" t="s">
        <v>10151</v>
      </c>
      <c r="C928" s="274" t="s">
        <v>4401</v>
      </c>
      <c r="D928" s="438">
        <v>3500</v>
      </c>
      <c r="AF928" s="264"/>
    </row>
    <row r="929" spans="1:33" ht="14.25" customHeight="1">
      <c r="D929" s="438"/>
      <c r="AF929" s="264"/>
    </row>
    <row r="930" spans="1:33" ht="14.25" customHeight="1">
      <c r="D930" s="438">
        <f>SUM(D846:D929)</f>
        <v>268936.00649999996</v>
      </c>
      <c r="AF930" s="264"/>
    </row>
    <row r="931" spans="1:33" ht="14.25" customHeight="1">
      <c r="D931" s="438"/>
      <c r="AF931" s="264"/>
    </row>
    <row r="932" spans="1:33" ht="19.5" thickBot="1">
      <c r="C932" s="437"/>
      <c r="F932" s="404"/>
      <c r="G932" s="404"/>
      <c r="H932" s="404"/>
      <c r="I932" s="485">
        <v>44153</v>
      </c>
      <c r="J932" s="442" t="s">
        <v>9143</v>
      </c>
      <c r="K932" s="404"/>
      <c r="N932" s="562" t="s">
        <v>10660</v>
      </c>
      <c r="O932" s="386"/>
      <c r="P932" s="422" t="s">
        <v>7633</v>
      </c>
      <c r="AF932" s="264"/>
      <c r="AG932" s="264"/>
    </row>
    <row r="933" spans="1:33" ht="14.25" customHeight="1" thickTop="1">
      <c r="A933" s="280" t="s">
        <v>1844</v>
      </c>
      <c r="B933" s="280" t="s">
        <v>568</v>
      </c>
      <c r="C933" s="280" t="s">
        <v>0</v>
      </c>
      <c r="D933" s="280" t="s">
        <v>3669</v>
      </c>
      <c r="F933" s="340"/>
      <c r="G933" s="280" t="s">
        <v>1844</v>
      </c>
      <c r="H933" s="280" t="s">
        <v>568</v>
      </c>
      <c r="I933" s="281" t="s">
        <v>0</v>
      </c>
      <c r="J933" s="280" t="s">
        <v>3669</v>
      </c>
      <c r="K933" s="280" t="s">
        <v>2815</v>
      </c>
      <c r="N933" s="383" t="s">
        <v>2839</v>
      </c>
      <c r="O933" s="383" t="s">
        <v>2789</v>
      </c>
      <c r="P933" s="383" t="s">
        <v>1877</v>
      </c>
      <c r="Q933" s="190"/>
      <c r="T933" s="274"/>
      <c r="U933" s="438"/>
      <c r="AF933" s="264"/>
      <c r="AG933" s="264"/>
    </row>
    <row r="934" spans="1:33" ht="14.25" customHeight="1">
      <c r="A934" s="260">
        <v>84</v>
      </c>
      <c r="B934" s="260" t="s">
        <v>9396</v>
      </c>
      <c r="C934" s="274" t="s">
        <v>9711</v>
      </c>
      <c r="D934" s="438">
        <v>1320</v>
      </c>
      <c r="G934" s="260">
        <v>132846</v>
      </c>
      <c r="H934" s="260" t="s">
        <v>9918</v>
      </c>
      <c r="I934" s="274" t="s">
        <v>2989</v>
      </c>
      <c r="J934" s="438">
        <v>110</v>
      </c>
      <c r="K934" s="527">
        <v>31352</v>
      </c>
      <c r="L934" s="260" t="s">
        <v>10543</v>
      </c>
      <c r="N934" s="274" t="s">
        <v>4379</v>
      </c>
      <c r="AF934" s="264"/>
    </row>
    <row r="935" spans="1:33" ht="14.25" customHeight="1">
      <c r="A935" s="260">
        <v>2781140</v>
      </c>
      <c r="B935" s="260" t="s">
        <v>9769</v>
      </c>
      <c r="C935" s="274" t="s">
        <v>4401</v>
      </c>
      <c r="D935" s="438">
        <v>2400</v>
      </c>
      <c r="G935" s="260">
        <v>3986</v>
      </c>
      <c r="H935" s="260" t="s">
        <v>10057</v>
      </c>
      <c r="I935" s="274" t="s">
        <v>3670</v>
      </c>
      <c r="J935" s="438">
        <v>184</v>
      </c>
      <c r="K935" s="527">
        <v>3304</v>
      </c>
      <c r="L935" s="260" t="s">
        <v>10543</v>
      </c>
      <c r="M935" s="260" t="s">
        <v>3050</v>
      </c>
      <c r="N935" s="274" t="s">
        <v>3670</v>
      </c>
      <c r="AF935" s="264"/>
    </row>
    <row r="936" spans="1:33" ht="14.25" customHeight="1">
      <c r="A936" s="260">
        <v>83</v>
      </c>
      <c r="B936" s="260" t="s">
        <v>9893</v>
      </c>
      <c r="C936" s="274" t="s">
        <v>9711</v>
      </c>
      <c r="D936" s="438">
        <v>240</v>
      </c>
      <c r="G936" s="260">
        <v>9248</v>
      </c>
      <c r="H936" s="260" t="s">
        <v>9986</v>
      </c>
      <c r="I936" s="274" t="s">
        <v>10075</v>
      </c>
      <c r="J936" s="438">
        <v>210</v>
      </c>
      <c r="K936" s="527">
        <v>31354</v>
      </c>
      <c r="L936" s="260" t="s">
        <v>10543</v>
      </c>
      <c r="N936" s="274" t="s">
        <v>2989</v>
      </c>
      <c r="AF936" s="264"/>
    </row>
    <row r="937" spans="1:33" ht="14.25" customHeight="1">
      <c r="A937" s="260">
        <v>132846</v>
      </c>
      <c r="B937" s="260" t="s">
        <v>9918</v>
      </c>
      <c r="C937" s="274" t="s">
        <v>2989</v>
      </c>
      <c r="D937" s="438">
        <v>110</v>
      </c>
      <c r="G937" s="260">
        <v>16462</v>
      </c>
      <c r="H937" s="260" t="s">
        <v>10314</v>
      </c>
      <c r="I937" s="274" t="s">
        <v>4379</v>
      </c>
      <c r="J937" s="438">
        <v>210</v>
      </c>
      <c r="K937" s="527">
        <v>31870</v>
      </c>
      <c r="L937" s="260" t="s">
        <v>10543</v>
      </c>
      <c r="N937" s="274" t="s">
        <v>4401</v>
      </c>
      <c r="AF937" s="264"/>
    </row>
    <row r="938" spans="1:33" ht="14.25" customHeight="1">
      <c r="A938" s="260">
        <v>9248</v>
      </c>
      <c r="B938" s="260" t="s">
        <v>9986</v>
      </c>
      <c r="C938" s="274" t="s">
        <v>10075</v>
      </c>
      <c r="D938" s="438">
        <v>210</v>
      </c>
      <c r="G938" s="260">
        <v>83</v>
      </c>
      <c r="H938" s="260" t="s">
        <v>9893</v>
      </c>
      <c r="I938" s="274" t="s">
        <v>9711</v>
      </c>
      <c r="J938" s="438">
        <v>240</v>
      </c>
      <c r="K938" s="527">
        <v>31346</v>
      </c>
      <c r="L938" s="260" t="s">
        <v>10543</v>
      </c>
      <c r="N938" s="274" t="s">
        <v>7984</v>
      </c>
      <c r="AF938" s="264"/>
    </row>
    <row r="939" spans="1:33" ht="14.25" customHeight="1">
      <c r="A939" s="260">
        <v>521208</v>
      </c>
      <c r="B939" s="260" t="s">
        <v>9996</v>
      </c>
      <c r="C939" s="274" t="s">
        <v>4359</v>
      </c>
      <c r="D939" s="438">
        <v>950</v>
      </c>
      <c r="G939" s="260">
        <v>9567</v>
      </c>
      <c r="H939" s="260" t="s">
        <v>10089</v>
      </c>
      <c r="I939" s="274" t="s">
        <v>10075</v>
      </c>
      <c r="J939" s="438">
        <v>276</v>
      </c>
      <c r="K939" s="527">
        <v>31404</v>
      </c>
      <c r="L939" s="260" t="s">
        <v>10543</v>
      </c>
      <c r="N939" s="274" t="s">
        <v>3407</v>
      </c>
      <c r="AF939" s="264"/>
    </row>
    <row r="940" spans="1:33" ht="14.25" customHeight="1">
      <c r="A940" s="260">
        <v>44757</v>
      </c>
      <c r="B940" s="260" t="s">
        <v>10002</v>
      </c>
      <c r="C940" s="274" t="s">
        <v>7485</v>
      </c>
      <c r="D940" s="438">
        <v>2520</v>
      </c>
      <c r="G940" s="260">
        <v>1388</v>
      </c>
      <c r="H940" s="260" t="s">
        <v>10063</v>
      </c>
      <c r="I940" s="274" t="s">
        <v>7392</v>
      </c>
      <c r="J940" s="438">
        <v>430</v>
      </c>
      <c r="K940" s="527">
        <v>31397</v>
      </c>
      <c r="L940" s="260" t="s">
        <v>10543</v>
      </c>
      <c r="N940" s="274" t="s">
        <v>10239</v>
      </c>
      <c r="AF940" s="264"/>
    </row>
    <row r="941" spans="1:33" ht="14.25" customHeight="1">
      <c r="A941" s="260">
        <v>3986</v>
      </c>
      <c r="B941" s="260" t="s">
        <v>10057</v>
      </c>
      <c r="C941" s="274" t="s">
        <v>3670</v>
      </c>
      <c r="D941" s="438">
        <v>184</v>
      </c>
      <c r="G941" s="260">
        <v>2788991</v>
      </c>
      <c r="H941" s="260" t="s">
        <v>10097</v>
      </c>
      <c r="I941" s="274" t="s">
        <v>4401</v>
      </c>
      <c r="J941" s="438">
        <v>478</v>
      </c>
      <c r="K941" s="527">
        <v>31409</v>
      </c>
      <c r="L941" s="260" t="s">
        <v>10543</v>
      </c>
      <c r="N941" s="274" t="s">
        <v>7268</v>
      </c>
      <c r="AF941" s="264"/>
    </row>
    <row r="942" spans="1:33" ht="14.25" customHeight="1">
      <c r="A942" s="260">
        <v>3985</v>
      </c>
      <c r="B942" s="260" t="s">
        <v>10061</v>
      </c>
      <c r="C942" s="274" t="s">
        <v>3670</v>
      </c>
      <c r="D942" s="438">
        <v>2887.5</v>
      </c>
      <c r="G942" s="260">
        <v>167614</v>
      </c>
      <c r="H942" s="260" t="s">
        <v>10289</v>
      </c>
      <c r="I942" s="274" t="s">
        <v>7984</v>
      </c>
      <c r="J942" s="438">
        <v>774</v>
      </c>
      <c r="K942" s="527">
        <v>31831</v>
      </c>
      <c r="L942" s="260" t="s">
        <v>10544</v>
      </c>
      <c r="N942" s="274" t="s">
        <v>9278</v>
      </c>
      <c r="AF942" s="264"/>
    </row>
    <row r="943" spans="1:33" ht="14.25" customHeight="1">
      <c r="A943" s="260">
        <v>1388</v>
      </c>
      <c r="B943" s="260" t="s">
        <v>10063</v>
      </c>
      <c r="C943" s="274" t="s">
        <v>7392</v>
      </c>
      <c r="D943" s="438">
        <v>430</v>
      </c>
      <c r="G943" s="260">
        <v>2421</v>
      </c>
      <c r="H943" s="260" t="s">
        <v>10112</v>
      </c>
      <c r="I943" s="274" t="s">
        <v>10488</v>
      </c>
      <c r="J943" s="438">
        <v>800</v>
      </c>
      <c r="K943" s="527">
        <v>31420</v>
      </c>
      <c r="L943" s="260" t="s">
        <v>10543</v>
      </c>
      <c r="N943" s="274" t="s">
        <v>7371</v>
      </c>
      <c r="AF943" s="264"/>
    </row>
    <row r="944" spans="1:33" ht="14.25" customHeight="1">
      <c r="A944" s="260">
        <v>9567</v>
      </c>
      <c r="B944" s="260" t="s">
        <v>10089</v>
      </c>
      <c r="C944" s="274" t="s">
        <v>10075</v>
      </c>
      <c r="D944" s="438">
        <v>276</v>
      </c>
      <c r="G944" s="260">
        <v>26746</v>
      </c>
      <c r="H944" s="260" t="s">
        <v>10132</v>
      </c>
      <c r="I944" s="274" t="s">
        <v>8452</v>
      </c>
      <c r="J944" s="438">
        <v>937.5</v>
      </c>
      <c r="K944" s="527">
        <v>31425</v>
      </c>
      <c r="L944" s="260" t="s">
        <v>10543</v>
      </c>
      <c r="N944" s="274" t="s">
        <v>9711</v>
      </c>
      <c r="AF944" s="264"/>
    </row>
    <row r="945" spans="1:32" ht="14.25" customHeight="1">
      <c r="A945" s="260">
        <v>2788991</v>
      </c>
      <c r="B945" s="260" t="s">
        <v>10097</v>
      </c>
      <c r="C945" s="274" t="s">
        <v>4401</v>
      </c>
      <c r="D945" s="438">
        <v>478</v>
      </c>
      <c r="G945" s="260">
        <v>521208</v>
      </c>
      <c r="H945" s="260" t="s">
        <v>9996</v>
      </c>
      <c r="I945" s="274" t="s">
        <v>4359</v>
      </c>
      <c r="J945" s="438">
        <v>950</v>
      </c>
      <c r="K945" s="527">
        <v>31379</v>
      </c>
      <c r="L945" s="260" t="s">
        <v>10543</v>
      </c>
      <c r="N945" s="274" t="s">
        <v>10488</v>
      </c>
      <c r="AF945" s="264"/>
    </row>
    <row r="946" spans="1:32" ht="14.25" customHeight="1">
      <c r="A946" s="260">
        <v>2767938</v>
      </c>
      <c r="B946" s="260" t="s">
        <v>10140</v>
      </c>
      <c r="C946" s="274" t="s">
        <v>4401</v>
      </c>
      <c r="D946" s="438">
        <v>9036</v>
      </c>
      <c r="G946" s="260">
        <v>84</v>
      </c>
      <c r="H946" s="260" t="s">
        <v>9396</v>
      </c>
      <c r="I946" s="274" t="s">
        <v>9711</v>
      </c>
      <c r="J946" s="438">
        <v>1320</v>
      </c>
      <c r="K946" s="527">
        <v>31333</v>
      </c>
      <c r="L946" s="260" t="s">
        <v>10543</v>
      </c>
      <c r="N946" s="274" t="s">
        <v>7485</v>
      </c>
      <c r="AF946" s="264"/>
    </row>
    <row r="947" spans="1:32" ht="14.25" customHeight="1">
      <c r="A947" s="260">
        <v>2421</v>
      </c>
      <c r="B947" s="260" t="s">
        <v>10112</v>
      </c>
      <c r="C947" s="274" t="s">
        <v>10488</v>
      </c>
      <c r="D947" s="438">
        <v>800</v>
      </c>
      <c r="G947" s="260">
        <v>560</v>
      </c>
      <c r="H947" s="260" t="s">
        <v>10288</v>
      </c>
      <c r="I947" s="274" t="s">
        <v>4465</v>
      </c>
      <c r="J947" s="438">
        <v>1320</v>
      </c>
      <c r="K947" s="527">
        <v>31631</v>
      </c>
      <c r="L947" s="260" t="s">
        <v>10543</v>
      </c>
      <c r="N947" s="274" t="s">
        <v>7337</v>
      </c>
      <c r="AF947" s="264"/>
    </row>
    <row r="948" spans="1:32" ht="14.25" customHeight="1">
      <c r="A948" s="260">
        <v>12110</v>
      </c>
      <c r="B948" s="260" t="s">
        <v>10119</v>
      </c>
      <c r="C948" s="274" t="s">
        <v>10239</v>
      </c>
      <c r="D948" s="438">
        <v>1800</v>
      </c>
      <c r="G948" s="260">
        <v>399596</v>
      </c>
      <c r="H948" s="260" t="s">
        <v>10294</v>
      </c>
      <c r="I948" s="274" t="s">
        <v>7371</v>
      </c>
      <c r="J948" s="438">
        <v>1494</v>
      </c>
      <c r="K948" s="527">
        <v>31844</v>
      </c>
      <c r="L948" s="260" t="s">
        <v>10544</v>
      </c>
      <c r="N948" s="274" t="s">
        <v>4149</v>
      </c>
      <c r="AF948" s="264"/>
    </row>
    <row r="949" spans="1:32" ht="14.25" customHeight="1">
      <c r="A949" s="260">
        <v>2774600</v>
      </c>
      <c r="B949" s="260" t="s">
        <v>10124</v>
      </c>
      <c r="C949" s="274" t="s">
        <v>4401</v>
      </c>
      <c r="D949" s="438">
        <v>4230</v>
      </c>
      <c r="G949" s="260">
        <v>12110</v>
      </c>
      <c r="H949" s="260" t="s">
        <v>10119</v>
      </c>
      <c r="I949" s="274" t="s">
        <v>10239</v>
      </c>
      <c r="J949" s="438">
        <v>1800</v>
      </c>
      <c r="K949" s="527">
        <v>31296</v>
      </c>
      <c r="L949" s="260" t="s">
        <v>10543</v>
      </c>
      <c r="N949" s="274" t="s">
        <v>8452</v>
      </c>
      <c r="AF949" s="264"/>
    </row>
    <row r="950" spans="1:32" ht="14.25" customHeight="1">
      <c r="A950" s="260">
        <v>26746</v>
      </c>
      <c r="B950" s="260" t="s">
        <v>10132</v>
      </c>
      <c r="C950" s="274" t="s">
        <v>8452</v>
      </c>
      <c r="D950" s="438">
        <v>937.5</v>
      </c>
      <c r="G950" s="260">
        <v>399576</v>
      </c>
      <c r="H950" s="260" t="s">
        <v>10293</v>
      </c>
      <c r="I950" s="274" t="s">
        <v>7371</v>
      </c>
      <c r="J950" s="438">
        <v>2226</v>
      </c>
      <c r="K950" s="527">
        <v>31838</v>
      </c>
      <c r="L950" s="260" t="s">
        <v>10544</v>
      </c>
      <c r="N950" s="274" t="s">
        <v>4380</v>
      </c>
      <c r="AF950" s="264"/>
    </row>
    <row r="951" spans="1:32" ht="14.25" customHeight="1">
      <c r="A951" s="260">
        <v>389571</v>
      </c>
      <c r="B951" s="260" t="s">
        <v>10179</v>
      </c>
      <c r="C951" s="274" t="s">
        <v>7371</v>
      </c>
      <c r="D951" s="438">
        <v>5498.9000000000005</v>
      </c>
      <c r="G951" s="260">
        <v>158704</v>
      </c>
      <c r="H951" s="260" t="s">
        <v>10214</v>
      </c>
      <c r="I951" s="274" t="s">
        <v>9278</v>
      </c>
      <c r="J951" s="438">
        <v>2260.1</v>
      </c>
      <c r="K951" s="527">
        <v>31591</v>
      </c>
      <c r="L951" s="260" t="s">
        <v>10543</v>
      </c>
      <c r="N951" s="274" t="s">
        <v>10075</v>
      </c>
      <c r="AF951" s="264"/>
    </row>
    <row r="952" spans="1:32" ht="14.25" customHeight="1">
      <c r="A952" s="260">
        <v>3975</v>
      </c>
      <c r="B952" s="260" t="s">
        <v>10184</v>
      </c>
      <c r="C952" s="274" t="s">
        <v>3670</v>
      </c>
      <c r="D952" s="438">
        <v>2124</v>
      </c>
      <c r="G952" s="65">
        <v>400984</v>
      </c>
      <c r="H952" s="65" t="s">
        <v>10302</v>
      </c>
      <c r="I952" s="65" t="s">
        <v>7371</v>
      </c>
      <c r="J952" s="452">
        <v>2311.6799999999998</v>
      </c>
      <c r="K952" s="527">
        <v>31857</v>
      </c>
      <c r="L952" s="260" t="s">
        <v>10544</v>
      </c>
      <c r="N952" s="274" t="s">
        <v>7392</v>
      </c>
      <c r="AF952" s="264"/>
    </row>
    <row r="953" spans="1:32" ht="14.25" customHeight="1">
      <c r="A953" s="260">
        <v>3975</v>
      </c>
      <c r="B953" s="260" t="s">
        <v>10184</v>
      </c>
      <c r="C953" s="274" t="s">
        <v>3670</v>
      </c>
      <c r="D953" s="438">
        <v>900</v>
      </c>
      <c r="G953" s="260">
        <v>2781140</v>
      </c>
      <c r="H953" s="260" t="s">
        <v>9769</v>
      </c>
      <c r="I953" s="274" t="s">
        <v>4401</v>
      </c>
      <c r="J953" s="438">
        <v>2400</v>
      </c>
      <c r="K953" s="527">
        <v>31343</v>
      </c>
      <c r="L953" s="260" t="s">
        <v>10543</v>
      </c>
      <c r="N953" s="274" t="s">
        <v>4465</v>
      </c>
      <c r="AF953" s="264"/>
    </row>
    <row r="954" spans="1:32" ht="14.25" customHeight="1">
      <c r="A954" s="260">
        <v>158702</v>
      </c>
      <c r="B954" s="260" t="s">
        <v>10202</v>
      </c>
      <c r="C954" s="274" t="s">
        <v>9278</v>
      </c>
      <c r="D954" s="438">
        <v>6877.2800000000007</v>
      </c>
      <c r="G954" s="260">
        <v>44757</v>
      </c>
      <c r="H954" s="260" t="s">
        <v>10002</v>
      </c>
      <c r="I954" s="274" t="s">
        <v>7485</v>
      </c>
      <c r="J954" s="438">
        <v>2520</v>
      </c>
      <c r="K954" s="527">
        <v>31391</v>
      </c>
      <c r="L954" s="260" t="s">
        <v>10543</v>
      </c>
      <c r="N954" s="274" t="s">
        <v>4359</v>
      </c>
      <c r="AF954" s="264"/>
    </row>
    <row r="955" spans="1:32" ht="14.25" customHeight="1">
      <c r="A955" s="260">
        <v>158702</v>
      </c>
      <c r="B955" s="260" t="s">
        <v>10202</v>
      </c>
      <c r="C955" s="274" t="s">
        <v>9278</v>
      </c>
      <c r="D955" s="438">
        <v>5579.68</v>
      </c>
      <c r="G955" s="260">
        <v>3985</v>
      </c>
      <c r="H955" s="260" t="s">
        <v>10061</v>
      </c>
      <c r="I955" s="274" t="s">
        <v>3670</v>
      </c>
      <c r="J955" s="438">
        <v>2887.5</v>
      </c>
      <c r="K955" s="527">
        <v>3305</v>
      </c>
      <c r="L955" s="260" t="s">
        <v>10543</v>
      </c>
      <c r="M955" s="260" t="s">
        <v>3050</v>
      </c>
      <c r="N955"/>
      <c r="AF955" s="264"/>
    </row>
    <row r="956" spans="1:32" ht="14.25" customHeight="1">
      <c r="A956" s="260">
        <v>158704</v>
      </c>
      <c r="B956" s="260" t="s">
        <v>10214</v>
      </c>
      <c r="C956" s="274" t="s">
        <v>9278</v>
      </c>
      <c r="D956" s="438">
        <v>2260.1</v>
      </c>
      <c r="G956" s="260">
        <v>3975</v>
      </c>
      <c r="H956" s="260" t="s">
        <v>10184</v>
      </c>
      <c r="I956" s="274" t="s">
        <v>3670</v>
      </c>
      <c r="J956" s="438">
        <v>3024</v>
      </c>
      <c r="K956" s="527">
        <v>3306</v>
      </c>
      <c r="L956" s="260" t="s">
        <v>10543</v>
      </c>
      <c r="M956" s="260" t="s">
        <v>3050</v>
      </c>
      <c r="N956"/>
      <c r="AF956" s="264"/>
    </row>
    <row r="957" spans="1:32" ht="14.25" customHeight="1">
      <c r="A957" s="260">
        <v>392917</v>
      </c>
      <c r="B957" s="260" t="s">
        <v>10237</v>
      </c>
      <c r="C957" s="274" t="s">
        <v>7371</v>
      </c>
      <c r="D957" s="438">
        <v>3776</v>
      </c>
      <c r="G957" s="663" t="s">
        <v>10390</v>
      </c>
      <c r="H957" s="663" t="s">
        <v>10293</v>
      </c>
      <c r="I957" s="663" t="s">
        <v>7371</v>
      </c>
      <c r="J957" s="664">
        <v>3074</v>
      </c>
      <c r="K957" s="527"/>
      <c r="L957" s="260"/>
      <c r="M957" s="260" t="s">
        <v>10497</v>
      </c>
      <c r="N957"/>
      <c r="AF957" s="264"/>
    </row>
    <row r="958" spans="1:32" ht="14.25" customHeight="1">
      <c r="A958" s="260">
        <v>16294</v>
      </c>
      <c r="B958" s="260" t="s">
        <v>10280</v>
      </c>
      <c r="C958" s="274" t="s">
        <v>7268</v>
      </c>
      <c r="D958" s="438">
        <v>6150</v>
      </c>
      <c r="G958" s="260">
        <v>392917</v>
      </c>
      <c r="H958" s="260" t="s">
        <v>10237</v>
      </c>
      <c r="I958" s="274" t="s">
        <v>7371</v>
      </c>
      <c r="J958" s="438">
        <v>3776</v>
      </c>
      <c r="K958" s="527">
        <v>31609</v>
      </c>
      <c r="L958" s="260" t="s">
        <v>10543</v>
      </c>
      <c r="N958"/>
      <c r="AF958" s="264"/>
    </row>
    <row r="959" spans="1:32" ht="14.25" customHeight="1">
      <c r="A959" s="260">
        <v>16294</v>
      </c>
      <c r="B959" s="260" t="s">
        <v>10280</v>
      </c>
      <c r="C959" s="274" t="s">
        <v>7268</v>
      </c>
      <c r="D959" s="438">
        <v>6150</v>
      </c>
      <c r="G959" s="260">
        <v>2774600</v>
      </c>
      <c r="H959" s="260" t="s">
        <v>10124</v>
      </c>
      <c r="I959" s="274" t="s">
        <v>4401</v>
      </c>
      <c r="J959" s="438">
        <v>4230</v>
      </c>
      <c r="K959" s="527">
        <v>31416</v>
      </c>
      <c r="L959" s="260" t="s">
        <v>10543</v>
      </c>
      <c r="N959"/>
      <c r="AF959" s="264"/>
    </row>
    <row r="960" spans="1:32" ht="14.25" customHeight="1">
      <c r="A960" s="260">
        <v>12571</v>
      </c>
      <c r="B960" s="260" t="s">
        <v>10280</v>
      </c>
      <c r="C960" s="274" t="s">
        <v>7337</v>
      </c>
      <c r="D960" s="438">
        <v>6250</v>
      </c>
      <c r="G960" s="260">
        <v>389571</v>
      </c>
      <c r="H960" s="260" t="s">
        <v>10179</v>
      </c>
      <c r="I960" s="274" t="s">
        <v>7371</v>
      </c>
      <c r="J960" s="438">
        <v>5498.9</v>
      </c>
      <c r="K960" s="527">
        <v>31433</v>
      </c>
      <c r="L960" s="260" t="s">
        <v>10543</v>
      </c>
      <c r="N960"/>
      <c r="AF960" s="264"/>
    </row>
    <row r="961" spans="1:33" ht="14.25" customHeight="1">
      <c r="A961" s="260">
        <v>16294</v>
      </c>
      <c r="B961" s="260" t="s">
        <v>10280</v>
      </c>
      <c r="C961" s="274" t="s">
        <v>7268</v>
      </c>
      <c r="D961" s="438">
        <v>3540</v>
      </c>
      <c r="G961" s="260">
        <v>2767938</v>
      </c>
      <c r="H961" s="260" t="s">
        <v>10140</v>
      </c>
      <c r="I961" s="274" t="s">
        <v>4401</v>
      </c>
      <c r="J961" s="438">
        <v>9036</v>
      </c>
      <c r="K961" s="527">
        <v>31414</v>
      </c>
      <c r="L961" s="260" t="s">
        <v>10543</v>
      </c>
      <c r="N961"/>
      <c r="AF961" s="264"/>
    </row>
    <row r="962" spans="1:33" ht="14.25" customHeight="1">
      <c r="A962" s="260">
        <v>12571</v>
      </c>
      <c r="B962" s="260" t="s">
        <v>10280</v>
      </c>
      <c r="C962" s="274" t="s">
        <v>7337</v>
      </c>
      <c r="D962" s="438">
        <v>3750</v>
      </c>
      <c r="G962" s="260">
        <v>158702</v>
      </c>
      <c r="H962" s="260" t="s">
        <v>10202</v>
      </c>
      <c r="I962" s="274" t="s">
        <v>9278</v>
      </c>
      <c r="J962" s="438">
        <v>12456.96</v>
      </c>
      <c r="K962" s="527">
        <v>31470</v>
      </c>
      <c r="L962" s="260" t="s">
        <v>10543</v>
      </c>
      <c r="N962"/>
      <c r="AF962" s="264"/>
    </row>
    <row r="963" spans="1:33" ht="14.25" customHeight="1">
      <c r="A963" s="260">
        <v>12571</v>
      </c>
      <c r="B963" s="260" t="s">
        <v>10280</v>
      </c>
      <c r="C963" s="274" t="s">
        <v>7337</v>
      </c>
      <c r="D963" s="438">
        <v>19910</v>
      </c>
      <c r="G963" s="260">
        <v>16294</v>
      </c>
      <c r="H963" s="260" t="s">
        <v>10280</v>
      </c>
      <c r="I963" s="274" t="s">
        <v>7268</v>
      </c>
      <c r="J963" s="438">
        <v>15840</v>
      </c>
      <c r="K963" s="527">
        <v>31618</v>
      </c>
      <c r="L963" s="260" t="s">
        <v>10543</v>
      </c>
      <c r="N963"/>
      <c r="AF963" s="264"/>
    </row>
    <row r="964" spans="1:33" ht="14.25" customHeight="1">
      <c r="A964" s="260">
        <v>560</v>
      </c>
      <c r="B964" s="260" t="s">
        <v>10288</v>
      </c>
      <c r="C964" s="274" t="s">
        <v>4465</v>
      </c>
      <c r="D964" s="438">
        <v>1320</v>
      </c>
      <c r="G964" s="260">
        <v>399026</v>
      </c>
      <c r="H964" s="260" t="s">
        <v>10311</v>
      </c>
      <c r="I964" s="274" t="s">
        <v>7371</v>
      </c>
      <c r="J964" s="438">
        <v>16500</v>
      </c>
      <c r="K964" s="527">
        <v>31860</v>
      </c>
      <c r="L964" s="260" t="s">
        <v>10544</v>
      </c>
      <c r="N964"/>
      <c r="AF964" s="264"/>
    </row>
    <row r="965" spans="1:33" ht="14.25" customHeight="1">
      <c r="A965" s="260">
        <v>167614</v>
      </c>
      <c r="B965" s="260" t="s">
        <v>10289</v>
      </c>
      <c r="C965" s="274" t="s">
        <v>7984</v>
      </c>
      <c r="D965" s="438">
        <v>774</v>
      </c>
      <c r="G965" s="260">
        <v>12571</v>
      </c>
      <c r="H965" s="260" t="s">
        <v>10280</v>
      </c>
      <c r="I965" s="274" t="s">
        <v>7337</v>
      </c>
      <c r="J965" s="438">
        <v>29910</v>
      </c>
      <c r="K965" s="527">
        <v>31624</v>
      </c>
      <c r="L965" s="260" t="s">
        <v>10543</v>
      </c>
      <c r="N965"/>
      <c r="AF965" s="264"/>
    </row>
    <row r="966" spans="1:33" ht="14.25" customHeight="1">
      <c r="A966" s="260">
        <v>399576</v>
      </c>
      <c r="B966" s="260" t="s">
        <v>10293</v>
      </c>
      <c r="C966" s="274" t="s">
        <v>7371</v>
      </c>
      <c r="D966" s="438">
        <v>2226</v>
      </c>
      <c r="G966"/>
      <c r="H966"/>
      <c r="I966"/>
      <c r="J966" s="452"/>
      <c r="N966"/>
      <c r="AF966" s="264"/>
    </row>
    <row r="967" spans="1:33" ht="14.25" customHeight="1">
      <c r="A967" s="260">
        <v>399596</v>
      </c>
      <c r="B967" s="260" t="s">
        <v>10294</v>
      </c>
      <c r="C967" s="274" t="s">
        <v>7371</v>
      </c>
      <c r="D967" s="438">
        <v>1494.0000000000002</v>
      </c>
      <c r="G967"/>
      <c r="H967"/>
      <c r="I967"/>
      <c r="J967"/>
      <c r="N967"/>
      <c r="AF967" s="264"/>
    </row>
    <row r="968" spans="1:33" ht="14.25" customHeight="1">
      <c r="A968" s="260">
        <v>399026</v>
      </c>
      <c r="B968" s="260" t="s">
        <v>10311</v>
      </c>
      <c r="C968" s="274" t="s">
        <v>7371</v>
      </c>
      <c r="D968" s="438">
        <v>16500</v>
      </c>
      <c r="G968"/>
      <c r="H968"/>
      <c r="I968"/>
      <c r="J968"/>
      <c r="N968"/>
      <c r="AF968" s="264"/>
    </row>
    <row r="969" spans="1:33" ht="14.25" customHeight="1">
      <c r="A969" s="260">
        <v>16462</v>
      </c>
      <c r="B969" s="260" t="s">
        <v>10314</v>
      </c>
      <c r="C969" s="274" t="s">
        <v>4379</v>
      </c>
      <c r="D969" s="438">
        <v>210.00000000000003</v>
      </c>
      <c r="G969"/>
      <c r="H969"/>
      <c r="I969"/>
      <c r="J969"/>
      <c r="N969"/>
      <c r="AF969" s="264"/>
    </row>
    <row r="970" spans="1:33" ht="14.25" customHeight="1">
      <c r="A970" s="260" t="s">
        <v>10390</v>
      </c>
      <c r="B970" s="260" t="s">
        <v>10293</v>
      </c>
      <c r="C970" s="274" t="s">
        <v>7371</v>
      </c>
      <c r="D970" s="438">
        <v>3074</v>
      </c>
      <c r="I970" s="260" t="s">
        <v>10496</v>
      </c>
      <c r="J970" s="439">
        <f>SUM(J934:J969)</f>
        <v>129484.64</v>
      </c>
      <c r="N970"/>
      <c r="AF970" s="264"/>
    </row>
    <row r="971" spans="1:33" ht="14.25" customHeight="1">
      <c r="A971" s="260" t="s">
        <v>10389</v>
      </c>
      <c r="B971" s="260" t="s">
        <v>10302</v>
      </c>
      <c r="C971" s="274" t="s">
        <v>7371</v>
      </c>
      <c r="D971" s="438">
        <v>2311.6799999999998</v>
      </c>
      <c r="N971"/>
      <c r="AF971" s="264"/>
    </row>
    <row r="972" spans="1:33" ht="14.25" customHeight="1">
      <c r="AF972" s="264"/>
    </row>
    <row r="973" spans="1:33" ht="14.25" customHeight="1">
      <c r="D973" s="439">
        <f>SUM(D934:D972)</f>
        <v>129484.63999999998</v>
      </c>
      <c r="AF973" s="264"/>
    </row>
    <row r="974" spans="1:33" ht="14.25" customHeight="1">
      <c r="AF974" s="264"/>
    </row>
    <row r="975" spans="1:33" ht="19.5" thickBot="1">
      <c r="C975" s="437"/>
      <c r="F975" s="404"/>
      <c r="G975" s="404"/>
      <c r="H975" s="404"/>
      <c r="I975" s="485">
        <v>44186</v>
      </c>
      <c r="J975" s="442" t="s">
        <v>9143</v>
      </c>
      <c r="K975" s="404"/>
      <c r="N975" s="562" t="s">
        <v>10661</v>
      </c>
      <c r="O975" s="386"/>
      <c r="P975" s="422" t="s">
        <v>7633</v>
      </c>
      <c r="AF975" s="264"/>
      <c r="AG975" s="264"/>
    </row>
    <row r="976" spans="1:33" ht="14.25" customHeight="1" thickTop="1">
      <c r="A976" s="280" t="s">
        <v>1844</v>
      </c>
      <c r="B976" s="280" t="s">
        <v>568</v>
      </c>
      <c r="C976" s="280" t="s">
        <v>0</v>
      </c>
      <c r="D976" s="280" t="s">
        <v>3669</v>
      </c>
      <c r="F976" s="340"/>
      <c r="G976" s="280" t="s">
        <v>1844</v>
      </c>
      <c r="H976" s="280" t="s">
        <v>568</v>
      </c>
      <c r="I976" s="281" t="s">
        <v>0</v>
      </c>
      <c r="J976" s="280" t="s">
        <v>3669</v>
      </c>
      <c r="K976" s="280" t="s">
        <v>2815</v>
      </c>
      <c r="N976" s="383" t="s">
        <v>2839</v>
      </c>
      <c r="O976" s="383" t="s">
        <v>2789</v>
      </c>
      <c r="P976" s="383" t="s">
        <v>1877</v>
      </c>
      <c r="Q976" s="190"/>
      <c r="T976" s="274"/>
      <c r="U976" s="438"/>
      <c r="AF976" s="264"/>
      <c r="AG976" s="264"/>
    </row>
    <row r="977" spans="1:32" ht="14.25" customHeight="1">
      <c r="A977" s="260">
        <v>104590</v>
      </c>
      <c r="B977" s="260" t="s">
        <v>8458</v>
      </c>
      <c r="C977" s="274" t="s">
        <v>8556</v>
      </c>
      <c r="D977" s="669">
        <v>2995</v>
      </c>
      <c r="G977" s="260" t="s">
        <v>10672</v>
      </c>
      <c r="H977" s="260" t="s">
        <v>10566</v>
      </c>
      <c r="I977" s="274" t="s">
        <v>7371</v>
      </c>
      <c r="J977" s="439">
        <f t="shared" ref="J977:J1008" si="5">SUMIFS($D$977:$D$1071,$A$977:$A$1071,G977,$B$977:$B$1071,H977)</f>
        <v>86</v>
      </c>
      <c r="N977" s="274" t="s">
        <v>4379</v>
      </c>
      <c r="AF977" s="264"/>
    </row>
    <row r="978" spans="1:32" ht="14.25" customHeight="1">
      <c r="A978" s="260">
        <v>7475</v>
      </c>
      <c r="B978" s="260" t="s">
        <v>9663</v>
      </c>
      <c r="C978" s="274" t="s">
        <v>9946</v>
      </c>
      <c r="D978" s="669">
        <v>6619</v>
      </c>
      <c r="G978" s="260">
        <v>2824524</v>
      </c>
      <c r="H978" s="260" t="s">
        <v>10503</v>
      </c>
      <c r="I978" s="274" t="s">
        <v>4401</v>
      </c>
      <c r="J978" s="439">
        <f t="shared" si="5"/>
        <v>89.800000000000011</v>
      </c>
      <c r="N978" s="65" t="s">
        <v>3670</v>
      </c>
      <c r="AF978" s="264"/>
    </row>
    <row r="979" spans="1:32" ht="14.25" customHeight="1">
      <c r="A979" s="260">
        <v>2808026</v>
      </c>
      <c r="B979" s="260" t="s">
        <v>10018</v>
      </c>
      <c r="C979" s="274" t="s">
        <v>4401</v>
      </c>
      <c r="D979" s="669">
        <v>90.5</v>
      </c>
      <c r="G979" s="260">
        <v>2808026</v>
      </c>
      <c r="H979" s="260" t="s">
        <v>10018</v>
      </c>
      <c r="I979" s="274" t="s">
        <v>4401</v>
      </c>
      <c r="J979" s="439">
        <f t="shared" si="5"/>
        <v>90.5</v>
      </c>
      <c r="N979" s="274" t="s">
        <v>8849</v>
      </c>
      <c r="AF979" s="264"/>
    </row>
    <row r="980" spans="1:32" ht="14.25" customHeight="1">
      <c r="A980" s="260">
        <v>1394</v>
      </c>
      <c r="B980" s="260" t="s">
        <v>10071</v>
      </c>
      <c r="C980" s="274" t="s">
        <v>7392</v>
      </c>
      <c r="D980" s="669">
        <v>3950</v>
      </c>
      <c r="G980" s="260">
        <v>401764</v>
      </c>
      <c r="H980" s="260" t="s">
        <v>10308</v>
      </c>
      <c r="I980" s="274" t="s">
        <v>7371</v>
      </c>
      <c r="J980" s="439">
        <f t="shared" si="5"/>
        <v>104.60000000000001</v>
      </c>
      <c r="N980" s="65" t="s">
        <v>7051</v>
      </c>
      <c r="AF980" s="264"/>
    </row>
    <row r="981" spans="1:32" ht="14.25" customHeight="1">
      <c r="A981" s="260">
        <v>259622</v>
      </c>
      <c r="B981" s="260" t="s">
        <v>10281</v>
      </c>
      <c r="C981" s="274" t="s">
        <v>4380</v>
      </c>
      <c r="D981" s="669">
        <v>11550</v>
      </c>
      <c r="G981" s="260">
        <v>140717</v>
      </c>
      <c r="H981" s="260" t="s">
        <v>10434</v>
      </c>
      <c r="I981" s="274" t="s">
        <v>2989</v>
      </c>
      <c r="J981" s="439">
        <f t="shared" si="5"/>
        <v>110</v>
      </c>
      <c r="N981" s="274" t="s">
        <v>2989</v>
      </c>
      <c r="AF981" s="264"/>
    </row>
    <row r="982" spans="1:32" ht="14.25" customHeight="1">
      <c r="A982" s="260">
        <v>4026</v>
      </c>
      <c r="B982" s="260" t="s">
        <v>10281</v>
      </c>
      <c r="C982" s="274" t="s">
        <v>3670</v>
      </c>
      <c r="D982" s="669">
        <v>915</v>
      </c>
      <c r="G982" s="260">
        <v>1098</v>
      </c>
      <c r="H982" s="260" t="s">
        <v>10406</v>
      </c>
      <c r="I982" s="274" t="s">
        <v>4358</v>
      </c>
      <c r="J982" s="439">
        <f t="shared" si="5"/>
        <v>111.8</v>
      </c>
      <c r="N982" s="274" t="s">
        <v>8556</v>
      </c>
      <c r="AF982" s="264"/>
    </row>
    <row r="983" spans="1:32" ht="14.25" customHeight="1">
      <c r="A983" s="260">
        <v>4037</v>
      </c>
      <c r="B983" s="260" t="s">
        <v>10287</v>
      </c>
      <c r="C983" s="274" t="s">
        <v>3670</v>
      </c>
      <c r="D983" s="669">
        <v>750</v>
      </c>
      <c r="G983" s="260">
        <v>29717</v>
      </c>
      <c r="H983" s="260" t="s">
        <v>10436</v>
      </c>
      <c r="I983" s="274" t="s">
        <v>8452</v>
      </c>
      <c r="J983" s="439">
        <f t="shared" si="5"/>
        <v>183</v>
      </c>
      <c r="N983" s="274" t="s">
        <v>3663</v>
      </c>
      <c r="AF983" s="264"/>
    </row>
    <row r="984" spans="1:32" ht="14.25" customHeight="1">
      <c r="A984" s="260">
        <v>1278608</v>
      </c>
      <c r="B984" s="260" t="s">
        <v>10290</v>
      </c>
      <c r="C984" s="274" t="s">
        <v>3663</v>
      </c>
      <c r="D984" s="669">
        <v>3360</v>
      </c>
      <c r="G984" s="260">
        <v>139244</v>
      </c>
      <c r="H984" s="260" t="s">
        <v>10458</v>
      </c>
      <c r="I984" s="274" t="s">
        <v>2989</v>
      </c>
      <c r="J984" s="439">
        <f t="shared" si="5"/>
        <v>185.25000000000003</v>
      </c>
      <c r="N984" s="482" t="s">
        <v>9344</v>
      </c>
      <c r="AF984" s="264"/>
    </row>
    <row r="985" spans="1:32" ht="14.25" customHeight="1">
      <c r="A985" s="260">
        <v>16969</v>
      </c>
      <c r="B985" s="260" t="s">
        <v>10291</v>
      </c>
      <c r="C985" s="274" t="s">
        <v>7859</v>
      </c>
      <c r="D985" s="669">
        <v>1450</v>
      </c>
      <c r="G985" s="260">
        <v>141186</v>
      </c>
      <c r="H985" s="260" t="s">
        <v>10548</v>
      </c>
      <c r="I985" s="274" t="s">
        <v>2989</v>
      </c>
      <c r="J985" s="439">
        <f t="shared" si="5"/>
        <v>220</v>
      </c>
      <c r="N985" s="274" t="s">
        <v>4401</v>
      </c>
      <c r="AF985" s="264"/>
    </row>
    <row r="986" spans="1:32" ht="14.25" customHeight="1">
      <c r="A986" s="260">
        <v>1282325</v>
      </c>
      <c r="B986" s="260" t="s">
        <v>10292</v>
      </c>
      <c r="C986" s="274" t="s">
        <v>3663</v>
      </c>
      <c r="D986" s="669">
        <v>6387.5</v>
      </c>
      <c r="G986" s="65">
        <v>416213</v>
      </c>
      <c r="H986" s="65" t="s">
        <v>10629</v>
      </c>
      <c r="I986" s="65" t="s">
        <v>7371</v>
      </c>
      <c r="J986" s="439">
        <f t="shared" si="5"/>
        <v>263</v>
      </c>
      <c r="N986" s="65" t="s">
        <v>10411</v>
      </c>
      <c r="AF986" s="264"/>
    </row>
    <row r="987" spans="1:32" ht="14.25" customHeight="1">
      <c r="A987" s="260">
        <v>2797442</v>
      </c>
      <c r="B987" s="260" t="s">
        <v>10297</v>
      </c>
      <c r="C987" s="274" t="s">
        <v>4401</v>
      </c>
      <c r="D987" s="669">
        <v>1680</v>
      </c>
      <c r="G987" s="260" t="s">
        <v>10671</v>
      </c>
      <c r="H987" s="260" t="s">
        <v>10532</v>
      </c>
      <c r="I987" s="274" t="s">
        <v>7371</v>
      </c>
      <c r="J987" s="439">
        <f t="shared" si="5"/>
        <v>268.5</v>
      </c>
      <c r="N987" s="274" t="s">
        <v>9981</v>
      </c>
      <c r="AF987" s="264"/>
    </row>
    <row r="988" spans="1:32" ht="14.25" customHeight="1">
      <c r="A988" s="260">
        <v>16524</v>
      </c>
      <c r="B988" s="260" t="s">
        <v>10300</v>
      </c>
      <c r="C988" s="274" t="s">
        <v>4379</v>
      </c>
      <c r="D988" s="669">
        <v>2360</v>
      </c>
      <c r="G988" s="260">
        <v>29761</v>
      </c>
      <c r="H988" s="260" t="s">
        <v>10432</v>
      </c>
      <c r="I988" s="274" t="s">
        <v>8452</v>
      </c>
      <c r="J988" s="439">
        <f t="shared" si="5"/>
        <v>305</v>
      </c>
      <c r="N988" s="274" t="s">
        <v>7984</v>
      </c>
      <c r="AF988" s="264"/>
    </row>
    <row r="989" spans="1:32" ht="14.25" customHeight="1">
      <c r="A989" s="260">
        <v>16497</v>
      </c>
      <c r="B989" s="260" t="s">
        <v>10301</v>
      </c>
      <c r="C989" s="274" t="s">
        <v>4379</v>
      </c>
      <c r="D989" s="669">
        <v>852</v>
      </c>
      <c r="G989" s="65" t="s">
        <v>10669</v>
      </c>
      <c r="H989" s="65" t="s">
        <v>10633</v>
      </c>
      <c r="I989" s="65" t="s">
        <v>9981</v>
      </c>
      <c r="J989" s="439">
        <f t="shared" si="5"/>
        <v>330.1</v>
      </c>
      <c r="N989" s="65" t="s">
        <v>3407</v>
      </c>
      <c r="AF989" s="264"/>
    </row>
    <row r="990" spans="1:32" ht="14.25" customHeight="1">
      <c r="A990" s="260">
        <v>2797344</v>
      </c>
      <c r="B990" s="260" t="s">
        <v>10303</v>
      </c>
      <c r="C990" s="274" t="s">
        <v>4401</v>
      </c>
      <c r="D990" s="669">
        <v>5440</v>
      </c>
      <c r="G990" s="260">
        <v>12817</v>
      </c>
      <c r="H990" s="260" t="s">
        <v>10428</v>
      </c>
      <c r="I990" s="274" t="s">
        <v>7337</v>
      </c>
      <c r="J990" s="439">
        <f t="shared" si="5"/>
        <v>338</v>
      </c>
      <c r="N990" s="482" t="s">
        <v>8395</v>
      </c>
      <c r="AF990" s="264"/>
    </row>
    <row r="991" spans="1:32" ht="14.25" customHeight="1">
      <c r="A991" s="260">
        <v>10356</v>
      </c>
      <c r="B991" s="260" t="s">
        <v>10304</v>
      </c>
      <c r="C991" s="274" t="s">
        <v>10075</v>
      </c>
      <c r="D991" s="669">
        <v>2560</v>
      </c>
      <c r="G991" s="260">
        <v>28862</v>
      </c>
      <c r="H991" s="260" t="s">
        <v>10422</v>
      </c>
      <c r="I991" s="274" t="s">
        <v>8452</v>
      </c>
      <c r="J991" s="439">
        <f t="shared" si="5"/>
        <v>350</v>
      </c>
      <c r="N991" s="274" t="s">
        <v>3530</v>
      </c>
      <c r="AF991" s="264"/>
    </row>
    <row r="992" spans="1:32" ht="14.25" customHeight="1">
      <c r="A992" s="260">
        <v>10196</v>
      </c>
      <c r="B992" s="260" t="s">
        <v>10304</v>
      </c>
      <c r="C992" s="274" t="s">
        <v>10075</v>
      </c>
      <c r="D992" s="669">
        <v>3569.18</v>
      </c>
      <c r="G992" s="260">
        <v>141108</v>
      </c>
      <c r="H992" s="260" t="s">
        <v>10438</v>
      </c>
      <c r="I992" s="274" t="s">
        <v>2989</v>
      </c>
      <c r="J992" s="439">
        <f t="shared" si="5"/>
        <v>374.4</v>
      </c>
      <c r="N992" s="274" t="s">
        <v>8240</v>
      </c>
      <c r="AF992" s="264"/>
    </row>
    <row r="993" spans="1:32" ht="14.25" customHeight="1">
      <c r="A993" s="260">
        <v>10356</v>
      </c>
      <c r="B993" s="260" t="s">
        <v>10304</v>
      </c>
      <c r="C993" s="274" t="s">
        <v>10075</v>
      </c>
      <c r="D993" s="669">
        <v>987.22</v>
      </c>
      <c r="G993" s="260">
        <v>168092</v>
      </c>
      <c r="H993" s="260" t="s">
        <v>10310</v>
      </c>
      <c r="I993" s="274" t="s">
        <v>7984</v>
      </c>
      <c r="J993" s="439">
        <f t="shared" si="5"/>
        <v>390</v>
      </c>
      <c r="N993" s="274" t="s">
        <v>9946</v>
      </c>
      <c r="AF993" s="264"/>
    </row>
    <row r="994" spans="1:32" ht="14.25" customHeight="1">
      <c r="A994" s="260">
        <v>1171</v>
      </c>
      <c r="B994" s="260" t="s">
        <v>10305</v>
      </c>
      <c r="C994" s="274" t="s">
        <v>3530</v>
      </c>
      <c r="D994" s="669">
        <v>556</v>
      </c>
      <c r="G994" s="260">
        <v>523254</v>
      </c>
      <c r="H994" s="260" t="s">
        <v>10315</v>
      </c>
      <c r="I994" s="274" t="s">
        <v>5740</v>
      </c>
      <c r="J994" s="439">
        <f t="shared" si="5"/>
        <v>402.5</v>
      </c>
      <c r="N994" s="482" t="s">
        <v>10675</v>
      </c>
      <c r="AF994" s="264"/>
    </row>
    <row r="995" spans="1:32" ht="14.25" customHeight="1">
      <c r="A995" s="260">
        <v>401764</v>
      </c>
      <c r="B995" s="260" t="s">
        <v>10308</v>
      </c>
      <c r="C995" s="274" t="s">
        <v>7371</v>
      </c>
      <c r="D995" s="669">
        <v>104.60000000000001</v>
      </c>
      <c r="G995" s="260">
        <v>404011</v>
      </c>
      <c r="H995" s="260" t="s">
        <v>10316</v>
      </c>
      <c r="I995" s="274" t="s">
        <v>7371</v>
      </c>
      <c r="J995" s="439">
        <f t="shared" si="5"/>
        <v>425</v>
      </c>
      <c r="N995" s="65" t="s">
        <v>4357</v>
      </c>
      <c r="AF995" s="264"/>
    </row>
    <row r="996" spans="1:32" ht="14.25" customHeight="1">
      <c r="A996" s="260">
        <v>16576</v>
      </c>
      <c r="B996" s="260" t="s">
        <v>10309</v>
      </c>
      <c r="C996" s="274" t="s">
        <v>4379</v>
      </c>
      <c r="D996" s="669">
        <v>441.6</v>
      </c>
      <c r="G996" s="260">
        <v>16576</v>
      </c>
      <c r="H996" s="260" t="s">
        <v>10309</v>
      </c>
      <c r="I996" s="274" t="s">
        <v>4379</v>
      </c>
      <c r="J996" s="439">
        <f t="shared" si="5"/>
        <v>441.6</v>
      </c>
      <c r="N996" s="65" t="s">
        <v>7540</v>
      </c>
      <c r="AF996" s="264"/>
    </row>
    <row r="997" spans="1:32" ht="14.25" customHeight="1">
      <c r="A997" s="260">
        <v>168092</v>
      </c>
      <c r="B997" s="260" t="s">
        <v>10310</v>
      </c>
      <c r="C997" s="274" t="s">
        <v>7984</v>
      </c>
      <c r="D997" s="669">
        <v>390</v>
      </c>
      <c r="G997" s="260" t="s">
        <v>10673</v>
      </c>
      <c r="H997" s="260" t="s">
        <v>10546</v>
      </c>
      <c r="I997" s="274" t="s">
        <v>7371</v>
      </c>
      <c r="J997" s="439">
        <f t="shared" si="5"/>
        <v>461.59999999999997</v>
      </c>
      <c r="N997" s="274" t="s">
        <v>4358</v>
      </c>
      <c r="AF997" s="264"/>
    </row>
    <row r="998" spans="1:32" ht="14.25" customHeight="1">
      <c r="A998" s="260">
        <v>523254</v>
      </c>
      <c r="B998" s="260" t="s">
        <v>10315</v>
      </c>
      <c r="C998" s="274" t="s">
        <v>5740</v>
      </c>
      <c r="D998" s="669">
        <v>332.5</v>
      </c>
      <c r="G998" s="260">
        <v>2825066</v>
      </c>
      <c r="H998" s="260" t="s">
        <v>10517</v>
      </c>
      <c r="I998" s="274" t="s">
        <v>4401</v>
      </c>
      <c r="J998" s="439">
        <f t="shared" si="5"/>
        <v>478</v>
      </c>
      <c r="N998" s="274" t="s">
        <v>7285</v>
      </c>
      <c r="AF998" s="264"/>
    </row>
    <row r="999" spans="1:32" ht="14.25" customHeight="1">
      <c r="A999" s="260">
        <v>523254</v>
      </c>
      <c r="B999" s="260" t="s">
        <v>10315</v>
      </c>
      <c r="C999" s="274" t="s">
        <v>5740</v>
      </c>
      <c r="D999" s="669">
        <v>70</v>
      </c>
      <c r="G999" s="260">
        <v>1177</v>
      </c>
      <c r="H999" s="260" t="s">
        <v>10470</v>
      </c>
      <c r="I999" s="274" t="s">
        <v>3530</v>
      </c>
      <c r="J999" s="439">
        <f t="shared" si="5"/>
        <v>540</v>
      </c>
      <c r="N999" s="274" t="s">
        <v>7371</v>
      </c>
      <c r="AF999" s="264"/>
    </row>
    <row r="1000" spans="1:32" ht="14.25" customHeight="1">
      <c r="A1000" s="260">
        <v>404011</v>
      </c>
      <c r="B1000" s="260" t="s">
        <v>10316</v>
      </c>
      <c r="C1000" s="274" t="s">
        <v>7371</v>
      </c>
      <c r="D1000" s="669">
        <v>425</v>
      </c>
      <c r="G1000" s="260">
        <v>1171</v>
      </c>
      <c r="H1000" s="260" t="s">
        <v>10305</v>
      </c>
      <c r="I1000" s="274" t="s">
        <v>3530</v>
      </c>
      <c r="J1000" s="439">
        <f t="shared" si="5"/>
        <v>556</v>
      </c>
      <c r="N1000" s="65" t="s">
        <v>7859</v>
      </c>
      <c r="AF1000" s="264"/>
    </row>
    <row r="1001" spans="1:32" ht="14.25" customHeight="1">
      <c r="A1001" s="260">
        <v>57606</v>
      </c>
      <c r="B1001" s="260" t="s">
        <v>10317</v>
      </c>
      <c r="C1001" s="274" t="s">
        <v>7285</v>
      </c>
      <c r="D1001" s="669">
        <v>9900</v>
      </c>
      <c r="G1001" s="260">
        <v>105556</v>
      </c>
      <c r="H1001" s="260" t="s">
        <v>10564</v>
      </c>
      <c r="I1001" s="274" t="s">
        <v>4109</v>
      </c>
      <c r="J1001" s="439">
        <f t="shared" si="5"/>
        <v>630</v>
      </c>
      <c r="N1001" s="274" t="s">
        <v>7337</v>
      </c>
      <c r="AF1001" s="264"/>
    </row>
    <row r="1002" spans="1:32" ht="14.25" customHeight="1">
      <c r="A1002" s="260">
        <v>2148</v>
      </c>
      <c r="B1002" s="260" t="s">
        <v>10321</v>
      </c>
      <c r="C1002" s="274" t="s">
        <v>4357</v>
      </c>
      <c r="D1002" s="669">
        <v>225.99999999999997</v>
      </c>
      <c r="G1002" s="65">
        <v>416168</v>
      </c>
      <c r="H1002" s="65" t="s">
        <v>10627</v>
      </c>
      <c r="I1002" s="65" t="s">
        <v>7371</v>
      </c>
      <c r="J1002" s="439">
        <f t="shared" si="5"/>
        <v>636</v>
      </c>
      <c r="N1002" s="274" t="s">
        <v>8452</v>
      </c>
      <c r="AF1002" s="264"/>
    </row>
    <row r="1003" spans="1:32" ht="14.25" customHeight="1">
      <c r="A1003" s="260">
        <v>2148</v>
      </c>
      <c r="B1003" s="260" t="s">
        <v>10321</v>
      </c>
      <c r="C1003" s="274" t="s">
        <v>4357</v>
      </c>
      <c r="D1003" s="669">
        <v>227.99999999999997</v>
      </c>
      <c r="G1003" s="65">
        <v>416230</v>
      </c>
      <c r="H1003" s="65" t="s">
        <v>10633</v>
      </c>
      <c r="I1003" s="65" t="s">
        <v>7371</v>
      </c>
      <c r="J1003" s="439">
        <f t="shared" si="5"/>
        <v>639</v>
      </c>
      <c r="N1003" s="274" t="s">
        <v>4380</v>
      </c>
      <c r="AF1003" s="264"/>
    </row>
    <row r="1004" spans="1:32" ht="14.25" customHeight="1">
      <c r="A1004" s="260">
        <v>2148</v>
      </c>
      <c r="B1004" s="260" t="s">
        <v>10321</v>
      </c>
      <c r="C1004" s="274" t="s">
        <v>4357</v>
      </c>
      <c r="D1004" s="669">
        <v>226.5</v>
      </c>
      <c r="G1004" s="260">
        <v>2807736</v>
      </c>
      <c r="H1004" s="260" t="s">
        <v>10461</v>
      </c>
      <c r="I1004" s="274" t="s">
        <v>4401</v>
      </c>
      <c r="J1004" s="439">
        <f t="shared" si="5"/>
        <v>645</v>
      </c>
      <c r="N1004" s="482" t="s">
        <v>8696</v>
      </c>
      <c r="AF1004" s="264"/>
    </row>
    <row r="1005" spans="1:32" ht="14.25" customHeight="1">
      <c r="A1005" s="260">
        <v>69</v>
      </c>
      <c r="B1005" s="260" t="s">
        <v>10343</v>
      </c>
      <c r="C1005" s="274" t="s">
        <v>10411</v>
      </c>
      <c r="D1005" s="669">
        <v>1320</v>
      </c>
      <c r="G1005" s="260">
        <v>134592</v>
      </c>
      <c r="H1005" s="260" t="s">
        <v>10469</v>
      </c>
      <c r="I1005" s="274" t="s">
        <v>9981</v>
      </c>
      <c r="J1005" s="439">
        <f t="shared" si="5"/>
        <v>655.8</v>
      </c>
      <c r="N1005" s="65" t="s">
        <v>10075</v>
      </c>
      <c r="AF1005" s="264"/>
    </row>
    <row r="1006" spans="1:32" ht="14.25" customHeight="1">
      <c r="A1006" s="260">
        <v>172</v>
      </c>
      <c r="B1006" s="260" t="s">
        <v>10344</v>
      </c>
      <c r="C1006" s="274" t="s">
        <v>7051</v>
      </c>
      <c r="D1006" s="669">
        <v>2400</v>
      </c>
      <c r="G1006" s="260">
        <v>10355</v>
      </c>
      <c r="H1006" s="260" t="s">
        <v>10513</v>
      </c>
      <c r="I1006" s="274" t="s">
        <v>10075</v>
      </c>
      <c r="J1006" s="439">
        <f t="shared" si="5"/>
        <v>660</v>
      </c>
      <c r="N1006" s="274" t="s">
        <v>5740</v>
      </c>
      <c r="AF1006" s="264"/>
    </row>
    <row r="1007" spans="1:32" ht="14.25" customHeight="1">
      <c r="A1007" s="260">
        <v>180</v>
      </c>
      <c r="B1007" s="260" t="s">
        <v>10347</v>
      </c>
      <c r="C1007" s="274" t="s">
        <v>7051</v>
      </c>
      <c r="D1007" s="669">
        <v>1750</v>
      </c>
      <c r="G1007" s="260">
        <v>2148</v>
      </c>
      <c r="H1007" s="260" t="s">
        <v>10321</v>
      </c>
      <c r="I1007" s="274" t="s">
        <v>4357</v>
      </c>
      <c r="J1007" s="439">
        <f t="shared" si="5"/>
        <v>680.5</v>
      </c>
      <c r="N1007" s="274" t="s">
        <v>7896</v>
      </c>
      <c r="AF1007" s="264"/>
    </row>
    <row r="1008" spans="1:32" ht="14.25" customHeight="1">
      <c r="A1008" s="260">
        <v>139578</v>
      </c>
      <c r="B1008" s="260" t="s">
        <v>10349</v>
      </c>
      <c r="C1008" s="274" t="s">
        <v>2989</v>
      </c>
      <c r="D1008" s="669">
        <v>689</v>
      </c>
      <c r="G1008" s="260">
        <v>139578</v>
      </c>
      <c r="H1008" s="260" t="s">
        <v>10349</v>
      </c>
      <c r="I1008" s="274" t="s">
        <v>2989</v>
      </c>
      <c r="J1008" s="439">
        <f t="shared" si="5"/>
        <v>689</v>
      </c>
      <c r="N1008" s="65" t="s">
        <v>4398</v>
      </c>
      <c r="AF1008" s="264"/>
    </row>
    <row r="1009" spans="1:32" ht="14.25" customHeight="1">
      <c r="A1009" s="260">
        <v>16834</v>
      </c>
      <c r="B1009" s="260" t="s">
        <v>10353</v>
      </c>
      <c r="C1009" s="274" t="s">
        <v>4379</v>
      </c>
      <c r="D1009" s="669">
        <v>852</v>
      </c>
      <c r="G1009" s="65" t="s">
        <v>10666</v>
      </c>
      <c r="H1009" s="65" t="s">
        <v>10627</v>
      </c>
      <c r="I1009" s="65" t="s">
        <v>4398</v>
      </c>
      <c r="J1009" s="439">
        <f t="shared" ref="J1009:J1040" si="6">SUMIFS($D$977:$D$1071,$A$977:$A$1071,G1009,$B$977:$B$1071,H1009)</f>
        <v>696</v>
      </c>
      <c r="N1009" s="65" t="s">
        <v>4432</v>
      </c>
      <c r="AF1009" s="264"/>
    </row>
    <row r="1010" spans="1:32" ht="14.25" customHeight="1">
      <c r="A1010" s="260">
        <v>4036</v>
      </c>
      <c r="B1010" s="260" t="s">
        <v>10373</v>
      </c>
      <c r="C1010" s="274" t="s">
        <v>3670</v>
      </c>
      <c r="D1010" s="669">
        <v>2995</v>
      </c>
      <c r="G1010" s="260">
        <v>10421</v>
      </c>
      <c r="H1010" s="260" t="s">
        <v>10400</v>
      </c>
      <c r="I1010" s="274" t="s">
        <v>10075</v>
      </c>
      <c r="J1010" s="439">
        <f t="shared" si="6"/>
        <v>698</v>
      </c>
      <c r="N1010" s="65" t="s">
        <v>7549</v>
      </c>
      <c r="AF1010" s="264"/>
    </row>
    <row r="1011" spans="1:32" ht="14.25" customHeight="1">
      <c r="A1011" s="260">
        <v>4036</v>
      </c>
      <c r="B1011" s="260" t="s">
        <v>10373</v>
      </c>
      <c r="C1011" s="274" t="s">
        <v>3670</v>
      </c>
      <c r="D1011" s="669">
        <v>492</v>
      </c>
      <c r="G1011" s="260">
        <v>407383</v>
      </c>
      <c r="H1011" s="260" t="s">
        <v>10377</v>
      </c>
      <c r="I1011" s="274" t="s">
        <v>7371</v>
      </c>
      <c r="J1011" s="439">
        <f t="shared" si="6"/>
        <v>701.46</v>
      </c>
      <c r="N1011" s="274" t="s">
        <v>4109</v>
      </c>
      <c r="AF1011" s="264"/>
    </row>
    <row r="1012" spans="1:32" ht="14.25" customHeight="1">
      <c r="A1012" s="260">
        <v>4036</v>
      </c>
      <c r="B1012" s="260" t="s">
        <v>10373</v>
      </c>
      <c r="C1012" s="274" t="s">
        <v>3670</v>
      </c>
      <c r="D1012" s="669">
        <v>906</v>
      </c>
      <c r="G1012" s="260">
        <v>135521</v>
      </c>
      <c r="H1012" s="260" t="s">
        <v>10558</v>
      </c>
      <c r="I1012" s="274" t="s">
        <v>9981</v>
      </c>
      <c r="J1012" s="439">
        <f t="shared" si="6"/>
        <v>720</v>
      </c>
      <c r="N1012" s="274" t="s">
        <v>7392</v>
      </c>
      <c r="AF1012" s="264"/>
    </row>
    <row r="1013" spans="1:32" ht="14.25" customHeight="1">
      <c r="A1013" s="260">
        <v>407383</v>
      </c>
      <c r="B1013" s="260" t="s">
        <v>10377</v>
      </c>
      <c r="C1013" s="274" t="s">
        <v>7371</v>
      </c>
      <c r="D1013" s="669">
        <v>701.46</v>
      </c>
      <c r="G1013" s="260">
        <v>4037</v>
      </c>
      <c r="H1013" s="260" t="s">
        <v>10287</v>
      </c>
      <c r="I1013" s="274" t="s">
        <v>3670</v>
      </c>
      <c r="J1013" s="439">
        <f t="shared" si="6"/>
        <v>750</v>
      </c>
      <c r="K1013" s="260" t="s">
        <v>3050</v>
      </c>
      <c r="N1013" s="65" t="s">
        <v>4465</v>
      </c>
      <c r="AF1013" s="264"/>
    </row>
    <row r="1014" spans="1:32" ht="14.25" customHeight="1">
      <c r="A1014" s="260">
        <v>10240</v>
      </c>
      <c r="B1014" s="260" t="s">
        <v>10379</v>
      </c>
      <c r="C1014" s="274" t="s">
        <v>10075</v>
      </c>
      <c r="D1014" s="669">
        <v>2978.0400000000004</v>
      </c>
      <c r="G1014" s="260">
        <v>139237</v>
      </c>
      <c r="H1014" s="260" t="s">
        <v>10467</v>
      </c>
      <c r="I1014" s="274" t="s">
        <v>2989</v>
      </c>
      <c r="J1014" s="439">
        <f t="shared" si="6"/>
        <v>751</v>
      </c>
      <c r="N1014"/>
      <c r="AF1014" s="264"/>
    </row>
    <row r="1015" spans="1:32" ht="14.25" customHeight="1">
      <c r="A1015" s="260">
        <v>112896</v>
      </c>
      <c r="B1015" s="260" t="s">
        <v>10385</v>
      </c>
      <c r="C1015" s="274" t="s">
        <v>7549</v>
      </c>
      <c r="D1015" s="669">
        <v>910</v>
      </c>
      <c r="G1015" s="260">
        <v>16497</v>
      </c>
      <c r="H1015" s="260" t="s">
        <v>10301</v>
      </c>
      <c r="I1015" s="274" t="s">
        <v>4379</v>
      </c>
      <c r="J1015" s="439">
        <f t="shared" si="6"/>
        <v>852</v>
      </c>
      <c r="N1015"/>
      <c r="AF1015" s="264"/>
    </row>
    <row r="1016" spans="1:32" ht="14.25" customHeight="1">
      <c r="A1016" s="260">
        <v>138927</v>
      </c>
      <c r="B1016" s="260" t="s">
        <v>10398</v>
      </c>
      <c r="C1016" s="274" t="s">
        <v>2989</v>
      </c>
      <c r="D1016" s="669">
        <v>4460</v>
      </c>
      <c r="G1016" s="260">
        <v>16834</v>
      </c>
      <c r="H1016" s="260" t="s">
        <v>10353</v>
      </c>
      <c r="I1016" s="274" t="s">
        <v>4379</v>
      </c>
      <c r="J1016" s="439">
        <f t="shared" si="6"/>
        <v>852</v>
      </c>
      <c r="N1016"/>
      <c r="AF1016" s="264"/>
    </row>
    <row r="1017" spans="1:32" ht="14.25" customHeight="1">
      <c r="A1017" s="260">
        <v>10421</v>
      </c>
      <c r="B1017" s="260" t="s">
        <v>10400</v>
      </c>
      <c r="C1017" s="274" t="s">
        <v>10075</v>
      </c>
      <c r="D1017" s="669">
        <v>698</v>
      </c>
      <c r="G1017" s="260">
        <v>112896</v>
      </c>
      <c r="H1017" s="260" t="s">
        <v>10385</v>
      </c>
      <c r="I1017" s="274" t="s">
        <v>7549</v>
      </c>
      <c r="J1017" s="439">
        <f t="shared" si="6"/>
        <v>910</v>
      </c>
      <c r="N1017"/>
      <c r="AF1017" s="264"/>
    </row>
    <row r="1018" spans="1:32" ht="14.25" customHeight="1">
      <c r="A1018" s="260">
        <v>138807</v>
      </c>
      <c r="B1018" s="260" t="s">
        <v>10402</v>
      </c>
      <c r="C1018" s="274" t="s">
        <v>2989</v>
      </c>
      <c r="D1018" s="669">
        <v>4200</v>
      </c>
      <c r="G1018" s="260">
        <v>4026</v>
      </c>
      <c r="H1018" s="260" t="s">
        <v>10281</v>
      </c>
      <c r="I1018" s="274" t="s">
        <v>3670</v>
      </c>
      <c r="J1018" s="439">
        <f t="shared" si="6"/>
        <v>915</v>
      </c>
      <c r="K1018" s="260" t="s">
        <v>3050</v>
      </c>
      <c r="N1018"/>
      <c r="AF1018" s="264"/>
    </row>
    <row r="1019" spans="1:32" ht="14.25" customHeight="1">
      <c r="A1019" s="260">
        <v>949</v>
      </c>
      <c r="B1019" s="260" t="s">
        <v>10404</v>
      </c>
      <c r="C1019" s="274" t="s">
        <v>3407</v>
      </c>
      <c r="D1019" s="669">
        <v>1998</v>
      </c>
      <c r="G1019" s="260">
        <v>104648</v>
      </c>
      <c r="H1019" s="260" t="s">
        <v>10487</v>
      </c>
      <c r="I1019" s="274" t="s">
        <v>4109</v>
      </c>
      <c r="J1019" s="439">
        <f t="shared" si="6"/>
        <v>1062</v>
      </c>
      <c r="N1019"/>
      <c r="AF1019" s="264"/>
    </row>
    <row r="1020" spans="1:32" ht="14.25" customHeight="1">
      <c r="A1020" s="260">
        <v>1098</v>
      </c>
      <c r="B1020" s="260" t="s">
        <v>10406</v>
      </c>
      <c r="C1020" s="274" t="s">
        <v>4358</v>
      </c>
      <c r="D1020" s="669">
        <v>111.8</v>
      </c>
      <c r="G1020" s="260">
        <v>9938</v>
      </c>
      <c r="H1020" s="260" t="s">
        <v>10423</v>
      </c>
      <c r="I1020" s="274" t="s">
        <v>4432</v>
      </c>
      <c r="J1020" s="439">
        <f t="shared" si="6"/>
        <v>1078.56</v>
      </c>
      <c r="N1020"/>
      <c r="AF1020" s="264"/>
    </row>
    <row r="1021" spans="1:32" ht="14.25" customHeight="1">
      <c r="A1021" s="260">
        <v>2805079</v>
      </c>
      <c r="B1021" s="260" t="s">
        <v>10418</v>
      </c>
      <c r="C1021" s="274" t="s">
        <v>4401</v>
      </c>
      <c r="D1021" s="669">
        <v>9897.5</v>
      </c>
      <c r="G1021" s="260">
        <v>17244</v>
      </c>
      <c r="H1021" s="260" t="s">
        <v>10556</v>
      </c>
      <c r="I1021" s="274" t="s">
        <v>4379</v>
      </c>
      <c r="J1021" s="439">
        <f t="shared" si="6"/>
        <v>1198</v>
      </c>
      <c r="N1021"/>
      <c r="AF1021" s="264"/>
    </row>
    <row r="1022" spans="1:32" ht="14.25" customHeight="1">
      <c r="A1022" s="260">
        <v>2805080</v>
      </c>
      <c r="B1022" s="260" t="s">
        <v>10419</v>
      </c>
      <c r="C1022" s="274" t="s">
        <v>4401</v>
      </c>
      <c r="D1022" s="669">
        <v>6150</v>
      </c>
      <c r="G1022" s="260">
        <v>69</v>
      </c>
      <c r="H1022" s="260" t="s">
        <v>10343</v>
      </c>
      <c r="I1022" s="274" t="s">
        <v>10411</v>
      </c>
      <c r="J1022" s="439">
        <f t="shared" si="6"/>
        <v>1320</v>
      </c>
      <c r="N1022"/>
      <c r="AF1022" s="264"/>
    </row>
    <row r="1023" spans="1:32" ht="14.25" customHeight="1">
      <c r="A1023" s="260">
        <v>28862</v>
      </c>
      <c r="B1023" s="260" t="s">
        <v>10422</v>
      </c>
      <c r="C1023" s="274" t="s">
        <v>8452</v>
      </c>
      <c r="D1023" s="669">
        <v>350</v>
      </c>
      <c r="G1023" s="260">
        <v>1186</v>
      </c>
      <c r="H1023" s="260" t="s">
        <v>10484</v>
      </c>
      <c r="I1023" s="274" t="s">
        <v>3530</v>
      </c>
      <c r="J1023" s="439">
        <f t="shared" si="6"/>
        <v>1420</v>
      </c>
      <c r="N1023"/>
      <c r="AF1023" s="264"/>
    </row>
    <row r="1024" spans="1:32" ht="14.25" customHeight="1">
      <c r="A1024" s="260">
        <v>9938</v>
      </c>
      <c r="B1024" s="260" t="s">
        <v>10423</v>
      </c>
      <c r="C1024" s="274" t="s">
        <v>4432</v>
      </c>
      <c r="D1024" s="669">
        <v>1078.56</v>
      </c>
      <c r="G1024" s="260">
        <v>16969</v>
      </c>
      <c r="H1024" s="260" t="s">
        <v>10291</v>
      </c>
      <c r="I1024" s="274" t="s">
        <v>7859</v>
      </c>
      <c r="J1024" s="439">
        <f t="shared" si="6"/>
        <v>1450</v>
      </c>
      <c r="K1024" s="260" t="s">
        <v>3050</v>
      </c>
      <c r="N1024"/>
      <c r="AF1024" s="264"/>
    </row>
    <row r="1025" spans="1:32" ht="14.25" customHeight="1">
      <c r="A1025" s="260">
        <v>12817</v>
      </c>
      <c r="B1025" s="260" t="s">
        <v>10428</v>
      </c>
      <c r="C1025" s="274" t="s">
        <v>7337</v>
      </c>
      <c r="D1025" s="669">
        <v>338</v>
      </c>
      <c r="G1025" s="260">
        <v>865</v>
      </c>
      <c r="H1025" s="260" t="s">
        <v>10499</v>
      </c>
      <c r="I1025" s="274" t="s">
        <v>7540</v>
      </c>
      <c r="J1025" s="439">
        <f t="shared" si="6"/>
        <v>1608</v>
      </c>
      <c r="K1025" s="260" t="s">
        <v>3050</v>
      </c>
      <c r="N1025"/>
      <c r="AF1025" s="264"/>
    </row>
    <row r="1026" spans="1:32" ht="14.25" customHeight="1">
      <c r="A1026" s="260">
        <v>29761</v>
      </c>
      <c r="B1026" s="260" t="s">
        <v>10432</v>
      </c>
      <c r="C1026" s="274" t="s">
        <v>8452</v>
      </c>
      <c r="D1026" s="669">
        <v>305</v>
      </c>
      <c r="G1026" s="260">
        <v>2797442</v>
      </c>
      <c r="H1026" s="260" t="s">
        <v>10297</v>
      </c>
      <c r="I1026" s="274" t="s">
        <v>4401</v>
      </c>
      <c r="J1026" s="439">
        <f t="shared" si="6"/>
        <v>1680</v>
      </c>
      <c r="N1026"/>
      <c r="AF1026" s="264"/>
    </row>
    <row r="1027" spans="1:32" ht="14.25" customHeight="1">
      <c r="A1027" s="260">
        <v>140717</v>
      </c>
      <c r="B1027" s="260" t="s">
        <v>10434</v>
      </c>
      <c r="C1027" s="274" t="s">
        <v>2989</v>
      </c>
      <c r="D1027" s="669">
        <v>110</v>
      </c>
      <c r="G1027" s="260">
        <v>180</v>
      </c>
      <c r="H1027" s="260" t="s">
        <v>10347</v>
      </c>
      <c r="I1027" s="274" t="s">
        <v>7051</v>
      </c>
      <c r="J1027" s="439">
        <f t="shared" si="6"/>
        <v>1750</v>
      </c>
      <c r="K1027" s="260" t="s">
        <v>3050</v>
      </c>
      <c r="N1027"/>
      <c r="AF1027" s="264"/>
    </row>
    <row r="1028" spans="1:32" ht="14.25" customHeight="1">
      <c r="A1028" s="260">
        <v>29717</v>
      </c>
      <c r="B1028" s="260" t="s">
        <v>10436</v>
      </c>
      <c r="C1028" s="274" t="s">
        <v>8452</v>
      </c>
      <c r="D1028" s="669">
        <v>183</v>
      </c>
      <c r="G1028" s="260">
        <v>17243</v>
      </c>
      <c r="H1028" s="260" t="s">
        <v>10530</v>
      </c>
      <c r="I1028" s="274" t="s">
        <v>4379</v>
      </c>
      <c r="J1028" s="439">
        <f t="shared" si="6"/>
        <v>1840</v>
      </c>
      <c r="N1028"/>
      <c r="AF1028" s="264"/>
    </row>
    <row r="1029" spans="1:32" ht="14.25" customHeight="1">
      <c r="A1029" s="260">
        <v>141108</v>
      </c>
      <c r="B1029" s="260" t="s">
        <v>10438</v>
      </c>
      <c r="C1029" s="274" t="s">
        <v>2989</v>
      </c>
      <c r="D1029" s="669">
        <v>374.4</v>
      </c>
      <c r="G1029" s="260">
        <v>949</v>
      </c>
      <c r="H1029" s="260" t="s">
        <v>10404</v>
      </c>
      <c r="I1029" s="274" t="s">
        <v>3407</v>
      </c>
      <c r="J1029" s="439">
        <f t="shared" si="6"/>
        <v>1998</v>
      </c>
      <c r="N1029"/>
      <c r="AF1029" s="264"/>
    </row>
    <row r="1030" spans="1:32" ht="14.25" customHeight="1">
      <c r="A1030" s="260">
        <v>10099</v>
      </c>
      <c r="B1030" s="260" t="s">
        <v>10455</v>
      </c>
      <c r="C1030" s="274" t="s">
        <v>10075</v>
      </c>
      <c r="D1030" s="669">
        <v>6720</v>
      </c>
      <c r="G1030" s="260">
        <v>16524</v>
      </c>
      <c r="H1030" s="260" t="s">
        <v>10300</v>
      </c>
      <c r="I1030" s="274" t="s">
        <v>4379</v>
      </c>
      <c r="J1030" s="439">
        <f t="shared" si="6"/>
        <v>2360</v>
      </c>
      <c r="N1030"/>
      <c r="AF1030" s="264"/>
    </row>
    <row r="1031" spans="1:32" ht="14.25" customHeight="1">
      <c r="A1031" s="260">
        <v>139244</v>
      </c>
      <c r="B1031" s="260" t="s">
        <v>10458</v>
      </c>
      <c r="C1031" s="274" t="s">
        <v>2989</v>
      </c>
      <c r="D1031" s="669">
        <v>185.25000000000003</v>
      </c>
      <c r="G1031" s="260" t="s">
        <v>10670</v>
      </c>
      <c r="H1031" s="260" t="s">
        <v>10576</v>
      </c>
      <c r="I1031" s="274" t="s">
        <v>3530</v>
      </c>
      <c r="J1031" s="439">
        <f t="shared" si="6"/>
        <v>2362.9499999999998</v>
      </c>
      <c r="N1031"/>
      <c r="AF1031" s="264"/>
    </row>
    <row r="1032" spans="1:32" ht="14.25" customHeight="1">
      <c r="A1032" s="260">
        <v>2807736</v>
      </c>
      <c r="B1032" s="260" t="s">
        <v>10461</v>
      </c>
      <c r="C1032" s="274" t="s">
        <v>4401</v>
      </c>
      <c r="D1032" s="669">
        <v>645</v>
      </c>
      <c r="G1032" s="260">
        <v>172</v>
      </c>
      <c r="H1032" s="260" t="s">
        <v>10344</v>
      </c>
      <c r="I1032" s="274" t="s">
        <v>7051</v>
      </c>
      <c r="J1032" s="439">
        <f t="shared" si="6"/>
        <v>2400</v>
      </c>
      <c r="K1032" s="260" t="s">
        <v>3050</v>
      </c>
      <c r="N1032"/>
      <c r="AF1032" s="264"/>
    </row>
    <row r="1033" spans="1:32" ht="14.25" customHeight="1">
      <c r="A1033" s="260">
        <v>139237</v>
      </c>
      <c r="B1033" s="260" t="s">
        <v>10467</v>
      </c>
      <c r="C1033" s="274" t="s">
        <v>2989</v>
      </c>
      <c r="D1033" s="669">
        <v>751</v>
      </c>
      <c r="G1033" s="260">
        <v>605</v>
      </c>
      <c r="H1033" s="260" t="s">
        <v>10507</v>
      </c>
      <c r="I1033" s="274" t="s">
        <v>4465</v>
      </c>
      <c r="J1033" s="439">
        <f t="shared" si="6"/>
        <v>2700</v>
      </c>
      <c r="N1033"/>
      <c r="AF1033" s="264"/>
    </row>
    <row r="1034" spans="1:32" ht="14.25" customHeight="1">
      <c r="A1034" s="260">
        <v>134592</v>
      </c>
      <c r="B1034" s="260" t="s">
        <v>10469</v>
      </c>
      <c r="C1034" s="274" t="s">
        <v>9981</v>
      </c>
      <c r="D1034" s="669">
        <v>655.8</v>
      </c>
      <c r="G1034" s="260">
        <v>10240</v>
      </c>
      <c r="H1034" s="260" t="s">
        <v>10379</v>
      </c>
      <c r="I1034" s="274" t="s">
        <v>10075</v>
      </c>
      <c r="J1034" s="439">
        <f t="shared" si="6"/>
        <v>2978.0400000000004</v>
      </c>
      <c r="N1034"/>
      <c r="AF1034" s="264"/>
    </row>
    <row r="1035" spans="1:32" ht="14.25" customHeight="1">
      <c r="A1035" s="260">
        <v>1177</v>
      </c>
      <c r="B1035" s="260" t="s">
        <v>10470</v>
      </c>
      <c r="C1035" s="274" t="s">
        <v>3530</v>
      </c>
      <c r="D1035" s="669">
        <v>540</v>
      </c>
      <c r="G1035" s="260">
        <v>104590</v>
      </c>
      <c r="H1035" s="260" t="s">
        <v>8458</v>
      </c>
      <c r="I1035" s="274" t="s">
        <v>8556</v>
      </c>
      <c r="J1035" s="439">
        <f t="shared" si="6"/>
        <v>2995</v>
      </c>
      <c r="N1035"/>
      <c r="AF1035" s="264"/>
    </row>
    <row r="1036" spans="1:32" ht="14.25" customHeight="1">
      <c r="A1036" s="260">
        <v>105190</v>
      </c>
      <c r="B1036" s="260" t="s">
        <v>10477</v>
      </c>
      <c r="C1036" s="274" t="s">
        <v>4109</v>
      </c>
      <c r="D1036" s="669">
        <v>16180.000000000002</v>
      </c>
      <c r="G1036" s="260">
        <v>1278608</v>
      </c>
      <c r="H1036" s="260" t="s">
        <v>10290</v>
      </c>
      <c r="I1036" s="274" t="s">
        <v>3663</v>
      </c>
      <c r="J1036" s="439">
        <f t="shared" si="6"/>
        <v>3360</v>
      </c>
      <c r="N1036"/>
      <c r="AF1036" s="264"/>
    </row>
    <row r="1037" spans="1:32" ht="14.25" customHeight="1">
      <c r="A1037" s="260">
        <v>105190</v>
      </c>
      <c r="B1037" s="260" t="s">
        <v>10477</v>
      </c>
      <c r="C1037" s="274" t="s">
        <v>4109</v>
      </c>
      <c r="D1037" s="669">
        <v>4150</v>
      </c>
      <c r="G1037" s="260">
        <v>10356</v>
      </c>
      <c r="H1037" s="260" t="s">
        <v>10304</v>
      </c>
      <c r="I1037" s="274" t="s">
        <v>10075</v>
      </c>
      <c r="J1037" s="439">
        <f t="shared" si="6"/>
        <v>3547.2200000000003</v>
      </c>
      <c r="N1037"/>
      <c r="AF1037" s="264"/>
    </row>
    <row r="1038" spans="1:32" ht="14.25" customHeight="1">
      <c r="A1038" s="260">
        <v>1186</v>
      </c>
      <c r="B1038" s="260" t="s">
        <v>10484</v>
      </c>
      <c r="C1038" s="274" t="s">
        <v>3530</v>
      </c>
      <c r="D1038" s="669">
        <v>1420</v>
      </c>
      <c r="G1038" s="260">
        <v>10196</v>
      </c>
      <c r="H1038" s="260" t="s">
        <v>10304</v>
      </c>
      <c r="I1038" s="274" t="s">
        <v>10075</v>
      </c>
      <c r="J1038" s="439">
        <f t="shared" si="6"/>
        <v>3569.18</v>
      </c>
      <c r="N1038"/>
      <c r="AF1038" s="264"/>
    </row>
    <row r="1039" spans="1:32" ht="14.25" customHeight="1">
      <c r="A1039" s="260">
        <v>942</v>
      </c>
      <c r="B1039" s="260" t="s">
        <v>10485</v>
      </c>
      <c r="C1039" s="274" t="s">
        <v>8849</v>
      </c>
      <c r="D1039" s="439">
        <v>4500</v>
      </c>
      <c r="G1039" s="260">
        <v>57949</v>
      </c>
      <c r="H1039" s="260" t="s">
        <v>10535</v>
      </c>
      <c r="I1039" s="274" t="s">
        <v>7285</v>
      </c>
      <c r="J1039" s="439">
        <f t="shared" si="6"/>
        <v>3600</v>
      </c>
      <c r="N1039"/>
      <c r="AF1039" s="264"/>
    </row>
    <row r="1040" spans="1:32" ht="14.25" customHeight="1">
      <c r="A1040" s="260">
        <v>104648</v>
      </c>
      <c r="B1040" s="260" t="s">
        <v>10487</v>
      </c>
      <c r="C1040" s="274" t="s">
        <v>4109</v>
      </c>
      <c r="D1040" s="439">
        <v>1062</v>
      </c>
      <c r="G1040" s="260">
        <v>1394</v>
      </c>
      <c r="H1040" s="260" t="s">
        <v>10071</v>
      </c>
      <c r="I1040" s="274" t="s">
        <v>7392</v>
      </c>
      <c r="J1040" s="439">
        <f t="shared" si="6"/>
        <v>3950</v>
      </c>
      <c r="N1040"/>
      <c r="AF1040" s="264"/>
    </row>
    <row r="1041" spans="1:32" ht="14.25" customHeight="1">
      <c r="A1041" s="260">
        <v>2828767</v>
      </c>
      <c r="B1041" s="260" t="s">
        <v>10493</v>
      </c>
      <c r="C1041" s="274" t="s">
        <v>4401</v>
      </c>
      <c r="D1041" s="439">
        <v>4140</v>
      </c>
      <c r="G1041" s="260">
        <v>2828767</v>
      </c>
      <c r="H1041" s="260" t="s">
        <v>10493</v>
      </c>
      <c r="I1041" s="274" t="s">
        <v>4401</v>
      </c>
      <c r="J1041" s="439">
        <f t="shared" ref="J1041:J1061" si="7">SUMIFS($D$977:$D$1071,$A$977:$A$1071,G1041,$B$977:$B$1071,H1041)</f>
        <v>4140</v>
      </c>
      <c r="N1041"/>
      <c r="AF1041" s="264"/>
    </row>
    <row r="1042" spans="1:32" ht="14.25" customHeight="1">
      <c r="A1042" s="260">
        <v>865</v>
      </c>
      <c r="B1042" s="260" t="s">
        <v>10499</v>
      </c>
      <c r="C1042" s="274" t="s">
        <v>7540</v>
      </c>
      <c r="D1042" s="439">
        <v>1608</v>
      </c>
      <c r="G1042" s="65">
        <v>952</v>
      </c>
      <c r="H1042" s="65" t="s">
        <v>10603</v>
      </c>
      <c r="I1042" s="65" t="s">
        <v>3407</v>
      </c>
      <c r="J1042" s="439">
        <f t="shared" si="7"/>
        <v>4195</v>
      </c>
      <c r="N1042"/>
      <c r="AF1042" s="264"/>
    </row>
    <row r="1043" spans="1:32" ht="14.25" customHeight="1">
      <c r="A1043" s="260">
        <v>2824524</v>
      </c>
      <c r="B1043" s="260" t="s">
        <v>10503</v>
      </c>
      <c r="C1043" s="274" t="s">
        <v>4401</v>
      </c>
      <c r="D1043" s="439">
        <v>89.800000000000011</v>
      </c>
      <c r="G1043" s="260">
        <v>138807</v>
      </c>
      <c r="H1043" s="260" t="s">
        <v>10402</v>
      </c>
      <c r="I1043" s="274" t="s">
        <v>2989</v>
      </c>
      <c r="J1043" s="439">
        <f t="shared" si="7"/>
        <v>4200</v>
      </c>
      <c r="N1043"/>
      <c r="AF1043" s="264"/>
    </row>
    <row r="1044" spans="1:32" ht="14.25" customHeight="1">
      <c r="A1044" s="260">
        <v>605</v>
      </c>
      <c r="B1044" s="260" t="s">
        <v>10507</v>
      </c>
      <c r="C1044" s="274" t="s">
        <v>4465</v>
      </c>
      <c r="D1044" s="439">
        <v>2700</v>
      </c>
      <c r="G1044" s="260">
        <v>4036</v>
      </c>
      <c r="H1044" s="260" t="s">
        <v>10373</v>
      </c>
      <c r="I1044" s="274" t="s">
        <v>3670</v>
      </c>
      <c r="J1044" s="439">
        <f t="shared" si="7"/>
        <v>4393</v>
      </c>
      <c r="K1044" s="260" t="s">
        <v>3050</v>
      </c>
      <c r="N1044"/>
      <c r="AF1044" s="264"/>
    </row>
    <row r="1045" spans="1:32" ht="14.25" customHeight="1">
      <c r="A1045" s="260">
        <v>10355</v>
      </c>
      <c r="B1045" s="260" t="s">
        <v>10513</v>
      </c>
      <c r="C1045" s="274" t="s">
        <v>10075</v>
      </c>
      <c r="D1045" s="439">
        <v>660</v>
      </c>
      <c r="G1045" s="260">
        <v>138927</v>
      </c>
      <c r="H1045" s="260" t="s">
        <v>10398</v>
      </c>
      <c r="I1045" s="274" t="s">
        <v>2989</v>
      </c>
      <c r="J1045" s="439">
        <f t="shared" si="7"/>
        <v>4460</v>
      </c>
      <c r="N1045"/>
      <c r="AF1045" s="264"/>
    </row>
    <row r="1046" spans="1:32" ht="14.25" customHeight="1">
      <c r="A1046" s="260">
        <v>48315</v>
      </c>
      <c r="B1046" s="260" t="s">
        <v>10515</v>
      </c>
      <c r="C1046" s="274" t="s">
        <v>7896</v>
      </c>
      <c r="D1046" s="439">
        <v>8346</v>
      </c>
      <c r="G1046" s="260">
        <v>942</v>
      </c>
      <c r="H1046" s="260" t="s">
        <v>10485</v>
      </c>
      <c r="I1046" s="274" t="s">
        <v>8849</v>
      </c>
      <c r="J1046" s="439">
        <f t="shared" si="7"/>
        <v>4500</v>
      </c>
      <c r="N1046"/>
      <c r="AF1046" s="264"/>
    </row>
    <row r="1047" spans="1:32" ht="14.25" customHeight="1">
      <c r="A1047" s="260">
        <v>2825066</v>
      </c>
      <c r="B1047" s="260" t="s">
        <v>10517</v>
      </c>
      <c r="C1047" s="274" t="s">
        <v>4401</v>
      </c>
      <c r="D1047" s="439">
        <v>478</v>
      </c>
      <c r="G1047" s="260" t="s">
        <v>10668</v>
      </c>
      <c r="H1047" s="260" t="s">
        <v>10574</v>
      </c>
      <c r="I1047" s="274" t="s">
        <v>8240</v>
      </c>
      <c r="J1047" s="439">
        <f t="shared" si="7"/>
        <v>4500</v>
      </c>
      <c r="N1047"/>
      <c r="AF1047" s="264"/>
    </row>
    <row r="1048" spans="1:32" ht="14.25" customHeight="1">
      <c r="A1048" s="260">
        <v>17243</v>
      </c>
      <c r="B1048" s="260" t="s">
        <v>10530</v>
      </c>
      <c r="C1048" s="274" t="s">
        <v>4379</v>
      </c>
      <c r="D1048" s="439">
        <v>1840</v>
      </c>
      <c r="G1048" s="260">
        <v>2797344</v>
      </c>
      <c r="H1048" s="260" t="s">
        <v>10303</v>
      </c>
      <c r="I1048" s="274" t="s">
        <v>4401</v>
      </c>
      <c r="J1048" s="439">
        <f t="shared" si="7"/>
        <v>5440</v>
      </c>
      <c r="N1048"/>
      <c r="AF1048" s="264"/>
    </row>
    <row r="1049" spans="1:32" ht="14.25" customHeight="1">
      <c r="A1049" s="260" t="s">
        <v>10671</v>
      </c>
      <c r="B1049" s="260" t="s">
        <v>10532</v>
      </c>
      <c r="C1049" s="274" t="s">
        <v>7371</v>
      </c>
      <c r="D1049" s="439">
        <v>268.5</v>
      </c>
      <c r="G1049" s="260">
        <v>2805080</v>
      </c>
      <c r="H1049" s="260" t="s">
        <v>10419</v>
      </c>
      <c r="I1049" s="274" t="s">
        <v>4401</v>
      </c>
      <c r="J1049" s="439">
        <f t="shared" si="7"/>
        <v>6150</v>
      </c>
      <c r="N1049"/>
      <c r="AF1049" s="264"/>
    </row>
    <row r="1050" spans="1:32" ht="14.25" customHeight="1">
      <c r="A1050" s="260">
        <v>57949</v>
      </c>
      <c r="B1050" s="260" t="s">
        <v>10535</v>
      </c>
      <c r="C1050" s="274" t="s">
        <v>7285</v>
      </c>
      <c r="D1050" s="439">
        <v>3600</v>
      </c>
      <c r="G1050" s="260">
        <v>1282325</v>
      </c>
      <c r="H1050" s="260" t="s">
        <v>10292</v>
      </c>
      <c r="I1050" s="274" t="s">
        <v>3663</v>
      </c>
      <c r="J1050" s="439">
        <f t="shared" si="7"/>
        <v>6387.5</v>
      </c>
      <c r="N1050"/>
      <c r="AF1050" s="264"/>
    </row>
    <row r="1051" spans="1:32" ht="14.25" customHeight="1">
      <c r="A1051" s="260" t="s">
        <v>10673</v>
      </c>
      <c r="B1051" s="260" t="s">
        <v>10546</v>
      </c>
      <c r="C1051" s="274" t="s">
        <v>7371</v>
      </c>
      <c r="D1051" s="439">
        <v>461.59999999999997</v>
      </c>
      <c r="G1051" s="260">
        <v>7475</v>
      </c>
      <c r="H1051" s="260" t="s">
        <v>9663</v>
      </c>
      <c r="I1051" s="274" t="s">
        <v>9946</v>
      </c>
      <c r="J1051" s="439">
        <f t="shared" si="7"/>
        <v>6619</v>
      </c>
      <c r="N1051"/>
      <c r="AF1051" s="264"/>
    </row>
    <row r="1052" spans="1:32" ht="14.25" customHeight="1">
      <c r="A1052" s="260">
        <v>141186</v>
      </c>
      <c r="B1052" s="260" t="s">
        <v>10548</v>
      </c>
      <c r="C1052" s="274" t="s">
        <v>2989</v>
      </c>
      <c r="D1052" s="439">
        <v>220</v>
      </c>
      <c r="G1052" s="260">
        <v>10099</v>
      </c>
      <c r="H1052" s="260" t="s">
        <v>10455</v>
      </c>
      <c r="I1052" s="274" t="s">
        <v>10075</v>
      </c>
      <c r="J1052" s="439">
        <f t="shared" si="7"/>
        <v>6720</v>
      </c>
      <c r="N1052"/>
      <c r="AF1052" s="264"/>
    </row>
    <row r="1053" spans="1:32" ht="14.25" customHeight="1">
      <c r="A1053" s="260">
        <v>17244</v>
      </c>
      <c r="B1053" s="260" t="s">
        <v>10556</v>
      </c>
      <c r="C1053" s="274" t="s">
        <v>4379</v>
      </c>
      <c r="D1053" s="439">
        <v>1198</v>
      </c>
      <c r="G1053" s="260">
        <v>48315</v>
      </c>
      <c r="H1053" s="260" t="s">
        <v>10515</v>
      </c>
      <c r="I1053" s="274" t="s">
        <v>7896</v>
      </c>
      <c r="J1053" s="439">
        <f t="shared" si="7"/>
        <v>8346</v>
      </c>
      <c r="N1053"/>
      <c r="AF1053" s="264"/>
    </row>
    <row r="1054" spans="1:32" ht="14.25" customHeight="1">
      <c r="A1054" s="260">
        <v>135521</v>
      </c>
      <c r="B1054" s="260" t="s">
        <v>10558</v>
      </c>
      <c r="C1054" s="274" t="s">
        <v>9981</v>
      </c>
      <c r="D1054" s="439">
        <v>720</v>
      </c>
      <c r="G1054" s="260">
        <v>2805079</v>
      </c>
      <c r="H1054" s="260" t="s">
        <v>10418</v>
      </c>
      <c r="I1054" s="274" t="s">
        <v>4401</v>
      </c>
      <c r="J1054" s="439">
        <f t="shared" si="7"/>
        <v>9897.5</v>
      </c>
      <c r="N1054"/>
      <c r="AF1054" s="264"/>
    </row>
    <row r="1055" spans="1:32" ht="14.25" customHeight="1">
      <c r="A1055" s="260">
        <v>105556</v>
      </c>
      <c r="B1055" s="260" t="s">
        <v>10564</v>
      </c>
      <c r="C1055" s="274" t="s">
        <v>4109</v>
      </c>
      <c r="D1055" s="439">
        <v>630</v>
      </c>
      <c r="G1055" s="260">
        <v>57606</v>
      </c>
      <c r="H1055" s="260" t="s">
        <v>10317</v>
      </c>
      <c r="I1055" s="274" t="s">
        <v>7285</v>
      </c>
      <c r="J1055" s="439">
        <f t="shared" si="7"/>
        <v>9900</v>
      </c>
      <c r="N1055"/>
      <c r="AF1055" s="264"/>
    </row>
    <row r="1056" spans="1:32" ht="14.25" customHeight="1">
      <c r="A1056" s="260" t="s">
        <v>10672</v>
      </c>
      <c r="B1056" s="260" t="s">
        <v>10566</v>
      </c>
      <c r="C1056" s="274" t="s">
        <v>7371</v>
      </c>
      <c r="D1056" s="439">
        <v>86</v>
      </c>
      <c r="G1056" s="260">
        <v>259622</v>
      </c>
      <c r="H1056" s="260" t="s">
        <v>10281</v>
      </c>
      <c r="I1056" s="274" t="s">
        <v>4380</v>
      </c>
      <c r="J1056" s="439">
        <f t="shared" si="7"/>
        <v>11550</v>
      </c>
      <c r="N1056"/>
      <c r="AF1056" s="264"/>
    </row>
    <row r="1057" spans="1:32" ht="14.25" customHeight="1">
      <c r="A1057" s="260" t="s">
        <v>10668</v>
      </c>
      <c r="B1057" s="260" t="s">
        <v>10574</v>
      </c>
      <c r="C1057" s="274" t="s">
        <v>8240</v>
      </c>
      <c r="D1057" s="439">
        <v>4500</v>
      </c>
      <c r="G1057" s="260" t="s">
        <v>10667</v>
      </c>
      <c r="H1057" s="260" t="s">
        <v>10578</v>
      </c>
      <c r="I1057" s="274" t="s">
        <v>8240</v>
      </c>
      <c r="J1057" s="439">
        <f t="shared" si="7"/>
        <v>13520</v>
      </c>
      <c r="N1057"/>
      <c r="AF1057" s="264"/>
    </row>
    <row r="1058" spans="1:32" ht="14.25" customHeight="1">
      <c r="A1058" s="260" t="s">
        <v>10670</v>
      </c>
      <c r="B1058" s="260" t="s">
        <v>10576</v>
      </c>
      <c r="C1058" s="274" t="s">
        <v>3530</v>
      </c>
      <c r="D1058" s="439">
        <v>2362.9499999999998</v>
      </c>
      <c r="G1058" s="260">
        <v>105190</v>
      </c>
      <c r="H1058" s="260" t="s">
        <v>10477</v>
      </c>
      <c r="I1058" s="274" t="s">
        <v>4109</v>
      </c>
      <c r="J1058" s="439">
        <f t="shared" si="7"/>
        <v>20330</v>
      </c>
      <c r="N1058"/>
      <c r="AF1058" s="264"/>
    </row>
    <row r="1059" spans="1:32" ht="14.25" customHeight="1">
      <c r="A1059" s="260">
        <v>105564</v>
      </c>
      <c r="B1059" s="260" t="s">
        <v>10578</v>
      </c>
      <c r="C1059" s="274" t="s">
        <v>4109</v>
      </c>
      <c r="D1059" s="439">
        <v>24900</v>
      </c>
      <c r="G1059" s="65">
        <v>48575</v>
      </c>
      <c r="H1059" s="65" t="s">
        <v>10631</v>
      </c>
      <c r="I1059" s="65" t="s">
        <v>7896</v>
      </c>
      <c r="J1059" s="439">
        <f t="shared" si="7"/>
        <v>22260</v>
      </c>
      <c r="N1059"/>
      <c r="AF1059" s="264"/>
    </row>
    <row r="1060" spans="1:32" ht="14.25" customHeight="1">
      <c r="A1060" s="260">
        <v>105564</v>
      </c>
      <c r="B1060" s="260" t="s">
        <v>10578</v>
      </c>
      <c r="C1060" s="274" t="s">
        <v>4109</v>
      </c>
      <c r="D1060" s="439">
        <v>24900</v>
      </c>
      <c r="G1060" s="260">
        <v>415738</v>
      </c>
      <c r="H1060" s="260" t="s">
        <v>10598</v>
      </c>
      <c r="I1060" s="274" t="s">
        <v>7371</v>
      </c>
      <c r="J1060" s="439">
        <f t="shared" si="7"/>
        <v>43530.240000000005</v>
      </c>
      <c r="N1060"/>
      <c r="AF1060" s="264"/>
    </row>
    <row r="1061" spans="1:32" ht="14.25" customHeight="1">
      <c r="A1061" s="260" t="s">
        <v>10667</v>
      </c>
      <c r="B1061" s="260" t="s">
        <v>10578</v>
      </c>
      <c r="C1061" s="274" t="s">
        <v>8240</v>
      </c>
      <c r="D1061" s="439">
        <v>13520</v>
      </c>
      <c r="G1061" s="260">
        <v>105564</v>
      </c>
      <c r="H1061" s="260" t="s">
        <v>10578</v>
      </c>
      <c r="I1061" s="274" t="s">
        <v>4109</v>
      </c>
      <c r="J1061" s="439">
        <f t="shared" si="7"/>
        <v>49800</v>
      </c>
      <c r="N1061"/>
      <c r="AF1061" s="264"/>
    </row>
    <row r="1062" spans="1:32" ht="14.25" customHeight="1">
      <c r="A1062" s="260">
        <v>415738</v>
      </c>
      <c r="B1062" s="260" t="s">
        <v>10598</v>
      </c>
      <c r="C1062" s="274" t="s">
        <v>7371</v>
      </c>
      <c r="D1062" s="439">
        <v>21166.080000000002</v>
      </c>
      <c r="I1062" s="274"/>
      <c r="J1062" s="438"/>
      <c r="N1062"/>
      <c r="AF1062" s="264"/>
    </row>
    <row r="1063" spans="1:32" ht="14.25" customHeight="1">
      <c r="A1063" s="260">
        <v>415738</v>
      </c>
      <c r="B1063" s="260" t="s">
        <v>10598</v>
      </c>
      <c r="C1063" s="274" t="s">
        <v>7371</v>
      </c>
      <c r="D1063" s="439">
        <v>22364.160000000003</v>
      </c>
      <c r="G1063" s="260">
        <v>12932</v>
      </c>
      <c r="H1063" s="260" t="s">
        <v>10665</v>
      </c>
      <c r="I1063" s="274" t="s">
        <v>7337</v>
      </c>
      <c r="J1063" s="438">
        <v>7500</v>
      </c>
      <c r="N1063"/>
      <c r="AF1063" s="264"/>
    </row>
    <row r="1064" spans="1:32" ht="14.25" customHeight="1">
      <c r="A1064" s="260">
        <v>952</v>
      </c>
      <c r="B1064" s="260" t="s">
        <v>10603</v>
      </c>
      <c r="C1064" s="274" t="s">
        <v>3407</v>
      </c>
      <c r="D1064" s="439">
        <v>3444.9999999999995</v>
      </c>
      <c r="G1064"/>
      <c r="H1064"/>
      <c r="I1064"/>
      <c r="J1064"/>
      <c r="N1064"/>
      <c r="AF1064" s="264"/>
    </row>
    <row r="1065" spans="1:32" ht="14.25" customHeight="1">
      <c r="A1065" s="260">
        <v>952</v>
      </c>
      <c r="B1065" s="260" t="s">
        <v>10603</v>
      </c>
      <c r="C1065" s="274" t="s">
        <v>3407</v>
      </c>
      <c r="D1065" s="439">
        <v>750</v>
      </c>
      <c r="G1065" s="663" t="s">
        <v>10390</v>
      </c>
      <c r="H1065" s="663" t="s">
        <v>10293</v>
      </c>
      <c r="I1065" s="663" t="s">
        <v>7371</v>
      </c>
      <c r="J1065" s="664">
        <v>3074</v>
      </c>
      <c r="K1065" s="260" t="s">
        <v>10727</v>
      </c>
      <c r="N1065"/>
      <c r="AF1065" s="264"/>
    </row>
    <row r="1066" spans="1:32" ht="14.25" customHeight="1">
      <c r="A1066" s="260" t="s">
        <v>10666</v>
      </c>
      <c r="B1066" s="260" t="s">
        <v>10627</v>
      </c>
      <c r="C1066" s="274" t="s">
        <v>4398</v>
      </c>
      <c r="D1066" s="439">
        <v>696</v>
      </c>
      <c r="G1066"/>
      <c r="H1066"/>
      <c r="I1066"/>
      <c r="J1066"/>
      <c r="N1066"/>
      <c r="AF1066" s="264"/>
    </row>
    <row r="1067" spans="1:32" ht="14.25" customHeight="1">
      <c r="A1067" s="260">
        <v>416168</v>
      </c>
      <c r="B1067" s="260" t="s">
        <v>10627</v>
      </c>
      <c r="C1067" s="274" t="s">
        <v>7371</v>
      </c>
      <c r="D1067" s="439">
        <v>636</v>
      </c>
      <c r="G1067"/>
      <c r="H1067"/>
      <c r="J1067" s="439">
        <f>SUM(J977:J1066)</f>
        <v>331824.59999999998</v>
      </c>
      <c r="K1067" s="439">
        <f>D1076-J1067</f>
        <v>-3074</v>
      </c>
      <c r="N1067"/>
      <c r="AF1067" s="264"/>
    </row>
    <row r="1068" spans="1:32" ht="14.25" customHeight="1">
      <c r="A1068" s="260">
        <v>416213</v>
      </c>
      <c r="B1068" s="260" t="s">
        <v>10629</v>
      </c>
      <c r="C1068" s="274" t="s">
        <v>7371</v>
      </c>
      <c r="D1068" s="439">
        <v>263</v>
      </c>
      <c r="G1068"/>
      <c r="H1068"/>
      <c r="I1068"/>
      <c r="J1068"/>
      <c r="AF1068" s="264"/>
    </row>
    <row r="1069" spans="1:32" ht="14.25" customHeight="1">
      <c r="A1069" s="260">
        <v>48575</v>
      </c>
      <c r="B1069" s="260" t="s">
        <v>10631</v>
      </c>
      <c r="C1069" s="274" t="s">
        <v>7896</v>
      </c>
      <c r="D1069" s="439">
        <v>22260</v>
      </c>
      <c r="G1069"/>
      <c r="H1069"/>
      <c r="I1069"/>
      <c r="J1069"/>
      <c r="AF1069" s="264"/>
    </row>
    <row r="1070" spans="1:32" ht="14.25" customHeight="1">
      <c r="A1070" s="260" t="s">
        <v>10669</v>
      </c>
      <c r="B1070" s="260" t="s">
        <v>10633</v>
      </c>
      <c r="C1070" s="274" t="s">
        <v>9981</v>
      </c>
      <c r="D1070" s="439">
        <v>330.1</v>
      </c>
      <c r="G1070"/>
      <c r="H1070"/>
      <c r="I1070"/>
      <c r="J1070"/>
      <c r="AF1070" s="264"/>
    </row>
    <row r="1071" spans="1:32" ht="14.25" customHeight="1">
      <c r="A1071" s="260">
        <v>416230</v>
      </c>
      <c r="B1071" s="260" t="s">
        <v>10633</v>
      </c>
      <c r="C1071" s="274" t="s">
        <v>7371</v>
      </c>
      <c r="D1071" s="438">
        <v>639</v>
      </c>
      <c r="G1071"/>
      <c r="H1071"/>
      <c r="I1071"/>
      <c r="J1071"/>
      <c r="AF1071" s="264"/>
    </row>
    <row r="1072" spans="1:32" ht="14.25" customHeight="1">
      <c r="D1072" s="438"/>
      <c r="G1072" s="65"/>
      <c r="H1072" s="65"/>
      <c r="I1072" s="65"/>
      <c r="J1072" s="65"/>
      <c r="AF1072" s="264"/>
    </row>
    <row r="1073" spans="1:32" ht="14.25" customHeight="1">
      <c r="A1073" s="260">
        <v>12932</v>
      </c>
      <c r="B1073" s="260" t="s">
        <v>10665</v>
      </c>
      <c r="C1073" s="274" t="s">
        <v>7337</v>
      </c>
      <c r="D1073" s="438">
        <v>3750</v>
      </c>
      <c r="G1073" s="65"/>
      <c r="H1073" s="65"/>
      <c r="I1073" s="65"/>
      <c r="J1073" s="65"/>
      <c r="AF1073" s="264"/>
    </row>
    <row r="1074" spans="1:32" ht="14.25" customHeight="1">
      <c r="A1074" s="260">
        <v>12932</v>
      </c>
      <c r="B1074" s="260" t="s">
        <v>10665</v>
      </c>
      <c r="C1074" s="274" t="s">
        <v>7337</v>
      </c>
      <c r="D1074" s="438">
        <v>3750</v>
      </c>
      <c r="G1074" s="65"/>
      <c r="H1074" s="65"/>
      <c r="I1074" s="65"/>
      <c r="J1074" s="65"/>
      <c r="AF1074" s="264"/>
    </row>
    <row r="1075" spans="1:32" ht="14.25" customHeight="1">
      <c r="D1075" s="438"/>
      <c r="G1075" s="65"/>
      <c r="H1075" s="65"/>
      <c r="I1075" s="65"/>
      <c r="J1075" s="65"/>
      <c r="AF1075" s="264"/>
    </row>
    <row r="1076" spans="1:32" ht="14.25" customHeight="1">
      <c r="D1076" s="439">
        <f>SUM(D977:D1075)</f>
        <v>328750.59999999998</v>
      </c>
      <c r="AF1076" s="264"/>
    </row>
    <row r="1077" spans="1:32" ht="14.25" customHeight="1">
      <c r="AF1077" s="264"/>
    </row>
    <row r="1078" spans="1:32" ht="14.25" customHeight="1">
      <c r="AF1078" s="264"/>
    </row>
    <row r="1079" spans="1:32" ht="14.25" customHeight="1">
      <c r="AF1079" s="264"/>
    </row>
    <row r="1080" spans="1:32" ht="14.25" customHeight="1">
      <c r="AF1080" s="264"/>
    </row>
    <row r="1081" spans="1:32" ht="14.25" customHeight="1">
      <c r="AF1081" s="264"/>
    </row>
    <row r="1082" spans="1:32" ht="14.25" customHeight="1">
      <c r="AF1082" s="264"/>
    </row>
    <row r="1083" spans="1:32" ht="14.25" customHeight="1">
      <c r="AF1083" s="264"/>
    </row>
    <row r="1084" spans="1:32" ht="14.25" customHeight="1">
      <c r="AF1084" s="264"/>
    </row>
    <row r="1085" spans="1:32" ht="14.25" customHeight="1">
      <c r="AF1085" s="264"/>
    </row>
    <row r="1086" spans="1:32" ht="14.25" customHeight="1">
      <c r="AF1086" s="264"/>
    </row>
    <row r="1087" spans="1:32" ht="14.25" customHeight="1">
      <c r="AF1087" s="264"/>
    </row>
    <row r="1088" spans="1:32" ht="14.25" customHeight="1">
      <c r="AF1088" s="264"/>
    </row>
    <row r="1089" spans="32:32" ht="14.25" customHeight="1">
      <c r="AF1089" s="264"/>
    </row>
    <row r="1090" spans="32:32" ht="14.25" customHeight="1">
      <c r="AF1090" s="264"/>
    </row>
    <row r="1091" spans="32:32" ht="14.25" customHeight="1">
      <c r="AF1091" s="264"/>
    </row>
    <row r="1092" spans="32:32" ht="14.25" customHeight="1">
      <c r="AF1092" s="264"/>
    </row>
    <row r="1093" spans="32:32" ht="14.25" customHeight="1">
      <c r="AF1093" s="264"/>
    </row>
    <row r="1094" spans="32:32" ht="14.25" customHeight="1">
      <c r="AF1094" s="264"/>
    </row>
    <row r="1095" spans="32:32" ht="14.25" customHeight="1">
      <c r="AF1095" s="264"/>
    </row>
    <row r="1096" spans="32:32" ht="14.25" customHeight="1">
      <c r="AF1096" s="264"/>
    </row>
    <row r="1097" spans="32:32" ht="14.25" customHeight="1">
      <c r="AF1097" s="264"/>
    </row>
    <row r="1098" spans="32:32" ht="14.25" customHeight="1">
      <c r="AF1098" s="264"/>
    </row>
    <row r="1099" spans="32:32" ht="14.25" customHeight="1">
      <c r="AF1099" s="264"/>
    </row>
    <row r="1100" spans="32:32" ht="14.25" customHeight="1">
      <c r="AF1100" s="264"/>
    </row>
    <row r="1101" spans="32:32" ht="14.25" customHeight="1">
      <c r="AF1101" s="264"/>
    </row>
    <row r="1102" spans="32:32" ht="14.25" customHeight="1">
      <c r="AF1102" s="264"/>
    </row>
    <row r="1103" spans="32:32" ht="14.25" customHeight="1">
      <c r="AF1103" s="264"/>
    </row>
    <row r="1104" spans="32:32" ht="14.25" customHeight="1">
      <c r="AF1104" s="264"/>
    </row>
    <row r="1105" spans="32:32" ht="14.25" customHeight="1">
      <c r="AF1105" s="264"/>
    </row>
    <row r="1106" spans="32:32" ht="14.25" customHeight="1">
      <c r="AF1106" s="264"/>
    </row>
    <row r="1107" spans="32:32" ht="14.25" customHeight="1">
      <c r="AF1107" s="264"/>
    </row>
    <row r="1108" spans="32:32" ht="14.25" customHeight="1">
      <c r="AF1108" s="264"/>
    </row>
    <row r="1109" spans="32:32" ht="14.25" customHeight="1">
      <c r="AF1109" s="264"/>
    </row>
    <row r="1110" spans="32:32" ht="14.25" customHeight="1">
      <c r="AF1110" s="264"/>
    </row>
    <row r="1111" spans="32:32" ht="14.25" customHeight="1">
      <c r="AF1111" s="264"/>
    </row>
    <row r="1112" spans="32:32" ht="14.25" customHeight="1">
      <c r="AF1112" s="264"/>
    </row>
    <row r="1113" spans="32:32" ht="14.25" customHeight="1">
      <c r="AF1113" s="264"/>
    </row>
    <row r="1114" spans="32:32" ht="14.25" customHeight="1">
      <c r="AF1114" s="264"/>
    </row>
    <row r="1115" spans="32:32" ht="14.25" customHeight="1">
      <c r="AF1115" s="264"/>
    </row>
    <row r="1116" spans="32:32" ht="14.25" customHeight="1">
      <c r="AF1116" s="264"/>
    </row>
    <row r="1117" spans="32:32" ht="14.25" customHeight="1">
      <c r="AF1117" s="264"/>
    </row>
    <row r="1118" spans="32:32" ht="14.25" customHeight="1">
      <c r="AF1118" s="264"/>
    </row>
    <row r="1119" spans="32:32" ht="14.25" customHeight="1">
      <c r="AF1119" s="264"/>
    </row>
    <row r="1120" spans="32:32" ht="14.25" customHeight="1">
      <c r="AF1120" s="264"/>
    </row>
    <row r="1121" spans="32:32" ht="14.25" customHeight="1">
      <c r="AF1121" s="264"/>
    </row>
    <row r="1122" spans="32:32" ht="14.25" customHeight="1">
      <c r="AF1122" s="264"/>
    </row>
    <row r="1123" spans="32:32" ht="14.25" customHeight="1">
      <c r="AF1123" s="264"/>
    </row>
    <row r="1124" spans="32:32" ht="14.25" customHeight="1">
      <c r="AF1124" s="264"/>
    </row>
    <row r="1125" spans="32:32" ht="14.25" customHeight="1">
      <c r="AF1125" s="264"/>
    </row>
    <row r="1126" spans="32:32" ht="14.25" customHeight="1">
      <c r="AF1126" s="264"/>
    </row>
    <row r="1127" spans="32:32" ht="14.25" customHeight="1">
      <c r="AF1127" s="264"/>
    </row>
    <row r="1128" spans="32:32" ht="14.25" customHeight="1">
      <c r="AF1128" s="264"/>
    </row>
    <row r="1129" spans="32:32" ht="14.25" customHeight="1">
      <c r="AF1129" s="264"/>
    </row>
    <row r="1130" spans="32:32" ht="14.25" customHeight="1">
      <c r="AF1130" s="264"/>
    </row>
    <row r="1131" spans="32:32" ht="14.25" customHeight="1">
      <c r="AF1131" s="264"/>
    </row>
    <row r="1132" spans="32:32" ht="14.25" customHeight="1">
      <c r="AF1132" s="264"/>
    </row>
    <row r="1133" spans="32:32" ht="14.25" customHeight="1">
      <c r="AF1133" s="264"/>
    </row>
    <row r="1134" spans="32:32" ht="14.25" customHeight="1">
      <c r="AF1134" s="264"/>
    </row>
    <row r="1135" spans="32:32" ht="14.25" customHeight="1">
      <c r="AF1135" s="264"/>
    </row>
    <row r="1136" spans="32:32" ht="14.25" customHeight="1">
      <c r="AF1136" s="264"/>
    </row>
    <row r="1137" spans="32:32" ht="14.25" customHeight="1">
      <c r="AF1137" s="264"/>
    </row>
    <row r="1138" spans="32:32" ht="14.25" customHeight="1">
      <c r="AF1138" s="264"/>
    </row>
    <row r="1139" spans="32:32" ht="14.25" customHeight="1">
      <c r="AF1139" s="264"/>
    </row>
    <row r="1140" spans="32:32" ht="14.25" customHeight="1">
      <c r="AF1140" s="264"/>
    </row>
    <row r="1141" spans="32:32" ht="14.25" customHeight="1">
      <c r="AF1141" s="264"/>
    </row>
    <row r="1142" spans="32:32" ht="14.25" customHeight="1">
      <c r="AF1142" s="264"/>
    </row>
    <row r="1143" spans="32:32" ht="14.25" customHeight="1">
      <c r="AF1143" s="264"/>
    </row>
    <row r="1144" spans="32:32" ht="14.25" customHeight="1">
      <c r="AF1144" s="264"/>
    </row>
    <row r="1145" spans="32:32" ht="14.25" customHeight="1">
      <c r="AF1145" s="264"/>
    </row>
    <row r="1146" spans="32:32" ht="14.25" customHeight="1">
      <c r="AF1146" s="264"/>
    </row>
    <row r="1147" spans="32:32" ht="14.25" customHeight="1">
      <c r="AF1147" s="264"/>
    </row>
    <row r="1148" spans="32:32" ht="14.25" customHeight="1">
      <c r="AF1148" s="264"/>
    </row>
    <row r="1149" spans="32:32" ht="14.25" customHeight="1">
      <c r="AF1149" s="264"/>
    </row>
    <row r="1150" spans="32:32" ht="14.25" customHeight="1">
      <c r="AF1150" s="264"/>
    </row>
    <row r="1151" spans="32:32" ht="14.25" customHeight="1">
      <c r="AF1151" s="264"/>
    </row>
    <row r="1152" spans="32:32" ht="14.25" customHeight="1">
      <c r="AF1152" s="264"/>
    </row>
    <row r="1153" spans="32:32" ht="14.25" customHeight="1">
      <c r="AF1153" s="264"/>
    </row>
    <row r="1154" spans="32:32" ht="14.25" customHeight="1">
      <c r="AF1154" s="264"/>
    </row>
    <row r="1155" spans="32:32" ht="14.25" customHeight="1">
      <c r="AF1155" s="264"/>
    </row>
    <row r="1156" spans="32:32" ht="14.25" customHeight="1">
      <c r="AF1156" s="264"/>
    </row>
    <row r="1157" spans="32:32" ht="14.25" customHeight="1">
      <c r="AF1157" s="264"/>
    </row>
    <row r="1158" spans="32:32" ht="14.25" customHeight="1">
      <c r="AF1158" s="264"/>
    </row>
    <row r="1159" spans="32:32" ht="14.25" customHeight="1">
      <c r="AF1159" s="264"/>
    </row>
    <row r="1160" spans="32:32" ht="14.25" customHeight="1">
      <c r="AF1160" s="264"/>
    </row>
    <row r="1161" spans="32:32" ht="14.25" customHeight="1">
      <c r="AF1161" s="264"/>
    </row>
    <row r="1162" spans="32:32" ht="14.25" customHeight="1">
      <c r="AF1162" s="264"/>
    </row>
    <row r="1163" spans="32:32" ht="14.25" customHeight="1">
      <c r="AF1163" s="264"/>
    </row>
    <row r="1164" spans="32:32" ht="14.25" customHeight="1">
      <c r="AF1164" s="264"/>
    </row>
    <row r="1165" spans="32:32" ht="14.25" customHeight="1">
      <c r="AF1165" s="264"/>
    </row>
    <row r="1166" spans="32:32" ht="14.25" customHeight="1">
      <c r="AF1166" s="264"/>
    </row>
    <row r="1167" spans="32:32" ht="14.25" customHeight="1">
      <c r="AF1167" s="264"/>
    </row>
    <row r="1168" spans="32:32" ht="14.25" customHeight="1">
      <c r="AF1168" s="264"/>
    </row>
    <row r="1169" spans="32:32" ht="14.25" customHeight="1">
      <c r="AF1169" s="264"/>
    </row>
    <row r="1170" spans="32:32" ht="14.25" customHeight="1">
      <c r="AF1170" s="264"/>
    </row>
    <row r="1171" spans="32:32" ht="14.25" customHeight="1">
      <c r="AF1171" s="264"/>
    </row>
    <row r="1172" spans="32:32" ht="14.25" customHeight="1">
      <c r="AF1172" s="264"/>
    </row>
    <row r="1173" spans="32:32" ht="14.25" customHeight="1">
      <c r="AF1173" s="264"/>
    </row>
    <row r="1174" spans="32:32" ht="14.25" customHeight="1">
      <c r="AF1174" s="264"/>
    </row>
    <row r="1175" spans="32:32" ht="14.25" customHeight="1">
      <c r="AF1175" s="264"/>
    </row>
    <row r="1176" spans="32:32" ht="14.25" customHeight="1">
      <c r="AF1176" s="264"/>
    </row>
    <row r="1177" spans="32:32" ht="14.25" customHeight="1">
      <c r="AF1177" s="264"/>
    </row>
    <row r="1178" spans="32:32" ht="14.25" customHeight="1">
      <c r="AF1178" s="264"/>
    </row>
    <row r="1179" spans="32:32" ht="14.25" customHeight="1">
      <c r="AF1179" s="264"/>
    </row>
    <row r="1180" spans="32:32" ht="14.25" customHeight="1">
      <c r="AF1180" s="264"/>
    </row>
    <row r="1181" spans="32:32" ht="14.25" customHeight="1">
      <c r="AF1181" s="264"/>
    </row>
    <row r="1182" spans="32:32" ht="14.25" customHeight="1">
      <c r="AF1182" s="264"/>
    </row>
    <row r="1183" spans="32:32" ht="14.25" customHeight="1">
      <c r="AF1183" s="264"/>
    </row>
    <row r="1184" spans="32:32" ht="14.25" customHeight="1">
      <c r="AF1184" s="264"/>
    </row>
    <row r="1185" spans="32:32" ht="14.25" customHeight="1">
      <c r="AF1185" s="264"/>
    </row>
    <row r="1186" spans="32:32" ht="14.25" customHeight="1">
      <c r="AF1186" s="264"/>
    </row>
    <row r="1187" spans="32:32" ht="14.25" customHeight="1">
      <c r="AF1187" s="264"/>
    </row>
    <row r="1188" spans="32:32" ht="14.25" customHeight="1">
      <c r="AF1188" s="264"/>
    </row>
    <row r="1189" spans="32:32" ht="14.25" customHeight="1">
      <c r="AF1189" s="264"/>
    </row>
    <row r="1190" spans="32:32" ht="14.25" customHeight="1">
      <c r="AF1190" s="264"/>
    </row>
    <row r="1191" spans="32:32" ht="14.25" customHeight="1">
      <c r="AF1191" s="264"/>
    </row>
    <row r="1192" spans="32:32" ht="14.25" customHeight="1">
      <c r="AF1192" s="264"/>
    </row>
    <row r="1193" spans="32:32" ht="14.25" customHeight="1">
      <c r="AF1193" s="264"/>
    </row>
    <row r="1194" spans="32:32" ht="14.25" customHeight="1">
      <c r="AF1194" s="264"/>
    </row>
    <row r="1195" spans="32:32" ht="14.25" customHeight="1">
      <c r="AF1195" s="264"/>
    </row>
    <row r="1196" spans="32:32" ht="14.25" customHeight="1">
      <c r="AF1196" s="264"/>
    </row>
    <row r="1197" spans="32:32" ht="14.25" customHeight="1">
      <c r="AF1197" s="264"/>
    </row>
    <row r="1198" spans="32:32" ht="14.25" customHeight="1">
      <c r="AF1198" s="264"/>
    </row>
    <row r="1199" spans="32:32" ht="14.25" customHeight="1">
      <c r="AF1199" s="264"/>
    </row>
    <row r="1200" spans="32:32" ht="14.25" customHeight="1">
      <c r="AF1200" s="264"/>
    </row>
    <row r="1201" spans="32:32" ht="14.25" customHeight="1">
      <c r="AF1201" s="264"/>
    </row>
    <row r="1202" spans="32:32" ht="14.25" customHeight="1">
      <c r="AF1202" s="264"/>
    </row>
    <row r="1203" spans="32:32" ht="14.25" customHeight="1">
      <c r="AF1203" s="264"/>
    </row>
    <row r="1204" spans="32:32" ht="14.25" customHeight="1">
      <c r="AF1204" s="264"/>
    </row>
    <row r="1205" spans="32:32" ht="14.25" customHeight="1">
      <c r="AF1205" s="264"/>
    </row>
    <row r="1206" spans="32:32" ht="14.25" customHeight="1">
      <c r="AF1206" s="264"/>
    </row>
    <row r="1207" spans="32:32" ht="14.25" customHeight="1">
      <c r="AF1207" s="264"/>
    </row>
    <row r="1208" spans="32:32" ht="14.25" customHeight="1">
      <c r="AF1208" s="264"/>
    </row>
    <row r="1209" spans="32:32" ht="14.25" customHeight="1">
      <c r="AF1209" s="264"/>
    </row>
    <row r="1210" spans="32:32" ht="14.25" customHeight="1">
      <c r="AF1210" s="264"/>
    </row>
    <row r="1211" spans="32:32" ht="14.25" customHeight="1">
      <c r="AF1211" s="264"/>
    </row>
    <row r="1212" spans="32:32" ht="14.25" customHeight="1">
      <c r="AF1212" s="264"/>
    </row>
    <row r="1213" spans="32:32" ht="14.25" customHeight="1">
      <c r="AF1213" s="264"/>
    </row>
    <row r="1214" spans="32:32" ht="14.25" customHeight="1">
      <c r="AF1214" s="264"/>
    </row>
    <row r="1215" spans="32:32" ht="14.25" customHeight="1">
      <c r="AF1215" s="264"/>
    </row>
    <row r="1216" spans="32:32" ht="14.25" customHeight="1">
      <c r="AF1216" s="264"/>
    </row>
    <row r="1217" spans="32:32" ht="14.25" customHeight="1">
      <c r="AF1217" s="264"/>
    </row>
    <row r="1218" spans="32:32" ht="14.25" customHeight="1">
      <c r="AF1218" s="264"/>
    </row>
    <row r="1219" spans="32:32" ht="14.25" customHeight="1">
      <c r="AF1219" s="264"/>
    </row>
    <row r="1220" spans="32:32" ht="14.25" customHeight="1">
      <c r="AF1220" s="264"/>
    </row>
    <row r="1221" spans="32:32" ht="14.25" customHeight="1">
      <c r="AF1221" s="264"/>
    </row>
    <row r="1222" spans="32:32" ht="14.25" customHeight="1">
      <c r="AF1222" s="264"/>
    </row>
    <row r="1223" spans="32:32" ht="14.25" customHeight="1">
      <c r="AF1223" s="264"/>
    </row>
    <row r="1224" spans="32:32" ht="14.25" customHeight="1">
      <c r="AF1224" s="264"/>
    </row>
    <row r="1225" spans="32:32" ht="14.25" customHeight="1">
      <c r="AF1225" s="264"/>
    </row>
    <row r="1226" spans="32:32" ht="14.25" customHeight="1">
      <c r="AF1226" s="264"/>
    </row>
    <row r="1227" spans="32:32" ht="14.25" customHeight="1">
      <c r="AF1227" s="264"/>
    </row>
    <row r="1228" spans="32:32" ht="14.25" customHeight="1">
      <c r="AF1228" s="264"/>
    </row>
    <row r="1229" spans="32:32" ht="14.25" customHeight="1">
      <c r="AF1229" s="264"/>
    </row>
    <row r="1230" spans="32:32" ht="14.25" customHeight="1">
      <c r="AF1230" s="264"/>
    </row>
    <row r="1231" spans="32:32" ht="14.25" customHeight="1">
      <c r="AF1231" s="264"/>
    </row>
    <row r="1232" spans="32:32" ht="14.25" customHeight="1">
      <c r="AF1232" s="264"/>
    </row>
    <row r="1233" spans="32:32" ht="14.25" customHeight="1">
      <c r="AF1233" s="264"/>
    </row>
    <row r="1234" spans="32:32" ht="14.25" customHeight="1">
      <c r="AF1234" s="264"/>
    </row>
    <row r="1235" spans="32:32" ht="14.25" customHeight="1">
      <c r="AF1235" s="264"/>
    </row>
    <row r="1236" spans="32:32" ht="14.25" customHeight="1">
      <c r="AF1236" s="264"/>
    </row>
    <row r="1237" spans="32:32" ht="14.25" customHeight="1">
      <c r="AF1237" s="264"/>
    </row>
    <row r="1238" spans="32:32" ht="14.25" customHeight="1">
      <c r="AF1238" s="264"/>
    </row>
    <row r="1239" spans="32:32" ht="14.25" customHeight="1">
      <c r="AF1239" s="264"/>
    </row>
    <row r="1240" spans="32:32" ht="14.25" customHeight="1">
      <c r="AF1240" s="264"/>
    </row>
    <row r="1241" spans="32:32" ht="14.25" customHeight="1">
      <c r="AF1241" s="264"/>
    </row>
    <row r="1242" spans="32:32" ht="14.25" customHeight="1">
      <c r="AF1242" s="264"/>
    </row>
    <row r="1243" spans="32:32" ht="14.25" customHeight="1">
      <c r="AF1243" s="264"/>
    </row>
    <row r="1244" spans="32:32" ht="14.25" customHeight="1">
      <c r="AF1244" s="264"/>
    </row>
    <row r="1245" spans="32:32" ht="14.25" customHeight="1">
      <c r="AF1245" s="264"/>
    </row>
    <row r="1246" spans="32:32" ht="14.25" customHeight="1">
      <c r="AF1246" s="264"/>
    </row>
    <row r="1247" spans="32:32" ht="14.25" customHeight="1">
      <c r="AF1247" s="264"/>
    </row>
    <row r="1248" spans="32:32" ht="14.25" customHeight="1">
      <c r="AF1248" s="264"/>
    </row>
    <row r="1249" spans="32:32" ht="14.25" customHeight="1">
      <c r="AF1249" s="264"/>
    </row>
    <row r="1250" spans="32:32" ht="14.25" customHeight="1">
      <c r="AF1250" s="264"/>
    </row>
    <row r="1251" spans="32:32" ht="14.25" customHeight="1">
      <c r="AF1251" s="264"/>
    </row>
    <row r="1252" spans="32:32" ht="14.25" customHeight="1">
      <c r="AF1252" s="264"/>
    </row>
    <row r="1253" spans="32:32" ht="14.25" customHeight="1">
      <c r="AF1253" s="264"/>
    </row>
    <row r="1254" spans="32:32" ht="14.25" customHeight="1">
      <c r="AF1254" s="264"/>
    </row>
    <row r="1255" spans="32:32" ht="14.25" customHeight="1">
      <c r="AF1255" s="264"/>
    </row>
    <row r="1256" spans="32:32" ht="14.25" customHeight="1">
      <c r="AF1256" s="264"/>
    </row>
    <row r="1257" spans="32:32" ht="14.25" customHeight="1">
      <c r="AF1257" s="264"/>
    </row>
    <row r="1258" spans="32:32" ht="14.25" customHeight="1">
      <c r="AF1258" s="264"/>
    </row>
    <row r="1259" spans="32:32" ht="14.25" customHeight="1">
      <c r="AF1259" s="264"/>
    </row>
    <row r="1260" spans="32:32" ht="14.25" customHeight="1">
      <c r="AF1260" s="264"/>
    </row>
    <row r="1261" spans="32:32" ht="14.25" customHeight="1">
      <c r="AF1261" s="264"/>
    </row>
    <row r="1262" spans="32:32" ht="14.25" customHeight="1">
      <c r="AF1262" s="264"/>
    </row>
    <row r="1263" spans="32:32" ht="14.25" customHeight="1">
      <c r="AF1263" s="264"/>
    </row>
    <row r="1264" spans="32:32" ht="14.25" customHeight="1">
      <c r="AF1264" s="264"/>
    </row>
    <row r="1265" spans="32:32" ht="14.25" customHeight="1">
      <c r="AF1265" s="264"/>
    </row>
    <row r="1266" spans="32:32" ht="14.25" customHeight="1">
      <c r="AF1266" s="264"/>
    </row>
    <row r="1267" spans="32:32" ht="14.25" customHeight="1">
      <c r="AF1267" s="264"/>
    </row>
    <row r="1268" spans="32:32" ht="14.25" customHeight="1">
      <c r="AF1268" s="264"/>
    </row>
    <row r="1269" spans="32:32" ht="14.25" customHeight="1">
      <c r="AF1269" s="264"/>
    </row>
    <row r="1270" spans="32:32" ht="14.25" customHeight="1">
      <c r="AF1270" s="264"/>
    </row>
    <row r="1271" spans="32:32" ht="14.25" customHeight="1">
      <c r="AF1271" s="264"/>
    </row>
    <row r="1272" spans="32:32" ht="14.25" customHeight="1">
      <c r="AF1272" s="264"/>
    </row>
    <row r="1273" spans="32:32" ht="14.25" customHeight="1">
      <c r="AF1273" s="264"/>
    </row>
    <row r="1274" spans="32:32" ht="14.25" customHeight="1">
      <c r="AF1274" s="264"/>
    </row>
    <row r="1275" spans="32:32" ht="14.25" customHeight="1">
      <c r="AF1275" s="264"/>
    </row>
    <row r="1276" spans="32:32" ht="14.25" customHeight="1">
      <c r="AF1276" s="264"/>
    </row>
    <row r="1277" spans="32:32" ht="14.25" customHeight="1">
      <c r="AF1277" s="264"/>
    </row>
    <row r="1278" spans="32:32" ht="14.25" customHeight="1">
      <c r="AF1278" s="264"/>
    </row>
    <row r="1279" spans="32:32" ht="14.25" customHeight="1">
      <c r="AF1279" s="264"/>
    </row>
    <row r="1280" spans="32:32" ht="14.25" customHeight="1">
      <c r="AF1280" s="264"/>
    </row>
    <row r="1281" spans="32:32" ht="14.25" customHeight="1">
      <c r="AF1281" s="264"/>
    </row>
    <row r="1282" spans="32:32" ht="14.25" customHeight="1">
      <c r="AF1282" s="264"/>
    </row>
    <row r="1283" spans="32:32" ht="14.25" customHeight="1">
      <c r="AF1283" s="264"/>
    </row>
    <row r="1284" spans="32:32" ht="14.25" customHeight="1">
      <c r="AF1284" s="264"/>
    </row>
    <row r="1285" spans="32:32" ht="14.25" customHeight="1">
      <c r="AF1285" s="264"/>
    </row>
    <row r="1286" spans="32:32" ht="14.25" customHeight="1">
      <c r="AF1286" s="264"/>
    </row>
    <row r="1287" spans="32:32" ht="14.25" customHeight="1">
      <c r="AF1287" s="264"/>
    </row>
    <row r="1288" spans="32:32" ht="14.25" customHeight="1">
      <c r="AF1288" s="264"/>
    </row>
    <row r="1289" spans="32:32" ht="14.25" customHeight="1">
      <c r="AF1289" s="264"/>
    </row>
    <row r="1290" spans="32:32" ht="14.25" customHeight="1">
      <c r="AF1290" s="264"/>
    </row>
    <row r="1291" spans="32:32" ht="14.25" customHeight="1">
      <c r="AF1291" s="264"/>
    </row>
    <row r="1292" spans="32:32" ht="14.25" customHeight="1">
      <c r="AF1292" s="264"/>
    </row>
    <row r="1293" spans="32:32" ht="14.25" customHeight="1">
      <c r="AF1293" s="264"/>
    </row>
    <row r="1294" spans="32:32" ht="14.25" customHeight="1">
      <c r="AF1294" s="264"/>
    </row>
    <row r="1295" spans="32:32" ht="14.25" customHeight="1">
      <c r="AF1295" s="264"/>
    </row>
    <row r="1296" spans="32:32" ht="14.25" customHeight="1">
      <c r="AF1296" s="264"/>
    </row>
    <row r="1297" spans="32:32" ht="14.25" customHeight="1">
      <c r="AF1297" s="264"/>
    </row>
    <row r="1298" spans="32:32" ht="14.25" customHeight="1">
      <c r="AF1298" s="264"/>
    </row>
    <row r="1299" spans="32:32" ht="14.25" customHeight="1">
      <c r="AF1299" s="264"/>
    </row>
    <row r="1300" spans="32:32" ht="14.25" customHeight="1">
      <c r="AF1300" s="264"/>
    </row>
    <row r="1301" spans="32:32" ht="14.25" customHeight="1">
      <c r="AF1301" s="264"/>
    </row>
    <row r="1302" spans="32:32" ht="14.25" customHeight="1">
      <c r="AF1302" s="264"/>
    </row>
    <row r="1303" spans="32:32" ht="14.25" customHeight="1">
      <c r="AF1303" s="264"/>
    </row>
    <row r="1304" spans="32:32" ht="14.25" customHeight="1">
      <c r="AF1304" s="264"/>
    </row>
    <row r="1305" spans="32:32" ht="14.25" customHeight="1">
      <c r="AF1305" s="264"/>
    </row>
    <row r="1306" spans="32:32" ht="14.25" customHeight="1">
      <c r="AF1306" s="264"/>
    </row>
    <row r="1307" spans="32:32" ht="14.25" customHeight="1">
      <c r="AF1307" s="264"/>
    </row>
    <row r="1308" spans="32:32" ht="14.25" customHeight="1">
      <c r="AF1308" s="264"/>
    </row>
    <row r="1309" spans="32:32" ht="14.25" customHeight="1">
      <c r="AF1309" s="264"/>
    </row>
    <row r="1310" spans="32:32" ht="14.25" customHeight="1">
      <c r="AF1310" s="264"/>
    </row>
    <row r="1311" spans="32:32" ht="14.25" customHeight="1">
      <c r="AF1311" s="264"/>
    </row>
    <row r="1312" spans="32:32" ht="14.25" customHeight="1">
      <c r="AF1312" s="264"/>
    </row>
    <row r="1313" spans="32:32" ht="14.25" customHeight="1">
      <c r="AF1313" s="264"/>
    </row>
    <row r="1314" spans="32:32" ht="14.25" customHeight="1">
      <c r="AF1314" s="264"/>
    </row>
    <row r="1315" spans="32:32" ht="14.25" customHeight="1">
      <c r="AF1315" s="264"/>
    </row>
    <row r="1316" spans="32:32" ht="14.25" customHeight="1">
      <c r="AF1316" s="264"/>
    </row>
    <row r="1317" spans="32:32" ht="14.25" customHeight="1">
      <c r="AF1317" s="264"/>
    </row>
    <row r="1318" spans="32:32" ht="14.25" customHeight="1">
      <c r="AF1318" s="264"/>
    </row>
    <row r="1319" spans="32:32" ht="14.25" customHeight="1">
      <c r="AF1319" s="264"/>
    </row>
    <row r="1320" spans="32:32" ht="14.25" customHeight="1">
      <c r="AF1320" s="264"/>
    </row>
    <row r="1321" spans="32:32" ht="14.25" customHeight="1">
      <c r="AF1321" s="264"/>
    </row>
    <row r="1322" spans="32:32" ht="14.25" customHeight="1">
      <c r="AF1322" s="264"/>
    </row>
    <row r="1323" spans="32:32" ht="14.25" customHeight="1">
      <c r="AF1323" s="264"/>
    </row>
    <row r="1324" spans="32:32" ht="14.25" customHeight="1">
      <c r="AF1324" s="264"/>
    </row>
    <row r="1325" spans="32:32" ht="14.25" customHeight="1">
      <c r="AF1325" s="264"/>
    </row>
    <row r="1326" spans="32:32" ht="14.25" customHeight="1">
      <c r="AF1326" s="264"/>
    </row>
    <row r="1327" spans="32:32" ht="14.25" customHeight="1">
      <c r="AF1327" s="264"/>
    </row>
    <row r="1328" spans="32:32" ht="14.25" customHeight="1">
      <c r="AF1328" s="264"/>
    </row>
    <row r="1329" spans="32:32" ht="14.25" customHeight="1">
      <c r="AF1329" s="264"/>
    </row>
    <row r="1330" spans="32:32" ht="14.25" customHeight="1">
      <c r="AF1330" s="264"/>
    </row>
    <row r="1331" spans="32:32" ht="14.25" customHeight="1">
      <c r="AF1331" s="264"/>
    </row>
    <row r="1332" spans="32:32" ht="14.25" customHeight="1">
      <c r="AF1332" s="264"/>
    </row>
    <row r="1333" spans="32:32" ht="14.25" customHeight="1">
      <c r="AF1333" s="264"/>
    </row>
    <row r="1334" spans="32:32" ht="14.25" customHeight="1">
      <c r="AF1334" s="264"/>
    </row>
    <row r="1335" spans="32:32" ht="14.25" customHeight="1">
      <c r="AF1335" s="264"/>
    </row>
    <row r="1336" spans="32:32" ht="14.25" customHeight="1">
      <c r="AF1336" s="264"/>
    </row>
    <row r="1337" spans="32:32" ht="14.25" customHeight="1">
      <c r="AF1337" s="264"/>
    </row>
    <row r="1338" spans="32:32" ht="14.25" customHeight="1">
      <c r="AF1338" s="264"/>
    </row>
    <row r="1339" spans="32:32" ht="14.25" customHeight="1">
      <c r="AF1339" s="264"/>
    </row>
    <row r="1340" spans="32:32" ht="14.25" customHeight="1">
      <c r="AF1340" s="264"/>
    </row>
    <row r="1341" spans="32:32" ht="14.25" customHeight="1">
      <c r="AF1341" s="264"/>
    </row>
    <row r="1342" spans="32:32" ht="14.25" customHeight="1">
      <c r="AF1342" s="264"/>
    </row>
    <row r="1343" spans="32:32" ht="14.25" customHeight="1">
      <c r="AF1343" s="264"/>
    </row>
    <row r="1344" spans="32:32" ht="14.25" customHeight="1">
      <c r="AF1344" s="264"/>
    </row>
    <row r="1345" spans="32:32" ht="14.25" customHeight="1">
      <c r="AF1345" s="264"/>
    </row>
    <row r="1346" spans="32:32" ht="14.25" customHeight="1">
      <c r="AF1346" s="264"/>
    </row>
    <row r="1347" spans="32:32" ht="14.25" customHeight="1">
      <c r="AF1347" s="264"/>
    </row>
    <row r="1348" spans="32:32" ht="14.25" customHeight="1">
      <c r="AF1348" s="264"/>
    </row>
    <row r="1349" spans="32:32" ht="14.25" customHeight="1">
      <c r="AF1349" s="264"/>
    </row>
    <row r="1350" spans="32:32" ht="14.25" customHeight="1">
      <c r="AF1350" s="264"/>
    </row>
    <row r="1351" spans="32:32" ht="14.25" customHeight="1">
      <c r="AF1351" s="264"/>
    </row>
    <row r="1352" spans="32:32" ht="14.25" customHeight="1">
      <c r="AF1352" s="264"/>
    </row>
    <row r="1353" spans="32:32" ht="14.25" customHeight="1">
      <c r="AF1353" s="264"/>
    </row>
    <row r="1354" spans="32:32" ht="14.25" customHeight="1">
      <c r="AF1354" s="264"/>
    </row>
    <row r="1355" spans="32:32" ht="14.25" customHeight="1">
      <c r="AF1355" s="264"/>
    </row>
    <row r="1356" spans="32:32" ht="14.25" customHeight="1">
      <c r="AF1356" s="264"/>
    </row>
    <row r="1357" spans="32:32" ht="14.25" customHeight="1">
      <c r="AF1357" s="264"/>
    </row>
    <row r="1358" spans="32:32" ht="14.25" customHeight="1">
      <c r="AF1358" s="264"/>
    </row>
    <row r="1359" spans="32:32" ht="14.25" customHeight="1">
      <c r="AF1359" s="264"/>
    </row>
    <row r="1360" spans="32:32" ht="14.25" customHeight="1">
      <c r="AF1360" s="264"/>
    </row>
    <row r="1361" spans="32:32" ht="14.25" customHeight="1">
      <c r="AF1361" s="264"/>
    </row>
    <row r="1362" spans="32:32" ht="14.25" customHeight="1">
      <c r="AF1362" s="264"/>
    </row>
    <row r="1363" spans="32:32" ht="14.25" customHeight="1">
      <c r="AF1363" s="264"/>
    </row>
    <row r="1364" spans="32:32" ht="14.25" customHeight="1">
      <c r="AF1364" s="264"/>
    </row>
    <row r="1365" spans="32:32" ht="14.25" customHeight="1">
      <c r="AF1365" s="264"/>
    </row>
    <row r="1366" spans="32:32" ht="14.25" customHeight="1">
      <c r="AF1366" s="264"/>
    </row>
    <row r="1367" spans="32:32" ht="14.25" customHeight="1">
      <c r="AF1367" s="264"/>
    </row>
    <row r="1368" spans="32:32" ht="14.25" customHeight="1">
      <c r="AF1368" s="264"/>
    </row>
    <row r="1369" spans="32:32" ht="14.25" customHeight="1">
      <c r="AF1369" s="264"/>
    </row>
    <row r="1370" spans="32:32" ht="14.25" customHeight="1">
      <c r="AF1370" s="264"/>
    </row>
    <row r="1371" spans="32:32" ht="14.25" customHeight="1">
      <c r="AF1371" s="264"/>
    </row>
    <row r="1372" spans="32:32" ht="14.25" customHeight="1">
      <c r="AF1372" s="264"/>
    </row>
    <row r="1373" spans="32:32" ht="14.25" customHeight="1">
      <c r="AF1373" s="264"/>
    </row>
    <row r="1374" spans="32:32" ht="14.25" customHeight="1">
      <c r="AF1374" s="264"/>
    </row>
    <row r="1375" spans="32:32" ht="14.25" customHeight="1">
      <c r="AF1375" s="264"/>
    </row>
    <row r="1376" spans="32:32" ht="14.25" customHeight="1">
      <c r="AF1376" s="264"/>
    </row>
    <row r="1377" spans="32:32" ht="14.25" customHeight="1">
      <c r="AF1377" s="264"/>
    </row>
    <row r="1378" spans="32:32" ht="14.25" customHeight="1">
      <c r="AF1378" s="264"/>
    </row>
    <row r="1379" spans="32:32" ht="14.25" customHeight="1">
      <c r="AF1379" s="264"/>
    </row>
    <row r="1380" spans="32:32" ht="14.25" customHeight="1">
      <c r="AF1380" s="264"/>
    </row>
    <row r="1381" spans="32:32" ht="14.25" customHeight="1">
      <c r="AF1381" s="264"/>
    </row>
    <row r="1382" spans="32:32" ht="14.25" customHeight="1">
      <c r="AF1382" s="264"/>
    </row>
    <row r="1383" spans="32:32" ht="14.25" customHeight="1">
      <c r="AF1383" s="264"/>
    </row>
    <row r="1384" spans="32:32" ht="14.25" customHeight="1">
      <c r="AF1384" s="264"/>
    </row>
    <row r="1385" spans="32:32" ht="14.25" customHeight="1">
      <c r="AF1385" s="264"/>
    </row>
    <row r="1386" spans="32:32" ht="14.25" customHeight="1">
      <c r="AF1386" s="264"/>
    </row>
    <row r="1387" spans="32:32" ht="14.25" customHeight="1">
      <c r="AF1387" s="264"/>
    </row>
    <row r="1388" spans="32:32" ht="14.25" customHeight="1">
      <c r="AF1388" s="264"/>
    </row>
    <row r="1389" spans="32:32" ht="14.25" customHeight="1">
      <c r="AF1389" s="264"/>
    </row>
    <row r="1390" spans="32:32" ht="14.25" customHeight="1">
      <c r="AF1390" s="264"/>
    </row>
    <row r="1391" spans="32:32" ht="14.25" customHeight="1">
      <c r="AF1391" s="264"/>
    </row>
    <row r="1392" spans="32:32" ht="14.25" customHeight="1">
      <c r="AF1392" s="264"/>
    </row>
    <row r="1393" spans="32:32" ht="14.25" customHeight="1">
      <c r="AF1393" s="264"/>
    </row>
    <row r="1394" spans="32:32" ht="14.25" customHeight="1">
      <c r="AF1394" s="264"/>
    </row>
    <row r="1395" spans="32:32" ht="14.25" customHeight="1">
      <c r="AF1395" s="264"/>
    </row>
    <row r="1396" spans="32:32" ht="14.25" customHeight="1">
      <c r="AF1396" s="264"/>
    </row>
    <row r="1397" spans="32:32" ht="14.25" customHeight="1">
      <c r="AF1397" s="264"/>
    </row>
    <row r="1398" spans="32:32" ht="14.25" customHeight="1">
      <c r="AF1398" s="264"/>
    </row>
    <row r="1399" spans="32:32" ht="14.25" customHeight="1">
      <c r="AF1399" s="264"/>
    </row>
    <row r="1400" spans="32:32" ht="14.25" customHeight="1">
      <c r="AF1400" s="264"/>
    </row>
    <row r="1401" spans="32:32" ht="14.25" customHeight="1">
      <c r="AF1401" s="264"/>
    </row>
    <row r="1402" spans="32:32" ht="14.25" customHeight="1">
      <c r="AF1402" s="264"/>
    </row>
    <row r="1403" spans="32:32" ht="14.25" customHeight="1">
      <c r="AF1403" s="264"/>
    </row>
    <row r="1404" spans="32:32" ht="14.25" customHeight="1">
      <c r="AF1404" s="264"/>
    </row>
    <row r="1405" spans="32:32" ht="14.25" customHeight="1">
      <c r="AF1405" s="264"/>
    </row>
    <row r="1406" spans="32:32" ht="14.25" customHeight="1">
      <c r="AF1406" s="264"/>
    </row>
    <row r="1407" spans="32:32" ht="14.25" customHeight="1">
      <c r="AF1407" s="264"/>
    </row>
    <row r="1408" spans="32:32" ht="14.25" customHeight="1">
      <c r="AF1408" s="264"/>
    </row>
    <row r="1409" spans="32:32" ht="14.25" customHeight="1">
      <c r="AF1409" s="264"/>
    </row>
    <row r="1410" spans="32:32" ht="14.25" customHeight="1">
      <c r="AF1410" s="264"/>
    </row>
    <row r="1411" spans="32:32" ht="14.25" customHeight="1">
      <c r="AF1411" s="264"/>
    </row>
    <row r="1412" spans="32:32" ht="14.25" customHeight="1">
      <c r="AF1412" s="264"/>
    </row>
    <row r="1413" spans="32:32" ht="14.25" customHeight="1">
      <c r="AF1413" s="264"/>
    </row>
    <row r="1414" spans="32:32" ht="14.25" customHeight="1">
      <c r="AF1414" s="264"/>
    </row>
    <row r="1415" spans="32:32" ht="14.25" customHeight="1">
      <c r="AF1415" s="264"/>
    </row>
    <row r="1416" spans="32:32" ht="14.25" customHeight="1">
      <c r="AF1416" s="264"/>
    </row>
    <row r="1417" spans="32:32" ht="14.25" customHeight="1">
      <c r="AF1417" s="264"/>
    </row>
    <row r="1418" spans="32:32" ht="14.25" customHeight="1">
      <c r="AF1418" s="264"/>
    </row>
    <row r="1419" spans="32:32" ht="14.25" customHeight="1">
      <c r="AF1419" s="264"/>
    </row>
    <row r="1420" spans="32:32" ht="14.25" customHeight="1">
      <c r="AF1420" s="264"/>
    </row>
    <row r="1421" spans="32:32" ht="14.25" customHeight="1">
      <c r="AF1421" s="264"/>
    </row>
    <row r="1422" spans="32:32" ht="14.25" customHeight="1">
      <c r="AF1422" s="264"/>
    </row>
    <row r="1423" spans="32:32" ht="14.25" customHeight="1">
      <c r="AF1423" s="264"/>
    </row>
    <row r="1424" spans="32:32" ht="14.25" customHeight="1">
      <c r="AF1424" s="264"/>
    </row>
    <row r="1425" spans="32:32" ht="14.25" customHeight="1">
      <c r="AF1425" s="264"/>
    </row>
    <row r="1426" spans="32:32" ht="14.25" customHeight="1">
      <c r="AF1426" s="264"/>
    </row>
    <row r="1427" spans="32:32" ht="14.25" customHeight="1">
      <c r="AF1427" s="264"/>
    </row>
    <row r="1428" spans="32:32" ht="14.25" customHeight="1">
      <c r="AF1428" s="264"/>
    </row>
    <row r="1429" spans="32:32" ht="14.25" customHeight="1">
      <c r="AF1429" s="264"/>
    </row>
    <row r="1430" spans="32:32" ht="14.25" customHeight="1">
      <c r="AF1430" s="264"/>
    </row>
    <row r="1431" spans="32:32" ht="14.25" customHeight="1">
      <c r="AF1431" s="264"/>
    </row>
    <row r="1432" spans="32:32" ht="14.25" customHeight="1">
      <c r="AF1432" s="264"/>
    </row>
    <row r="1433" spans="32:32" ht="14.25" customHeight="1">
      <c r="AF1433" s="264"/>
    </row>
    <row r="1434" spans="32:32" ht="14.25" customHeight="1">
      <c r="AF1434" s="264"/>
    </row>
    <row r="1435" spans="32:32" ht="14.25" customHeight="1">
      <c r="AF1435" s="264"/>
    </row>
    <row r="1436" spans="32:32" ht="14.25" customHeight="1">
      <c r="AF1436" s="264"/>
    </row>
    <row r="1437" spans="32:32" ht="14.25" customHeight="1">
      <c r="AF1437" s="264"/>
    </row>
    <row r="1438" spans="32:32" ht="14.25" customHeight="1">
      <c r="AF1438" s="264"/>
    </row>
    <row r="1439" spans="32:32" ht="14.25" customHeight="1">
      <c r="AF1439" s="264"/>
    </row>
    <row r="1440" spans="32:32" ht="14.25" customHeight="1">
      <c r="AF1440" s="264"/>
    </row>
    <row r="1441" spans="32:32" ht="14.25" customHeight="1">
      <c r="AF1441" s="264"/>
    </row>
    <row r="1442" spans="32:32" ht="14.25" customHeight="1">
      <c r="AF1442" s="264"/>
    </row>
    <row r="1443" spans="32:32" ht="14.25" customHeight="1">
      <c r="AF1443" s="264"/>
    </row>
    <row r="1444" spans="32:32" ht="14.25" customHeight="1">
      <c r="AF1444" s="264"/>
    </row>
    <row r="1445" spans="32:32" ht="14.25" customHeight="1">
      <c r="AF1445" s="264"/>
    </row>
    <row r="1446" spans="32:32" ht="14.25" customHeight="1">
      <c r="AF1446" s="264"/>
    </row>
    <row r="1447" spans="32:32" ht="14.25" customHeight="1">
      <c r="AF1447" s="264"/>
    </row>
    <row r="1448" spans="32:32" ht="14.25" customHeight="1">
      <c r="AF1448" s="264"/>
    </row>
    <row r="1449" spans="32:32" ht="14.25" customHeight="1">
      <c r="AF1449" s="264"/>
    </row>
    <row r="1450" spans="32:32" ht="14.25" customHeight="1">
      <c r="AF1450" s="264"/>
    </row>
    <row r="1451" spans="32:32" ht="14.25" customHeight="1">
      <c r="AF1451" s="264"/>
    </row>
    <row r="1452" spans="32:32" ht="14.25" customHeight="1">
      <c r="AF1452" s="264"/>
    </row>
    <row r="1453" spans="32:32" ht="14.25" customHeight="1">
      <c r="AF1453" s="264"/>
    </row>
    <row r="1454" spans="32:32" ht="14.25" customHeight="1">
      <c r="AF1454" s="264"/>
    </row>
    <row r="1455" spans="32:32" ht="14.25" customHeight="1">
      <c r="AF1455" s="264"/>
    </row>
    <row r="1456" spans="32:32" ht="14.25" customHeight="1">
      <c r="AF1456" s="264"/>
    </row>
    <row r="1457" spans="32:32" ht="14.25" customHeight="1">
      <c r="AF1457" s="264"/>
    </row>
    <row r="1458" spans="32:32" ht="14.25" customHeight="1">
      <c r="AF1458" s="264"/>
    </row>
    <row r="1459" spans="32:32" ht="14.25" customHeight="1">
      <c r="AF1459" s="264"/>
    </row>
    <row r="1460" spans="32:32" ht="14.25" customHeight="1">
      <c r="AF1460" s="264"/>
    </row>
    <row r="1461" spans="32:32" ht="14.25" customHeight="1">
      <c r="AF1461" s="264"/>
    </row>
    <row r="1462" spans="32:32" ht="14.25" customHeight="1">
      <c r="AF1462" s="264"/>
    </row>
    <row r="1463" spans="32:32" ht="14.25" customHeight="1">
      <c r="AF1463" s="264"/>
    </row>
    <row r="1464" spans="32:32" ht="14.25" customHeight="1">
      <c r="AF1464" s="264"/>
    </row>
    <row r="1465" spans="32:32" ht="14.25" customHeight="1">
      <c r="AF1465" s="264"/>
    </row>
    <row r="1466" spans="32:32" ht="14.25" customHeight="1">
      <c r="AF1466" s="264"/>
    </row>
    <row r="1467" spans="32:32" ht="14.25" customHeight="1">
      <c r="AF1467" s="264"/>
    </row>
    <row r="1468" spans="32:32" ht="14.25" customHeight="1">
      <c r="AF1468" s="264"/>
    </row>
    <row r="1469" spans="32:32" ht="14.25" customHeight="1">
      <c r="AF1469" s="264"/>
    </row>
    <row r="1470" spans="32:32" ht="14.25" customHeight="1">
      <c r="AF1470" s="264"/>
    </row>
    <row r="1471" spans="32:32" ht="14.25" customHeight="1">
      <c r="AF1471" s="264"/>
    </row>
    <row r="1472" spans="32:32" ht="14.25" customHeight="1">
      <c r="AF1472" s="264"/>
    </row>
    <row r="1473" spans="32:32" ht="14.25" customHeight="1">
      <c r="AF1473" s="264"/>
    </row>
    <row r="1474" spans="32:32" ht="14.25" customHeight="1">
      <c r="AF1474" s="264"/>
    </row>
    <row r="1475" spans="32:32" ht="14.25" customHeight="1">
      <c r="AF1475" s="264"/>
    </row>
    <row r="1476" spans="32:32" ht="14.25" customHeight="1">
      <c r="AF1476" s="264"/>
    </row>
    <row r="1477" spans="32:32" ht="14.25" customHeight="1">
      <c r="AF1477" s="264"/>
    </row>
    <row r="1478" spans="32:32" ht="14.25" customHeight="1">
      <c r="AF1478" s="264"/>
    </row>
    <row r="1479" spans="32:32" ht="14.25" customHeight="1">
      <c r="AF1479" s="264"/>
    </row>
    <row r="1480" spans="32:32" ht="14.25" customHeight="1">
      <c r="AF1480" s="264"/>
    </row>
    <row r="1481" spans="32:32" ht="14.25" customHeight="1">
      <c r="AF1481" s="264"/>
    </row>
    <row r="1482" spans="32:32" ht="14.25" customHeight="1">
      <c r="AF1482" s="264"/>
    </row>
    <row r="1483" spans="32:32" ht="14.25" customHeight="1">
      <c r="AF1483" s="264"/>
    </row>
    <row r="1484" spans="32:32" ht="14.25" customHeight="1">
      <c r="AF1484" s="264"/>
    </row>
    <row r="1485" spans="32:32" ht="14.25" customHeight="1">
      <c r="AF1485" s="264"/>
    </row>
    <row r="1486" spans="32:32" ht="14.25" customHeight="1">
      <c r="AF1486" s="264"/>
    </row>
    <row r="1487" spans="32:32" ht="14.25" customHeight="1">
      <c r="AF1487" s="264"/>
    </row>
    <row r="1488" spans="32:32" ht="14.25" customHeight="1">
      <c r="AF1488" s="264"/>
    </row>
    <row r="1489" spans="32:32" ht="14.25" customHeight="1">
      <c r="AF1489" s="264"/>
    </row>
    <row r="1490" spans="32:32" ht="14.25" customHeight="1">
      <c r="AF1490" s="264"/>
    </row>
    <row r="1491" spans="32:32" ht="14.25" customHeight="1">
      <c r="AF1491" s="264"/>
    </row>
    <row r="1492" spans="32:32" ht="14.25" customHeight="1">
      <c r="AF1492" s="264"/>
    </row>
    <row r="1493" spans="32:32" ht="14.25" customHeight="1">
      <c r="AF1493" s="264"/>
    </row>
    <row r="1494" spans="32:32" ht="14.25" customHeight="1">
      <c r="AF1494" s="264"/>
    </row>
    <row r="1495" spans="32:32" ht="14.25" customHeight="1">
      <c r="AF1495" s="264"/>
    </row>
    <row r="1496" spans="32:32" ht="14.25" customHeight="1">
      <c r="AF1496" s="264"/>
    </row>
    <row r="1497" spans="32:32" ht="14.25" customHeight="1">
      <c r="AF1497" s="264"/>
    </row>
    <row r="1498" spans="32:32" ht="14.25" customHeight="1">
      <c r="AF1498" s="264"/>
    </row>
    <row r="1499" spans="32:32" ht="14.25" customHeight="1">
      <c r="AF1499" s="264"/>
    </row>
    <row r="1500" spans="32:32" ht="14.25" customHeight="1">
      <c r="AF1500" s="264"/>
    </row>
    <row r="1501" spans="32:32" ht="14.25" customHeight="1">
      <c r="AF1501" s="264"/>
    </row>
    <row r="1502" spans="32:32" ht="14.25" customHeight="1">
      <c r="AF1502" s="264"/>
    </row>
    <row r="1503" spans="32:32" ht="14.25" customHeight="1">
      <c r="AF1503" s="264"/>
    </row>
    <row r="1504" spans="32:32" ht="14.25" customHeight="1">
      <c r="AF1504" s="264"/>
    </row>
    <row r="1505" spans="32:32" ht="14.25" customHeight="1">
      <c r="AF1505" s="264"/>
    </row>
    <row r="1506" spans="32:32" ht="14.25" customHeight="1">
      <c r="AF1506" s="264"/>
    </row>
    <row r="1507" spans="32:32" ht="14.25" customHeight="1">
      <c r="AF1507" s="264"/>
    </row>
    <row r="1508" spans="32:32" ht="14.25" customHeight="1">
      <c r="AF1508" s="264"/>
    </row>
  </sheetData>
  <autoFilter ref="G976:J1063">
    <sortState ref="G977:J1062">
      <sortCondition ref="J976:J1062"/>
    </sortState>
  </autoFilter>
  <sortState ref="N977:N1067">
    <sortCondition ref="N977"/>
  </sortState>
  <mergeCells count="3">
    <mergeCell ref="K683:K687"/>
    <mergeCell ref="J748:J755"/>
    <mergeCell ref="K790:K797"/>
  </mergeCells>
  <conditionalFormatting sqref="N2">
    <cfRule type="duplicateValues" dxfId="733" priority="251"/>
  </conditionalFormatting>
  <conditionalFormatting sqref="K2">
    <cfRule type="duplicateValues" dxfId="732" priority="250"/>
  </conditionalFormatting>
  <conditionalFormatting sqref="J2">
    <cfRule type="duplicateValues" dxfId="731" priority="249"/>
  </conditionalFormatting>
  <conditionalFormatting sqref="G2">
    <cfRule type="duplicateValues" dxfId="730" priority="247"/>
  </conditionalFormatting>
  <conditionalFormatting sqref="G10">
    <cfRule type="duplicateValues" dxfId="729" priority="242"/>
  </conditionalFormatting>
  <conditionalFormatting sqref="G10:G13">
    <cfRule type="duplicateValues" dxfId="728" priority="240"/>
  </conditionalFormatting>
  <conditionalFormatting sqref="N6:N11 N3 N19:N24 N13:N16 N26:N29 N40:N45 N37 N47:N49 N52:N57 N59:N62">
    <cfRule type="cellIs" dxfId="727" priority="238" stopIfTrue="1" operator="equal">
      <formula>"*CANCELADO"</formula>
    </cfRule>
    <cfRule type="cellIs" dxfId="726" priority="239" stopIfTrue="1" operator="equal">
      <formula>"*OBSERVAÇÃO"</formula>
    </cfRule>
  </conditionalFormatting>
  <conditionalFormatting sqref="J1">
    <cfRule type="duplicateValues" dxfId="725" priority="213"/>
  </conditionalFormatting>
  <conditionalFormatting sqref="G1">
    <cfRule type="duplicateValues" dxfId="724" priority="212"/>
  </conditionalFormatting>
  <conditionalFormatting sqref="J21:J22">
    <cfRule type="duplicateValues" dxfId="723" priority="82191"/>
  </conditionalFormatting>
  <conditionalFormatting sqref="G21:G22">
    <cfRule type="duplicateValues" dxfId="722" priority="82192"/>
  </conditionalFormatting>
  <conditionalFormatting sqref="G15:G20">
    <cfRule type="duplicateValues" dxfId="721" priority="82217"/>
  </conditionalFormatting>
  <conditionalFormatting sqref="H23">
    <cfRule type="duplicateValues" dxfId="720" priority="210"/>
  </conditionalFormatting>
  <conditionalFormatting sqref="G3:G9">
    <cfRule type="duplicateValues" dxfId="719" priority="82242"/>
  </conditionalFormatting>
  <conditionalFormatting sqref="G23">
    <cfRule type="duplicateValues" dxfId="718" priority="208"/>
  </conditionalFormatting>
  <conditionalFormatting sqref="N36">
    <cfRule type="duplicateValues" dxfId="717" priority="204"/>
  </conditionalFormatting>
  <conditionalFormatting sqref="K36">
    <cfRule type="duplicateValues" dxfId="716" priority="203"/>
  </conditionalFormatting>
  <conditionalFormatting sqref="J36">
    <cfRule type="duplicateValues" dxfId="715" priority="202"/>
  </conditionalFormatting>
  <conditionalFormatting sqref="G36">
    <cfRule type="duplicateValues" dxfId="714" priority="200"/>
  </conditionalFormatting>
  <conditionalFormatting sqref="J35">
    <cfRule type="duplicateValues" dxfId="713" priority="184"/>
  </conditionalFormatting>
  <conditionalFormatting sqref="G35">
    <cfRule type="duplicateValues" dxfId="712" priority="183"/>
  </conditionalFormatting>
  <conditionalFormatting sqref="J67:J75">
    <cfRule type="duplicateValues" dxfId="711" priority="85798"/>
  </conditionalFormatting>
  <conditionalFormatting sqref="G67:G75">
    <cfRule type="duplicateValues" dxfId="710" priority="85799"/>
  </conditionalFormatting>
  <conditionalFormatting sqref="J66">
    <cfRule type="duplicateValues" dxfId="709" priority="85800"/>
  </conditionalFormatting>
  <conditionalFormatting sqref="G66">
    <cfRule type="duplicateValues" dxfId="708" priority="85801"/>
  </conditionalFormatting>
  <conditionalFormatting sqref="G65">
    <cfRule type="duplicateValues" dxfId="707" priority="85804"/>
  </conditionalFormatting>
  <conditionalFormatting sqref="J174:J184">
    <cfRule type="duplicateValues" dxfId="706" priority="159"/>
  </conditionalFormatting>
  <conditionalFormatting sqref="G174:G184">
    <cfRule type="duplicateValues" dxfId="705" priority="158"/>
  </conditionalFormatting>
  <conditionalFormatting sqref="N89">
    <cfRule type="duplicateValues" dxfId="704" priority="157"/>
  </conditionalFormatting>
  <conditionalFormatting sqref="K89">
    <cfRule type="duplicateValues" dxfId="703" priority="156"/>
  </conditionalFormatting>
  <conditionalFormatting sqref="J89">
    <cfRule type="duplicateValues" dxfId="702" priority="155"/>
  </conditionalFormatting>
  <conditionalFormatting sqref="G89">
    <cfRule type="duplicateValues" dxfId="701" priority="153"/>
  </conditionalFormatting>
  <conditionalFormatting sqref="J88">
    <cfRule type="duplicateValues" dxfId="700" priority="140"/>
  </conditionalFormatting>
  <conditionalFormatting sqref="G88">
    <cfRule type="duplicateValues" dxfId="699" priority="139"/>
  </conditionalFormatting>
  <conditionalFormatting sqref="J165:J173">
    <cfRule type="duplicateValues" dxfId="698" priority="138"/>
  </conditionalFormatting>
  <conditionalFormatting sqref="G165:G173">
    <cfRule type="duplicateValues" dxfId="697" priority="137"/>
  </conditionalFormatting>
  <conditionalFormatting sqref="J164">
    <cfRule type="duplicateValues" dxfId="696" priority="136"/>
  </conditionalFormatting>
  <conditionalFormatting sqref="G164">
    <cfRule type="duplicateValues" dxfId="695" priority="135"/>
  </conditionalFormatting>
  <conditionalFormatting sqref="G163">
    <cfRule type="duplicateValues" dxfId="694" priority="134"/>
  </conditionalFormatting>
  <conditionalFormatting sqref="G90:G162">
    <cfRule type="duplicateValues" dxfId="693" priority="86283"/>
  </conditionalFormatting>
  <conditionalFormatting sqref="N193">
    <cfRule type="duplicateValues" dxfId="692" priority="132"/>
  </conditionalFormatting>
  <conditionalFormatting sqref="K193">
    <cfRule type="duplicateValues" dxfId="691" priority="131"/>
  </conditionalFormatting>
  <conditionalFormatting sqref="J193">
    <cfRule type="duplicateValues" dxfId="690" priority="130"/>
  </conditionalFormatting>
  <conditionalFormatting sqref="G193">
    <cfRule type="duplicateValues" dxfId="689" priority="128"/>
  </conditionalFormatting>
  <conditionalFormatting sqref="J192">
    <cfRule type="duplicateValues" dxfId="688" priority="125"/>
  </conditionalFormatting>
  <conditionalFormatting sqref="G192">
    <cfRule type="duplicateValues" dxfId="687" priority="124"/>
  </conditionalFormatting>
  <conditionalFormatting sqref="K238">
    <cfRule type="duplicateValues" dxfId="686" priority="123"/>
  </conditionalFormatting>
  <conditionalFormatting sqref="J238">
    <cfRule type="duplicateValues" dxfId="685" priority="122"/>
  </conditionalFormatting>
  <conditionalFormatting sqref="G238">
    <cfRule type="duplicateValues" dxfId="684" priority="120"/>
  </conditionalFormatting>
  <conditionalFormatting sqref="J237">
    <cfRule type="duplicateValues" dxfId="683" priority="117"/>
  </conditionalFormatting>
  <conditionalFormatting sqref="G237">
    <cfRule type="duplicateValues" dxfId="682" priority="116"/>
  </conditionalFormatting>
  <conditionalFormatting sqref="N238">
    <cfRule type="duplicateValues" dxfId="681" priority="115"/>
  </conditionalFormatting>
  <conditionalFormatting sqref="K297">
    <cfRule type="duplicateValues" dxfId="680" priority="114"/>
  </conditionalFormatting>
  <conditionalFormatting sqref="J297">
    <cfRule type="duplicateValues" dxfId="679" priority="113"/>
  </conditionalFormatting>
  <conditionalFormatting sqref="G297">
    <cfRule type="duplicateValues" dxfId="678" priority="112"/>
  </conditionalFormatting>
  <conditionalFormatting sqref="J296">
    <cfRule type="duplicateValues" dxfId="677" priority="111"/>
  </conditionalFormatting>
  <conditionalFormatting sqref="G296">
    <cfRule type="duplicateValues" dxfId="676" priority="110"/>
  </conditionalFormatting>
  <conditionalFormatting sqref="N297">
    <cfRule type="duplicateValues" dxfId="675" priority="109"/>
  </conditionalFormatting>
  <conditionalFormatting sqref="K344">
    <cfRule type="duplicateValues" dxfId="674" priority="108"/>
  </conditionalFormatting>
  <conditionalFormatting sqref="J344">
    <cfRule type="duplicateValues" dxfId="673" priority="107"/>
  </conditionalFormatting>
  <conditionalFormatting sqref="G344">
    <cfRule type="duplicateValues" dxfId="672" priority="106"/>
  </conditionalFormatting>
  <conditionalFormatting sqref="J343">
    <cfRule type="duplicateValues" dxfId="671" priority="105"/>
  </conditionalFormatting>
  <conditionalFormatting sqref="G343">
    <cfRule type="duplicateValues" dxfId="670" priority="104"/>
  </conditionalFormatting>
  <conditionalFormatting sqref="N344">
    <cfRule type="duplicateValues" dxfId="669" priority="103"/>
  </conditionalFormatting>
  <conditionalFormatting sqref="G1076:G1048576 G927:G931 G843 G688:G691 G494:G496 G549:G552 G293:G295 G185:G191 G76:G87 G24:G34 G234:G236 G239:G272 G274 G340:G342 G413:G418 G627:G682 G694:G743 G745 G754:G759 G787:G789 G798 G838 G841 G970:G974">
    <cfRule type="duplicateValues" dxfId="668" priority="87287"/>
  </conditionalFormatting>
  <conditionalFormatting sqref="K420">
    <cfRule type="duplicateValues" dxfId="667" priority="102"/>
  </conditionalFormatting>
  <conditionalFormatting sqref="J420">
    <cfRule type="duplicateValues" dxfId="666" priority="101"/>
  </conditionalFormatting>
  <conditionalFormatting sqref="G420">
    <cfRule type="duplicateValues" dxfId="665" priority="100"/>
  </conditionalFormatting>
  <conditionalFormatting sqref="J419">
    <cfRule type="duplicateValues" dxfId="664" priority="99"/>
  </conditionalFormatting>
  <conditionalFormatting sqref="G419">
    <cfRule type="duplicateValues" dxfId="663" priority="98"/>
  </conditionalFormatting>
  <conditionalFormatting sqref="N420">
    <cfRule type="duplicateValues" dxfId="662" priority="97"/>
  </conditionalFormatting>
  <conditionalFormatting sqref="K498">
    <cfRule type="duplicateValues" dxfId="661" priority="96"/>
  </conditionalFormatting>
  <conditionalFormatting sqref="J498">
    <cfRule type="duplicateValues" dxfId="660" priority="95"/>
  </conditionalFormatting>
  <conditionalFormatting sqref="G498">
    <cfRule type="duplicateValues" dxfId="659" priority="94"/>
  </conditionalFormatting>
  <conditionalFormatting sqref="J497">
    <cfRule type="duplicateValues" dxfId="658" priority="93"/>
  </conditionalFormatting>
  <conditionalFormatting sqref="G497">
    <cfRule type="duplicateValues" dxfId="657" priority="92"/>
  </conditionalFormatting>
  <conditionalFormatting sqref="N498">
    <cfRule type="duplicateValues" dxfId="656" priority="91"/>
  </conditionalFormatting>
  <conditionalFormatting sqref="K554">
    <cfRule type="duplicateValues" dxfId="655" priority="90"/>
  </conditionalFormatting>
  <conditionalFormatting sqref="J554">
    <cfRule type="duplicateValues" dxfId="654" priority="89"/>
  </conditionalFormatting>
  <conditionalFormatting sqref="G554">
    <cfRule type="duplicateValues" dxfId="653" priority="88"/>
  </conditionalFormatting>
  <conditionalFormatting sqref="J553">
    <cfRule type="duplicateValues" dxfId="652" priority="87"/>
  </conditionalFormatting>
  <conditionalFormatting sqref="G553">
    <cfRule type="duplicateValues" dxfId="651" priority="86"/>
  </conditionalFormatting>
  <conditionalFormatting sqref="N554">
    <cfRule type="duplicateValues" dxfId="650" priority="85"/>
  </conditionalFormatting>
  <conditionalFormatting sqref="K634">
    <cfRule type="duplicateValues" dxfId="649" priority="79"/>
  </conditionalFormatting>
  <conditionalFormatting sqref="J634">
    <cfRule type="duplicateValues" dxfId="648" priority="78"/>
  </conditionalFormatting>
  <conditionalFormatting sqref="G634">
    <cfRule type="duplicateValues" dxfId="647" priority="77"/>
  </conditionalFormatting>
  <conditionalFormatting sqref="J633">
    <cfRule type="duplicateValues" dxfId="646" priority="76"/>
  </conditionalFormatting>
  <conditionalFormatting sqref="G633">
    <cfRule type="duplicateValues" dxfId="645" priority="75"/>
  </conditionalFormatting>
  <conditionalFormatting sqref="N634">
    <cfRule type="duplicateValues" dxfId="644" priority="74"/>
  </conditionalFormatting>
  <conditionalFormatting sqref="J635:J680">
    <cfRule type="duplicateValues" dxfId="643" priority="87472"/>
  </conditionalFormatting>
  <conditionalFormatting sqref="J692:J693">
    <cfRule type="duplicateValues" dxfId="642" priority="67"/>
  </conditionalFormatting>
  <conditionalFormatting sqref="G692:G693">
    <cfRule type="duplicateValues" dxfId="641" priority="66"/>
  </conditionalFormatting>
  <conditionalFormatting sqref="K693">
    <cfRule type="duplicateValues" dxfId="640" priority="65"/>
  </conditionalFormatting>
  <conditionalFormatting sqref="J693">
    <cfRule type="duplicateValues" dxfId="639" priority="64"/>
  </conditionalFormatting>
  <conditionalFormatting sqref="G693">
    <cfRule type="duplicateValues" dxfId="638" priority="63"/>
  </conditionalFormatting>
  <conditionalFormatting sqref="J692">
    <cfRule type="duplicateValues" dxfId="637" priority="62"/>
  </conditionalFormatting>
  <conditionalFormatting sqref="G692">
    <cfRule type="duplicateValues" dxfId="636" priority="61"/>
  </conditionalFormatting>
  <conditionalFormatting sqref="N693">
    <cfRule type="duplicateValues" dxfId="635" priority="60"/>
  </conditionalFormatting>
  <conditionalFormatting sqref="I753">
    <cfRule type="duplicateValues" dxfId="634" priority="59"/>
  </conditionalFormatting>
  <conditionalFormatting sqref="F753">
    <cfRule type="duplicateValues" dxfId="633" priority="58"/>
  </conditionalFormatting>
  <conditionalFormatting sqref="J744">
    <cfRule type="duplicateValues" dxfId="632" priority="57"/>
  </conditionalFormatting>
  <conditionalFormatting sqref="G744">
    <cfRule type="duplicateValues" dxfId="631" priority="56"/>
  </conditionalFormatting>
  <conditionalFormatting sqref="J760:J761">
    <cfRule type="duplicateValues" dxfId="630" priority="55"/>
  </conditionalFormatting>
  <conditionalFormatting sqref="G760:G761">
    <cfRule type="duplicateValues" dxfId="629" priority="54"/>
  </conditionalFormatting>
  <conditionalFormatting sqref="K761">
    <cfRule type="duplicateValues" dxfId="628" priority="53"/>
  </conditionalFormatting>
  <conditionalFormatting sqref="J761">
    <cfRule type="duplicateValues" dxfId="627" priority="52"/>
  </conditionalFormatting>
  <conditionalFormatting sqref="G761">
    <cfRule type="duplicateValues" dxfId="626" priority="51"/>
  </conditionalFormatting>
  <conditionalFormatting sqref="J760">
    <cfRule type="duplicateValues" dxfId="625" priority="50"/>
  </conditionalFormatting>
  <conditionalFormatting sqref="G760">
    <cfRule type="duplicateValues" dxfId="624" priority="49"/>
  </conditionalFormatting>
  <conditionalFormatting sqref="N761">
    <cfRule type="duplicateValues" dxfId="623" priority="48"/>
  </conditionalFormatting>
  <conditionalFormatting sqref="J799:J800">
    <cfRule type="duplicateValues" dxfId="622" priority="44"/>
  </conditionalFormatting>
  <conditionalFormatting sqref="G799:G800">
    <cfRule type="duplicateValues" dxfId="621" priority="43"/>
  </conditionalFormatting>
  <conditionalFormatting sqref="K800">
    <cfRule type="duplicateValues" dxfId="620" priority="42"/>
  </conditionalFormatting>
  <conditionalFormatting sqref="J800">
    <cfRule type="duplicateValues" dxfId="619" priority="41"/>
  </conditionalFormatting>
  <conditionalFormatting sqref="G800">
    <cfRule type="duplicateValues" dxfId="618" priority="40"/>
  </conditionalFormatting>
  <conditionalFormatting sqref="J799">
    <cfRule type="duplicateValues" dxfId="617" priority="39"/>
  </conditionalFormatting>
  <conditionalFormatting sqref="G799">
    <cfRule type="duplicateValues" dxfId="616" priority="38"/>
  </conditionalFormatting>
  <conditionalFormatting sqref="N800">
    <cfRule type="duplicateValues" dxfId="615" priority="37"/>
  </conditionalFormatting>
  <conditionalFormatting sqref="J836">
    <cfRule type="duplicateValues" dxfId="614" priority="36"/>
  </conditionalFormatting>
  <conditionalFormatting sqref="J801:J835 J839:J840">
    <cfRule type="duplicateValues" dxfId="613" priority="34"/>
  </conditionalFormatting>
  <conditionalFormatting sqref="G801:G836 G839:G840">
    <cfRule type="duplicateValues" dxfId="612" priority="33"/>
  </conditionalFormatting>
  <conditionalFormatting sqref="J844:J845">
    <cfRule type="duplicateValues" dxfId="611" priority="32"/>
  </conditionalFormatting>
  <conditionalFormatting sqref="G844:G845">
    <cfRule type="duplicateValues" dxfId="610" priority="31"/>
  </conditionalFormatting>
  <conditionalFormatting sqref="K845">
    <cfRule type="duplicateValues" dxfId="609" priority="30"/>
  </conditionalFormatting>
  <conditionalFormatting sqref="J845">
    <cfRule type="duplicateValues" dxfId="608" priority="29"/>
  </conditionalFormatting>
  <conditionalFormatting sqref="G845">
    <cfRule type="duplicateValues" dxfId="607" priority="28"/>
  </conditionalFormatting>
  <conditionalFormatting sqref="J844">
    <cfRule type="duplicateValues" dxfId="606" priority="27"/>
  </conditionalFormatting>
  <conditionalFormatting sqref="G844">
    <cfRule type="duplicateValues" dxfId="605" priority="26"/>
  </conditionalFormatting>
  <conditionalFormatting sqref="N845">
    <cfRule type="duplicateValues" dxfId="604" priority="25"/>
  </conditionalFormatting>
  <conditionalFormatting sqref="J932:J933">
    <cfRule type="duplicateValues" dxfId="603" priority="24"/>
  </conditionalFormatting>
  <conditionalFormatting sqref="G932:G933">
    <cfRule type="duplicateValues" dxfId="602" priority="23"/>
  </conditionalFormatting>
  <conditionalFormatting sqref="K933">
    <cfRule type="duplicateValues" dxfId="601" priority="22"/>
  </conditionalFormatting>
  <conditionalFormatting sqref="J933">
    <cfRule type="duplicateValues" dxfId="600" priority="21"/>
  </conditionalFormatting>
  <conditionalFormatting sqref="G933">
    <cfRule type="duplicateValues" dxfId="599" priority="20"/>
  </conditionalFormatting>
  <conditionalFormatting sqref="J932">
    <cfRule type="duplicateValues" dxfId="598" priority="19"/>
  </conditionalFormatting>
  <conditionalFormatting sqref="G932">
    <cfRule type="duplicateValues" dxfId="597" priority="18"/>
  </conditionalFormatting>
  <conditionalFormatting sqref="N933">
    <cfRule type="duplicateValues" dxfId="596" priority="17"/>
  </conditionalFormatting>
  <conditionalFormatting sqref="J934:J970">
    <cfRule type="duplicateValues" dxfId="595" priority="16"/>
  </conditionalFormatting>
  <conditionalFormatting sqref="J975:J976">
    <cfRule type="duplicateValues" dxfId="594" priority="15"/>
  </conditionalFormatting>
  <conditionalFormatting sqref="G975:G976">
    <cfRule type="duplicateValues" dxfId="593" priority="14"/>
  </conditionalFormatting>
  <conditionalFormatting sqref="K976">
    <cfRule type="duplicateValues" dxfId="592" priority="13"/>
  </conditionalFormatting>
  <conditionalFormatting sqref="J976">
    <cfRule type="duplicateValues" dxfId="591" priority="12"/>
  </conditionalFormatting>
  <conditionalFormatting sqref="G976">
    <cfRule type="duplicateValues" dxfId="590" priority="11"/>
  </conditionalFormatting>
  <conditionalFormatting sqref="J975">
    <cfRule type="duplicateValues" dxfId="589" priority="10"/>
  </conditionalFormatting>
  <conditionalFormatting sqref="G975">
    <cfRule type="duplicateValues" dxfId="588" priority="9"/>
  </conditionalFormatting>
  <conditionalFormatting sqref="N976">
    <cfRule type="duplicateValues" dxfId="587" priority="8"/>
  </conditionalFormatting>
  <conditionalFormatting sqref="A977:A1063">
    <cfRule type="duplicateValues" dxfId="586" priority="7"/>
  </conditionalFormatting>
  <conditionalFormatting sqref="A1064:A1075">
    <cfRule type="duplicateValues" dxfId="585" priority="4"/>
  </conditionalFormatting>
  <conditionalFormatting sqref="G1062">
    <cfRule type="duplicateValues" dxfId="584" priority="3"/>
  </conditionalFormatting>
  <conditionalFormatting sqref="G1063">
    <cfRule type="duplicateValues" dxfId="583" priority="2"/>
  </conditionalFormatting>
  <conditionalFormatting sqref="J1065">
    <cfRule type="duplicateValues" dxfId="582" priority="1"/>
  </conditionalFormatting>
  <conditionalFormatting sqref="J1077:J1048576 J1067 J929:J931 J917 J927 J841:J843 J681:J682 J549:J552 J293:J295 J185:J191 J76:J87 J24:J34 J234:J236 J239:J272 J340:J342 J413:J418 J494:J496 J627:J634 J688:J691 J694:J743 J756:J759 J745 J787:J789 J798 J837:J838 J970:J974">
    <cfRule type="duplicateValues" dxfId="581" priority="91742"/>
  </conditionalFormatting>
  <printOptions horizontalCentered="1"/>
  <pageMargins left="0.51181102362204722" right="0.51181102362204722" top="0.19685039370078741" bottom="0.19685039370078741" header="0" footer="0"/>
  <pageSetup paperSize="9" scale="1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dimension ref="A1:AF2795"/>
  <sheetViews>
    <sheetView tabSelected="1" workbookViewId="0">
      <pane xSplit="3" ySplit="1" topLeftCell="D998" activePane="bottomRight" state="frozen"/>
      <selection pane="topRight" activeCell="D1" sqref="D1"/>
      <selection pane="bottomLeft" activeCell="A2" sqref="A2"/>
      <selection pane="bottomRight" activeCell="B1003" sqref="B1003"/>
    </sheetView>
  </sheetViews>
  <sheetFormatPr defaultColWidth="9.140625" defaultRowHeight="14.25" customHeight="1"/>
  <cols>
    <col min="1" max="1" width="11.28515625" style="336" customWidth="1"/>
    <col min="2" max="2" width="50.5703125" style="195" customWidth="1"/>
    <col min="3" max="3" width="14.85546875" style="174" customWidth="1"/>
    <col min="4" max="4" width="7.28515625" style="192" customWidth="1"/>
    <col min="5" max="5" width="9.7109375" style="175" customWidth="1"/>
    <col min="6" max="6" width="9" style="509" customWidth="1"/>
    <col min="7" max="7" width="10.28515625" style="509" customWidth="1"/>
    <col min="8" max="9" width="10.42578125" style="509" customWidth="1"/>
    <col min="10" max="11" width="9" style="509" customWidth="1"/>
    <col min="12" max="12" width="10.42578125" style="509" customWidth="1"/>
    <col min="13" max="13" width="12.85546875" style="76" customWidth="1"/>
    <col min="14" max="16384" width="9.140625" style="76"/>
  </cols>
  <sheetData>
    <row r="1" spans="1:13" s="84" customFormat="1" ht="14.25" customHeight="1" thickTop="1" thickBot="1">
      <c r="A1" s="332" t="s">
        <v>8</v>
      </c>
      <c r="B1" s="377" t="s">
        <v>664</v>
      </c>
      <c r="C1" s="378" t="s">
        <v>2757</v>
      </c>
      <c r="D1" s="379" t="s">
        <v>546</v>
      </c>
      <c r="E1" s="380" t="s">
        <v>1113</v>
      </c>
      <c r="F1" s="505" t="s">
        <v>1854</v>
      </c>
      <c r="G1" s="505" t="s">
        <v>1855</v>
      </c>
      <c r="H1" s="505" t="s">
        <v>1856</v>
      </c>
      <c r="I1" s="505" t="s">
        <v>1857</v>
      </c>
      <c r="J1" s="505" t="s">
        <v>1858</v>
      </c>
      <c r="K1" s="506" t="s">
        <v>1859</v>
      </c>
      <c r="L1" s="506" t="s">
        <v>1876</v>
      </c>
      <c r="M1" s="84" t="s">
        <v>4504</v>
      </c>
    </row>
    <row r="2" spans="1:13" s="84" customFormat="1" ht="14.25" customHeight="1" thickTop="1" thickBot="1">
      <c r="A2" s="333">
        <v>8</v>
      </c>
      <c r="B2" s="338" t="s">
        <v>532</v>
      </c>
      <c r="C2" s="339">
        <f t="shared" ref="C2:C65" si="0">50000-SUM(F2:K2)</f>
        <v>50000</v>
      </c>
      <c r="D2" s="975" t="s">
        <v>547</v>
      </c>
      <c r="E2" s="172" t="s">
        <v>1739</v>
      </c>
      <c r="F2" s="507">
        <f>SUMIFS(Controle!$R:$R,Controle!$H:$H,produtos_escape2!$A2,Controle!$Z:$Z,"1")</f>
        <v>0</v>
      </c>
      <c r="G2" s="507">
        <f>SUMIFS(Controle!$R:$R,Controle!$H:$H,produtos_escape2!$A2,Controle!$Z:$Z,"2")</f>
        <v>0</v>
      </c>
      <c r="H2" s="507">
        <f>SUMIFS(Controle!$R:$R,Controle!$H:$H,produtos_escape2!$A2,Controle!$Z:$Z,"3")</f>
        <v>0</v>
      </c>
      <c r="I2" s="507">
        <f>SUMIFS(Controle!$R:$R,Controle!$H:$H,produtos_escape2!$A2,Controle!$Z:$Z,"4")</f>
        <v>0</v>
      </c>
      <c r="J2" s="507">
        <f>SUMIFS(Controle!$R:$R,Controle!$H:$H,produtos_escape2!$A2,Controle!$Z:$Z,"5")</f>
        <v>0</v>
      </c>
      <c r="K2" s="507">
        <f>SUMIFS(Controle!$R:$R,Controle!$H:$H,produtos_escape2!$A2,Controle!$Z:$Z,"6")</f>
        <v>0</v>
      </c>
      <c r="L2" s="507">
        <f>SUM(F2:K2)</f>
        <v>0</v>
      </c>
      <c r="M2" s="381" t="s">
        <v>4505</v>
      </c>
    </row>
    <row r="3" spans="1:13" s="84" customFormat="1" ht="14.25" customHeight="1" thickBot="1">
      <c r="A3" s="353">
        <v>14</v>
      </c>
      <c r="B3" s="194" t="s">
        <v>621</v>
      </c>
      <c r="C3" s="339">
        <f t="shared" si="0"/>
        <v>50000</v>
      </c>
      <c r="D3" s="976" t="s">
        <v>624</v>
      </c>
      <c r="E3" s="172" t="s">
        <v>1739</v>
      </c>
      <c r="F3" s="507">
        <f>SUMIFS(Controle!$R:$R,Controle!$H:$H,produtos_escape2!$A3,Controle!$Z:$Z,"1")</f>
        <v>0</v>
      </c>
      <c r="G3" s="507">
        <f>SUMIFS(Controle!$R:$R,Controle!$H:$H,produtos_escape2!$A3,Controle!$Z:$Z,"2")</f>
        <v>0</v>
      </c>
      <c r="H3" s="507">
        <f>SUMIFS(Controle!$R:$R,Controle!$H:$H,produtos_escape2!$A3,Controle!$Z:$Z,"3")</f>
        <v>0</v>
      </c>
      <c r="I3" s="507">
        <f>SUMIFS(Controle!$R:$R,Controle!$H:$H,produtos_escape2!$A3,Controle!$Z:$Z,"4")</f>
        <v>0</v>
      </c>
      <c r="J3" s="507">
        <f>SUMIFS(Controle!$R:$R,Controle!$H:$H,produtos_escape2!$A3,Controle!$Z:$Z,"5")</f>
        <v>0</v>
      </c>
      <c r="K3" s="507">
        <f>SUMIFS(Controle!$R:$R,Controle!$H:$H,produtos_escape2!$A3,Controle!$Z:$Z,"6")</f>
        <v>0</v>
      </c>
      <c r="L3" s="507">
        <f t="shared" ref="L3:L66" si="1">SUM(F3:K3)</f>
        <v>0</v>
      </c>
      <c r="M3" s="381" t="s">
        <v>621</v>
      </c>
    </row>
    <row r="4" spans="1:13" s="84" customFormat="1" ht="14.25" customHeight="1" thickBot="1">
      <c r="A4" s="353">
        <v>21</v>
      </c>
      <c r="B4" s="194" t="s">
        <v>2957</v>
      </c>
      <c r="C4" s="339">
        <f t="shared" si="0"/>
        <v>50000</v>
      </c>
      <c r="D4" s="976" t="s">
        <v>624</v>
      </c>
      <c r="E4" s="172" t="s">
        <v>1739</v>
      </c>
      <c r="F4" s="507">
        <f>SUMIFS(Controle!$R:$R,Controle!$H:$H,produtos_escape2!$A4,Controle!$Z:$Z,"1")</f>
        <v>0</v>
      </c>
      <c r="G4" s="507">
        <f>SUMIFS(Controle!$R:$R,Controle!$H:$H,produtos_escape2!$A4,Controle!$Z:$Z,"2")</f>
        <v>0</v>
      </c>
      <c r="H4" s="507">
        <f>SUMIFS(Controle!$R:$R,Controle!$H:$H,produtos_escape2!$A4,Controle!$Z:$Z,"3")</f>
        <v>0</v>
      </c>
      <c r="I4" s="507">
        <f>SUMIFS(Controle!$R:$R,Controle!$H:$H,produtos_escape2!$A4,Controle!$Z:$Z,"4")</f>
        <v>0</v>
      </c>
      <c r="J4" s="507">
        <f>SUMIFS(Controle!$R:$R,Controle!$H:$H,produtos_escape2!$A4,Controle!$Z:$Z,"5")</f>
        <v>0</v>
      </c>
      <c r="K4" s="507">
        <f>SUMIFS(Controle!$R:$R,Controle!$H:$H,produtos_escape2!$A4,Controle!$Z:$Z,"6")</f>
        <v>0</v>
      </c>
      <c r="L4" s="507">
        <f t="shared" si="1"/>
        <v>0</v>
      </c>
      <c r="M4" s="381" t="s">
        <v>2957</v>
      </c>
    </row>
    <row r="5" spans="1:13" s="84" customFormat="1" ht="14.25" customHeight="1" thickBot="1">
      <c r="A5" s="353">
        <v>59</v>
      </c>
      <c r="B5" s="194" t="s">
        <v>1032</v>
      </c>
      <c r="C5" s="339">
        <f t="shared" si="0"/>
        <v>50000</v>
      </c>
      <c r="D5" s="976" t="s">
        <v>624</v>
      </c>
      <c r="E5" s="172" t="s">
        <v>1739</v>
      </c>
      <c r="F5" s="507">
        <f>SUMIFS(Controle!$R:$R,Controle!$H:$H,produtos_escape2!$A5,Controle!$Z:$Z,"1")</f>
        <v>0</v>
      </c>
      <c r="G5" s="507">
        <f>SUMIFS(Controle!$R:$R,Controle!$H:$H,produtos_escape2!$A5,Controle!$Z:$Z,"2")</f>
        <v>0</v>
      </c>
      <c r="H5" s="507">
        <f>SUMIFS(Controle!$R:$R,Controle!$H:$H,produtos_escape2!$A5,Controle!$Z:$Z,"3")</f>
        <v>0</v>
      </c>
      <c r="I5" s="507">
        <f>SUMIFS(Controle!$R:$R,Controle!$H:$H,produtos_escape2!$A5,Controle!$Z:$Z,"4")</f>
        <v>0</v>
      </c>
      <c r="J5" s="507">
        <f>SUMIFS(Controle!$R:$R,Controle!$H:$H,produtos_escape2!$A5,Controle!$Z:$Z,"5")</f>
        <v>0</v>
      </c>
      <c r="K5" s="507">
        <f>SUMIFS(Controle!$R:$R,Controle!$H:$H,produtos_escape2!$A5,Controle!$Z:$Z,"6")</f>
        <v>0</v>
      </c>
      <c r="L5" s="507">
        <f t="shared" si="1"/>
        <v>0</v>
      </c>
      <c r="M5" s="381" t="s">
        <v>4506</v>
      </c>
    </row>
    <row r="6" spans="1:13" s="84" customFormat="1" ht="14.25" customHeight="1" thickBot="1">
      <c r="A6" s="353">
        <v>60</v>
      </c>
      <c r="B6" s="194" t="s">
        <v>334</v>
      </c>
      <c r="C6" s="339">
        <f t="shared" si="0"/>
        <v>50000</v>
      </c>
      <c r="D6" s="976" t="s">
        <v>624</v>
      </c>
      <c r="E6" s="172" t="s">
        <v>1739</v>
      </c>
      <c r="F6" s="507">
        <f>SUMIFS(Controle!$R:$R,Controle!$H:$H,produtos_escape2!$A6,Controle!$Z:$Z,"1")</f>
        <v>0</v>
      </c>
      <c r="G6" s="507">
        <f>SUMIFS(Controle!$R:$R,Controle!$H:$H,produtos_escape2!$A6,Controle!$Z:$Z,"2")</f>
        <v>0</v>
      </c>
      <c r="H6" s="507">
        <f>SUMIFS(Controle!$R:$R,Controle!$H:$H,produtos_escape2!$A6,Controle!$Z:$Z,"3")</f>
        <v>0</v>
      </c>
      <c r="I6" s="507">
        <f>SUMIFS(Controle!$R:$R,Controle!$H:$H,produtos_escape2!$A6,Controle!$Z:$Z,"4")</f>
        <v>0</v>
      </c>
      <c r="J6" s="507">
        <f>SUMIFS(Controle!$R:$R,Controle!$H:$H,produtos_escape2!$A6,Controle!$Z:$Z,"5")</f>
        <v>0</v>
      </c>
      <c r="K6" s="507">
        <f>SUMIFS(Controle!$R:$R,Controle!$H:$H,produtos_escape2!$A6,Controle!$Z:$Z,"6")</f>
        <v>0</v>
      </c>
      <c r="L6" s="507">
        <f t="shared" si="1"/>
        <v>0</v>
      </c>
      <c r="M6" s="381" t="s">
        <v>4507</v>
      </c>
    </row>
    <row r="7" spans="1:13" s="84" customFormat="1" ht="14.25" customHeight="1" thickBot="1">
      <c r="A7" s="353">
        <v>74</v>
      </c>
      <c r="B7" s="194" t="s">
        <v>585</v>
      </c>
      <c r="C7" s="339">
        <f t="shared" si="0"/>
        <v>50000</v>
      </c>
      <c r="D7" s="976" t="s">
        <v>624</v>
      </c>
      <c r="E7" s="172" t="s">
        <v>1739</v>
      </c>
      <c r="F7" s="507">
        <f>SUMIFS(Controle!$R:$R,Controle!$H:$H,produtos_escape2!$A7,Controle!$Z:$Z,"1")</f>
        <v>0</v>
      </c>
      <c r="G7" s="507">
        <f>SUMIFS(Controle!$R:$R,Controle!$H:$H,produtos_escape2!$A7,Controle!$Z:$Z,"2")</f>
        <v>0</v>
      </c>
      <c r="H7" s="507">
        <f>SUMIFS(Controle!$R:$R,Controle!$H:$H,produtos_escape2!$A7,Controle!$Z:$Z,"3")</f>
        <v>0</v>
      </c>
      <c r="I7" s="507">
        <f>SUMIFS(Controle!$R:$R,Controle!$H:$H,produtos_escape2!$A7,Controle!$Z:$Z,"4")</f>
        <v>0</v>
      </c>
      <c r="J7" s="507">
        <f>SUMIFS(Controle!$R:$R,Controle!$H:$H,produtos_escape2!$A7,Controle!$Z:$Z,"5")</f>
        <v>0</v>
      </c>
      <c r="K7" s="507">
        <f>SUMIFS(Controle!$R:$R,Controle!$H:$H,produtos_escape2!$A7,Controle!$Z:$Z,"6")</f>
        <v>0</v>
      </c>
      <c r="L7" s="507">
        <f t="shared" si="1"/>
        <v>0</v>
      </c>
      <c r="M7" s="381" t="s">
        <v>4508</v>
      </c>
    </row>
    <row r="8" spans="1:13" s="84" customFormat="1" ht="14.25" customHeight="1" thickBot="1">
      <c r="A8" s="353">
        <v>77</v>
      </c>
      <c r="B8" s="194" t="s">
        <v>1109</v>
      </c>
      <c r="C8" s="339">
        <f t="shared" si="0"/>
        <v>50000</v>
      </c>
      <c r="D8" s="976" t="s">
        <v>651</v>
      </c>
      <c r="E8" s="172" t="s">
        <v>1739</v>
      </c>
      <c r="F8" s="507">
        <f>SUMIFS(Controle!$R:$R,Controle!$H:$H,produtos_escape2!$A8,Controle!$Z:$Z,"1")</f>
        <v>0</v>
      </c>
      <c r="G8" s="507">
        <f>SUMIFS(Controle!$R:$R,Controle!$H:$H,produtos_escape2!$A8,Controle!$Z:$Z,"2")</f>
        <v>0</v>
      </c>
      <c r="H8" s="507">
        <f>SUMIFS(Controle!$R:$R,Controle!$H:$H,produtos_escape2!$A8,Controle!$Z:$Z,"3")</f>
        <v>0</v>
      </c>
      <c r="I8" s="507">
        <f>SUMIFS(Controle!$R:$R,Controle!$H:$H,produtos_escape2!$A8,Controle!$Z:$Z,"4")</f>
        <v>0</v>
      </c>
      <c r="J8" s="507">
        <f>SUMIFS(Controle!$R:$R,Controle!$H:$H,produtos_escape2!$A8,Controle!$Z:$Z,"5")</f>
        <v>0</v>
      </c>
      <c r="K8" s="507">
        <f>SUMIFS(Controle!$R:$R,Controle!$H:$H,produtos_escape2!$A8,Controle!$Z:$Z,"6")</f>
        <v>0</v>
      </c>
      <c r="L8" s="507">
        <f t="shared" si="1"/>
        <v>0</v>
      </c>
      <c r="M8" s="381" t="s">
        <v>4509</v>
      </c>
    </row>
    <row r="9" spans="1:13" s="84" customFormat="1" ht="14.25" customHeight="1" thickBot="1">
      <c r="A9" s="353">
        <v>82</v>
      </c>
      <c r="B9" s="194" t="s">
        <v>179</v>
      </c>
      <c r="C9" s="339">
        <f t="shared" si="0"/>
        <v>50000</v>
      </c>
      <c r="D9" s="976" t="s">
        <v>548</v>
      </c>
      <c r="E9" s="172" t="s">
        <v>1739</v>
      </c>
      <c r="F9" s="507">
        <f>SUMIFS(Controle!$R:$R,Controle!$H:$H,produtos_escape2!$A9,Controle!$Z:$Z,"1")</f>
        <v>0</v>
      </c>
      <c r="G9" s="507">
        <f>SUMIFS(Controle!$R:$R,Controle!$H:$H,produtos_escape2!$A9,Controle!$Z:$Z,"2")</f>
        <v>0</v>
      </c>
      <c r="H9" s="507">
        <f>SUMIFS(Controle!$R:$R,Controle!$H:$H,produtos_escape2!$A9,Controle!$Z:$Z,"3")</f>
        <v>0</v>
      </c>
      <c r="I9" s="507">
        <f>SUMIFS(Controle!$R:$R,Controle!$H:$H,produtos_escape2!$A9,Controle!$Z:$Z,"4")</f>
        <v>0</v>
      </c>
      <c r="J9" s="507">
        <f>SUMIFS(Controle!$R:$R,Controle!$H:$H,produtos_escape2!$A9,Controle!$Z:$Z,"5")</f>
        <v>0</v>
      </c>
      <c r="K9" s="507">
        <f>SUMIFS(Controle!$R:$R,Controle!$H:$H,produtos_escape2!$A9,Controle!$Z:$Z,"6")</f>
        <v>0</v>
      </c>
      <c r="L9" s="507">
        <f t="shared" si="1"/>
        <v>0</v>
      </c>
      <c r="M9" s="381" t="s">
        <v>4510</v>
      </c>
    </row>
    <row r="10" spans="1:13" s="84" customFormat="1" ht="14.25" customHeight="1" thickBot="1">
      <c r="A10" s="333">
        <v>93</v>
      </c>
      <c r="B10" s="338" t="s">
        <v>178</v>
      </c>
      <c r="C10" s="339">
        <f t="shared" si="0"/>
        <v>50000</v>
      </c>
      <c r="D10" s="976" t="s">
        <v>624</v>
      </c>
      <c r="E10" s="172" t="s">
        <v>1739</v>
      </c>
      <c r="F10" s="507">
        <f>SUMIFS(Controle!$R:$R,Controle!$H:$H,produtos_escape2!$A10,Controle!$Z:$Z,"1")</f>
        <v>0</v>
      </c>
      <c r="G10" s="507">
        <f>SUMIFS(Controle!$R:$R,Controle!$H:$H,produtos_escape2!$A10,Controle!$Z:$Z,"2")</f>
        <v>0</v>
      </c>
      <c r="H10" s="507">
        <f>SUMIFS(Controle!$R:$R,Controle!$H:$H,produtos_escape2!$A10,Controle!$Z:$Z,"3")</f>
        <v>0</v>
      </c>
      <c r="I10" s="507">
        <f>SUMIFS(Controle!$R:$R,Controle!$H:$H,produtos_escape2!$A10,Controle!$Z:$Z,"4")</f>
        <v>0</v>
      </c>
      <c r="J10" s="507">
        <f>SUMIFS(Controle!$R:$R,Controle!$H:$H,produtos_escape2!$A10,Controle!$Z:$Z,"5")</f>
        <v>0</v>
      </c>
      <c r="K10" s="507">
        <f>SUMIFS(Controle!$R:$R,Controle!$H:$H,produtos_escape2!$A10,Controle!$Z:$Z,"6")</f>
        <v>0</v>
      </c>
      <c r="L10" s="507">
        <f t="shared" si="1"/>
        <v>0</v>
      </c>
      <c r="M10" s="381" t="s">
        <v>4511</v>
      </c>
    </row>
    <row r="11" spans="1:13" s="84" customFormat="1" ht="14.25" customHeight="1" thickBot="1">
      <c r="A11" s="353">
        <v>164</v>
      </c>
      <c r="B11" s="194" t="s">
        <v>375</v>
      </c>
      <c r="C11" s="339">
        <f t="shared" si="0"/>
        <v>50000</v>
      </c>
      <c r="D11" s="976" t="s">
        <v>1365</v>
      </c>
      <c r="E11" s="172" t="s">
        <v>1739</v>
      </c>
      <c r="F11" s="507">
        <f>SUMIFS(Controle!$R:$R,Controle!$H:$H,produtos_escape2!$A11,Controle!$Z:$Z,"1")</f>
        <v>0</v>
      </c>
      <c r="G11" s="507">
        <f>SUMIFS(Controle!$R:$R,Controle!$H:$H,produtos_escape2!$A11,Controle!$Z:$Z,"2")</f>
        <v>0</v>
      </c>
      <c r="H11" s="507">
        <f>SUMIFS(Controle!$R:$R,Controle!$H:$H,produtos_escape2!$A11,Controle!$Z:$Z,"3")</f>
        <v>0</v>
      </c>
      <c r="I11" s="507">
        <f>SUMIFS(Controle!$R:$R,Controle!$H:$H,produtos_escape2!$A11,Controle!$Z:$Z,"4")</f>
        <v>0</v>
      </c>
      <c r="J11" s="507">
        <f>SUMIFS(Controle!$R:$R,Controle!$H:$H,produtos_escape2!$A11,Controle!$Z:$Z,"5")</f>
        <v>0</v>
      </c>
      <c r="K11" s="507">
        <f>SUMIFS(Controle!$R:$R,Controle!$H:$H,produtos_escape2!$A11,Controle!$Z:$Z,"6")</f>
        <v>0</v>
      </c>
      <c r="L11" s="507">
        <f t="shared" si="1"/>
        <v>0</v>
      </c>
      <c r="M11" s="381" t="s">
        <v>4512</v>
      </c>
    </row>
    <row r="12" spans="1:13" s="84" customFormat="1" ht="14.25" customHeight="1" thickBot="1">
      <c r="A12" s="353">
        <v>206</v>
      </c>
      <c r="B12" s="194" t="s">
        <v>834</v>
      </c>
      <c r="C12" s="339">
        <f t="shared" si="0"/>
        <v>50000</v>
      </c>
      <c r="D12" s="976" t="s">
        <v>833</v>
      </c>
      <c r="E12" s="172" t="s">
        <v>1739</v>
      </c>
      <c r="F12" s="507">
        <f>SUMIFS(Controle!$R:$R,Controle!$H:$H,produtos_escape2!$A12,Controle!$Z:$Z,"1")</f>
        <v>0</v>
      </c>
      <c r="G12" s="507">
        <f>SUMIFS(Controle!$R:$R,Controle!$H:$H,produtos_escape2!$A12,Controle!$Z:$Z,"2")</f>
        <v>0</v>
      </c>
      <c r="H12" s="507">
        <f>SUMIFS(Controle!$R:$R,Controle!$H:$H,produtos_escape2!$A12,Controle!$Z:$Z,"3")</f>
        <v>0</v>
      </c>
      <c r="I12" s="507">
        <f>SUMIFS(Controle!$R:$R,Controle!$H:$H,produtos_escape2!$A12,Controle!$Z:$Z,"4")</f>
        <v>0</v>
      </c>
      <c r="J12" s="507">
        <f>SUMIFS(Controle!$R:$R,Controle!$H:$H,produtos_escape2!$A12,Controle!$Z:$Z,"5")</f>
        <v>0</v>
      </c>
      <c r="K12" s="507">
        <f>SUMIFS(Controle!$R:$R,Controle!$H:$H,produtos_escape2!$A12,Controle!$Z:$Z,"6")</f>
        <v>0</v>
      </c>
      <c r="L12" s="507">
        <f t="shared" si="1"/>
        <v>0</v>
      </c>
      <c r="M12" s="381" t="s">
        <v>4513</v>
      </c>
    </row>
    <row r="13" spans="1:13" s="84" customFormat="1" ht="14.25" customHeight="1" thickBot="1">
      <c r="A13" s="353">
        <v>208</v>
      </c>
      <c r="B13" s="194" t="s">
        <v>835</v>
      </c>
      <c r="C13" s="339">
        <f t="shared" si="0"/>
        <v>50000</v>
      </c>
      <c r="D13" s="976" t="s">
        <v>833</v>
      </c>
      <c r="E13" s="172" t="s">
        <v>1739</v>
      </c>
      <c r="F13" s="507">
        <f>SUMIFS(Controle!$R:$R,Controle!$H:$H,produtos_escape2!$A13,Controle!$Z:$Z,"1")</f>
        <v>0</v>
      </c>
      <c r="G13" s="507">
        <f>SUMIFS(Controle!$R:$R,Controle!$H:$H,produtos_escape2!$A13,Controle!$Z:$Z,"2")</f>
        <v>0</v>
      </c>
      <c r="H13" s="507">
        <f>SUMIFS(Controle!$R:$R,Controle!$H:$H,produtos_escape2!$A13,Controle!$Z:$Z,"3")</f>
        <v>0</v>
      </c>
      <c r="I13" s="507">
        <f>SUMIFS(Controle!$R:$R,Controle!$H:$H,produtos_escape2!$A13,Controle!$Z:$Z,"4")</f>
        <v>0</v>
      </c>
      <c r="J13" s="507">
        <f>SUMIFS(Controle!$R:$R,Controle!$H:$H,produtos_escape2!$A13,Controle!$Z:$Z,"5")</f>
        <v>0</v>
      </c>
      <c r="K13" s="507">
        <f>SUMIFS(Controle!$R:$R,Controle!$H:$H,produtos_escape2!$A13,Controle!$Z:$Z,"6")</f>
        <v>0</v>
      </c>
      <c r="L13" s="507">
        <f t="shared" si="1"/>
        <v>0</v>
      </c>
      <c r="M13" s="381" t="s">
        <v>4513</v>
      </c>
    </row>
    <row r="14" spans="1:13" s="84" customFormat="1" ht="14.25" customHeight="1" thickBot="1">
      <c r="A14" s="353">
        <v>209</v>
      </c>
      <c r="B14" s="194" t="s">
        <v>5878</v>
      </c>
      <c r="C14" s="339">
        <f t="shared" si="0"/>
        <v>50000</v>
      </c>
      <c r="D14" s="976" t="s">
        <v>624</v>
      </c>
      <c r="E14" s="172" t="s">
        <v>1739</v>
      </c>
      <c r="F14" s="507">
        <f>SUMIFS(Controle!$R:$R,Controle!$H:$H,produtos_escape2!$A14,Controle!$Z:$Z,"1")</f>
        <v>0</v>
      </c>
      <c r="G14" s="507">
        <f>SUMIFS(Controle!$R:$R,Controle!$H:$H,produtos_escape2!$A14,Controle!$Z:$Z,"2")</f>
        <v>0</v>
      </c>
      <c r="H14" s="507">
        <f>SUMIFS(Controle!$R:$R,Controle!$H:$H,produtos_escape2!$A14,Controle!$Z:$Z,"3")</f>
        <v>0</v>
      </c>
      <c r="I14" s="507">
        <f>SUMIFS(Controle!$R:$R,Controle!$H:$H,produtos_escape2!$A14,Controle!$Z:$Z,"4")</f>
        <v>0</v>
      </c>
      <c r="J14" s="507">
        <f>SUMIFS(Controle!$R:$R,Controle!$H:$H,produtos_escape2!$A14,Controle!$Z:$Z,"5")</f>
        <v>0</v>
      </c>
      <c r="K14" s="507">
        <f>SUMIFS(Controle!$R:$R,Controle!$H:$H,produtos_escape2!$A14,Controle!$Z:$Z,"6")</f>
        <v>0</v>
      </c>
      <c r="L14" s="507">
        <f t="shared" si="1"/>
        <v>0</v>
      </c>
      <c r="M14" s="381" t="s">
        <v>4514</v>
      </c>
    </row>
    <row r="15" spans="1:13" s="84" customFormat="1" ht="14.25" customHeight="1" thickBot="1">
      <c r="A15" s="353">
        <v>221</v>
      </c>
      <c r="B15" s="194" t="s">
        <v>8881</v>
      </c>
      <c r="C15" s="339">
        <f t="shared" si="0"/>
        <v>50000</v>
      </c>
      <c r="D15" s="976" t="s">
        <v>1726</v>
      </c>
      <c r="E15" s="172" t="s">
        <v>1739</v>
      </c>
      <c r="F15" s="507">
        <f>SUMIFS(Controle!$R:$R,Controle!$H:$H,produtos_escape2!$A15,Controle!$Z:$Z,"1")</f>
        <v>0</v>
      </c>
      <c r="G15" s="507">
        <f>SUMIFS(Controle!$R:$R,Controle!$H:$H,produtos_escape2!$A15,Controle!$Z:$Z,"2")</f>
        <v>0</v>
      </c>
      <c r="H15" s="507">
        <f>SUMIFS(Controle!$R:$R,Controle!$H:$H,produtos_escape2!$A15,Controle!$Z:$Z,"3")</f>
        <v>0</v>
      </c>
      <c r="I15" s="507">
        <f>SUMIFS(Controle!$R:$R,Controle!$H:$H,produtos_escape2!$A15,Controle!$Z:$Z,"4")</f>
        <v>0</v>
      </c>
      <c r="J15" s="507">
        <f>SUMIFS(Controle!$R:$R,Controle!$H:$H,produtos_escape2!$A15,Controle!$Z:$Z,"5")</f>
        <v>0</v>
      </c>
      <c r="K15" s="507">
        <f>SUMIFS(Controle!$R:$R,Controle!$H:$H,produtos_escape2!$A15,Controle!$Z:$Z,"6")</f>
        <v>0</v>
      </c>
      <c r="L15" s="507">
        <f t="shared" si="1"/>
        <v>0</v>
      </c>
      <c r="M15" s="381" t="s">
        <v>8884</v>
      </c>
    </row>
    <row r="16" spans="1:13" s="84" customFormat="1" ht="14.25" customHeight="1" thickBot="1">
      <c r="A16" s="353">
        <v>222</v>
      </c>
      <c r="B16" s="194" t="s">
        <v>1740</v>
      </c>
      <c r="C16" s="339">
        <f t="shared" si="0"/>
        <v>50000</v>
      </c>
      <c r="D16" s="976" t="s">
        <v>624</v>
      </c>
      <c r="E16" s="172" t="s">
        <v>7207</v>
      </c>
      <c r="F16" s="507">
        <f>SUMIFS(Controle!$R:$R,Controle!$H:$H,produtos_escape2!$A16,Controle!$Z:$Z,"1")</f>
        <v>0</v>
      </c>
      <c r="G16" s="507">
        <f>SUMIFS(Controle!$R:$R,Controle!$H:$H,produtos_escape2!$A16,Controle!$Z:$Z,"2")</f>
        <v>0</v>
      </c>
      <c r="H16" s="507">
        <f>SUMIFS(Controle!$R:$R,Controle!$H:$H,produtos_escape2!$A16,Controle!$Z:$Z,"3")</f>
        <v>0</v>
      </c>
      <c r="I16" s="507">
        <f>SUMIFS(Controle!$R:$R,Controle!$H:$H,produtos_escape2!$A16,Controle!$Z:$Z,"4")</f>
        <v>0</v>
      </c>
      <c r="J16" s="507">
        <f>SUMIFS(Controle!$R:$R,Controle!$H:$H,produtos_escape2!$A16,Controle!$Z:$Z,"5")</f>
        <v>0</v>
      </c>
      <c r="K16" s="507">
        <f>SUMIFS(Controle!$R:$R,Controle!$H:$H,produtos_escape2!$A16,Controle!$Z:$Z,"6")</f>
        <v>0</v>
      </c>
      <c r="L16" s="507">
        <f t="shared" si="1"/>
        <v>0</v>
      </c>
      <c r="M16" s="381" t="s">
        <v>4515</v>
      </c>
    </row>
    <row r="17" spans="1:13" s="84" customFormat="1" ht="14.25" customHeight="1" thickBot="1">
      <c r="A17" s="353">
        <v>247</v>
      </c>
      <c r="B17" s="194" t="s">
        <v>174</v>
      </c>
      <c r="C17" s="339">
        <f t="shared" si="0"/>
        <v>50000</v>
      </c>
      <c r="D17" s="976" t="s">
        <v>624</v>
      </c>
      <c r="E17" s="172" t="s">
        <v>1739</v>
      </c>
      <c r="F17" s="507">
        <f>SUMIFS(Controle!$R:$R,Controle!$H:$H,produtos_escape2!$A17,Controle!$Z:$Z,"1")</f>
        <v>0</v>
      </c>
      <c r="G17" s="507">
        <f>SUMIFS(Controle!$R:$R,Controle!$H:$H,produtos_escape2!$A17,Controle!$Z:$Z,"2")</f>
        <v>0</v>
      </c>
      <c r="H17" s="507">
        <f>SUMIFS(Controle!$R:$R,Controle!$H:$H,produtos_escape2!$A17,Controle!$Z:$Z,"3")</f>
        <v>0</v>
      </c>
      <c r="I17" s="507">
        <f>SUMIFS(Controle!$R:$R,Controle!$H:$H,produtos_escape2!$A17,Controle!$Z:$Z,"4")</f>
        <v>0</v>
      </c>
      <c r="J17" s="507">
        <f>SUMIFS(Controle!$R:$R,Controle!$H:$H,produtos_escape2!$A17,Controle!$Z:$Z,"5")</f>
        <v>0</v>
      </c>
      <c r="K17" s="507">
        <f>SUMIFS(Controle!$R:$R,Controle!$H:$H,produtos_escape2!$A17,Controle!$Z:$Z,"6")</f>
        <v>0</v>
      </c>
      <c r="L17" s="507">
        <f t="shared" si="1"/>
        <v>0</v>
      </c>
      <c r="M17" s="381" t="s">
        <v>4516</v>
      </c>
    </row>
    <row r="18" spans="1:13" s="84" customFormat="1" ht="14.25" customHeight="1" thickBot="1">
      <c r="A18" s="333">
        <v>257</v>
      </c>
      <c r="B18" s="338" t="s">
        <v>187</v>
      </c>
      <c r="C18" s="339">
        <f t="shared" si="0"/>
        <v>50000</v>
      </c>
      <c r="D18" s="976" t="s">
        <v>848</v>
      </c>
      <c r="E18" s="172" t="s">
        <v>1739</v>
      </c>
      <c r="F18" s="507">
        <f>SUMIFS(Controle!$R:$R,Controle!$H:$H,produtos_escape2!$A18,Controle!$Z:$Z,"1")</f>
        <v>0</v>
      </c>
      <c r="G18" s="507">
        <f>SUMIFS(Controle!$R:$R,Controle!$H:$H,produtos_escape2!$A18,Controle!$Z:$Z,"2")</f>
        <v>0</v>
      </c>
      <c r="H18" s="507">
        <f>SUMIFS(Controle!$R:$R,Controle!$H:$H,produtos_escape2!$A18,Controle!$Z:$Z,"3")</f>
        <v>0</v>
      </c>
      <c r="I18" s="507">
        <f>SUMIFS(Controle!$R:$R,Controle!$H:$H,produtos_escape2!$A18,Controle!$Z:$Z,"4")</f>
        <v>0</v>
      </c>
      <c r="J18" s="507">
        <f>SUMIFS(Controle!$R:$R,Controle!$H:$H,produtos_escape2!$A18,Controle!$Z:$Z,"5")</f>
        <v>0</v>
      </c>
      <c r="K18" s="507">
        <f>SUMIFS(Controle!$R:$R,Controle!$H:$H,produtos_escape2!$A18,Controle!$Z:$Z,"6")</f>
        <v>0</v>
      </c>
      <c r="L18" s="507">
        <f t="shared" si="1"/>
        <v>0</v>
      </c>
      <c r="M18" s="381" t="s">
        <v>4517</v>
      </c>
    </row>
    <row r="19" spans="1:13" s="84" customFormat="1" ht="14.25" customHeight="1" thickBot="1">
      <c r="A19" s="353">
        <v>302</v>
      </c>
      <c r="B19" s="194" t="s">
        <v>173</v>
      </c>
      <c r="C19" s="339">
        <f t="shared" si="0"/>
        <v>50000</v>
      </c>
      <c r="D19" s="976" t="s">
        <v>624</v>
      </c>
      <c r="E19" s="172" t="s">
        <v>1739</v>
      </c>
      <c r="F19" s="507">
        <f>SUMIFS(Controle!$R:$R,Controle!$H:$H,produtos_escape2!$A19,Controle!$Z:$Z,"1")</f>
        <v>0</v>
      </c>
      <c r="G19" s="507">
        <f>SUMIFS(Controle!$R:$R,Controle!$H:$H,produtos_escape2!$A19,Controle!$Z:$Z,"2")</f>
        <v>0</v>
      </c>
      <c r="H19" s="507">
        <f>SUMIFS(Controle!$R:$R,Controle!$H:$H,produtos_escape2!$A19,Controle!$Z:$Z,"3")</f>
        <v>0</v>
      </c>
      <c r="I19" s="507">
        <f>SUMIFS(Controle!$R:$R,Controle!$H:$H,produtos_escape2!$A19,Controle!$Z:$Z,"4")</f>
        <v>0</v>
      </c>
      <c r="J19" s="507">
        <f>SUMIFS(Controle!$R:$R,Controle!$H:$H,produtos_escape2!$A19,Controle!$Z:$Z,"5")</f>
        <v>0</v>
      </c>
      <c r="K19" s="507">
        <f>SUMIFS(Controle!$R:$R,Controle!$H:$H,produtos_escape2!$A19,Controle!$Z:$Z,"6")</f>
        <v>0</v>
      </c>
      <c r="L19" s="507">
        <f t="shared" si="1"/>
        <v>0</v>
      </c>
      <c r="M19" s="381" t="s">
        <v>4518</v>
      </c>
    </row>
    <row r="20" spans="1:13" s="84" customFormat="1" ht="14.25" customHeight="1" thickBot="1">
      <c r="A20" s="353">
        <v>303</v>
      </c>
      <c r="B20" s="194" t="s">
        <v>576</v>
      </c>
      <c r="C20" s="339">
        <f t="shared" si="0"/>
        <v>49628</v>
      </c>
      <c r="D20" s="976" t="s">
        <v>624</v>
      </c>
      <c r="E20" s="172" t="s">
        <v>7207</v>
      </c>
      <c r="F20" s="507">
        <f>SUMIFS(Controle!$R:$R,Controle!$H:$H,produtos_escape2!$A20,Controle!$Z:$Z,"1")</f>
        <v>0</v>
      </c>
      <c r="G20" s="507">
        <f>SUMIFS(Controle!$R:$R,Controle!$H:$H,produtos_escape2!$A20,Controle!$Z:$Z,"2")</f>
        <v>0</v>
      </c>
      <c r="H20" s="507">
        <f>SUMIFS(Controle!$R:$R,Controle!$H:$H,produtos_escape2!$A20,Controle!$Z:$Z,"3")</f>
        <v>0</v>
      </c>
      <c r="I20" s="507">
        <f>SUMIFS(Controle!$R:$R,Controle!$H:$H,produtos_escape2!$A20,Controle!$Z:$Z,"4")</f>
        <v>372</v>
      </c>
      <c r="J20" s="507">
        <f>SUMIFS(Controle!$R:$R,Controle!$H:$H,produtos_escape2!$A20,Controle!$Z:$Z,"5")</f>
        <v>0</v>
      </c>
      <c r="K20" s="507">
        <f>SUMIFS(Controle!$R:$R,Controle!$H:$H,produtos_escape2!$A20,Controle!$Z:$Z,"6")</f>
        <v>0</v>
      </c>
      <c r="L20" s="507">
        <f t="shared" si="1"/>
        <v>372</v>
      </c>
      <c r="M20" s="381" t="s">
        <v>4519</v>
      </c>
    </row>
    <row r="21" spans="1:13" s="84" customFormat="1" ht="14.25" customHeight="1" thickBot="1">
      <c r="A21" s="353">
        <v>304</v>
      </c>
      <c r="B21" s="194" t="s">
        <v>9602</v>
      </c>
      <c r="C21" s="339">
        <f t="shared" si="0"/>
        <v>49217</v>
      </c>
      <c r="D21" s="976" t="s">
        <v>624</v>
      </c>
      <c r="E21" s="172" t="s">
        <v>7207</v>
      </c>
      <c r="F21" s="507">
        <f>SUMIFS(Controle!$R:$R,Controle!$H:$H,produtos_escape2!$A21,Controle!$Z:$Z,"1")</f>
        <v>0</v>
      </c>
      <c r="G21" s="507">
        <f>SUMIFS(Controle!$R:$R,Controle!$H:$H,produtos_escape2!$A21,Controle!$Z:$Z,"2")</f>
        <v>0</v>
      </c>
      <c r="H21" s="507">
        <f>SUMIFS(Controle!$R:$R,Controle!$H:$H,produtos_escape2!$A21,Controle!$Z:$Z,"3")</f>
        <v>0</v>
      </c>
      <c r="I21" s="507">
        <f>SUMIFS(Controle!$R:$R,Controle!$H:$H,produtos_escape2!$A21,Controle!$Z:$Z,"4")</f>
        <v>783</v>
      </c>
      <c r="J21" s="507">
        <f>SUMIFS(Controle!$R:$R,Controle!$H:$H,produtos_escape2!$A21,Controle!$Z:$Z,"5")</f>
        <v>0</v>
      </c>
      <c r="K21" s="507">
        <f>SUMIFS(Controle!$R:$R,Controle!$H:$H,produtos_escape2!$A21,Controle!$Z:$Z,"6")</f>
        <v>0</v>
      </c>
      <c r="L21" s="507">
        <f t="shared" si="1"/>
        <v>783</v>
      </c>
      <c r="M21" s="381" t="s">
        <v>4519</v>
      </c>
    </row>
    <row r="22" spans="1:13" s="84" customFormat="1" ht="14.25" customHeight="1" thickBot="1">
      <c r="A22" s="353">
        <v>306</v>
      </c>
      <c r="B22" s="194" t="s">
        <v>356</v>
      </c>
      <c r="C22" s="339">
        <f t="shared" si="0"/>
        <v>50000</v>
      </c>
      <c r="D22" s="976" t="s">
        <v>624</v>
      </c>
      <c r="E22" s="172" t="s">
        <v>1739</v>
      </c>
      <c r="F22" s="507">
        <f>SUMIFS(Controle!$R:$R,Controle!$H:$H,produtos_escape2!$A22,Controle!$Z:$Z,"1")</f>
        <v>0</v>
      </c>
      <c r="G22" s="507">
        <f>SUMIFS(Controle!$R:$R,Controle!$H:$H,produtos_escape2!$A22,Controle!$Z:$Z,"2")</f>
        <v>0</v>
      </c>
      <c r="H22" s="507">
        <f>SUMIFS(Controle!$R:$R,Controle!$H:$H,produtos_escape2!$A22,Controle!$Z:$Z,"3")</f>
        <v>0</v>
      </c>
      <c r="I22" s="507">
        <f>SUMIFS(Controle!$R:$R,Controle!$H:$H,produtos_escape2!$A22,Controle!$Z:$Z,"4")</f>
        <v>0</v>
      </c>
      <c r="J22" s="507">
        <f>SUMIFS(Controle!$R:$R,Controle!$H:$H,produtos_escape2!$A22,Controle!$Z:$Z,"5")</f>
        <v>0</v>
      </c>
      <c r="K22" s="507">
        <f>SUMIFS(Controle!$R:$R,Controle!$H:$H,produtos_escape2!$A22,Controle!$Z:$Z,"6")</f>
        <v>0</v>
      </c>
      <c r="L22" s="507">
        <f t="shared" si="1"/>
        <v>0</v>
      </c>
      <c r="M22" s="381" t="s">
        <v>4520</v>
      </c>
    </row>
    <row r="23" spans="1:13" s="84" customFormat="1" ht="14.25" customHeight="1" thickBot="1">
      <c r="A23" s="353">
        <v>316</v>
      </c>
      <c r="B23" s="194" t="s">
        <v>177</v>
      </c>
      <c r="C23" s="339">
        <f t="shared" si="0"/>
        <v>50000</v>
      </c>
      <c r="D23" s="976" t="s">
        <v>848</v>
      </c>
      <c r="E23" s="172" t="s">
        <v>1739</v>
      </c>
      <c r="F23" s="507">
        <f>SUMIFS(Controle!$R:$R,Controle!$H:$H,produtos_escape2!$A23,Controle!$Z:$Z,"1")</f>
        <v>0</v>
      </c>
      <c r="G23" s="507">
        <f>SUMIFS(Controle!$R:$R,Controle!$H:$H,produtos_escape2!$A23,Controle!$Z:$Z,"2")</f>
        <v>0</v>
      </c>
      <c r="H23" s="507">
        <f>SUMIFS(Controle!$R:$R,Controle!$H:$H,produtos_escape2!$A23,Controle!$Z:$Z,"3")</f>
        <v>0</v>
      </c>
      <c r="I23" s="507">
        <f>SUMIFS(Controle!$R:$R,Controle!$H:$H,produtos_escape2!$A23,Controle!$Z:$Z,"4")</f>
        <v>0</v>
      </c>
      <c r="J23" s="507">
        <f>SUMIFS(Controle!$R:$R,Controle!$H:$H,produtos_escape2!$A23,Controle!$Z:$Z,"5")</f>
        <v>0</v>
      </c>
      <c r="K23" s="507">
        <f>SUMIFS(Controle!$R:$R,Controle!$H:$H,produtos_escape2!$A23,Controle!$Z:$Z,"6")</f>
        <v>0</v>
      </c>
      <c r="L23" s="507">
        <f t="shared" si="1"/>
        <v>0</v>
      </c>
      <c r="M23" s="381" t="s">
        <v>4521</v>
      </c>
    </row>
    <row r="24" spans="1:13" s="84" customFormat="1" ht="14.25" customHeight="1" thickBot="1">
      <c r="A24" s="353">
        <v>353</v>
      </c>
      <c r="B24" s="194" t="s">
        <v>618</v>
      </c>
      <c r="C24" s="339">
        <f t="shared" si="0"/>
        <v>50000</v>
      </c>
      <c r="D24" s="976" t="s">
        <v>624</v>
      </c>
      <c r="E24" s="172" t="s">
        <v>1739</v>
      </c>
      <c r="F24" s="507">
        <f>SUMIFS(Controle!$R:$R,Controle!$H:$H,produtos_escape2!$A24,Controle!$Z:$Z,"1")</f>
        <v>0</v>
      </c>
      <c r="G24" s="507">
        <f>SUMIFS(Controle!$R:$R,Controle!$H:$H,produtos_escape2!$A24,Controle!$Z:$Z,"2")</f>
        <v>0</v>
      </c>
      <c r="H24" s="507">
        <f>SUMIFS(Controle!$R:$R,Controle!$H:$H,produtos_escape2!$A24,Controle!$Z:$Z,"3")</f>
        <v>0</v>
      </c>
      <c r="I24" s="507">
        <f>SUMIFS(Controle!$R:$R,Controle!$H:$H,produtos_escape2!$A24,Controle!$Z:$Z,"4")</f>
        <v>0</v>
      </c>
      <c r="J24" s="507">
        <f>SUMIFS(Controle!$R:$R,Controle!$H:$H,produtos_escape2!$A24,Controle!$Z:$Z,"5")</f>
        <v>0</v>
      </c>
      <c r="K24" s="507">
        <f>SUMIFS(Controle!$R:$R,Controle!$H:$H,produtos_escape2!$A24,Controle!$Z:$Z,"6")</f>
        <v>0</v>
      </c>
      <c r="L24" s="507">
        <f t="shared" si="1"/>
        <v>0</v>
      </c>
      <c r="M24" s="381" t="s">
        <v>4522</v>
      </c>
    </row>
    <row r="25" spans="1:13" s="84" customFormat="1" ht="14.25" customHeight="1" thickBot="1">
      <c r="A25" s="353">
        <v>357</v>
      </c>
      <c r="B25" s="194" t="s">
        <v>30</v>
      </c>
      <c r="C25" s="339">
        <f t="shared" si="0"/>
        <v>50000</v>
      </c>
      <c r="D25" s="976" t="s">
        <v>747</v>
      </c>
      <c r="E25" s="172" t="s">
        <v>1739</v>
      </c>
      <c r="F25" s="507">
        <f>SUMIFS(Controle!$R:$R,Controle!$H:$H,produtos_escape2!$A25,Controle!$Z:$Z,"1")</f>
        <v>0</v>
      </c>
      <c r="G25" s="507">
        <f>SUMIFS(Controle!$R:$R,Controle!$H:$H,produtos_escape2!$A25,Controle!$Z:$Z,"2")</f>
        <v>0</v>
      </c>
      <c r="H25" s="507">
        <f>SUMIFS(Controle!$R:$R,Controle!$H:$H,produtos_escape2!$A25,Controle!$Z:$Z,"3")</f>
        <v>0</v>
      </c>
      <c r="I25" s="507">
        <f>SUMIFS(Controle!$R:$R,Controle!$H:$H,produtos_escape2!$A25,Controle!$Z:$Z,"4")</f>
        <v>0</v>
      </c>
      <c r="J25" s="507">
        <f>SUMIFS(Controle!$R:$R,Controle!$H:$H,produtos_escape2!$A25,Controle!$Z:$Z,"5")</f>
        <v>0</v>
      </c>
      <c r="K25" s="507">
        <f>SUMIFS(Controle!$R:$R,Controle!$H:$H,produtos_escape2!$A25,Controle!$Z:$Z,"6")</f>
        <v>0</v>
      </c>
      <c r="L25" s="507">
        <f t="shared" si="1"/>
        <v>0</v>
      </c>
      <c r="M25" s="381" t="s">
        <v>4523</v>
      </c>
    </row>
    <row r="26" spans="1:13" s="84" customFormat="1" ht="14.25" customHeight="1" thickBot="1">
      <c r="A26" s="353">
        <v>395</v>
      </c>
      <c r="B26" s="194" t="s">
        <v>164</v>
      </c>
      <c r="C26" s="339">
        <f t="shared" si="0"/>
        <v>50000</v>
      </c>
      <c r="D26" s="976" t="s">
        <v>837</v>
      </c>
      <c r="E26" s="172" t="s">
        <v>1739</v>
      </c>
      <c r="F26" s="507">
        <f>SUMIFS(Controle!$R:$R,Controle!$H:$H,produtos_escape2!$A26,Controle!$Z:$Z,"1")</f>
        <v>0</v>
      </c>
      <c r="G26" s="507">
        <f>SUMIFS(Controle!$R:$R,Controle!$H:$H,produtos_escape2!$A26,Controle!$Z:$Z,"2")</f>
        <v>0</v>
      </c>
      <c r="H26" s="507">
        <f>SUMIFS(Controle!$R:$R,Controle!$H:$H,produtos_escape2!$A26,Controle!$Z:$Z,"3")</f>
        <v>0</v>
      </c>
      <c r="I26" s="507">
        <f>SUMIFS(Controle!$R:$R,Controle!$H:$H,produtos_escape2!$A26,Controle!$Z:$Z,"4")</f>
        <v>0</v>
      </c>
      <c r="J26" s="507">
        <f>SUMIFS(Controle!$R:$R,Controle!$H:$H,produtos_escape2!$A26,Controle!$Z:$Z,"5")</f>
        <v>0</v>
      </c>
      <c r="K26" s="507">
        <f>SUMIFS(Controle!$R:$R,Controle!$H:$H,produtos_escape2!$A26,Controle!$Z:$Z,"6")</f>
        <v>0</v>
      </c>
      <c r="L26" s="507">
        <f t="shared" si="1"/>
        <v>0</v>
      </c>
      <c r="M26" s="381" t="s">
        <v>164</v>
      </c>
    </row>
    <row r="27" spans="1:13" s="84" customFormat="1" ht="14.25" customHeight="1" thickBot="1">
      <c r="A27" s="333">
        <v>444</v>
      </c>
      <c r="B27" s="338" t="s">
        <v>182</v>
      </c>
      <c r="C27" s="339">
        <f t="shared" si="0"/>
        <v>50000</v>
      </c>
      <c r="D27" s="976" t="s">
        <v>624</v>
      </c>
      <c r="E27" s="172" t="s">
        <v>1739</v>
      </c>
      <c r="F27" s="507">
        <f>SUMIFS(Controle!$R:$R,Controle!$H:$H,produtos_escape2!$A27,Controle!$Z:$Z,"1")</f>
        <v>0</v>
      </c>
      <c r="G27" s="507">
        <f>SUMIFS(Controle!$R:$R,Controle!$H:$H,produtos_escape2!$A27,Controle!$Z:$Z,"2")</f>
        <v>0</v>
      </c>
      <c r="H27" s="507">
        <f>SUMIFS(Controle!$R:$R,Controle!$H:$H,produtos_escape2!$A27,Controle!$Z:$Z,"3")</f>
        <v>0</v>
      </c>
      <c r="I27" s="507">
        <f>SUMIFS(Controle!$R:$R,Controle!$H:$H,produtos_escape2!$A27,Controle!$Z:$Z,"4")</f>
        <v>0</v>
      </c>
      <c r="J27" s="507">
        <f>SUMIFS(Controle!$R:$R,Controle!$H:$H,produtos_escape2!$A27,Controle!$Z:$Z,"5")</f>
        <v>0</v>
      </c>
      <c r="K27" s="507">
        <f>SUMIFS(Controle!$R:$R,Controle!$H:$H,produtos_escape2!$A27,Controle!$Z:$Z,"6")</f>
        <v>0</v>
      </c>
      <c r="L27" s="507">
        <f t="shared" si="1"/>
        <v>0</v>
      </c>
      <c r="M27" s="381" t="s">
        <v>4524</v>
      </c>
    </row>
    <row r="28" spans="1:13" s="84" customFormat="1" ht="14.25" customHeight="1" thickBot="1">
      <c r="A28" s="353">
        <v>516</v>
      </c>
      <c r="B28" s="194" t="s">
        <v>516</v>
      </c>
      <c r="C28" s="339">
        <f t="shared" si="0"/>
        <v>50000</v>
      </c>
      <c r="D28" s="976" t="s">
        <v>628</v>
      </c>
      <c r="E28" s="172" t="s">
        <v>1739</v>
      </c>
      <c r="F28" s="507">
        <f>SUMIFS(Controle!$R:$R,Controle!$H:$H,produtos_escape2!$A28,Controle!$Z:$Z,"1")</f>
        <v>0</v>
      </c>
      <c r="G28" s="507">
        <f>SUMIFS(Controle!$R:$R,Controle!$H:$H,produtos_escape2!$A28,Controle!$Z:$Z,"2")</f>
        <v>0</v>
      </c>
      <c r="H28" s="507">
        <f>SUMIFS(Controle!$R:$R,Controle!$H:$H,produtos_escape2!$A28,Controle!$Z:$Z,"3")</f>
        <v>0</v>
      </c>
      <c r="I28" s="507">
        <f>SUMIFS(Controle!$R:$R,Controle!$H:$H,produtos_escape2!$A28,Controle!$Z:$Z,"4")</f>
        <v>0</v>
      </c>
      <c r="J28" s="507">
        <f>SUMIFS(Controle!$R:$R,Controle!$H:$H,produtos_escape2!$A28,Controle!$Z:$Z,"5")</f>
        <v>0</v>
      </c>
      <c r="K28" s="507">
        <f>SUMIFS(Controle!$R:$R,Controle!$H:$H,produtos_escape2!$A28,Controle!$Z:$Z,"6")</f>
        <v>0</v>
      </c>
      <c r="L28" s="507">
        <f t="shared" si="1"/>
        <v>0</v>
      </c>
      <c r="M28" s="381" t="s">
        <v>4525</v>
      </c>
    </row>
    <row r="29" spans="1:13" s="84" customFormat="1" ht="14.25" customHeight="1" thickBot="1">
      <c r="A29" s="353">
        <v>533</v>
      </c>
      <c r="B29" s="194" t="s">
        <v>358</v>
      </c>
      <c r="C29" s="339">
        <f t="shared" si="0"/>
        <v>50000</v>
      </c>
      <c r="D29" s="976" t="s">
        <v>624</v>
      </c>
      <c r="E29" s="172" t="s">
        <v>1739</v>
      </c>
      <c r="F29" s="507">
        <f>SUMIFS(Controle!$R:$R,Controle!$H:$H,produtos_escape2!$A29,Controle!$Z:$Z,"1")</f>
        <v>0</v>
      </c>
      <c r="G29" s="507">
        <f>SUMIFS(Controle!$R:$R,Controle!$H:$H,produtos_escape2!$A29,Controle!$Z:$Z,"2")</f>
        <v>0</v>
      </c>
      <c r="H29" s="507">
        <f>SUMIFS(Controle!$R:$R,Controle!$H:$H,produtos_escape2!$A29,Controle!$Z:$Z,"3")</f>
        <v>0</v>
      </c>
      <c r="I29" s="507">
        <f>SUMIFS(Controle!$R:$R,Controle!$H:$H,produtos_escape2!$A29,Controle!$Z:$Z,"4")</f>
        <v>0</v>
      </c>
      <c r="J29" s="507">
        <f>SUMIFS(Controle!$R:$R,Controle!$H:$H,produtos_escape2!$A29,Controle!$Z:$Z,"5")</f>
        <v>0</v>
      </c>
      <c r="K29" s="507">
        <f>SUMIFS(Controle!$R:$R,Controle!$H:$H,produtos_escape2!$A29,Controle!$Z:$Z,"6")</f>
        <v>0</v>
      </c>
      <c r="L29" s="507">
        <f t="shared" si="1"/>
        <v>0</v>
      </c>
      <c r="M29" s="381" t="s">
        <v>4526</v>
      </c>
    </row>
    <row r="30" spans="1:13" s="84" customFormat="1" ht="14.25" customHeight="1" thickBot="1">
      <c r="A30" s="353">
        <v>534</v>
      </c>
      <c r="B30" s="194" t="s">
        <v>723</v>
      </c>
      <c r="C30" s="339">
        <f t="shared" si="0"/>
        <v>50000</v>
      </c>
      <c r="D30" s="976" t="s">
        <v>624</v>
      </c>
      <c r="E30" s="172" t="s">
        <v>1739</v>
      </c>
      <c r="F30" s="507">
        <f>SUMIFS(Controle!$R:$R,Controle!$H:$H,produtos_escape2!$A30,Controle!$Z:$Z,"1")</f>
        <v>0</v>
      </c>
      <c r="G30" s="507">
        <f>SUMIFS(Controle!$R:$R,Controle!$H:$H,produtos_escape2!$A30,Controle!$Z:$Z,"2")</f>
        <v>0</v>
      </c>
      <c r="H30" s="507">
        <f>SUMIFS(Controle!$R:$R,Controle!$H:$H,produtos_escape2!$A30,Controle!$Z:$Z,"3")</f>
        <v>0</v>
      </c>
      <c r="I30" s="507">
        <f>SUMIFS(Controle!$R:$R,Controle!$H:$H,produtos_escape2!$A30,Controle!$Z:$Z,"4")</f>
        <v>0</v>
      </c>
      <c r="J30" s="507">
        <f>SUMIFS(Controle!$R:$R,Controle!$H:$H,produtos_escape2!$A30,Controle!$Z:$Z,"5")</f>
        <v>0</v>
      </c>
      <c r="K30" s="507">
        <f>SUMIFS(Controle!$R:$R,Controle!$H:$H,produtos_escape2!$A30,Controle!$Z:$Z,"6")</f>
        <v>0</v>
      </c>
      <c r="L30" s="507">
        <f t="shared" si="1"/>
        <v>0</v>
      </c>
      <c r="M30" s="381" t="s">
        <v>4527</v>
      </c>
    </row>
    <row r="31" spans="1:13" s="84" customFormat="1" ht="14.25" customHeight="1" thickBot="1">
      <c r="A31" s="353">
        <v>544</v>
      </c>
      <c r="B31" s="194" t="s">
        <v>468</v>
      </c>
      <c r="C31" s="339">
        <f t="shared" si="0"/>
        <v>50000</v>
      </c>
      <c r="D31" s="976" t="s">
        <v>624</v>
      </c>
      <c r="E31" s="172" t="s">
        <v>1739</v>
      </c>
      <c r="F31" s="507">
        <f>SUMIFS(Controle!$R:$R,Controle!$H:$H,produtos_escape2!$A31,Controle!$Z:$Z,"1")</f>
        <v>0</v>
      </c>
      <c r="G31" s="507">
        <f>SUMIFS(Controle!$R:$R,Controle!$H:$H,produtos_escape2!$A31,Controle!$Z:$Z,"2")</f>
        <v>0</v>
      </c>
      <c r="H31" s="507">
        <f>SUMIFS(Controle!$R:$R,Controle!$H:$H,produtos_escape2!$A31,Controle!$Z:$Z,"3")</f>
        <v>0</v>
      </c>
      <c r="I31" s="507">
        <f>SUMIFS(Controle!$R:$R,Controle!$H:$H,produtos_escape2!$A31,Controle!$Z:$Z,"4")</f>
        <v>0</v>
      </c>
      <c r="J31" s="507">
        <f>SUMIFS(Controle!$R:$R,Controle!$H:$H,produtos_escape2!$A31,Controle!$Z:$Z,"5")</f>
        <v>0</v>
      </c>
      <c r="K31" s="507">
        <f>SUMIFS(Controle!$R:$R,Controle!$H:$H,produtos_escape2!$A31,Controle!$Z:$Z,"6")</f>
        <v>0</v>
      </c>
      <c r="L31" s="507">
        <f t="shared" si="1"/>
        <v>0</v>
      </c>
      <c r="M31" s="381" t="s">
        <v>4528</v>
      </c>
    </row>
    <row r="32" spans="1:13" s="84" customFormat="1" ht="14.25" customHeight="1" thickBot="1">
      <c r="A32" s="353">
        <v>548</v>
      </c>
      <c r="B32" s="194" t="s">
        <v>205</v>
      </c>
      <c r="C32" s="339">
        <f t="shared" si="0"/>
        <v>50000</v>
      </c>
      <c r="D32" s="976" t="s">
        <v>548</v>
      </c>
      <c r="E32" s="172" t="s">
        <v>1739</v>
      </c>
      <c r="F32" s="507">
        <f>SUMIFS(Controle!$R:$R,Controle!$H:$H,produtos_escape2!$A32,Controle!$Z:$Z,"1")</f>
        <v>0</v>
      </c>
      <c r="G32" s="507">
        <f>SUMIFS(Controle!$R:$R,Controle!$H:$H,produtos_escape2!$A32,Controle!$Z:$Z,"2")</f>
        <v>0</v>
      </c>
      <c r="H32" s="507">
        <f>SUMIFS(Controle!$R:$R,Controle!$H:$H,produtos_escape2!$A32,Controle!$Z:$Z,"3")</f>
        <v>0</v>
      </c>
      <c r="I32" s="507">
        <f>SUMIFS(Controle!$R:$R,Controle!$H:$H,produtos_escape2!$A32,Controle!$Z:$Z,"4")</f>
        <v>0</v>
      </c>
      <c r="J32" s="507">
        <f>SUMIFS(Controle!$R:$R,Controle!$H:$H,produtos_escape2!$A32,Controle!$Z:$Z,"5")</f>
        <v>0</v>
      </c>
      <c r="K32" s="507">
        <f>SUMIFS(Controle!$R:$R,Controle!$H:$H,produtos_escape2!$A32,Controle!$Z:$Z,"6")</f>
        <v>0</v>
      </c>
      <c r="L32" s="507">
        <f t="shared" si="1"/>
        <v>0</v>
      </c>
      <c r="M32" s="381" t="s">
        <v>4529</v>
      </c>
    </row>
    <row r="33" spans="1:13" s="84" customFormat="1" ht="14.25" customHeight="1" thickBot="1">
      <c r="A33" s="353">
        <v>562</v>
      </c>
      <c r="B33" s="194" t="s">
        <v>444</v>
      </c>
      <c r="C33" s="339">
        <f t="shared" si="0"/>
        <v>43774</v>
      </c>
      <c r="D33" s="976" t="s">
        <v>548</v>
      </c>
      <c r="E33" s="172" t="s">
        <v>1739</v>
      </c>
      <c r="F33" s="507">
        <f>SUMIFS(Controle!$R:$R,Controle!$H:$H,produtos_escape2!$A33,Controle!$Z:$Z,"1")</f>
        <v>0</v>
      </c>
      <c r="G33" s="507">
        <f>SUMIFS(Controle!$R:$R,Controle!$H:$H,produtos_escape2!$A33,Controle!$Z:$Z,"2")</f>
        <v>786</v>
      </c>
      <c r="H33" s="507">
        <f>SUMIFS(Controle!$R:$R,Controle!$H:$H,produtos_escape2!$A33,Controle!$Z:$Z,"3")</f>
        <v>2740</v>
      </c>
      <c r="I33" s="507">
        <f>SUMIFS(Controle!$R:$R,Controle!$H:$H,produtos_escape2!$A33,Controle!$Z:$Z,"4")</f>
        <v>0</v>
      </c>
      <c r="J33" s="507">
        <f>SUMIFS(Controle!$R:$R,Controle!$H:$H,produtos_escape2!$A33,Controle!$Z:$Z,"5")</f>
        <v>0</v>
      </c>
      <c r="K33" s="507">
        <f>SUMIFS(Controle!$R:$R,Controle!$H:$H,produtos_escape2!$A33,Controle!$Z:$Z,"6")</f>
        <v>2700</v>
      </c>
      <c r="L33" s="507">
        <f t="shared" si="1"/>
        <v>6226</v>
      </c>
      <c r="M33" s="381" t="s">
        <v>4530</v>
      </c>
    </row>
    <row r="34" spans="1:13" s="84" customFormat="1" ht="14.25" customHeight="1" thickBot="1">
      <c r="A34" s="353">
        <v>568</v>
      </c>
      <c r="B34" s="194" t="s">
        <v>1671</v>
      </c>
      <c r="C34" s="339">
        <f t="shared" si="0"/>
        <v>49307</v>
      </c>
      <c r="D34" s="976" t="s">
        <v>624</v>
      </c>
      <c r="E34" s="172" t="s">
        <v>1739</v>
      </c>
      <c r="F34" s="507">
        <f>SUMIFS(Controle!$R:$R,Controle!$H:$H,produtos_escape2!$A34,Controle!$Z:$Z,"1")</f>
        <v>0</v>
      </c>
      <c r="G34" s="507">
        <f>SUMIFS(Controle!$R:$R,Controle!$H:$H,produtos_escape2!$A34,Controle!$Z:$Z,"2")</f>
        <v>693</v>
      </c>
      <c r="H34" s="507">
        <f>SUMIFS(Controle!$R:$R,Controle!$H:$H,produtos_escape2!$A34,Controle!$Z:$Z,"3")</f>
        <v>0</v>
      </c>
      <c r="I34" s="507">
        <f>SUMIFS(Controle!$R:$R,Controle!$H:$H,produtos_escape2!$A34,Controle!$Z:$Z,"4")</f>
        <v>0</v>
      </c>
      <c r="J34" s="507">
        <f>SUMIFS(Controle!$R:$R,Controle!$H:$H,produtos_escape2!$A34,Controle!$Z:$Z,"5")</f>
        <v>0</v>
      </c>
      <c r="K34" s="507">
        <f>SUMIFS(Controle!$R:$R,Controle!$H:$H,produtos_escape2!$A34,Controle!$Z:$Z,"6")</f>
        <v>0</v>
      </c>
      <c r="L34" s="507">
        <f t="shared" si="1"/>
        <v>693</v>
      </c>
      <c r="M34" s="381" t="s">
        <v>4531</v>
      </c>
    </row>
    <row r="35" spans="1:13" s="84" customFormat="1" ht="14.25" customHeight="1" thickBot="1">
      <c r="A35" s="333">
        <v>572</v>
      </c>
      <c r="B35" s="338" t="s">
        <v>521</v>
      </c>
      <c r="C35" s="339">
        <f t="shared" si="0"/>
        <v>50000</v>
      </c>
      <c r="D35" s="976" t="s">
        <v>624</v>
      </c>
      <c r="E35" s="172" t="s">
        <v>1739</v>
      </c>
      <c r="F35" s="507">
        <f>SUMIFS(Controle!$R:$R,Controle!$H:$H,produtos_escape2!$A35,Controle!$Z:$Z,"1")</f>
        <v>0</v>
      </c>
      <c r="G35" s="507">
        <f>SUMIFS(Controle!$R:$R,Controle!$H:$H,produtos_escape2!$A35,Controle!$Z:$Z,"2")</f>
        <v>0</v>
      </c>
      <c r="H35" s="507">
        <f>SUMIFS(Controle!$R:$R,Controle!$H:$H,produtos_escape2!$A35,Controle!$Z:$Z,"3")</f>
        <v>0</v>
      </c>
      <c r="I35" s="507">
        <f>SUMIFS(Controle!$R:$R,Controle!$H:$H,produtos_escape2!$A35,Controle!$Z:$Z,"4")</f>
        <v>0</v>
      </c>
      <c r="J35" s="507">
        <f>SUMIFS(Controle!$R:$R,Controle!$H:$H,produtos_escape2!$A35,Controle!$Z:$Z,"5")</f>
        <v>0</v>
      </c>
      <c r="K35" s="507">
        <f>SUMIFS(Controle!$R:$R,Controle!$H:$H,produtos_escape2!$A35,Controle!$Z:$Z,"6")</f>
        <v>0</v>
      </c>
      <c r="L35" s="507">
        <f t="shared" si="1"/>
        <v>0</v>
      </c>
      <c r="M35" s="381" t="s">
        <v>4532</v>
      </c>
    </row>
    <row r="36" spans="1:13" s="84" customFormat="1" ht="14.25" customHeight="1" thickBot="1">
      <c r="A36" s="353">
        <v>588</v>
      </c>
      <c r="B36" s="194" t="s">
        <v>1672</v>
      </c>
      <c r="C36" s="339">
        <f t="shared" si="0"/>
        <v>48515</v>
      </c>
      <c r="D36" s="976" t="s">
        <v>624</v>
      </c>
      <c r="E36" s="172" t="s">
        <v>1739</v>
      </c>
      <c r="F36" s="507">
        <f>SUMIFS(Controle!$R:$R,Controle!$H:$H,produtos_escape2!$A36,Controle!$Z:$Z,"1")</f>
        <v>0</v>
      </c>
      <c r="G36" s="507">
        <f>SUMIFS(Controle!$R:$R,Controle!$H:$H,produtos_escape2!$A36,Controle!$Z:$Z,"2")</f>
        <v>0</v>
      </c>
      <c r="H36" s="507">
        <f>SUMIFS(Controle!$R:$R,Controle!$H:$H,produtos_escape2!$A36,Controle!$Z:$Z,"3")</f>
        <v>1485</v>
      </c>
      <c r="I36" s="507">
        <f>SUMIFS(Controle!$R:$R,Controle!$H:$H,produtos_escape2!$A36,Controle!$Z:$Z,"4")</f>
        <v>0</v>
      </c>
      <c r="J36" s="507">
        <f>SUMIFS(Controle!$R:$R,Controle!$H:$H,produtos_escape2!$A36,Controle!$Z:$Z,"5")</f>
        <v>0</v>
      </c>
      <c r="K36" s="507">
        <f>SUMIFS(Controle!$R:$R,Controle!$H:$H,produtos_escape2!$A36,Controle!$Z:$Z,"6")</f>
        <v>0</v>
      </c>
      <c r="L36" s="507">
        <f t="shared" si="1"/>
        <v>1485</v>
      </c>
      <c r="M36" s="381" t="s">
        <v>4533</v>
      </c>
    </row>
    <row r="37" spans="1:13" s="84" customFormat="1" ht="14.25" customHeight="1" thickBot="1">
      <c r="A37" s="353">
        <v>589</v>
      </c>
      <c r="B37" s="194" t="s">
        <v>1673</v>
      </c>
      <c r="C37" s="339">
        <f t="shared" si="0"/>
        <v>49100</v>
      </c>
      <c r="D37" s="976" t="s">
        <v>624</v>
      </c>
      <c r="E37" s="172" t="s">
        <v>1739</v>
      </c>
      <c r="F37" s="507">
        <f>SUMIFS(Controle!$R:$R,Controle!$H:$H,produtos_escape2!$A37,Controle!$Z:$Z,"1")</f>
        <v>0</v>
      </c>
      <c r="G37" s="507">
        <f>SUMIFS(Controle!$R:$R,Controle!$H:$H,produtos_escape2!$A37,Controle!$Z:$Z,"2")</f>
        <v>0</v>
      </c>
      <c r="H37" s="507">
        <f>SUMIFS(Controle!$R:$R,Controle!$H:$H,produtos_escape2!$A37,Controle!$Z:$Z,"3")</f>
        <v>0</v>
      </c>
      <c r="I37" s="507">
        <f>SUMIFS(Controle!$R:$R,Controle!$H:$H,produtos_escape2!$A37,Controle!$Z:$Z,"4")</f>
        <v>900</v>
      </c>
      <c r="J37" s="507">
        <f>SUMIFS(Controle!$R:$R,Controle!$H:$H,produtos_escape2!$A37,Controle!$Z:$Z,"5")</f>
        <v>0</v>
      </c>
      <c r="K37" s="507">
        <f>SUMIFS(Controle!$R:$R,Controle!$H:$H,produtos_escape2!$A37,Controle!$Z:$Z,"6")</f>
        <v>0</v>
      </c>
      <c r="L37" s="507">
        <f t="shared" si="1"/>
        <v>900</v>
      </c>
      <c r="M37" s="381" t="s">
        <v>4534</v>
      </c>
    </row>
    <row r="38" spans="1:13" s="84" customFormat="1" ht="14.25" customHeight="1" thickBot="1">
      <c r="A38" s="353">
        <v>590</v>
      </c>
      <c r="B38" s="194" t="s">
        <v>5844</v>
      </c>
      <c r="C38" s="339">
        <f t="shared" si="0"/>
        <v>50000</v>
      </c>
      <c r="D38" s="976" t="s">
        <v>624</v>
      </c>
      <c r="E38" s="172" t="s">
        <v>7207</v>
      </c>
      <c r="F38" s="507">
        <f>SUMIFS(Controle!$R:$R,Controle!$H:$H,produtos_escape2!$A38,Controle!$Z:$Z,"1")</f>
        <v>0</v>
      </c>
      <c r="G38" s="507">
        <f>SUMIFS(Controle!$R:$R,Controle!$H:$H,produtos_escape2!$A38,Controle!$Z:$Z,"2")</f>
        <v>0</v>
      </c>
      <c r="H38" s="507">
        <f>SUMIFS(Controle!$R:$R,Controle!$H:$H,produtos_escape2!$A38,Controle!$Z:$Z,"3")</f>
        <v>0</v>
      </c>
      <c r="I38" s="507">
        <f>SUMIFS(Controle!$R:$R,Controle!$H:$H,produtos_escape2!$A38,Controle!$Z:$Z,"4")</f>
        <v>0</v>
      </c>
      <c r="J38" s="507">
        <f>SUMIFS(Controle!$R:$R,Controle!$H:$H,produtos_escape2!$A38,Controle!$Z:$Z,"5")</f>
        <v>0</v>
      </c>
      <c r="K38" s="507">
        <f>SUMIFS(Controle!$R:$R,Controle!$H:$H,produtos_escape2!$A38,Controle!$Z:$Z,"6")</f>
        <v>0</v>
      </c>
      <c r="L38" s="507">
        <f t="shared" si="1"/>
        <v>0</v>
      </c>
      <c r="M38" s="381" t="s">
        <v>5843</v>
      </c>
    </row>
    <row r="39" spans="1:13" s="84" customFormat="1" ht="14.25" customHeight="1" thickBot="1">
      <c r="A39" s="353">
        <v>591</v>
      </c>
      <c r="B39" s="194" t="s">
        <v>5845</v>
      </c>
      <c r="C39" s="339">
        <f t="shared" si="0"/>
        <v>50000</v>
      </c>
      <c r="D39" s="976" t="s">
        <v>624</v>
      </c>
      <c r="E39" s="172" t="s">
        <v>7207</v>
      </c>
      <c r="F39" s="507">
        <f>SUMIFS(Controle!$R:$R,Controle!$H:$H,produtos_escape2!$A39,Controle!$Z:$Z,"1")</f>
        <v>0</v>
      </c>
      <c r="G39" s="507">
        <f>SUMIFS(Controle!$R:$R,Controle!$H:$H,produtos_escape2!$A39,Controle!$Z:$Z,"2")</f>
        <v>0</v>
      </c>
      <c r="H39" s="507">
        <f>SUMIFS(Controle!$R:$R,Controle!$H:$H,produtos_escape2!$A39,Controle!$Z:$Z,"3")</f>
        <v>0</v>
      </c>
      <c r="I39" s="507">
        <f>SUMIFS(Controle!$R:$R,Controle!$H:$H,produtos_escape2!$A39,Controle!$Z:$Z,"4")</f>
        <v>0</v>
      </c>
      <c r="J39" s="507">
        <f>SUMIFS(Controle!$R:$R,Controle!$H:$H,produtos_escape2!$A39,Controle!$Z:$Z,"5")</f>
        <v>0</v>
      </c>
      <c r="K39" s="507">
        <f>SUMIFS(Controle!$R:$R,Controle!$H:$H,produtos_escape2!$A39,Controle!$Z:$Z,"6")</f>
        <v>0</v>
      </c>
      <c r="L39" s="507">
        <f t="shared" si="1"/>
        <v>0</v>
      </c>
      <c r="M39" s="381" t="s">
        <v>5843</v>
      </c>
    </row>
    <row r="40" spans="1:13" s="84" customFormat="1" ht="14.25" customHeight="1" thickBot="1">
      <c r="A40" s="353">
        <v>612</v>
      </c>
      <c r="B40" s="194" t="s">
        <v>1268</v>
      </c>
      <c r="C40" s="339">
        <f t="shared" si="0"/>
        <v>50000</v>
      </c>
      <c r="D40" s="976" t="s">
        <v>725</v>
      </c>
      <c r="E40" s="172" t="s">
        <v>1739</v>
      </c>
      <c r="F40" s="507">
        <f>SUMIFS(Controle!$R:$R,Controle!$H:$H,produtos_escape2!$A40,Controle!$Z:$Z,"1")</f>
        <v>0</v>
      </c>
      <c r="G40" s="507">
        <f>SUMIFS(Controle!$R:$R,Controle!$H:$H,produtos_escape2!$A40,Controle!$Z:$Z,"2")</f>
        <v>0</v>
      </c>
      <c r="H40" s="507">
        <f>SUMIFS(Controle!$R:$R,Controle!$H:$H,produtos_escape2!$A40,Controle!$Z:$Z,"3")</f>
        <v>0</v>
      </c>
      <c r="I40" s="507">
        <f>SUMIFS(Controle!$R:$R,Controle!$H:$H,produtos_escape2!$A40,Controle!$Z:$Z,"4")</f>
        <v>0</v>
      </c>
      <c r="J40" s="507">
        <f>SUMIFS(Controle!$R:$R,Controle!$H:$H,produtos_escape2!$A40,Controle!$Z:$Z,"5")</f>
        <v>0</v>
      </c>
      <c r="K40" s="507">
        <f>SUMIFS(Controle!$R:$R,Controle!$H:$H,produtos_escape2!$A40,Controle!$Z:$Z,"6")</f>
        <v>0</v>
      </c>
      <c r="L40" s="507">
        <f t="shared" si="1"/>
        <v>0</v>
      </c>
      <c r="M40" s="381" t="s">
        <v>1268</v>
      </c>
    </row>
    <row r="41" spans="1:13" s="84" customFormat="1" ht="14.25" customHeight="1" thickBot="1">
      <c r="A41" s="353">
        <v>619</v>
      </c>
      <c r="B41" s="194" t="s">
        <v>7709</v>
      </c>
      <c r="C41" s="339">
        <f t="shared" si="0"/>
        <v>38924.6</v>
      </c>
      <c r="D41" s="976" t="s">
        <v>624</v>
      </c>
      <c r="E41" s="172" t="s">
        <v>1739</v>
      </c>
      <c r="F41" s="507">
        <f>SUMIFS(Controle!$R:$R,Controle!$H:$H,produtos_escape2!$A41,Controle!$Z:$Z,"1")</f>
        <v>0</v>
      </c>
      <c r="G41" s="507">
        <f>SUMIFS(Controle!$R:$R,Controle!$H:$H,produtos_escape2!$A41,Controle!$Z:$Z,"2")</f>
        <v>0</v>
      </c>
      <c r="H41" s="507">
        <f>SUMIFS(Controle!$R:$R,Controle!$H:$H,produtos_escape2!$A41,Controle!$Z:$Z,"3")</f>
        <v>11075.4</v>
      </c>
      <c r="I41" s="507">
        <f>SUMIFS(Controle!$R:$R,Controle!$H:$H,produtos_escape2!$A41,Controle!$Z:$Z,"4")</f>
        <v>0</v>
      </c>
      <c r="J41" s="507">
        <f>SUMIFS(Controle!$R:$R,Controle!$H:$H,produtos_escape2!$A41,Controle!$Z:$Z,"5")</f>
        <v>0</v>
      </c>
      <c r="K41" s="507">
        <f>SUMIFS(Controle!$R:$R,Controle!$H:$H,produtos_escape2!$A41,Controle!$Z:$Z,"6")</f>
        <v>0</v>
      </c>
      <c r="L41" s="507">
        <f t="shared" si="1"/>
        <v>11075.4</v>
      </c>
      <c r="M41" s="381" t="s">
        <v>4535</v>
      </c>
    </row>
    <row r="42" spans="1:13" s="84" customFormat="1" ht="14.25" customHeight="1" thickBot="1">
      <c r="A42" s="353">
        <v>654</v>
      </c>
      <c r="B42" s="194" t="s">
        <v>1440</v>
      </c>
      <c r="C42" s="339">
        <f t="shared" si="0"/>
        <v>50000</v>
      </c>
      <c r="D42" s="976" t="s">
        <v>624</v>
      </c>
      <c r="E42" s="172" t="s">
        <v>1739</v>
      </c>
      <c r="F42" s="507">
        <f>SUMIFS(Controle!$R:$R,Controle!$H:$H,produtos_escape2!$A42,Controle!$Z:$Z,"1")</f>
        <v>0</v>
      </c>
      <c r="G42" s="507">
        <f>SUMIFS(Controle!$R:$R,Controle!$H:$H,produtos_escape2!$A42,Controle!$Z:$Z,"2")</f>
        <v>0</v>
      </c>
      <c r="H42" s="507">
        <f>SUMIFS(Controle!$R:$R,Controle!$H:$H,produtos_escape2!$A42,Controle!$Z:$Z,"3")</f>
        <v>0</v>
      </c>
      <c r="I42" s="507">
        <f>SUMIFS(Controle!$R:$R,Controle!$H:$H,produtos_escape2!$A42,Controle!$Z:$Z,"4")</f>
        <v>0</v>
      </c>
      <c r="J42" s="507">
        <f>SUMIFS(Controle!$R:$R,Controle!$H:$H,produtos_escape2!$A42,Controle!$Z:$Z,"5")</f>
        <v>0</v>
      </c>
      <c r="K42" s="507">
        <f>SUMIFS(Controle!$R:$R,Controle!$H:$H,produtos_escape2!$A42,Controle!$Z:$Z,"6")</f>
        <v>0</v>
      </c>
      <c r="L42" s="507">
        <f t="shared" si="1"/>
        <v>0</v>
      </c>
      <c r="M42" s="381" t="s">
        <v>1440</v>
      </c>
    </row>
    <row r="43" spans="1:13" s="84" customFormat="1" ht="14.25" customHeight="1" thickBot="1">
      <c r="A43" s="333">
        <v>676</v>
      </c>
      <c r="B43" s="194" t="s">
        <v>289</v>
      </c>
      <c r="C43" s="339">
        <f t="shared" si="0"/>
        <v>50000</v>
      </c>
      <c r="D43" s="976" t="s">
        <v>624</v>
      </c>
      <c r="E43" s="172" t="s">
        <v>1739</v>
      </c>
      <c r="F43" s="507">
        <f>SUMIFS(Controle!$R:$R,Controle!$H:$H,produtos_escape2!$A43,Controle!$Z:$Z,"1")</f>
        <v>0</v>
      </c>
      <c r="G43" s="507">
        <f>SUMIFS(Controle!$R:$R,Controle!$H:$H,produtos_escape2!$A43,Controle!$Z:$Z,"2")</f>
        <v>0</v>
      </c>
      <c r="H43" s="507">
        <f>SUMIFS(Controle!$R:$R,Controle!$H:$H,produtos_escape2!$A43,Controle!$Z:$Z,"3")</f>
        <v>0</v>
      </c>
      <c r="I43" s="507">
        <f>SUMIFS(Controle!$R:$R,Controle!$H:$H,produtos_escape2!$A43,Controle!$Z:$Z,"4")</f>
        <v>0</v>
      </c>
      <c r="J43" s="507">
        <f>SUMIFS(Controle!$R:$R,Controle!$H:$H,produtos_escape2!$A43,Controle!$Z:$Z,"5")</f>
        <v>0</v>
      </c>
      <c r="K43" s="507">
        <f>SUMIFS(Controle!$R:$R,Controle!$H:$H,produtos_escape2!$A43,Controle!$Z:$Z,"6")</f>
        <v>0</v>
      </c>
      <c r="L43" s="507">
        <f t="shared" si="1"/>
        <v>0</v>
      </c>
      <c r="M43" s="381" t="s">
        <v>4536</v>
      </c>
    </row>
    <row r="44" spans="1:13" s="84" customFormat="1" ht="14.25" customHeight="1" thickBot="1">
      <c r="A44" s="353">
        <v>694</v>
      </c>
      <c r="B44" s="194" t="s">
        <v>724</v>
      </c>
      <c r="C44" s="339">
        <f t="shared" si="0"/>
        <v>50000</v>
      </c>
      <c r="D44" s="976" t="s">
        <v>725</v>
      </c>
      <c r="E44" s="172" t="s">
        <v>1739</v>
      </c>
      <c r="F44" s="507">
        <f>SUMIFS(Controle!$R:$R,Controle!$H:$H,produtos_escape2!$A44,Controle!$Z:$Z,"1")</f>
        <v>0</v>
      </c>
      <c r="G44" s="507">
        <f>SUMIFS(Controle!$R:$R,Controle!$H:$H,produtos_escape2!$A44,Controle!$Z:$Z,"2")</f>
        <v>0</v>
      </c>
      <c r="H44" s="507">
        <f>SUMIFS(Controle!$R:$R,Controle!$H:$H,produtos_escape2!$A44,Controle!$Z:$Z,"3")</f>
        <v>0</v>
      </c>
      <c r="I44" s="507">
        <f>SUMIFS(Controle!$R:$R,Controle!$H:$H,produtos_escape2!$A44,Controle!$Z:$Z,"4")</f>
        <v>0</v>
      </c>
      <c r="J44" s="507">
        <f>SUMIFS(Controle!$R:$R,Controle!$H:$H,produtos_escape2!$A44,Controle!$Z:$Z,"5")</f>
        <v>0</v>
      </c>
      <c r="K44" s="507">
        <f>SUMIFS(Controle!$R:$R,Controle!$H:$H,produtos_escape2!$A44,Controle!$Z:$Z,"6")</f>
        <v>0</v>
      </c>
      <c r="L44" s="507">
        <f t="shared" si="1"/>
        <v>0</v>
      </c>
      <c r="M44" s="381" t="s">
        <v>4537</v>
      </c>
    </row>
    <row r="45" spans="1:13" s="84" customFormat="1" ht="14.25" customHeight="1" thickBot="1">
      <c r="A45" s="353">
        <v>695</v>
      </c>
      <c r="B45" s="338" t="s">
        <v>726</v>
      </c>
      <c r="C45" s="339">
        <f t="shared" si="0"/>
        <v>50000</v>
      </c>
      <c r="D45" s="976" t="s">
        <v>725</v>
      </c>
      <c r="E45" s="172" t="s">
        <v>1739</v>
      </c>
      <c r="F45" s="507">
        <f>SUMIFS(Controle!$R:$R,Controle!$H:$H,produtos_escape2!$A45,Controle!$Z:$Z,"1")</f>
        <v>0</v>
      </c>
      <c r="G45" s="507">
        <f>SUMIFS(Controle!$R:$R,Controle!$H:$H,produtos_escape2!$A45,Controle!$Z:$Z,"2")</f>
        <v>0</v>
      </c>
      <c r="H45" s="507">
        <f>SUMIFS(Controle!$R:$R,Controle!$H:$H,produtos_escape2!$A45,Controle!$Z:$Z,"3")</f>
        <v>0</v>
      </c>
      <c r="I45" s="507">
        <f>SUMIFS(Controle!$R:$R,Controle!$H:$H,produtos_escape2!$A45,Controle!$Z:$Z,"4")</f>
        <v>0</v>
      </c>
      <c r="J45" s="507">
        <f>SUMIFS(Controle!$R:$R,Controle!$H:$H,produtos_escape2!$A45,Controle!$Z:$Z,"5")</f>
        <v>0</v>
      </c>
      <c r="K45" s="507">
        <f>SUMIFS(Controle!$R:$R,Controle!$H:$H,produtos_escape2!$A45,Controle!$Z:$Z,"6")</f>
        <v>0</v>
      </c>
      <c r="L45" s="507">
        <f t="shared" si="1"/>
        <v>0</v>
      </c>
      <c r="M45" s="381" t="s">
        <v>4538</v>
      </c>
    </row>
    <row r="46" spans="1:13" s="84" customFormat="1" ht="14.25" customHeight="1" thickBot="1">
      <c r="A46" s="353">
        <v>802</v>
      </c>
      <c r="B46" s="194" t="s">
        <v>984</v>
      </c>
      <c r="C46" s="339">
        <f t="shared" si="0"/>
        <v>50000</v>
      </c>
      <c r="D46" s="975" t="s">
        <v>848</v>
      </c>
      <c r="E46" s="172" t="s">
        <v>1739</v>
      </c>
      <c r="F46" s="507">
        <f>SUMIFS(Controle!$R:$R,Controle!$H:$H,produtos_escape2!$A46,Controle!$Z:$Z,"1")</f>
        <v>0</v>
      </c>
      <c r="G46" s="507">
        <f>SUMIFS(Controle!$R:$R,Controle!$H:$H,produtos_escape2!$A46,Controle!$Z:$Z,"2")</f>
        <v>0</v>
      </c>
      <c r="H46" s="507">
        <f>SUMIFS(Controle!$R:$R,Controle!$H:$H,produtos_escape2!$A46,Controle!$Z:$Z,"3")</f>
        <v>0</v>
      </c>
      <c r="I46" s="507">
        <f>SUMIFS(Controle!$R:$R,Controle!$H:$H,produtos_escape2!$A46,Controle!$Z:$Z,"4")</f>
        <v>0</v>
      </c>
      <c r="J46" s="507">
        <f>SUMIFS(Controle!$R:$R,Controle!$H:$H,produtos_escape2!$A46,Controle!$Z:$Z,"5")</f>
        <v>0</v>
      </c>
      <c r="K46" s="507">
        <f>SUMIFS(Controle!$R:$R,Controle!$H:$H,produtos_escape2!$A46,Controle!$Z:$Z,"6")</f>
        <v>0</v>
      </c>
      <c r="L46" s="507">
        <f t="shared" si="1"/>
        <v>0</v>
      </c>
      <c r="M46" s="381" t="s">
        <v>4539</v>
      </c>
    </row>
    <row r="47" spans="1:13" s="84" customFormat="1" ht="14.25" customHeight="1" thickBot="1">
      <c r="A47" s="353">
        <v>805</v>
      </c>
      <c r="B47" s="194" t="s">
        <v>7167</v>
      </c>
      <c r="C47" s="339">
        <f t="shared" si="0"/>
        <v>50000</v>
      </c>
      <c r="D47" s="976" t="s">
        <v>819</v>
      </c>
      <c r="E47" s="172" t="s">
        <v>3608</v>
      </c>
      <c r="F47" s="507">
        <f>SUMIFS(Controle!$R:$R,Controle!$H:$H,produtos_escape2!$A47,Controle!$Z:$Z,"1")</f>
        <v>0</v>
      </c>
      <c r="G47" s="507">
        <f>SUMIFS(Controle!$R:$R,Controle!$H:$H,produtos_escape2!$A47,Controle!$Z:$Z,"2")</f>
        <v>0</v>
      </c>
      <c r="H47" s="507">
        <f>SUMIFS(Controle!$R:$R,Controle!$H:$H,produtos_escape2!$A47,Controle!$Z:$Z,"3")</f>
        <v>0</v>
      </c>
      <c r="I47" s="507">
        <f>SUMIFS(Controle!$R:$R,Controle!$H:$H,produtos_escape2!$A47,Controle!$Z:$Z,"4")</f>
        <v>0</v>
      </c>
      <c r="J47" s="507">
        <f>SUMIFS(Controle!$R:$R,Controle!$H:$H,produtos_escape2!$A47,Controle!$Z:$Z,"5")</f>
        <v>0</v>
      </c>
      <c r="K47" s="507">
        <f>SUMIFS(Controle!$R:$R,Controle!$H:$H,produtos_escape2!$A47,Controle!$Z:$Z,"6")</f>
        <v>0</v>
      </c>
      <c r="L47" s="507">
        <f t="shared" si="1"/>
        <v>0</v>
      </c>
      <c r="M47" s="381" t="s">
        <v>7168</v>
      </c>
    </row>
    <row r="48" spans="1:13" s="84" customFormat="1" ht="14.25" customHeight="1" thickBot="1">
      <c r="A48" s="353">
        <v>808</v>
      </c>
      <c r="B48" s="194" t="s">
        <v>617</v>
      </c>
      <c r="C48" s="339">
        <f t="shared" si="0"/>
        <v>50000</v>
      </c>
      <c r="D48" s="976" t="s">
        <v>848</v>
      </c>
      <c r="E48" s="172" t="s">
        <v>1739</v>
      </c>
      <c r="F48" s="507">
        <f>SUMIFS(Controle!$R:$R,Controle!$H:$H,produtos_escape2!$A48,Controle!$Z:$Z,"1")</f>
        <v>0</v>
      </c>
      <c r="G48" s="507">
        <f>SUMIFS(Controle!$R:$R,Controle!$H:$H,produtos_escape2!$A48,Controle!$Z:$Z,"2")</f>
        <v>0</v>
      </c>
      <c r="H48" s="507">
        <f>SUMIFS(Controle!$R:$R,Controle!$H:$H,produtos_escape2!$A48,Controle!$Z:$Z,"3")</f>
        <v>0</v>
      </c>
      <c r="I48" s="507">
        <f>SUMIFS(Controle!$R:$R,Controle!$H:$H,produtos_escape2!$A48,Controle!$Z:$Z,"4")</f>
        <v>0</v>
      </c>
      <c r="J48" s="507">
        <f>SUMIFS(Controle!$R:$R,Controle!$H:$H,produtos_escape2!$A48,Controle!$Z:$Z,"5")</f>
        <v>0</v>
      </c>
      <c r="K48" s="507">
        <f>SUMIFS(Controle!$R:$R,Controle!$H:$H,produtos_escape2!$A48,Controle!$Z:$Z,"6")</f>
        <v>0</v>
      </c>
      <c r="L48" s="507">
        <f t="shared" si="1"/>
        <v>0</v>
      </c>
      <c r="M48" s="381" t="s">
        <v>4517</v>
      </c>
    </row>
    <row r="49" spans="1:13" s="84" customFormat="1" ht="14.25" customHeight="1" thickBot="1">
      <c r="A49" s="353">
        <v>812</v>
      </c>
      <c r="B49" s="194" t="s">
        <v>727</v>
      </c>
      <c r="C49" s="339">
        <f t="shared" si="0"/>
        <v>50000</v>
      </c>
      <c r="D49" s="976" t="s">
        <v>624</v>
      </c>
      <c r="E49" s="172" t="s">
        <v>1739</v>
      </c>
      <c r="F49" s="507">
        <f>SUMIFS(Controle!$R:$R,Controle!$H:$H,produtos_escape2!$A49,Controle!$Z:$Z,"1")</f>
        <v>0</v>
      </c>
      <c r="G49" s="507">
        <f>SUMIFS(Controle!$R:$R,Controle!$H:$H,produtos_escape2!$A49,Controle!$Z:$Z,"2")</f>
        <v>0</v>
      </c>
      <c r="H49" s="507">
        <f>SUMIFS(Controle!$R:$R,Controle!$H:$H,produtos_escape2!$A49,Controle!$Z:$Z,"3")</f>
        <v>0</v>
      </c>
      <c r="I49" s="507">
        <f>SUMIFS(Controle!$R:$R,Controle!$H:$H,produtos_escape2!$A49,Controle!$Z:$Z,"4")</f>
        <v>0</v>
      </c>
      <c r="J49" s="507">
        <f>SUMIFS(Controle!$R:$R,Controle!$H:$H,produtos_escape2!$A49,Controle!$Z:$Z,"5")</f>
        <v>0</v>
      </c>
      <c r="K49" s="507">
        <f>SUMIFS(Controle!$R:$R,Controle!$H:$H,produtos_escape2!$A49,Controle!$Z:$Z,"6")</f>
        <v>0</v>
      </c>
      <c r="L49" s="507">
        <f t="shared" si="1"/>
        <v>0</v>
      </c>
      <c r="M49" s="381" t="s">
        <v>4540</v>
      </c>
    </row>
    <row r="50" spans="1:13" s="84" customFormat="1" ht="14.25" customHeight="1" thickBot="1">
      <c r="A50" s="353">
        <v>814</v>
      </c>
      <c r="B50" s="194" t="s">
        <v>381</v>
      </c>
      <c r="C50" s="339">
        <f t="shared" si="0"/>
        <v>50000</v>
      </c>
      <c r="D50" s="976" t="s">
        <v>624</v>
      </c>
      <c r="E50" s="172" t="s">
        <v>1739</v>
      </c>
      <c r="F50" s="507">
        <f>SUMIFS(Controle!$R:$R,Controle!$H:$H,produtos_escape2!$A50,Controle!$Z:$Z,"1")</f>
        <v>0</v>
      </c>
      <c r="G50" s="507">
        <f>SUMIFS(Controle!$R:$R,Controle!$H:$H,produtos_escape2!$A50,Controle!$Z:$Z,"2")</f>
        <v>0</v>
      </c>
      <c r="H50" s="507">
        <f>SUMIFS(Controle!$R:$R,Controle!$H:$H,produtos_escape2!$A50,Controle!$Z:$Z,"3")</f>
        <v>0</v>
      </c>
      <c r="I50" s="507">
        <f>SUMIFS(Controle!$R:$R,Controle!$H:$H,produtos_escape2!$A50,Controle!$Z:$Z,"4")</f>
        <v>0</v>
      </c>
      <c r="J50" s="507">
        <f>SUMIFS(Controle!$R:$R,Controle!$H:$H,produtos_escape2!$A50,Controle!$Z:$Z,"5")</f>
        <v>0</v>
      </c>
      <c r="K50" s="507">
        <f>SUMIFS(Controle!$R:$R,Controle!$H:$H,produtos_escape2!$A50,Controle!$Z:$Z,"6")</f>
        <v>0</v>
      </c>
      <c r="L50" s="507">
        <f t="shared" si="1"/>
        <v>0</v>
      </c>
      <c r="M50" s="381" t="s">
        <v>4540</v>
      </c>
    </row>
    <row r="51" spans="1:13" s="84" customFormat="1" ht="14.25" customHeight="1" thickBot="1">
      <c r="A51" s="353">
        <v>852</v>
      </c>
      <c r="B51" s="194" t="s">
        <v>1034</v>
      </c>
      <c r="C51" s="339">
        <f t="shared" si="0"/>
        <v>50000</v>
      </c>
      <c r="D51" s="976" t="s">
        <v>624</v>
      </c>
      <c r="E51" s="172" t="s">
        <v>1739</v>
      </c>
      <c r="F51" s="507">
        <f>SUMIFS(Controle!$R:$R,Controle!$H:$H,produtos_escape2!$A51,Controle!$Z:$Z,"1")</f>
        <v>0</v>
      </c>
      <c r="G51" s="507">
        <f>SUMIFS(Controle!$R:$R,Controle!$H:$H,produtos_escape2!$A51,Controle!$Z:$Z,"2")</f>
        <v>0</v>
      </c>
      <c r="H51" s="507">
        <f>SUMIFS(Controle!$R:$R,Controle!$H:$H,produtos_escape2!$A51,Controle!$Z:$Z,"3")</f>
        <v>0</v>
      </c>
      <c r="I51" s="507">
        <f>SUMIFS(Controle!$R:$R,Controle!$H:$H,produtos_escape2!$A51,Controle!$Z:$Z,"4")</f>
        <v>0</v>
      </c>
      <c r="J51" s="507">
        <f>SUMIFS(Controle!$R:$R,Controle!$H:$H,produtos_escape2!$A51,Controle!$Z:$Z,"5")</f>
        <v>0</v>
      </c>
      <c r="K51" s="507">
        <f>SUMIFS(Controle!$R:$R,Controle!$H:$H,produtos_escape2!$A51,Controle!$Z:$Z,"6")</f>
        <v>0</v>
      </c>
      <c r="L51" s="507">
        <f t="shared" si="1"/>
        <v>0</v>
      </c>
      <c r="M51" s="381" t="s">
        <v>4541</v>
      </c>
    </row>
    <row r="52" spans="1:13" s="84" customFormat="1" ht="14.25" customHeight="1" thickBot="1">
      <c r="A52" s="333">
        <v>866</v>
      </c>
      <c r="B52" s="194" t="s">
        <v>1045</v>
      </c>
      <c r="C52" s="339">
        <f t="shared" si="0"/>
        <v>50000</v>
      </c>
      <c r="D52" s="976" t="s">
        <v>624</v>
      </c>
      <c r="E52" s="172" t="s">
        <v>1739</v>
      </c>
      <c r="F52" s="507">
        <f>SUMIFS(Controle!$R:$R,Controle!$H:$H,produtos_escape2!$A52,Controle!$Z:$Z,"1")</f>
        <v>0</v>
      </c>
      <c r="G52" s="507">
        <f>SUMIFS(Controle!$R:$R,Controle!$H:$H,produtos_escape2!$A52,Controle!$Z:$Z,"2")</f>
        <v>0</v>
      </c>
      <c r="H52" s="507">
        <f>SUMIFS(Controle!$R:$R,Controle!$H:$H,produtos_escape2!$A52,Controle!$Z:$Z,"3")</f>
        <v>0</v>
      </c>
      <c r="I52" s="507">
        <f>SUMIFS(Controle!$R:$R,Controle!$H:$H,produtos_escape2!$A52,Controle!$Z:$Z,"4")</f>
        <v>0</v>
      </c>
      <c r="J52" s="507">
        <f>SUMIFS(Controle!$R:$R,Controle!$H:$H,produtos_escape2!$A52,Controle!$Z:$Z,"5")</f>
        <v>0</v>
      </c>
      <c r="K52" s="507">
        <f>SUMIFS(Controle!$R:$R,Controle!$H:$H,produtos_escape2!$A52,Controle!$Z:$Z,"6")</f>
        <v>0</v>
      </c>
      <c r="L52" s="507">
        <f t="shared" si="1"/>
        <v>0</v>
      </c>
      <c r="M52" s="381" t="s">
        <v>4542</v>
      </c>
    </row>
    <row r="53" spans="1:13" s="84" customFormat="1" ht="14.25" customHeight="1" thickBot="1">
      <c r="A53" s="353">
        <v>958</v>
      </c>
      <c r="B53" s="194" t="s">
        <v>541</v>
      </c>
      <c r="C53" s="339">
        <f t="shared" si="0"/>
        <v>50000</v>
      </c>
      <c r="D53" s="976" t="s">
        <v>1382</v>
      </c>
      <c r="E53" s="172" t="s">
        <v>1739</v>
      </c>
      <c r="F53" s="507">
        <f>SUMIFS(Controle!$R:$R,Controle!$H:$H,produtos_escape2!$A53,Controle!$Z:$Z,"1")</f>
        <v>0</v>
      </c>
      <c r="G53" s="507">
        <f>SUMIFS(Controle!$R:$R,Controle!$H:$H,produtos_escape2!$A53,Controle!$Z:$Z,"2")</f>
        <v>0</v>
      </c>
      <c r="H53" s="507">
        <f>SUMIFS(Controle!$R:$R,Controle!$H:$H,produtos_escape2!$A53,Controle!$Z:$Z,"3")</f>
        <v>0</v>
      </c>
      <c r="I53" s="507">
        <f>SUMIFS(Controle!$R:$R,Controle!$H:$H,produtos_escape2!$A53,Controle!$Z:$Z,"4")</f>
        <v>0</v>
      </c>
      <c r="J53" s="507">
        <f>SUMIFS(Controle!$R:$R,Controle!$H:$H,produtos_escape2!$A53,Controle!$Z:$Z,"5")</f>
        <v>0</v>
      </c>
      <c r="K53" s="507">
        <f>SUMIFS(Controle!$R:$R,Controle!$H:$H,produtos_escape2!$A53,Controle!$Z:$Z,"6")</f>
        <v>0</v>
      </c>
      <c r="L53" s="507">
        <f t="shared" si="1"/>
        <v>0</v>
      </c>
      <c r="M53" s="381" t="s">
        <v>4543</v>
      </c>
    </row>
    <row r="54" spans="1:13" s="84" customFormat="1" ht="14.25" customHeight="1" thickBot="1">
      <c r="A54" s="353">
        <v>985</v>
      </c>
      <c r="B54" s="338" t="s">
        <v>623</v>
      </c>
      <c r="C54" s="339">
        <f t="shared" si="0"/>
        <v>50000</v>
      </c>
      <c r="D54" s="976" t="s">
        <v>1383</v>
      </c>
      <c r="E54" s="172" t="s">
        <v>1739</v>
      </c>
      <c r="F54" s="507">
        <f>SUMIFS(Controle!$R:$R,Controle!$H:$H,produtos_escape2!$A54,Controle!$Z:$Z,"1")</f>
        <v>0</v>
      </c>
      <c r="G54" s="507">
        <f>SUMIFS(Controle!$R:$R,Controle!$H:$H,produtos_escape2!$A54,Controle!$Z:$Z,"2")</f>
        <v>0</v>
      </c>
      <c r="H54" s="507">
        <f>SUMIFS(Controle!$R:$R,Controle!$H:$H,produtos_escape2!$A54,Controle!$Z:$Z,"3")</f>
        <v>0</v>
      </c>
      <c r="I54" s="507">
        <f>SUMIFS(Controle!$R:$R,Controle!$H:$H,produtos_escape2!$A54,Controle!$Z:$Z,"4")</f>
        <v>0</v>
      </c>
      <c r="J54" s="507">
        <f>SUMIFS(Controle!$R:$R,Controle!$H:$H,produtos_escape2!$A54,Controle!$Z:$Z,"5")</f>
        <v>0</v>
      </c>
      <c r="K54" s="507">
        <f>SUMIFS(Controle!$R:$R,Controle!$H:$H,produtos_escape2!$A54,Controle!$Z:$Z,"6")</f>
        <v>0</v>
      </c>
      <c r="L54" s="507">
        <f t="shared" si="1"/>
        <v>0</v>
      </c>
      <c r="M54" s="381" t="s">
        <v>4544</v>
      </c>
    </row>
    <row r="55" spans="1:13" s="84" customFormat="1" ht="14.25" customHeight="1" thickBot="1">
      <c r="A55" s="353">
        <v>1131</v>
      </c>
      <c r="B55" s="194" t="s">
        <v>5836</v>
      </c>
      <c r="C55" s="339">
        <f t="shared" si="0"/>
        <v>50000</v>
      </c>
      <c r="D55" s="976" t="s">
        <v>833</v>
      </c>
      <c r="E55" s="172" t="s">
        <v>7207</v>
      </c>
      <c r="F55" s="507">
        <f>SUMIFS(Controle!$R:$R,Controle!$H:$H,produtos_escape2!$A55,Controle!$Z:$Z,"1")</f>
        <v>0</v>
      </c>
      <c r="G55" s="507">
        <f>SUMIFS(Controle!$R:$R,Controle!$H:$H,produtos_escape2!$A55,Controle!$Z:$Z,"2")</f>
        <v>0</v>
      </c>
      <c r="H55" s="507">
        <f>SUMIFS(Controle!$R:$R,Controle!$H:$H,produtos_escape2!$A55,Controle!$Z:$Z,"3")</f>
        <v>0</v>
      </c>
      <c r="I55" s="507">
        <f>SUMIFS(Controle!$R:$R,Controle!$H:$H,produtos_escape2!$A55,Controle!$Z:$Z,"4")</f>
        <v>0</v>
      </c>
      <c r="J55" s="507">
        <f>SUMIFS(Controle!$R:$R,Controle!$H:$H,produtos_escape2!$A55,Controle!$Z:$Z,"5")</f>
        <v>0</v>
      </c>
      <c r="K55" s="507">
        <f>SUMIFS(Controle!$R:$R,Controle!$H:$H,produtos_escape2!$A55,Controle!$Z:$Z,"6")</f>
        <v>0</v>
      </c>
      <c r="L55" s="507">
        <f t="shared" si="1"/>
        <v>0</v>
      </c>
      <c r="M55" s="381" t="s">
        <v>4550</v>
      </c>
    </row>
    <row r="56" spans="1:13" s="84" customFormat="1" ht="14.25" customHeight="1" thickBot="1">
      <c r="A56" s="353">
        <v>1148</v>
      </c>
      <c r="B56" s="194" t="s">
        <v>1646</v>
      </c>
      <c r="C56" s="339">
        <f t="shared" si="0"/>
        <v>50000</v>
      </c>
      <c r="D56" s="976" t="s">
        <v>725</v>
      </c>
      <c r="E56" s="172" t="s">
        <v>1739</v>
      </c>
      <c r="F56" s="507">
        <f>SUMIFS(Controle!$R:$R,Controle!$H:$H,produtos_escape2!$A56,Controle!$Z:$Z,"1")</f>
        <v>0</v>
      </c>
      <c r="G56" s="507">
        <f>SUMIFS(Controle!$R:$R,Controle!$H:$H,produtos_escape2!$A56,Controle!$Z:$Z,"2")</f>
        <v>0</v>
      </c>
      <c r="H56" s="507">
        <f>SUMIFS(Controle!$R:$R,Controle!$H:$H,produtos_escape2!$A56,Controle!$Z:$Z,"3")</f>
        <v>0</v>
      </c>
      <c r="I56" s="507">
        <f>SUMIFS(Controle!$R:$R,Controle!$H:$H,produtos_escape2!$A56,Controle!$Z:$Z,"4")</f>
        <v>0</v>
      </c>
      <c r="J56" s="507">
        <f>SUMIFS(Controle!$R:$R,Controle!$H:$H,produtos_escape2!$A56,Controle!$Z:$Z,"5")</f>
        <v>0</v>
      </c>
      <c r="K56" s="507">
        <f>SUMIFS(Controle!$R:$R,Controle!$H:$H,produtos_escape2!$A56,Controle!$Z:$Z,"6")</f>
        <v>0</v>
      </c>
      <c r="L56" s="507">
        <f t="shared" si="1"/>
        <v>0</v>
      </c>
      <c r="M56" s="381" t="s">
        <v>4545</v>
      </c>
    </row>
    <row r="57" spans="1:13" s="84" customFormat="1" ht="14.25" customHeight="1" thickBot="1">
      <c r="A57" s="353">
        <v>1180</v>
      </c>
      <c r="B57" s="194" t="s">
        <v>1037</v>
      </c>
      <c r="C57" s="339">
        <f t="shared" si="0"/>
        <v>50000</v>
      </c>
      <c r="D57" s="976" t="s">
        <v>624</v>
      </c>
      <c r="E57" s="172" t="s">
        <v>1739</v>
      </c>
      <c r="F57" s="507">
        <f>SUMIFS(Controle!$R:$R,Controle!$H:$H,produtos_escape2!$A57,Controle!$Z:$Z,"1")</f>
        <v>0</v>
      </c>
      <c r="G57" s="507">
        <f>SUMIFS(Controle!$R:$R,Controle!$H:$H,produtos_escape2!$A57,Controle!$Z:$Z,"2")</f>
        <v>0</v>
      </c>
      <c r="H57" s="507">
        <f>SUMIFS(Controle!$R:$R,Controle!$H:$H,produtos_escape2!$A57,Controle!$Z:$Z,"3")</f>
        <v>0</v>
      </c>
      <c r="I57" s="507">
        <f>SUMIFS(Controle!$R:$R,Controle!$H:$H,produtos_escape2!$A57,Controle!$Z:$Z,"4")</f>
        <v>0</v>
      </c>
      <c r="J57" s="507">
        <f>SUMIFS(Controle!$R:$R,Controle!$H:$H,produtos_escape2!$A57,Controle!$Z:$Z,"5")</f>
        <v>0</v>
      </c>
      <c r="K57" s="507">
        <f>SUMIFS(Controle!$R:$R,Controle!$H:$H,produtos_escape2!$A57,Controle!$Z:$Z,"6")</f>
        <v>0</v>
      </c>
      <c r="L57" s="507">
        <f t="shared" si="1"/>
        <v>0</v>
      </c>
      <c r="M57" s="381" t="s">
        <v>1037</v>
      </c>
    </row>
    <row r="58" spans="1:13" s="84" customFormat="1" ht="14.25" customHeight="1" thickBot="1">
      <c r="A58" s="353">
        <v>1205</v>
      </c>
      <c r="B58" s="194" t="s">
        <v>809</v>
      </c>
      <c r="C58" s="339">
        <f t="shared" si="0"/>
        <v>50000</v>
      </c>
      <c r="D58" s="976" t="s">
        <v>624</v>
      </c>
      <c r="E58" s="172" t="s">
        <v>1739</v>
      </c>
      <c r="F58" s="507">
        <f>SUMIFS(Controle!$R:$R,Controle!$H:$H,produtos_escape2!$A58,Controle!$Z:$Z,"1")</f>
        <v>0</v>
      </c>
      <c r="G58" s="507">
        <f>SUMIFS(Controle!$R:$R,Controle!$H:$H,produtos_escape2!$A58,Controle!$Z:$Z,"2")</f>
        <v>0</v>
      </c>
      <c r="H58" s="507">
        <f>SUMIFS(Controle!$R:$R,Controle!$H:$H,produtos_escape2!$A58,Controle!$Z:$Z,"3")</f>
        <v>0</v>
      </c>
      <c r="I58" s="507">
        <f>SUMIFS(Controle!$R:$R,Controle!$H:$H,produtos_escape2!$A58,Controle!$Z:$Z,"4")</f>
        <v>0</v>
      </c>
      <c r="J58" s="507">
        <f>SUMIFS(Controle!$R:$R,Controle!$H:$H,produtos_escape2!$A58,Controle!$Z:$Z,"5")</f>
        <v>0</v>
      </c>
      <c r="K58" s="507">
        <f>SUMIFS(Controle!$R:$R,Controle!$H:$H,produtos_escape2!$A58,Controle!$Z:$Z,"6")</f>
        <v>0</v>
      </c>
      <c r="L58" s="507">
        <f t="shared" si="1"/>
        <v>0</v>
      </c>
      <c r="M58" s="381" t="s">
        <v>4546</v>
      </c>
    </row>
    <row r="59" spans="1:13" s="84" customFormat="1" ht="14.25" customHeight="1" thickBot="1">
      <c r="A59" s="353">
        <v>1222</v>
      </c>
      <c r="B59" s="194" t="s">
        <v>31</v>
      </c>
      <c r="C59" s="339">
        <f t="shared" si="0"/>
        <v>50000</v>
      </c>
      <c r="D59" s="976" t="s">
        <v>624</v>
      </c>
      <c r="E59" s="172" t="s">
        <v>1739</v>
      </c>
      <c r="F59" s="507">
        <f>SUMIFS(Controle!$R:$R,Controle!$H:$H,produtos_escape2!$A59,Controle!$Z:$Z,"1")</f>
        <v>0</v>
      </c>
      <c r="G59" s="507">
        <f>SUMIFS(Controle!$R:$R,Controle!$H:$H,produtos_escape2!$A59,Controle!$Z:$Z,"2")</f>
        <v>0</v>
      </c>
      <c r="H59" s="507">
        <f>SUMIFS(Controle!$R:$R,Controle!$H:$H,produtos_escape2!$A59,Controle!$Z:$Z,"3")</f>
        <v>0</v>
      </c>
      <c r="I59" s="507">
        <f>SUMIFS(Controle!$R:$R,Controle!$H:$H,produtos_escape2!$A59,Controle!$Z:$Z,"4")</f>
        <v>0</v>
      </c>
      <c r="J59" s="507">
        <f>SUMIFS(Controle!$R:$R,Controle!$H:$H,produtos_escape2!$A59,Controle!$Z:$Z,"5")</f>
        <v>0</v>
      </c>
      <c r="K59" s="507">
        <f>SUMIFS(Controle!$R:$R,Controle!$H:$H,produtos_escape2!$A59,Controle!$Z:$Z,"6")</f>
        <v>0</v>
      </c>
      <c r="L59" s="507">
        <f t="shared" si="1"/>
        <v>0</v>
      </c>
      <c r="M59" s="381" t="s">
        <v>4547</v>
      </c>
    </row>
    <row r="60" spans="1:13" s="84" customFormat="1" ht="14.25" customHeight="1" thickBot="1">
      <c r="A60" s="333">
        <v>1231</v>
      </c>
      <c r="B60" s="194" t="s">
        <v>616</v>
      </c>
      <c r="C60" s="339">
        <f t="shared" si="0"/>
        <v>50000</v>
      </c>
      <c r="D60" s="976" t="s">
        <v>624</v>
      </c>
      <c r="E60" s="172" t="s">
        <v>1739</v>
      </c>
      <c r="F60" s="507">
        <f>SUMIFS(Controle!$R:$R,Controle!$H:$H,produtos_escape2!$A60,Controle!$Z:$Z,"1")</f>
        <v>0</v>
      </c>
      <c r="G60" s="507">
        <f>SUMIFS(Controle!$R:$R,Controle!$H:$H,produtos_escape2!$A60,Controle!$Z:$Z,"2")</f>
        <v>0</v>
      </c>
      <c r="H60" s="507">
        <f>SUMIFS(Controle!$R:$R,Controle!$H:$H,produtos_escape2!$A60,Controle!$Z:$Z,"3")</f>
        <v>0</v>
      </c>
      <c r="I60" s="507">
        <f>SUMIFS(Controle!$R:$R,Controle!$H:$H,produtos_escape2!$A60,Controle!$Z:$Z,"4")</f>
        <v>0</v>
      </c>
      <c r="J60" s="507">
        <f>SUMIFS(Controle!$R:$R,Controle!$H:$H,produtos_escape2!$A60,Controle!$Z:$Z,"5")</f>
        <v>0</v>
      </c>
      <c r="K60" s="507">
        <f>SUMIFS(Controle!$R:$R,Controle!$H:$H,produtos_escape2!$A60,Controle!$Z:$Z,"6")</f>
        <v>0</v>
      </c>
      <c r="L60" s="507">
        <f t="shared" si="1"/>
        <v>0</v>
      </c>
      <c r="M60" s="381" t="s">
        <v>4511</v>
      </c>
    </row>
    <row r="61" spans="1:13" s="84" customFormat="1" ht="14.25" customHeight="1" thickBot="1">
      <c r="A61" s="353">
        <v>1289</v>
      </c>
      <c r="B61" s="194" t="s">
        <v>2562</v>
      </c>
      <c r="C61" s="339">
        <f t="shared" si="0"/>
        <v>50000</v>
      </c>
      <c r="D61" s="976" t="s">
        <v>2563</v>
      </c>
      <c r="E61" s="172" t="s">
        <v>1739</v>
      </c>
      <c r="F61" s="507">
        <f>SUMIFS(Controle!$R:$R,Controle!$H:$H,produtos_escape2!$A61,Controle!$Z:$Z,"1")</f>
        <v>0</v>
      </c>
      <c r="G61" s="507">
        <f>SUMIFS(Controle!$R:$R,Controle!$H:$H,produtos_escape2!$A61,Controle!$Z:$Z,"2")</f>
        <v>0</v>
      </c>
      <c r="H61" s="507">
        <f>SUMIFS(Controle!$R:$R,Controle!$H:$H,produtos_escape2!$A61,Controle!$Z:$Z,"3")</f>
        <v>0</v>
      </c>
      <c r="I61" s="507">
        <f>SUMIFS(Controle!$R:$R,Controle!$H:$H,produtos_escape2!$A61,Controle!$Z:$Z,"4")</f>
        <v>0</v>
      </c>
      <c r="J61" s="507">
        <f>SUMIFS(Controle!$R:$R,Controle!$H:$H,produtos_escape2!$A61,Controle!$Z:$Z,"5")</f>
        <v>0</v>
      </c>
      <c r="K61" s="507">
        <f>SUMIFS(Controle!$R:$R,Controle!$H:$H,produtos_escape2!$A61,Controle!$Z:$Z,"6")</f>
        <v>0</v>
      </c>
      <c r="L61" s="507">
        <f t="shared" si="1"/>
        <v>0</v>
      </c>
      <c r="M61" s="381" t="s">
        <v>4548</v>
      </c>
    </row>
    <row r="62" spans="1:13" s="84" customFormat="1" ht="14.25" customHeight="1" thickBot="1">
      <c r="A62" s="353">
        <v>1297</v>
      </c>
      <c r="B62" s="194" t="s">
        <v>324</v>
      </c>
      <c r="C62" s="339">
        <f t="shared" si="0"/>
        <v>50000</v>
      </c>
      <c r="D62" s="976" t="s">
        <v>624</v>
      </c>
      <c r="E62" s="172" t="s">
        <v>1739</v>
      </c>
      <c r="F62" s="507">
        <f>SUMIFS(Controle!$R:$R,Controle!$H:$H,produtos_escape2!$A62,Controle!$Z:$Z,"1")</f>
        <v>0</v>
      </c>
      <c r="G62" s="507">
        <f>SUMIFS(Controle!$R:$R,Controle!$H:$H,produtos_escape2!$A62,Controle!$Z:$Z,"2")</f>
        <v>0</v>
      </c>
      <c r="H62" s="507">
        <f>SUMIFS(Controle!$R:$R,Controle!$H:$H,produtos_escape2!$A62,Controle!$Z:$Z,"3")</f>
        <v>0</v>
      </c>
      <c r="I62" s="507">
        <f>SUMIFS(Controle!$R:$R,Controle!$H:$H,produtos_escape2!$A62,Controle!$Z:$Z,"4")</f>
        <v>0</v>
      </c>
      <c r="J62" s="507">
        <f>SUMIFS(Controle!$R:$R,Controle!$H:$H,produtos_escape2!$A62,Controle!$Z:$Z,"5")</f>
        <v>0</v>
      </c>
      <c r="K62" s="507">
        <f>SUMIFS(Controle!$R:$R,Controle!$H:$H,produtos_escape2!$A62,Controle!$Z:$Z,"6")</f>
        <v>0</v>
      </c>
      <c r="L62" s="507">
        <f t="shared" si="1"/>
        <v>0</v>
      </c>
      <c r="M62" s="381" t="s">
        <v>324</v>
      </c>
    </row>
    <row r="63" spans="1:13" s="84" customFormat="1" ht="14.25" customHeight="1" thickBot="1">
      <c r="A63" s="353">
        <v>1362</v>
      </c>
      <c r="B63" s="338" t="s">
        <v>11532</v>
      </c>
      <c r="C63" s="339">
        <f t="shared" si="0"/>
        <v>50000</v>
      </c>
      <c r="D63" s="976" t="s">
        <v>624</v>
      </c>
      <c r="E63" s="172" t="s">
        <v>1739</v>
      </c>
      <c r="F63" s="507">
        <f>SUMIFS(Controle!$R:$R,Controle!$H:$H,produtos_escape2!$A63,Controle!$Z:$Z,"1")</f>
        <v>0</v>
      </c>
      <c r="G63" s="507">
        <f>SUMIFS(Controle!$R:$R,Controle!$H:$H,produtos_escape2!$A63,Controle!$Z:$Z,"2")</f>
        <v>0</v>
      </c>
      <c r="H63" s="507">
        <f>SUMIFS(Controle!$R:$R,Controle!$H:$H,produtos_escape2!$A63,Controle!$Z:$Z,"3")</f>
        <v>0</v>
      </c>
      <c r="I63" s="507">
        <f>SUMIFS(Controle!$R:$R,Controle!$H:$H,produtos_escape2!$A63,Controle!$Z:$Z,"4")</f>
        <v>0</v>
      </c>
      <c r="J63" s="507">
        <f>SUMIFS(Controle!$R:$R,Controle!$H:$H,produtos_escape2!$A63,Controle!$Z:$Z,"5")</f>
        <v>0</v>
      </c>
      <c r="K63" s="507">
        <f>SUMIFS(Controle!$R:$R,Controle!$H:$H,produtos_escape2!$A63,Controle!$Z:$Z,"6")</f>
        <v>0</v>
      </c>
      <c r="L63" s="507">
        <f t="shared" si="1"/>
        <v>0</v>
      </c>
      <c r="M63" s="381" t="s">
        <v>4549</v>
      </c>
    </row>
    <row r="64" spans="1:13" s="84" customFormat="1" ht="14.25" customHeight="1" thickBot="1">
      <c r="A64" s="353">
        <v>1378</v>
      </c>
      <c r="B64" s="194" t="s">
        <v>857</v>
      </c>
      <c r="C64" s="339">
        <f t="shared" si="0"/>
        <v>50000</v>
      </c>
      <c r="D64" s="976" t="s">
        <v>624</v>
      </c>
      <c r="E64" s="172" t="s">
        <v>3608</v>
      </c>
      <c r="F64" s="507">
        <f>SUMIFS(Controle!$R:$R,Controle!$H:$H,produtos_escape2!$A64,Controle!$Z:$Z,"1")</f>
        <v>0</v>
      </c>
      <c r="G64" s="507">
        <f>SUMIFS(Controle!$R:$R,Controle!$H:$H,produtos_escape2!$A64,Controle!$Z:$Z,"2")</f>
        <v>0</v>
      </c>
      <c r="H64" s="507">
        <f>SUMIFS(Controle!$R:$R,Controle!$H:$H,produtos_escape2!$A64,Controle!$Z:$Z,"3")</f>
        <v>0</v>
      </c>
      <c r="I64" s="507">
        <f>SUMIFS(Controle!$R:$R,Controle!$H:$H,produtos_escape2!$A64,Controle!$Z:$Z,"4")</f>
        <v>0</v>
      </c>
      <c r="J64" s="507">
        <f>SUMIFS(Controle!$R:$R,Controle!$H:$H,produtos_escape2!$A64,Controle!$Z:$Z,"5")</f>
        <v>0</v>
      </c>
      <c r="K64" s="507">
        <f>SUMIFS(Controle!$R:$R,Controle!$H:$H,produtos_escape2!$A64,Controle!$Z:$Z,"6")</f>
        <v>0</v>
      </c>
      <c r="L64" s="507">
        <f t="shared" si="1"/>
        <v>0</v>
      </c>
      <c r="M64" s="381" t="s">
        <v>857</v>
      </c>
    </row>
    <row r="65" spans="1:13" s="84" customFormat="1" ht="14.25" customHeight="1" thickBot="1">
      <c r="A65" s="353">
        <v>1547</v>
      </c>
      <c r="B65" s="194" t="s">
        <v>8362</v>
      </c>
      <c r="C65" s="339">
        <f t="shared" si="0"/>
        <v>49775</v>
      </c>
      <c r="D65" s="976" t="s">
        <v>624</v>
      </c>
      <c r="E65" s="172" t="s">
        <v>7207</v>
      </c>
      <c r="F65" s="507">
        <f>SUMIFS(Controle!$R:$R,Controle!$H:$H,produtos_escape2!$A65,Controle!$Z:$Z,"1")</f>
        <v>0</v>
      </c>
      <c r="G65" s="507">
        <f>SUMIFS(Controle!$R:$R,Controle!$H:$H,produtos_escape2!$A65,Controle!$Z:$Z,"2")</f>
        <v>0</v>
      </c>
      <c r="H65" s="507">
        <f>SUMIFS(Controle!$R:$R,Controle!$H:$H,produtos_escape2!$A65,Controle!$Z:$Z,"3")</f>
        <v>225</v>
      </c>
      <c r="I65" s="507">
        <f>SUMIFS(Controle!$R:$R,Controle!$H:$H,produtos_escape2!$A65,Controle!$Z:$Z,"4")</f>
        <v>0</v>
      </c>
      <c r="J65" s="507">
        <f>SUMIFS(Controle!$R:$R,Controle!$H:$H,produtos_escape2!$A65,Controle!$Z:$Z,"5")</f>
        <v>0</v>
      </c>
      <c r="K65" s="507">
        <f>SUMIFS(Controle!$R:$R,Controle!$H:$H,produtos_escape2!$A65,Controle!$Z:$Z,"6")</f>
        <v>0</v>
      </c>
      <c r="L65" s="507">
        <f t="shared" si="1"/>
        <v>225</v>
      </c>
      <c r="M65" s="381" t="s">
        <v>8363</v>
      </c>
    </row>
    <row r="66" spans="1:13" s="84" customFormat="1" ht="14.25" customHeight="1" thickBot="1">
      <c r="A66" s="353">
        <v>1694</v>
      </c>
      <c r="B66" s="194" t="s">
        <v>1272</v>
      </c>
      <c r="C66" s="339">
        <f t="shared" ref="C66:C129" si="2">50000-SUM(F66:K66)</f>
        <v>50000</v>
      </c>
      <c r="D66" s="976" t="s">
        <v>624</v>
      </c>
      <c r="E66" s="172" t="s">
        <v>1739</v>
      </c>
      <c r="F66" s="507">
        <f>SUMIFS(Controle!$R:$R,Controle!$H:$H,produtos_escape2!$A66,Controle!$Z:$Z,"1")</f>
        <v>0</v>
      </c>
      <c r="G66" s="507">
        <f>SUMIFS(Controle!$R:$R,Controle!$H:$H,produtos_escape2!$A66,Controle!$Z:$Z,"2")</f>
        <v>0</v>
      </c>
      <c r="H66" s="507">
        <f>SUMIFS(Controle!$R:$R,Controle!$H:$H,produtos_escape2!$A66,Controle!$Z:$Z,"3")</f>
        <v>0</v>
      </c>
      <c r="I66" s="507">
        <f>SUMIFS(Controle!$R:$R,Controle!$H:$H,produtos_escape2!$A66,Controle!$Z:$Z,"4")</f>
        <v>0</v>
      </c>
      <c r="J66" s="507">
        <f>SUMIFS(Controle!$R:$R,Controle!$H:$H,produtos_escape2!$A66,Controle!$Z:$Z,"5")</f>
        <v>0</v>
      </c>
      <c r="K66" s="507">
        <f>SUMIFS(Controle!$R:$R,Controle!$H:$H,produtos_escape2!$A66,Controle!$Z:$Z,"6")</f>
        <v>0</v>
      </c>
      <c r="L66" s="507">
        <f t="shared" si="1"/>
        <v>0</v>
      </c>
      <c r="M66" s="381" t="s">
        <v>1272</v>
      </c>
    </row>
    <row r="67" spans="1:13" s="84" customFormat="1" ht="14.25" customHeight="1" thickBot="1">
      <c r="A67" s="353">
        <v>1826</v>
      </c>
      <c r="B67" s="194" t="s">
        <v>333</v>
      </c>
      <c r="C67" s="339">
        <f t="shared" si="2"/>
        <v>50000</v>
      </c>
      <c r="D67" s="976" t="s">
        <v>833</v>
      </c>
      <c r="E67" s="172" t="s">
        <v>1739</v>
      </c>
      <c r="F67" s="507">
        <f>SUMIFS(Controle!$R:$R,Controle!$H:$H,produtos_escape2!$A67,Controle!$Z:$Z,"1")</f>
        <v>0</v>
      </c>
      <c r="G67" s="507">
        <f>SUMIFS(Controle!$R:$R,Controle!$H:$H,produtos_escape2!$A67,Controle!$Z:$Z,"2")</f>
        <v>0</v>
      </c>
      <c r="H67" s="507">
        <f>SUMIFS(Controle!$R:$R,Controle!$H:$H,produtos_escape2!$A67,Controle!$Z:$Z,"3")</f>
        <v>0</v>
      </c>
      <c r="I67" s="507">
        <f>SUMIFS(Controle!$R:$R,Controle!$H:$H,produtos_escape2!$A67,Controle!$Z:$Z,"4")</f>
        <v>0</v>
      </c>
      <c r="J67" s="507">
        <f>SUMIFS(Controle!$R:$R,Controle!$H:$H,produtos_escape2!$A67,Controle!$Z:$Z,"5")</f>
        <v>0</v>
      </c>
      <c r="K67" s="507">
        <f>SUMIFS(Controle!$R:$R,Controle!$H:$H,produtos_escape2!$A67,Controle!$Z:$Z,"6")</f>
        <v>0</v>
      </c>
      <c r="L67" s="507">
        <f t="shared" ref="L67:L130" si="3">SUM(F67:K67)</f>
        <v>0</v>
      </c>
      <c r="M67" s="381" t="s">
        <v>4550</v>
      </c>
    </row>
    <row r="68" spans="1:13" s="84" customFormat="1" ht="14.25" customHeight="1" thickBot="1">
      <c r="A68" s="353">
        <v>1887</v>
      </c>
      <c r="B68" s="194" t="s">
        <v>326</v>
      </c>
      <c r="C68" s="339">
        <f t="shared" si="2"/>
        <v>50000</v>
      </c>
      <c r="D68" s="976" t="s">
        <v>624</v>
      </c>
      <c r="E68" s="172" t="s">
        <v>1739</v>
      </c>
      <c r="F68" s="507">
        <f>SUMIFS(Controle!$R:$R,Controle!$H:$H,produtos_escape2!$A68,Controle!$Z:$Z,"1")</f>
        <v>0</v>
      </c>
      <c r="G68" s="507">
        <f>SUMIFS(Controle!$R:$R,Controle!$H:$H,produtos_escape2!$A68,Controle!$Z:$Z,"2")</f>
        <v>0</v>
      </c>
      <c r="H68" s="507">
        <f>SUMIFS(Controle!$R:$R,Controle!$H:$H,produtos_escape2!$A68,Controle!$Z:$Z,"3")</f>
        <v>0</v>
      </c>
      <c r="I68" s="507">
        <f>SUMIFS(Controle!$R:$R,Controle!$H:$H,produtos_escape2!$A68,Controle!$Z:$Z,"4")</f>
        <v>0</v>
      </c>
      <c r="J68" s="507">
        <f>SUMIFS(Controle!$R:$R,Controle!$H:$H,produtos_escape2!$A68,Controle!$Z:$Z,"5")</f>
        <v>0</v>
      </c>
      <c r="K68" s="507">
        <f>SUMIFS(Controle!$R:$R,Controle!$H:$H,produtos_escape2!$A68,Controle!$Z:$Z,"6")</f>
        <v>0</v>
      </c>
      <c r="L68" s="507">
        <f t="shared" si="3"/>
        <v>0</v>
      </c>
      <c r="M68" s="381" t="s">
        <v>4551</v>
      </c>
    </row>
    <row r="69" spans="1:13" s="84" customFormat="1" ht="14.25" customHeight="1" thickBot="1">
      <c r="A69" s="333">
        <v>1961</v>
      </c>
      <c r="B69" s="194" t="s">
        <v>2564</v>
      </c>
      <c r="C69" s="339">
        <f t="shared" si="2"/>
        <v>50000</v>
      </c>
      <c r="D69" s="976" t="s">
        <v>624</v>
      </c>
      <c r="E69" s="172" t="s">
        <v>1739</v>
      </c>
      <c r="F69" s="507">
        <f>SUMIFS(Controle!$R:$R,Controle!$H:$H,produtos_escape2!$A69,Controle!$Z:$Z,"1")</f>
        <v>0</v>
      </c>
      <c r="G69" s="507">
        <f>SUMIFS(Controle!$R:$R,Controle!$H:$H,produtos_escape2!$A69,Controle!$Z:$Z,"2")</f>
        <v>0</v>
      </c>
      <c r="H69" s="507">
        <f>SUMIFS(Controle!$R:$R,Controle!$H:$H,produtos_escape2!$A69,Controle!$Z:$Z,"3")</f>
        <v>0</v>
      </c>
      <c r="I69" s="507">
        <f>SUMIFS(Controle!$R:$R,Controle!$H:$H,produtos_escape2!$A69,Controle!$Z:$Z,"4")</f>
        <v>0</v>
      </c>
      <c r="J69" s="507">
        <f>SUMIFS(Controle!$R:$R,Controle!$H:$H,produtos_escape2!$A69,Controle!$Z:$Z,"5")</f>
        <v>0</v>
      </c>
      <c r="K69" s="507">
        <f>SUMIFS(Controle!$R:$R,Controle!$H:$H,produtos_escape2!$A69,Controle!$Z:$Z,"6")</f>
        <v>0</v>
      </c>
      <c r="L69" s="507">
        <f t="shared" si="3"/>
        <v>0</v>
      </c>
      <c r="M69" s="381" t="s">
        <v>4552</v>
      </c>
    </row>
    <row r="70" spans="1:13" s="84" customFormat="1" ht="14.25" customHeight="1" thickBot="1">
      <c r="A70" s="353">
        <v>2006</v>
      </c>
      <c r="B70" s="194" t="s">
        <v>832</v>
      </c>
      <c r="C70" s="339">
        <f t="shared" si="2"/>
        <v>50000</v>
      </c>
      <c r="D70" s="976" t="s">
        <v>833</v>
      </c>
      <c r="E70" s="172" t="s">
        <v>1739</v>
      </c>
      <c r="F70" s="507">
        <f>SUMIFS(Controle!$R:$R,Controle!$H:$H,produtos_escape2!$A70,Controle!$Z:$Z,"1")</f>
        <v>0</v>
      </c>
      <c r="G70" s="507">
        <f>SUMIFS(Controle!$R:$R,Controle!$H:$H,produtos_escape2!$A70,Controle!$Z:$Z,"2")</f>
        <v>0</v>
      </c>
      <c r="H70" s="507">
        <f>SUMIFS(Controle!$R:$R,Controle!$H:$H,produtos_escape2!$A70,Controle!$Z:$Z,"3")</f>
        <v>0</v>
      </c>
      <c r="I70" s="507">
        <f>SUMIFS(Controle!$R:$R,Controle!$H:$H,produtos_escape2!$A70,Controle!$Z:$Z,"4")</f>
        <v>0</v>
      </c>
      <c r="J70" s="507">
        <f>SUMIFS(Controle!$R:$R,Controle!$H:$H,produtos_escape2!$A70,Controle!$Z:$Z,"5")</f>
        <v>0</v>
      </c>
      <c r="K70" s="507">
        <f>SUMIFS(Controle!$R:$R,Controle!$H:$H,produtos_escape2!$A70,Controle!$Z:$Z,"6")</f>
        <v>0</v>
      </c>
      <c r="L70" s="507">
        <f t="shared" si="3"/>
        <v>0</v>
      </c>
      <c r="M70" s="381" t="s">
        <v>4553</v>
      </c>
    </row>
    <row r="71" spans="1:13" s="84" customFormat="1" ht="14.25" customHeight="1" thickBot="1">
      <c r="A71" s="353">
        <v>2032</v>
      </c>
      <c r="B71" s="194" t="s">
        <v>627</v>
      </c>
      <c r="C71" s="339">
        <f t="shared" si="2"/>
        <v>50000</v>
      </c>
      <c r="D71" s="976" t="s">
        <v>628</v>
      </c>
      <c r="E71" s="172" t="s">
        <v>1739</v>
      </c>
      <c r="F71" s="507">
        <f>SUMIFS(Controle!$R:$R,Controle!$H:$H,produtos_escape2!$A71,Controle!$Z:$Z,"1")</f>
        <v>0</v>
      </c>
      <c r="G71" s="507">
        <f>SUMIFS(Controle!$R:$R,Controle!$H:$H,produtos_escape2!$A71,Controle!$Z:$Z,"2")</f>
        <v>0</v>
      </c>
      <c r="H71" s="507">
        <f>SUMIFS(Controle!$R:$R,Controle!$H:$H,produtos_escape2!$A71,Controle!$Z:$Z,"3")</f>
        <v>0</v>
      </c>
      <c r="I71" s="507">
        <f>SUMIFS(Controle!$R:$R,Controle!$H:$H,produtos_escape2!$A71,Controle!$Z:$Z,"4")</f>
        <v>0</v>
      </c>
      <c r="J71" s="507">
        <f>SUMIFS(Controle!$R:$R,Controle!$H:$H,produtos_escape2!$A71,Controle!$Z:$Z,"5")</f>
        <v>0</v>
      </c>
      <c r="K71" s="507">
        <f>SUMIFS(Controle!$R:$R,Controle!$H:$H,produtos_escape2!$A71,Controle!$Z:$Z,"6")</f>
        <v>0</v>
      </c>
      <c r="L71" s="507">
        <f t="shared" si="3"/>
        <v>0</v>
      </c>
      <c r="M71" s="381" t="s">
        <v>4554</v>
      </c>
    </row>
    <row r="72" spans="1:13" s="84" customFormat="1" ht="14.25" customHeight="1" thickBot="1">
      <c r="A72" s="353">
        <v>2127</v>
      </c>
      <c r="B72" s="338" t="s">
        <v>330</v>
      </c>
      <c r="C72" s="339">
        <f t="shared" si="2"/>
        <v>50000</v>
      </c>
      <c r="D72" s="976" t="s">
        <v>837</v>
      </c>
      <c r="E72" s="172" t="s">
        <v>1739</v>
      </c>
      <c r="F72" s="507">
        <f>SUMIFS(Controle!$R:$R,Controle!$H:$H,produtos_escape2!$A72,Controle!$Z:$Z,"1")</f>
        <v>0</v>
      </c>
      <c r="G72" s="507">
        <f>SUMIFS(Controle!$R:$R,Controle!$H:$H,produtos_escape2!$A72,Controle!$Z:$Z,"2")</f>
        <v>0</v>
      </c>
      <c r="H72" s="507">
        <f>SUMIFS(Controle!$R:$R,Controle!$H:$H,produtos_escape2!$A72,Controle!$Z:$Z,"3")</f>
        <v>0</v>
      </c>
      <c r="I72" s="507">
        <f>SUMIFS(Controle!$R:$R,Controle!$H:$H,produtos_escape2!$A72,Controle!$Z:$Z,"4")</f>
        <v>0</v>
      </c>
      <c r="J72" s="507">
        <f>SUMIFS(Controle!$R:$R,Controle!$H:$H,produtos_escape2!$A72,Controle!$Z:$Z,"5")</f>
        <v>0</v>
      </c>
      <c r="K72" s="507">
        <f>SUMIFS(Controle!$R:$R,Controle!$H:$H,produtos_escape2!$A72,Controle!$Z:$Z,"6")</f>
        <v>0</v>
      </c>
      <c r="L72" s="507">
        <f t="shared" si="3"/>
        <v>0</v>
      </c>
      <c r="M72" s="381" t="s">
        <v>4555</v>
      </c>
    </row>
    <row r="73" spans="1:13" s="84" customFormat="1" ht="14.25" customHeight="1" thickBot="1">
      <c r="A73" s="353">
        <v>2132</v>
      </c>
      <c r="B73" s="338" t="s">
        <v>8340</v>
      </c>
      <c r="C73" s="339">
        <f t="shared" si="2"/>
        <v>49895</v>
      </c>
      <c r="D73" s="976" t="s">
        <v>550</v>
      </c>
      <c r="E73" s="172" t="s">
        <v>7207</v>
      </c>
      <c r="F73" s="507">
        <f>SUMIFS(Controle!$R:$R,Controle!$H:$H,produtos_escape2!$A73,Controle!$Z:$Z,"1")</f>
        <v>0</v>
      </c>
      <c r="G73" s="507">
        <f>SUMIFS(Controle!$R:$R,Controle!$H:$H,produtos_escape2!$A73,Controle!$Z:$Z,"2")</f>
        <v>0</v>
      </c>
      <c r="H73" s="507">
        <f>SUMIFS(Controle!$R:$R,Controle!$H:$H,produtos_escape2!$A73,Controle!$Z:$Z,"3")</f>
        <v>70</v>
      </c>
      <c r="I73" s="507">
        <f>SUMIFS(Controle!$R:$R,Controle!$H:$H,produtos_escape2!$A73,Controle!$Z:$Z,"4")</f>
        <v>35</v>
      </c>
      <c r="J73" s="507">
        <f>SUMIFS(Controle!$R:$R,Controle!$H:$H,produtos_escape2!$A73,Controle!$Z:$Z,"5")</f>
        <v>0</v>
      </c>
      <c r="K73" s="507">
        <f>SUMIFS(Controle!$R:$R,Controle!$H:$H,produtos_escape2!$A73,Controle!$Z:$Z,"6")</f>
        <v>0</v>
      </c>
      <c r="L73" s="507">
        <f t="shared" si="3"/>
        <v>105</v>
      </c>
      <c r="M73" s="381" t="s">
        <v>8340</v>
      </c>
    </row>
    <row r="74" spans="1:13" s="84" customFormat="1" ht="14.25" customHeight="1" thickBot="1">
      <c r="A74" s="353">
        <v>2215</v>
      </c>
      <c r="B74" s="338" t="s">
        <v>7048</v>
      </c>
      <c r="C74" s="339">
        <f t="shared" si="2"/>
        <v>50000</v>
      </c>
      <c r="D74" s="976" t="s">
        <v>1157</v>
      </c>
      <c r="E74" s="172" t="s">
        <v>7207</v>
      </c>
      <c r="F74" s="507">
        <f>SUMIFS(Controle!$R:$R,Controle!$H:$H,produtos_escape2!$A74,Controle!$Z:$Z,"1")</f>
        <v>0</v>
      </c>
      <c r="G74" s="507">
        <f>SUMIFS(Controle!$R:$R,Controle!$H:$H,produtos_escape2!$A74,Controle!$Z:$Z,"2")</f>
        <v>0</v>
      </c>
      <c r="H74" s="507">
        <f>SUMIFS(Controle!$R:$R,Controle!$H:$H,produtos_escape2!$A74,Controle!$Z:$Z,"3")</f>
        <v>0</v>
      </c>
      <c r="I74" s="507">
        <f>SUMIFS(Controle!$R:$R,Controle!$H:$H,produtos_escape2!$A74,Controle!$Z:$Z,"4")</f>
        <v>0</v>
      </c>
      <c r="J74" s="507">
        <f>SUMIFS(Controle!$R:$R,Controle!$H:$H,produtos_escape2!$A74,Controle!$Z:$Z,"5")</f>
        <v>0</v>
      </c>
      <c r="K74" s="507">
        <f>SUMIFS(Controle!$R:$R,Controle!$H:$H,produtos_escape2!$A74,Controle!$Z:$Z,"6")</f>
        <v>0</v>
      </c>
      <c r="L74" s="507">
        <f t="shared" si="3"/>
        <v>0</v>
      </c>
      <c r="M74" s="381" t="s">
        <v>7048</v>
      </c>
    </row>
    <row r="75" spans="1:13" s="84" customFormat="1" ht="14.25" customHeight="1" thickBot="1">
      <c r="A75" s="353">
        <v>2219</v>
      </c>
      <c r="B75" s="338" t="s">
        <v>9141</v>
      </c>
      <c r="C75" s="339">
        <f t="shared" si="2"/>
        <v>49900.02</v>
      </c>
      <c r="D75" s="976" t="s">
        <v>1157</v>
      </c>
      <c r="E75" s="172" t="s">
        <v>7207</v>
      </c>
      <c r="F75" s="507">
        <f>SUMIFS(Controle!$R:$R,Controle!$H:$H,produtos_escape2!$A75,Controle!$Z:$Z,"1")</f>
        <v>0</v>
      </c>
      <c r="G75" s="507">
        <f>SUMIFS(Controle!$R:$R,Controle!$H:$H,produtos_escape2!$A75,Controle!$Z:$Z,"2")</f>
        <v>0</v>
      </c>
      <c r="H75" s="507">
        <f>SUMIFS(Controle!$R:$R,Controle!$H:$H,produtos_escape2!$A75,Controle!$Z:$Z,"3")</f>
        <v>0</v>
      </c>
      <c r="I75" s="507">
        <f>SUMIFS(Controle!$R:$R,Controle!$H:$H,produtos_escape2!$A75,Controle!$Z:$Z,"4")</f>
        <v>99.98</v>
      </c>
      <c r="J75" s="507">
        <f>SUMIFS(Controle!$R:$R,Controle!$H:$H,produtos_escape2!$A75,Controle!$Z:$Z,"5")</f>
        <v>0</v>
      </c>
      <c r="K75" s="507">
        <f>SUMIFS(Controle!$R:$R,Controle!$H:$H,produtos_escape2!$A75,Controle!$Z:$Z,"6")</f>
        <v>0</v>
      </c>
      <c r="L75" s="507">
        <f t="shared" si="3"/>
        <v>99.98</v>
      </c>
      <c r="M75" s="381" t="s">
        <v>9140</v>
      </c>
    </row>
    <row r="76" spans="1:13" s="84" customFormat="1" ht="14.25" customHeight="1" thickBot="1">
      <c r="A76" s="353">
        <v>2315</v>
      </c>
      <c r="B76" s="194" t="s">
        <v>3000</v>
      </c>
      <c r="C76" s="339">
        <f t="shared" si="2"/>
        <v>50000</v>
      </c>
      <c r="D76" s="976" t="s">
        <v>624</v>
      </c>
      <c r="E76" s="172" t="s">
        <v>1739</v>
      </c>
      <c r="F76" s="507">
        <f>SUMIFS(Controle!$R:$R,Controle!$H:$H,produtos_escape2!$A76,Controle!$Z:$Z,"1")</f>
        <v>0</v>
      </c>
      <c r="G76" s="507">
        <f>SUMIFS(Controle!$R:$R,Controle!$H:$H,produtos_escape2!$A76,Controle!$Z:$Z,"2")</f>
        <v>0</v>
      </c>
      <c r="H76" s="507">
        <f>SUMIFS(Controle!$R:$R,Controle!$H:$H,produtos_escape2!$A76,Controle!$Z:$Z,"3")</f>
        <v>0</v>
      </c>
      <c r="I76" s="507">
        <f>SUMIFS(Controle!$R:$R,Controle!$H:$H,produtos_escape2!$A76,Controle!$Z:$Z,"4")</f>
        <v>0</v>
      </c>
      <c r="J76" s="507">
        <f>SUMIFS(Controle!$R:$R,Controle!$H:$H,produtos_escape2!$A76,Controle!$Z:$Z,"5")</f>
        <v>0</v>
      </c>
      <c r="K76" s="507">
        <f>SUMIFS(Controle!$R:$R,Controle!$H:$H,produtos_escape2!$A76,Controle!$Z:$Z,"6")</f>
        <v>0</v>
      </c>
      <c r="L76" s="507">
        <f t="shared" si="3"/>
        <v>0</v>
      </c>
      <c r="M76" s="381" t="s">
        <v>4556</v>
      </c>
    </row>
    <row r="77" spans="1:13" s="84" customFormat="1" ht="14.25" customHeight="1" thickBot="1">
      <c r="A77" s="353">
        <v>2348</v>
      </c>
      <c r="B77" s="194" t="s">
        <v>71</v>
      </c>
      <c r="C77" s="339">
        <f t="shared" si="2"/>
        <v>50000</v>
      </c>
      <c r="D77" s="976" t="s">
        <v>624</v>
      </c>
      <c r="E77" s="172" t="s">
        <v>1739</v>
      </c>
      <c r="F77" s="507">
        <f>SUMIFS(Controle!$R:$R,Controle!$H:$H,produtos_escape2!$A77,Controle!$Z:$Z,"1")</f>
        <v>0</v>
      </c>
      <c r="G77" s="507">
        <f>SUMIFS(Controle!$R:$R,Controle!$H:$H,produtos_escape2!$A77,Controle!$Z:$Z,"2")</f>
        <v>0</v>
      </c>
      <c r="H77" s="507">
        <f>SUMIFS(Controle!$R:$R,Controle!$H:$H,produtos_escape2!$A77,Controle!$Z:$Z,"3")</f>
        <v>0</v>
      </c>
      <c r="I77" s="507">
        <f>SUMIFS(Controle!$R:$R,Controle!$H:$H,produtos_escape2!$A77,Controle!$Z:$Z,"4")</f>
        <v>0</v>
      </c>
      <c r="J77" s="507">
        <f>SUMIFS(Controle!$R:$R,Controle!$H:$H,produtos_escape2!$A77,Controle!$Z:$Z,"5")</f>
        <v>0</v>
      </c>
      <c r="K77" s="507">
        <f>SUMIFS(Controle!$R:$R,Controle!$H:$H,produtos_escape2!$A77,Controle!$Z:$Z,"6")</f>
        <v>0</v>
      </c>
      <c r="L77" s="507">
        <f t="shared" si="3"/>
        <v>0</v>
      </c>
      <c r="M77" s="381" t="s">
        <v>71</v>
      </c>
    </row>
    <row r="78" spans="1:13" s="84" customFormat="1" ht="14.25" customHeight="1" thickBot="1">
      <c r="A78" s="353">
        <v>2383</v>
      </c>
      <c r="B78" s="194" t="s">
        <v>410</v>
      </c>
      <c r="C78" s="339">
        <f t="shared" si="2"/>
        <v>50000</v>
      </c>
      <c r="D78" s="976" t="s">
        <v>624</v>
      </c>
      <c r="E78" s="172" t="s">
        <v>1739</v>
      </c>
      <c r="F78" s="507">
        <f>SUMIFS(Controle!$R:$R,Controle!$H:$H,produtos_escape2!$A78,Controle!$Z:$Z,"1")</f>
        <v>0</v>
      </c>
      <c r="G78" s="507">
        <f>SUMIFS(Controle!$R:$R,Controle!$H:$H,produtos_escape2!$A78,Controle!$Z:$Z,"2")</f>
        <v>0</v>
      </c>
      <c r="H78" s="507">
        <f>SUMIFS(Controle!$R:$R,Controle!$H:$H,produtos_escape2!$A78,Controle!$Z:$Z,"3")</f>
        <v>0</v>
      </c>
      <c r="I78" s="507">
        <f>SUMIFS(Controle!$R:$R,Controle!$H:$H,produtos_escape2!$A78,Controle!$Z:$Z,"4")</f>
        <v>0</v>
      </c>
      <c r="J78" s="507">
        <f>SUMIFS(Controle!$R:$R,Controle!$H:$H,produtos_escape2!$A78,Controle!$Z:$Z,"5")</f>
        <v>0</v>
      </c>
      <c r="K78" s="507">
        <f>SUMIFS(Controle!$R:$R,Controle!$H:$H,produtos_escape2!$A78,Controle!$Z:$Z,"6")</f>
        <v>0</v>
      </c>
      <c r="L78" s="507">
        <f t="shared" si="3"/>
        <v>0</v>
      </c>
      <c r="M78" s="381" t="s">
        <v>4557</v>
      </c>
    </row>
    <row r="79" spans="1:13" s="84" customFormat="1" ht="14.25" customHeight="1" thickBot="1">
      <c r="A79" s="353">
        <v>2393</v>
      </c>
      <c r="B79" s="194" t="s">
        <v>847</v>
      </c>
      <c r="C79" s="339">
        <f t="shared" si="2"/>
        <v>49905.56</v>
      </c>
      <c r="D79" s="976" t="s">
        <v>848</v>
      </c>
      <c r="E79" s="172" t="s">
        <v>1739</v>
      </c>
      <c r="F79" s="507">
        <f>SUMIFS(Controle!$R:$R,Controle!$H:$H,produtos_escape2!$A79,Controle!$Z:$Z,"1")</f>
        <v>0</v>
      </c>
      <c r="G79" s="507">
        <f>SUMIFS(Controle!$R:$R,Controle!$H:$H,produtos_escape2!$A79,Controle!$Z:$Z,"2")</f>
        <v>23.84</v>
      </c>
      <c r="H79" s="507">
        <f>SUMIFS(Controle!$R:$R,Controle!$H:$H,produtos_escape2!$A79,Controle!$Z:$Z,"3")</f>
        <v>0</v>
      </c>
      <c r="I79" s="507">
        <f>SUMIFS(Controle!$R:$R,Controle!$H:$H,produtos_escape2!$A79,Controle!$Z:$Z,"4")</f>
        <v>70.599999999999994</v>
      </c>
      <c r="J79" s="507">
        <f>SUMIFS(Controle!$R:$R,Controle!$H:$H,produtos_escape2!$A79,Controle!$Z:$Z,"5")</f>
        <v>0</v>
      </c>
      <c r="K79" s="507">
        <f>SUMIFS(Controle!$R:$R,Controle!$H:$H,produtos_escape2!$A79,Controle!$Z:$Z,"6")</f>
        <v>0</v>
      </c>
      <c r="L79" s="507">
        <f t="shared" si="3"/>
        <v>94.44</v>
      </c>
      <c r="M79" s="381" t="s">
        <v>4558</v>
      </c>
    </row>
    <row r="80" spans="1:13" s="84" customFormat="1" ht="14.25" customHeight="1" thickBot="1">
      <c r="A80" s="333">
        <v>2445</v>
      </c>
      <c r="B80" s="194" t="s">
        <v>2565</v>
      </c>
      <c r="C80" s="339">
        <f t="shared" si="2"/>
        <v>50000</v>
      </c>
      <c r="D80" s="976" t="s">
        <v>624</v>
      </c>
      <c r="E80" s="172" t="s">
        <v>1739</v>
      </c>
      <c r="F80" s="507">
        <f>SUMIFS(Controle!$R:$R,Controle!$H:$H,produtos_escape2!$A80,Controle!$Z:$Z,"1")</f>
        <v>0</v>
      </c>
      <c r="G80" s="507">
        <f>SUMIFS(Controle!$R:$R,Controle!$H:$H,produtos_escape2!$A80,Controle!$Z:$Z,"2")</f>
        <v>0</v>
      </c>
      <c r="H80" s="507">
        <f>SUMIFS(Controle!$R:$R,Controle!$H:$H,produtos_escape2!$A80,Controle!$Z:$Z,"3")</f>
        <v>0</v>
      </c>
      <c r="I80" s="507">
        <f>SUMIFS(Controle!$R:$R,Controle!$H:$H,produtos_escape2!$A80,Controle!$Z:$Z,"4")</f>
        <v>0</v>
      </c>
      <c r="J80" s="507">
        <f>SUMIFS(Controle!$R:$R,Controle!$H:$H,produtos_escape2!$A80,Controle!$Z:$Z,"5")</f>
        <v>0</v>
      </c>
      <c r="K80" s="507">
        <f>SUMIFS(Controle!$R:$R,Controle!$H:$H,produtos_escape2!$A80,Controle!$Z:$Z,"6")</f>
        <v>0</v>
      </c>
      <c r="L80" s="507">
        <f t="shared" si="3"/>
        <v>0</v>
      </c>
      <c r="M80" s="381" t="s">
        <v>4559</v>
      </c>
    </row>
    <row r="81" spans="1:13" s="84" customFormat="1" ht="14.25" customHeight="1" thickBot="1">
      <c r="A81" s="353">
        <v>2483</v>
      </c>
      <c r="B81" s="194" t="s">
        <v>2566</v>
      </c>
      <c r="C81" s="339">
        <f t="shared" si="2"/>
        <v>50000</v>
      </c>
      <c r="D81" s="976" t="s">
        <v>639</v>
      </c>
      <c r="E81" s="172" t="s">
        <v>1739</v>
      </c>
      <c r="F81" s="507">
        <f>SUMIFS(Controle!$R:$R,Controle!$H:$H,produtos_escape2!$A81,Controle!$Z:$Z,"1")</f>
        <v>0</v>
      </c>
      <c r="G81" s="507">
        <f>SUMIFS(Controle!$R:$R,Controle!$H:$H,produtos_escape2!$A81,Controle!$Z:$Z,"2")</f>
        <v>0</v>
      </c>
      <c r="H81" s="507">
        <f>SUMIFS(Controle!$R:$R,Controle!$H:$H,produtos_escape2!$A81,Controle!$Z:$Z,"3")</f>
        <v>0</v>
      </c>
      <c r="I81" s="507">
        <f>SUMIFS(Controle!$R:$R,Controle!$H:$H,produtos_escape2!$A81,Controle!$Z:$Z,"4")</f>
        <v>0</v>
      </c>
      <c r="J81" s="507">
        <f>SUMIFS(Controle!$R:$R,Controle!$H:$H,produtos_escape2!$A81,Controle!$Z:$Z,"5")</f>
        <v>0</v>
      </c>
      <c r="K81" s="507">
        <f>SUMIFS(Controle!$R:$R,Controle!$H:$H,produtos_escape2!$A81,Controle!$Z:$Z,"6")</f>
        <v>0</v>
      </c>
      <c r="L81" s="507">
        <f t="shared" si="3"/>
        <v>0</v>
      </c>
      <c r="M81" s="381" t="s">
        <v>2566</v>
      </c>
    </row>
    <row r="82" spans="1:13" s="84" customFormat="1" ht="14.25" customHeight="1" thickBot="1">
      <c r="A82" s="353">
        <v>2569</v>
      </c>
      <c r="B82" s="194" t="s">
        <v>1458</v>
      </c>
      <c r="C82" s="339">
        <f t="shared" si="2"/>
        <v>50000</v>
      </c>
      <c r="D82" s="976" t="s">
        <v>547</v>
      </c>
      <c r="E82" s="172" t="s">
        <v>1739</v>
      </c>
      <c r="F82" s="507">
        <f>SUMIFS(Controle!$R:$R,Controle!$H:$H,produtos_escape2!$A82,Controle!$Z:$Z,"1")</f>
        <v>0</v>
      </c>
      <c r="G82" s="507">
        <f>SUMIFS(Controle!$R:$R,Controle!$H:$H,produtos_escape2!$A82,Controle!$Z:$Z,"2")</f>
        <v>0</v>
      </c>
      <c r="H82" s="507">
        <f>SUMIFS(Controle!$R:$R,Controle!$H:$H,produtos_escape2!$A82,Controle!$Z:$Z,"3")</f>
        <v>0</v>
      </c>
      <c r="I82" s="507">
        <f>SUMIFS(Controle!$R:$R,Controle!$H:$H,produtos_escape2!$A82,Controle!$Z:$Z,"4")</f>
        <v>0</v>
      </c>
      <c r="J82" s="507">
        <f>SUMIFS(Controle!$R:$R,Controle!$H:$H,produtos_escape2!$A82,Controle!$Z:$Z,"5")</f>
        <v>0</v>
      </c>
      <c r="K82" s="507">
        <f>SUMIFS(Controle!$R:$R,Controle!$H:$H,produtos_escape2!$A82,Controle!$Z:$Z,"6")</f>
        <v>0</v>
      </c>
      <c r="L82" s="507">
        <f t="shared" si="3"/>
        <v>0</v>
      </c>
      <c r="M82" s="381" t="s">
        <v>1458</v>
      </c>
    </row>
    <row r="83" spans="1:13" s="84" customFormat="1" ht="14.25" customHeight="1" thickBot="1">
      <c r="A83" s="353">
        <v>2600</v>
      </c>
      <c r="B83" s="194" t="s">
        <v>6760</v>
      </c>
      <c r="C83" s="339">
        <f t="shared" si="2"/>
        <v>50000</v>
      </c>
      <c r="D83" s="976" t="s">
        <v>628</v>
      </c>
      <c r="E83" s="172" t="s">
        <v>7207</v>
      </c>
      <c r="F83" s="507">
        <f>SUMIFS(Controle!$R:$R,Controle!$H:$H,produtos_escape2!$A83,Controle!$Z:$Z,"1")</f>
        <v>0</v>
      </c>
      <c r="G83" s="507">
        <f>SUMIFS(Controle!$R:$R,Controle!$H:$H,produtos_escape2!$A83,Controle!$Z:$Z,"2")</f>
        <v>0</v>
      </c>
      <c r="H83" s="507">
        <f>SUMIFS(Controle!$R:$R,Controle!$H:$H,produtos_escape2!$A83,Controle!$Z:$Z,"3")</f>
        <v>0</v>
      </c>
      <c r="I83" s="507">
        <f>SUMIFS(Controle!$R:$R,Controle!$H:$H,produtos_escape2!$A83,Controle!$Z:$Z,"4")</f>
        <v>0</v>
      </c>
      <c r="J83" s="507">
        <f>SUMIFS(Controle!$R:$R,Controle!$H:$H,produtos_escape2!$A83,Controle!$Z:$Z,"5")</f>
        <v>0</v>
      </c>
      <c r="K83" s="507">
        <f>SUMIFS(Controle!$R:$R,Controle!$H:$H,produtos_escape2!$A83,Controle!$Z:$Z,"6")</f>
        <v>0</v>
      </c>
      <c r="L83" s="507">
        <f t="shared" si="3"/>
        <v>0</v>
      </c>
      <c r="M83" s="381" t="s">
        <v>4729</v>
      </c>
    </row>
    <row r="84" spans="1:13" s="84" customFormat="1" ht="14.25" customHeight="1" thickBot="1">
      <c r="A84" s="353">
        <v>2738</v>
      </c>
      <c r="B84" s="338" t="s">
        <v>382</v>
      </c>
      <c r="C84" s="339">
        <f t="shared" si="2"/>
        <v>50000</v>
      </c>
      <c r="D84" s="976" t="s">
        <v>624</v>
      </c>
      <c r="E84" s="172" t="s">
        <v>1739</v>
      </c>
      <c r="F84" s="507">
        <f>SUMIFS(Controle!$R:$R,Controle!$H:$H,produtos_escape2!$A84,Controle!$Z:$Z,"1")</f>
        <v>0</v>
      </c>
      <c r="G84" s="507">
        <f>SUMIFS(Controle!$R:$R,Controle!$H:$H,produtos_escape2!$A84,Controle!$Z:$Z,"2")</f>
        <v>0</v>
      </c>
      <c r="H84" s="507">
        <f>SUMIFS(Controle!$R:$R,Controle!$H:$H,produtos_escape2!$A84,Controle!$Z:$Z,"3")</f>
        <v>0</v>
      </c>
      <c r="I84" s="507">
        <f>SUMIFS(Controle!$R:$R,Controle!$H:$H,produtos_escape2!$A84,Controle!$Z:$Z,"4")</f>
        <v>0</v>
      </c>
      <c r="J84" s="507">
        <f>SUMIFS(Controle!$R:$R,Controle!$H:$H,produtos_escape2!$A84,Controle!$Z:$Z,"5")</f>
        <v>0</v>
      </c>
      <c r="K84" s="507">
        <f>SUMIFS(Controle!$R:$R,Controle!$H:$H,produtos_escape2!$A84,Controle!$Z:$Z,"6")</f>
        <v>0</v>
      </c>
      <c r="L84" s="507">
        <f t="shared" si="3"/>
        <v>0</v>
      </c>
      <c r="M84" s="381" t="s">
        <v>4526</v>
      </c>
    </row>
    <row r="85" spans="1:13" s="84" customFormat="1" ht="14.25" customHeight="1" thickBot="1">
      <c r="A85" s="353">
        <v>2803</v>
      </c>
      <c r="B85" s="194" t="s">
        <v>985</v>
      </c>
      <c r="C85" s="339">
        <f t="shared" si="2"/>
        <v>50000</v>
      </c>
      <c r="D85" s="976" t="s">
        <v>848</v>
      </c>
      <c r="E85" s="172" t="s">
        <v>1739</v>
      </c>
      <c r="F85" s="507">
        <f>SUMIFS(Controle!$R:$R,Controle!$H:$H,produtos_escape2!$A85,Controle!$Z:$Z,"1")</f>
        <v>0</v>
      </c>
      <c r="G85" s="507">
        <f>SUMIFS(Controle!$R:$R,Controle!$H:$H,produtos_escape2!$A85,Controle!$Z:$Z,"2")</f>
        <v>0</v>
      </c>
      <c r="H85" s="507">
        <f>SUMIFS(Controle!$R:$R,Controle!$H:$H,produtos_escape2!$A85,Controle!$Z:$Z,"3")</f>
        <v>0</v>
      </c>
      <c r="I85" s="507">
        <f>SUMIFS(Controle!$R:$R,Controle!$H:$H,produtos_escape2!$A85,Controle!$Z:$Z,"4")</f>
        <v>0</v>
      </c>
      <c r="J85" s="507">
        <f>SUMIFS(Controle!$R:$R,Controle!$H:$H,produtos_escape2!$A85,Controle!$Z:$Z,"5")</f>
        <v>0</v>
      </c>
      <c r="K85" s="507">
        <f>SUMIFS(Controle!$R:$R,Controle!$H:$H,produtos_escape2!$A85,Controle!$Z:$Z,"6")</f>
        <v>0</v>
      </c>
      <c r="L85" s="507">
        <f t="shared" si="3"/>
        <v>0</v>
      </c>
      <c r="M85" s="381" t="s">
        <v>4560</v>
      </c>
    </row>
    <row r="86" spans="1:13" s="84" customFormat="1" ht="14.25" customHeight="1" thickBot="1">
      <c r="A86" s="353">
        <v>2804</v>
      </c>
      <c r="B86" s="194" t="s">
        <v>1717</v>
      </c>
      <c r="C86" s="339">
        <f t="shared" si="2"/>
        <v>50000</v>
      </c>
      <c r="D86" s="976" t="s">
        <v>848</v>
      </c>
      <c r="E86" s="172" t="s">
        <v>1739</v>
      </c>
      <c r="F86" s="507">
        <f>SUMIFS(Controle!$R:$R,Controle!$H:$H,produtos_escape2!$A86,Controle!$Z:$Z,"1")</f>
        <v>0</v>
      </c>
      <c r="G86" s="507">
        <f>SUMIFS(Controle!$R:$R,Controle!$H:$H,produtos_escape2!$A86,Controle!$Z:$Z,"2")</f>
        <v>0</v>
      </c>
      <c r="H86" s="507">
        <f>SUMIFS(Controle!$R:$R,Controle!$H:$H,produtos_escape2!$A86,Controle!$Z:$Z,"3")</f>
        <v>0</v>
      </c>
      <c r="I86" s="507">
        <f>SUMIFS(Controle!$R:$R,Controle!$H:$H,produtos_escape2!$A86,Controle!$Z:$Z,"4")</f>
        <v>0</v>
      </c>
      <c r="J86" s="507">
        <f>SUMIFS(Controle!$R:$R,Controle!$H:$H,produtos_escape2!$A86,Controle!$Z:$Z,"5")</f>
        <v>0</v>
      </c>
      <c r="K86" s="507">
        <f>SUMIFS(Controle!$R:$R,Controle!$H:$H,produtos_escape2!$A86,Controle!$Z:$Z,"6")</f>
        <v>0</v>
      </c>
      <c r="L86" s="507">
        <f t="shared" si="3"/>
        <v>0</v>
      </c>
      <c r="M86" s="381" t="s">
        <v>4560</v>
      </c>
    </row>
    <row r="87" spans="1:13" s="84" customFormat="1" ht="14.25" customHeight="1" thickBot="1">
      <c r="A87" s="353">
        <v>2806</v>
      </c>
      <c r="B87" s="194" t="s">
        <v>1756</v>
      </c>
      <c r="C87" s="339">
        <f t="shared" si="2"/>
        <v>50000</v>
      </c>
      <c r="D87" s="976" t="s">
        <v>848</v>
      </c>
      <c r="E87" s="172" t="s">
        <v>1739</v>
      </c>
      <c r="F87" s="507">
        <f>SUMIFS(Controle!$R:$R,Controle!$H:$H,produtos_escape2!$A87,Controle!$Z:$Z,"1")</f>
        <v>0</v>
      </c>
      <c r="G87" s="507">
        <f>SUMIFS(Controle!$R:$R,Controle!$H:$H,produtos_escape2!$A87,Controle!$Z:$Z,"2")</f>
        <v>0</v>
      </c>
      <c r="H87" s="507">
        <f>SUMIFS(Controle!$R:$R,Controle!$H:$H,produtos_escape2!$A87,Controle!$Z:$Z,"3")</f>
        <v>0</v>
      </c>
      <c r="I87" s="507">
        <f>SUMIFS(Controle!$R:$R,Controle!$H:$H,produtos_escape2!$A87,Controle!$Z:$Z,"4")</f>
        <v>0</v>
      </c>
      <c r="J87" s="507">
        <f>SUMIFS(Controle!$R:$R,Controle!$H:$H,produtos_escape2!$A87,Controle!$Z:$Z,"5")</f>
        <v>0</v>
      </c>
      <c r="K87" s="507">
        <f>SUMIFS(Controle!$R:$R,Controle!$H:$H,produtos_escape2!$A87,Controle!$Z:$Z,"6")</f>
        <v>0</v>
      </c>
      <c r="L87" s="507">
        <f t="shared" si="3"/>
        <v>0</v>
      </c>
      <c r="M87" s="381" t="s">
        <v>4560</v>
      </c>
    </row>
    <row r="88" spans="1:13" s="84" customFormat="1" ht="14.25" customHeight="1" thickBot="1">
      <c r="A88" s="333">
        <v>2807</v>
      </c>
      <c r="B88" s="194" t="s">
        <v>297</v>
      </c>
      <c r="C88" s="339">
        <f t="shared" si="2"/>
        <v>50000</v>
      </c>
      <c r="D88" s="976" t="s">
        <v>848</v>
      </c>
      <c r="E88" s="172" t="s">
        <v>1739</v>
      </c>
      <c r="F88" s="507">
        <f>SUMIFS(Controle!$R:$R,Controle!$H:$H,produtos_escape2!$A88,Controle!$Z:$Z,"1")</f>
        <v>0</v>
      </c>
      <c r="G88" s="507">
        <f>SUMIFS(Controle!$R:$R,Controle!$H:$H,produtos_escape2!$A88,Controle!$Z:$Z,"2")</f>
        <v>0</v>
      </c>
      <c r="H88" s="507">
        <f>SUMIFS(Controle!$R:$R,Controle!$H:$H,produtos_escape2!$A88,Controle!$Z:$Z,"3")</f>
        <v>0</v>
      </c>
      <c r="I88" s="507">
        <f>SUMIFS(Controle!$R:$R,Controle!$H:$H,produtos_escape2!$A88,Controle!$Z:$Z,"4")</f>
        <v>0</v>
      </c>
      <c r="J88" s="507">
        <f>SUMIFS(Controle!$R:$R,Controle!$H:$H,produtos_escape2!$A88,Controle!$Z:$Z,"5")</f>
        <v>0</v>
      </c>
      <c r="K88" s="507">
        <f>SUMIFS(Controle!$R:$R,Controle!$H:$H,produtos_escape2!$A88,Controle!$Z:$Z,"6")</f>
        <v>0</v>
      </c>
      <c r="L88" s="507">
        <f t="shared" si="3"/>
        <v>0</v>
      </c>
      <c r="M88" s="381" t="s">
        <v>4560</v>
      </c>
    </row>
    <row r="89" spans="1:13" s="84" customFormat="1" ht="14.25" customHeight="1" thickBot="1">
      <c r="A89" s="333">
        <v>2809</v>
      </c>
      <c r="B89" s="194" t="s">
        <v>9097</v>
      </c>
      <c r="C89" s="339">
        <f t="shared" si="2"/>
        <v>50000</v>
      </c>
      <c r="D89" s="976" t="s">
        <v>549</v>
      </c>
      <c r="E89" s="172" t="s">
        <v>3608</v>
      </c>
      <c r="F89" s="507">
        <f>SUMIFS(Controle!$R:$R,Controle!$H:$H,produtos_escape2!$A89,Controle!$Z:$Z,"1")</f>
        <v>0</v>
      </c>
      <c r="G89" s="507">
        <f>SUMIFS(Controle!$R:$R,Controle!$H:$H,produtos_escape2!$A89,Controle!$Z:$Z,"2")</f>
        <v>0</v>
      </c>
      <c r="H89" s="507">
        <f>SUMIFS(Controle!$R:$R,Controle!$H:$H,produtos_escape2!$A89,Controle!$Z:$Z,"3")</f>
        <v>0</v>
      </c>
      <c r="I89" s="507">
        <f>SUMIFS(Controle!$R:$R,Controle!$H:$H,produtos_escape2!$A89,Controle!$Z:$Z,"4")</f>
        <v>0</v>
      </c>
      <c r="J89" s="507">
        <f>SUMIFS(Controle!$R:$R,Controle!$H:$H,produtos_escape2!$A89,Controle!$Z:$Z,"5")</f>
        <v>0</v>
      </c>
      <c r="K89" s="507">
        <f>SUMIFS(Controle!$R:$R,Controle!$H:$H,produtos_escape2!$A89,Controle!$Z:$Z,"6")</f>
        <v>0</v>
      </c>
      <c r="L89" s="507">
        <f t="shared" si="3"/>
        <v>0</v>
      </c>
      <c r="M89" s="381" t="s">
        <v>9096</v>
      </c>
    </row>
    <row r="90" spans="1:13" s="84" customFormat="1" ht="14.25" customHeight="1" thickBot="1">
      <c r="A90" s="353">
        <v>2975</v>
      </c>
      <c r="B90" s="194" t="s">
        <v>6726</v>
      </c>
      <c r="C90" s="339">
        <f t="shared" si="2"/>
        <v>49700</v>
      </c>
      <c r="D90" s="976" t="s">
        <v>853</v>
      </c>
      <c r="E90" s="172" t="s">
        <v>7207</v>
      </c>
      <c r="F90" s="507">
        <f>SUMIFS(Controle!$R:$R,Controle!$H:$H,produtos_escape2!$A90,Controle!$Z:$Z,"1")</f>
        <v>0</v>
      </c>
      <c r="G90" s="507">
        <f>SUMIFS(Controle!$R:$R,Controle!$H:$H,produtos_escape2!$A90,Controle!$Z:$Z,"2")</f>
        <v>0</v>
      </c>
      <c r="H90" s="507">
        <f>SUMIFS(Controle!$R:$R,Controle!$H:$H,produtos_escape2!$A90,Controle!$Z:$Z,"3")</f>
        <v>300</v>
      </c>
      <c r="I90" s="507">
        <f>SUMIFS(Controle!$R:$R,Controle!$H:$H,produtos_escape2!$A90,Controle!$Z:$Z,"4")</f>
        <v>0</v>
      </c>
      <c r="J90" s="507">
        <f>SUMIFS(Controle!$R:$R,Controle!$H:$H,produtos_escape2!$A90,Controle!$Z:$Z,"5")</f>
        <v>0</v>
      </c>
      <c r="K90" s="507">
        <f>SUMIFS(Controle!$R:$R,Controle!$H:$H,produtos_escape2!$A90,Controle!$Z:$Z,"6")</f>
        <v>0</v>
      </c>
      <c r="L90" s="507">
        <f t="shared" si="3"/>
        <v>300</v>
      </c>
      <c r="M90" s="381" t="s">
        <v>4561</v>
      </c>
    </row>
    <row r="91" spans="1:13" s="84" customFormat="1" ht="14.25" customHeight="1" thickBot="1">
      <c r="A91" s="353">
        <v>2981</v>
      </c>
      <c r="B91" s="194" t="s">
        <v>6725</v>
      </c>
      <c r="C91" s="339">
        <f t="shared" si="2"/>
        <v>50000</v>
      </c>
      <c r="D91" s="976" t="s">
        <v>550</v>
      </c>
      <c r="E91" s="172" t="s">
        <v>7207</v>
      </c>
      <c r="F91" s="507">
        <f>SUMIFS(Controle!$R:$R,Controle!$H:$H,produtos_escape2!$A91,Controle!$Z:$Z,"1")</f>
        <v>0</v>
      </c>
      <c r="G91" s="507">
        <f>SUMIFS(Controle!$R:$R,Controle!$H:$H,produtos_escape2!$A91,Controle!$Z:$Z,"2")</f>
        <v>0</v>
      </c>
      <c r="H91" s="507">
        <f>SUMIFS(Controle!$R:$R,Controle!$H:$H,produtos_escape2!$A91,Controle!$Z:$Z,"3")</f>
        <v>0</v>
      </c>
      <c r="I91" s="507">
        <f>SUMIFS(Controle!$R:$R,Controle!$H:$H,produtos_escape2!$A91,Controle!$Z:$Z,"4")</f>
        <v>0</v>
      </c>
      <c r="J91" s="507">
        <f>SUMIFS(Controle!$R:$R,Controle!$H:$H,produtos_escape2!$A91,Controle!$Z:$Z,"5")</f>
        <v>0</v>
      </c>
      <c r="K91" s="507">
        <f>SUMIFS(Controle!$R:$R,Controle!$H:$H,produtos_escape2!$A91,Controle!$Z:$Z,"6")</f>
        <v>0</v>
      </c>
      <c r="L91" s="507">
        <f t="shared" si="3"/>
        <v>0</v>
      </c>
      <c r="M91" s="381" t="s">
        <v>5126</v>
      </c>
    </row>
    <row r="92" spans="1:13" s="84" customFormat="1" ht="14.25" customHeight="1" thickBot="1">
      <c r="A92" s="353">
        <v>3027</v>
      </c>
      <c r="B92" s="194" t="s">
        <v>1597</v>
      </c>
      <c r="C92" s="339">
        <f t="shared" si="2"/>
        <v>50000</v>
      </c>
      <c r="D92" s="976" t="s">
        <v>830</v>
      </c>
      <c r="E92" s="172" t="s">
        <v>1739</v>
      </c>
      <c r="F92" s="507">
        <f>SUMIFS(Controle!$R:$R,Controle!$H:$H,produtos_escape2!$A92,Controle!$Z:$Z,"1")</f>
        <v>0</v>
      </c>
      <c r="G92" s="507">
        <f>SUMIFS(Controle!$R:$R,Controle!$H:$H,produtos_escape2!$A92,Controle!$Z:$Z,"2")</f>
        <v>0</v>
      </c>
      <c r="H92" s="507">
        <f>SUMIFS(Controle!$R:$R,Controle!$H:$H,produtos_escape2!$A92,Controle!$Z:$Z,"3")</f>
        <v>0</v>
      </c>
      <c r="I92" s="507">
        <f>SUMIFS(Controle!$R:$R,Controle!$H:$H,produtos_escape2!$A92,Controle!$Z:$Z,"4")</f>
        <v>0</v>
      </c>
      <c r="J92" s="507">
        <f>SUMIFS(Controle!$R:$R,Controle!$H:$H,produtos_escape2!$A92,Controle!$Z:$Z,"5")</f>
        <v>0</v>
      </c>
      <c r="K92" s="507">
        <f>SUMIFS(Controle!$R:$R,Controle!$H:$H,produtos_escape2!$A92,Controle!$Z:$Z,"6")</f>
        <v>0</v>
      </c>
      <c r="L92" s="507">
        <f t="shared" si="3"/>
        <v>0</v>
      </c>
      <c r="M92" s="381" t="s">
        <v>4562</v>
      </c>
    </row>
    <row r="93" spans="1:13" s="84" customFormat="1" ht="14.25" customHeight="1" thickBot="1">
      <c r="A93" s="353">
        <v>3066</v>
      </c>
      <c r="B93" s="194" t="s">
        <v>1618</v>
      </c>
      <c r="C93" s="339">
        <f t="shared" si="2"/>
        <v>50000</v>
      </c>
      <c r="D93" s="976" t="s">
        <v>549</v>
      </c>
      <c r="E93" s="172" t="s">
        <v>1739</v>
      </c>
      <c r="F93" s="507">
        <f>SUMIFS(Controle!$R:$R,Controle!$H:$H,produtos_escape2!$A93,Controle!$Z:$Z,"1")</f>
        <v>0</v>
      </c>
      <c r="G93" s="507">
        <f>SUMIFS(Controle!$R:$R,Controle!$H:$H,produtos_escape2!$A93,Controle!$Z:$Z,"2")</f>
        <v>0</v>
      </c>
      <c r="H93" s="507">
        <f>SUMIFS(Controle!$R:$R,Controle!$H:$H,produtos_escape2!$A93,Controle!$Z:$Z,"3")</f>
        <v>0</v>
      </c>
      <c r="I93" s="507">
        <f>SUMIFS(Controle!$R:$R,Controle!$H:$H,produtos_escape2!$A93,Controle!$Z:$Z,"4")</f>
        <v>0</v>
      </c>
      <c r="J93" s="507">
        <f>SUMIFS(Controle!$R:$R,Controle!$H:$H,produtos_escape2!$A93,Controle!$Z:$Z,"5")</f>
        <v>0</v>
      </c>
      <c r="K93" s="507">
        <f>SUMIFS(Controle!$R:$R,Controle!$H:$H,produtos_escape2!$A93,Controle!$Z:$Z,"6")</f>
        <v>0</v>
      </c>
      <c r="L93" s="507">
        <f t="shared" si="3"/>
        <v>0</v>
      </c>
      <c r="M93" s="381" t="s">
        <v>4563</v>
      </c>
    </row>
    <row r="94" spans="1:13" s="84" customFormat="1" ht="14.25" customHeight="1" thickBot="1">
      <c r="A94" s="353">
        <v>3072</v>
      </c>
      <c r="B94" s="338" t="s">
        <v>2567</v>
      </c>
      <c r="C94" s="339">
        <f t="shared" si="2"/>
        <v>50000</v>
      </c>
      <c r="D94" s="976" t="s">
        <v>624</v>
      </c>
      <c r="E94" s="172" t="s">
        <v>1739</v>
      </c>
      <c r="F94" s="507">
        <f>SUMIFS(Controle!$R:$R,Controle!$H:$H,produtos_escape2!$A94,Controle!$Z:$Z,"1")</f>
        <v>0</v>
      </c>
      <c r="G94" s="507">
        <f>SUMIFS(Controle!$R:$R,Controle!$H:$H,produtos_escape2!$A94,Controle!$Z:$Z,"2")</f>
        <v>0</v>
      </c>
      <c r="H94" s="507">
        <f>SUMIFS(Controle!$R:$R,Controle!$H:$H,produtos_escape2!$A94,Controle!$Z:$Z,"3")</f>
        <v>0</v>
      </c>
      <c r="I94" s="507">
        <f>SUMIFS(Controle!$R:$R,Controle!$H:$H,produtos_escape2!$A94,Controle!$Z:$Z,"4")</f>
        <v>0</v>
      </c>
      <c r="J94" s="507">
        <f>SUMIFS(Controle!$R:$R,Controle!$H:$H,produtos_escape2!$A94,Controle!$Z:$Z,"5")</f>
        <v>0</v>
      </c>
      <c r="K94" s="507">
        <f>SUMIFS(Controle!$R:$R,Controle!$H:$H,produtos_escape2!$A94,Controle!$Z:$Z,"6")</f>
        <v>0</v>
      </c>
      <c r="L94" s="507">
        <f t="shared" si="3"/>
        <v>0</v>
      </c>
      <c r="M94" s="381" t="s">
        <v>4564</v>
      </c>
    </row>
    <row r="95" spans="1:13" s="84" customFormat="1" ht="14.25" customHeight="1" thickBot="1">
      <c r="A95" s="353">
        <v>3076</v>
      </c>
      <c r="B95" s="194" t="s">
        <v>2568</v>
      </c>
      <c r="C95" s="339">
        <f t="shared" si="2"/>
        <v>50000</v>
      </c>
      <c r="D95" s="976" t="s">
        <v>624</v>
      </c>
      <c r="E95" s="172" t="s">
        <v>1739</v>
      </c>
      <c r="F95" s="507">
        <f>SUMIFS(Controle!$R:$R,Controle!$H:$H,produtos_escape2!$A95,Controle!$Z:$Z,"1")</f>
        <v>0</v>
      </c>
      <c r="G95" s="507">
        <f>SUMIFS(Controle!$R:$R,Controle!$H:$H,produtos_escape2!$A95,Controle!$Z:$Z,"2")</f>
        <v>0</v>
      </c>
      <c r="H95" s="507">
        <f>SUMIFS(Controle!$R:$R,Controle!$H:$H,produtos_escape2!$A95,Controle!$Z:$Z,"3")</f>
        <v>0</v>
      </c>
      <c r="I95" s="507">
        <f>SUMIFS(Controle!$R:$R,Controle!$H:$H,produtos_escape2!$A95,Controle!$Z:$Z,"4")</f>
        <v>0</v>
      </c>
      <c r="J95" s="507">
        <f>SUMIFS(Controle!$R:$R,Controle!$H:$H,produtos_escape2!$A95,Controle!$Z:$Z,"5")</f>
        <v>0</v>
      </c>
      <c r="K95" s="507">
        <f>SUMIFS(Controle!$R:$R,Controle!$H:$H,produtos_escape2!$A95,Controle!$Z:$Z,"6")</f>
        <v>0</v>
      </c>
      <c r="L95" s="507">
        <f t="shared" si="3"/>
        <v>0</v>
      </c>
      <c r="M95" s="381" t="s">
        <v>4565</v>
      </c>
    </row>
    <row r="96" spans="1:13" s="84" customFormat="1" ht="14.25" customHeight="1" thickBot="1">
      <c r="A96" s="353">
        <v>3081</v>
      </c>
      <c r="B96" s="194" t="s">
        <v>2569</v>
      </c>
      <c r="C96" s="339">
        <f t="shared" si="2"/>
        <v>50000</v>
      </c>
      <c r="D96" s="976" t="s">
        <v>624</v>
      </c>
      <c r="E96" s="172" t="s">
        <v>1739</v>
      </c>
      <c r="F96" s="507">
        <f>SUMIFS(Controle!$R:$R,Controle!$H:$H,produtos_escape2!$A96,Controle!$Z:$Z,"1")</f>
        <v>0</v>
      </c>
      <c r="G96" s="507">
        <f>SUMIFS(Controle!$R:$R,Controle!$H:$H,produtos_escape2!$A96,Controle!$Z:$Z,"2")</f>
        <v>0</v>
      </c>
      <c r="H96" s="507">
        <f>SUMIFS(Controle!$R:$R,Controle!$H:$H,produtos_escape2!$A96,Controle!$Z:$Z,"3")</f>
        <v>0</v>
      </c>
      <c r="I96" s="507">
        <f>SUMIFS(Controle!$R:$R,Controle!$H:$H,produtos_escape2!$A96,Controle!$Z:$Z,"4")</f>
        <v>0</v>
      </c>
      <c r="J96" s="507">
        <f>SUMIFS(Controle!$R:$R,Controle!$H:$H,produtos_escape2!$A96,Controle!$Z:$Z,"5")</f>
        <v>0</v>
      </c>
      <c r="K96" s="507">
        <f>SUMIFS(Controle!$R:$R,Controle!$H:$H,produtos_escape2!$A96,Controle!$Z:$Z,"6")</f>
        <v>0</v>
      </c>
      <c r="L96" s="507">
        <f t="shared" si="3"/>
        <v>0</v>
      </c>
      <c r="M96" s="381" t="s">
        <v>4566</v>
      </c>
    </row>
    <row r="97" spans="1:13" s="84" customFormat="1" ht="14.25" customHeight="1" thickBot="1">
      <c r="A97" s="333">
        <v>3082</v>
      </c>
      <c r="B97" s="194" t="s">
        <v>2570</v>
      </c>
      <c r="C97" s="339">
        <f t="shared" si="2"/>
        <v>50000</v>
      </c>
      <c r="D97" s="976" t="s">
        <v>624</v>
      </c>
      <c r="E97" s="172" t="s">
        <v>1739</v>
      </c>
      <c r="F97" s="507">
        <f>SUMIFS(Controle!$R:$R,Controle!$H:$H,produtos_escape2!$A97,Controle!$Z:$Z,"1")</f>
        <v>0</v>
      </c>
      <c r="G97" s="507">
        <f>SUMIFS(Controle!$R:$R,Controle!$H:$H,produtos_escape2!$A97,Controle!$Z:$Z,"2")</f>
        <v>0</v>
      </c>
      <c r="H97" s="507">
        <f>SUMIFS(Controle!$R:$R,Controle!$H:$H,produtos_escape2!$A97,Controle!$Z:$Z,"3")</f>
        <v>0</v>
      </c>
      <c r="I97" s="507">
        <f>SUMIFS(Controle!$R:$R,Controle!$H:$H,produtos_escape2!$A97,Controle!$Z:$Z,"4")</f>
        <v>0</v>
      </c>
      <c r="J97" s="507">
        <f>SUMIFS(Controle!$R:$R,Controle!$H:$H,produtos_escape2!$A97,Controle!$Z:$Z,"5")</f>
        <v>0</v>
      </c>
      <c r="K97" s="507">
        <f>SUMIFS(Controle!$R:$R,Controle!$H:$H,produtos_escape2!$A97,Controle!$Z:$Z,"6")</f>
        <v>0</v>
      </c>
      <c r="L97" s="507">
        <f t="shared" si="3"/>
        <v>0</v>
      </c>
      <c r="M97" s="381" t="s">
        <v>4567</v>
      </c>
    </row>
    <row r="98" spans="1:13" s="84" customFormat="1" ht="14.25" customHeight="1" thickBot="1">
      <c r="A98" s="353">
        <v>3083</v>
      </c>
      <c r="B98" s="194" t="s">
        <v>2571</v>
      </c>
      <c r="C98" s="339">
        <f t="shared" si="2"/>
        <v>50000</v>
      </c>
      <c r="D98" s="976" t="s">
        <v>624</v>
      </c>
      <c r="E98" s="172" t="s">
        <v>1739</v>
      </c>
      <c r="F98" s="507">
        <f>SUMIFS(Controle!$R:$R,Controle!$H:$H,produtos_escape2!$A98,Controle!$Z:$Z,"1")</f>
        <v>0</v>
      </c>
      <c r="G98" s="507">
        <f>SUMIFS(Controle!$R:$R,Controle!$H:$H,produtos_escape2!$A98,Controle!$Z:$Z,"2")</f>
        <v>0</v>
      </c>
      <c r="H98" s="507">
        <f>SUMIFS(Controle!$R:$R,Controle!$H:$H,produtos_escape2!$A98,Controle!$Z:$Z,"3")</f>
        <v>0</v>
      </c>
      <c r="I98" s="507">
        <f>SUMIFS(Controle!$R:$R,Controle!$H:$H,produtos_escape2!$A98,Controle!$Z:$Z,"4")</f>
        <v>0</v>
      </c>
      <c r="J98" s="507">
        <f>SUMIFS(Controle!$R:$R,Controle!$H:$H,produtos_escape2!$A98,Controle!$Z:$Z,"5")</f>
        <v>0</v>
      </c>
      <c r="K98" s="507">
        <f>SUMIFS(Controle!$R:$R,Controle!$H:$H,produtos_escape2!$A98,Controle!$Z:$Z,"6")</f>
        <v>0</v>
      </c>
      <c r="L98" s="507">
        <f t="shared" si="3"/>
        <v>0</v>
      </c>
      <c r="M98" s="381" t="s">
        <v>4568</v>
      </c>
    </row>
    <row r="99" spans="1:13" s="84" customFormat="1" ht="14.25" customHeight="1" thickBot="1">
      <c r="A99" s="353">
        <v>3086</v>
      </c>
      <c r="B99" s="194" t="s">
        <v>2572</v>
      </c>
      <c r="C99" s="339">
        <f t="shared" si="2"/>
        <v>50000</v>
      </c>
      <c r="D99" s="976" t="s">
        <v>624</v>
      </c>
      <c r="E99" s="172" t="s">
        <v>1739</v>
      </c>
      <c r="F99" s="507">
        <f>SUMIFS(Controle!$R:$R,Controle!$H:$H,produtos_escape2!$A99,Controle!$Z:$Z,"1")</f>
        <v>0</v>
      </c>
      <c r="G99" s="507">
        <f>SUMIFS(Controle!$R:$R,Controle!$H:$H,produtos_escape2!$A99,Controle!$Z:$Z,"2")</f>
        <v>0</v>
      </c>
      <c r="H99" s="507">
        <f>SUMIFS(Controle!$R:$R,Controle!$H:$H,produtos_escape2!$A99,Controle!$Z:$Z,"3")</f>
        <v>0</v>
      </c>
      <c r="I99" s="507">
        <f>SUMIFS(Controle!$R:$R,Controle!$H:$H,produtos_escape2!$A99,Controle!$Z:$Z,"4")</f>
        <v>0</v>
      </c>
      <c r="J99" s="507">
        <f>SUMIFS(Controle!$R:$R,Controle!$H:$H,produtos_escape2!$A99,Controle!$Z:$Z,"5")</f>
        <v>0</v>
      </c>
      <c r="K99" s="507">
        <f>SUMIFS(Controle!$R:$R,Controle!$H:$H,produtos_escape2!$A99,Controle!$Z:$Z,"6")</f>
        <v>0</v>
      </c>
      <c r="L99" s="507">
        <f t="shared" si="3"/>
        <v>0</v>
      </c>
      <c r="M99" s="381" t="s">
        <v>4567</v>
      </c>
    </row>
    <row r="100" spans="1:13" s="84" customFormat="1" ht="14.25" customHeight="1" thickBot="1">
      <c r="A100" s="353">
        <v>3139</v>
      </c>
      <c r="B100" s="194" t="s">
        <v>2732</v>
      </c>
      <c r="C100" s="339">
        <f t="shared" si="2"/>
        <v>50000</v>
      </c>
      <c r="D100" s="976" t="s">
        <v>624</v>
      </c>
      <c r="E100" s="172" t="s">
        <v>1739</v>
      </c>
      <c r="F100" s="507">
        <f>SUMIFS(Controle!$R:$R,Controle!$H:$H,produtos_escape2!$A100,Controle!$Z:$Z,"1")</f>
        <v>0</v>
      </c>
      <c r="G100" s="507">
        <f>SUMIFS(Controle!$R:$R,Controle!$H:$H,produtos_escape2!$A100,Controle!$Z:$Z,"2")</f>
        <v>0</v>
      </c>
      <c r="H100" s="507">
        <f>SUMIFS(Controle!$R:$R,Controle!$H:$H,produtos_escape2!$A100,Controle!$Z:$Z,"3")</f>
        <v>0</v>
      </c>
      <c r="I100" s="507">
        <f>SUMIFS(Controle!$R:$R,Controle!$H:$H,produtos_escape2!$A100,Controle!$Z:$Z,"4")</f>
        <v>0</v>
      </c>
      <c r="J100" s="507">
        <f>SUMIFS(Controle!$R:$R,Controle!$H:$H,produtos_escape2!$A100,Controle!$Z:$Z,"5")</f>
        <v>0</v>
      </c>
      <c r="K100" s="507">
        <f>SUMIFS(Controle!$R:$R,Controle!$H:$H,produtos_escape2!$A100,Controle!$Z:$Z,"6")</f>
        <v>0</v>
      </c>
      <c r="L100" s="507">
        <f t="shared" si="3"/>
        <v>0</v>
      </c>
      <c r="M100" s="381" t="s">
        <v>4569</v>
      </c>
    </row>
    <row r="101" spans="1:13" s="84" customFormat="1" ht="14.25" customHeight="1" thickBot="1">
      <c r="A101" s="353">
        <v>3144</v>
      </c>
      <c r="B101" s="194" t="s">
        <v>890</v>
      </c>
      <c r="C101" s="339">
        <f t="shared" si="2"/>
        <v>50000</v>
      </c>
      <c r="D101" s="976" t="s">
        <v>639</v>
      </c>
      <c r="E101" s="172" t="s">
        <v>1739</v>
      </c>
      <c r="F101" s="507">
        <f>SUMIFS(Controle!$R:$R,Controle!$H:$H,produtos_escape2!$A101,Controle!$Z:$Z,"1")</f>
        <v>0</v>
      </c>
      <c r="G101" s="507">
        <f>SUMIFS(Controle!$R:$R,Controle!$H:$H,produtos_escape2!$A101,Controle!$Z:$Z,"2")</f>
        <v>0</v>
      </c>
      <c r="H101" s="507">
        <f>SUMIFS(Controle!$R:$R,Controle!$H:$H,produtos_escape2!$A101,Controle!$Z:$Z,"3")</f>
        <v>0</v>
      </c>
      <c r="I101" s="507">
        <f>SUMIFS(Controle!$R:$R,Controle!$H:$H,produtos_escape2!$A101,Controle!$Z:$Z,"4")</f>
        <v>0</v>
      </c>
      <c r="J101" s="507">
        <f>SUMIFS(Controle!$R:$R,Controle!$H:$H,produtos_escape2!$A101,Controle!$Z:$Z,"5")</f>
        <v>0</v>
      </c>
      <c r="K101" s="507">
        <f>SUMIFS(Controle!$R:$R,Controle!$H:$H,produtos_escape2!$A101,Controle!$Z:$Z,"6")</f>
        <v>0</v>
      </c>
      <c r="L101" s="507">
        <f t="shared" si="3"/>
        <v>0</v>
      </c>
      <c r="M101" s="381" t="s">
        <v>4570</v>
      </c>
    </row>
    <row r="102" spans="1:13" s="84" customFormat="1" ht="14.25" customHeight="1" thickBot="1">
      <c r="A102" s="353">
        <v>3154</v>
      </c>
      <c r="B102" s="338" t="s">
        <v>891</v>
      </c>
      <c r="C102" s="339">
        <f t="shared" si="2"/>
        <v>50000</v>
      </c>
      <c r="D102" s="976" t="s">
        <v>639</v>
      </c>
      <c r="E102" s="172" t="s">
        <v>1739</v>
      </c>
      <c r="F102" s="507">
        <f>SUMIFS(Controle!$R:$R,Controle!$H:$H,produtos_escape2!$A102,Controle!$Z:$Z,"1")</f>
        <v>0</v>
      </c>
      <c r="G102" s="507">
        <f>SUMIFS(Controle!$R:$R,Controle!$H:$H,produtos_escape2!$A102,Controle!$Z:$Z,"2")</f>
        <v>0</v>
      </c>
      <c r="H102" s="507">
        <f>SUMIFS(Controle!$R:$R,Controle!$H:$H,produtos_escape2!$A102,Controle!$Z:$Z,"3")</f>
        <v>0</v>
      </c>
      <c r="I102" s="507">
        <f>SUMIFS(Controle!$R:$R,Controle!$H:$H,produtos_escape2!$A102,Controle!$Z:$Z,"4")</f>
        <v>0</v>
      </c>
      <c r="J102" s="507">
        <f>SUMIFS(Controle!$R:$R,Controle!$H:$H,produtos_escape2!$A102,Controle!$Z:$Z,"5")</f>
        <v>0</v>
      </c>
      <c r="K102" s="507">
        <f>SUMIFS(Controle!$R:$R,Controle!$H:$H,produtos_escape2!$A102,Controle!$Z:$Z,"6")</f>
        <v>0</v>
      </c>
      <c r="L102" s="507">
        <f t="shared" si="3"/>
        <v>0</v>
      </c>
      <c r="M102" s="381" t="s">
        <v>4571</v>
      </c>
    </row>
    <row r="103" spans="1:13" s="84" customFormat="1" ht="14.25" customHeight="1" thickBot="1">
      <c r="A103" s="353">
        <v>3250</v>
      </c>
      <c r="B103" s="194" t="s">
        <v>4251</v>
      </c>
      <c r="C103" s="339">
        <f t="shared" si="2"/>
        <v>50000</v>
      </c>
      <c r="D103" s="976" t="s">
        <v>624</v>
      </c>
      <c r="E103" s="172" t="s">
        <v>7207</v>
      </c>
      <c r="F103" s="507">
        <f>SUMIFS(Controle!$R:$R,Controle!$H:$H,produtos_escape2!$A103,Controle!$Z:$Z,"1")</f>
        <v>0</v>
      </c>
      <c r="G103" s="507">
        <f>SUMIFS(Controle!$R:$R,Controle!$H:$H,produtos_escape2!$A103,Controle!$Z:$Z,"2")</f>
        <v>0</v>
      </c>
      <c r="H103" s="507">
        <f>SUMIFS(Controle!$R:$R,Controle!$H:$H,produtos_escape2!$A103,Controle!$Z:$Z,"3")</f>
        <v>0</v>
      </c>
      <c r="I103" s="507">
        <f>SUMIFS(Controle!$R:$R,Controle!$H:$H,produtos_escape2!$A103,Controle!$Z:$Z,"4")</f>
        <v>0</v>
      </c>
      <c r="J103" s="507">
        <f>SUMIFS(Controle!$R:$R,Controle!$H:$H,produtos_escape2!$A103,Controle!$Z:$Z,"5")</f>
        <v>0</v>
      </c>
      <c r="K103" s="507">
        <f>SUMIFS(Controle!$R:$R,Controle!$H:$H,produtos_escape2!$A103,Controle!$Z:$Z,"6")</f>
        <v>0</v>
      </c>
      <c r="L103" s="507">
        <f t="shared" si="3"/>
        <v>0</v>
      </c>
      <c r="M103" s="381" t="s">
        <v>4572</v>
      </c>
    </row>
    <row r="104" spans="1:13" s="84" customFormat="1" ht="14.25" customHeight="1" thickBot="1">
      <c r="A104" s="353">
        <v>3286</v>
      </c>
      <c r="B104" s="194" t="s">
        <v>629</v>
      </c>
      <c r="C104" s="339">
        <f t="shared" si="2"/>
        <v>50000</v>
      </c>
      <c r="D104" s="976" t="s">
        <v>624</v>
      </c>
      <c r="E104" s="172" t="s">
        <v>1739</v>
      </c>
      <c r="F104" s="507">
        <f>SUMIFS(Controle!$R:$R,Controle!$H:$H,produtos_escape2!$A104,Controle!$Z:$Z,"1")</f>
        <v>0</v>
      </c>
      <c r="G104" s="507">
        <f>SUMIFS(Controle!$R:$R,Controle!$H:$H,produtos_escape2!$A104,Controle!$Z:$Z,"2")</f>
        <v>0</v>
      </c>
      <c r="H104" s="507">
        <f>SUMIFS(Controle!$R:$R,Controle!$H:$H,produtos_escape2!$A104,Controle!$Z:$Z,"3")</f>
        <v>0</v>
      </c>
      <c r="I104" s="507">
        <f>SUMIFS(Controle!$R:$R,Controle!$H:$H,produtos_escape2!$A104,Controle!$Z:$Z,"4")</f>
        <v>0</v>
      </c>
      <c r="J104" s="507">
        <f>SUMIFS(Controle!$R:$R,Controle!$H:$H,produtos_escape2!$A104,Controle!$Z:$Z,"5")</f>
        <v>0</v>
      </c>
      <c r="K104" s="507">
        <f>SUMIFS(Controle!$R:$R,Controle!$H:$H,produtos_escape2!$A104,Controle!$Z:$Z,"6")</f>
        <v>0</v>
      </c>
      <c r="L104" s="507">
        <f t="shared" si="3"/>
        <v>0</v>
      </c>
      <c r="M104" s="381" t="s">
        <v>629</v>
      </c>
    </row>
    <row r="105" spans="1:13" s="84" customFormat="1" ht="14.25" customHeight="1" thickBot="1">
      <c r="A105" s="333">
        <v>3349</v>
      </c>
      <c r="B105" s="194" t="s">
        <v>631</v>
      </c>
      <c r="C105" s="339">
        <f t="shared" si="2"/>
        <v>50000</v>
      </c>
      <c r="D105" s="976" t="s">
        <v>624</v>
      </c>
      <c r="E105" s="172" t="s">
        <v>1739</v>
      </c>
      <c r="F105" s="507">
        <f>SUMIFS(Controle!$R:$R,Controle!$H:$H,produtos_escape2!$A105,Controle!$Z:$Z,"1")</f>
        <v>0</v>
      </c>
      <c r="G105" s="507">
        <f>SUMIFS(Controle!$R:$R,Controle!$H:$H,produtos_escape2!$A105,Controle!$Z:$Z,"2")</f>
        <v>0</v>
      </c>
      <c r="H105" s="507">
        <f>SUMIFS(Controle!$R:$R,Controle!$H:$H,produtos_escape2!$A105,Controle!$Z:$Z,"3")</f>
        <v>0</v>
      </c>
      <c r="I105" s="507">
        <f>SUMIFS(Controle!$R:$R,Controle!$H:$H,produtos_escape2!$A105,Controle!$Z:$Z,"4")</f>
        <v>0</v>
      </c>
      <c r="J105" s="507">
        <f>SUMIFS(Controle!$R:$R,Controle!$H:$H,produtos_escape2!$A105,Controle!$Z:$Z,"5")</f>
        <v>0</v>
      </c>
      <c r="K105" s="507">
        <f>SUMIFS(Controle!$R:$R,Controle!$H:$H,produtos_escape2!$A105,Controle!$Z:$Z,"6")</f>
        <v>0</v>
      </c>
      <c r="L105" s="507">
        <f t="shared" si="3"/>
        <v>0</v>
      </c>
      <c r="M105" s="381" t="s">
        <v>4573</v>
      </c>
    </row>
    <row r="106" spans="1:13" s="84" customFormat="1" ht="14.25" customHeight="1" thickBot="1">
      <c r="A106" s="353">
        <v>3365</v>
      </c>
      <c r="B106" s="194" t="s">
        <v>1718</v>
      </c>
      <c r="C106" s="339">
        <f t="shared" si="2"/>
        <v>50000</v>
      </c>
      <c r="D106" s="975" t="s">
        <v>548</v>
      </c>
      <c r="E106" s="172" t="s">
        <v>1739</v>
      </c>
      <c r="F106" s="507">
        <f>SUMIFS(Controle!$R:$R,Controle!$H:$H,produtos_escape2!$A106,Controle!$Z:$Z,"1")</f>
        <v>0</v>
      </c>
      <c r="G106" s="507">
        <f>SUMIFS(Controle!$R:$R,Controle!$H:$H,produtos_escape2!$A106,Controle!$Z:$Z,"2")</f>
        <v>0</v>
      </c>
      <c r="H106" s="507">
        <f>SUMIFS(Controle!$R:$R,Controle!$H:$H,produtos_escape2!$A106,Controle!$Z:$Z,"3")</f>
        <v>0</v>
      </c>
      <c r="I106" s="507">
        <f>SUMIFS(Controle!$R:$R,Controle!$H:$H,produtos_escape2!$A106,Controle!$Z:$Z,"4")</f>
        <v>0</v>
      </c>
      <c r="J106" s="507">
        <f>SUMIFS(Controle!$R:$R,Controle!$H:$H,produtos_escape2!$A106,Controle!$Z:$Z,"5")</f>
        <v>0</v>
      </c>
      <c r="K106" s="507">
        <f>SUMIFS(Controle!$R:$R,Controle!$H:$H,produtos_escape2!$A106,Controle!$Z:$Z,"6")</f>
        <v>0</v>
      </c>
      <c r="L106" s="507">
        <f t="shared" si="3"/>
        <v>0</v>
      </c>
      <c r="M106" s="381" t="s">
        <v>4574</v>
      </c>
    </row>
    <row r="107" spans="1:13" s="84" customFormat="1" ht="14.25" customHeight="1" thickBot="1">
      <c r="A107" s="353">
        <v>3389</v>
      </c>
      <c r="B107" s="194" t="s">
        <v>1781</v>
      </c>
      <c r="C107" s="339">
        <f t="shared" si="2"/>
        <v>50000</v>
      </c>
      <c r="D107" s="975" t="s">
        <v>624</v>
      </c>
      <c r="E107" s="172" t="s">
        <v>1739</v>
      </c>
      <c r="F107" s="507">
        <f>SUMIFS(Controle!$R:$R,Controle!$H:$H,produtos_escape2!$A107,Controle!$Z:$Z,"1")</f>
        <v>0</v>
      </c>
      <c r="G107" s="507">
        <f>SUMIFS(Controle!$R:$R,Controle!$H:$H,produtos_escape2!$A107,Controle!$Z:$Z,"2")</f>
        <v>0</v>
      </c>
      <c r="H107" s="507">
        <f>SUMIFS(Controle!$R:$R,Controle!$H:$H,produtos_escape2!$A107,Controle!$Z:$Z,"3")</f>
        <v>0</v>
      </c>
      <c r="I107" s="507">
        <f>SUMIFS(Controle!$R:$R,Controle!$H:$H,produtos_escape2!$A107,Controle!$Z:$Z,"4")</f>
        <v>0</v>
      </c>
      <c r="J107" s="507">
        <f>SUMIFS(Controle!$R:$R,Controle!$H:$H,produtos_escape2!$A107,Controle!$Z:$Z,"5")</f>
        <v>0</v>
      </c>
      <c r="K107" s="507">
        <f>SUMIFS(Controle!$R:$R,Controle!$H:$H,produtos_escape2!$A107,Controle!$Z:$Z,"6")</f>
        <v>0</v>
      </c>
      <c r="L107" s="507">
        <f t="shared" si="3"/>
        <v>0</v>
      </c>
      <c r="M107" s="381" t="s">
        <v>4575</v>
      </c>
    </row>
    <row r="108" spans="1:13" s="84" customFormat="1" ht="14.25" customHeight="1" thickBot="1">
      <c r="A108" s="353">
        <v>3402</v>
      </c>
      <c r="B108" s="194" t="s">
        <v>151</v>
      </c>
      <c r="C108" s="339">
        <f t="shared" si="2"/>
        <v>50000</v>
      </c>
      <c r="D108" s="976" t="s">
        <v>624</v>
      </c>
      <c r="E108" s="172" t="s">
        <v>7207</v>
      </c>
      <c r="F108" s="507">
        <f>SUMIFS(Controle!$R:$R,Controle!$H:$H,produtos_escape2!$A108,Controle!$Z:$Z,"1")</f>
        <v>0</v>
      </c>
      <c r="G108" s="507">
        <f>SUMIFS(Controle!$R:$R,Controle!$H:$H,produtos_escape2!$A108,Controle!$Z:$Z,"2")</f>
        <v>0</v>
      </c>
      <c r="H108" s="507">
        <f>SUMIFS(Controle!$R:$R,Controle!$H:$H,produtos_escape2!$A108,Controle!$Z:$Z,"3")</f>
        <v>0</v>
      </c>
      <c r="I108" s="507">
        <f>SUMIFS(Controle!$R:$R,Controle!$H:$H,produtos_escape2!$A108,Controle!$Z:$Z,"4")</f>
        <v>0</v>
      </c>
      <c r="J108" s="507">
        <f>SUMIFS(Controle!$R:$R,Controle!$H:$H,produtos_escape2!$A108,Controle!$Z:$Z,"5")</f>
        <v>0</v>
      </c>
      <c r="K108" s="507">
        <f>SUMIFS(Controle!$R:$R,Controle!$H:$H,produtos_escape2!$A108,Controle!$Z:$Z,"6")</f>
        <v>0</v>
      </c>
      <c r="L108" s="507">
        <f t="shared" si="3"/>
        <v>0</v>
      </c>
      <c r="M108" s="381" t="s">
        <v>4576</v>
      </c>
    </row>
    <row r="109" spans="1:13" s="84" customFormat="1" ht="14.25" customHeight="1" thickBot="1">
      <c r="A109" s="353">
        <v>3527</v>
      </c>
      <c r="B109" s="194" t="s">
        <v>294</v>
      </c>
      <c r="C109" s="339">
        <f t="shared" si="2"/>
        <v>48200</v>
      </c>
      <c r="D109" s="976" t="s">
        <v>624</v>
      </c>
      <c r="E109" s="172" t="s">
        <v>1739</v>
      </c>
      <c r="F109" s="507">
        <f>SUMIFS(Controle!$R:$R,Controle!$H:$H,produtos_escape2!$A109,Controle!$Z:$Z,"1")</f>
        <v>0</v>
      </c>
      <c r="G109" s="507">
        <f>SUMIFS(Controle!$R:$R,Controle!$H:$H,produtos_escape2!$A109,Controle!$Z:$Z,"2")</f>
        <v>0</v>
      </c>
      <c r="H109" s="507">
        <f>SUMIFS(Controle!$R:$R,Controle!$H:$H,produtos_escape2!$A109,Controle!$Z:$Z,"3")</f>
        <v>1800</v>
      </c>
      <c r="I109" s="507">
        <f>SUMIFS(Controle!$R:$R,Controle!$H:$H,produtos_escape2!$A109,Controle!$Z:$Z,"4")</f>
        <v>0</v>
      </c>
      <c r="J109" s="507">
        <f>SUMIFS(Controle!$R:$R,Controle!$H:$H,produtos_escape2!$A109,Controle!$Z:$Z,"5")</f>
        <v>0</v>
      </c>
      <c r="K109" s="507">
        <f>SUMIFS(Controle!$R:$R,Controle!$H:$H,produtos_escape2!$A109,Controle!$Z:$Z,"6")</f>
        <v>0</v>
      </c>
      <c r="L109" s="507">
        <f t="shared" si="3"/>
        <v>1800</v>
      </c>
      <c r="M109" s="381" t="s">
        <v>4577</v>
      </c>
    </row>
    <row r="110" spans="1:13" s="84" customFormat="1" ht="14.25" customHeight="1" thickBot="1">
      <c r="A110" s="353">
        <v>3609</v>
      </c>
      <c r="B110" s="338" t="s">
        <v>840</v>
      </c>
      <c r="C110" s="339">
        <f t="shared" si="2"/>
        <v>50000</v>
      </c>
      <c r="D110" s="976" t="s">
        <v>624</v>
      </c>
      <c r="E110" s="172" t="s">
        <v>1739</v>
      </c>
      <c r="F110" s="507">
        <f>SUMIFS(Controle!$R:$R,Controle!$H:$H,produtos_escape2!$A110,Controle!$Z:$Z,"1")</f>
        <v>0</v>
      </c>
      <c r="G110" s="507">
        <f>SUMIFS(Controle!$R:$R,Controle!$H:$H,produtos_escape2!$A110,Controle!$Z:$Z,"2")</f>
        <v>0</v>
      </c>
      <c r="H110" s="507">
        <f>SUMIFS(Controle!$R:$R,Controle!$H:$H,produtos_escape2!$A110,Controle!$Z:$Z,"3")</f>
        <v>0</v>
      </c>
      <c r="I110" s="507">
        <f>SUMIFS(Controle!$R:$R,Controle!$H:$H,produtos_escape2!$A110,Controle!$Z:$Z,"4")</f>
        <v>0</v>
      </c>
      <c r="J110" s="507">
        <f>SUMIFS(Controle!$R:$R,Controle!$H:$H,produtos_escape2!$A110,Controle!$Z:$Z,"5")</f>
        <v>0</v>
      </c>
      <c r="K110" s="507">
        <f>SUMIFS(Controle!$R:$R,Controle!$H:$H,produtos_escape2!$A110,Controle!$Z:$Z,"6")</f>
        <v>0</v>
      </c>
      <c r="L110" s="507">
        <f t="shared" si="3"/>
        <v>0</v>
      </c>
      <c r="M110" s="381" t="s">
        <v>4578</v>
      </c>
    </row>
    <row r="111" spans="1:13" s="84" customFormat="1" ht="14.25" customHeight="1" thickBot="1">
      <c r="A111" s="353">
        <v>3683</v>
      </c>
      <c r="B111" s="194" t="s">
        <v>4280</v>
      </c>
      <c r="C111" s="339">
        <f t="shared" si="2"/>
        <v>50000</v>
      </c>
      <c r="D111" s="976" t="s">
        <v>624</v>
      </c>
      <c r="E111" s="172" t="s">
        <v>7207</v>
      </c>
      <c r="F111" s="507">
        <f>SUMIFS(Controle!$R:$R,Controle!$H:$H,produtos_escape2!$A111,Controle!$Z:$Z,"1")</f>
        <v>0</v>
      </c>
      <c r="G111" s="507">
        <f>SUMIFS(Controle!$R:$R,Controle!$H:$H,produtos_escape2!$A111,Controle!$Z:$Z,"2")</f>
        <v>0</v>
      </c>
      <c r="H111" s="507">
        <f>SUMIFS(Controle!$R:$R,Controle!$H:$H,produtos_escape2!$A111,Controle!$Z:$Z,"3")</f>
        <v>0</v>
      </c>
      <c r="I111" s="507">
        <f>SUMIFS(Controle!$R:$R,Controle!$H:$H,produtos_escape2!$A111,Controle!$Z:$Z,"4")</f>
        <v>0</v>
      </c>
      <c r="J111" s="507">
        <f>SUMIFS(Controle!$R:$R,Controle!$H:$H,produtos_escape2!$A111,Controle!$Z:$Z,"5")</f>
        <v>0</v>
      </c>
      <c r="K111" s="507">
        <f>SUMIFS(Controle!$R:$R,Controle!$H:$H,produtos_escape2!$A111,Controle!$Z:$Z,"6")</f>
        <v>0</v>
      </c>
      <c r="L111" s="507">
        <f t="shared" si="3"/>
        <v>0</v>
      </c>
      <c r="M111" s="381" t="s">
        <v>4579</v>
      </c>
    </row>
    <row r="112" spans="1:13" s="84" customFormat="1" ht="14.25" customHeight="1" thickBot="1">
      <c r="A112" s="353">
        <v>3789</v>
      </c>
      <c r="B112" s="194" t="s">
        <v>1377</v>
      </c>
      <c r="C112" s="339">
        <f t="shared" si="2"/>
        <v>50000</v>
      </c>
      <c r="D112" s="976" t="s">
        <v>624</v>
      </c>
      <c r="E112" s="172" t="s">
        <v>1739</v>
      </c>
      <c r="F112" s="507">
        <f>SUMIFS(Controle!$R:$R,Controle!$H:$H,produtos_escape2!$A112,Controle!$Z:$Z,"1")</f>
        <v>0</v>
      </c>
      <c r="G112" s="507">
        <f>SUMIFS(Controle!$R:$R,Controle!$H:$H,produtos_escape2!$A112,Controle!$Z:$Z,"2")</f>
        <v>0</v>
      </c>
      <c r="H112" s="507">
        <f>SUMIFS(Controle!$R:$R,Controle!$H:$H,produtos_escape2!$A112,Controle!$Z:$Z,"3")</f>
        <v>0</v>
      </c>
      <c r="I112" s="507">
        <f>SUMIFS(Controle!$R:$R,Controle!$H:$H,produtos_escape2!$A112,Controle!$Z:$Z,"4")</f>
        <v>0</v>
      </c>
      <c r="J112" s="507">
        <f>SUMIFS(Controle!$R:$R,Controle!$H:$H,produtos_escape2!$A112,Controle!$Z:$Z,"5")</f>
        <v>0</v>
      </c>
      <c r="K112" s="507">
        <f>SUMIFS(Controle!$R:$R,Controle!$H:$H,produtos_escape2!$A112,Controle!$Z:$Z,"6")</f>
        <v>0</v>
      </c>
      <c r="L112" s="507">
        <f t="shared" si="3"/>
        <v>0</v>
      </c>
      <c r="M112" s="381" t="s">
        <v>4580</v>
      </c>
    </row>
    <row r="113" spans="1:13" s="84" customFormat="1" ht="14.25" customHeight="1" thickBot="1">
      <c r="A113" s="333">
        <v>3815</v>
      </c>
      <c r="B113" s="194" t="s">
        <v>355</v>
      </c>
      <c r="C113" s="339">
        <f t="shared" si="2"/>
        <v>50000</v>
      </c>
      <c r="D113" s="976" t="s">
        <v>902</v>
      </c>
      <c r="E113" s="172" t="s">
        <v>1739</v>
      </c>
      <c r="F113" s="507">
        <f>SUMIFS(Controle!$R:$R,Controle!$H:$H,produtos_escape2!$A113,Controle!$Z:$Z,"1")</f>
        <v>0</v>
      </c>
      <c r="G113" s="507">
        <f>SUMIFS(Controle!$R:$R,Controle!$H:$H,produtos_escape2!$A113,Controle!$Z:$Z,"2")</f>
        <v>0</v>
      </c>
      <c r="H113" s="507">
        <f>SUMIFS(Controle!$R:$R,Controle!$H:$H,produtos_escape2!$A113,Controle!$Z:$Z,"3")</f>
        <v>0</v>
      </c>
      <c r="I113" s="507">
        <f>SUMIFS(Controle!$R:$R,Controle!$H:$H,produtos_escape2!$A113,Controle!$Z:$Z,"4")</f>
        <v>0</v>
      </c>
      <c r="J113" s="507">
        <f>SUMIFS(Controle!$R:$R,Controle!$H:$H,produtos_escape2!$A113,Controle!$Z:$Z,"5")</f>
        <v>0</v>
      </c>
      <c r="K113" s="507">
        <f>SUMIFS(Controle!$R:$R,Controle!$H:$H,produtos_escape2!$A113,Controle!$Z:$Z,"6")</f>
        <v>0</v>
      </c>
      <c r="L113" s="507">
        <f t="shared" si="3"/>
        <v>0</v>
      </c>
      <c r="M113" s="381" t="s">
        <v>4526</v>
      </c>
    </row>
    <row r="114" spans="1:13" s="84" customFormat="1" ht="14.25" customHeight="1" thickBot="1">
      <c r="A114" s="353">
        <v>3827</v>
      </c>
      <c r="B114" s="194" t="s">
        <v>2573</v>
      </c>
      <c r="C114" s="339">
        <f t="shared" si="2"/>
        <v>50000</v>
      </c>
      <c r="D114" s="976" t="s">
        <v>729</v>
      </c>
      <c r="E114" s="172" t="s">
        <v>1739</v>
      </c>
      <c r="F114" s="507">
        <f>SUMIFS(Controle!$R:$R,Controle!$H:$H,produtos_escape2!$A114,Controle!$Z:$Z,"1")</f>
        <v>0</v>
      </c>
      <c r="G114" s="507">
        <f>SUMIFS(Controle!$R:$R,Controle!$H:$H,produtos_escape2!$A114,Controle!$Z:$Z,"2")</f>
        <v>0</v>
      </c>
      <c r="H114" s="507">
        <f>SUMIFS(Controle!$R:$R,Controle!$H:$H,produtos_escape2!$A114,Controle!$Z:$Z,"3")</f>
        <v>0</v>
      </c>
      <c r="I114" s="507">
        <f>SUMIFS(Controle!$R:$R,Controle!$H:$H,produtos_escape2!$A114,Controle!$Z:$Z,"4")</f>
        <v>0</v>
      </c>
      <c r="J114" s="507">
        <f>SUMIFS(Controle!$R:$R,Controle!$H:$H,produtos_escape2!$A114,Controle!$Z:$Z,"5")</f>
        <v>0</v>
      </c>
      <c r="K114" s="507">
        <f>SUMIFS(Controle!$R:$R,Controle!$H:$H,produtos_escape2!$A114,Controle!$Z:$Z,"6")</f>
        <v>0</v>
      </c>
      <c r="L114" s="507">
        <f t="shared" si="3"/>
        <v>0</v>
      </c>
      <c r="M114" s="381" t="s">
        <v>4581</v>
      </c>
    </row>
    <row r="115" spans="1:13" s="84" customFormat="1" ht="14.25" customHeight="1" thickBot="1">
      <c r="A115" s="353">
        <v>3857</v>
      </c>
      <c r="B115" s="194" t="s">
        <v>3005</v>
      </c>
      <c r="C115" s="339">
        <f t="shared" si="2"/>
        <v>50000</v>
      </c>
      <c r="D115" s="976" t="s">
        <v>624</v>
      </c>
      <c r="E115" s="172" t="s">
        <v>1739</v>
      </c>
      <c r="F115" s="507">
        <f>SUMIFS(Controle!$R:$R,Controle!$H:$H,produtos_escape2!$A115,Controle!$Z:$Z,"1")</f>
        <v>0</v>
      </c>
      <c r="G115" s="507">
        <f>SUMIFS(Controle!$R:$R,Controle!$H:$H,produtos_escape2!$A115,Controle!$Z:$Z,"2")</f>
        <v>0</v>
      </c>
      <c r="H115" s="507">
        <f>SUMIFS(Controle!$R:$R,Controle!$H:$H,produtos_escape2!$A115,Controle!$Z:$Z,"3")</f>
        <v>0</v>
      </c>
      <c r="I115" s="507">
        <f>SUMIFS(Controle!$R:$R,Controle!$H:$H,produtos_escape2!$A115,Controle!$Z:$Z,"4")</f>
        <v>0</v>
      </c>
      <c r="J115" s="507">
        <f>SUMIFS(Controle!$R:$R,Controle!$H:$H,produtos_escape2!$A115,Controle!$Z:$Z,"5")</f>
        <v>0</v>
      </c>
      <c r="K115" s="507">
        <f>SUMIFS(Controle!$R:$R,Controle!$H:$H,produtos_escape2!$A115,Controle!$Z:$Z,"6")</f>
        <v>0</v>
      </c>
      <c r="L115" s="507">
        <f t="shared" si="3"/>
        <v>0</v>
      </c>
      <c r="M115" s="381" t="s">
        <v>4582</v>
      </c>
    </row>
    <row r="116" spans="1:13" s="84" customFormat="1" ht="14.25" customHeight="1" thickBot="1">
      <c r="A116" s="353">
        <v>4116</v>
      </c>
      <c r="B116" s="194" t="s">
        <v>283</v>
      </c>
      <c r="C116" s="339">
        <f t="shared" si="2"/>
        <v>50000</v>
      </c>
      <c r="D116" s="976" t="s">
        <v>624</v>
      </c>
      <c r="E116" s="172" t="s">
        <v>1739</v>
      </c>
      <c r="F116" s="507">
        <f>SUMIFS(Controle!$R:$R,Controle!$H:$H,produtos_escape2!$A116,Controle!$Z:$Z,"1")</f>
        <v>0</v>
      </c>
      <c r="G116" s="507">
        <f>SUMIFS(Controle!$R:$R,Controle!$H:$H,produtos_escape2!$A116,Controle!$Z:$Z,"2")</f>
        <v>0</v>
      </c>
      <c r="H116" s="507">
        <f>SUMIFS(Controle!$R:$R,Controle!$H:$H,produtos_escape2!$A116,Controle!$Z:$Z,"3")</f>
        <v>0</v>
      </c>
      <c r="I116" s="507">
        <f>SUMIFS(Controle!$R:$R,Controle!$H:$H,produtos_escape2!$A116,Controle!$Z:$Z,"4")</f>
        <v>0</v>
      </c>
      <c r="J116" s="507">
        <f>SUMIFS(Controle!$R:$R,Controle!$H:$H,produtos_escape2!$A116,Controle!$Z:$Z,"5")</f>
        <v>0</v>
      </c>
      <c r="K116" s="507">
        <f>SUMIFS(Controle!$R:$R,Controle!$H:$H,produtos_escape2!$A116,Controle!$Z:$Z,"6")</f>
        <v>0</v>
      </c>
      <c r="L116" s="507">
        <f t="shared" si="3"/>
        <v>0</v>
      </c>
      <c r="M116" s="381" t="s">
        <v>4583</v>
      </c>
    </row>
    <row r="117" spans="1:13" s="84" customFormat="1" ht="14.25" customHeight="1" thickBot="1">
      <c r="A117" s="353">
        <v>4188</v>
      </c>
      <c r="B117" s="194" t="s">
        <v>170</v>
      </c>
      <c r="C117" s="339">
        <f t="shared" si="2"/>
        <v>49504</v>
      </c>
      <c r="D117" s="976" t="s">
        <v>1384</v>
      </c>
      <c r="E117" s="172" t="s">
        <v>1739</v>
      </c>
      <c r="F117" s="507">
        <f>SUMIFS(Controle!$R:$R,Controle!$H:$H,produtos_escape2!$A117,Controle!$Z:$Z,"1")</f>
        <v>0</v>
      </c>
      <c r="G117" s="507">
        <f>SUMIFS(Controle!$R:$R,Controle!$H:$H,produtos_escape2!$A117,Controle!$Z:$Z,"2")</f>
        <v>0</v>
      </c>
      <c r="H117" s="507">
        <f>SUMIFS(Controle!$R:$R,Controle!$H:$H,produtos_escape2!$A117,Controle!$Z:$Z,"3")</f>
        <v>496</v>
      </c>
      <c r="I117" s="507">
        <f>SUMIFS(Controle!$R:$R,Controle!$H:$H,produtos_escape2!$A117,Controle!$Z:$Z,"4")</f>
        <v>0</v>
      </c>
      <c r="J117" s="507">
        <f>SUMIFS(Controle!$R:$R,Controle!$H:$H,produtos_escape2!$A117,Controle!$Z:$Z,"5")</f>
        <v>0</v>
      </c>
      <c r="K117" s="507">
        <f>SUMIFS(Controle!$R:$R,Controle!$H:$H,produtos_escape2!$A117,Controle!$Z:$Z,"6")</f>
        <v>0</v>
      </c>
      <c r="L117" s="507">
        <f t="shared" si="3"/>
        <v>496</v>
      </c>
      <c r="M117" s="381" t="s">
        <v>4584</v>
      </c>
    </row>
    <row r="118" spans="1:13" s="84" customFormat="1" ht="14.25" customHeight="1" thickBot="1">
      <c r="A118" s="353">
        <v>4204</v>
      </c>
      <c r="B118" s="338" t="s">
        <v>76</v>
      </c>
      <c r="C118" s="339">
        <f t="shared" si="2"/>
        <v>50000</v>
      </c>
      <c r="D118" s="976" t="s">
        <v>624</v>
      </c>
      <c r="E118" s="172" t="s">
        <v>1739</v>
      </c>
      <c r="F118" s="507">
        <f>SUMIFS(Controle!$R:$R,Controle!$H:$H,produtos_escape2!$A118,Controle!$Z:$Z,"1")</f>
        <v>0</v>
      </c>
      <c r="G118" s="507">
        <f>SUMIFS(Controle!$R:$R,Controle!$H:$H,produtos_escape2!$A118,Controle!$Z:$Z,"2")</f>
        <v>0</v>
      </c>
      <c r="H118" s="507">
        <f>SUMIFS(Controle!$R:$R,Controle!$H:$H,produtos_escape2!$A118,Controle!$Z:$Z,"3")</f>
        <v>0</v>
      </c>
      <c r="I118" s="507">
        <f>SUMIFS(Controle!$R:$R,Controle!$H:$H,produtos_escape2!$A118,Controle!$Z:$Z,"4")</f>
        <v>0</v>
      </c>
      <c r="J118" s="507">
        <f>SUMIFS(Controle!$R:$R,Controle!$H:$H,produtos_escape2!$A118,Controle!$Z:$Z,"5")</f>
        <v>0</v>
      </c>
      <c r="K118" s="507">
        <f>SUMIFS(Controle!$R:$R,Controle!$H:$H,produtos_escape2!$A118,Controle!$Z:$Z,"6")</f>
        <v>0</v>
      </c>
      <c r="L118" s="507">
        <f t="shared" si="3"/>
        <v>0</v>
      </c>
      <c r="M118" s="381" t="s">
        <v>4585</v>
      </c>
    </row>
    <row r="119" spans="1:13" s="84" customFormat="1" ht="14.25" customHeight="1" thickBot="1">
      <c r="A119" s="353">
        <v>4259</v>
      </c>
      <c r="B119" s="194" t="s">
        <v>496</v>
      </c>
      <c r="C119" s="339">
        <f t="shared" si="2"/>
        <v>50000</v>
      </c>
      <c r="D119" s="976" t="s">
        <v>624</v>
      </c>
      <c r="E119" s="172" t="s">
        <v>1739</v>
      </c>
      <c r="F119" s="507">
        <f>SUMIFS(Controle!$R:$R,Controle!$H:$H,produtos_escape2!$A119,Controle!$Z:$Z,"1")</f>
        <v>0</v>
      </c>
      <c r="G119" s="507">
        <f>SUMIFS(Controle!$R:$R,Controle!$H:$H,produtos_escape2!$A119,Controle!$Z:$Z,"2")</f>
        <v>0</v>
      </c>
      <c r="H119" s="507">
        <f>SUMIFS(Controle!$R:$R,Controle!$H:$H,produtos_escape2!$A119,Controle!$Z:$Z,"3")</f>
        <v>0</v>
      </c>
      <c r="I119" s="507">
        <f>SUMIFS(Controle!$R:$R,Controle!$H:$H,produtos_escape2!$A119,Controle!$Z:$Z,"4")</f>
        <v>0</v>
      </c>
      <c r="J119" s="507">
        <f>SUMIFS(Controle!$R:$R,Controle!$H:$H,produtos_escape2!$A119,Controle!$Z:$Z,"5")</f>
        <v>0</v>
      </c>
      <c r="K119" s="507">
        <f>SUMIFS(Controle!$R:$R,Controle!$H:$H,produtos_escape2!$A119,Controle!$Z:$Z,"6")</f>
        <v>0</v>
      </c>
      <c r="L119" s="507">
        <f t="shared" si="3"/>
        <v>0</v>
      </c>
      <c r="M119" s="381" t="s">
        <v>4586</v>
      </c>
    </row>
    <row r="120" spans="1:13" s="84" customFormat="1" ht="14.25" customHeight="1" thickBot="1">
      <c r="A120" s="353">
        <v>4377</v>
      </c>
      <c r="B120" s="194" t="s">
        <v>4367</v>
      </c>
      <c r="C120" s="339">
        <f t="shared" si="2"/>
        <v>50000</v>
      </c>
      <c r="D120" s="976" t="s">
        <v>624</v>
      </c>
      <c r="E120" s="197" t="s">
        <v>3608</v>
      </c>
      <c r="F120" s="507">
        <f>SUMIFS(Controle!$R:$R,Controle!$H:$H,produtos_escape2!$A120,Controle!$Z:$Z,"1")</f>
        <v>0</v>
      </c>
      <c r="G120" s="507">
        <f>SUMIFS(Controle!$R:$R,Controle!$H:$H,produtos_escape2!$A120,Controle!$Z:$Z,"2")</f>
        <v>0</v>
      </c>
      <c r="H120" s="507">
        <f>SUMIFS(Controle!$R:$R,Controle!$H:$H,produtos_escape2!$A120,Controle!$Z:$Z,"3")</f>
        <v>0</v>
      </c>
      <c r="I120" s="507">
        <f>SUMIFS(Controle!$R:$R,Controle!$H:$H,produtos_escape2!$A120,Controle!$Z:$Z,"4")</f>
        <v>0</v>
      </c>
      <c r="J120" s="507">
        <f>SUMIFS(Controle!$R:$R,Controle!$H:$H,produtos_escape2!$A120,Controle!$Z:$Z,"5")</f>
        <v>0</v>
      </c>
      <c r="K120" s="507">
        <f>SUMIFS(Controle!$R:$R,Controle!$H:$H,produtos_escape2!$A120,Controle!$Z:$Z,"6")</f>
        <v>0</v>
      </c>
      <c r="L120" s="507">
        <f t="shared" si="3"/>
        <v>0</v>
      </c>
      <c r="M120" s="381" t="s">
        <v>4587</v>
      </c>
    </row>
    <row r="121" spans="1:13" s="84" customFormat="1" ht="15.75" customHeight="1" thickBot="1">
      <c r="A121" s="333">
        <v>4440</v>
      </c>
      <c r="B121" s="194" t="s">
        <v>2763</v>
      </c>
      <c r="C121" s="339">
        <f t="shared" si="2"/>
        <v>50000</v>
      </c>
      <c r="D121" s="976" t="s">
        <v>624</v>
      </c>
      <c r="E121" s="172" t="s">
        <v>1739</v>
      </c>
      <c r="F121" s="507">
        <f>SUMIFS(Controle!$R:$R,Controle!$H:$H,produtos_escape2!$A121,Controle!$Z:$Z,"1")</f>
        <v>0</v>
      </c>
      <c r="G121" s="507">
        <f>SUMIFS(Controle!$R:$R,Controle!$H:$H,produtos_escape2!$A121,Controle!$Z:$Z,"2")</f>
        <v>0</v>
      </c>
      <c r="H121" s="507">
        <f>SUMIFS(Controle!$R:$R,Controle!$H:$H,produtos_escape2!$A121,Controle!$Z:$Z,"3")</f>
        <v>0</v>
      </c>
      <c r="I121" s="507">
        <f>SUMIFS(Controle!$R:$R,Controle!$H:$H,produtos_escape2!$A121,Controle!$Z:$Z,"4")</f>
        <v>0</v>
      </c>
      <c r="J121" s="507">
        <f>SUMIFS(Controle!$R:$R,Controle!$H:$H,produtos_escape2!$A121,Controle!$Z:$Z,"5")</f>
        <v>0</v>
      </c>
      <c r="K121" s="507">
        <f>SUMIFS(Controle!$R:$R,Controle!$H:$H,produtos_escape2!$A121,Controle!$Z:$Z,"6")</f>
        <v>0</v>
      </c>
      <c r="L121" s="507">
        <f t="shared" si="3"/>
        <v>0</v>
      </c>
      <c r="M121" s="381" t="s">
        <v>2763</v>
      </c>
    </row>
    <row r="122" spans="1:13" s="84" customFormat="1" ht="14.25" customHeight="1" thickBot="1">
      <c r="A122" s="353">
        <v>4441</v>
      </c>
      <c r="B122" s="194" t="s">
        <v>2574</v>
      </c>
      <c r="C122" s="339">
        <f t="shared" si="2"/>
        <v>50000</v>
      </c>
      <c r="D122" s="976" t="s">
        <v>624</v>
      </c>
      <c r="E122" s="172" t="s">
        <v>1739</v>
      </c>
      <c r="F122" s="507">
        <f>SUMIFS(Controle!$R:$R,Controle!$H:$H,produtos_escape2!$A122,Controle!$Z:$Z,"1")</f>
        <v>0</v>
      </c>
      <c r="G122" s="507">
        <f>SUMIFS(Controle!$R:$R,Controle!$H:$H,produtos_escape2!$A122,Controle!$Z:$Z,"2")</f>
        <v>0</v>
      </c>
      <c r="H122" s="507">
        <f>SUMIFS(Controle!$R:$R,Controle!$H:$H,produtos_escape2!$A122,Controle!$Z:$Z,"3")</f>
        <v>0</v>
      </c>
      <c r="I122" s="507">
        <f>SUMIFS(Controle!$R:$R,Controle!$H:$H,produtos_escape2!$A122,Controle!$Z:$Z,"4")</f>
        <v>0</v>
      </c>
      <c r="J122" s="507">
        <f>SUMIFS(Controle!$R:$R,Controle!$H:$H,produtos_escape2!$A122,Controle!$Z:$Z,"5")</f>
        <v>0</v>
      </c>
      <c r="K122" s="507">
        <f>SUMIFS(Controle!$R:$R,Controle!$H:$H,produtos_escape2!$A122,Controle!$Z:$Z,"6")</f>
        <v>0</v>
      </c>
      <c r="L122" s="507">
        <f t="shared" si="3"/>
        <v>0</v>
      </c>
      <c r="M122" s="381" t="s">
        <v>2574</v>
      </c>
    </row>
    <row r="123" spans="1:13" s="84" customFormat="1" ht="14.25" customHeight="1" thickBot="1">
      <c r="A123" s="353">
        <v>4442</v>
      </c>
      <c r="B123" s="194" t="s">
        <v>237</v>
      </c>
      <c r="C123" s="339">
        <f t="shared" si="2"/>
        <v>50000</v>
      </c>
      <c r="D123" s="976" t="s">
        <v>848</v>
      </c>
      <c r="E123" s="172" t="s">
        <v>1739</v>
      </c>
      <c r="F123" s="507">
        <f>SUMIFS(Controle!$R:$R,Controle!$H:$H,produtos_escape2!$A123,Controle!$Z:$Z,"1")</f>
        <v>0</v>
      </c>
      <c r="G123" s="507">
        <f>SUMIFS(Controle!$R:$R,Controle!$H:$H,produtos_escape2!$A123,Controle!$Z:$Z,"2")</f>
        <v>0</v>
      </c>
      <c r="H123" s="507">
        <f>SUMIFS(Controle!$R:$R,Controle!$H:$H,produtos_escape2!$A123,Controle!$Z:$Z,"3")</f>
        <v>0</v>
      </c>
      <c r="I123" s="507">
        <f>SUMIFS(Controle!$R:$R,Controle!$H:$H,produtos_escape2!$A123,Controle!$Z:$Z,"4")</f>
        <v>0</v>
      </c>
      <c r="J123" s="507">
        <f>SUMIFS(Controle!$R:$R,Controle!$H:$H,produtos_escape2!$A123,Controle!$Z:$Z,"5")</f>
        <v>0</v>
      </c>
      <c r="K123" s="507">
        <f>SUMIFS(Controle!$R:$R,Controle!$H:$H,produtos_escape2!$A123,Controle!$Z:$Z,"6")</f>
        <v>0</v>
      </c>
      <c r="L123" s="507">
        <f t="shared" si="3"/>
        <v>0</v>
      </c>
      <c r="M123" s="381" t="s">
        <v>4588</v>
      </c>
    </row>
    <row r="124" spans="1:13" s="84" customFormat="1" ht="14.25" customHeight="1" thickBot="1">
      <c r="A124" s="353">
        <v>4443</v>
      </c>
      <c r="B124" s="194" t="s">
        <v>107</v>
      </c>
      <c r="C124" s="339">
        <f t="shared" si="2"/>
        <v>50000</v>
      </c>
      <c r="D124" s="976" t="s">
        <v>848</v>
      </c>
      <c r="E124" s="172" t="s">
        <v>1739</v>
      </c>
      <c r="F124" s="507">
        <f>SUMIFS(Controle!$R:$R,Controle!$H:$H,produtos_escape2!$A124,Controle!$Z:$Z,"1")</f>
        <v>0</v>
      </c>
      <c r="G124" s="507">
        <f>SUMIFS(Controle!$R:$R,Controle!$H:$H,produtos_escape2!$A124,Controle!$Z:$Z,"2")</f>
        <v>0</v>
      </c>
      <c r="H124" s="507">
        <f>SUMIFS(Controle!$R:$R,Controle!$H:$H,produtos_escape2!$A124,Controle!$Z:$Z,"3")</f>
        <v>0</v>
      </c>
      <c r="I124" s="507">
        <f>SUMIFS(Controle!$R:$R,Controle!$H:$H,produtos_escape2!$A124,Controle!$Z:$Z,"4")</f>
        <v>0</v>
      </c>
      <c r="J124" s="507">
        <f>SUMIFS(Controle!$R:$R,Controle!$H:$H,produtos_escape2!$A124,Controle!$Z:$Z,"5")</f>
        <v>0</v>
      </c>
      <c r="K124" s="507">
        <f>SUMIFS(Controle!$R:$R,Controle!$H:$H,produtos_escape2!$A124,Controle!$Z:$Z,"6")</f>
        <v>0</v>
      </c>
      <c r="L124" s="507">
        <f t="shared" si="3"/>
        <v>0</v>
      </c>
      <c r="M124" s="381" t="s">
        <v>107</v>
      </c>
    </row>
    <row r="125" spans="1:13" s="84" customFormat="1" ht="14.25" customHeight="1" thickBot="1">
      <c r="A125" s="353">
        <v>4444</v>
      </c>
      <c r="B125" s="194" t="s">
        <v>236</v>
      </c>
      <c r="C125" s="339">
        <f t="shared" si="2"/>
        <v>50000</v>
      </c>
      <c r="D125" s="976" t="s">
        <v>848</v>
      </c>
      <c r="E125" s="172" t="s">
        <v>1739</v>
      </c>
      <c r="F125" s="507">
        <f>SUMIFS(Controle!$R:$R,Controle!$H:$H,produtos_escape2!$A125,Controle!$Z:$Z,"1")</f>
        <v>0</v>
      </c>
      <c r="G125" s="507">
        <f>SUMIFS(Controle!$R:$R,Controle!$H:$H,produtos_escape2!$A125,Controle!$Z:$Z,"2")</f>
        <v>0</v>
      </c>
      <c r="H125" s="507">
        <f>SUMIFS(Controle!$R:$R,Controle!$H:$H,produtos_escape2!$A125,Controle!$Z:$Z,"3")</f>
        <v>0</v>
      </c>
      <c r="I125" s="507">
        <f>SUMIFS(Controle!$R:$R,Controle!$H:$H,produtos_escape2!$A125,Controle!$Z:$Z,"4")</f>
        <v>0</v>
      </c>
      <c r="J125" s="507">
        <f>SUMIFS(Controle!$R:$R,Controle!$H:$H,produtos_escape2!$A125,Controle!$Z:$Z,"5")</f>
        <v>0</v>
      </c>
      <c r="K125" s="507">
        <f>SUMIFS(Controle!$R:$R,Controle!$H:$H,produtos_escape2!$A125,Controle!$Z:$Z,"6")</f>
        <v>0</v>
      </c>
      <c r="L125" s="507">
        <f t="shared" si="3"/>
        <v>0</v>
      </c>
      <c r="M125" s="381" t="s">
        <v>4589</v>
      </c>
    </row>
    <row r="126" spans="1:13" s="84" customFormat="1" ht="14.25" customHeight="1" thickBot="1">
      <c r="A126" s="353">
        <v>4445</v>
      </c>
      <c r="B126" s="338" t="s">
        <v>32</v>
      </c>
      <c r="C126" s="339">
        <f t="shared" si="2"/>
        <v>50000</v>
      </c>
      <c r="D126" s="976" t="s">
        <v>624</v>
      </c>
      <c r="E126" s="172" t="s">
        <v>1739</v>
      </c>
      <c r="F126" s="507">
        <f>SUMIFS(Controle!$R:$R,Controle!$H:$H,produtos_escape2!$A126,Controle!$Z:$Z,"1")</f>
        <v>0</v>
      </c>
      <c r="G126" s="507">
        <f>SUMIFS(Controle!$R:$R,Controle!$H:$H,produtos_escape2!$A126,Controle!$Z:$Z,"2")</f>
        <v>0</v>
      </c>
      <c r="H126" s="507">
        <f>SUMIFS(Controle!$R:$R,Controle!$H:$H,produtos_escape2!$A126,Controle!$Z:$Z,"3")</f>
        <v>0</v>
      </c>
      <c r="I126" s="507">
        <f>SUMIFS(Controle!$R:$R,Controle!$H:$H,produtos_escape2!$A126,Controle!$Z:$Z,"4")</f>
        <v>0</v>
      </c>
      <c r="J126" s="507">
        <f>SUMIFS(Controle!$R:$R,Controle!$H:$H,produtos_escape2!$A126,Controle!$Z:$Z,"5")</f>
        <v>0</v>
      </c>
      <c r="K126" s="507">
        <f>SUMIFS(Controle!$R:$R,Controle!$H:$H,produtos_escape2!$A126,Controle!$Z:$Z,"6")</f>
        <v>0</v>
      </c>
      <c r="L126" s="507">
        <f t="shared" si="3"/>
        <v>0</v>
      </c>
      <c r="M126" s="381" t="s">
        <v>32</v>
      </c>
    </row>
    <row r="127" spans="1:13" s="84" customFormat="1" ht="14.25" customHeight="1" thickBot="1">
      <c r="A127" s="353">
        <v>4447</v>
      </c>
      <c r="B127" s="194" t="s">
        <v>238</v>
      </c>
      <c r="C127" s="339">
        <f t="shared" si="2"/>
        <v>50000</v>
      </c>
      <c r="D127" s="976" t="s">
        <v>624</v>
      </c>
      <c r="E127" s="172" t="s">
        <v>1739</v>
      </c>
      <c r="F127" s="507">
        <f>SUMIFS(Controle!$R:$R,Controle!$H:$H,produtos_escape2!$A127,Controle!$Z:$Z,"1")</f>
        <v>0</v>
      </c>
      <c r="G127" s="507">
        <f>SUMIFS(Controle!$R:$R,Controle!$H:$H,produtos_escape2!$A127,Controle!$Z:$Z,"2")</f>
        <v>0</v>
      </c>
      <c r="H127" s="507">
        <f>SUMIFS(Controle!$R:$R,Controle!$H:$H,produtos_escape2!$A127,Controle!$Z:$Z,"3")</f>
        <v>0</v>
      </c>
      <c r="I127" s="507">
        <f>SUMIFS(Controle!$R:$R,Controle!$H:$H,produtos_escape2!$A127,Controle!$Z:$Z,"4")</f>
        <v>0</v>
      </c>
      <c r="J127" s="507">
        <f>SUMIFS(Controle!$R:$R,Controle!$H:$H,produtos_escape2!$A127,Controle!$Z:$Z,"5")</f>
        <v>0</v>
      </c>
      <c r="K127" s="507">
        <f>SUMIFS(Controle!$R:$R,Controle!$H:$H,produtos_escape2!$A127,Controle!$Z:$Z,"6")</f>
        <v>0</v>
      </c>
      <c r="L127" s="507">
        <f t="shared" si="3"/>
        <v>0</v>
      </c>
      <c r="M127" s="381" t="s">
        <v>238</v>
      </c>
    </row>
    <row r="128" spans="1:13" s="84" customFormat="1" ht="14.25" customHeight="1" thickBot="1">
      <c r="A128" s="353">
        <v>4455</v>
      </c>
      <c r="B128" s="194" t="s">
        <v>2774</v>
      </c>
      <c r="C128" s="339">
        <f t="shared" si="2"/>
        <v>50000</v>
      </c>
      <c r="D128" s="976" t="s">
        <v>1154</v>
      </c>
      <c r="E128" s="172" t="s">
        <v>3608</v>
      </c>
      <c r="F128" s="507">
        <f>SUMIFS(Controle!$R:$R,Controle!$H:$H,produtos_escape2!$A128,Controle!$Z:$Z,"1")</f>
        <v>0</v>
      </c>
      <c r="G128" s="507">
        <f>SUMIFS(Controle!$R:$R,Controle!$H:$H,produtos_escape2!$A128,Controle!$Z:$Z,"2")</f>
        <v>0</v>
      </c>
      <c r="H128" s="507">
        <f>SUMIFS(Controle!$R:$R,Controle!$H:$H,produtos_escape2!$A128,Controle!$Z:$Z,"3")</f>
        <v>0</v>
      </c>
      <c r="I128" s="507">
        <f>SUMIFS(Controle!$R:$R,Controle!$H:$H,produtos_escape2!$A128,Controle!$Z:$Z,"4")</f>
        <v>0</v>
      </c>
      <c r="J128" s="507">
        <f>SUMIFS(Controle!$R:$R,Controle!$H:$H,produtos_escape2!$A128,Controle!$Z:$Z,"5")</f>
        <v>0</v>
      </c>
      <c r="K128" s="507">
        <f>SUMIFS(Controle!$R:$R,Controle!$H:$H,produtos_escape2!$A128,Controle!$Z:$Z,"6")</f>
        <v>0</v>
      </c>
      <c r="L128" s="507">
        <f t="shared" si="3"/>
        <v>0</v>
      </c>
      <c r="M128" s="381" t="s">
        <v>4590</v>
      </c>
    </row>
    <row r="129" spans="1:13" s="84" customFormat="1" ht="14.25" customHeight="1" thickBot="1">
      <c r="A129" s="333">
        <v>4502</v>
      </c>
      <c r="B129" s="194" t="s">
        <v>4240</v>
      </c>
      <c r="C129" s="339">
        <f t="shared" si="2"/>
        <v>50000</v>
      </c>
      <c r="D129" s="976" t="s">
        <v>848</v>
      </c>
      <c r="E129" s="172" t="s">
        <v>1739</v>
      </c>
      <c r="F129" s="507">
        <f>SUMIFS(Controle!$R:$R,Controle!$H:$H,produtos_escape2!$A129,Controle!$Z:$Z,"1")</f>
        <v>0</v>
      </c>
      <c r="G129" s="507">
        <f>SUMIFS(Controle!$R:$R,Controle!$H:$H,produtos_escape2!$A129,Controle!$Z:$Z,"2")</f>
        <v>0</v>
      </c>
      <c r="H129" s="507">
        <f>SUMIFS(Controle!$R:$R,Controle!$H:$H,produtos_escape2!$A129,Controle!$Z:$Z,"3")</f>
        <v>0</v>
      </c>
      <c r="I129" s="507">
        <f>SUMIFS(Controle!$R:$R,Controle!$H:$H,produtos_escape2!$A129,Controle!$Z:$Z,"4")</f>
        <v>0</v>
      </c>
      <c r="J129" s="507">
        <f>SUMIFS(Controle!$R:$R,Controle!$H:$H,produtos_escape2!$A129,Controle!$Z:$Z,"5")</f>
        <v>0</v>
      </c>
      <c r="K129" s="507">
        <f>SUMIFS(Controle!$R:$R,Controle!$H:$H,produtos_escape2!$A129,Controle!$Z:$Z,"6")</f>
        <v>0</v>
      </c>
      <c r="L129" s="507">
        <f t="shared" si="3"/>
        <v>0</v>
      </c>
      <c r="M129" s="381" t="s">
        <v>4240</v>
      </c>
    </row>
    <row r="130" spans="1:13" s="84" customFormat="1" ht="14.25" customHeight="1" thickBot="1">
      <c r="A130" s="353">
        <v>4564</v>
      </c>
      <c r="B130" s="194" t="s">
        <v>3661</v>
      </c>
      <c r="C130" s="339">
        <f t="shared" ref="C130:C193" si="4">50000-SUM(F130:K130)</f>
        <v>50000</v>
      </c>
      <c r="D130" s="976" t="s">
        <v>1654</v>
      </c>
      <c r="E130" s="172" t="s">
        <v>7207</v>
      </c>
      <c r="F130" s="507">
        <f>SUMIFS(Controle!$R:$R,Controle!$H:$H,produtos_escape2!$A130,Controle!$Z:$Z,"1")</f>
        <v>0</v>
      </c>
      <c r="G130" s="507">
        <f>SUMIFS(Controle!$R:$R,Controle!$H:$H,produtos_escape2!$A130,Controle!$Z:$Z,"2")</f>
        <v>0</v>
      </c>
      <c r="H130" s="507">
        <f>SUMIFS(Controle!$R:$R,Controle!$H:$H,produtos_escape2!$A130,Controle!$Z:$Z,"3")</f>
        <v>0</v>
      </c>
      <c r="I130" s="507">
        <f>SUMIFS(Controle!$R:$R,Controle!$H:$H,produtos_escape2!$A130,Controle!$Z:$Z,"4")</f>
        <v>0</v>
      </c>
      <c r="J130" s="507">
        <f>SUMIFS(Controle!$R:$R,Controle!$H:$H,produtos_escape2!$A130,Controle!$Z:$Z,"5")</f>
        <v>0</v>
      </c>
      <c r="K130" s="507">
        <f>SUMIFS(Controle!$R:$R,Controle!$H:$H,produtos_escape2!$A130,Controle!$Z:$Z,"6")</f>
        <v>0</v>
      </c>
      <c r="L130" s="507">
        <f t="shared" si="3"/>
        <v>0</v>
      </c>
      <c r="M130" s="381" t="s">
        <v>4506</v>
      </c>
    </row>
    <row r="131" spans="1:13" s="84" customFormat="1" ht="14.25" customHeight="1" thickBot="1">
      <c r="A131" s="353">
        <v>4573</v>
      </c>
      <c r="B131" s="194" t="s">
        <v>6835</v>
      </c>
      <c r="C131" s="339">
        <f t="shared" si="4"/>
        <v>50000</v>
      </c>
      <c r="D131" s="976" t="s">
        <v>624</v>
      </c>
      <c r="E131" s="172" t="s">
        <v>7207</v>
      </c>
      <c r="F131" s="507">
        <f>SUMIFS(Controle!$R:$R,Controle!$H:$H,produtos_escape2!$A131,Controle!$Z:$Z,"1")</f>
        <v>0</v>
      </c>
      <c r="G131" s="507">
        <f>SUMIFS(Controle!$R:$R,Controle!$H:$H,produtos_escape2!$A131,Controle!$Z:$Z,"2")</f>
        <v>0</v>
      </c>
      <c r="H131" s="507">
        <f>SUMIFS(Controle!$R:$R,Controle!$H:$H,produtos_escape2!$A131,Controle!$Z:$Z,"3")</f>
        <v>0</v>
      </c>
      <c r="I131" s="507">
        <f>SUMIFS(Controle!$R:$R,Controle!$H:$H,produtos_escape2!$A131,Controle!$Z:$Z,"4")</f>
        <v>0</v>
      </c>
      <c r="J131" s="507">
        <f>SUMIFS(Controle!$R:$R,Controle!$H:$H,produtos_escape2!$A131,Controle!$Z:$Z,"5")</f>
        <v>0</v>
      </c>
      <c r="K131" s="507">
        <f>SUMIFS(Controle!$R:$R,Controle!$H:$H,produtos_escape2!$A131,Controle!$Z:$Z,"6")</f>
        <v>0</v>
      </c>
      <c r="L131" s="507">
        <f t="shared" ref="L131:L194" si="5">SUM(F131:K131)</f>
        <v>0</v>
      </c>
      <c r="M131" s="381" t="s">
        <v>4591</v>
      </c>
    </row>
    <row r="132" spans="1:13" s="84" customFormat="1" ht="14.25" customHeight="1" thickBot="1">
      <c r="A132" s="353">
        <v>4623</v>
      </c>
      <c r="B132" s="194" t="s">
        <v>1626</v>
      </c>
      <c r="C132" s="339">
        <f t="shared" si="4"/>
        <v>50000</v>
      </c>
      <c r="D132" s="976" t="s">
        <v>624</v>
      </c>
      <c r="E132" s="172" t="s">
        <v>1739</v>
      </c>
      <c r="F132" s="507">
        <f>SUMIFS(Controle!$R:$R,Controle!$H:$H,produtos_escape2!$A132,Controle!$Z:$Z,"1")</f>
        <v>0</v>
      </c>
      <c r="G132" s="507">
        <f>SUMIFS(Controle!$R:$R,Controle!$H:$H,produtos_escape2!$A132,Controle!$Z:$Z,"2")</f>
        <v>0</v>
      </c>
      <c r="H132" s="507">
        <f>SUMIFS(Controle!$R:$R,Controle!$H:$H,produtos_escape2!$A132,Controle!$Z:$Z,"3")</f>
        <v>0</v>
      </c>
      <c r="I132" s="507">
        <f>SUMIFS(Controle!$R:$R,Controle!$H:$H,produtos_escape2!$A132,Controle!$Z:$Z,"4")</f>
        <v>0</v>
      </c>
      <c r="J132" s="507">
        <f>SUMIFS(Controle!$R:$R,Controle!$H:$H,produtos_escape2!$A132,Controle!$Z:$Z,"5")</f>
        <v>0</v>
      </c>
      <c r="K132" s="507">
        <f>SUMIFS(Controle!$R:$R,Controle!$H:$H,produtos_escape2!$A132,Controle!$Z:$Z,"6")</f>
        <v>0</v>
      </c>
      <c r="L132" s="507">
        <f t="shared" si="5"/>
        <v>0</v>
      </c>
      <c r="M132" s="381" t="s">
        <v>4592</v>
      </c>
    </row>
    <row r="133" spans="1:13" s="84" customFormat="1" ht="14.25" customHeight="1" thickBot="1">
      <c r="A133" s="353">
        <v>4640</v>
      </c>
      <c r="B133" s="194" t="s">
        <v>7803</v>
      </c>
      <c r="C133" s="339">
        <f t="shared" si="4"/>
        <v>46953.56</v>
      </c>
      <c r="D133" s="976" t="s">
        <v>624</v>
      </c>
      <c r="E133" s="172" t="s">
        <v>7207</v>
      </c>
      <c r="F133" s="507">
        <f>SUMIFS(Controle!$R:$R,Controle!$H:$H,produtos_escape2!$A133,Controle!$Z:$Z,"1")</f>
        <v>0</v>
      </c>
      <c r="G133" s="507">
        <f>SUMIFS(Controle!$R:$R,Controle!$H:$H,produtos_escape2!$A133,Controle!$Z:$Z,"2")</f>
        <v>0</v>
      </c>
      <c r="H133" s="507">
        <f>SUMIFS(Controle!$R:$R,Controle!$H:$H,produtos_escape2!$A133,Controle!$Z:$Z,"3")</f>
        <v>3046.44</v>
      </c>
      <c r="I133" s="507">
        <f>SUMIFS(Controle!$R:$R,Controle!$H:$H,produtos_escape2!$A133,Controle!$Z:$Z,"4")</f>
        <v>0</v>
      </c>
      <c r="J133" s="507">
        <f>SUMIFS(Controle!$R:$R,Controle!$H:$H,produtos_escape2!$A133,Controle!$Z:$Z,"5")</f>
        <v>0</v>
      </c>
      <c r="K133" s="507">
        <f>SUMIFS(Controle!$R:$R,Controle!$H:$H,produtos_escape2!$A133,Controle!$Z:$Z,"6")</f>
        <v>0</v>
      </c>
      <c r="L133" s="507">
        <f t="shared" si="5"/>
        <v>3046.44</v>
      </c>
      <c r="M133" s="381" t="s">
        <v>7804</v>
      </c>
    </row>
    <row r="134" spans="1:13" s="84" customFormat="1" ht="14.25" customHeight="1" thickBot="1">
      <c r="A134" s="353">
        <v>4690</v>
      </c>
      <c r="B134" s="194" t="s">
        <v>6968</v>
      </c>
      <c r="C134" s="339">
        <f t="shared" si="4"/>
        <v>50000</v>
      </c>
      <c r="D134" s="976" t="s">
        <v>624</v>
      </c>
      <c r="E134" s="172" t="s">
        <v>1739</v>
      </c>
      <c r="F134" s="507">
        <f>SUMIFS(Controle!$R:$R,Controle!$H:$H,produtos_escape2!$A134,Controle!$Z:$Z,"1")</f>
        <v>0</v>
      </c>
      <c r="G134" s="507">
        <f>SUMIFS(Controle!$R:$R,Controle!$H:$H,produtos_escape2!$A134,Controle!$Z:$Z,"2")</f>
        <v>0</v>
      </c>
      <c r="H134" s="507">
        <f>SUMIFS(Controle!$R:$R,Controle!$H:$H,produtos_escape2!$A134,Controle!$Z:$Z,"3")</f>
        <v>0</v>
      </c>
      <c r="I134" s="507">
        <f>SUMIFS(Controle!$R:$R,Controle!$H:$H,produtos_escape2!$A134,Controle!$Z:$Z,"4")</f>
        <v>0</v>
      </c>
      <c r="J134" s="507">
        <f>SUMIFS(Controle!$R:$R,Controle!$H:$H,produtos_escape2!$A134,Controle!$Z:$Z,"5")</f>
        <v>0</v>
      </c>
      <c r="K134" s="507">
        <f>SUMIFS(Controle!$R:$R,Controle!$H:$H,produtos_escape2!$A134,Controle!$Z:$Z,"6")</f>
        <v>0</v>
      </c>
      <c r="L134" s="507">
        <f t="shared" si="5"/>
        <v>0</v>
      </c>
      <c r="M134" s="381" t="s">
        <v>854</v>
      </c>
    </row>
    <row r="135" spans="1:13" s="84" customFormat="1" ht="14.25" customHeight="1" thickBot="1">
      <c r="A135" s="353">
        <v>4750</v>
      </c>
      <c r="B135" s="338" t="s">
        <v>4326</v>
      </c>
      <c r="C135" s="339">
        <f t="shared" si="4"/>
        <v>50000</v>
      </c>
      <c r="D135" s="976" t="s">
        <v>548</v>
      </c>
      <c r="E135" s="197" t="s">
        <v>3608</v>
      </c>
      <c r="F135" s="507">
        <f>SUMIFS(Controle!$R:$R,Controle!$H:$H,produtos_escape2!$A135,Controle!$Z:$Z,"1")</f>
        <v>0</v>
      </c>
      <c r="G135" s="507">
        <f>SUMIFS(Controle!$R:$R,Controle!$H:$H,produtos_escape2!$A135,Controle!$Z:$Z,"2")</f>
        <v>0</v>
      </c>
      <c r="H135" s="507">
        <f>SUMIFS(Controle!$R:$R,Controle!$H:$H,produtos_escape2!$A135,Controle!$Z:$Z,"3")</f>
        <v>0</v>
      </c>
      <c r="I135" s="507">
        <f>SUMIFS(Controle!$R:$R,Controle!$H:$H,produtos_escape2!$A135,Controle!$Z:$Z,"4")</f>
        <v>0</v>
      </c>
      <c r="J135" s="507">
        <f>SUMIFS(Controle!$R:$R,Controle!$H:$H,produtos_escape2!$A135,Controle!$Z:$Z,"5")</f>
        <v>0</v>
      </c>
      <c r="K135" s="507">
        <f>SUMIFS(Controle!$R:$R,Controle!$H:$H,produtos_escape2!$A135,Controle!$Z:$Z,"6")</f>
        <v>0</v>
      </c>
      <c r="L135" s="507">
        <f t="shared" si="5"/>
        <v>0</v>
      </c>
      <c r="M135" s="381" t="s">
        <v>4593</v>
      </c>
    </row>
    <row r="136" spans="1:13" s="84" customFormat="1" ht="14.25" customHeight="1" thickBot="1">
      <c r="A136" s="353">
        <v>4772</v>
      </c>
      <c r="B136" s="194" t="s">
        <v>4324</v>
      </c>
      <c r="C136" s="339">
        <f t="shared" si="4"/>
        <v>50000</v>
      </c>
      <c r="D136" s="976" t="s">
        <v>624</v>
      </c>
      <c r="E136" s="197" t="s">
        <v>3608</v>
      </c>
      <c r="F136" s="507">
        <f>SUMIFS(Controle!$R:$R,Controle!$H:$H,produtos_escape2!$A136,Controle!$Z:$Z,"1")</f>
        <v>0</v>
      </c>
      <c r="G136" s="507">
        <f>SUMIFS(Controle!$R:$R,Controle!$H:$H,produtos_escape2!$A136,Controle!$Z:$Z,"2")</f>
        <v>0</v>
      </c>
      <c r="H136" s="507">
        <f>SUMIFS(Controle!$R:$R,Controle!$H:$H,produtos_escape2!$A136,Controle!$Z:$Z,"3")</f>
        <v>0</v>
      </c>
      <c r="I136" s="507">
        <f>SUMIFS(Controle!$R:$R,Controle!$H:$H,produtos_escape2!$A136,Controle!$Z:$Z,"4")</f>
        <v>0</v>
      </c>
      <c r="J136" s="507">
        <f>SUMIFS(Controle!$R:$R,Controle!$H:$H,produtos_escape2!$A136,Controle!$Z:$Z,"5")</f>
        <v>0</v>
      </c>
      <c r="K136" s="507">
        <f>SUMIFS(Controle!$R:$R,Controle!$H:$H,produtos_escape2!$A136,Controle!$Z:$Z,"6")</f>
        <v>0</v>
      </c>
      <c r="L136" s="507">
        <f t="shared" si="5"/>
        <v>0</v>
      </c>
      <c r="M136" s="381" t="s">
        <v>4593</v>
      </c>
    </row>
    <row r="137" spans="1:13" s="84" customFormat="1" ht="14.25" customHeight="1" thickBot="1">
      <c r="A137" s="353">
        <v>4858</v>
      </c>
      <c r="B137" s="194" t="s">
        <v>3665</v>
      </c>
      <c r="C137" s="339">
        <f t="shared" si="4"/>
        <v>50000</v>
      </c>
      <c r="D137" s="976" t="s">
        <v>624</v>
      </c>
      <c r="E137" s="172" t="s">
        <v>3608</v>
      </c>
      <c r="F137" s="507">
        <f>SUMIFS(Controle!$R:$R,Controle!$H:$H,produtos_escape2!$A137,Controle!$Z:$Z,"1")</f>
        <v>0</v>
      </c>
      <c r="G137" s="507">
        <f>SUMIFS(Controle!$R:$R,Controle!$H:$H,produtos_escape2!$A137,Controle!$Z:$Z,"2")</f>
        <v>0</v>
      </c>
      <c r="H137" s="507">
        <f>SUMIFS(Controle!$R:$R,Controle!$H:$H,produtos_escape2!$A137,Controle!$Z:$Z,"3")</f>
        <v>0</v>
      </c>
      <c r="I137" s="507">
        <f>SUMIFS(Controle!$R:$R,Controle!$H:$H,produtos_escape2!$A137,Controle!$Z:$Z,"4")</f>
        <v>0</v>
      </c>
      <c r="J137" s="507">
        <f>SUMIFS(Controle!$R:$R,Controle!$H:$H,produtos_escape2!$A137,Controle!$Z:$Z,"5")</f>
        <v>0</v>
      </c>
      <c r="K137" s="507">
        <f>SUMIFS(Controle!$R:$R,Controle!$H:$H,produtos_escape2!$A137,Controle!$Z:$Z,"6")</f>
        <v>0</v>
      </c>
      <c r="L137" s="507">
        <f t="shared" si="5"/>
        <v>0</v>
      </c>
      <c r="M137" s="381" t="s">
        <v>4594</v>
      </c>
    </row>
    <row r="138" spans="1:13" s="84" customFormat="1" ht="14.25" customHeight="1" thickBot="1">
      <c r="A138" s="333">
        <v>4892</v>
      </c>
      <c r="B138" s="194" t="s">
        <v>2907</v>
      </c>
      <c r="C138" s="339">
        <f t="shared" si="4"/>
        <v>50000</v>
      </c>
      <c r="D138" s="976" t="s">
        <v>624</v>
      </c>
      <c r="E138" s="172" t="s">
        <v>1739</v>
      </c>
      <c r="F138" s="507">
        <f>SUMIFS(Controle!$R:$R,Controle!$H:$H,produtos_escape2!$A138,Controle!$Z:$Z,"1")</f>
        <v>0</v>
      </c>
      <c r="G138" s="507">
        <f>SUMIFS(Controle!$R:$R,Controle!$H:$H,produtos_escape2!$A138,Controle!$Z:$Z,"2")</f>
        <v>0</v>
      </c>
      <c r="H138" s="507">
        <f>SUMIFS(Controle!$R:$R,Controle!$H:$H,produtos_escape2!$A138,Controle!$Z:$Z,"3")</f>
        <v>0</v>
      </c>
      <c r="I138" s="507">
        <f>SUMIFS(Controle!$R:$R,Controle!$H:$H,produtos_escape2!$A138,Controle!$Z:$Z,"4")</f>
        <v>0</v>
      </c>
      <c r="J138" s="507">
        <f>SUMIFS(Controle!$R:$R,Controle!$H:$H,produtos_escape2!$A138,Controle!$Z:$Z,"5")</f>
        <v>0</v>
      </c>
      <c r="K138" s="507">
        <f>SUMIFS(Controle!$R:$R,Controle!$H:$H,produtos_escape2!$A138,Controle!$Z:$Z,"6")</f>
        <v>0</v>
      </c>
      <c r="L138" s="507">
        <f t="shared" si="5"/>
        <v>0</v>
      </c>
      <c r="M138" s="381" t="s">
        <v>4595</v>
      </c>
    </row>
    <row r="139" spans="1:13" s="84" customFormat="1" ht="14.25" customHeight="1" thickBot="1">
      <c r="A139" s="353">
        <v>4907</v>
      </c>
      <c r="B139" s="194" t="s">
        <v>969</v>
      </c>
      <c r="C139" s="339">
        <f t="shared" si="4"/>
        <v>50000</v>
      </c>
      <c r="D139" s="976" t="s">
        <v>624</v>
      </c>
      <c r="E139" s="172" t="s">
        <v>1739</v>
      </c>
      <c r="F139" s="507">
        <f>SUMIFS(Controle!$R:$R,Controle!$H:$H,produtos_escape2!$A139,Controle!$Z:$Z,"1")</f>
        <v>0</v>
      </c>
      <c r="G139" s="507">
        <f>SUMIFS(Controle!$R:$R,Controle!$H:$H,produtos_escape2!$A139,Controle!$Z:$Z,"2")</f>
        <v>0</v>
      </c>
      <c r="H139" s="507">
        <f>SUMIFS(Controle!$R:$R,Controle!$H:$H,produtos_escape2!$A139,Controle!$Z:$Z,"3")</f>
        <v>0</v>
      </c>
      <c r="I139" s="507">
        <f>SUMIFS(Controle!$R:$R,Controle!$H:$H,produtos_escape2!$A139,Controle!$Z:$Z,"4")</f>
        <v>0</v>
      </c>
      <c r="J139" s="507">
        <f>SUMIFS(Controle!$R:$R,Controle!$H:$H,produtos_escape2!$A139,Controle!$Z:$Z,"5")</f>
        <v>0</v>
      </c>
      <c r="K139" s="507">
        <f>SUMIFS(Controle!$R:$R,Controle!$H:$H,produtos_escape2!$A139,Controle!$Z:$Z,"6")</f>
        <v>0</v>
      </c>
      <c r="L139" s="507">
        <f t="shared" si="5"/>
        <v>0</v>
      </c>
      <c r="M139" s="381" t="s">
        <v>969</v>
      </c>
    </row>
    <row r="140" spans="1:13" s="84" customFormat="1" ht="14.25" customHeight="1" thickBot="1">
      <c r="A140" s="353">
        <v>4977</v>
      </c>
      <c r="B140" s="194" t="s">
        <v>966</v>
      </c>
      <c r="C140" s="339">
        <f t="shared" si="4"/>
        <v>50000</v>
      </c>
      <c r="D140" s="976" t="s">
        <v>624</v>
      </c>
      <c r="E140" s="172" t="s">
        <v>1739</v>
      </c>
      <c r="F140" s="507">
        <f>SUMIFS(Controle!$R:$R,Controle!$H:$H,produtos_escape2!$A140,Controle!$Z:$Z,"1")</f>
        <v>0</v>
      </c>
      <c r="G140" s="507">
        <f>SUMIFS(Controle!$R:$R,Controle!$H:$H,produtos_escape2!$A140,Controle!$Z:$Z,"2")</f>
        <v>0</v>
      </c>
      <c r="H140" s="507">
        <f>SUMIFS(Controle!$R:$R,Controle!$H:$H,produtos_escape2!$A140,Controle!$Z:$Z,"3")</f>
        <v>0</v>
      </c>
      <c r="I140" s="507">
        <f>SUMIFS(Controle!$R:$R,Controle!$H:$H,produtos_escape2!$A140,Controle!$Z:$Z,"4")</f>
        <v>0</v>
      </c>
      <c r="J140" s="507">
        <f>SUMIFS(Controle!$R:$R,Controle!$H:$H,produtos_escape2!$A140,Controle!$Z:$Z,"5")</f>
        <v>0</v>
      </c>
      <c r="K140" s="507">
        <f>SUMIFS(Controle!$R:$R,Controle!$H:$H,produtos_escape2!$A140,Controle!$Z:$Z,"6")</f>
        <v>0</v>
      </c>
      <c r="L140" s="507">
        <f t="shared" si="5"/>
        <v>0</v>
      </c>
      <c r="M140" s="381" t="s">
        <v>4596</v>
      </c>
    </row>
    <row r="141" spans="1:13" s="84" customFormat="1" ht="14.25" customHeight="1" thickBot="1">
      <c r="A141" s="353">
        <v>4978</v>
      </c>
      <c r="B141" s="194" t="s">
        <v>967</v>
      </c>
      <c r="C141" s="339">
        <f t="shared" si="4"/>
        <v>50000</v>
      </c>
      <c r="D141" s="976" t="s">
        <v>624</v>
      </c>
      <c r="E141" s="172" t="s">
        <v>1739</v>
      </c>
      <c r="F141" s="507">
        <f>SUMIFS(Controle!$R:$R,Controle!$H:$H,produtos_escape2!$A141,Controle!$Z:$Z,"1")</f>
        <v>0</v>
      </c>
      <c r="G141" s="507">
        <f>SUMIFS(Controle!$R:$R,Controle!$H:$H,produtos_escape2!$A141,Controle!$Z:$Z,"2")</f>
        <v>0</v>
      </c>
      <c r="H141" s="507">
        <f>SUMIFS(Controle!$R:$R,Controle!$H:$H,produtos_escape2!$A141,Controle!$Z:$Z,"3")</f>
        <v>0</v>
      </c>
      <c r="I141" s="507">
        <f>SUMIFS(Controle!$R:$R,Controle!$H:$H,produtos_escape2!$A141,Controle!$Z:$Z,"4")</f>
        <v>0</v>
      </c>
      <c r="J141" s="507">
        <f>SUMIFS(Controle!$R:$R,Controle!$H:$H,produtos_escape2!$A141,Controle!$Z:$Z,"5")</f>
        <v>0</v>
      </c>
      <c r="K141" s="507">
        <f>SUMIFS(Controle!$R:$R,Controle!$H:$H,produtos_escape2!$A141,Controle!$Z:$Z,"6")</f>
        <v>0</v>
      </c>
      <c r="L141" s="507">
        <f t="shared" si="5"/>
        <v>0</v>
      </c>
      <c r="M141" s="381" t="s">
        <v>4596</v>
      </c>
    </row>
    <row r="142" spans="1:13" s="84" customFormat="1" ht="14.25" customHeight="1" thickBot="1">
      <c r="A142" s="353">
        <v>4980</v>
      </c>
      <c r="B142" s="194" t="s">
        <v>54</v>
      </c>
      <c r="C142" s="339">
        <f t="shared" si="4"/>
        <v>50000</v>
      </c>
      <c r="D142" s="976" t="s">
        <v>547</v>
      </c>
      <c r="E142" s="172" t="s">
        <v>1739</v>
      </c>
      <c r="F142" s="507">
        <f>SUMIFS(Controle!$R:$R,Controle!$H:$H,produtos_escape2!$A142,Controle!$Z:$Z,"1")</f>
        <v>0</v>
      </c>
      <c r="G142" s="507">
        <f>SUMIFS(Controle!$R:$R,Controle!$H:$H,produtos_escape2!$A142,Controle!$Z:$Z,"2")</f>
        <v>0</v>
      </c>
      <c r="H142" s="507">
        <f>SUMIFS(Controle!$R:$R,Controle!$H:$H,produtos_escape2!$A142,Controle!$Z:$Z,"3")</f>
        <v>0</v>
      </c>
      <c r="I142" s="507">
        <f>SUMIFS(Controle!$R:$R,Controle!$H:$H,produtos_escape2!$A142,Controle!$Z:$Z,"4")</f>
        <v>0</v>
      </c>
      <c r="J142" s="507">
        <f>SUMIFS(Controle!$R:$R,Controle!$H:$H,produtos_escape2!$A142,Controle!$Z:$Z,"5")</f>
        <v>0</v>
      </c>
      <c r="K142" s="507">
        <f>SUMIFS(Controle!$R:$R,Controle!$H:$H,produtos_escape2!$A142,Controle!$Z:$Z,"6")</f>
        <v>0</v>
      </c>
      <c r="L142" s="507">
        <f t="shared" si="5"/>
        <v>0</v>
      </c>
      <c r="M142" s="381" t="s">
        <v>54</v>
      </c>
    </row>
    <row r="143" spans="1:13" s="84" customFormat="1" ht="14.25" customHeight="1" thickBot="1">
      <c r="A143" s="353">
        <v>5026</v>
      </c>
      <c r="B143" s="338" t="s">
        <v>3929</v>
      </c>
      <c r="C143" s="339">
        <f t="shared" si="4"/>
        <v>50000</v>
      </c>
      <c r="D143" s="976" t="s">
        <v>624</v>
      </c>
      <c r="E143" s="172" t="s">
        <v>3608</v>
      </c>
      <c r="F143" s="507">
        <f>SUMIFS(Controle!$R:$R,Controle!$H:$H,produtos_escape2!$A143,Controle!$Z:$Z,"1")</f>
        <v>0</v>
      </c>
      <c r="G143" s="507">
        <f>SUMIFS(Controle!$R:$R,Controle!$H:$H,produtos_escape2!$A143,Controle!$Z:$Z,"2")</f>
        <v>0</v>
      </c>
      <c r="H143" s="507">
        <f>SUMIFS(Controle!$R:$R,Controle!$H:$H,produtos_escape2!$A143,Controle!$Z:$Z,"3")</f>
        <v>0</v>
      </c>
      <c r="I143" s="507">
        <f>SUMIFS(Controle!$R:$R,Controle!$H:$H,produtos_escape2!$A143,Controle!$Z:$Z,"4")</f>
        <v>0</v>
      </c>
      <c r="J143" s="507">
        <f>SUMIFS(Controle!$R:$R,Controle!$H:$H,produtos_escape2!$A143,Controle!$Z:$Z,"5")</f>
        <v>0</v>
      </c>
      <c r="K143" s="507">
        <f>SUMIFS(Controle!$R:$R,Controle!$H:$H,produtos_escape2!$A143,Controle!$Z:$Z,"6")</f>
        <v>0</v>
      </c>
      <c r="L143" s="507">
        <f t="shared" si="5"/>
        <v>0</v>
      </c>
      <c r="M143" s="381" t="s">
        <v>4597</v>
      </c>
    </row>
    <row r="144" spans="1:13" s="84" customFormat="1" ht="14.25" customHeight="1" thickBot="1">
      <c r="A144" s="353">
        <v>5182</v>
      </c>
      <c r="B144" s="194" t="s">
        <v>8335</v>
      </c>
      <c r="C144" s="339">
        <f t="shared" si="4"/>
        <v>49742.96</v>
      </c>
      <c r="D144" s="976" t="s">
        <v>624</v>
      </c>
      <c r="E144" s="172" t="s">
        <v>7207</v>
      </c>
      <c r="F144" s="507">
        <f>SUMIFS(Controle!$R:$R,Controle!$H:$H,produtos_escape2!$A144,Controle!$Z:$Z,"1")</f>
        <v>0</v>
      </c>
      <c r="G144" s="507">
        <f>SUMIFS(Controle!$R:$R,Controle!$H:$H,produtos_escape2!$A144,Controle!$Z:$Z,"2")</f>
        <v>0</v>
      </c>
      <c r="H144" s="507">
        <f>SUMIFS(Controle!$R:$R,Controle!$H:$H,produtos_escape2!$A144,Controle!$Z:$Z,"3")</f>
        <v>210.24</v>
      </c>
      <c r="I144" s="507">
        <f>SUMIFS(Controle!$R:$R,Controle!$H:$H,produtos_escape2!$A144,Controle!$Z:$Z,"4")</f>
        <v>46.8</v>
      </c>
      <c r="J144" s="507">
        <f>SUMIFS(Controle!$R:$R,Controle!$H:$H,produtos_escape2!$A144,Controle!$Z:$Z,"5")</f>
        <v>0</v>
      </c>
      <c r="K144" s="507">
        <f>SUMIFS(Controle!$R:$R,Controle!$H:$H,produtos_escape2!$A144,Controle!$Z:$Z,"6")</f>
        <v>0</v>
      </c>
      <c r="L144" s="507">
        <f t="shared" si="5"/>
        <v>257.04000000000002</v>
      </c>
      <c r="M144" s="381" t="s">
        <v>8336</v>
      </c>
    </row>
    <row r="145" spans="1:13" s="84" customFormat="1" ht="14.25" customHeight="1" thickBot="1">
      <c r="A145" s="353">
        <v>5206</v>
      </c>
      <c r="B145" s="194" t="s">
        <v>134</v>
      </c>
      <c r="C145" s="339">
        <f t="shared" si="4"/>
        <v>50000</v>
      </c>
      <c r="D145" s="976" t="s">
        <v>624</v>
      </c>
      <c r="E145" s="172" t="s">
        <v>1739</v>
      </c>
      <c r="F145" s="507">
        <f>SUMIFS(Controle!$R:$R,Controle!$H:$H,produtos_escape2!$A145,Controle!$Z:$Z,"1")</f>
        <v>0</v>
      </c>
      <c r="G145" s="507">
        <f>SUMIFS(Controle!$R:$R,Controle!$H:$H,produtos_escape2!$A145,Controle!$Z:$Z,"2")</f>
        <v>0</v>
      </c>
      <c r="H145" s="507">
        <f>SUMIFS(Controle!$R:$R,Controle!$H:$H,produtos_escape2!$A145,Controle!$Z:$Z,"3")</f>
        <v>0</v>
      </c>
      <c r="I145" s="507">
        <f>SUMIFS(Controle!$R:$R,Controle!$H:$H,produtos_escape2!$A145,Controle!$Z:$Z,"4")</f>
        <v>0</v>
      </c>
      <c r="J145" s="507">
        <f>SUMIFS(Controle!$R:$R,Controle!$H:$H,produtos_escape2!$A145,Controle!$Z:$Z,"5")</f>
        <v>0</v>
      </c>
      <c r="K145" s="507">
        <f>SUMIFS(Controle!$R:$R,Controle!$H:$H,produtos_escape2!$A145,Controle!$Z:$Z,"6")</f>
        <v>0</v>
      </c>
      <c r="L145" s="507">
        <f t="shared" si="5"/>
        <v>0</v>
      </c>
      <c r="M145" s="381" t="s">
        <v>4598</v>
      </c>
    </row>
    <row r="146" spans="1:13" s="84" customFormat="1" ht="14.25" customHeight="1" thickBot="1">
      <c r="A146" s="353">
        <v>5221</v>
      </c>
      <c r="B146" s="194" t="s">
        <v>483</v>
      </c>
      <c r="C146" s="339">
        <f t="shared" si="4"/>
        <v>36065</v>
      </c>
      <c r="D146" s="976" t="s">
        <v>830</v>
      </c>
      <c r="E146" s="172" t="s">
        <v>3608</v>
      </c>
      <c r="F146" s="507">
        <f>SUMIFS(Controle!$R:$R,Controle!$H:$H,produtos_escape2!$A146,Controle!$Z:$Z,"1")</f>
        <v>0</v>
      </c>
      <c r="G146" s="507">
        <f>SUMIFS(Controle!$R:$R,Controle!$H:$H,produtos_escape2!$A146,Controle!$Z:$Z,"2")</f>
        <v>4587</v>
      </c>
      <c r="H146" s="507">
        <f>SUMIFS(Controle!$R:$R,Controle!$H:$H,produtos_escape2!$A146,Controle!$Z:$Z,"3")</f>
        <v>0</v>
      </c>
      <c r="I146" s="507">
        <f>SUMIFS(Controle!$R:$R,Controle!$H:$H,produtos_escape2!$A146,Controle!$Z:$Z,"4")</f>
        <v>4608</v>
      </c>
      <c r="J146" s="507">
        <f>SUMIFS(Controle!$R:$R,Controle!$H:$H,produtos_escape2!$A146,Controle!$Z:$Z,"5")</f>
        <v>0</v>
      </c>
      <c r="K146" s="507">
        <f>SUMIFS(Controle!$R:$R,Controle!$H:$H,produtos_escape2!$A146,Controle!$Z:$Z,"6")</f>
        <v>4740</v>
      </c>
      <c r="L146" s="507">
        <f t="shared" si="5"/>
        <v>13935</v>
      </c>
      <c r="M146" s="381" t="s">
        <v>4599</v>
      </c>
    </row>
    <row r="147" spans="1:13" s="84" customFormat="1" ht="14.25" customHeight="1" thickBot="1">
      <c r="A147" s="333">
        <v>5266</v>
      </c>
      <c r="B147" s="194" t="s">
        <v>35</v>
      </c>
      <c r="C147" s="339">
        <f t="shared" si="4"/>
        <v>50000</v>
      </c>
      <c r="D147" s="976" t="s">
        <v>548</v>
      </c>
      <c r="E147" s="172" t="s">
        <v>3608</v>
      </c>
      <c r="F147" s="507">
        <f>SUMIFS(Controle!$R:$R,Controle!$H:$H,produtos_escape2!$A147,Controle!$Z:$Z,"1")</f>
        <v>0</v>
      </c>
      <c r="G147" s="507">
        <f>SUMIFS(Controle!$R:$R,Controle!$H:$H,produtos_escape2!$A147,Controle!$Z:$Z,"2")</f>
        <v>0</v>
      </c>
      <c r="H147" s="507">
        <f>SUMIFS(Controle!$R:$R,Controle!$H:$H,produtos_escape2!$A147,Controle!$Z:$Z,"3")</f>
        <v>0</v>
      </c>
      <c r="I147" s="507">
        <f>SUMIFS(Controle!$R:$R,Controle!$H:$H,produtos_escape2!$A147,Controle!$Z:$Z,"4")</f>
        <v>0</v>
      </c>
      <c r="J147" s="507">
        <f>SUMIFS(Controle!$R:$R,Controle!$H:$H,produtos_escape2!$A147,Controle!$Z:$Z,"5")</f>
        <v>0</v>
      </c>
      <c r="K147" s="507">
        <f>SUMIFS(Controle!$R:$R,Controle!$H:$H,produtos_escape2!$A147,Controle!$Z:$Z,"6")</f>
        <v>0</v>
      </c>
      <c r="L147" s="507">
        <f t="shared" si="5"/>
        <v>0</v>
      </c>
      <c r="M147" s="381" t="s">
        <v>35</v>
      </c>
    </row>
    <row r="148" spans="1:13" s="84" customFormat="1" ht="14.25" customHeight="1" thickBot="1">
      <c r="A148" s="353">
        <v>5277</v>
      </c>
      <c r="B148" s="194" t="s">
        <v>565</v>
      </c>
      <c r="C148" s="339">
        <f t="shared" si="4"/>
        <v>50000</v>
      </c>
      <c r="D148" s="976" t="s">
        <v>725</v>
      </c>
      <c r="E148" s="172" t="s">
        <v>3608</v>
      </c>
      <c r="F148" s="507">
        <f>SUMIFS(Controle!$R:$R,Controle!$H:$H,produtos_escape2!$A148,Controle!$Z:$Z,"1")</f>
        <v>0</v>
      </c>
      <c r="G148" s="507">
        <f>SUMIFS(Controle!$R:$R,Controle!$H:$H,produtos_escape2!$A148,Controle!$Z:$Z,"2")</f>
        <v>0</v>
      </c>
      <c r="H148" s="507">
        <f>SUMIFS(Controle!$R:$R,Controle!$H:$H,produtos_escape2!$A148,Controle!$Z:$Z,"3")</f>
        <v>0</v>
      </c>
      <c r="I148" s="507">
        <f>SUMIFS(Controle!$R:$R,Controle!$H:$H,produtos_escape2!$A148,Controle!$Z:$Z,"4")</f>
        <v>0</v>
      </c>
      <c r="J148" s="507">
        <f>SUMIFS(Controle!$R:$R,Controle!$H:$H,produtos_escape2!$A148,Controle!$Z:$Z,"5")</f>
        <v>0</v>
      </c>
      <c r="K148" s="507">
        <f>SUMIFS(Controle!$R:$R,Controle!$H:$H,produtos_escape2!$A148,Controle!$Z:$Z,"6")</f>
        <v>0</v>
      </c>
      <c r="L148" s="507">
        <f t="shared" si="5"/>
        <v>0</v>
      </c>
      <c r="M148" s="381" t="s">
        <v>565</v>
      </c>
    </row>
    <row r="149" spans="1:13" s="84" customFormat="1" ht="14.25" customHeight="1" thickBot="1">
      <c r="A149" s="353">
        <v>5289</v>
      </c>
      <c r="B149" s="194" t="s">
        <v>162</v>
      </c>
      <c r="C149" s="339">
        <f t="shared" si="4"/>
        <v>50000</v>
      </c>
      <c r="D149" s="976" t="s">
        <v>548</v>
      </c>
      <c r="E149" s="172" t="s">
        <v>3608</v>
      </c>
      <c r="F149" s="507">
        <f>SUMIFS(Controle!$R:$R,Controle!$H:$H,produtos_escape2!$A149,Controle!$Z:$Z,"1")</f>
        <v>0</v>
      </c>
      <c r="G149" s="507">
        <f>SUMIFS(Controle!$R:$R,Controle!$H:$H,produtos_escape2!$A149,Controle!$Z:$Z,"2")</f>
        <v>0</v>
      </c>
      <c r="H149" s="507">
        <f>SUMIFS(Controle!$R:$R,Controle!$H:$H,produtos_escape2!$A149,Controle!$Z:$Z,"3")</f>
        <v>0</v>
      </c>
      <c r="I149" s="507">
        <f>SUMIFS(Controle!$R:$R,Controle!$H:$H,produtos_escape2!$A149,Controle!$Z:$Z,"4")</f>
        <v>0</v>
      </c>
      <c r="J149" s="507">
        <f>SUMIFS(Controle!$R:$R,Controle!$H:$H,produtos_escape2!$A149,Controle!$Z:$Z,"5")</f>
        <v>0</v>
      </c>
      <c r="K149" s="507">
        <f>SUMIFS(Controle!$R:$R,Controle!$H:$H,produtos_escape2!$A149,Controle!$Z:$Z,"6")</f>
        <v>0</v>
      </c>
      <c r="L149" s="507">
        <f t="shared" si="5"/>
        <v>0</v>
      </c>
      <c r="M149" s="381" t="s">
        <v>162</v>
      </c>
    </row>
    <row r="150" spans="1:13" s="84" customFormat="1" ht="14.25" customHeight="1" thickBot="1">
      <c r="A150" s="353">
        <v>5310</v>
      </c>
      <c r="B150" s="194" t="s">
        <v>9310</v>
      </c>
      <c r="C150" s="339">
        <f t="shared" si="4"/>
        <v>49490</v>
      </c>
      <c r="D150" s="976" t="s">
        <v>624</v>
      </c>
      <c r="E150" s="172" t="s">
        <v>3608</v>
      </c>
      <c r="F150" s="507">
        <f>SUMIFS(Controle!$R:$R,Controle!$H:$H,produtos_escape2!$A150,Controle!$Z:$Z,"1")</f>
        <v>0</v>
      </c>
      <c r="G150" s="507">
        <f>SUMIFS(Controle!$R:$R,Controle!$H:$H,produtos_escape2!$A150,Controle!$Z:$Z,"2")</f>
        <v>0</v>
      </c>
      <c r="H150" s="507">
        <f>SUMIFS(Controle!$R:$R,Controle!$H:$H,produtos_escape2!$A150,Controle!$Z:$Z,"3")</f>
        <v>0</v>
      </c>
      <c r="I150" s="507">
        <f>SUMIFS(Controle!$R:$R,Controle!$H:$H,produtos_escape2!$A150,Controle!$Z:$Z,"4")</f>
        <v>300</v>
      </c>
      <c r="J150" s="507">
        <f>SUMIFS(Controle!$R:$R,Controle!$H:$H,produtos_escape2!$A150,Controle!$Z:$Z,"5")</f>
        <v>0</v>
      </c>
      <c r="K150" s="507">
        <f>SUMIFS(Controle!$R:$R,Controle!$H:$H,produtos_escape2!$A150,Controle!$Z:$Z,"6")</f>
        <v>210.00000000000003</v>
      </c>
      <c r="L150" s="507">
        <f t="shared" si="5"/>
        <v>510</v>
      </c>
      <c r="M150" s="381"/>
    </row>
    <row r="151" spans="1:13" s="84" customFormat="1" ht="14.25" customHeight="1" thickBot="1">
      <c r="A151" s="353">
        <v>5312</v>
      </c>
      <c r="B151" s="194" t="s">
        <v>1517</v>
      </c>
      <c r="C151" s="339">
        <f t="shared" si="4"/>
        <v>49085</v>
      </c>
      <c r="D151" s="976" t="s">
        <v>806</v>
      </c>
      <c r="E151" s="172" t="s">
        <v>3608</v>
      </c>
      <c r="F151" s="507">
        <f>SUMIFS(Controle!$R:$R,Controle!$H:$H,produtos_escape2!$A151,Controle!$Z:$Z,"1")</f>
        <v>0</v>
      </c>
      <c r="G151" s="507">
        <f>SUMIFS(Controle!$R:$R,Controle!$H:$H,produtos_escape2!$A151,Controle!$Z:$Z,"2")</f>
        <v>0</v>
      </c>
      <c r="H151" s="507">
        <f>SUMIFS(Controle!$R:$R,Controle!$H:$H,produtos_escape2!$A151,Controle!$Z:$Z,"3")</f>
        <v>498</v>
      </c>
      <c r="I151" s="507">
        <f>SUMIFS(Controle!$R:$R,Controle!$H:$H,produtos_escape2!$A151,Controle!$Z:$Z,"4")</f>
        <v>416.99999999999994</v>
      </c>
      <c r="J151" s="507">
        <f>SUMIFS(Controle!$R:$R,Controle!$H:$H,produtos_escape2!$A151,Controle!$Z:$Z,"5")</f>
        <v>0</v>
      </c>
      <c r="K151" s="507">
        <f>SUMIFS(Controle!$R:$R,Controle!$H:$H,produtos_escape2!$A151,Controle!$Z:$Z,"6")</f>
        <v>0</v>
      </c>
      <c r="L151" s="507">
        <f t="shared" si="5"/>
        <v>915</v>
      </c>
      <c r="M151" s="381" t="s">
        <v>1517</v>
      </c>
    </row>
    <row r="152" spans="1:13" s="84" customFormat="1" ht="14.25" customHeight="1" thickBot="1">
      <c r="A152" s="353">
        <v>5327</v>
      </c>
      <c r="B152" s="194" t="s">
        <v>280</v>
      </c>
      <c r="C152" s="339">
        <f t="shared" si="4"/>
        <v>45443.6</v>
      </c>
      <c r="D152" s="976" t="s">
        <v>548</v>
      </c>
      <c r="E152" s="172" t="s">
        <v>3608</v>
      </c>
      <c r="F152" s="507">
        <f>SUMIFS(Controle!$R:$R,Controle!$H:$H,produtos_escape2!$A152,Controle!$Z:$Z,"1")</f>
        <v>0</v>
      </c>
      <c r="G152" s="507">
        <f>SUMIFS(Controle!$R:$R,Controle!$H:$H,produtos_escape2!$A152,Controle!$Z:$Z,"2")</f>
        <v>0</v>
      </c>
      <c r="H152" s="507">
        <f>SUMIFS(Controle!$R:$R,Controle!$H:$H,produtos_escape2!$A152,Controle!$Z:$Z,"3")</f>
        <v>0</v>
      </c>
      <c r="I152" s="507">
        <f>SUMIFS(Controle!$R:$R,Controle!$H:$H,produtos_escape2!$A152,Controle!$Z:$Z,"4")</f>
        <v>0</v>
      </c>
      <c r="J152" s="507">
        <f>SUMIFS(Controle!$R:$R,Controle!$H:$H,produtos_escape2!$A152,Controle!$Z:$Z,"5")</f>
        <v>0</v>
      </c>
      <c r="K152" s="507">
        <f>SUMIFS(Controle!$R:$R,Controle!$H:$H,produtos_escape2!$A152,Controle!$Z:$Z,"6")</f>
        <v>4556.3999999999996</v>
      </c>
      <c r="L152" s="507">
        <f t="shared" si="5"/>
        <v>4556.3999999999996</v>
      </c>
      <c r="M152" s="381" t="s">
        <v>4600</v>
      </c>
    </row>
    <row r="153" spans="1:13" s="84" customFormat="1" ht="14.25" customHeight="1" thickBot="1">
      <c r="A153" s="353">
        <v>5406</v>
      </c>
      <c r="B153" s="338" t="s">
        <v>1495</v>
      </c>
      <c r="C153" s="339">
        <f t="shared" si="4"/>
        <v>50000</v>
      </c>
      <c r="D153" s="976" t="s">
        <v>624</v>
      </c>
      <c r="E153" s="172" t="s">
        <v>1739</v>
      </c>
      <c r="F153" s="507">
        <f>SUMIFS(Controle!$R:$R,Controle!$H:$H,produtos_escape2!$A153,Controle!$Z:$Z,"1")</f>
        <v>0</v>
      </c>
      <c r="G153" s="507">
        <f>SUMIFS(Controle!$R:$R,Controle!$H:$H,produtos_escape2!$A153,Controle!$Z:$Z,"2")</f>
        <v>0</v>
      </c>
      <c r="H153" s="507">
        <f>SUMIFS(Controle!$R:$R,Controle!$H:$H,produtos_escape2!$A153,Controle!$Z:$Z,"3")</f>
        <v>0</v>
      </c>
      <c r="I153" s="507">
        <f>SUMIFS(Controle!$R:$R,Controle!$H:$H,produtos_escape2!$A153,Controle!$Z:$Z,"4")</f>
        <v>0</v>
      </c>
      <c r="J153" s="507">
        <f>SUMIFS(Controle!$R:$R,Controle!$H:$H,produtos_escape2!$A153,Controle!$Z:$Z,"5")</f>
        <v>0</v>
      </c>
      <c r="K153" s="507">
        <f>SUMIFS(Controle!$R:$R,Controle!$H:$H,produtos_escape2!$A153,Controle!$Z:$Z,"6")</f>
        <v>0</v>
      </c>
      <c r="L153" s="507">
        <f t="shared" si="5"/>
        <v>0</v>
      </c>
      <c r="M153" s="381" t="s">
        <v>1495</v>
      </c>
    </row>
    <row r="154" spans="1:13" s="84" customFormat="1" ht="14.25" customHeight="1" thickBot="1">
      <c r="A154" s="353">
        <v>5407</v>
      </c>
      <c r="B154" s="194" t="s">
        <v>1344</v>
      </c>
      <c r="C154" s="339">
        <f t="shared" si="4"/>
        <v>50000</v>
      </c>
      <c r="D154" s="976" t="s">
        <v>624</v>
      </c>
      <c r="E154" s="172" t="s">
        <v>1739</v>
      </c>
      <c r="F154" s="507">
        <f>SUMIFS(Controle!$R:$R,Controle!$H:$H,produtos_escape2!$A154,Controle!$Z:$Z,"1")</f>
        <v>0</v>
      </c>
      <c r="G154" s="507">
        <f>SUMIFS(Controle!$R:$R,Controle!$H:$H,produtos_escape2!$A154,Controle!$Z:$Z,"2")</f>
        <v>0</v>
      </c>
      <c r="H154" s="507">
        <f>SUMIFS(Controle!$R:$R,Controle!$H:$H,produtos_escape2!$A154,Controle!$Z:$Z,"3")</f>
        <v>0</v>
      </c>
      <c r="I154" s="507">
        <f>SUMIFS(Controle!$R:$R,Controle!$H:$H,produtos_escape2!$A154,Controle!$Z:$Z,"4")</f>
        <v>0</v>
      </c>
      <c r="J154" s="507">
        <f>SUMIFS(Controle!$R:$R,Controle!$H:$H,produtos_escape2!$A154,Controle!$Z:$Z,"5")</f>
        <v>0</v>
      </c>
      <c r="K154" s="507">
        <f>SUMIFS(Controle!$R:$R,Controle!$H:$H,produtos_escape2!$A154,Controle!$Z:$Z,"6")</f>
        <v>0</v>
      </c>
      <c r="L154" s="507">
        <f t="shared" si="5"/>
        <v>0</v>
      </c>
      <c r="M154" s="381" t="s">
        <v>4601</v>
      </c>
    </row>
    <row r="155" spans="1:13" s="84" customFormat="1" ht="14.25" customHeight="1" thickBot="1">
      <c r="A155" s="353">
        <v>5436</v>
      </c>
      <c r="B155" s="194" t="s">
        <v>167</v>
      </c>
      <c r="C155" s="339">
        <f t="shared" si="4"/>
        <v>50000</v>
      </c>
      <c r="D155" s="976" t="s">
        <v>837</v>
      </c>
      <c r="E155" s="172" t="s">
        <v>1739</v>
      </c>
      <c r="F155" s="507">
        <f>SUMIFS(Controle!$R:$R,Controle!$H:$H,produtos_escape2!$A155,Controle!$Z:$Z,"1")</f>
        <v>0</v>
      </c>
      <c r="G155" s="507">
        <f>SUMIFS(Controle!$R:$R,Controle!$H:$H,produtos_escape2!$A155,Controle!$Z:$Z,"2")</f>
        <v>0</v>
      </c>
      <c r="H155" s="507">
        <f>SUMIFS(Controle!$R:$R,Controle!$H:$H,produtos_escape2!$A155,Controle!$Z:$Z,"3")</f>
        <v>0</v>
      </c>
      <c r="I155" s="507">
        <f>SUMIFS(Controle!$R:$R,Controle!$H:$H,produtos_escape2!$A155,Controle!$Z:$Z,"4")</f>
        <v>0</v>
      </c>
      <c r="J155" s="507">
        <f>SUMIFS(Controle!$R:$R,Controle!$H:$H,produtos_escape2!$A155,Controle!$Z:$Z,"5")</f>
        <v>0</v>
      </c>
      <c r="K155" s="507">
        <f>SUMIFS(Controle!$R:$R,Controle!$H:$H,produtos_escape2!$A155,Controle!$Z:$Z,"6")</f>
        <v>0</v>
      </c>
      <c r="L155" s="507">
        <f t="shared" si="5"/>
        <v>0</v>
      </c>
      <c r="M155" s="381" t="s">
        <v>167</v>
      </c>
    </row>
    <row r="156" spans="1:13" s="84" customFormat="1" ht="14.25" customHeight="1" thickBot="1">
      <c r="A156" s="333">
        <v>5541</v>
      </c>
      <c r="B156" s="194" t="s">
        <v>426</v>
      </c>
      <c r="C156" s="339">
        <f t="shared" si="4"/>
        <v>50000</v>
      </c>
      <c r="D156" s="976" t="s">
        <v>624</v>
      </c>
      <c r="E156" s="172" t="s">
        <v>1739</v>
      </c>
      <c r="F156" s="507">
        <f>SUMIFS(Controle!$R:$R,Controle!$H:$H,produtos_escape2!$A156,Controle!$Z:$Z,"1")</f>
        <v>0</v>
      </c>
      <c r="G156" s="507">
        <f>SUMIFS(Controle!$R:$R,Controle!$H:$H,produtos_escape2!$A156,Controle!$Z:$Z,"2")</f>
        <v>0</v>
      </c>
      <c r="H156" s="507">
        <f>SUMIFS(Controle!$R:$R,Controle!$H:$H,produtos_escape2!$A156,Controle!$Z:$Z,"3")</f>
        <v>0</v>
      </c>
      <c r="I156" s="507">
        <f>SUMIFS(Controle!$R:$R,Controle!$H:$H,produtos_escape2!$A156,Controle!$Z:$Z,"4")</f>
        <v>0</v>
      </c>
      <c r="J156" s="507">
        <f>SUMIFS(Controle!$R:$R,Controle!$H:$H,produtos_escape2!$A156,Controle!$Z:$Z,"5")</f>
        <v>0</v>
      </c>
      <c r="K156" s="507">
        <f>SUMIFS(Controle!$R:$R,Controle!$H:$H,produtos_escape2!$A156,Controle!$Z:$Z,"6")</f>
        <v>0</v>
      </c>
      <c r="L156" s="507">
        <f t="shared" si="5"/>
        <v>0</v>
      </c>
      <c r="M156" s="381" t="s">
        <v>4602</v>
      </c>
    </row>
    <row r="157" spans="1:13" s="84" customFormat="1" ht="14.25" customHeight="1" thickBot="1">
      <c r="A157" s="353">
        <v>5544</v>
      </c>
      <c r="B157" s="194" t="s">
        <v>459</v>
      </c>
      <c r="C157" s="339">
        <f t="shared" si="4"/>
        <v>50000</v>
      </c>
      <c r="D157" s="976" t="s">
        <v>624</v>
      </c>
      <c r="E157" s="172" t="s">
        <v>1739</v>
      </c>
      <c r="F157" s="507">
        <f>SUMIFS(Controle!$R:$R,Controle!$H:$H,produtos_escape2!$A157,Controle!$Z:$Z,"1")</f>
        <v>0</v>
      </c>
      <c r="G157" s="507">
        <f>SUMIFS(Controle!$R:$R,Controle!$H:$H,produtos_escape2!$A157,Controle!$Z:$Z,"2")</f>
        <v>0</v>
      </c>
      <c r="H157" s="507">
        <f>SUMIFS(Controle!$R:$R,Controle!$H:$H,produtos_escape2!$A157,Controle!$Z:$Z,"3")</f>
        <v>0</v>
      </c>
      <c r="I157" s="507">
        <f>SUMIFS(Controle!$R:$R,Controle!$H:$H,produtos_escape2!$A157,Controle!$Z:$Z,"4")</f>
        <v>0</v>
      </c>
      <c r="J157" s="507">
        <f>SUMIFS(Controle!$R:$R,Controle!$H:$H,produtos_escape2!$A157,Controle!$Z:$Z,"5")</f>
        <v>0</v>
      </c>
      <c r="K157" s="507">
        <f>SUMIFS(Controle!$R:$R,Controle!$H:$H,produtos_escape2!$A157,Controle!$Z:$Z,"6")</f>
        <v>0</v>
      </c>
      <c r="L157" s="507">
        <f t="shared" si="5"/>
        <v>0</v>
      </c>
      <c r="M157" s="381" t="s">
        <v>4603</v>
      </c>
    </row>
    <row r="158" spans="1:13" s="84" customFormat="1" ht="14.25" customHeight="1" thickBot="1">
      <c r="A158" s="353">
        <v>5561</v>
      </c>
      <c r="B158" s="194" t="s">
        <v>1443</v>
      </c>
      <c r="C158" s="339">
        <f t="shared" si="4"/>
        <v>50000</v>
      </c>
      <c r="D158" s="976" t="s">
        <v>624</v>
      </c>
      <c r="E158" s="172" t="s">
        <v>1739</v>
      </c>
      <c r="F158" s="507">
        <f>SUMIFS(Controle!$R:$R,Controle!$H:$H,produtos_escape2!$A158,Controle!$Z:$Z,"1")</f>
        <v>0</v>
      </c>
      <c r="G158" s="507">
        <f>SUMIFS(Controle!$R:$R,Controle!$H:$H,produtos_escape2!$A158,Controle!$Z:$Z,"2")</f>
        <v>0</v>
      </c>
      <c r="H158" s="507">
        <f>SUMIFS(Controle!$R:$R,Controle!$H:$H,produtos_escape2!$A158,Controle!$Z:$Z,"3")</f>
        <v>0</v>
      </c>
      <c r="I158" s="507">
        <f>SUMIFS(Controle!$R:$R,Controle!$H:$H,produtos_escape2!$A158,Controle!$Z:$Z,"4")</f>
        <v>0</v>
      </c>
      <c r="J158" s="507">
        <f>SUMIFS(Controle!$R:$R,Controle!$H:$H,produtos_escape2!$A158,Controle!$Z:$Z,"5")</f>
        <v>0</v>
      </c>
      <c r="K158" s="507">
        <f>SUMIFS(Controle!$R:$R,Controle!$H:$H,produtos_escape2!$A158,Controle!$Z:$Z,"6")</f>
        <v>0</v>
      </c>
      <c r="L158" s="507">
        <f t="shared" si="5"/>
        <v>0</v>
      </c>
      <c r="M158" s="381" t="s">
        <v>1443</v>
      </c>
    </row>
    <row r="159" spans="1:13" s="84" customFormat="1" ht="14.25" customHeight="1" thickBot="1">
      <c r="A159" s="353">
        <v>5619</v>
      </c>
      <c r="B159" s="194" t="s">
        <v>5828</v>
      </c>
      <c r="C159" s="339">
        <f t="shared" si="4"/>
        <v>50000</v>
      </c>
      <c r="D159" s="976" t="s">
        <v>624</v>
      </c>
      <c r="E159" s="172" t="s">
        <v>3608</v>
      </c>
      <c r="F159" s="507">
        <f>SUMIFS(Controle!$R:$R,Controle!$H:$H,produtos_escape2!$A159,Controle!$Z:$Z,"1")</f>
        <v>0</v>
      </c>
      <c r="G159" s="507">
        <f>SUMIFS(Controle!$R:$R,Controle!$H:$H,produtos_escape2!$A159,Controle!$Z:$Z,"2")</f>
        <v>0</v>
      </c>
      <c r="H159" s="507">
        <f>SUMIFS(Controle!$R:$R,Controle!$H:$H,produtos_escape2!$A159,Controle!$Z:$Z,"3")</f>
        <v>0</v>
      </c>
      <c r="I159" s="507">
        <f>SUMIFS(Controle!$R:$R,Controle!$H:$H,produtos_escape2!$A159,Controle!$Z:$Z,"4")</f>
        <v>0</v>
      </c>
      <c r="J159" s="507">
        <f>SUMIFS(Controle!$R:$R,Controle!$H:$H,produtos_escape2!$A159,Controle!$Z:$Z,"5")</f>
        <v>0</v>
      </c>
      <c r="K159" s="507">
        <f>SUMIFS(Controle!$R:$R,Controle!$H:$H,produtos_escape2!$A159,Controle!$Z:$Z,"6")</f>
        <v>0</v>
      </c>
      <c r="L159" s="507">
        <f t="shared" si="5"/>
        <v>0</v>
      </c>
      <c r="M159" s="381" t="s">
        <v>5827</v>
      </c>
    </row>
    <row r="160" spans="1:13" s="84" customFormat="1" ht="14.25" customHeight="1" thickBot="1">
      <c r="A160" s="353">
        <v>5661</v>
      </c>
      <c r="B160" s="194" t="s">
        <v>2966</v>
      </c>
      <c r="C160" s="339">
        <f t="shared" si="4"/>
        <v>50000</v>
      </c>
      <c r="D160" s="976" t="s">
        <v>624</v>
      </c>
      <c r="E160" s="172" t="s">
        <v>1739</v>
      </c>
      <c r="F160" s="507">
        <f>SUMIFS(Controle!$R:$R,Controle!$H:$H,produtos_escape2!$A160,Controle!$Z:$Z,"1")</f>
        <v>0</v>
      </c>
      <c r="G160" s="507">
        <f>SUMIFS(Controle!$R:$R,Controle!$H:$H,produtos_escape2!$A160,Controle!$Z:$Z,"2")</f>
        <v>0</v>
      </c>
      <c r="H160" s="507">
        <f>SUMIFS(Controle!$R:$R,Controle!$H:$H,produtos_escape2!$A160,Controle!$Z:$Z,"3")</f>
        <v>0</v>
      </c>
      <c r="I160" s="507">
        <f>SUMIFS(Controle!$R:$R,Controle!$H:$H,produtos_escape2!$A160,Controle!$Z:$Z,"4")</f>
        <v>0</v>
      </c>
      <c r="J160" s="507">
        <f>SUMIFS(Controle!$R:$R,Controle!$H:$H,produtos_escape2!$A160,Controle!$Z:$Z,"5")</f>
        <v>0</v>
      </c>
      <c r="K160" s="507">
        <f>SUMIFS(Controle!$R:$R,Controle!$H:$H,produtos_escape2!$A160,Controle!$Z:$Z,"6")</f>
        <v>0</v>
      </c>
      <c r="L160" s="507">
        <f t="shared" si="5"/>
        <v>0</v>
      </c>
      <c r="M160" s="381" t="s">
        <v>4604</v>
      </c>
    </row>
    <row r="161" spans="1:32" s="84" customFormat="1" ht="14.25" customHeight="1" thickBot="1">
      <c r="A161" s="353">
        <v>5744</v>
      </c>
      <c r="B161" s="194" t="s">
        <v>4112</v>
      </c>
      <c r="C161" s="339">
        <f t="shared" si="4"/>
        <v>50000</v>
      </c>
      <c r="D161" s="976" t="s">
        <v>725</v>
      </c>
      <c r="E161" s="172" t="s">
        <v>3608</v>
      </c>
      <c r="F161" s="507">
        <f>SUMIFS(Controle!$R:$R,Controle!$H:$H,produtos_escape2!$A161,Controle!$Z:$Z,"1")</f>
        <v>0</v>
      </c>
      <c r="G161" s="507">
        <f>SUMIFS(Controle!$R:$R,Controle!$H:$H,produtos_escape2!$A161,Controle!$Z:$Z,"2")</f>
        <v>0</v>
      </c>
      <c r="H161" s="507">
        <f>SUMIFS(Controle!$R:$R,Controle!$H:$H,produtos_escape2!$A161,Controle!$Z:$Z,"3")</f>
        <v>0</v>
      </c>
      <c r="I161" s="507">
        <f>SUMIFS(Controle!$R:$R,Controle!$H:$H,produtos_escape2!$A161,Controle!$Z:$Z,"4")</f>
        <v>0</v>
      </c>
      <c r="J161" s="507">
        <f>SUMIFS(Controle!$R:$R,Controle!$H:$H,produtos_escape2!$A161,Controle!$Z:$Z,"5")</f>
        <v>0</v>
      </c>
      <c r="K161" s="507">
        <f>SUMIFS(Controle!$R:$R,Controle!$H:$H,produtos_escape2!$A161,Controle!$Z:$Z,"6")</f>
        <v>0</v>
      </c>
      <c r="L161" s="507">
        <f t="shared" si="5"/>
        <v>0</v>
      </c>
      <c r="M161" s="381" t="s">
        <v>4605</v>
      </c>
    </row>
    <row r="162" spans="1:32" s="84" customFormat="1" ht="14.25" customHeight="1" thickBot="1">
      <c r="A162" s="353">
        <v>5747</v>
      </c>
      <c r="B162" s="338" t="s">
        <v>976</v>
      </c>
      <c r="C162" s="339">
        <f t="shared" si="4"/>
        <v>50000</v>
      </c>
      <c r="D162" s="976" t="s">
        <v>624</v>
      </c>
      <c r="E162" s="172" t="s">
        <v>1739</v>
      </c>
      <c r="F162" s="507">
        <f>SUMIFS(Controle!$R:$R,Controle!$H:$H,produtos_escape2!$A162,Controle!$Z:$Z,"1")</f>
        <v>0</v>
      </c>
      <c r="G162" s="507">
        <f>SUMIFS(Controle!$R:$R,Controle!$H:$H,produtos_escape2!$A162,Controle!$Z:$Z,"2")</f>
        <v>0</v>
      </c>
      <c r="H162" s="507">
        <f>SUMIFS(Controle!$R:$R,Controle!$H:$H,produtos_escape2!$A162,Controle!$Z:$Z,"3")</f>
        <v>0</v>
      </c>
      <c r="I162" s="507">
        <f>SUMIFS(Controle!$R:$R,Controle!$H:$H,produtos_escape2!$A162,Controle!$Z:$Z,"4")</f>
        <v>0</v>
      </c>
      <c r="J162" s="507">
        <f>SUMIFS(Controle!$R:$R,Controle!$H:$H,produtos_escape2!$A162,Controle!$Z:$Z,"5")</f>
        <v>0</v>
      </c>
      <c r="K162" s="507">
        <f>SUMIFS(Controle!$R:$R,Controle!$H:$H,produtos_escape2!$A162,Controle!$Z:$Z,"6")</f>
        <v>0</v>
      </c>
      <c r="L162" s="507">
        <f t="shared" si="5"/>
        <v>0</v>
      </c>
      <c r="M162" s="381" t="s">
        <v>976</v>
      </c>
    </row>
    <row r="163" spans="1:32" s="84" customFormat="1" ht="14.25" customHeight="1" thickBot="1">
      <c r="A163" s="353">
        <v>5996</v>
      </c>
      <c r="B163" s="194" t="s">
        <v>1065</v>
      </c>
      <c r="C163" s="339">
        <f t="shared" si="4"/>
        <v>50000</v>
      </c>
      <c r="D163" s="976" t="s">
        <v>725</v>
      </c>
      <c r="E163" s="172" t="s">
        <v>1739</v>
      </c>
      <c r="F163" s="507">
        <f>SUMIFS(Controle!$R:$R,Controle!$H:$H,produtos_escape2!$A163,Controle!$Z:$Z,"1")</f>
        <v>0</v>
      </c>
      <c r="G163" s="507">
        <f>SUMIFS(Controle!$R:$R,Controle!$H:$H,produtos_escape2!$A163,Controle!$Z:$Z,"2")</f>
        <v>0</v>
      </c>
      <c r="H163" s="507">
        <f>SUMIFS(Controle!$R:$R,Controle!$H:$H,produtos_escape2!$A163,Controle!$Z:$Z,"3")</f>
        <v>0</v>
      </c>
      <c r="I163" s="507">
        <f>SUMIFS(Controle!$R:$R,Controle!$H:$H,produtos_escape2!$A163,Controle!$Z:$Z,"4")</f>
        <v>0</v>
      </c>
      <c r="J163" s="507">
        <f>SUMIFS(Controle!$R:$R,Controle!$H:$H,produtos_escape2!$A163,Controle!$Z:$Z,"5")</f>
        <v>0</v>
      </c>
      <c r="K163" s="507">
        <f>SUMIFS(Controle!$R:$R,Controle!$H:$H,produtos_escape2!$A163,Controle!$Z:$Z,"6")</f>
        <v>0</v>
      </c>
      <c r="L163" s="507">
        <f t="shared" si="5"/>
        <v>0</v>
      </c>
      <c r="M163" s="381" t="s">
        <v>1065</v>
      </c>
    </row>
    <row r="164" spans="1:32" s="84" customFormat="1" ht="14.25" customHeight="1" thickBot="1">
      <c r="A164" s="333">
        <v>5999</v>
      </c>
      <c r="B164" s="194" t="s">
        <v>1590</v>
      </c>
      <c r="C164" s="339">
        <f t="shared" si="4"/>
        <v>50000</v>
      </c>
      <c r="D164" s="976" t="s">
        <v>624</v>
      </c>
      <c r="E164" s="172" t="s">
        <v>1739</v>
      </c>
      <c r="F164" s="507">
        <f>SUMIFS(Controle!$R:$R,Controle!$H:$H,produtos_escape2!$A164,Controle!$Z:$Z,"1")</f>
        <v>0</v>
      </c>
      <c r="G164" s="507">
        <f>SUMIFS(Controle!$R:$R,Controle!$H:$H,produtos_escape2!$A164,Controle!$Z:$Z,"2")</f>
        <v>0</v>
      </c>
      <c r="H164" s="507">
        <f>SUMIFS(Controle!$R:$R,Controle!$H:$H,produtos_escape2!$A164,Controle!$Z:$Z,"3")</f>
        <v>0</v>
      </c>
      <c r="I164" s="507">
        <f>SUMIFS(Controle!$R:$R,Controle!$H:$H,produtos_escape2!$A164,Controle!$Z:$Z,"4")</f>
        <v>0</v>
      </c>
      <c r="J164" s="507">
        <f>SUMIFS(Controle!$R:$R,Controle!$H:$H,produtos_escape2!$A164,Controle!$Z:$Z,"5")</f>
        <v>0</v>
      </c>
      <c r="K164" s="507">
        <f>SUMIFS(Controle!$R:$R,Controle!$H:$H,produtos_escape2!$A164,Controle!$Z:$Z,"6")</f>
        <v>0</v>
      </c>
      <c r="L164" s="507">
        <f t="shared" si="5"/>
        <v>0</v>
      </c>
      <c r="M164" s="381" t="s">
        <v>4606</v>
      </c>
    </row>
    <row r="165" spans="1:32" s="84" customFormat="1" ht="14.25" customHeight="1" thickBot="1">
      <c r="A165" s="353">
        <v>6040</v>
      </c>
      <c r="B165" s="194" t="s">
        <v>7830</v>
      </c>
      <c r="C165" s="339">
        <f t="shared" si="4"/>
        <v>49924.800000000003</v>
      </c>
      <c r="D165" s="976" t="s">
        <v>1654</v>
      </c>
      <c r="E165" s="172" t="s">
        <v>3608</v>
      </c>
      <c r="F165" s="507">
        <f>SUMIFS(Controle!$R:$R,Controle!$H:$H,produtos_escape2!$A165,Controle!$Z:$Z,"1")</f>
        <v>0</v>
      </c>
      <c r="G165" s="507">
        <f>SUMIFS(Controle!$R:$R,Controle!$H:$H,produtos_escape2!$A165,Controle!$Z:$Z,"2")</f>
        <v>75.199999999999989</v>
      </c>
      <c r="H165" s="507">
        <f>SUMIFS(Controle!$R:$R,Controle!$H:$H,produtos_escape2!$A165,Controle!$Z:$Z,"3")</f>
        <v>0</v>
      </c>
      <c r="I165" s="507">
        <f>SUMIFS(Controle!$R:$R,Controle!$H:$H,produtos_escape2!$A165,Controle!$Z:$Z,"4")</f>
        <v>0</v>
      </c>
      <c r="J165" s="507">
        <f>SUMIFS(Controle!$R:$R,Controle!$H:$H,produtos_escape2!$A165,Controle!$Z:$Z,"5")</f>
        <v>0</v>
      </c>
      <c r="K165" s="507">
        <f>SUMIFS(Controle!$R:$R,Controle!$H:$H,produtos_escape2!$A165,Controle!$Z:$Z,"6")</f>
        <v>0</v>
      </c>
      <c r="L165" s="507">
        <f t="shared" si="5"/>
        <v>75.199999999999989</v>
      </c>
      <c r="M165" s="381" t="s">
        <v>7831</v>
      </c>
    </row>
    <row r="166" spans="1:32" s="84" customFormat="1" ht="14.25" customHeight="1" thickBot="1">
      <c r="A166" s="353">
        <v>6047</v>
      </c>
      <c r="B166" s="194" t="s">
        <v>1212</v>
      </c>
      <c r="C166" s="339">
        <f t="shared" si="4"/>
        <v>50000</v>
      </c>
      <c r="D166" s="976" t="s">
        <v>624</v>
      </c>
      <c r="E166" s="172" t="s">
        <v>1739</v>
      </c>
      <c r="F166" s="507">
        <f>SUMIFS(Controle!$R:$R,Controle!$H:$H,produtos_escape2!$A166,Controle!$Z:$Z,"1")</f>
        <v>0</v>
      </c>
      <c r="G166" s="507">
        <f>SUMIFS(Controle!$R:$R,Controle!$H:$H,produtos_escape2!$A166,Controle!$Z:$Z,"2")</f>
        <v>0</v>
      </c>
      <c r="H166" s="507">
        <f>SUMIFS(Controle!$R:$R,Controle!$H:$H,produtos_escape2!$A166,Controle!$Z:$Z,"3")</f>
        <v>0</v>
      </c>
      <c r="I166" s="507">
        <f>SUMIFS(Controle!$R:$R,Controle!$H:$H,produtos_escape2!$A166,Controle!$Z:$Z,"4")</f>
        <v>0</v>
      </c>
      <c r="J166" s="507">
        <f>SUMIFS(Controle!$R:$R,Controle!$H:$H,produtos_escape2!$A166,Controle!$Z:$Z,"5")</f>
        <v>0</v>
      </c>
      <c r="K166" s="507">
        <f>SUMIFS(Controle!$R:$R,Controle!$H:$H,produtos_escape2!$A166,Controle!$Z:$Z,"6")</f>
        <v>0</v>
      </c>
      <c r="L166" s="507">
        <f t="shared" si="5"/>
        <v>0</v>
      </c>
      <c r="M166" s="381" t="s">
        <v>1212</v>
      </c>
    </row>
    <row r="167" spans="1:32" s="84" customFormat="1" ht="14.25" customHeight="1" thickBot="1">
      <c r="A167" s="353">
        <v>6050</v>
      </c>
      <c r="B167" s="194" t="s">
        <v>1214</v>
      </c>
      <c r="C167" s="339">
        <f t="shared" si="4"/>
        <v>50000</v>
      </c>
      <c r="D167" s="976" t="s">
        <v>848</v>
      </c>
      <c r="E167" s="172" t="s">
        <v>1739</v>
      </c>
      <c r="F167" s="507">
        <f>SUMIFS(Controle!$R:$R,Controle!$H:$H,produtos_escape2!$A167,Controle!$Z:$Z,"1")</f>
        <v>0</v>
      </c>
      <c r="G167" s="507">
        <f>SUMIFS(Controle!$R:$R,Controle!$H:$H,produtos_escape2!$A167,Controle!$Z:$Z,"2")</f>
        <v>0</v>
      </c>
      <c r="H167" s="507">
        <f>SUMIFS(Controle!$R:$R,Controle!$H:$H,produtos_escape2!$A167,Controle!$Z:$Z,"3")</f>
        <v>0</v>
      </c>
      <c r="I167" s="507">
        <f>SUMIFS(Controle!$R:$R,Controle!$H:$H,produtos_escape2!$A167,Controle!$Z:$Z,"4")</f>
        <v>0</v>
      </c>
      <c r="J167" s="507">
        <f>SUMIFS(Controle!$R:$R,Controle!$H:$H,produtos_escape2!$A167,Controle!$Z:$Z,"5")</f>
        <v>0</v>
      </c>
      <c r="K167" s="507">
        <f>SUMIFS(Controle!$R:$R,Controle!$H:$H,produtos_escape2!$A167,Controle!$Z:$Z,"6")</f>
        <v>0</v>
      </c>
      <c r="L167" s="507">
        <f t="shared" si="5"/>
        <v>0</v>
      </c>
      <c r="M167" s="381" t="s">
        <v>1214</v>
      </c>
    </row>
    <row r="168" spans="1:32" s="84" customFormat="1" ht="14.25" customHeight="1" thickBot="1">
      <c r="A168" s="353">
        <v>6055</v>
      </c>
      <c r="B168" s="194" t="s">
        <v>438</v>
      </c>
      <c r="C168" s="339">
        <f t="shared" si="4"/>
        <v>50000</v>
      </c>
      <c r="D168" s="976" t="s">
        <v>624</v>
      </c>
      <c r="E168" s="172" t="s">
        <v>1739</v>
      </c>
      <c r="F168" s="507">
        <f>SUMIFS(Controle!$R:$R,Controle!$H:$H,produtos_escape2!$A168,Controle!$Z:$Z,"1")</f>
        <v>0</v>
      </c>
      <c r="G168" s="507">
        <f>SUMIFS(Controle!$R:$R,Controle!$H:$H,produtos_escape2!$A168,Controle!$Z:$Z,"2")</f>
        <v>0</v>
      </c>
      <c r="H168" s="507">
        <f>SUMIFS(Controle!$R:$R,Controle!$H:$H,produtos_escape2!$A168,Controle!$Z:$Z,"3")</f>
        <v>0</v>
      </c>
      <c r="I168" s="507">
        <f>SUMIFS(Controle!$R:$R,Controle!$H:$H,produtos_escape2!$A168,Controle!$Z:$Z,"4")</f>
        <v>0</v>
      </c>
      <c r="J168" s="507">
        <f>SUMIFS(Controle!$R:$R,Controle!$H:$H,produtos_escape2!$A168,Controle!$Z:$Z,"5")</f>
        <v>0</v>
      </c>
      <c r="K168" s="507">
        <f>SUMIFS(Controle!$R:$R,Controle!$H:$H,produtos_escape2!$A168,Controle!$Z:$Z,"6")</f>
        <v>0</v>
      </c>
      <c r="L168" s="507">
        <f t="shared" si="5"/>
        <v>0</v>
      </c>
      <c r="M168" s="381" t="s">
        <v>4607</v>
      </c>
    </row>
    <row r="169" spans="1:32" s="84" customFormat="1" ht="14.25" customHeight="1" thickBot="1">
      <c r="A169" s="353">
        <v>6064</v>
      </c>
      <c r="B169" s="194" t="s">
        <v>1213</v>
      </c>
      <c r="C169" s="339">
        <f t="shared" si="4"/>
        <v>50000</v>
      </c>
      <c r="D169" s="976" t="s">
        <v>848</v>
      </c>
      <c r="E169" s="172" t="s">
        <v>1739</v>
      </c>
      <c r="F169" s="507">
        <f>SUMIFS(Controle!$R:$R,Controle!$H:$H,produtos_escape2!$A169,Controle!$Z:$Z,"1")</f>
        <v>0</v>
      </c>
      <c r="G169" s="507">
        <f>SUMIFS(Controle!$R:$R,Controle!$H:$H,produtos_escape2!$A169,Controle!$Z:$Z,"2")</f>
        <v>0</v>
      </c>
      <c r="H169" s="507">
        <f>SUMIFS(Controle!$R:$R,Controle!$H:$H,produtos_escape2!$A169,Controle!$Z:$Z,"3")</f>
        <v>0</v>
      </c>
      <c r="I169" s="507">
        <f>SUMIFS(Controle!$R:$R,Controle!$H:$H,produtos_escape2!$A169,Controle!$Z:$Z,"4")</f>
        <v>0</v>
      </c>
      <c r="J169" s="507">
        <f>SUMIFS(Controle!$R:$R,Controle!$H:$H,produtos_escape2!$A169,Controle!$Z:$Z,"5")</f>
        <v>0</v>
      </c>
      <c r="K169" s="507">
        <f>SUMIFS(Controle!$R:$R,Controle!$H:$H,produtos_escape2!$A169,Controle!$Z:$Z,"6")</f>
        <v>0</v>
      </c>
      <c r="L169" s="507">
        <f t="shared" si="5"/>
        <v>0</v>
      </c>
      <c r="M169" s="381" t="s">
        <v>4608</v>
      </c>
    </row>
    <row r="170" spans="1:32" s="84" customFormat="1" ht="14.25" customHeight="1" thickBot="1">
      <c r="A170" s="353">
        <v>6067</v>
      </c>
      <c r="B170" s="194" t="s">
        <v>440</v>
      </c>
      <c r="C170" s="339">
        <f t="shared" si="4"/>
        <v>50000</v>
      </c>
      <c r="D170" s="976" t="s">
        <v>548</v>
      </c>
      <c r="E170" s="172" t="s">
        <v>1739</v>
      </c>
      <c r="F170" s="507">
        <f>SUMIFS(Controle!$R:$R,Controle!$H:$H,produtos_escape2!$A170,Controle!$Z:$Z,"1")</f>
        <v>0</v>
      </c>
      <c r="G170" s="507">
        <f>SUMIFS(Controle!$R:$R,Controle!$H:$H,produtos_escape2!$A170,Controle!$Z:$Z,"2")</f>
        <v>0</v>
      </c>
      <c r="H170" s="507">
        <f>SUMIFS(Controle!$R:$R,Controle!$H:$H,produtos_escape2!$A170,Controle!$Z:$Z,"3")</f>
        <v>0</v>
      </c>
      <c r="I170" s="507">
        <f>SUMIFS(Controle!$R:$R,Controle!$H:$H,produtos_escape2!$A170,Controle!$Z:$Z,"4")</f>
        <v>0</v>
      </c>
      <c r="J170" s="507">
        <f>SUMIFS(Controle!$R:$R,Controle!$H:$H,produtos_escape2!$A170,Controle!$Z:$Z,"5")</f>
        <v>0</v>
      </c>
      <c r="K170" s="507">
        <f>SUMIFS(Controle!$R:$R,Controle!$H:$H,produtos_escape2!$A170,Controle!$Z:$Z,"6")</f>
        <v>0</v>
      </c>
      <c r="L170" s="507">
        <f t="shared" si="5"/>
        <v>0</v>
      </c>
      <c r="M170" s="381" t="s">
        <v>440</v>
      </c>
    </row>
    <row r="171" spans="1:32" s="84" customFormat="1" ht="14.25" customHeight="1" thickBot="1">
      <c r="A171" s="353">
        <v>6070</v>
      </c>
      <c r="B171" s="338" t="s">
        <v>2575</v>
      </c>
      <c r="C171" s="339">
        <f t="shared" si="4"/>
        <v>50000</v>
      </c>
      <c r="D171" s="976" t="s">
        <v>548</v>
      </c>
      <c r="E171" s="172" t="s">
        <v>1739</v>
      </c>
      <c r="F171" s="507">
        <f>SUMIFS(Controle!$R:$R,Controle!$H:$H,produtos_escape2!$A171,Controle!$Z:$Z,"1")</f>
        <v>0</v>
      </c>
      <c r="G171" s="507">
        <f>SUMIFS(Controle!$R:$R,Controle!$H:$H,produtos_escape2!$A171,Controle!$Z:$Z,"2")</f>
        <v>0</v>
      </c>
      <c r="H171" s="507">
        <f>SUMIFS(Controle!$R:$R,Controle!$H:$H,produtos_escape2!$A171,Controle!$Z:$Z,"3")</f>
        <v>0</v>
      </c>
      <c r="I171" s="507">
        <f>SUMIFS(Controle!$R:$R,Controle!$H:$H,produtos_escape2!$A171,Controle!$Z:$Z,"4")</f>
        <v>0</v>
      </c>
      <c r="J171" s="507">
        <f>SUMIFS(Controle!$R:$R,Controle!$H:$H,produtos_escape2!$A171,Controle!$Z:$Z,"5")</f>
        <v>0</v>
      </c>
      <c r="K171" s="507">
        <f>SUMIFS(Controle!$R:$R,Controle!$H:$H,produtos_escape2!$A171,Controle!$Z:$Z,"6")</f>
        <v>0</v>
      </c>
      <c r="L171" s="507">
        <f t="shared" si="5"/>
        <v>0</v>
      </c>
      <c r="M171" s="381" t="s">
        <v>4609</v>
      </c>
    </row>
    <row r="172" spans="1:32" s="84" customFormat="1" ht="14.25" customHeight="1" thickBot="1">
      <c r="A172" s="353">
        <v>6071</v>
      </c>
      <c r="B172" s="194" t="s">
        <v>2576</v>
      </c>
      <c r="C172" s="339">
        <f t="shared" si="4"/>
        <v>49832.1</v>
      </c>
      <c r="D172" s="976" t="s">
        <v>848</v>
      </c>
      <c r="E172" s="172" t="s">
        <v>1739</v>
      </c>
      <c r="F172" s="507">
        <f>SUMIFS(Controle!$R:$R,Controle!$H:$H,produtos_escape2!$A172,Controle!$Z:$Z,"1")</f>
        <v>0</v>
      </c>
      <c r="G172" s="507">
        <f>SUMIFS(Controle!$R:$R,Controle!$H:$H,produtos_escape2!$A172,Controle!$Z:$Z,"2")</f>
        <v>167.89999999999998</v>
      </c>
      <c r="H172" s="507">
        <f>SUMIFS(Controle!$R:$R,Controle!$H:$H,produtos_escape2!$A172,Controle!$Z:$Z,"3")</f>
        <v>0</v>
      </c>
      <c r="I172" s="507">
        <f>SUMIFS(Controle!$R:$R,Controle!$H:$H,produtos_escape2!$A172,Controle!$Z:$Z,"4")</f>
        <v>0</v>
      </c>
      <c r="J172" s="507">
        <f>SUMIFS(Controle!$R:$R,Controle!$H:$H,produtos_escape2!$A172,Controle!$Z:$Z,"5")</f>
        <v>0</v>
      </c>
      <c r="K172" s="507">
        <f>SUMIFS(Controle!$R:$R,Controle!$H:$H,produtos_escape2!$A172,Controle!$Z:$Z,"6")</f>
        <v>0</v>
      </c>
      <c r="L172" s="507">
        <f t="shared" si="5"/>
        <v>167.89999999999998</v>
      </c>
      <c r="M172" s="381" t="s">
        <v>2576</v>
      </c>
    </row>
    <row r="173" spans="1:32" s="84" customFormat="1" ht="14.25" customHeight="1" thickBot="1">
      <c r="A173" s="333">
        <v>6075</v>
      </c>
      <c r="B173" s="194" t="s">
        <v>436</v>
      </c>
      <c r="C173" s="339">
        <f t="shared" si="4"/>
        <v>50000</v>
      </c>
      <c r="D173" s="976" t="s">
        <v>1017</v>
      </c>
      <c r="E173" s="172" t="s">
        <v>1739</v>
      </c>
      <c r="F173" s="507">
        <f>SUMIFS(Controle!$R:$R,Controle!$H:$H,produtos_escape2!$A173,Controle!$Z:$Z,"1")</f>
        <v>0</v>
      </c>
      <c r="G173" s="507">
        <f>SUMIFS(Controle!$R:$R,Controle!$H:$H,produtos_escape2!$A173,Controle!$Z:$Z,"2")</f>
        <v>0</v>
      </c>
      <c r="H173" s="507">
        <f>SUMIFS(Controle!$R:$R,Controle!$H:$H,produtos_escape2!$A173,Controle!$Z:$Z,"3")</f>
        <v>0</v>
      </c>
      <c r="I173" s="507">
        <f>SUMIFS(Controle!$R:$R,Controle!$H:$H,produtos_escape2!$A173,Controle!$Z:$Z,"4")</f>
        <v>0</v>
      </c>
      <c r="J173" s="507">
        <f>SUMIFS(Controle!$R:$R,Controle!$H:$H,produtos_escape2!$A173,Controle!$Z:$Z,"5")</f>
        <v>0</v>
      </c>
      <c r="K173" s="507">
        <f>SUMIFS(Controle!$R:$R,Controle!$H:$H,produtos_escape2!$A173,Controle!$Z:$Z,"6")</f>
        <v>0</v>
      </c>
      <c r="L173" s="507">
        <f t="shared" si="5"/>
        <v>0</v>
      </c>
      <c r="M173" s="381" t="s">
        <v>436</v>
      </c>
    </row>
    <row r="174" spans="1:32" s="84" customFormat="1" ht="14.25" customHeight="1" thickBot="1">
      <c r="A174" s="353">
        <v>6155</v>
      </c>
      <c r="B174" s="194" t="s">
        <v>1028</v>
      </c>
      <c r="C174" s="339">
        <f t="shared" si="4"/>
        <v>50000</v>
      </c>
      <c r="D174" s="976" t="s">
        <v>624</v>
      </c>
      <c r="E174" s="172" t="s">
        <v>1739</v>
      </c>
      <c r="F174" s="507">
        <f>SUMIFS(Controle!$R:$R,Controle!$H:$H,produtos_escape2!$A174,Controle!$Z:$Z,"1")</f>
        <v>0</v>
      </c>
      <c r="G174" s="507">
        <f>SUMIFS(Controle!$R:$R,Controle!$H:$H,produtos_escape2!$A174,Controle!$Z:$Z,"2")</f>
        <v>0</v>
      </c>
      <c r="H174" s="507">
        <f>SUMIFS(Controle!$R:$R,Controle!$H:$H,produtos_escape2!$A174,Controle!$Z:$Z,"3")</f>
        <v>0</v>
      </c>
      <c r="I174" s="507">
        <f>SUMIFS(Controle!$R:$R,Controle!$H:$H,produtos_escape2!$A174,Controle!$Z:$Z,"4")</f>
        <v>0</v>
      </c>
      <c r="J174" s="507">
        <f>SUMIFS(Controle!$R:$R,Controle!$H:$H,produtos_escape2!$A174,Controle!$Z:$Z,"5")</f>
        <v>0</v>
      </c>
      <c r="K174" s="507">
        <f>SUMIFS(Controle!$R:$R,Controle!$H:$H,produtos_escape2!$A174,Controle!$Z:$Z,"6")</f>
        <v>0</v>
      </c>
      <c r="L174" s="507">
        <f t="shared" si="5"/>
        <v>0</v>
      </c>
      <c r="M174" s="381" t="s">
        <v>4610</v>
      </c>
    </row>
    <row r="175" spans="1:32" s="185" customFormat="1" ht="14.25" customHeight="1" thickBot="1">
      <c r="A175" s="353">
        <v>6156</v>
      </c>
      <c r="B175" s="194" t="s">
        <v>4206</v>
      </c>
      <c r="C175" s="339">
        <f t="shared" si="4"/>
        <v>49433</v>
      </c>
      <c r="D175" s="196" t="s">
        <v>624</v>
      </c>
      <c r="E175" s="172" t="s">
        <v>3608</v>
      </c>
      <c r="F175" s="507">
        <f>SUMIFS(Controle!$R:$R,Controle!$H:$H,produtos_escape2!$A175,Controle!$Z:$Z,"1")</f>
        <v>0</v>
      </c>
      <c r="G175" s="507">
        <f>SUMIFS(Controle!$R:$R,Controle!$H:$H,produtos_escape2!$A175,Controle!$Z:$Z,"2")</f>
        <v>0</v>
      </c>
      <c r="H175" s="507">
        <f>SUMIFS(Controle!$R:$R,Controle!$H:$H,produtos_escape2!$A175,Controle!$Z:$Z,"3")</f>
        <v>0</v>
      </c>
      <c r="I175" s="507">
        <f>SUMIFS(Controle!$R:$R,Controle!$H:$H,produtos_escape2!$A175,Controle!$Z:$Z,"4")</f>
        <v>567</v>
      </c>
      <c r="J175" s="507">
        <f>SUMIFS(Controle!$R:$R,Controle!$H:$H,produtos_escape2!$A175,Controle!$Z:$Z,"5")</f>
        <v>0</v>
      </c>
      <c r="K175" s="507">
        <f>SUMIFS(Controle!$R:$R,Controle!$H:$H,produtos_escape2!$A175,Controle!$Z:$Z,"6")</f>
        <v>0</v>
      </c>
      <c r="L175" s="507">
        <f t="shared" si="5"/>
        <v>567</v>
      </c>
      <c r="M175" s="381" t="s">
        <v>4611</v>
      </c>
      <c r="AF175" s="84"/>
    </row>
    <row r="176" spans="1:32" s="185" customFormat="1" ht="14.25" customHeight="1" thickBot="1">
      <c r="A176" s="353">
        <v>6157</v>
      </c>
      <c r="B176" s="194" t="s">
        <v>4263</v>
      </c>
      <c r="C176" s="339">
        <f t="shared" si="4"/>
        <v>50000</v>
      </c>
      <c r="D176" s="196" t="s">
        <v>624</v>
      </c>
      <c r="E176" s="197" t="s">
        <v>3608</v>
      </c>
      <c r="F176" s="507">
        <f>SUMIFS(Controle!$R:$R,Controle!$H:$H,produtos_escape2!$A176,Controle!$Z:$Z,"1")</f>
        <v>0</v>
      </c>
      <c r="G176" s="507">
        <f>SUMIFS(Controle!$R:$R,Controle!$H:$H,produtos_escape2!$A176,Controle!$Z:$Z,"2")</f>
        <v>0</v>
      </c>
      <c r="H176" s="507">
        <f>SUMIFS(Controle!$R:$R,Controle!$H:$H,produtos_escape2!$A176,Controle!$Z:$Z,"3")</f>
        <v>0</v>
      </c>
      <c r="I176" s="507">
        <f>SUMIFS(Controle!$R:$R,Controle!$H:$H,produtos_escape2!$A176,Controle!$Z:$Z,"4")</f>
        <v>0</v>
      </c>
      <c r="J176" s="507">
        <f>SUMIFS(Controle!$R:$R,Controle!$H:$H,produtos_escape2!$A176,Controle!$Z:$Z,"5")</f>
        <v>0</v>
      </c>
      <c r="K176" s="507">
        <f>SUMIFS(Controle!$R:$R,Controle!$H:$H,produtos_escape2!$A176,Controle!$Z:$Z,"6")</f>
        <v>0</v>
      </c>
      <c r="L176" s="507">
        <f t="shared" si="5"/>
        <v>0</v>
      </c>
      <c r="M176" s="381" t="s">
        <v>4612</v>
      </c>
      <c r="AF176" s="84"/>
    </row>
    <row r="177" spans="1:32" s="185" customFormat="1" ht="14.25" customHeight="1" thickBot="1">
      <c r="A177" s="353">
        <v>6395</v>
      </c>
      <c r="B177" s="194" t="s">
        <v>2577</v>
      </c>
      <c r="C177" s="339">
        <f t="shared" si="4"/>
        <v>50000</v>
      </c>
      <c r="D177" s="196" t="s">
        <v>624</v>
      </c>
      <c r="E177" s="172" t="s">
        <v>1739</v>
      </c>
      <c r="F177" s="507">
        <f>SUMIFS(Controle!$R:$R,Controle!$H:$H,produtos_escape2!$A177,Controle!$Z:$Z,"1")</f>
        <v>0</v>
      </c>
      <c r="G177" s="507">
        <f>SUMIFS(Controle!$R:$R,Controle!$H:$H,produtos_escape2!$A177,Controle!$Z:$Z,"2")</f>
        <v>0</v>
      </c>
      <c r="H177" s="507">
        <f>SUMIFS(Controle!$R:$R,Controle!$H:$H,produtos_escape2!$A177,Controle!$Z:$Z,"3")</f>
        <v>0</v>
      </c>
      <c r="I177" s="507">
        <f>SUMIFS(Controle!$R:$R,Controle!$H:$H,produtos_escape2!$A177,Controle!$Z:$Z,"4")</f>
        <v>0</v>
      </c>
      <c r="J177" s="507">
        <f>SUMIFS(Controle!$R:$R,Controle!$H:$H,produtos_escape2!$A177,Controle!$Z:$Z,"5")</f>
        <v>0</v>
      </c>
      <c r="K177" s="507">
        <f>SUMIFS(Controle!$R:$R,Controle!$H:$H,produtos_escape2!$A177,Controle!$Z:$Z,"6")</f>
        <v>0</v>
      </c>
      <c r="L177" s="507">
        <f t="shared" si="5"/>
        <v>0</v>
      </c>
      <c r="M177" s="381" t="s">
        <v>4613</v>
      </c>
      <c r="AF177" s="84"/>
    </row>
    <row r="178" spans="1:32" s="185" customFormat="1" ht="14.25" customHeight="1" thickBot="1">
      <c r="A178" s="353">
        <v>6409</v>
      </c>
      <c r="B178" s="194" t="s">
        <v>2578</v>
      </c>
      <c r="C178" s="339">
        <f t="shared" si="4"/>
        <v>50000</v>
      </c>
      <c r="D178" s="196" t="s">
        <v>624</v>
      </c>
      <c r="E178" s="172" t="s">
        <v>1739</v>
      </c>
      <c r="F178" s="507">
        <f>SUMIFS(Controle!$R:$R,Controle!$H:$H,produtos_escape2!$A178,Controle!$Z:$Z,"1")</f>
        <v>0</v>
      </c>
      <c r="G178" s="507">
        <f>SUMIFS(Controle!$R:$R,Controle!$H:$H,produtos_escape2!$A178,Controle!$Z:$Z,"2")</f>
        <v>0</v>
      </c>
      <c r="H178" s="507">
        <f>SUMIFS(Controle!$R:$R,Controle!$H:$H,produtos_escape2!$A178,Controle!$Z:$Z,"3")</f>
        <v>0</v>
      </c>
      <c r="I178" s="507">
        <f>SUMIFS(Controle!$R:$R,Controle!$H:$H,produtos_escape2!$A178,Controle!$Z:$Z,"4")</f>
        <v>0</v>
      </c>
      <c r="J178" s="507">
        <f>SUMIFS(Controle!$R:$R,Controle!$H:$H,produtos_escape2!$A178,Controle!$Z:$Z,"5")</f>
        <v>0</v>
      </c>
      <c r="K178" s="507">
        <f>SUMIFS(Controle!$R:$R,Controle!$H:$H,produtos_escape2!$A178,Controle!$Z:$Z,"6")</f>
        <v>0</v>
      </c>
      <c r="L178" s="507">
        <f t="shared" si="5"/>
        <v>0</v>
      </c>
      <c r="M178" s="381" t="s">
        <v>4613</v>
      </c>
      <c r="AF178" s="84"/>
    </row>
    <row r="179" spans="1:32" s="185" customFormat="1" ht="14.25" customHeight="1" thickBot="1">
      <c r="A179" s="353">
        <v>6434</v>
      </c>
      <c r="B179" s="338" t="s">
        <v>1591</v>
      </c>
      <c r="C179" s="339">
        <f t="shared" si="4"/>
        <v>50000</v>
      </c>
      <c r="D179" s="196" t="s">
        <v>729</v>
      </c>
      <c r="E179" s="172" t="s">
        <v>1739</v>
      </c>
      <c r="F179" s="507">
        <f>SUMIFS(Controle!$R:$R,Controle!$H:$H,produtos_escape2!$A179,Controle!$Z:$Z,"1")</f>
        <v>0</v>
      </c>
      <c r="G179" s="507">
        <f>SUMIFS(Controle!$R:$R,Controle!$H:$H,produtos_escape2!$A179,Controle!$Z:$Z,"2")</f>
        <v>0</v>
      </c>
      <c r="H179" s="507">
        <f>SUMIFS(Controle!$R:$R,Controle!$H:$H,produtos_escape2!$A179,Controle!$Z:$Z,"3")</f>
        <v>0</v>
      </c>
      <c r="I179" s="507">
        <f>SUMIFS(Controle!$R:$R,Controle!$H:$H,produtos_escape2!$A179,Controle!$Z:$Z,"4")</f>
        <v>0</v>
      </c>
      <c r="J179" s="507">
        <f>SUMIFS(Controle!$R:$R,Controle!$H:$H,produtos_escape2!$A179,Controle!$Z:$Z,"5")</f>
        <v>0</v>
      </c>
      <c r="K179" s="507">
        <f>SUMIFS(Controle!$R:$R,Controle!$H:$H,produtos_escape2!$A179,Controle!$Z:$Z,"6")</f>
        <v>0</v>
      </c>
      <c r="L179" s="507">
        <f t="shared" si="5"/>
        <v>0</v>
      </c>
      <c r="M179" s="381" t="s">
        <v>4614</v>
      </c>
      <c r="AF179" s="84"/>
    </row>
    <row r="180" spans="1:32" s="185" customFormat="1" ht="14.25" customHeight="1" thickBot="1">
      <c r="A180" s="353">
        <v>6495</v>
      </c>
      <c r="B180" s="194" t="s">
        <v>325</v>
      </c>
      <c r="C180" s="339">
        <f t="shared" si="4"/>
        <v>50000</v>
      </c>
      <c r="D180" s="196" t="s">
        <v>624</v>
      </c>
      <c r="E180" s="172" t="s">
        <v>1739</v>
      </c>
      <c r="F180" s="507">
        <f>SUMIFS(Controle!$R:$R,Controle!$H:$H,produtos_escape2!$A180,Controle!$Z:$Z,"1")</f>
        <v>0</v>
      </c>
      <c r="G180" s="507">
        <f>SUMIFS(Controle!$R:$R,Controle!$H:$H,produtos_escape2!$A180,Controle!$Z:$Z,"2")</f>
        <v>0</v>
      </c>
      <c r="H180" s="507">
        <f>SUMIFS(Controle!$R:$R,Controle!$H:$H,produtos_escape2!$A180,Controle!$Z:$Z,"3")</f>
        <v>0</v>
      </c>
      <c r="I180" s="507">
        <f>SUMIFS(Controle!$R:$R,Controle!$H:$H,produtos_escape2!$A180,Controle!$Z:$Z,"4")</f>
        <v>0</v>
      </c>
      <c r="J180" s="507">
        <f>SUMIFS(Controle!$R:$R,Controle!$H:$H,produtos_escape2!$A180,Controle!$Z:$Z,"5")</f>
        <v>0</v>
      </c>
      <c r="K180" s="507">
        <f>SUMIFS(Controle!$R:$R,Controle!$H:$H,produtos_escape2!$A180,Controle!$Z:$Z,"6")</f>
        <v>0</v>
      </c>
      <c r="L180" s="507">
        <f t="shared" si="5"/>
        <v>0</v>
      </c>
      <c r="M180" s="381" t="s">
        <v>325</v>
      </c>
      <c r="AF180" s="84"/>
    </row>
    <row r="181" spans="1:32" s="185" customFormat="1" ht="14.25" customHeight="1" thickBot="1">
      <c r="A181" s="333">
        <v>6532</v>
      </c>
      <c r="B181" s="194" t="s">
        <v>106</v>
      </c>
      <c r="C181" s="339">
        <f t="shared" si="4"/>
        <v>50000</v>
      </c>
      <c r="D181" s="196" t="s">
        <v>628</v>
      </c>
      <c r="E181" s="172" t="s">
        <v>7207</v>
      </c>
      <c r="F181" s="507">
        <f>SUMIFS(Controle!$R:$R,Controle!$H:$H,produtos_escape2!$A181,Controle!$Z:$Z,"1")</f>
        <v>0</v>
      </c>
      <c r="G181" s="507">
        <f>SUMIFS(Controle!$R:$R,Controle!$H:$H,produtos_escape2!$A181,Controle!$Z:$Z,"2")</f>
        <v>0</v>
      </c>
      <c r="H181" s="507">
        <f>SUMIFS(Controle!$R:$R,Controle!$H:$H,produtos_escape2!$A181,Controle!$Z:$Z,"3")</f>
        <v>0</v>
      </c>
      <c r="I181" s="507">
        <f>SUMIFS(Controle!$R:$R,Controle!$H:$H,produtos_escape2!$A181,Controle!$Z:$Z,"4")</f>
        <v>0</v>
      </c>
      <c r="J181" s="507">
        <f>SUMIFS(Controle!$R:$R,Controle!$H:$H,produtos_escape2!$A181,Controle!$Z:$Z,"5")</f>
        <v>0</v>
      </c>
      <c r="K181" s="507">
        <f>SUMIFS(Controle!$R:$R,Controle!$H:$H,produtos_escape2!$A181,Controle!$Z:$Z,"6")</f>
        <v>0</v>
      </c>
      <c r="L181" s="507">
        <f t="shared" si="5"/>
        <v>0</v>
      </c>
      <c r="M181" s="381" t="s">
        <v>4615</v>
      </c>
      <c r="AF181" s="84"/>
    </row>
    <row r="182" spans="1:32" s="185" customFormat="1" ht="14.25" customHeight="1" thickBot="1">
      <c r="A182" s="353">
        <v>6542</v>
      </c>
      <c r="B182" s="194" t="s">
        <v>7873</v>
      </c>
      <c r="C182" s="339">
        <f t="shared" si="4"/>
        <v>47700</v>
      </c>
      <c r="D182" s="196" t="s">
        <v>624</v>
      </c>
      <c r="E182" s="172" t="s">
        <v>3608</v>
      </c>
      <c r="F182" s="507">
        <f>SUMIFS(Controle!$R:$R,Controle!$H:$H,produtos_escape2!$A182,Controle!$Z:$Z,"1")</f>
        <v>0</v>
      </c>
      <c r="G182" s="507">
        <f>SUMIFS(Controle!$R:$R,Controle!$H:$H,produtos_escape2!$A182,Controle!$Z:$Z,"2")</f>
        <v>2300</v>
      </c>
      <c r="H182" s="507">
        <f>SUMIFS(Controle!$R:$R,Controle!$H:$H,produtos_escape2!$A182,Controle!$Z:$Z,"3")</f>
        <v>0</v>
      </c>
      <c r="I182" s="507">
        <f>SUMIFS(Controle!$R:$R,Controle!$H:$H,produtos_escape2!$A182,Controle!$Z:$Z,"4")</f>
        <v>0</v>
      </c>
      <c r="J182" s="507">
        <f>SUMIFS(Controle!$R:$R,Controle!$H:$H,produtos_escape2!$A182,Controle!$Z:$Z,"5")</f>
        <v>0</v>
      </c>
      <c r="K182" s="507">
        <f>SUMIFS(Controle!$R:$R,Controle!$H:$H,produtos_escape2!$A182,Controle!$Z:$Z,"6")</f>
        <v>0</v>
      </c>
      <c r="L182" s="507">
        <f t="shared" si="5"/>
        <v>2300</v>
      </c>
      <c r="M182" s="381" t="s">
        <v>4616</v>
      </c>
      <c r="AF182" s="84"/>
    </row>
    <row r="183" spans="1:32" s="185" customFormat="1" ht="14.25" customHeight="1" thickBot="1">
      <c r="A183" s="353">
        <v>6679</v>
      </c>
      <c r="B183" s="194" t="s">
        <v>39</v>
      </c>
      <c r="C183" s="339">
        <f t="shared" si="4"/>
        <v>50000</v>
      </c>
      <c r="D183" s="196" t="s">
        <v>624</v>
      </c>
      <c r="E183" s="172" t="s">
        <v>1739</v>
      </c>
      <c r="F183" s="507">
        <f>SUMIFS(Controle!$R:$R,Controle!$H:$H,produtos_escape2!$A183,Controle!$Z:$Z,"1")</f>
        <v>0</v>
      </c>
      <c r="G183" s="507">
        <f>SUMIFS(Controle!$R:$R,Controle!$H:$H,produtos_escape2!$A183,Controle!$Z:$Z,"2")</f>
        <v>0</v>
      </c>
      <c r="H183" s="507">
        <f>SUMIFS(Controle!$R:$R,Controle!$H:$H,produtos_escape2!$A183,Controle!$Z:$Z,"3")</f>
        <v>0</v>
      </c>
      <c r="I183" s="507">
        <f>SUMIFS(Controle!$R:$R,Controle!$H:$H,produtos_escape2!$A183,Controle!$Z:$Z,"4")</f>
        <v>0</v>
      </c>
      <c r="J183" s="507">
        <f>SUMIFS(Controle!$R:$R,Controle!$H:$H,produtos_escape2!$A183,Controle!$Z:$Z,"5")</f>
        <v>0</v>
      </c>
      <c r="K183" s="507">
        <f>SUMIFS(Controle!$R:$R,Controle!$H:$H,produtos_escape2!$A183,Controle!$Z:$Z,"6")</f>
        <v>0</v>
      </c>
      <c r="L183" s="507">
        <f t="shared" si="5"/>
        <v>0</v>
      </c>
      <c r="M183" s="381" t="s">
        <v>4617</v>
      </c>
      <c r="AF183" s="84"/>
    </row>
    <row r="184" spans="1:32" s="185" customFormat="1" ht="14.25" customHeight="1" thickBot="1">
      <c r="A184" s="353">
        <v>7046</v>
      </c>
      <c r="B184" s="194" t="s">
        <v>4297</v>
      </c>
      <c r="C184" s="339">
        <f t="shared" si="4"/>
        <v>50000</v>
      </c>
      <c r="D184" s="196" t="s">
        <v>624</v>
      </c>
      <c r="E184" s="172" t="s">
        <v>7207</v>
      </c>
      <c r="F184" s="507">
        <f>SUMIFS(Controle!$R:$R,Controle!$H:$H,produtos_escape2!$A184,Controle!$Z:$Z,"1")</f>
        <v>0</v>
      </c>
      <c r="G184" s="507">
        <f>SUMIFS(Controle!$R:$R,Controle!$H:$H,produtos_escape2!$A184,Controle!$Z:$Z,"2")</f>
        <v>0</v>
      </c>
      <c r="H184" s="507">
        <f>SUMIFS(Controle!$R:$R,Controle!$H:$H,produtos_escape2!$A184,Controle!$Z:$Z,"3")</f>
        <v>0</v>
      </c>
      <c r="I184" s="507">
        <f>SUMIFS(Controle!$R:$R,Controle!$H:$H,produtos_escape2!$A184,Controle!$Z:$Z,"4")</f>
        <v>0</v>
      </c>
      <c r="J184" s="507">
        <f>SUMIFS(Controle!$R:$R,Controle!$H:$H,produtos_escape2!$A184,Controle!$Z:$Z,"5")</f>
        <v>0</v>
      </c>
      <c r="K184" s="507">
        <f>SUMIFS(Controle!$R:$R,Controle!$H:$H,produtos_escape2!$A184,Controle!$Z:$Z,"6")</f>
        <v>0</v>
      </c>
      <c r="L184" s="507">
        <f t="shared" si="5"/>
        <v>0</v>
      </c>
      <c r="M184" s="381" t="s">
        <v>4618</v>
      </c>
      <c r="AF184" s="84"/>
    </row>
    <row r="185" spans="1:32" s="185" customFormat="1" ht="14.25" customHeight="1" thickBot="1">
      <c r="A185" s="353">
        <v>7082</v>
      </c>
      <c r="B185" s="194" t="s">
        <v>40</v>
      </c>
      <c r="C185" s="339">
        <f t="shared" si="4"/>
        <v>50000</v>
      </c>
      <c r="D185" s="196" t="s">
        <v>624</v>
      </c>
      <c r="E185" s="172" t="s">
        <v>1739</v>
      </c>
      <c r="F185" s="507">
        <f>SUMIFS(Controle!$R:$R,Controle!$H:$H,produtos_escape2!$A185,Controle!$Z:$Z,"1")</f>
        <v>0</v>
      </c>
      <c r="G185" s="507">
        <f>SUMIFS(Controle!$R:$R,Controle!$H:$H,produtos_escape2!$A185,Controle!$Z:$Z,"2")</f>
        <v>0</v>
      </c>
      <c r="H185" s="507">
        <f>SUMIFS(Controle!$R:$R,Controle!$H:$H,produtos_escape2!$A185,Controle!$Z:$Z,"3")</f>
        <v>0</v>
      </c>
      <c r="I185" s="507">
        <f>SUMIFS(Controle!$R:$R,Controle!$H:$H,produtos_escape2!$A185,Controle!$Z:$Z,"4")</f>
        <v>0</v>
      </c>
      <c r="J185" s="507">
        <f>SUMIFS(Controle!$R:$R,Controle!$H:$H,produtos_escape2!$A185,Controle!$Z:$Z,"5")</f>
        <v>0</v>
      </c>
      <c r="K185" s="507">
        <f>SUMIFS(Controle!$R:$R,Controle!$H:$H,produtos_escape2!$A185,Controle!$Z:$Z,"6")</f>
        <v>0</v>
      </c>
      <c r="L185" s="507">
        <f t="shared" si="5"/>
        <v>0</v>
      </c>
      <c r="M185" s="381" t="s">
        <v>4619</v>
      </c>
      <c r="AF185" s="84"/>
    </row>
    <row r="186" spans="1:32" s="185" customFormat="1" ht="14.25" customHeight="1" thickBot="1">
      <c r="A186" s="353">
        <v>7260</v>
      </c>
      <c r="B186" s="194" t="s">
        <v>495</v>
      </c>
      <c r="C186" s="339">
        <f t="shared" si="4"/>
        <v>50000</v>
      </c>
      <c r="D186" s="196" t="s">
        <v>624</v>
      </c>
      <c r="E186" s="172" t="s">
        <v>1739</v>
      </c>
      <c r="F186" s="507">
        <f>SUMIFS(Controle!$R:$R,Controle!$H:$H,produtos_escape2!$A186,Controle!$Z:$Z,"1")</f>
        <v>0</v>
      </c>
      <c r="G186" s="507">
        <f>SUMIFS(Controle!$R:$R,Controle!$H:$H,produtos_escape2!$A186,Controle!$Z:$Z,"2")</f>
        <v>0</v>
      </c>
      <c r="H186" s="507">
        <f>SUMIFS(Controle!$R:$R,Controle!$H:$H,produtos_escape2!$A186,Controle!$Z:$Z,"3")</f>
        <v>0</v>
      </c>
      <c r="I186" s="507">
        <f>SUMIFS(Controle!$R:$R,Controle!$H:$H,produtos_escape2!$A186,Controle!$Z:$Z,"4")</f>
        <v>0</v>
      </c>
      <c r="J186" s="507">
        <f>SUMIFS(Controle!$R:$R,Controle!$H:$H,produtos_escape2!$A186,Controle!$Z:$Z,"5")</f>
        <v>0</v>
      </c>
      <c r="K186" s="507">
        <f>SUMIFS(Controle!$R:$R,Controle!$H:$H,produtos_escape2!$A186,Controle!$Z:$Z,"6")</f>
        <v>0</v>
      </c>
      <c r="L186" s="507">
        <f t="shared" si="5"/>
        <v>0</v>
      </c>
      <c r="M186" s="381" t="s">
        <v>4620</v>
      </c>
      <c r="AF186" s="84"/>
    </row>
    <row r="187" spans="1:32" s="185" customFormat="1" ht="14.25" customHeight="1" thickBot="1">
      <c r="A187" s="353">
        <v>7401</v>
      </c>
      <c r="B187" s="338" t="s">
        <v>3003</v>
      </c>
      <c r="C187" s="339">
        <f t="shared" si="4"/>
        <v>50000</v>
      </c>
      <c r="D187" s="196" t="s">
        <v>1093</v>
      </c>
      <c r="E187" s="172" t="s">
        <v>1739</v>
      </c>
      <c r="F187" s="507">
        <f>SUMIFS(Controle!$R:$R,Controle!$H:$H,produtos_escape2!$A187,Controle!$Z:$Z,"1")</f>
        <v>0</v>
      </c>
      <c r="G187" s="507">
        <f>SUMIFS(Controle!$R:$R,Controle!$H:$H,produtos_escape2!$A187,Controle!$Z:$Z,"2")</f>
        <v>0</v>
      </c>
      <c r="H187" s="507">
        <f>SUMIFS(Controle!$R:$R,Controle!$H:$H,produtos_escape2!$A187,Controle!$Z:$Z,"3")</f>
        <v>0</v>
      </c>
      <c r="I187" s="507">
        <f>SUMIFS(Controle!$R:$R,Controle!$H:$H,produtos_escape2!$A187,Controle!$Z:$Z,"4")</f>
        <v>0</v>
      </c>
      <c r="J187" s="507">
        <f>SUMIFS(Controle!$R:$R,Controle!$H:$H,produtos_escape2!$A187,Controle!$Z:$Z,"5")</f>
        <v>0</v>
      </c>
      <c r="K187" s="507">
        <f>SUMIFS(Controle!$R:$R,Controle!$H:$H,produtos_escape2!$A187,Controle!$Z:$Z,"6")</f>
        <v>0</v>
      </c>
      <c r="L187" s="507">
        <f t="shared" si="5"/>
        <v>0</v>
      </c>
      <c r="M187" s="381" t="s">
        <v>4621</v>
      </c>
      <c r="AF187" s="84"/>
    </row>
    <row r="188" spans="1:32" s="185" customFormat="1" ht="14.25" customHeight="1" thickBot="1">
      <c r="A188" s="353">
        <v>7523</v>
      </c>
      <c r="B188" s="194" t="s">
        <v>1416</v>
      </c>
      <c r="C188" s="339">
        <f t="shared" si="4"/>
        <v>50000</v>
      </c>
      <c r="D188" s="196" t="s">
        <v>624</v>
      </c>
      <c r="E188" s="172" t="s">
        <v>1739</v>
      </c>
      <c r="F188" s="507">
        <f>SUMIFS(Controle!$R:$R,Controle!$H:$H,produtos_escape2!$A188,Controle!$Z:$Z,"1")</f>
        <v>0</v>
      </c>
      <c r="G188" s="507">
        <f>SUMIFS(Controle!$R:$R,Controle!$H:$H,produtos_escape2!$A188,Controle!$Z:$Z,"2")</f>
        <v>0</v>
      </c>
      <c r="H188" s="507">
        <f>SUMIFS(Controle!$R:$R,Controle!$H:$H,produtos_escape2!$A188,Controle!$Z:$Z,"3")</f>
        <v>0</v>
      </c>
      <c r="I188" s="507">
        <f>SUMIFS(Controle!$R:$R,Controle!$H:$H,produtos_escape2!$A188,Controle!$Z:$Z,"4")</f>
        <v>0</v>
      </c>
      <c r="J188" s="507">
        <f>SUMIFS(Controle!$R:$R,Controle!$H:$H,produtos_escape2!$A188,Controle!$Z:$Z,"5")</f>
        <v>0</v>
      </c>
      <c r="K188" s="507">
        <f>SUMIFS(Controle!$R:$R,Controle!$H:$H,produtos_escape2!$A188,Controle!$Z:$Z,"6")</f>
        <v>0</v>
      </c>
      <c r="L188" s="507">
        <f t="shared" si="5"/>
        <v>0</v>
      </c>
      <c r="M188" s="381" t="s">
        <v>4622</v>
      </c>
      <c r="AF188" s="84"/>
    </row>
    <row r="189" spans="1:32" s="185" customFormat="1" ht="14.25" customHeight="1" thickBot="1">
      <c r="A189" s="333">
        <v>7534</v>
      </c>
      <c r="B189" s="194" t="s">
        <v>2841</v>
      </c>
      <c r="C189" s="339">
        <f t="shared" si="4"/>
        <v>50000</v>
      </c>
      <c r="D189" s="196" t="s">
        <v>725</v>
      </c>
      <c r="E189" s="172" t="s">
        <v>1739</v>
      </c>
      <c r="F189" s="507">
        <f>SUMIFS(Controle!$R:$R,Controle!$H:$H,produtos_escape2!$A189,Controle!$Z:$Z,"1")</f>
        <v>0</v>
      </c>
      <c r="G189" s="507">
        <f>SUMIFS(Controle!$R:$R,Controle!$H:$H,produtos_escape2!$A189,Controle!$Z:$Z,"2")</f>
        <v>0</v>
      </c>
      <c r="H189" s="507">
        <f>SUMIFS(Controle!$R:$R,Controle!$H:$H,produtos_escape2!$A189,Controle!$Z:$Z,"3")</f>
        <v>0</v>
      </c>
      <c r="I189" s="507">
        <f>SUMIFS(Controle!$R:$R,Controle!$H:$H,produtos_escape2!$A189,Controle!$Z:$Z,"4")</f>
        <v>0</v>
      </c>
      <c r="J189" s="507">
        <f>SUMIFS(Controle!$R:$R,Controle!$H:$H,produtos_escape2!$A189,Controle!$Z:$Z,"5")</f>
        <v>0</v>
      </c>
      <c r="K189" s="507">
        <f>SUMIFS(Controle!$R:$R,Controle!$H:$H,produtos_escape2!$A189,Controle!$Z:$Z,"6")</f>
        <v>0</v>
      </c>
      <c r="L189" s="507">
        <f t="shared" si="5"/>
        <v>0</v>
      </c>
      <c r="M189" s="381" t="s">
        <v>2841</v>
      </c>
      <c r="AF189" s="84"/>
    </row>
    <row r="190" spans="1:32" s="185" customFormat="1" ht="14.25" customHeight="1" thickBot="1">
      <c r="A190" s="353">
        <v>7550</v>
      </c>
      <c r="B190" s="194" t="s">
        <v>188</v>
      </c>
      <c r="C190" s="339">
        <f t="shared" si="4"/>
        <v>50000</v>
      </c>
      <c r="D190" s="196" t="s">
        <v>848</v>
      </c>
      <c r="E190" s="172" t="s">
        <v>1739</v>
      </c>
      <c r="F190" s="507">
        <f>SUMIFS(Controle!$R:$R,Controle!$H:$H,produtos_escape2!$A190,Controle!$Z:$Z,"1")</f>
        <v>0</v>
      </c>
      <c r="G190" s="507">
        <f>SUMIFS(Controle!$R:$R,Controle!$H:$H,produtos_escape2!$A190,Controle!$Z:$Z,"2")</f>
        <v>0</v>
      </c>
      <c r="H190" s="507">
        <f>SUMIFS(Controle!$R:$R,Controle!$H:$H,produtos_escape2!$A190,Controle!$Z:$Z,"3")</f>
        <v>0</v>
      </c>
      <c r="I190" s="507">
        <f>SUMIFS(Controle!$R:$R,Controle!$H:$H,produtos_escape2!$A190,Controle!$Z:$Z,"4")</f>
        <v>0</v>
      </c>
      <c r="J190" s="507">
        <f>SUMIFS(Controle!$R:$R,Controle!$H:$H,produtos_escape2!$A190,Controle!$Z:$Z,"5")</f>
        <v>0</v>
      </c>
      <c r="K190" s="507">
        <f>SUMIFS(Controle!$R:$R,Controle!$H:$H,produtos_escape2!$A190,Controle!$Z:$Z,"6")</f>
        <v>0</v>
      </c>
      <c r="L190" s="507">
        <f t="shared" si="5"/>
        <v>0</v>
      </c>
      <c r="M190" s="381" t="s">
        <v>4517</v>
      </c>
      <c r="AF190" s="84"/>
    </row>
    <row r="191" spans="1:32" s="185" customFormat="1" ht="14.25" customHeight="1" thickBot="1">
      <c r="A191" s="353">
        <v>7555</v>
      </c>
      <c r="B191" s="194" t="s">
        <v>4438</v>
      </c>
      <c r="C191" s="339">
        <f t="shared" si="4"/>
        <v>50000</v>
      </c>
      <c r="D191" s="196" t="s">
        <v>624</v>
      </c>
      <c r="E191" s="172" t="s">
        <v>7207</v>
      </c>
      <c r="F191" s="507">
        <f>SUMIFS(Controle!$R:$R,Controle!$H:$H,produtos_escape2!$A191,Controle!$Z:$Z,"1")</f>
        <v>0</v>
      </c>
      <c r="G191" s="507">
        <f>SUMIFS(Controle!$R:$R,Controle!$H:$H,produtos_escape2!$A191,Controle!$Z:$Z,"2")</f>
        <v>0</v>
      </c>
      <c r="H191" s="507">
        <f>SUMIFS(Controle!$R:$R,Controle!$H:$H,produtos_escape2!$A191,Controle!$Z:$Z,"3")</f>
        <v>0</v>
      </c>
      <c r="I191" s="507">
        <f>SUMIFS(Controle!$R:$R,Controle!$H:$H,produtos_escape2!$A191,Controle!$Z:$Z,"4")</f>
        <v>0</v>
      </c>
      <c r="J191" s="507">
        <f>SUMIFS(Controle!$R:$R,Controle!$H:$H,produtos_escape2!$A191,Controle!$Z:$Z,"5")</f>
        <v>0</v>
      </c>
      <c r="K191" s="507">
        <f>SUMIFS(Controle!$R:$R,Controle!$H:$H,produtos_escape2!$A191,Controle!$Z:$Z,"6")</f>
        <v>0</v>
      </c>
      <c r="L191" s="507">
        <f t="shared" si="5"/>
        <v>0</v>
      </c>
      <c r="M191" s="381" t="s">
        <v>4623</v>
      </c>
      <c r="AF191" s="84"/>
    </row>
    <row r="192" spans="1:32" s="185" customFormat="1" ht="14.25" customHeight="1" thickBot="1">
      <c r="A192" s="353">
        <v>7557</v>
      </c>
      <c r="B192" s="194" t="s">
        <v>3938</v>
      </c>
      <c r="C192" s="339">
        <f t="shared" si="4"/>
        <v>50000</v>
      </c>
      <c r="D192" s="196" t="s">
        <v>624</v>
      </c>
      <c r="E192" s="172" t="s">
        <v>7207</v>
      </c>
      <c r="F192" s="507">
        <f>SUMIFS(Controle!$R:$R,Controle!$H:$H,produtos_escape2!$A192,Controle!$Z:$Z,"1")</f>
        <v>0</v>
      </c>
      <c r="G192" s="507">
        <f>SUMIFS(Controle!$R:$R,Controle!$H:$H,produtos_escape2!$A192,Controle!$Z:$Z,"2")</f>
        <v>0</v>
      </c>
      <c r="H192" s="507">
        <f>SUMIFS(Controle!$R:$R,Controle!$H:$H,produtos_escape2!$A192,Controle!$Z:$Z,"3")</f>
        <v>0</v>
      </c>
      <c r="I192" s="507">
        <f>SUMIFS(Controle!$R:$R,Controle!$H:$H,produtos_escape2!$A192,Controle!$Z:$Z,"4")</f>
        <v>0</v>
      </c>
      <c r="J192" s="507">
        <f>SUMIFS(Controle!$R:$R,Controle!$H:$H,produtos_escape2!$A192,Controle!$Z:$Z,"5")</f>
        <v>0</v>
      </c>
      <c r="K192" s="507">
        <f>SUMIFS(Controle!$R:$R,Controle!$H:$H,produtos_escape2!$A192,Controle!$Z:$Z,"6")</f>
        <v>0</v>
      </c>
      <c r="L192" s="507">
        <f t="shared" si="5"/>
        <v>0</v>
      </c>
      <c r="M192" s="381" t="s">
        <v>4624</v>
      </c>
      <c r="AF192" s="84"/>
    </row>
    <row r="193" spans="1:32" s="185" customFormat="1" ht="14.25" customHeight="1" thickBot="1">
      <c r="A193" s="353">
        <v>7562</v>
      </c>
      <c r="B193" s="194" t="s">
        <v>56</v>
      </c>
      <c r="C193" s="339">
        <f t="shared" si="4"/>
        <v>50000</v>
      </c>
      <c r="D193" s="196" t="s">
        <v>624</v>
      </c>
      <c r="E193" s="172" t="s">
        <v>1739</v>
      </c>
      <c r="F193" s="507">
        <f>SUMIFS(Controle!$R:$R,Controle!$H:$H,produtos_escape2!$A193,Controle!$Z:$Z,"1")</f>
        <v>0</v>
      </c>
      <c r="G193" s="507">
        <f>SUMIFS(Controle!$R:$R,Controle!$H:$H,produtos_escape2!$A193,Controle!$Z:$Z,"2")</f>
        <v>0</v>
      </c>
      <c r="H193" s="507">
        <f>SUMIFS(Controle!$R:$R,Controle!$H:$H,produtos_escape2!$A193,Controle!$Z:$Z,"3")</f>
        <v>0</v>
      </c>
      <c r="I193" s="507">
        <f>SUMIFS(Controle!$R:$R,Controle!$H:$H,produtos_escape2!$A193,Controle!$Z:$Z,"4")</f>
        <v>0</v>
      </c>
      <c r="J193" s="507">
        <f>SUMIFS(Controle!$R:$R,Controle!$H:$H,produtos_escape2!$A193,Controle!$Z:$Z,"5")</f>
        <v>0</v>
      </c>
      <c r="K193" s="507">
        <f>SUMIFS(Controle!$R:$R,Controle!$H:$H,produtos_escape2!$A193,Controle!$Z:$Z,"6")</f>
        <v>0</v>
      </c>
      <c r="L193" s="507">
        <f t="shared" si="5"/>
        <v>0</v>
      </c>
      <c r="M193" s="381" t="s">
        <v>56</v>
      </c>
      <c r="AF193" s="84"/>
    </row>
    <row r="194" spans="1:32" s="185" customFormat="1" ht="14.25" customHeight="1" thickBot="1">
      <c r="A194" s="353">
        <v>7636</v>
      </c>
      <c r="B194" s="194" t="s">
        <v>112</v>
      </c>
      <c r="C194" s="339">
        <f t="shared" ref="C194:C257" si="6">50000-SUM(F194:K194)</f>
        <v>50000</v>
      </c>
      <c r="D194" s="196" t="s">
        <v>725</v>
      </c>
      <c r="E194" s="172" t="s">
        <v>1739</v>
      </c>
      <c r="F194" s="507">
        <f>SUMIFS(Controle!$R:$R,Controle!$H:$H,produtos_escape2!$A194,Controle!$Z:$Z,"1")</f>
        <v>0</v>
      </c>
      <c r="G194" s="507">
        <f>SUMIFS(Controle!$R:$R,Controle!$H:$H,produtos_escape2!$A194,Controle!$Z:$Z,"2")</f>
        <v>0</v>
      </c>
      <c r="H194" s="507">
        <f>SUMIFS(Controle!$R:$R,Controle!$H:$H,produtos_escape2!$A194,Controle!$Z:$Z,"3")</f>
        <v>0</v>
      </c>
      <c r="I194" s="507">
        <f>SUMIFS(Controle!$R:$R,Controle!$H:$H,produtos_escape2!$A194,Controle!$Z:$Z,"4")</f>
        <v>0</v>
      </c>
      <c r="J194" s="507">
        <f>SUMIFS(Controle!$R:$R,Controle!$H:$H,produtos_escape2!$A194,Controle!$Z:$Z,"5")</f>
        <v>0</v>
      </c>
      <c r="K194" s="507">
        <f>SUMIFS(Controle!$R:$R,Controle!$H:$H,produtos_escape2!$A194,Controle!$Z:$Z,"6")</f>
        <v>0</v>
      </c>
      <c r="L194" s="507">
        <f t="shared" si="5"/>
        <v>0</v>
      </c>
      <c r="M194" s="381" t="s">
        <v>112</v>
      </c>
      <c r="AF194" s="84"/>
    </row>
    <row r="195" spans="1:32" s="185" customFormat="1" ht="14.25" customHeight="1" thickBot="1">
      <c r="A195" s="353">
        <v>7643</v>
      </c>
      <c r="B195" s="338" t="s">
        <v>64</v>
      </c>
      <c r="C195" s="339">
        <f t="shared" si="6"/>
        <v>48850</v>
      </c>
      <c r="D195" s="196" t="s">
        <v>624</v>
      </c>
      <c r="E195" s="172" t="s">
        <v>1739</v>
      </c>
      <c r="F195" s="507">
        <f>SUMIFS(Controle!$R:$R,Controle!$H:$H,produtos_escape2!$A195,Controle!$Z:$Z,"1")</f>
        <v>0</v>
      </c>
      <c r="G195" s="507">
        <f>SUMIFS(Controle!$R:$R,Controle!$H:$H,produtos_escape2!$A195,Controle!$Z:$Z,"2")</f>
        <v>0</v>
      </c>
      <c r="H195" s="507">
        <f>SUMIFS(Controle!$R:$R,Controle!$H:$H,produtos_escape2!$A195,Controle!$Z:$Z,"3")</f>
        <v>500</v>
      </c>
      <c r="I195" s="507">
        <f>SUMIFS(Controle!$R:$R,Controle!$H:$H,produtos_escape2!$A195,Controle!$Z:$Z,"4")</f>
        <v>150</v>
      </c>
      <c r="J195" s="507">
        <f>SUMIFS(Controle!$R:$R,Controle!$H:$H,produtos_escape2!$A195,Controle!$Z:$Z,"5")</f>
        <v>250</v>
      </c>
      <c r="K195" s="507">
        <f>SUMIFS(Controle!$R:$R,Controle!$H:$H,produtos_escape2!$A195,Controle!$Z:$Z,"6")</f>
        <v>250</v>
      </c>
      <c r="L195" s="507">
        <f t="shared" ref="L195:L258" si="7">SUM(F195:K195)</f>
        <v>1150</v>
      </c>
      <c r="M195" s="381" t="s">
        <v>64</v>
      </c>
      <c r="AF195" s="84"/>
    </row>
    <row r="196" spans="1:32" s="185" customFormat="1" ht="14.25" customHeight="1" thickBot="1">
      <c r="A196" s="353">
        <v>7647</v>
      </c>
      <c r="B196" s="194" t="s">
        <v>7116</v>
      </c>
      <c r="C196" s="339">
        <f t="shared" si="6"/>
        <v>50000</v>
      </c>
      <c r="D196" s="196" t="s">
        <v>848</v>
      </c>
      <c r="E196" s="172" t="s">
        <v>7207</v>
      </c>
      <c r="F196" s="507">
        <f>SUMIFS(Controle!$R:$R,Controle!$H:$H,produtos_escape2!$A196,Controle!$Z:$Z,"1")</f>
        <v>0</v>
      </c>
      <c r="G196" s="507">
        <f>SUMIFS(Controle!$R:$R,Controle!$H:$H,produtos_escape2!$A196,Controle!$Z:$Z,"2")</f>
        <v>0</v>
      </c>
      <c r="H196" s="507">
        <f>SUMIFS(Controle!$R:$R,Controle!$H:$H,produtos_escape2!$A196,Controle!$Z:$Z,"3")</f>
        <v>0</v>
      </c>
      <c r="I196" s="507">
        <f>SUMIFS(Controle!$R:$R,Controle!$H:$H,produtos_escape2!$A196,Controle!$Z:$Z,"4")</f>
        <v>0</v>
      </c>
      <c r="J196" s="507">
        <f>SUMIFS(Controle!$R:$R,Controle!$H:$H,produtos_escape2!$A196,Controle!$Z:$Z,"5")</f>
        <v>0</v>
      </c>
      <c r="K196" s="507">
        <f>SUMIFS(Controle!$R:$R,Controle!$H:$H,produtos_escape2!$A196,Controle!$Z:$Z,"6")</f>
        <v>0</v>
      </c>
      <c r="L196" s="507">
        <f t="shared" si="7"/>
        <v>0</v>
      </c>
      <c r="M196" s="381" t="s">
        <v>4625</v>
      </c>
      <c r="AF196" s="84"/>
    </row>
    <row r="197" spans="1:32" s="185" customFormat="1" ht="14.25" customHeight="1" thickBot="1">
      <c r="A197" s="333">
        <v>7731</v>
      </c>
      <c r="B197" s="194" t="s">
        <v>396</v>
      </c>
      <c r="C197" s="339">
        <f t="shared" si="6"/>
        <v>50000</v>
      </c>
      <c r="D197" s="196" t="s">
        <v>624</v>
      </c>
      <c r="E197" s="172" t="s">
        <v>1739</v>
      </c>
      <c r="F197" s="507">
        <f>SUMIFS(Controle!$R:$R,Controle!$H:$H,produtos_escape2!$A197,Controle!$Z:$Z,"1")</f>
        <v>0</v>
      </c>
      <c r="G197" s="507">
        <f>SUMIFS(Controle!$R:$R,Controle!$H:$H,produtos_escape2!$A197,Controle!$Z:$Z,"2")</f>
        <v>0</v>
      </c>
      <c r="H197" s="507">
        <f>SUMIFS(Controle!$R:$R,Controle!$H:$H,produtos_escape2!$A197,Controle!$Z:$Z,"3")</f>
        <v>0</v>
      </c>
      <c r="I197" s="507">
        <f>SUMIFS(Controle!$R:$R,Controle!$H:$H,produtos_escape2!$A197,Controle!$Z:$Z,"4")</f>
        <v>0</v>
      </c>
      <c r="J197" s="507">
        <f>SUMIFS(Controle!$R:$R,Controle!$H:$H,produtos_escape2!$A197,Controle!$Z:$Z,"5")</f>
        <v>0</v>
      </c>
      <c r="K197" s="507">
        <f>SUMIFS(Controle!$R:$R,Controle!$H:$H,produtos_escape2!$A197,Controle!$Z:$Z,"6")</f>
        <v>0</v>
      </c>
      <c r="L197" s="507">
        <f t="shared" si="7"/>
        <v>0</v>
      </c>
      <c r="M197" s="381" t="s">
        <v>4626</v>
      </c>
      <c r="AF197" s="84"/>
    </row>
    <row r="198" spans="1:32" s="185" customFormat="1" ht="14.25" customHeight="1" thickBot="1">
      <c r="A198" s="353">
        <v>7791</v>
      </c>
      <c r="B198" s="194" t="s">
        <v>1193</v>
      </c>
      <c r="C198" s="339">
        <f t="shared" si="6"/>
        <v>50000</v>
      </c>
      <c r="D198" s="196" t="s">
        <v>624</v>
      </c>
      <c r="E198" s="172" t="s">
        <v>1739</v>
      </c>
      <c r="F198" s="507">
        <f>SUMIFS(Controle!$R:$R,Controle!$H:$H,produtos_escape2!$A198,Controle!$Z:$Z,"1")</f>
        <v>0</v>
      </c>
      <c r="G198" s="507">
        <f>SUMIFS(Controle!$R:$R,Controle!$H:$H,produtos_escape2!$A198,Controle!$Z:$Z,"2")</f>
        <v>0</v>
      </c>
      <c r="H198" s="507">
        <f>SUMIFS(Controle!$R:$R,Controle!$H:$H,produtos_escape2!$A198,Controle!$Z:$Z,"3")</f>
        <v>0</v>
      </c>
      <c r="I198" s="507">
        <f>SUMIFS(Controle!$R:$R,Controle!$H:$H,produtos_escape2!$A198,Controle!$Z:$Z,"4")</f>
        <v>0</v>
      </c>
      <c r="J198" s="507">
        <f>SUMIFS(Controle!$R:$R,Controle!$H:$H,produtos_escape2!$A198,Controle!$Z:$Z,"5")</f>
        <v>0</v>
      </c>
      <c r="K198" s="507">
        <f>SUMIFS(Controle!$R:$R,Controle!$H:$H,produtos_escape2!$A198,Controle!$Z:$Z,"6")</f>
        <v>0</v>
      </c>
      <c r="L198" s="507">
        <f t="shared" si="7"/>
        <v>0</v>
      </c>
      <c r="M198" s="381" t="s">
        <v>4627</v>
      </c>
      <c r="AF198" s="84"/>
    </row>
    <row r="199" spans="1:32" s="185" customFormat="1" ht="14.25" customHeight="1" thickBot="1">
      <c r="A199" s="353">
        <v>8111</v>
      </c>
      <c r="B199" s="194" t="s">
        <v>2762</v>
      </c>
      <c r="C199" s="339">
        <f t="shared" si="6"/>
        <v>49520</v>
      </c>
      <c r="D199" s="196" t="s">
        <v>624</v>
      </c>
      <c r="E199" s="172" t="s">
        <v>1739</v>
      </c>
      <c r="F199" s="507">
        <f>SUMIFS(Controle!$R:$R,Controle!$H:$H,produtos_escape2!$A199,Controle!$Z:$Z,"1")</f>
        <v>0</v>
      </c>
      <c r="G199" s="507">
        <f>SUMIFS(Controle!$R:$R,Controle!$H:$H,produtos_escape2!$A199,Controle!$Z:$Z,"2")</f>
        <v>0</v>
      </c>
      <c r="H199" s="507">
        <f>SUMIFS(Controle!$R:$R,Controle!$H:$H,produtos_escape2!$A199,Controle!$Z:$Z,"3")</f>
        <v>320</v>
      </c>
      <c r="I199" s="507">
        <f>SUMIFS(Controle!$R:$R,Controle!$H:$H,produtos_escape2!$A199,Controle!$Z:$Z,"4")</f>
        <v>0</v>
      </c>
      <c r="J199" s="507">
        <f>SUMIFS(Controle!$R:$R,Controle!$H:$H,produtos_escape2!$A199,Controle!$Z:$Z,"5")</f>
        <v>0</v>
      </c>
      <c r="K199" s="507">
        <f>SUMIFS(Controle!$R:$R,Controle!$H:$H,produtos_escape2!$A199,Controle!$Z:$Z,"6")</f>
        <v>160</v>
      </c>
      <c r="L199" s="507">
        <f t="shared" si="7"/>
        <v>480</v>
      </c>
      <c r="M199" s="381" t="s">
        <v>2762</v>
      </c>
      <c r="AF199" s="84"/>
    </row>
    <row r="200" spans="1:32" s="185" customFormat="1" ht="14.25" customHeight="1" thickBot="1">
      <c r="A200" s="353">
        <v>8114</v>
      </c>
      <c r="B200" s="194" t="s">
        <v>633</v>
      </c>
      <c r="C200" s="339">
        <f t="shared" si="6"/>
        <v>50000</v>
      </c>
      <c r="D200" s="191" t="s">
        <v>624</v>
      </c>
      <c r="E200" s="172" t="s">
        <v>7207</v>
      </c>
      <c r="F200" s="507">
        <f>SUMIFS(Controle!$R:$R,Controle!$H:$H,produtos_escape2!$A200,Controle!$Z:$Z,"1")</f>
        <v>0</v>
      </c>
      <c r="G200" s="507">
        <f>SUMIFS(Controle!$R:$R,Controle!$H:$H,produtos_escape2!$A200,Controle!$Z:$Z,"2")</f>
        <v>0</v>
      </c>
      <c r="H200" s="507">
        <f>SUMIFS(Controle!$R:$R,Controle!$H:$H,produtos_escape2!$A200,Controle!$Z:$Z,"3")</f>
        <v>0</v>
      </c>
      <c r="I200" s="507">
        <f>SUMIFS(Controle!$R:$R,Controle!$H:$H,produtos_escape2!$A200,Controle!$Z:$Z,"4")</f>
        <v>0</v>
      </c>
      <c r="J200" s="507">
        <f>SUMIFS(Controle!$R:$R,Controle!$H:$H,produtos_escape2!$A200,Controle!$Z:$Z,"5")</f>
        <v>0</v>
      </c>
      <c r="K200" s="507">
        <f>SUMIFS(Controle!$R:$R,Controle!$H:$H,produtos_escape2!$A200,Controle!$Z:$Z,"6")</f>
        <v>0</v>
      </c>
      <c r="L200" s="507">
        <f t="shared" si="7"/>
        <v>0</v>
      </c>
      <c r="M200" s="381" t="s">
        <v>4628</v>
      </c>
      <c r="AF200" s="84"/>
    </row>
    <row r="201" spans="1:32" s="185" customFormat="1" ht="14.25" customHeight="1" thickBot="1">
      <c r="A201" s="353">
        <v>8124</v>
      </c>
      <c r="B201" s="194" t="s">
        <v>1765</v>
      </c>
      <c r="C201" s="339">
        <f t="shared" si="6"/>
        <v>50000</v>
      </c>
      <c r="D201" s="191" t="s">
        <v>624</v>
      </c>
      <c r="E201" s="172" t="s">
        <v>1739</v>
      </c>
      <c r="F201" s="507">
        <f>SUMIFS(Controle!$R:$R,Controle!$H:$H,produtos_escape2!$A201,Controle!$Z:$Z,"1")</f>
        <v>0</v>
      </c>
      <c r="G201" s="507">
        <f>SUMIFS(Controle!$R:$R,Controle!$H:$H,produtos_escape2!$A201,Controle!$Z:$Z,"2")</f>
        <v>0</v>
      </c>
      <c r="H201" s="507">
        <f>SUMIFS(Controle!$R:$R,Controle!$H:$H,produtos_escape2!$A201,Controle!$Z:$Z,"3")</f>
        <v>0</v>
      </c>
      <c r="I201" s="507">
        <f>SUMIFS(Controle!$R:$R,Controle!$H:$H,produtos_escape2!$A201,Controle!$Z:$Z,"4")</f>
        <v>0</v>
      </c>
      <c r="J201" s="507">
        <f>SUMIFS(Controle!$R:$R,Controle!$H:$H,produtos_escape2!$A201,Controle!$Z:$Z,"5")</f>
        <v>0</v>
      </c>
      <c r="K201" s="507">
        <f>SUMIFS(Controle!$R:$R,Controle!$H:$H,produtos_escape2!$A201,Controle!$Z:$Z,"6")</f>
        <v>0</v>
      </c>
      <c r="L201" s="507">
        <f t="shared" si="7"/>
        <v>0</v>
      </c>
      <c r="M201" s="381" t="s">
        <v>4629</v>
      </c>
      <c r="AF201" s="84"/>
    </row>
    <row r="202" spans="1:32" s="185" customFormat="1" ht="14.25" customHeight="1" thickBot="1">
      <c r="A202" s="353">
        <v>8150</v>
      </c>
      <c r="B202" s="194" t="s">
        <v>1700</v>
      </c>
      <c r="C202" s="339">
        <f t="shared" si="6"/>
        <v>50000</v>
      </c>
      <c r="D202" s="196" t="s">
        <v>624</v>
      </c>
      <c r="E202" s="172" t="s">
        <v>1739</v>
      </c>
      <c r="F202" s="507">
        <f>SUMIFS(Controle!$R:$R,Controle!$H:$H,produtos_escape2!$A202,Controle!$Z:$Z,"1")</f>
        <v>0</v>
      </c>
      <c r="G202" s="507">
        <f>SUMIFS(Controle!$R:$R,Controle!$H:$H,produtos_escape2!$A202,Controle!$Z:$Z,"2")</f>
        <v>0</v>
      </c>
      <c r="H202" s="507">
        <f>SUMIFS(Controle!$R:$R,Controle!$H:$H,produtos_escape2!$A202,Controle!$Z:$Z,"3")</f>
        <v>0</v>
      </c>
      <c r="I202" s="507">
        <f>SUMIFS(Controle!$R:$R,Controle!$H:$H,produtos_escape2!$A202,Controle!$Z:$Z,"4")</f>
        <v>0</v>
      </c>
      <c r="J202" s="507">
        <f>SUMIFS(Controle!$R:$R,Controle!$H:$H,produtos_escape2!$A202,Controle!$Z:$Z,"5")</f>
        <v>0</v>
      </c>
      <c r="K202" s="507">
        <f>SUMIFS(Controle!$R:$R,Controle!$H:$H,produtos_escape2!$A202,Controle!$Z:$Z,"6")</f>
        <v>0</v>
      </c>
      <c r="L202" s="507">
        <f t="shared" si="7"/>
        <v>0</v>
      </c>
      <c r="M202" s="381" t="s">
        <v>4630</v>
      </c>
      <c r="AF202" s="84"/>
    </row>
    <row r="203" spans="1:32" s="185" customFormat="1" ht="14.25" customHeight="1" thickBot="1">
      <c r="A203" s="353">
        <v>8201</v>
      </c>
      <c r="B203" s="338" t="s">
        <v>435</v>
      </c>
      <c r="C203" s="339">
        <f t="shared" si="6"/>
        <v>50000</v>
      </c>
      <c r="D203" s="196" t="s">
        <v>848</v>
      </c>
      <c r="E203" s="172" t="s">
        <v>1739</v>
      </c>
      <c r="F203" s="507">
        <f>SUMIFS(Controle!$R:$R,Controle!$H:$H,produtos_escape2!$A203,Controle!$Z:$Z,"1")</f>
        <v>0</v>
      </c>
      <c r="G203" s="507">
        <f>SUMIFS(Controle!$R:$R,Controle!$H:$H,produtos_escape2!$A203,Controle!$Z:$Z,"2")</f>
        <v>0</v>
      </c>
      <c r="H203" s="507">
        <f>SUMIFS(Controle!$R:$R,Controle!$H:$H,produtos_escape2!$A203,Controle!$Z:$Z,"3")</f>
        <v>0</v>
      </c>
      <c r="I203" s="507">
        <f>SUMIFS(Controle!$R:$R,Controle!$H:$H,produtos_escape2!$A203,Controle!$Z:$Z,"4")</f>
        <v>0</v>
      </c>
      <c r="J203" s="507">
        <f>SUMIFS(Controle!$R:$R,Controle!$H:$H,produtos_escape2!$A203,Controle!$Z:$Z,"5")</f>
        <v>0</v>
      </c>
      <c r="K203" s="507">
        <f>SUMIFS(Controle!$R:$R,Controle!$H:$H,produtos_escape2!$A203,Controle!$Z:$Z,"6")</f>
        <v>0</v>
      </c>
      <c r="L203" s="507">
        <f t="shared" si="7"/>
        <v>0</v>
      </c>
      <c r="M203" s="381" t="s">
        <v>4631</v>
      </c>
      <c r="AF203" s="84"/>
    </row>
    <row r="204" spans="1:32" s="185" customFormat="1" ht="14.25" customHeight="1" thickBot="1">
      <c r="A204" s="353">
        <v>8203</v>
      </c>
      <c r="B204" s="194" t="s">
        <v>437</v>
      </c>
      <c r="C204" s="339">
        <f t="shared" si="6"/>
        <v>49971.32</v>
      </c>
      <c r="D204" s="196" t="s">
        <v>894</v>
      </c>
      <c r="E204" s="172" t="s">
        <v>1739</v>
      </c>
      <c r="F204" s="507">
        <f>SUMIFS(Controle!$R:$R,Controle!$H:$H,produtos_escape2!$A204,Controle!$Z:$Z,"1")</f>
        <v>0</v>
      </c>
      <c r="G204" s="507">
        <f>SUMIFS(Controle!$R:$R,Controle!$H:$H,produtos_escape2!$A204,Controle!$Z:$Z,"2")</f>
        <v>28.68</v>
      </c>
      <c r="H204" s="507">
        <f>SUMIFS(Controle!$R:$R,Controle!$H:$H,produtos_escape2!$A204,Controle!$Z:$Z,"3")</f>
        <v>0</v>
      </c>
      <c r="I204" s="507">
        <f>SUMIFS(Controle!$R:$R,Controle!$H:$H,produtos_escape2!$A204,Controle!$Z:$Z,"4")</f>
        <v>0</v>
      </c>
      <c r="J204" s="507">
        <f>SUMIFS(Controle!$R:$R,Controle!$H:$H,produtos_escape2!$A204,Controle!$Z:$Z,"5")</f>
        <v>0</v>
      </c>
      <c r="K204" s="507">
        <f>SUMIFS(Controle!$R:$R,Controle!$H:$H,produtos_escape2!$A204,Controle!$Z:$Z,"6")</f>
        <v>0</v>
      </c>
      <c r="L204" s="507">
        <f t="shared" si="7"/>
        <v>28.68</v>
      </c>
      <c r="M204" s="381" t="s">
        <v>4632</v>
      </c>
      <c r="AF204" s="84"/>
    </row>
    <row r="205" spans="1:32" s="185" customFormat="1" ht="14.25" customHeight="1" thickBot="1">
      <c r="A205" s="333">
        <v>8286</v>
      </c>
      <c r="B205" s="194" t="s">
        <v>1698</v>
      </c>
      <c r="C205" s="339">
        <f t="shared" si="6"/>
        <v>50000</v>
      </c>
      <c r="D205" s="196" t="s">
        <v>624</v>
      </c>
      <c r="E205" s="172" t="s">
        <v>1739</v>
      </c>
      <c r="F205" s="507">
        <f>SUMIFS(Controle!$R:$R,Controle!$H:$H,produtos_escape2!$A205,Controle!$Z:$Z,"1")</f>
        <v>0</v>
      </c>
      <c r="G205" s="507">
        <f>SUMIFS(Controle!$R:$R,Controle!$H:$H,produtos_escape2!$A205,Controle!$Z:$Z,"2")</f>
        <v>0</v>
      </c>
      <c r="H205" s="507">
        <f>SUMIFS(Controle!$R:$R,Controle!$H:$H,produtos_escape2!$A205,Controle!$Z:$Z,"3")</f>
        <v>0</v>
      </c>
      <c r="I205" s="507">
        <f>SUMIFS(Controle!$R:$R,Controle!$H:$H,produtos_escape2!$A205,Controle!$Z:$Z,"4")</f>
        <v>0</v>
      </c>
      <c r="J205" s="507">
        <f>SUMIFS(Controle!$R:$R,Controle!$H:$H,produtos_escape2!$A205,Controle!$Z:$Z,"5")</f>
        <v>0</v>
      </c>
      <c r="K205" s="507">
        <f>SUMIFS(Controle!$R:$R,Controle!$H:$H,produtos_escape2!$A205,Controle!$Z:$Z,"6")</f>
        <v>0</v>
      </c>
      <c r="L205" s="507">
        <f t="shared" si="7"/>
        <v>0</v>
      </c>
      <c r="M205" s="381" t="s">
        <v>4633</v>
      </c>
      <c r="AF205" s="84"/>
    </row>
    <row r="206" spans="1:32" s="185" customFormat="1" ht="14.25" customHeight="1" thickBot="1">
      <c r="A206" s="353">
        <v>8368</v>
      </c>
      <c r="B206" s="194" t="s">
        <v>1699</v>
      </c>
      <c r="C206" s="339">
        <f t="shared" si="6"/>
        <v>50000</v>
      </c>
      <c r="D206" s="196" t="s">
        <v>747</v>
      </c>
      <c r="E206" s="172" t="s">
        <v>1739</v>
      </c>
      <c r="F206" s="507">
        <f>SUMIFS(Controle!$R:$R,Controle!$H:$H,produtos_escape2!$A206,Controle!$Z:$Z,"1")</f>
        <v>0</v>
      </c>
      <c r="G206" s="507">
        <f>SUMIFS(Controle!$R:$R,Controle!$H:$H,produtos_escape2!$A206,Controle!$Z:$Z,"2")</f>
        <v>0</v>
      </c>
      <c r="H206" s="507">
        <f>SUMIFS(Controle!$R:$R,Controle!$H:$H,produtos_escape2!$A206,Controle!$Z:$Z,"3")</f>
        <v>0</v>
      </c>
      <c r="I206" s="507">
        <f>SUMIFS(Controle!$R:$R,Controle!$H:$H,produtos_escape2!$A206,Controle!$Z:$Z,"4")</f>
        <v>0</v>
      </c>
      <c r="J206" s="507">
        <f>SUMIFS(Controle!$R:$R,Controle!$H:$H,produtos_escape2!$A206,Controle!$Z:$Z,"5")</f>
        <v>0</v>
      </c>
      <c r="K206" s="507">
        <f>SUMIFS(Controle!$R:$R,Controle!$H:$H,produtos_escape2!$A206,Controle!$Z:$Z,"6")</f>
        <v>0</v>
      </c>
      <c r="L206" s="507">
        <f t="shared" si="7"/>
        <v>0</v>
      </c>
      <c r="M206" s="381" t="s">
        <v>4634</v>
      </c>
      <c r="AF206" s="84"/>
    </row>
    <row r="207" spans="1:32" s="185" customFormat="1" ht="14.25" customHeight="1" thickBot="1">
      <c r="A207" s="353">
        <v>8421</v>
      </c>
      <c r="B207" s="194" t="s">
        <v>4395</v>
      </c>
      <c r="C207" s="339">
        <f t="shared" si="6"/>
        <v>50000</v>
      </c>
      <c r="D207" s="196" t="s">
        <v>896</v>
      </c>
      <c r="E207" s="172" t="s">
        <v>1739</v>
      </c>
      <c r="F207" s="507">
        <f>SUMIFS(Controle!$R:$R,Controle!$H:$H,produtos_escape2!$A207,Controle!$Z:$Z,"1")</f>
        <v>0</v>
      </c>
      <c r="G207" s="507">
        <f>SUMIFS(Controle!$R:$R,Controle!$H:$H,produtos_escape2!$A207,Controle!$Z:$Z,"2")</f>
        <v>0</v>
      </c>
      <c r="H207" s="507">
        <f>SUMIFS(Controle!$R:$R,Controle!$H:$H,produtos_escape2!$A207,Controle!$Z:$Z,"3")</f>
        <v>0</v>
      </c>
      <c r="I207" s="507">
        <f>SUMIFS(Controle!$R:$R,Controle!$H:$H,produtos_escape2!$A207,Controle!$Z:$Z,"4")</f>
        <v>0</v>
      </c>
      <c r="J207" s="507">
        <f>SUMIFS(Controle!$R:$R,Controle!$H:$H,produtos_escape2!$A207,Controle!$Z:$Z,"5")</f>
        <v>0</v>
      </c>
      <c r="K207" s="507">
        <f>SUMIFS(Controle!$R:$R,Controle!$H:$H,produtos_escape2!$A207,Controle!$Z:$Z,"6")</f>
        <v>0</v>
      </c>
      <c r="L207" s="507">
        <f t="shared" si="7"/>
        <v>0</v>
      </c>
      <c r="M207" s="381" t="s">
        <v>4635</v>
      </c>
      <c r="AF207" s="84"/>
    </row>
    <row r="208" spans="1:32" s="185" customFormat="1" ht="14.25" customHeight="1" thickBot="1">
      <c r="A208" s="353">
        <v>8438</v>
      </c>
      <c r="B208" s="194" t="s">
        <v>1799</v>
      </c>
      <c r="C208" s="339">
        <f t="shared" si="6"/>
        <v>47419.4</v>
      </c>
      <c r="D208" s="196" t="s">
        <v>729</v>
      </c>
      <c r="E208" s="172" t="s">
        <v>1739</v>
      </c>
      <c r="F208" s="507">
        <f>SUMIFS(Controle!$R:$R,Controle!$H:$H,produtos_escape2!$A208,Controle!$Z:$Z,"1")</f>
        <v>0</v>
      </c>
      <c r="G208" s="507">
        <f>SUMIFS(Controle!$R:$R,Controle!$H:$H,produtos_escape2!$A208,Controle!$Z:$Z,"2")</f>
        <v>0</v>
      </c>
      <c r="H208" s="507">
        <f>SUMIFS(Controle!$R:$R,Controle!$H:$H,produtos_escape2!$A208,Controle!$Z:$Z,"3")</f>
        <v>0</v>
      </c>
      <c r="I208" s="507">
        <f>SUMIFS(Controle!$R:$R,Controle!$H:$H,produtos_escape2!$A208,Controle!$Z:$Z,"4")</f>
        <v>0</v>
      </c>
      <c r="J208" s="507">
        <f>SUMIFS(Controle!$R:$R,Controle!$H:$H,produtos_escape2!$A208,Controle!$Z:$Z,"5")</f>
        <v>0</v>
      </c>
      <c r="K208" s="507">
        <f>SUMIFS(Controle!$R:$R,Controle!$H:$H,produtos_escape2!$A208,Controle!$Z:$Z,"6")</f>
        <v>2580.6</v>
      </c>
      <c r="L208" s="507">
        <f t="shared" si="7"/>
        <v>2580.6</v>
      </c>
      <c r="M208" s="381" t="s">
        <v>4636</v>
      </c>
      <c r="AF208" s="84"/>
    </row>
    <row r="209" spans="1:32" s="185" customFormat="1" ht="14.25" customHeight="1" thickBot="1">
      <c r="A209" s="353">
        <v>8542</v>
      </c>
      <c r="B209" s="194" t="s">
        <v>1395</v>
      </c>
      <c r="C209" s="339">
        <f t="shared" si="6"/>
        <v>50000</v>
      </c>
      <c r="D209" s="196" t="s">
        <v>624</v>
      </c>
      <c r="E209" s="172" t="s">
        <v>1739</v>
      </c>
      <c r="F209" s="507">
        <f>SUMIFS(Controle!$R:$R,Controle!$H:$H,produtos_escape2!$A209,Controle!$Z:$Z,"1")</f>
        <v>0</v>
      </c>
      <c r="G209" s="507">
        <f>SUMIFS(Controle!$R:$R,Controle!$H:$H,produtos_escape2!$A209,Controle!$Z:$Z,"2")</f>
        <v>0</v>
      </c>
      <c r="H209" s="507">
        <f>SUMIFS(Controle!$R:$R,Controle!$H:$H,produtos_escape2!$A209,Controle!$Z:$Z,"3")</f>
        <v>0</v>
      </c>
      <c r="I209" s="507">
        <f>SUMIFS(Controle!$R:$R,Controle!$H:$H,produtos_escape2!$A209,Controle!$Z:$Z,"4")</f>
        <v>0</v>
      </c>
      <c r="J209" s="507">
        <f>SUMIFS(Controle!$R:$R,Controle!$H:$H,produtos_escape2!$A209,Controle!$Z:$Z,"5")</f>
        <v>0</v>
      </c>
      <c r="K209" s="507">
        <f>SUMIFS(Controle!$R:$R,Controle!$H:$H,produtos_escape2!$A209,Controle!$Z:$Z,"6")</f>
        <v>0</v>
      </c>
      <c r="L209" s="507">
        <f t="shared" si="7"/>
        <v>0</v>
      </c>
      <c r="M209" s="381" t="s">
        <v>4637</v>
      </c>
      <c r="AF209" s="84"/>
    </row>
    <row r="210" spans="1:32" s="185" customFormat="1" ht="14.25" customHeight="1" thickBot="1">
      <c r="A210" s="353">
        <v>8543</v>
      </c>
      <c r="B210" s="194" t="s">
        <v>1143</v>
      </c>
      <c r="C210" s="339">
        <f t="shared" si="6"/>
        <v>50000</v>
      </c>
      <c r="D210" s="196" t="s">
        <v>624</v>
      </c>
      <c r="E210" s="172" t="s">
        <v>1739</v>
      </c>
      <c r="F210" s="507">
        <f>SUMIFS(Controle!$R:$R,Controle!$H:$H,produtos_escape2!$A210,Controle!$Z:$Z,"1")</f>
        <v>0</v>
      </c>
      <c r="G210" s="507">
        <f>SUMIFS(Controle!$R:$R,Controle!$H:$H,produtos_escape2!$A210,Controle!$Z:$Z,"2")</f>
        <v>0</v>
      </c>
      <c r="H210" s="507">
        <f>SUMIFS(Controle!$R:$R,Controle!$H:$H,produtos_escape2!$A210,Controle!$Z:$Z,"3")</f>
        <v>0</v>
      </c>
      <c r="I210" s="507">
        <f>SUMIFS(Controle!$R:$R,Controle!$H:$H,produtos_escape2!$A210,Controle!$Z:$Z,"4")</f>
        <v>0</v>
      </c>
      <c r="J210" s="507">
        <f>SUMIFS(Controle!$R:$R,Controle!$H:$H,produtos_escape2!$A210,Controle!$Z:$Z,"5")</f>
        <v>0</v>
      </c>
      <c r="K210" s="507">
        <f>SUMIFS(Controle!$R:$R,Controle!$H:$H,produtos_escape2!$A210,Controle!$Z:$Z,"6")</f>
        <v>0</v>
      </c>
      <c r="L210" s="507">
        <f t="shared" si="7"/>
        <v>0</v>
      </c>
      <c r="M210" s="381" t="s">
        <v>4637</v>
      </c>
      <c r="AF210" s="84"/>
    </row>
    <row r="211" spans="1:32" s="185" customFormat="1" ht="14.25" customHeight="1" thickBot="1">
      <c r="A211" s="353">
        <v>8551</v>
      </c>
      <c r="B211" s="338" t="s">
        <v>346</v>
      </c>
      <c r="C211" s="339">
        <f t="shared" si="6"/>
        <v>50000</v>
      </c>
      <c r="D211" s="196" t="s">
        <v>725</v>
      </c>
      <c r="E211" s="172" t="s">
        <v>1739</v>
      </c>
      <c r="F211" s="507">
        <f>SUMIFS(Controle!$R:$R,Controle!$H:$H,produtos_escape2!$A211,Controle!$Z:$Z,"1")</f>
        <v>0</v>
      </c>
      <c r="G211" s="507">
        <f>SUMIFS(Controle!$R:$R,Controle!$H:$H,produtos_escape2!$A211,Controle!$Z:$Z,"2")</f>
        <v>0</v>
      </c>
      <c r="H211" s="507">
        <f>SUMIFS(Controle!$R:$R,Controle!$H:$H,produtos_escape2!$A211,Controle!$Z:$Z,"3")</f>
        <v>0</v>
      </c>
      <c r="I211" s="507">
        <f>SUMIFS(Controle!$R:$R,Controle!$H:$H,produtos_escape2!$A211,Controle!$Z:$Z,"4")</f>
        <v>0</v>
      </c>
      <c r="J211" s="507">
        <f>SUMIFS(Controle!$R:$R,Controle!$H:$H,produtos_escape2!$A211,Controle!$Z:$Z,"5")</f>
        <v>0</v>
      </c>
      <c r="K211" s="507">
        <f>SUMIFS(Controle!$R:$R,Controle!$H:$H,produtos_escape2!$A211,Controle!$Z:$Z,"6")</f>
        <v>0</v>
      </c>
      <c r="L211" s="507">
        <f t="shared" si="7"/>
        <v>0</v>
      </c>
      <c r="M211" s="381" t="s">
        <v>346</v>
      </c>
      <c r="AF211" s="84"/>
    </row>
    <row r="212" spans="1:32" s="185" customFormat="1" ht="15" customHeight="1" thickBot="1">
      <c r="A212" s="353">
        <v>8566</v>
      </c>
      <c r="B212" s="194" t="s">
        <v>581</v>
      </c>
      <c r="C212" s="339">
        <f t="shared" si="6"/>
        <v>50000</v>
      </c>
      <c r="D212" s="196" t="s">
        <v>725</v>
      </c>
      <c r="E212" s="172" t="s">
        <v>1739</v>
      </c>
      <c r="F212" s="507">
        <f>SUMIFS(Controle!$R:$R,Controle!$H:$H,produtos_escape2!$A212,Controle!$Z:$Z,"1")</f>
        <v>0</v>
      </c>
      <c r="G212" s="507">
        <f>SUMIFS(Controle!$R:$R,Controle!$H:$H,produtos_escape2!$A212,Controle!$Z:$Z,"2")</f>
        <v>0</v>
      </c>
      <c r="H212" s="507">
        <f>SUMIFS(Controle!$R:$R,Controle!$H:$H,produtos_escape2!$A212,Controle!$Z:$Z,"3")</f>
        <v>0</v>
      </c>
      <c r="I212" s="507">
        <f>SUMIFS(Controle!$R:$R,Controle!$H:$H,produtos_escape2!$A212,Controle!$Z:$Z,"4")</f>
        <v>0</v>
      </c>
      <c r="J212" s="507">
        <f>SUMIFS(Controle!$R:$R,Controle!$H:$H,produtos_escape2!$A212,Controle!$Z:$Z,"5")</f>
        <v>0</v>
      </c>
      <c r="K212" s="507">
        <f>SUMIFS(Controle!$R:$R,Controle!$H:$H,produtos_escape2!$A212,Controle!$Z:$Z,"6")</f>
        <v>0</v>
      </c>
      <c r="L212" s="507">
        <f t="shared" si="7"/>
        <v>0</v>
      </c>
      <c r="M212" s="381" t="s">
        <v>4638</v>
      </c>
      <c r="AF212" s="84"/>
    </row>
    <row r="213" spans="1:32" s="185" customFormat="1" ht="15" customHeight="1" thickBot="1">
      <c r="A213" s="333">
        <v>8584</v>
      </c>
      <c r="B213" s="194" t="s">
        <v>229</v>
      </c>
      <c r="C213" s="339">
        <f t="shared" si="6"/>
        <v>50000</v>
      </c>
      <c r="D213" s="196" t="s">
        <v>628</v>
      </c>
      <c r="E213" s="172" t="s">
        <v>1739</v>
      </c>
      <c r="F213" s="507">
        <f>SUMIFS(Controle!$R:$R,Controle!$H:$H,produtos_escape2!$A213,Controle!$Z:$Z,"1")</f>
        <v>0</v>
      </c>
      <c r="G213" s="507">
        <f>SUMIFS(Controle!$R:$R,Controle!$H:$H,produtos_escape2!$A213,Controle!$Z:$Z,"2")</f>
        <v>0</v>
      </c>
      <c r="H213" s="507">
        <f>SUMIFS(Controle!$R:$R,Controle!$H:$H,produtos_escape2!$A213,Controle!$Z:$Z,"3")</f>
        <v>0</v>
      </c>
      <c r="I213" s="507">
        <f>SUMIFS(Controle!$R:$R,Controle!$H:$H,produtos_escape2!$A213,Controle!$Z:$Z,"4")</f>
        <v>0</v>
      </c>
      <c r="J213" s="507">
        <f>SUMIFS(Controle!$R:$R,Controle!$H:$H,produtos_escape2!$A213,Controle!$Z:$Z,"5")</f>
        <v>0</v>
      </c>
      <c r="K213" s="507">
        <f>SUMIFS(Controle!$R:$R,Controle!$H:$H,produtos_escape2!$A213,Controle!$Z:$Z,"6")</f>
        <v>0</v>
      </c>
      <c r="L213" s="507">
        <f t="shared" si="7"/>
        <v>0</v>
      </c>
      <c r="M213" s="381" t="s">
        <v>4639</v>
      </c>
      <c r="AF213" s="84"/>
    </row>
    <row r="214" spans="1:32" s="185" customFormat="1" ht="15" customHeight="1" thickBot="1">
      <c r="A214" s="353">
        <v>8696</v>
      </c>
      <c r="B214" s="194" t="s">
        <v>1609</v>
      </c>
      <c r="C214" s="339">
        <f t="shared" si="6"/>
        <v>50000</v>
      </c>
      <c r="D214" s="196" t="s">
        <v>639</v>
      </c>
      <c r="E214" s="172" t="s">
        <v>1739</v>
      </c>
      <c r="F214" s="507">
        <f>SUMIFS(Controle!$R:$R,Controle!$H:$H,produtos_escape2!$A214,Controle!$Z:$Z,"1")</f>
        <v>0</v>
      </c>
      <c r="G214" s="507">
        <f>SUMIFS(Controle!$R:$R,Controle!$H:$H,produtos_escape2!$A214,Controle!$Z:$Z,"2")</f>
        <v>0</v>
      </c>
      <c r="H214" s="507">
        <f>SUMIFS(Controle!$R:$R,Controle!$H:$H,produtos_escape2!$A214,Controle!$Z:$Z,"3")</f>
        <v>0</v>
      </c>
      <c r="I214" s="507">
        <f>SUMIFS(Controle!$R:$R,Controle!$H:$H,produtos_escape2!$A214,Controle!$Z:$Z,"4")</f>
        <v>0</v>
      </c>
      <c r="J214" s="507">
        <f>SUMIFS(Controle!$R:$R,Controle!$H:$H,produtos_escape2!$A214,Controle!$Z:$Z,"5")</f>
        <v>0</v>
      </c>
      <c r="K214" s="507">
        <f>SUMIFS(Controle!$R:$R,Controle!$H:$H,produtos_escape2!$A214,Controle!$Z:$Z,"6")</f>
        <v>0</v>
      </c>
      <c r="L214" s="507">
        <f t="shared" si="7"/>
        <v>0</v>
      </c>
      <c r="M214" s="381" t="s">
        <v>4640</v>
      </c>
      <c r="AF214" s="84"/>
    </row>
    <row r="215" spans="1:32" s="185" customFormat="1" ht="14.25" customHeight="1" thickBot="1">
      <c r="A215" s="353">
        <v>8699</v>
      </c>
      <c r="B215" s="194" t="s">
        <v>233</v>
      </c>
      <c r="C215" s="339">
        <f t="shared" si="6"/>
        <v>50000</v>
      </c>
      <c r="D215" s="196" t="s">
        <v>624</v>
      </c>
      <c r="E215" s="172" t="s">
        <v>1739</v>
      </c>
      <c r="F215" s="507">
        <f>SUMIFS(Controle!$R:$R,Controle!$H:$H,produtos_escape2!$A215,Controle!$Z:$Z,"1")</f>
        <v>0</v>
      </c>
      <c r="G215" s="507">
        <f>SUMIFS(Controle!$R:$R,Controle!$H:$H,produtos_escape2!$A215,Controle!$Z:$Z,"2")</f>
        <v>0</v>
      </c>
      <c r="H215" s="507">
        <f>SUMIFS(Controle!$R:$R,Controle!$H:$H,produtos_escape2!$A215,Controle!$Z:$Z,"3")</f>
        <v>0</v>
      </c>
      <c r="I215" s="507">
        <f>SUMIFS(Controle!$R:$R,Controle!$H:$H,produtos_escape2!$A215,Controle!$Z:$Z,"4")</f>
        <v>0</v>
      </c>
      <c r="J215" s="507">
        <f>SUMIFS(Controle!$R:$R,Controle!$H:$H,produtos_escape2!$A215,Controle!$Z:$Z,"5")</f>
        <v>0</v>
      </c>
      <c r="K215" s="507">
        <f>SUMIFS(Controle!$R:$R,Controle!$H:$H,produtos_escape2!$A215,Controle!$Z:$Z,"6")</f>
        <v>0</v>
      </c>
      <c r="L215" s="507">
        <f t="shared" si="7"/>
        <v>0</v>
      </c>
      <c r="M215" s="381" t="s">
        <v>233</v>
      </c>
      <c r="AF215" s="84"/>
    </row>
    <row r="216" spans="1:32" s="185" customFormat="1" ht="14.25" customHeight="1" thickBot="1">
      <c r="A216" s="353">
        <v>8739</v>
      </c>
      <c r="B216" s="194" t="s">
        <v>921</v>
      </c>
      <c r="C216" s="339">
        <f t="shared" si="6"/>
        <v>50000</v>
      </c>
      <c r="D216" s="196" t="s">
        <v>894</v>
      </c>
      <c r="E216" s="172" t="s">
        <v>1739</v>
      </c>
      <c r="F216" s="507">
        <f>SUMIFS(Controle!$R:$R,Controle!$H:$H,produtos_escape2!$A216,Controle!$Z:$Z,"1")</f>
        <v>0</v>
      </c>
      <c r="G216" s="507">
        <f>SUMIFS(Controle!$R:$R,Controle!$H:$H,produtos_escape2!$A216,Controle!$Z:$Z,"2")</f>
        <v>0</v>
      </c>
      <c r="H216" s="507">
        <f>SUMIFS(Controle!$R:$R,Controle!$H:$H,produtos_escape2!$A216,Controle!$Z:$Z,"3")</f>
        <v>0</v>
      </c>
      <c r="I216" s="507">
        <f>SUMIFS(Controle!$R:$R,Controle!$H:$H,produtos_escape2!$A216,Controle!$Z:$Z,"4")</f>
        <v>0</v>
      </c>
      <c r="J216" s="507">
        <f>SUMIFS(Controle!$R:$R,Controle!$H:$H,produtos_escape2!$A216,Controle!$Z:$Z,"5")</f>
        <v>0</v>
      </c>
      <c r="K216" s="507">
        <f>SUMIFS(Controle!$R:$R,Controle!$H:$H,produtos_escape2!$A216,Controle!$Z:$Z,"6")</f>
        <v>0</v>
      </c>
      <c r="L216" s="507">
        <f t="shared" si="7"/>
        <v>0</v>
      </c>
      <c r="M216" s="381" t="s">
        <v>921</v>
      </c>
      <c r="AF216" s="84"/>
    </row>
    <row r="217" spans="1:32" s="185" customFormat="1" ht="14.25" customHeight="1" thickBot="1">
      <c r="A217" s="353">
        <v>8757</v>
      </c>
      <c r="B217" s="194" t="s">
        <v>1321</v>
      </c>
      <c r="C217" s="339">
        <f t="shared" si="6"/>
        <v>49890</v>
      </c>
      <c r="D217" s="196" t="s">
        <v>894</v>
      </c>
      <c r="E217" s="172" t="s">
        <v>1739</v>
      </c>
      <c r="F217" s="507">
        <f>SUMIFS(Controle!$R:$R,Controle!$H:$H,produtos_escape2!$A217,Controle!$Z:$Z,"1")</f>
        <v>0</v>
      </c>
      <c r="G217" s="507">
        <f>SUMIFS(Controle!$R:$R,Controle!$H:$H,produtos_escape2!$A217,Controle!$Z:$Z,"2")</f>
        <v>0</v>
      </c>
      <c r="H217" s="507">
        <f>SUMIFS(Controle!$R:$R,Controle!$H:$H,produtos_escape2!$A217,Controle!$Z:$Z,"3")</f>
        <v>0</v>
      </c>
      <c r="I217" s="507">
        <f>SUMIFS(Controle!$R:$R,Controle!$H:$H,produtos_escape2!$A217,Controle!$Z:$Z,"4")</f>
        <v>110</v>
      </c>
      <c r="J217" s="507">
        <f>SUMIFS(Controle!$R:$R,Controle!$H:$H,produtos_escape2!$A217,Controle!$Z:$Z,"5")</f>
        <v>0</v>
      </c>
      <c r="K217" s="507">
        <f>SUMIFS(Controle!$R:$R,Controle!$H:$H,produtos_escape2!$A217,Controle!$Z:$Z,"6")</f>
        <v>0</v>
      </c>
      <c r="L217" s="507">
        <f t="shared" si="7"/>
        <v>110</v>
      </c>
      <c r="M217" s="381" t="s">
        <v>4641</v>
      </c>
      <c r="AF217" s="84"/>
    </row>
    <row r="218" spans="1:32" s="185" customFormat="1" ht="14.25" customHeight="1" thickBot="1">
      <c r="A218" s="353">
        <v>8763</v>
      </c>
      <c r="B218" s="194" t="s">
        <v>196</v>
      </c>
      <c r="C218" s="339">
        <f t="shared" si="6"/>
        <v>50000</v>
      </c>
      <c r="D218" s="196" t="s">
        <v>725</v>
      </c>
      <c r="E218" s="172" t="s">
        <v>1739</v>
      </c>
      <c r="F218" s="507">
        <f>SUMIFS(Controle!$R:$R,Controle!$H:$H,produtos_escape2!$A218,Controle!$Z:$Z,"1")</f>
        <v>0</v>
      </c>
      <c r="G218" s="507">
        <f>SUMIFS(Controle!$R:$R,Controle!$H:$H,produtos_escape2!$A218,Controle!$Z:$Z,"2")</f>
        <v>0</v>
      </c>
      <c r="H218" s="507">
        <f>SUMIFS(Controle!$R:$R,Controle!$H:$H,produtos_escape2!$A218,Controle!$Z:$Z,"3")</f>
        <v>0</v>
      </c>
      <c r="I218" s="507">
        <f>SUMIFS(Controle!$R:$R,Controle!$H:$H,produtos_escape2!$A218,Controle!$Z:$Z,"4")</f>
        <v>0</v>
      </c>
      <c r="J218" s="507">
        <f>SUMIFS(Controle!$R:$R,Controle!$H:$H,produtos_escape2!$A218,Controle!$Z:$Z,"5")</f>
        <v>0</v>
      </c>
      <c r="K218" s="507">
        <f>SUMIFS(Controle!$R:$R,Controle!$H:$H,produtos_escape2!$A218,Controle!$Z:$Z,"6")</f>
        <v>0</v>
      </c>
      <c r="L218" s="507">
        <f t="shared" si="7"/>
        <v>0</v>
      </c>
      <c r="M218" s="381" t="s">
        <v>196</v>
      </c>
      <c r="AF218" s="84"/>
    </row>
    <row r="219" spans="1:32" s="185" customFormat="1" ht="14.25" customHeight="1" thickBot="1">
      <c r="A219" s="353">
        <v>8815</v>
      </c>
      <c r="B219" s="338" t="s">
        <v>1758</v>
      </c>
      <c r="C219" s="339">
        <f t="shared" si="6"/>
        <v>50000</v>
      </c>
      <c r="D219" s="191" t="s">
        <v>1255</v>
      </c>
      <c r="E219" s="172" t="s">
        <v>1739</v>
      </c>
      <c r="F219" s="507">
        <f>SUMIFS(Controle!$R:$R,Controle!$H:$H,produtos_escape2!$A219,Controle!$Z:$Z,"1")</f>
        <v>0</v>
      </c>
      <c r="G219" s="507">
        <f>SUMIFS(Controle!$R:$R,Controle!$H:$H,produtos_escape2!$A219,Controle!$Z:$Z,"2")</f>
        <v>0</v>
      </c>
      <c r="H219" s="507">
        <f>SUMIFS(Controle!$R:$R,Controle!$H:$H,produtos_escape2!$A219,Controle!$Z:$Z,"3")</f>
        <v>0</v>
      </c>
      <c r="I219" s="507">
        <f>SUMIFS(Controle!$R:$R,Controle!$H:$H,produtos_escape2!$A219,Controle!$Z:$Z,"4")</f>
        <v>0</v>
      </c>
      <c r="J219" s="507">
        <f>SUMIFS(Controle!$R:$R,Controle!$H:$H,produtos_escape2!$A219,Controle!$Z:$Z,"5")</f>
        <v>0</v>
      </c>
      <c r="K219" s="507">
        <f>SUMIFS(Controle!$R:$R,Controle!$H:$H,produtos_escape2!$A219,Controle!$Z:$Z,"6")</f>
        <v>0</v>
      </c>
      <c r="L219" s="507">
        <f t="shared" si="7"/>
        <v>0</v>
      </c>
      <c r="M219" s="381" t="s">
        <v>1758</v>
      </c>
      <c r="AF219" s="84"/>
    </row>
    <row r="220" spans="1:32" s="185" customFormat="1" ht="14.25" customHeight="1" thickBot="1">
      <c r="A220" s="353">
        <v>8828</v>
      </c>
      <c r="B220" s="194" t="s">
        <v>730</v>
      </c>
      <c r="C220" s="339">
        <f t="shared" si="6"/>
        <v>50000</v>
      </c>
      <c r="D220" s="196" t="s">
        <v>624</v>
      </c>
      <c r="E220" s="172" t="s">
        <v>1739</v>
      </c>
      <c r="F220" s="507">
        <f>SUMIFS(Controle!$R:$R,Controle!$H:$H,produtos_escape2!$A220,Controle!$Z:$Z,"1")</f>
        <v>0</v>
      </c>
      <c r="G220" s="507">
        <f>SUMIFS(Controle!$R:$R,Controle!$H:$H,produtos_escape2!$A220,Controle!$Z:$Z,"2")</f>
        <v>0</v>
      </c>
      <c r="H220" s="507">
        <f>SUMIFS(Controle!$R:$R,Controle!$H:$H,produtos_escape2!$A220,Controle!$Z:$Z,"3")</f>
        <v>0</v>
      </c>
      <c r="I220" s="507">
        <f>SUMIFS(Controle!$R:$R,Controle!$H:$H,produtos_escape2!$A220,Controle!$Z:$Z,"4")</f>
        <v>0</v>
      </c>
      <c r="J220" s="507">
        <f>SUMIFS(Controle!$R:$R,Controle!$H:$H,produtos_escape2!$A220,Controle!$Z:$Z,"5")</f>
        <v>0</v>
      </c>
      <c r="K220" s="507">
        <f>SUMIFS(Controle!$R:$R,Controle!$H:$H,produtos_escape2!$A220,Controle!$Z:$Z,"6")</f>
        <v>0</v>
      </c>
      <c r="L220" s="507">
        <f t="shared" si="7"/>
        <v>0</v>
      </c>
      <c r="M220" s="381" t="s">
        <v>4642</v>
      </c>
      <c r="AF220" s="84"/>
    </row>
    <row r="221" spans="1:32" s="185" customFormat="1" ht="14.25" customHeight="1" thickBot="1">
      <c r="A221" s="333">
        <v>8829</v>
      </c>
      <c r="B221" s="194" t="s">
        <v>391</v>
      </c>
      <c r="C221" s="339">
        <f t="shared" si="6"/>
        <v>49840.5</v>
      </c>
      <c r="D221" s="196" t="s">
        <v>548</v>
      </c>
      <c r="E221" s="172" t="s">
        <v>1739</v>
      </c>
      <c r="F221" s="507">
        <f>SUMIFS(Controle!$R:$R,Controle!$H:$H,produtos_escape2!$A221,Controle!$Z:$Z,"1")</f>
        <v>0</v>
      </c>
      <c r="G221" s="507">
        <f>SUMIFS(Controle!$R:$R,Controle!$H:$H,produtos_escape2!$A221,Controle!$Z:$Z,"2")</f>
        <v>73.5</v>
      </c>
      <c r="H221" s="507">
        <f>SUMIFS(Controle!$R:$R,Controle!$H:$H,produtos_escape2!$A221,Controle!$Z:$Z,"3")</f>
        <v>0</v>
      </c>
      <c r="I221" s="507">
        <f>SUMIFS(Controle!$R:$R,Controle!$H:$H,produtos_escape2!$A221,Controle!$Z:$Z,"4")</f>
        <v>0</v>
      </c>
      <c r="J221" s="507">
        <f>SUMIFS(Controle!$R:$R,Controle!$H:$H,produtos_escape2!$A221,Controle!$Z:$Z,"5")</f>
        <v>0</v>
      </c>
      <c r="K221" s="507">
        <f>SUMIFS(Controle!$R:$R,Controle!$H:$H,produtos_escape2!$A221,Controle!$Z:$Z,"6")</f>
        <v>86</v>
      </c>
      <c r="L221" s="507">
        <f t="shared" si="7"/>
        <v>159.5</v>
      </c>
      <c r="M221" s="381" t="s">
        <v>4643</v>
      </c>
      <c r="AF221" s="84"/>
    </row>
    <row r="222" spans="1:32" s="185" customFormat="1" ht="14.25" customHeight="1" thickBot="1">
      <c r="A222" s="353">
        <v>8836</v>
      </c>
      <c r="B222" s="194" t="s">
        <v>18</v>
      </c>
      <c r="C222" s="339">
        <f t="shared" si="6"/>
        <v>50000</v>
      </c>
      <c r="D222" s="196" t="s">
        <v>549</v>
      </c>
      <c r="E222" s="172" t="s">
        <v>1739</v>
      </c>
      <c r="F222" s="507">
        <f>SUMIFS(Controle!$R:$R,Controle!$H:$H,produtos_escape2!$A222,Controle!$Z:$Z,"1")</f>
        <v>0</v>
      </c>
      <c r="G222" s="507">
        <f>SUMIFS(Controle!$R:$R,Controle!$H:$H,produtos_escape2!$A222,Controle!$Z:$Z,"2")</f>
        <v>0</v>
      </c>
      <c r="H222" s="507">
        <f>SUMIFS(Controle!$R:$R,Controle!$H:$H,produtos_escape2!$A222,Controle!$Z:$Z,"3")</f>
        <v>0</v>
      </c>
      <c r="I222" s="507">
        <f>SUMIFS(Controle!$R:$R,Controle!$H:$H,produtos_escape2!$A222,Controle!$Z:$Z,"4")</f>
        <v>0</v>
      </c>
      <c r="J222" s="507">
        <f>SUMIFS(Controle!$R:$R,Controle!$H:$H,produtos_escape2!$A222,Controle!$Z:$Z,"5")</f>
        <v>0</v>
      </c>
      <c r="K222" s="507">
        <f>SUMIFS(Controle!$R:$R,Controle!$H:$H,produtos_escape2!$A222,Controle!$Z:$Z,"6")</f>
        <v>0</v>
      </c>
      <c r="L222" s="507">
        <f t="shared" si="7"/>
        <v>0</v>
      </c>
      <c r="M222" s="381" t="s">
        <v>18</v>
      </c>
      <c r="AF222" s="84"/>
    </row>
    <row r="223" spans="1:32" s="185" customFormat="1" ht="14.25" customHeight="1" thickBot="1">
      <c r="A223" s="353">
        <v>8866</v>
      </c>
      <c r="B223" s="194" t="s">
        <v>2579</v>
      </c>
      <c r="C223" s="339">
        <f t="shared" si="6"/>
        <v>50000</v>
      </c>
      <c r="D223" s="196" t="s">
        <v>624</v>
      </c>
      <c r="E223" s="172" t="s">
        <v>1739</v>
      </c>
      <c r="F223" s="507">
        <f>SUMIFS(Controle!$R:$R,Controle!$H:$H,produtos_escape2!$A223,Controle!$Z:$Z,"1")</f>
        <v>0</v>
      </c>
      <c r="G223" s="507">
        <f>SUMIFS(Controle!$R:$R,Controle!$H:$H,produtos_escape2!$A223,Controle!$Z:$Z,"2")</f>
        <v>0</v>
      </c>
      <c r="H223" s="507">
        <f>SUMIFS(Controle!$R:$R,Controle!$H:$H,produtos_escape2!$A223,Controle!$Z:$Z,"3")</f>
        <v>0</v>
      </c>
      <c r="I223" s="507">
        <f>SUMIFS(Controle!$R:$R,Controle!$H:$H,produtos_escape2!$A223,Controle!$Z:$Z,"4")</f>
        <v>0</v>
      </c>
      <c r="J223" s="507">
        <f>SUMIFS(Controle!$R:$R,Controle!$H:$H,produtos_escape2!$A223,Controle!$Z:$Z,"5")</f>
        <v>0</v>
      </c>
      <c r="K223" s="507">
        <f>SUMIFS(Controle!$R:$R,Controle!$H:$H,produtos_escape2!$A223,Controle!$Z:$Z,"6")</f>
        <v>0</v>
      </c>
      <c r="L223" s="507">
        <f t="shared" si="7"/>
        <v>0</v>
      </c>
      <c r="M223" s="381" t="s">
        <v>4644</v>
      </c>
      <c r="AF223" s="84"/>
    </row>
    <row r="224" spans="1:32" s="185" customFormat="1" ht="14.25" customHeight="1" thickBot="1">
      <c r="A224" s="353">
        <v>8902</v>
      </c>
      <c r="B224" s="194" t="s">
        <v>397</v>
      </c>
      <c r="C224" s="339">
        <f t="shared" si="6"/>
        <v>50000</v>
      </c>
      <c r="D224" s="196" t="s">
        <v>624</v>
      </c>
      <c r="E224" s="172" t="s">
        <v>1739</v>
      </c>
      <c r="F224" s="507">
        <f>SUMIFS(Controle!$R:$R,Controle!$H:$H,produtos_escape2!$A224,Controle!$Z:$Z,"1")</f>
        <v>0</v>
      </c>
      <c r="G224" s="507">
        <f>SUMIFS(Controle!$R:$R,Controle!$H:$H,produtos_escape2!$A224,Controle!$Z:$Z,"2")</f>
        <v>0</v>
      </c>
      <c r="H224" s="507">
        <f>SUMIFS(Controle!$R:$R,Controle!$H:$H,produtos_escape2!$A224,Controle!$Z:$Z,"3")</f>
        <v>0</v>
      </c>
      <c r="I224" s="507">
        <f>SUMIFS(Controle!$R:$R,Controle!$H:$H,produtos_escape2!$A224,Controle!$Z:$Z,"4")</f>
        <v>0</v>
      </c>
      <c r="J224" s="507">
        <f>SUMIFS(Controle!$R:$R,Controle!$H:$H,produtos_escape2!$A224,Controle!$Z:$Z,"5")</f>
        <v>0</v>
      </c>
      <c r="K224" s="507">
        <f>SUMIFS(Controle!$R:$R,Controle!$H:$H,produtos_escape2!$A224,Controle!$Z:$Z,"6")</f>
        <v>0</v>
      </c>
      <c r="L224" s="507">
        <f t="shared" si="7"/>
        <v>0</v>
      </c>
      <c r="M224" s="381" t="s">
        <v>4645</v>
      </c>
      <c r="AF224" s="84"/>
    </row>
    <row r="225" spans="1:32" s="185" customFormat="1" ht="14.25" customHeight="1" thickBot="1">
      <c r="A225" s="353">
        <v>8944</v>
      </c>
      <c r="B225" s="194" t="s">
        <v>1165</v>
      </c>
      <c r="C225" s="339">
        <f t="shared" si="6"/>
        <v>49319.15</v>
      </c>
      <c r="D225" s="196" t="s">
        <v>725</v>
      </c>
      <c r="E225" s="172" t="s">
        <v>1739</v>
      </c>
      <c r="F225" s="507">
        <f>SUMIFS(Controle!$R:$R,Controle!$H:$H,produtos_escape2!$A225,Controle!$Z:$Z,"1")</f>
        <v>0</v>
      </c>
      <c r="G225" s="507">
        <f>SUMIFS(Controle!$R:$R,Controle!$H:$H,produtos_escape2!$A225,Controle!$Z:$Z,"2")</f>
        <v>680.85</v>
      </c>
      <c r="H225" s="507">
        <f>SUMIFS(Controle!$R:$R,Controle!$H:$H,produtos_escape2!$A225,Controle!$Z:$Z,"3")</f>
        <v>0</v>
      </c>
      <c r="I225" s="507">
        <f>SUMIFS(Controle!$R:$R,Controle!$H:$H,produtos_escape2!$A225,Controle!$Z:$Z,"4")</f>
        <v>0</v>
      </c>
      <c r="J225" s="507">
        <f>SUMIFS(Controle!$R:$R,Controle!$H:$H,produtos_escape2!$A225,Controle!$Z:$Z,"5")</f>
        <v>0</v>
      </c>
      <c r="K225" s="507">
        <f>SUMIFS(Controle!$R:$R,Controle!$H:$H,produtos_escape2!$A225,Controle!$Z:$Z,"6")</f>
        <v>0</v>
      </c>
      <c r="L225" s="507">
        <f t="shared" si="7"/>
        <v>680.85</v>
      </c>
      <c r="M225" s="381" t="s">
        <v>1165</v>
      </c>
      <c r="AF225" s="84"/>
    </row>
    <row r="226" spans="1:32" s="185" customFormat="1" ht="14.25" customHeight="1" thickBot="1">
      <c r="A226" s="353">
        <v>8970</v>
      </c>
      <c r="B226" s="194" t="s">
        <v>2814</v>
      </c>
      <c r="C226" s="339">
        <f t="shared" si="6"/>
        <v>50000</v>
      </c>
      <c r="D226" s="196" t="s">
        <v>848</v>
      </c>
      <c r="E226" s="172" t="s">
        <v>1739</v>
      </c>
      <c r="F226" s="507">
        <f>SUMIFS(Controle!$R:$R,Controle!$H:$H,produtos_escape2!$A226,Controle!$Z:$Z,"1")</f>
        <v>0</v>
      </c>
      <c r="G226" s="507">
        <f>SUMIFS(Controle!$R:$R,Controle!$H:$H,produtos_escape2!$A226,Controle!$Z:$Z,"2")</f>
        <v>0</v>
      </c>
      <c r="H226" s="507">
        <f>SUMIFS(Controle!$R:$R,Controle!$H:$H,produtos_escape2!$A226,Controle!$Z:$Z,"3")</f>
        <v>0</v>
      </c>
      <c r="I226" s="507">
        <f>SUMIFS(Controle!$R:$R,Controle!$H:$H,produtos_escape2!$A226,Controle!$Z:$Z,"4")</f>
        <v>0</v>
      </c>
      <c r="J226" s="507">
        <f>SUMIFS(Controle!$R:$R,Controle!$H:$H,produtos_escape2!$A226,Controle!$Z:$Z,"5")</f>
        <v>0</v>
      </c>
      <c r="K226" s="507">
        <f>SUMIFS(Controle!$R:$R,Controle!$H:$H,produtos_escape2!$A226,Controle!$Z:$Z,"6")</f>
        <v>0</v>
      </c>
      <c r="L226" s="507">
        <f t="shared" si="7"/>
        <v>0</v>
      </c>
      <c r="M226" s="381" t="s">
        <v>4646</v>
      </c>
      <c r="AF226" s="84"/>
    </row>
    <row r="227" spans="1:32" s="185" customFormat="1" ht="14.25" customHeight="1" thickBot="1">
      <c r="A227" s="353">
        <v>8981</v>
      </c>
      <c r="B227" s="338" t="s">
        <v>4418</v>
      </c>
      <c r="C227" s="339">
        <f t="shared" si="6"/>
        <v>50000</v>
      </c>
      <c r="D227" s="196" t="s">
        <v>624</v>
      </c>
      <c r="E227" s="172" t="s">
        <v>3608</v>
      </c>
      <c r="F227" s="507">
        <f>SUMIFS(Controle!$R:$R,Controle!$H:$H,produtos_escape2!$A227,Controle!$Z:$Z,"1")</f>
        <v>0</v>
      </c>
      <c r="G227" s="507">
        <f>SUMIFS(Controle!$R:$R,Controle!$H:$H,produtos_escape2!$A227,Controle!$Z:$Z,"2")</f>
        <v>0</v>
      </c>
      <c r="H227" s="507">
        <f>SUMIFS(Controle!$R:$R,Controle!$H:$H,produtos_escape2!$A227,Controle!$Z:$Z,"3")</f>
        <v>0</v>
      </c>
      <c r="I227" s="507">
        <f>SUMIFS(Controle!$R:$R,Controle!$H:$H,produtos_escape2!$A227,Controle!$Z:$Z,"4")</f>
        <v>0</v>
      </c>
      <c r="J227" s="507">
        <f>SUMIFS(Controle!$R:$R,Controle!$H:$H,produtos_escape2!$A227,Controle!$Z:$Z,"5")</f>
        <v>0</v>
      </c>
      <c r="K227" s="507">
        <f>SUMIFS(Controle!$R:$R,Controle!$H:$H,produtos_escape2!$A227,Controle!$Z:$Z,"6")</f>
        <v>0</v>
      </c>
      <c r="L227" s="507">
        <f t="shared" si="7"/>
        <v>0</v>
      </c>
      <c r="M227" s="381" t="s">
        <v>4647</v>
      </c>
      <c r="AF227" s="84"/>
    </row>
    <row r="228" spans="1:32" s="185" customFormat="1" ht="14.25" customHeight="1" thickBot="1">
      <c r="A228" s="353">
        <v>8982</v>
      </c>
      <c r="B228" s="194" t="s">
        <v>4417</v>
      </c>
      <c r="C228" s="339">
        <f t="shared" si="6"/>
        <v>50000</v>
      </c>
      <c r="D228" s="196" t="s">
        <v>624</v>
      </c>
      <c r="E228" s="172" t="s">
        <v>3608</v>
      </c>
      <c r="F228" s="507">
        <f>SUMIFS(Controle!$R:$R,Controle!$H:$H,produtos_escape2!$A228,Controle!$Z:$Z,"1")</f>
        <v>0</v>
      </c>
      <c r="G228" s="507">
        <f>SUMIFS(Controle!$R:$R,Controle!$H:$H,produtos_escape2!$A228,Controle!$Z:$Z,"2")</f>
        <v>0</v>
      </c>
      <c r="H228" s="507">
        <f>SUMIFS(Controle!$R:$R,Controle!$H:$H,produtos_escape2!$A228,Controle!$Z:$Z,"3")</f>
        <v>0</v>
      </c>
      <c r="I228" s="507">
        <f>SUMIFS(Controle!$R:$R,Controle!$H:$H,produtos_escape2!$A228,Controle!$Z:$Z,"4")</f>
        <v>0</v>
      </c>
      <c r="J228" s="507">
        <f>SUMIFS(Controle!$R:$R,Controle!$H:$H,produtos_escape2!$A228,Controle!$Z:$Z,"5")</f>
        <v>0</v>
      </c>
      <c r="K228" s="507">
        <f>SUMIFS(Controle!$R:$R,Controle!$H:$H,produtos_escape2!$A228,Controle!$Z:$Z,"6")</f>
        <v>0</v>
      </c>
      <c r="L228" s="507">
        <f t="shared" si="7"/>
        <v>0</v>
      </c>
      <c r="M228" s="381" t="s">
        <v>4648</v>
      </c>
      <c r="AF228" s="84"/>
    </row>
    <row r="229" spans="1:32" s="185" customFormat="1" ht="14.25" customHeight="1" thickBot="1">
      <c r="A229" s="333">
        <v>8983</v>
      </c>
      <c r="B229" s="194" t="s">
        <v>2844</v>
      </c>
      <c r="C229" s="339">
        <f t="shared" si="6"/>
        <v>50000</v>
      </c>
      <c r="D229" s="196" t="s">
        <v>624</v>
      </c>
      <c r="E229" s="172" t="s">
        <v>3608</v>
      </c>
      <c r="F229" s="507">
        <f>SUMIFS(Controle!$R:$R,Controle!$H:$H,produtos_escape2!$A229,Controle!$Z:$Z,"1")</f>
        <v>0</v>
      </c>
      <c r="G229" s="507">
        <f>SUMIFS(Controle!$R:$R,Controle!$H:$H,produtos_escape2!$A229,Controle!$Z:$Z,"2")</f>
        <v>0</v>
      </c>
      <c r="H229" s="507">
        <f>SUMIFS(Controle!$R:$R,Controle!$H:$H,produtos_escape2!$A229,Controle!$Z:$Z,"3")</f>
        <v>0</v>
      </c>
      <c r="I229" s="507">
        <f>SUMIFS(Controle!$R:$R,Controle!$H:$H,produtos_escape2!$A229,Controle!$Z:$Z,"4")</f>
        <v>0</v>
      </c>
      <c r="J229" s="507">
        <f>SUMIFS(Controle!$R:$R,Controle!$H:$H,produtos_escape2!$A229,Controle!$Z:$Z,"5")</f>
        <v>0</v>
      </c>
      <c r="K229" s="507">
        <f>SUMIFS(Controle!$R:$R,Controle!$H:$H,produtos_escape2!$A229,Controle!$Z:$Z,"6")</f>
        <v>0</v>
      </c>
      <c r="L229" s="507">
        <f t="shared" si="7"/>
        <v>0</v>
      </c>
      <c r="M229" s="381" t="s">
        <v>4649</v>
      </c>
      <c r="AF229" s="84"/>
    </row>
    <row r="230" spans="1:32" s="185" customFormat="1" ht="14.25" customHeight="1" thickBot="1">
      <c r="A230" s="353">
        <v>9172</v>
      </c>
      <c r="B230" s="194" t="s">
        <v>422</v>
      </c>
      <c r="C230" s="339">
        <f t="shared" si="6"/>
        <v>50000</v>
      </c>
      <c r="D230" s="196" t="s">
        <v>624</v>
      </c>
      <c r="E230" s="172" t="s">
        <v>1739</v>
      </c>
      <c r="F230" s="507">
        <f>SUMIFS(Controle!$R:$R,Controle!$H:$H,produtos_escape2!$A230,Controle!$Z:$Z,"1")</f>
        <v>0</v>
      </c>
      <c r="G230" s="507">
        <f>SUMIFS(Controle!$R:$R,Controle!$H:$H,produtos_escape2!$A230,Controle!$Z:$Z,"2")</f>
        <v>0</v>
      </c>
      <c r="H230" s="507">
        <f>SUMIFS(Controle!$R:$R,Controle!$H:$H,produtos_escape2!$A230,Controle!$Z:$Z,"3")</f>
        <v>0</v>
      </c>
      <c r="I230" s="507">
        <f>SUMIFS(Controle!$R:$R,Controle!$H:$H,produtos_escape2!$A230,Controle!$Z:$Z,"4")</f>
        <v>0</v>
      </c>
      <c r="J230" s="507">
        <f>SUMIFS(Controle!$R:$R,Controle!$H:$H,produtos_escape2!$A230,Controle!$Z:$Z,"5")</f>
        <v>0</v>
      </c>
      <c r="K230" s="507">
        <f>SUMIFS(Controle!$R:$R,Controle!$H:$H,produtos_escape2!$A230,Controle!$Z:$Z,"6")</f>
        <v>0</v>
      </c>
      <c r="L230" s="507">
        <f t="shared" si="7"/>
        <v>0</v>
      </c>
      <c r="M230" s="381" t="s">
        <v>4650</v>
      </c>
      <c r="AF230" s="84"/>
    </row>
    <row r="231" spans="1:32" s="185" customFormat="1" ht="14.25" customHeight="1" thickBot="1">
      <c r="A231" s="353">
        <v>9241</v>
      </c>
      <c r="B231" s="194" t="s">
        <v>142</v>
      </c>
      <c r="C231" s="339">
        <f t="shared" si="6"/>
        <v>50000</v>
      </c>
      <c r="D231" s="196" t="s">
        <v>624</v>
      </c>
      <c r="E231" s="172" t="s">
        <v>1739</v>
      </c>
      <c r="F231" s="507">
        <f>SUMIFS(Controle!$R:$R,Controle!$H:$H,produtos_escape2!$A231,Controle!$Z:$Z,"1")</f>
        <v>0</v>
      </c>
      <c r="G231" s="507">
        <f>SUMIFS(Controle!$R:$R,Controle!$H:$H,produtos_escape2!$A231,Controle!$Z:$Z,"2")</f>
        <v>0</v>
      </c>
      <c r="H231" s="507">
        <f>SUMIFS(Controle!$R:$R,Controle!$H:$H,produtos_escape2!$A231,Controle!$Z:$Z,"3")</f>
        <v>0</v>
      </c>
      <c r="I231" s="507">
        <f>SUMIFS(Controle!$R:$R,Controle!$H:$H,produtos_escape2!$A231,Controle!$Z:$Z,"4")</f>
        <v>0</v>
      </c>
      <c r="J231" s="507">
        <f>SUMIFS(Controle!$R:$R,Controle!$H:$H,produtos_escape2!$A231,Controle!$Z:$Z,"5")</f>
        <v>0</v>
      </c>
      <c r="K231" s="507">
        <f>SUMIFS(Controle!$R:$R,Controle!$H:$H,produtos_escape2!$A231,Controle!$Z:$Z,"6")</f>
        <v>0</v>
      </c>
      <c r="L231" s="507">
        <f t="shared" si="7"/>
        <v>0</v>
      </c>
      <c r="M231" s="381" t="s">
        <v>4651</v>
      </c>
      <c r="AF231" s="84"/>
    </row>
    <row r="232" spans="1:32" s="185" customFormat="1" ht="14.25" customHeight="1" thickBot="1">
      <c r="A232" s="353">
        <v>9246</v>
      </c>
      <c r="B232" s="194" t="s">
        <v>731</v>
      </c>
      <c r="C232" s="339">
        <f t="shared" si="6"/>
        <v>50000</v>
      </c>
      <c r="D232" s="196" t="s">
        <v>624</v>
      </c>
      <c r="E232" s="172" t="s">
        <v>1739</v>
      </c>
      <c r="F232" s="507">
        <f>SUMIFS(Controle!$R:$R,Controle!$H:$H,produtos_escape2!$A232,Controle!$Z:$Z,"1")</f>
        <v>0</v>
      </c>
      <c r="G232" s="507">
        <f>SUMIFS(Controle!$R:$R,Controle!$H:$H,produtos_escape2!$A232,Controle!$Z:$Z,"2")</f>
        <v>0</v>
      </c>
      <c r="H232" s="507">
        <f>SUMIFS(Controle!$R:$R,Controle!$H:$H,produtos_escape2!$A232,Controle!$Z:$Z,"3")</f>
        <v>0</v>
      </c>
      <c r="I232" s="507">
        <f>SUMIFS(Controle!$R:$R,Controle!$H:$H,produtos_escape2!$A232,Controle!$Z:$Z,"4")</f>
        <v>0</v>
      </c>
      <c r="J232" s="507">
        <f>SUMIFS(Controle!$R:$R,Controle!$H:$H,produtos_escape2!$A232,Controle!$Z:$Z,"5")</f>
        <v>0</v>
      </c>
      <c r="K232" s="507">
        <f>SUMIFS(Controle!$R:$R,Controle!$H:$H,produtos_escape2!$A232,Controle!$Z:$Z,"6")</f>
        <v>0</v>
      </c>
      <c r="L232" s="507">
        <f t="shared" si="7"/>
        <v>0</v>
      </c>
      <c r="M232" s="381" t="s">
        <v>4652</v>
      </c>
      <c r="AF232" s="84"/>
    </row>
    <row r="233" spans="1:32" s="185" customFormat="1" ht="14.25" customHeight="1" thickBot="1">
      <c r="A233" s="353">
        <v>9279</v>
      </c>
      <c r="B233" s="194" t="s">
        <v>2580</v>
      </c>
      <c r="C233" s="339">
        <f t="shared" si="6"/>
        <v>50000</v>
      </c>
      <c r="D233" s="196" t="s">
        <v>624</v>
      </c>
      <c r="E233" s="172" t="s">
        <v>1739</v>
      </c>
      <c r="F233" s="507">
        <f>SUMIFS(Controle!$R:$R,Controle!$H:$H,produtos_escape2!$A233,Controle!$Z:$Z,"1")</f>
        <v>0</v>
      </c>
      <c r="G233" s="507">
        <f>SUMIFS(Controle!$R:$R,Controle!$H:$H,produtos_escape2!$A233,Controle!$Z:$Z,"2")</f>
        <v>0</v>
      </c>
      <c r="H233" s="507">
        <f>SUMIFS(Controle!$R:$R,Controle!$H:$H,produtos_escape2!$A233,Controle!$Z:$Z,"3")</f>
        <v>0</v>
      </c>
      <c r="I233" s="507">
        <f>SUMIFS(Controle!$R:$R,Controle!$H:$H,produtos_escape2!$A233,Controle!$Z:$Z,"4")</f>
        <v>0</v>
      </c>
      <c r="J233" s="507">
        <f>SUMIFS(Controle!$R:$R,Controle!$H:$H,produtos_escape2!$A233,Controle!$Z:$Z,"5")</f>
        <v>0</v>
      </c>
      <c r="K233" s="507">
        <f>SUMIFS(Controle!$R:$R,Controle!$H:$H,produtos_escape2!$A233,Controle!$Z:$Z,"6")</f>
        <v>0</v>
      </c>
      <c r="L233" s="507">
        <f t="shared" si="7"/>
        <v>0</v>
      </c>
      <c r="M233" s="381" t="s">
        <v>4653</v>
      </c>
      <c r="AF233" s="84"/>
    </row>
    <row r="234" spans="1:32" s="185" customFormat="1" ht="16.5" customHeight="1" thickBot="1">
      <c r="A234" s="353">
        <v>9418</v>
      </c>
      <c r="B234" s="194" t="s">
        <v>2581</v>
      </c>
      <c r="C234" s="339">
        <f t="shared" si="6"/>
        <v>50000</v>
      </c>
      <c r="D234" s="196" t="s">
        <v>624</v>
      </c>
      <c r="E234" s="172" t="s">
        <v>1739</v>
      </c>
      <c r="F234" s="507">
        <f>SUMIFS(Controle!$R:$R,Controle!$H:$H,produtos_escape2!$A234,Controle!$Z:$Z,"1")</f>
        <v>0</v>
      </c>
      <c r="G234" s="507">
        <f>SUMIFS(Controle!$R:$R,Controle!$H:$H,produtos_escape2!$A234,Controle!$Z:$Z,"2")</f>
        <v>0</v>
      </c>
      <c r="H234" s="507">
        <f>SUMIFS(Controle!$R:$R,Controle!$H:$H,produtos_escape2!$A234,Controle!$Z:$Z,"3")</f>
        <v>0</v>
      </c>
      <c r="I234" s="507">
        <f>SUMIFS(Controle!$R:$R,Controle!$H:$H,produtos_escape2!$A234,Controle!$Z:$Z,"4")</f>
        <v>0</v>
      </c>
      <c r="J234" s="507">
        <f>SUMIFS(Controle!$R:$R,Controle!$H:$H,produtos_escape2!$A234,Controle!$Z:$Z,"5")</f>
        <v>0</v>
      </c>
      <c r="K234" s="507">
        <f>SUMIFS(Controle!$R:$R,Controle!$H:$H,produtos_escape2!$A234,Controle!$Z:$Z,"6")</f>
        <v>0</v>
      </c>
      <c r="L234" s="507">
        <f t="shared" si="7"/>
        <v>0</v>
      </c>
      <c r="M234" s="381" t="s">
        <v>4654</v>
      </c>
      <c r="AF234" s="84"/>
    </row>
    <row r="235" spans="1:32" s="185" customFormat="1" ht="16.5" customHeight="1" thickBot="1">
      <c r="A235" s="353">
        <v>9429</v>
      </c>
      <c r="B235" s="338" t="s">
        <v>469</v>
      </c>
      <c r="C235" s="339">
        <f t="shared" si="6"/>
        <v>50000</v>
      </c>
      <c r="D235" s="196" t="s">
        <v>624</v>
      </c>
      <c r="E235" s="172" t="s">
        <v>1739</v>
      </c>
      <c r="F235" s="507">
        <f>SUMIFS(Controle!$R:$R,Controle!$H:$H,produtos_escape2!$A235,Controle!$Z:$Z,"1")</f>
        <v>0</v>
      </c>
      <c r="G235" s="507">
        <f>SUMIFS(Controle!$R:$R,Controle!$H:$H,produtos_escape2!$A235,Controle!$Z:$Z,"2")</f>
        <v>0</v>
      </c>
      <c r="H235" s="507">
        <f>SUMIFS(Controle!$R:$R,Controle!$H:$H,produtos_escape2!$A235,Controle!$Z:$Z,"3")</f>
        <v>0</v>
      </c>
      <c r="I235" s="507">
        <f>SUMIFS(Controle!$R:$R,Controle!$H:$H,produtos_escape2!$A235,Controle!$Z:$Z,"4")</f>
        <v>0</v>
      </c>
      <c r="J235" s="507">
        <f>SUMIFS(Controle!$R:$R,Controle!$H:$H,produtos_escape2!$A235,Controle!$Z:$Z,"5")</f>
        <v>0</v>
      </c>
      <c r="K235" s="507">
        <f>SUMIFS(Controle!$R:$R,Controle!$H:$H,produtos_escape2!$A235,Controle!$Z:$Z,"6")</f>
        <v>0</v>
      </c>
      <c r="L235" s="507">
        <f t="shared" si="7"/>
        <v>0</v>
      </c>
      <c r="M235" s="381" t="s">
        <v>4655</v>
      </c>
      <c r="AF235" s="84"/>
    </row>
    <row r="236" spans="1:32" s="185" customFormat="1" ht="14.25" customHeight="1" thickBot="1">
      <c r="A236" s="353">
        <v>9502</v>
      </c>
      <c r="B236" s="194" t="s">
        <v>524</v>
      </c>
      <c r="C236" s="339">
        <f t="shared" si="6"/>
        <v>50000</v>
      </c>
      <c r="D236" s="196" t="s">
        <v>624</v>
      </c>
      <c r="E236" s="172" t="s">
        <v>1739</v>
      </c>
      <c r="F236" s="507">
        <f>SUMIFS(Controle!$R:$R,Controle!$H:$H,produtos_escape2!$A236,Controle!$Z:$Z,"1")</f>
        <v>0</v>
      </c>
      <c r="G236" s="507">
        <f>SUMIFS(Controle!$R:$R,Controle!$H:$H,produtos_escape2!$A236,Controle!$Z:$Z,"2")</f>
        <v>0</v>
      </c>
      <c r="H236" s="507">
        <f>SUMIFS(Controle!$R:$R,Controle!$H:$H,produtos_escape2!$A236,Controle!$Z:$Z,"3")</f>
        <v>0</v>
      </c>
      <c r="I236" s="507">
        <f>SUMIFS(Controle!$R:$R,Controle!$H:$H,produtos_escape2!$A236,Controle!$Z:$Z,"4")</f>
        <v>0</v>
      </c>
      <c r="J236" s="507">
        <f>SUMIFS(Controle!$R:$R,Controle!$H:$H,produtos_escape2!$A236,Controle!$Z:$Z,"5")</f>
        <v>0</v>
      </c>
      <c r="K236" s="507">
        <f>SUMIFS(Controle!$R:$R,Controle!$H:$H,produtos_escape2!$A236,Controle!$Z:$Z,"6")</f>
        <v>0</v>
      </c>
      <c r="L236" s="507">
        <f t="shared" si="7"/>
        <v>0</v>
      </c>
      <c r="M236" s="381" t="s">
        <v>524</v>
      </c>
      <c r="AF236" s="84"/>
    </row>
    <row r="237" spans="1:32" s="185" customFormat="1" ht="15.75" customHeight="1" thickBot="1">
      <c r="A237" s="353">
        <v>9856</v>
      </c>
      <c r="B237" s="194" t="s">
        <v>9896</v>
      </c>
      <c r="C237" s="339">
        <f t="shared" si="6"/>
        <v>49760</v>
      </c>
      <c r="D237" s="196" t="s">
        <v>624</v>
      </c>
      <c r="E237" s="172" t="s">
        <v>1687</v>
      </c>
      <c r="F237" s="507">
        <f>SUMIFS(Controle!$R:$R,Controle!$H:$H,produtos_escape2!$A237,Controle!$Z:$Z,"1")</f>
        <v>0</v>
      </c>
      <c r="G237" s="507">
        <f>SUMIFS(Controle!$R:$R,Controle!$H:$H,produtos_escape2!$A237,Controle!$Z:$Z,"2")</f>
        <v>0</v>
      </c>
      <c r="H237" s="507">
        <f>SUMIFS(Controle!$R:$R,Controle!$H:$H,produtos_escape2!$A237,Controle!$Z:$Z,"3")</f>
        <v>0</v>
      </c>
      <c r="I237" s="507">
        <f>SUMIFS(Controle!$R:$R,Controle!$H:$H,produtos_escape2!$A237,Controle!$Z:$Z,"4")</f>
        <v>0</v>
      </c>
      <c r="J237" s="507">
        <f>SUMIFS(Controle!$R:$R,Controle!$H:$H,produtos_escape2!$A237,Controle!$Z:$Z,"5")</f>
        <v>0</v>
      </c>
      <c r="K237" s="507">
        <f>SUMIFS(Controle!$R:$R,Controle!$H:$H,produtos_escape2!$A237,Controle!$Z:$Z,"6")</f>
        <v>240</v>
      </c>
      <c r="L237" s="507">
        <f t="shared" si="7"/>
        <v>240</v>
      </c>
      <c r="M237" s="381" t="s">
        <v>9894</v>
      </c>
      <c r="AF237" s="84"/>
    </row>
    <row r="238" spans="1:32" s="185" customFormat="1" ht="14.25" customHeight="1" thickBot="1">
      <c r="A238" s="333">
        <v>9937</v>
      </c>
      <c r="B238" s="194" t="s">
        <v>239</v>
      </c>
      <c r="C238" s="339">
        <f t="shared" si="6"/>
        <v>50000</v>
      </c>
      <c r="D238" s="196" t="s">
        <v>624</v>
      </c>
      <c r="E238" s="172" t="s">
        <v>1739</v>
      </c>
      <c r="F238" s="507">
        <f>SUMIFS(Controle!$R:$R,Controle!$H:$H,produtos_escape2!$A238,Controle!$Z:$Z,"1")</f>
        <v>0</v>
      </c>
      <c r="G238" s="507">
        <f>SUMIFS(Controle!$R:$R,Controle!$H:$H,produtos_escape2!$A238,Controle!$Z:$Z,"2")</f>
        <v>0</v>
      </c>
      <c r="H238" s="507">
        <f>SUMIFS(Controle!$R:$R,Controle!$H:$H,produtos_escape2!$A238,Controle!$Z:$Z,"3")</f>
        <v>0</v>
      </c>
      <c r="I238" s="507">
        <f>SUMIFS(Controle!$R:$R,Controle!$H:$H,produtos_escape2!$A238,Controle!$Z:$Z,"4")</f>
        <v>0</v>
      </c>
      <c r="J238" s="507">
        <f>SUMIFS(Controle!$R:$R,Controle!$H:$H,produtos_escape2!$A238,Controle!$Z:$Z,"5")</f>
        <v>0</v>
      </c>
      <c r="K238" s="507">
        <f>SUMIFS(Controle!$R:$R,Controle!$H:$H,produtos_escape2!$A238,Controle!$Z:$Z,"6")</f>
        <v>0</v>
      </c>
      <c r="L238" s="507">
        <f t="shared" si="7"/>
        <v>0</v>
      </c>
      <c r="M238" s="381" t="s">
        <v>4656</v>
      </c>
      <c r="AF238" s="84"/>
    </row>
    <row r="239" spans="1:32" s="185" customFormat="1" ht="14.25" customHeight="1" thickBot="1">
      <c r="A239" s="353">
        <v>10001</v>
      </c>
      <c r="B239" s="194" t="s">
        <v>82</v>
      </c>
      <c r="C239" s="339">
        <f t="shared" si="6"/>
        <v>50000</v>
      </c>
      <c r="D239" s="196" t="s">
        <v>837</v>
      </c>
      <c r="E239" s="172" t="s">
        <v>1739</v>
      </c>
      <c r="F239" s="507">
        <f>SUMIFS(Controle!$R:$R,Controle!$H:$H,produtos_escape2!$A239,Controle!$Z:$Z,"1")</f>
        <v>0</v>
      </c>
      <c r="G239" s="507">
        <f>SUMIFS(Controle!$R:$R,Controle!$H:$H,produtos_escape2!$A239,Controle!$Z:$Z,"2")</f>
        <v>0</v>
      </c>
      <c r="H239" s="507">
        <f>SUMIFS(Controle!$R:$R,Controle!$H:$H,produtos_escape2!$A239,Controle!$Z:$Z,"3")</f>
        <v>0</v>
      </c>
      <c r="I239" s="507">
        <f>SUMIFS(Controle!$R:$R,Controle!$H:$H,produtos_escape2!$A239,Controle!$Z:$Z,"4")</f>
        <v>0</v>
      </c>
      <c r="J239" s="507">
        <f>SUMIFS(Controle!$R:$R,Controle!$H:$H,produtos_escape2!$A239,Controle!$Z:$Z,"5")</f>
        <v>0</v>
      </c>
      <c r="K239" s="507">
        <f>SUMIFS(Controle!$R:$R,Controle!$H:$H,produtos_escape2!$A239,Controle!$Z:$Z,"6")</f>
        <v>0</v>
      </c>
      <c r="L239" s="507">
        <f t="shared" si="7"/>
        <v>0</v>
      </c>
      <c r="M239" s="381" t="s">
        <v>4657</v>
      </c>
      <c r="AF239" s="84"/>
    </row>
    <row r="240" spans="1:32" s="185" customFormat="1" ht="14.25" customHeight="1" thickBot="1">
      <c r="A240" s="353">
        <v>10101</v>
      </c>
      <c r="B240" s="194" t="s">
        <v>47</v>
      </c>
      <c r="C240" s="339">
        <f t="shared" si="6"/>
        <v>50000</v>
      </c>
      <c r="D240" s="196" t="s">
        <v>624</v>
      </c>
      <c r="E240" s="172" t="s">
        <v>1739</v>
      </c>
      <c r="F240" s="507">
        <f>SUMIFS(Controle!$R:$R,Controle!$H:$H,produtos_escape2!$A240,Controle!$Z:$Z,"1")</f>
        <v>0</v>
      </c>
      <c r="G240" s="507">
        <f>SUMIFS(Controle!$R:$R,Controle!$H:$H,produtos_escape2!$A240,Controle!$Z:$Z,"2")</f>
        <v>0</v>
      </c>
      <c r="H240" s="507">
        <f>SUMIFS(Controle!$R:$R,Controle!$H:$H,produtos_escape2!$A240,Controle!$Z:$Z,"3")</f>
        <v>0</v>
      </c>
      <c r="I240" s="507">
        <f>SUMIFS(Controle!$R:$R,Controle!$H:$H,produtos_escape2!$A240,Controle!$Z:$Z,"4")</f>
        <v>0</v>
      </c>
      <c r="J240" s="507">
        <f>SUMIFS(Controle!$R:$R,Controle!$H:$H,produtos_escape2!$A240,Controle!$Z:$Z,"5")</f>
        <v>0</v>
      </c>
      <c r="K240" s="507">
        <f>SUMIFS(Controle!$R:$R,Controle!$H:$H,produtos_escape2!$A240,Controle!$Z:$Z,"6")</f>
        <v>0</v>
      </c>
      <c r="L240" s="507">
        <f t="shared" si="7"/>
        <v>0</v>
      </c>
      <c r="M240" s="381" t="s">
        <v>4658</v>
      </c>
      <c r="AF240" s="84"/>
    </row>
    <row r="241" spans="1:32" s="185" customFormat="1" ht="14.25" customHeight="1" thickBot="1">
      <c r="A241" s="353">
        <v>10122</v>
      </c>
      <c r="B241" s="194" t="s">
        <v>7066</v>
      </c>
      <c r="C241" s="339">
        <f t="shared" si="6"/>
        <v>50000</v>
      </c>
      <c r="D241" s="191" t="s">
        <v>624</v>
      </c>
      <c r="E241" s="172" t="s">
        <v>7207</v>
      </c>
      <c r="F241" s="507">
        <f>SUMIFS(Controle!$R:$R,Controle!$H:$H,produtos_escape2!$A241,Controle!$Z:$Z,"1")</f>
        <v>0</v>
      </c>
      <c r="G241" s="507">
        <f>SUMIFS(Controle!$R:$R,Controle!$H:$H,produtos_escape2!$A241,Controle!$Z:$Z,"2")</f>
        <v>0</v>
      </c>
      <c r="H241" s="507">
        <f>SUMIFS(Controle!$R:$R,Controle!$H:$H,produtos_escape2!$A241,Controle!$Z:$Z,"3")</f>
        <v>0</v>
      </c>
      <c r="I241" s="507">
        <f>SUMIFS(Controle!$R:$R,Controle!$H:$H,produtos_escape2!$A241,Controle!$Z:$Z,"4")</f>
        <v>0</v>
      </c>
      <c r="J241" s="507">
        <f>SUMIFS(Controle!$R:$R,Controle!$H:$H,produtos_escape2!$A241,Controle!$Z:$Z,"5")</f>
        <v>0</v>
      </c>
      <c r="K241" s="507">
        <f>SUMIFS(Controle!$R:$R,Controle!$H:$H,produtos_escape2!$A241,Controle!$Z:$Z,"6")</f>
        <v>0</v>
      </c>
      <c r="L241" s="507">
        <f t="shared" si="7"/>
        <v>0</v>
      </c>
      <c r="M241" s="381" t="s">
        <v>7067</v>
      </c>
      <c r="AF241" s="84"/>
    </row>
    <row r="242" spans="1:32" s="185" customFormat="1" ht="14.25" customHeight="1" thickBot="1">
      <c r="A242" s="353">
        <v>10179</v>
      </c>
      <c r="B242" s="194" t="s">
        <v>3474</v>
      </c>
      <c r="C242" s="339">
        <f t="shared" si="6"/>
        <v>50000</v>
      </c>
      <c r="D242" s="196" t="s">
        <v>830</v>
      </c>
      <c r="E242" s="172" t="s">
        <v>1739</v>
      </c>
      <c r="F242" s="507">
        <f>SUMIFS(Controle!$R:$R,Controle!$H:$H,produtos_escape2!$A242,Controle!$Z:$Z,"1")</f>
        <v>0</v>
      </c>
      <c r="G242" s="507">
        <f>SUMIFS(Controle!$R:$R,Controle!$H:$H,produtos_escape2!$A242,Controle!$Z:$Z,"2")</f>
        <v>0</v>
      </c>
      <c r="H242" s="507">
        <f>SUMIFS(Controle!$R:$R,Controle!$H:$H,produtos_escape2!$A242,Controle!$Z:$Z,"3")</f>
        <v>0</v>
      </c>
      <c r="I242" s="507">
        <f>SUMIFS(Controle!$R:$R,Controle!$H:$H,produtos_escape2!$A242,Controle!$Z:$Z,"4")</f>
        <v>0</v>
      </c>
      <c r="J242" s="507">
        <f>SUMIFS(Controle!$R:$R,Controle!$H:$H,produtos_escape2!$A242,Controle!$Z:$Z,"5")</f>
        <v>0</v>
      </c>
      <c r="K242" s="507">
        <f>SUMIFS(Controle!$R:$R,Controle!$H:$H,produtos_escape2!$A242,Controle!$Z:$Z,"6")</f>
        <v>0</v>
      </c>
      <c r="L242" s="507">
        <f t="shared" si="7"/>
        <v>0</v>
      </c>
      <c r="M242" s="381" t="s">
        <v>4562</v>
      </c>
      <c r="AF242" s="84"/>
    </row>
    <row r="243" spans="1:32" s="185" customFormat="1" ht="14.25" customHeight="1" thickBot="1">
      <c r="A243" s="353">
        <v>10232</v>
      </c>
      <c r="B243" s="194" t="s">
        <v>2854</v>
      </c>
      <c r="C243" s="339">
        <f t="shared" si="6"/>
        <v>44166.5</v>
      </c>
      <c r="D243" s="196" t="s">
        <v>624</v>
      </c>
      <c r="E243" s="172" t="s">
        <v>3608</v>
      </c>
      <c r="F243" s="507">
        <f>SUMIFS(Controle!$R:$R,Controle!$H:$H,produtos_escape2!$A243,Controle!$Z:$Z,"1")</f>
        <v>0</v>
      </c>
      <c r="G243" s="507">
        <f>SUMIFS(Controle!$R:$R,Controle!$H:$H,produtos_escape2!$A243,Controle!$Z:$Z,"2")</f>
        <v>5833.5</v>
      </c>
      <c r="H243" s="507">
        <f>SUMIFS(Controle!$R:$R,Controle!$H:$H,produtos_escape2!$A243,Controle!$Z:$Z,"3")</f>
        <v>0</v>
      </c>
      <c r="I243" s="507">
        <f>SUMIFS(Controle!$R:$R,Controle!$H:$H,produtos_escape2!$A243,Controle!$Z:$Z,"4")</f>
        <v>0</v>
      </c>
      <c r="J243" s="507">
        <f>SUMIFS(Controle!$R:$R,Controle!$H:$H,produtos_escape2!$A243,Controle!$Z:$Z,"5")</f>
        <v>0</v>
      </c>
      <c r="K243" s="507">
        <f>SUMIFS(Controle!$R:$R,Controle!$H:$H,produtos_escape2!$A243,Controle!$Z:$Z,"6")</f>
        <v>0</v>
      </c>
      <c r="L243" s="507">
        <f t="shared" si="7"/>
        <v>5833.5</v>
      </c>
      <c r="M243" s="381" t="s">
        <v>4659</v>
      </c>
      <c r="AF243" s="84"/>
    </row>
    <row r="244" spans="1:32" s="185" customFormat="1" ht="14.25" customHeight="1" thickBot="1">
      <c r="A244" s="353">
        <v>10244</v>
      </c>
      <c r="B244" s="194" t="s">
        <v>1171</v>
      </c>
      <c r="C244" s="339">
        <f t="shared" si="6"/>
        <v>50000</v>
      </c>
      <c r="D244" s="196" t="s">
        <v>624</v>
      </c>
      <c r="E244" s="172" t="s">
        <v>3608</v>
      </c>
      <c r="F244" s="507">
        <f>SUMIFS(Controle!$R:$R,Controle!$H:$H,produtos_escape2!$A244,Controle!$Z:$Z,"1")</f>
        <v>0</v>
      </c>
      <c r="G244" s="507">
        <f>SUMIFS(Controle!$R:$R,Controle!$H:$H,produtos_escape2!$A244,Controle!$Z:$Z,"2")</f>
        <v>0</v>
      </c>
      <c r="H244" s="507">
        <f>SUMIFS(Controle!$R:$R,Controle!$H:$H,produtos_escape2!$A244,Controle!$Z:$Z,"3")</f>
        <v>0</v>
      </c>
      <c r="I244" s="507">
        <f>SUMIFS(Controle!$R:$R,Controle!$H:$H,produtos_escape2!$A244,Controle!$Z:$Z,"4")</f>
        <v>0</v>
      </c>
      <c r="J244" s="507">
        <f>SUMIFS(Controle!$R:$R,Controle!$H:$H,produtos_escape2!$A244,Controle!$Z:$Z,"5")</f>
        <v>0</v>
      </c>
      <c r="K244" s="507">
        <f>SUMIFS(Controle!$R:$R,Controle!$H:$H,produtos_escape2!$A244,Controle!$Z:$Z,"6")</f>
        <v>0</v>
      </c>
      <c r="L244" s="507">
        <f t="shared" si="7"/>
        <v>0</v>
      </c>
      <c r="M244" s="381" t="s">
        <v>4659</v>
      </c>
      <c r="AF244" s="84"/>
    </row>
    <row r="245" spans="1:32" s="185" customFormat="1" ht="14.25" customHeight="1" thickBot="1">
      <c r="A245" s="353">
        <v>10260</v>
      </c>
      <c r="B245" s="338" t="s">
        <v>2865</v>
      </c>
      <c r="C245" s="339">
        <f t="shared" si="6"/>
        <v>50000</v>
      </c>
      <c r="D245" s="196" t="s">
        <v>548</v>
      </c>
      <c r="E245" s="172" t="s">
        <v>1739</v>
      </c>
      <c r="F245" s="507">
        <f>SUMIFS(Controle!$R:$R,Controle!$H:$H,produtos_escape2!$A245,Controle!$Z:$Z,"1")</f>
        <v>0</v>
      </c>
      <c r="G245" s="507">
        <f>SUMIFS(Controle!$R:$R,Controle!$H:$H,produtos_escape2!$A245,Controle!$Z:$Z,"2")</f>
        <v>0</v>
      </c>
      <c r="H245" s="507">
        <f>SUMIFS(Controle!$R:$R,Controle!$H:$H,produtos_escape2!$A245,Controle!$Z:$Z,"3")</f>
        <v>0</v>
      </c>
      <c r="I245" s="507">
        <f>SUMIFS(Controle!$R:$R,Controle!$H:$H,produtos_escape2!$A245,Controle!$Z:$Z,"4")</f>
        <v>0</v>
      </c>
      <c r="J245" s="507">
        <f>SUMIFS(Controle!$R:$R,Controle!$H:$H,produtos_escape2!$A245,Controle!$Z:$Z,"5")</f>
        <v>0</v>
      </c>
      <c r="K245" s="507">
        <f>SUMIFS(Controle!$R:$R,Controle!$H:$H,produtos_escape2!$A245,Controle!$Z:$Z,"6")</f>
        <v>0</v>
      </c>
      <c r="L245" s="507">
        <f t="shared" si="7"/>
        <v>0</v>
      </c>
      <c r="M245" s="381" t="s">
        <v>4660</v>
      </c>
      <c r="AF245" s="84"/>
    </row>
    <row r="246" spans="1:32" s="185" customFormat="1" ht="14.25" customHeight="1" thickBot="1">
      <c r="A246" s="353">
        <v>10261</v>
      </c>
      <c r="B246" s="194" t="s">
        <v>63</v>
      </c>
      <c r="C246" s="339">
        <f t="shared" si="6"/>
        <v>50000</v>
      </c>
      <c r="D246" s="196" t="s">
        <v>548</v>
      </c>
      <c r="E246" s="172" t="s">
        <v>1739</v>
      </c>
      <c r="F246" s="507">
        <f>SUMIFS(Controle!$R:$R,Controle!$H:$H,produtos_escape2!$A246,Controle!$Z:$Z,"1")</f>
        <v>0</v>
      </c>
      <c r="G246" s="507">
        <f>SUMIFS(Controle!$R:$R,Controle!$H:$H,produtos_escape2!$A246,Controle!$Z:$Z,"2")</f>
        <v>0</v>
      </c>
      <c r="H246" s="507">
        <f>SUMIFS(Controle!$R:$R,Controle!$H:$H,produtos_escape2!$A246,Controle!$Z:$Z,"3")</f>
        <v>0</v>
      </c>
      <c r="I246" s="507">
        <f>SUMIFS(Controle!$R:$R,Controle!$H:$H,produtos_escape2!$A246,Controle!$Z:$Z,"4")</f>
        <v>0</v>
      </c>
      <c r="J246" s="507">
        <f>SUMIFS(Controle!$R:$R,Controle!$H:$H,produtos_escape2!$A246,Controle!$Z:$Z,"5")</f>
        <v>0</v>
      </c>
      <c r="K246" s="507">
        <f>SUMIFS(Controle!$R:$R,Controle!$H:$H,produtos_escape2!$A246,Controle!$Z:$Z,"6")</f>
        <v>0</v>
      </c>
      <c r="L246" s="507">
        <f t="shared" si="7"/>
        <v>0</v>
      </c>
      <c r="M246" s="381" t="s">
        <v>63</v>
      </c>
      <c r="AF246" s="84"/>
    </row>
    <row r="247" spans="1:32" s="185" customFormat="1" ht="14.25" customHeight="1" thickBot="1">
      <c r="A247" s="333">
        <v>10262</v>
      </c>
      <c r="B247" s="194" t="s">
        <v>2806</v>
      </c>
      <c r="C247" s="339">
        <f t="shared" si="6"/>
        <v>50000</v>
      </c>
      <c r="D247" s="196" t="s">
        <v>624</v>
      </c>
      <c r="E247" s="172" t="s">
        <v>1739</v>
      </c>
      <c r="F247" s="507">
        <f>SUMIFS(Controle!$R:$R,Controle!$H:$H,produtos_escape2!$A247,Controle!$Z:$Z,"1")</f>
        <v>0</v>
      </c>
      <c r="G247" s="507">
        <f>SUMIFS(Controle!$R:$R,Controle!$H:$H,produtos_escape2!$A247,Controle!$Z:$Z,"2")</f>
        <v>0</v>
      </c>
      <c r="H247" s="507">
        <f>SUMIFS(Controle!$R:$R,Controle!$H:$H,produtos_escape2!$A247,Controle!$Z:$Z,"3")</f>
        <v>0</v>
      </c>
      <c r="I247" s="507">
        <f>SUMIFS(Controle!$R:$R,Controle!$H:$H,produtos_escape2!$A247,Controle!$Z:$Z,"4")</f>
        <v>0</v>
      </c>
      <c r="J247" s="507">
        <f>SUMIFS(Controle!$R:$R,Controle!$H:$H,produtos_escape2!$A247,Controle!$Z:$Z,"5")</f>
        <v>0</v>
      </c>
      <c r="K247" s="507">
        <f>SUMIFS(Controle!$R:$R,Controle!$H:$H,produtos_escape2!$A247,Controle!$Z:$Z,"6")</f>
        <v>0</v>
      </c>
      <c r="L247" s="507">
        <f t="shared" si="7"/>
        <v>0</v>
      </c>
      <c r="M247" s="381" t="s">
        <v>4661</v>
      </c>
      <c r="AF247" s="84"/>
    </row>
    <row r="248" spans="1:32" s="185" customFormat="1" ht="14.25" customHeight="1" thickBot="1">
      <c r="A248" s="353">
        <v>10263</v>
      </c>
      <c r="B248" s="194" t="s">
        <v>6815</v>
      </c>
      <c r="C248" s="339">
        <f t="shared" si="6"/>
        <v>45681.599999999999</v>
      </c>
      <c r="D248" s="196" t="s">
        <v>624</v>
      </c>
      <c r="E248" s="197" t="s">
        <v>3608</v>
      </c>
      <c r="F248" s="507">
        <f>SUMIFS(Controle!$R:$R,Controle!$H:$H,produtos_escape2!$A248,Controle!$Z:$Z,"1")</f>
        <v>0</v>
      </c>
      <c r="G248" s="507">
        <f>SUMIFS(Controle!$R:$R,Controle!$H:$H,produtos_escape2!$A248,Controle!$Z:$Z,"2")</f>
        <v>4318.3999999999996</v>
      </c>
      <c r="H248" s="507">
        <f>SUMIFS(Controle!$R:$R,Controle!$H:$H,produtos_escape2!$A248,Controle!$Z:$Z,"3")</f>
        <v>0</v>
      </c>
      <c r="I248" s="507">
        <f>SUMIFS(Controle!$R:$R,Controle!$H:$H,produtos_escape2!$A248,Controle!$Z:$Z,"4")</f>
        <v>0</v>
      </c>
      <c r="J248" s="507">
        <f>SUMIFS(Controle!$R:$R,Controle!$H:$H,produtos_escape2!$A248,Controle!$Z:$Z,"5")</f>
        <v>0</v>
      </c>
      <c r="K248" s="507">
        <f>SUMIFS(Controle!$R:$R,Controle!$H:$H,produtos_escape2!$A248,Controle!$Z:$Z,"6")</f>
        <v>0</v>
      </c>
      <c r="L248" s="507">
        <f t="shared" si="7"/>
        <v>4318.3999999999996</v>
      </c>
      <c r="M248" s="381" t="s">
        <v>5037</v>
      </c>
      <c r="AF248" s="84"/>
    </row>
    <row r="249" spans="1:32" s="185" customFormat="1" ht="14.25" customHeight="1" thickBot="1">
      <c r="A249" s="353">
        <v>10265</v>
      </c>
      <c r="B249" s="194" t="s">
        <v>102</v>
      </c>
      <c r="C249" s="339">
        <f t="shared" si="6"/>
        <v>50000</v>
      </c>
      <c r="D249" s="196" t="s">
        <v>624</v>
      </c>
      <c r="E249" s="172" t="s">
        <v>1739</v>
      </c>
      <c r="F249" s="507">
        <f>SUMIFS(Controle!$R:$R,Controle!$H:$H,produtos_escape2!$A249,Controle!$Z:$Z,"1")</f>
        <v>0</v>
      </c>
      <c r="G249" s="507">
        <f>SUMIFS(Controle!$R:$R,Controle!$H:$H,produtos_escape2!$A249,Controle!$Z:$Z,"2")</f>
        <v>0</v>
      </c>
      <c r="H249" s="507">
        <f>SUMIFS(Controle!$R:$R,Controle!$H:$H,produtos_escape2!$A249,Controle!$Z:$Z,"3")</f>
        <v>0</v>
      </c>
      <c r="I249" s="507">
        <f>SUMIFS(Controle!$R:$R,Controle!$H:$H,produtos_escape2!$A249,Controle!$Z:$Z,"4")</f>
        <v>0</v>
      </c>
      <c r="J249" s="507">
        <f>SUMIFS(Controle!$R:$R,Controle!$H:$H,produtos_escape2!$A249,Controle!$Z:$Z,"5")</f>
        <v>0</v>
      </c>
      <c r="K249" s="507">
        <f>SUMIFS(Controle!$R:$R,Controle!$H:$H,produtos_escape2!$A249,Controle!$Z:$Z,"6")</f>
        <v>0</v>
      </c>
      <c r="L249" s="507">
        <f t="shared" si="7"/>
        <v>0</v>
      </c>
      <c r="M249" s="381" t="s">
        <v>102</v>
      </c>
      <c r="AF249" s="84"/>
    </row>
    <row r="250" spans="1:32" s="185" customFormat="1" ht="14.25" customHeight="1" thickBot="1">
      <c r="A250" s="353">
        <v>10267</v>
      </c>
      <c r="B250" s="194" t="s">
        <v>7725</v>
      </c>
      <c r="C250" s="339">
        <f t="shared" si="6"/>
        <v>50000</v>
      </c>
      <c r="D250" s="196" t="s">
        <v>624</v>
      </c>
      <c r="E250" s="172" t="s">
        <v>3608</v>
      </c>
      <c r="F250" s="507">
        <f>SUMIFS(Controle!$R:$R,Controle!$H:$H,produtos_escape2!$A250,Controle!$Z:$Z,"1")</f>
        <v>0</v>
      </c>
      <c r="G250" s="507">
        <f>SUMIFS(Controle!$R:$R,Controle!$H:$H,produtos_escape2!$A250,Controle!$Z:$Z,"2")</f>
        <v>0</v>
      </c>
      <c r="H250" s="507">
        <f>SUMIFS(Controle!$R:$R,Controle!$H:$H,produtos_escape2!$A250,Controle!$Z:$Z,"3")</f>
        <v>0</v>
      </c>
      <c r="I250" s="507">
        <f>SUMIFS(Controle!$R:$R,Controle!$H:$H,produtos_escape2!$A250,Controle!$Z:$Z,"4")</f>
        <v>0</v>
      </c>
      <c r="J250" s="507">
        <f>SUMIFS(Controle!$R:$R,Controle!$H:$H,produtos_escape2!$A250,Controle!$Z:$Z,"5")</f>
        <v>0</v>
      </c>
      <c r="K250" s="507">
        <f>SUMIFS(Controle!$R:$R,Controle!$H:$H,produtos_escape2!$A250,Controle!$Z:$Z,"6")</f>
        <v>0</v>
      </c>
      <c r="L250" s="507">
        <f t="shared" si="7"/>
        <v>0</v>
      </c>
      <c r="M250" s="381" t="s">
        <v>4659</v>
      </c>
      <c r="AF250" s="84"/>
    </row>
    <row r="251" spans="1:32" s="185" customFormat="1" ht="14.25" customHeight="1" thickBot="1">
      <c r="A251" s="353">
        <v>10269</v>
      </c>
      <c r="B251" s="194" t="s">
        <v>3975</v>
      </c>
      <c r="C251" s="339">
        <f t="shared" si="6"/>
        <v>50000</v>
      </c>
      <c r="D251" s="196" t="s">
        <v>624</v>
      </c>
      <c r="E251" s="172" t="s">
        <v>3608</v>
      </c>
      <c r="F251" s="507">
        <f>SUMIFS(Controle!$R:$R,Controle!$H:$H,produtos_escape2!$A251,Controle!$Z:$Z,"1")</f>
        <v>0</v>
      </c>
      <c r="G251" s="507">
        <f>SUMIFS(Controle!$R:$R,Controle!$H:$H,produtos_escape2!$A251,Controle!$Z:$Z,"2")</f>
        <v>0</v>
      </c>
      <c r="H251" s="507">
        <f>SUMIFS(Controle!$R:$R,Controle!$H:$H,produtos_escape2!$A251,Controle!$Z:$Z,"3")</f>
        <v>0</v>
      </c>
      <c r="I251" s="507">
        <f>SUMIFS(Controle!$R:$R,Controle!$H:$H,produtos_escape2!$A251,Controle!$Z:$Z,"4")</f>
        <v>0</v>
      </c>
      <c r="J251" s="507">
        <f>SUMIFS(Controle!$R:$R,Controle!$H:$H,produtos_escape2!$A251,Controle!$Z:$Z,"5")</f>
        <v>0</v>
      </c>
      <c r="K251" s="507">
        <f>SUMIFS(Controle!$R:$R,Controle!$H:$H,produtos_escape2!$A251,Controle!$Z:$Z,"6")</f>
        <v>0</v>
      </c>
      <c r="L251" s="507">
        <f t="shared" si="7"/>
        <v>0</v>
      </c>
      <c r="M251" s="381" t="s">
        <v>4659</v>
      </c>
      <c r="AF251" s="84"/>
    </row>
    <row r="252" spans="1:32" s="185" customFormat="1" ht="14.25" customHeight="1" thickBot="1">
      <c r="A252" s="353">
        <v>10271</v>
      </c>
      <c r="B252" s="194" t="s">
        <v>9751</v>
      </c>
      <c r="C252" s="339">
        <f t="shared" si="6"/>
        <v>50000</v>
      </c>
      <c r="D252" s="196" t="s">
        <v>624</v>
      </c>
      <c r="E252" s="172" t="s">
        <v>3608</v>
      </c>
      <c r="F252" s="507">
        <f>SUMIFS(Controle!$R:$R,Controle!$H:$H,produtos_escape2!$A252,Controle!$Z:$Z,"1")</f>
        <v>0</v>
      </c>
      <c r="G252" s="507">
        <f>SUMIFS(Controle!$R:$R,Controle!$H:$H,produtos_escape2!$A252,Controle!$Z:$Z,"2")</f>
        <v>0</v>
      </c>
      <c r="H252" s="507">
        <f>SUMIFS(Controle!$R:$R,Controle!$H:$H,produtos_escape2!$A252,Controle!$Z:$Z,"3")</f>
        <v>0</v>
      </c>
      <c r="I252" s="507">
        <f>SUMIFS(Controle!$R:$R,Controle!$H:$H,produtos_escape2!$A252,Controle!$Z:$Z,"4")</f>
        <v>0</v>
      </c>
      <c r="J252" s="507">
        <f>SUMIFS(Controle!$R:$R,Controle!$H:$H,produtos_escape2!$A252,Controle!$Z:$Z,"5")</f>
        <v>0</v>
      </c>
      <c r="K252" s="507">
        <f>SUMIFS(Controle!$R:$R,Controle!$H:$H,produtos_escape2!$A252,Controle!$Z:$Z,"6")</f>
        <v>0</v>
      </c>
      <c r="L252" s="507">
        <f t="shared" si="7"/>
        <v>0</v>
      </c>
      <c r="M252" s="381" t="s">
        <v>9750</v>
      </c>
      <c r="AF252" s="84"/>
    </row>
    <row r="253" spans="1:32" s="185" customFormat="1" ht="14.25" customHeight="1" thickBot="1">
      <c r="A253" s="353">
        <v>10272</v>
      </c>
      <c r="B253" s="194" t="s">
        <v>8023</v>
      </c>
      <c r="C253" s="339">
        <f t="shared" si="6"/>
        <v>39494</v>
      </c>
      <c r="D253" s="196" t="s">
        <v>624</v>
      </c>
      <c r="E253" s="172" t="s">
        <v>3608</v>
      </c>
      <c r="F253" s="507">
        <f>SUMIFS(Controle!$R:$R,Controle!$H:$H,produtos_escape2!$A253,Controle!$Z:$Z,"1")</f>
        <v>0</v>
      </c>
      <c r="G253" s="507">
        <f>SUMIFS(Controle!$R:$R,Controle!$H:$H,produtos_escape2!$A253,Controle!$Z:$Z,"2")</f>
        <v>5780</v>
      </c>
      <c r="H253" s="507">
        <f>SUMIFS(Controle!$R:$R,Controle!$H:$H,produtos_escape2!$A253,Controle!$Z:$Z,"3")</f>
        <v>4726</v>
      </c>
      <c r="I253" s="507">
        <f>SUMIFS(Controle!$R:$R,Controle!$H:$H,produtos_escape2!$A253,Controle!$Z:$Z,"4")</f>
        <v>0</v>
      </c>
      <c r="J253" s="507">
        <f>SUMIFS(Controle!$R:$R,Controle!$H:$H,produtos_escape2!$A253,Controle!$Z:$Z,"5")</f>
        <v>0</v>
      </c>
      <c r="K253" s="507">
        <f>SUMIFS(Controle!$R:$R,Controle!$H:$H,produtos_escape2!$A253,Controle!$Z:$Z,"6")</f>
        <v>0</v>
      </c>
      <c r="L253" s="507">
        <f t="shared" si="7"/>
        <v>10506</v>
      </c>
      <c r="M253" s="381" t="s">
        <v>8024</v>
      </c>
      <c r="AF253" s="84"/>
    </row>
    <row r="254" spans="1:32" s="185" customFormat="1" ht="14.25" customHeight="1" thickBot="1">
      <c r="A254" s="353">
        <v>10275</v>
      </c>
      <c r="B254" s="194" t="s">
        <v>3873</v>
      </c>
      <c r="C254" s="339">
        <f t="shared" si="6"/>
        <v>44099.8</v>
      </c>
      <c r="D254" s="196" t="s">
        <v>624</v>
      </c>
      <c r="E254" s="172" t="s">
        <v>3608</v>
      </c>
      <c r="F254" s="507">
        <f>SUMIFS(Controle!$R:$R,Controle!$H:$H,produtos_escape2!$A254,Controle!$Z:$Z,"1")</f>
        <v>0</v>
      </c>
      <c r="G254" s="507">
        <f>SUMIFS(Controle!$R:$R,Controle!$H:$H,produtos_escape2!$A254,Controle!$Z:$Z,"2")</f>
        <v>2980.2</v>
      </c>
      <c r="H254" s="507">
        <f>SUMIFS(Controle!$R:$R,Controle!$H:$H,produtos_escape2!$A254,Controle!$Z:$Z,"3")</f>
        <v>1240</v>
      </c>
      <c r="I254" s="507">
        <f>SUMIFS(Controle!$R:$R,Controle!$H:$H,produtos_escape2!$A254,Controle!$Z:$Z,"4")</f>
        <v>0</v>
      </c>
      <c r="J254" s="507">
        <f>SUMIFS(Controle!$R:$R,Controle!$H:$H,produtos_escape2!$A254,Controle!$Z:$Z,"5")</f>
        <v>0</v>
      </c>
      <c r="K254" s="507">
        <f>SUMIFS(Controle!$R:$R,Controle!$H:$H,produtos_escape2!$A254,Controle!$Z:$Z,"6")</f>
        <v>1680</v>
      </c>
      <c r="L254" s="507">
        <f t="shared" si="7"/>
        <v>5900.2</v>
      </c>
      <c r="M254" s="381" t="s">
        <v>4662</v>
      </c>
      <c r="AF254" s="84"/>
    </row>
    <row r="255" spans="1:32" s="185" customFormat="1" ht="14.25" customHeight="1" thickBot="1">
      <c r="A255" s="353">
        <v>10276</v>
      </c>
      <c r="B255" s="194" t="s">
        <v>1398</v>
      </c>
      <c r="C255" s="339">
        <f t="shared" si="6"/>
        <v>50000</v>
      </c>
      <c r="D255" s="196" t="s">
        <v>548</v>
      </c>
      <c r="E255" s="172" t="s">
        <v>3608</v>
      </c>
      <c r="F255" s="507">
        <f>SUMIFS(Controle!$R:$R,Controle!$H:$H,produtos_escape2!$A255,Controle!$Z:$Z,"1")</f>
        <v>0</v>
      </c>
      <c r="G255" s="507">
        <f>SUMIFS(Controle!$R:$R,Controle!$H:$H,produtos_escape2!$A255,Controle!$Z:$Z,"2")</f>
        <v>0</v>
      </c>
      <c r="H255" s="507">
        <f>SUMIFS(Controle!$R:$R,Controle!$H:$H,produtos_escape2!$A255,Controle!$Z:$Z,"3")</f>
        <v>0</v>
      </c>
      <c r="I255" s="507">
        <f>SUMIFS(Controle!$R:$R,Controle!$H:$H,produtos_escape2!$A255,Controle!$Z:$Z,"4")</f>
        <v>0</v>
      </c>
      <c r="J255" s="507">
        <f>SUMIFS(Controle!$R:$R,Controle!$H:$H,produtos_escape2!$A255,Controle!$Z:$Z,"5")</f>
        <v>0</v>
      </c>
      <c r="K255" s="507">
        <f>SUMIFS(Controle!$R:$R,Controle!$H:$H,produtos_escape2!$A255,Controle!$Z:$Z,"6")</f>
        <v>0</v>
      </c>
      <c r="L255" s="507">
        <f t="shared" si="7"/>
        <v>0</v>
      </c>
      <c r="M255" s="381" t="s">
        <v>1398</v>
      </c>
      <c r="AF255" s="84"/>
    </row>
    <row r="256" spans="1:32" s="185" customFormat="1" ht="14.25" customHeight="1" thickBot="1">
      <c r="A256" s="353">
        <v>10277</v>
      </c>
      <c r="B256" s="338" t="s">
        <v>6671</v>
      </c>
      <c r="C256" s="339">
        <f t="shared" si="6"/>
        <v>41429</v>
      </c>
      <c r="D256" s="196" t="s">
        <v>624</v>
      </c>
      <c r="E256" s="197" t="s">
        <v>3608</v>
      </c>
      <c r="F256" s="507">
        <f>SUMIFS(Controle!$R:$R,Controle!$H:$H,produtos_escape2!$A256,Controle!$Z:$Z,"1")</f>
        <v>0</v>
      </c>
      <c r="G256" s="507">
        <f>SUMIFS(Controle!$R:$R,Controle!$H:$H,produtos_escape2!$A256,Controle!$Z:$Z,"2")</f>
        <v>8571</v>
      </c>
      <c r="H256" s="507">
        <f>SUMIFS(Controle!$R:$R,Controle!$H:$H,produtos_escape2!$A256,Controle!$Z:$Z,"3")</f>
        <v>0</v>
      </c>
      <c r="I256" s="507">
        <f>SUMIFS(Controle!$R:$R,Controle!$H:$H,produtos_escape2!$A256,Controle!$Z:$Z,"4")</f>
        <v>0</v>
      </c>
      <c r="J256" s="507">
        <f>SUMIFS(Controle!$R:$R,Controle!$H:$H,produtos_escape2!$A256,Controle!$Z:$Z,"5")</f>
        <v>0</v>
      </c>
      <c r="K256" s="507">
        <f>SUMIFS(Controle!$R:$R,Controle!$H:$H,produtos_escape2!$A256,Controle!$Z:$Z,"6")</f>
        <v>0</v>
      </c>
      <c r="L256" s="507">
        <f t="shared" si="7"/>
        <v>8571</v>
      </c>
      <c r="M256" s="381" t="s">
        <v>6831</v>
      </c>
      <c r="AF256" s="84"/>
    </row>
    <row r="257" spans="1:32" s="185" customFormat="1" ht="14.25" customHeight="1" thickBot="1">
      <c r="A257" s="353">
        <v>10278</v>
      </c>
      <c r="B257" s="194" t="s">
        <v>3060</v>
      </c>
      <c r="C257" s="339">
        <f t="shared" si="6"/>
        <v>50000</v>
      </c>
      <c r="D257" s="191" t="s">
        <v>624</v>
      </c>
      <c r="E257" s="172" t="s">
        <v>1739</v>
      </c>
      <c r="F257" s="507">
        <f>SUMIFS(Controle!$R:$R,Controle!$H:$H,produtos_escape2!$A257,Controle!$Z:$Z,"1")</f>
        <v>0</v>
      </c>
      <c r="G257" s="507">
        <f>SUMIFS(Controle!$R:$R,Controle!$H:$H,produtos_escape2!$A257,Controle!$Z:$Z,"2")</f>
        <v>0</v>
      </c>
      <c r="H257" s="507">
        <f>SUMIFS(Controle!$R:$R,Controle!$H:$H,produtos_escape2!$A257,Controle!$Z:$Z,"3")</f>
        <v>0</v>
      </c>
      <c r="I257" s="507">
        <f>SUMIFS(Controle!$R:$R,Controle!$H:$H,produtos_escape2!$A257,Controle!$Z:$Z,"4")</f>
        <v>0</v>
      </c>
      <c r="J257" s="507">
        <f>SUMIFS(Controle!$R:$R,Controle!$H:$H,produtos_escape2!$A257,Controle!$Z:$Z,"5")</f>
        <v>0</v>
      </c>
      <c r="K257" s="507">
        <f>SUMIFS(Controle!$R:$R,Controle!$H:$H,produtos_escape2!$A257,Controle!$Z:$Z,"6")</f>
        <v>0</v>
      </c>
      <c r="L257" s="507">
        <f t="shared" si="7"/>
        <v>0</v>
      </c>
      <c r="M257" s="381" t="s">
        <v>4663</v>
      </c>
      <c r="AF257" s="84"/>
    </row>
    <row r="258" spans="1:32" s="185" customFormat="1" ht="14.25" customHeight="1" thickBot="1">
      <c r="A258" s="353">
        <v>10321</v>
      </c>
      <c r="B258" s="338" t="s">
        <v>897</v>
      </c>
      <c r="C258" s="339">
        <f t="shared" ref="C258:C322" si="8">50000-SUM(F258:K258)</f>
        <v>50000</v>
      </c>
      <c r="D258" s="196" t="s">
        <v>548</v>
      </c>
      <c r="E258" s="172" t="s">
        <v>3608</v>
      </c>
      <c r="F258" s="507">
        <f>SUMIFS(Controle!$R:$R,Controle!$H:$H,produtos_escape2!$A258,Controle!$Z:$Z,"1")</f>
        <v>0</v>
      </c>
      <c r="G258" s="507">
        <f>SUMIFS(Controle!$R:$R,Controle!$H:$H,produtos_escape2!$A258,Controle!$Z:$Z,"2")</f>
        <v>0</v>
      </c>
      <c r="H258" s="507">
        <f>SUMIFS(Controle!$R:$R,Controle!$H:$H,produtos_escape2!$A258,Controle!$Z:$Z,"3")</f>
        <v>0</v>
      </c>
      <c r="I258" s="507">
        <f>SUMIFS(Controle!$R:$R,Controle!$H:$H,produtos_escape2!$A258,Controle!$Z:$Z,"4")</f>
        <v>0</v>
      </c>
      <c r="J258" s="507">
        <f>SUMIFS(Controle!$R:$R,Controle!$H:$H,produtos_escape2!$A258,Controle!$Z:$Z,"5")</f>
        <v>0</v>
      </c>
      <c r="K258" s="507">
        <f>SUMIFS(Controle!$R:$R,Controle!$H:$H,produtos_escape2!$A258,Controle!$Z:$Z,"6")</f>
        <v>0</v>
      </c>
      <c r="L258" s="507">
        <f t="shared" si="7"/>
        <v>0</v>
      </c>
      <c r="M258" s="381" t="s">
        <v>897</v>
      </c>
      <c r="AF258" s="84"/>
    </row>
    <row r="259" spans="1:32" s="185" customFormat="1" ht="14.25" customHeight="1" thickBot="1">
      <c r="A259" s="333">
        <v>10322</v>
      </c>
      <c r="B259" s="194" t="s">
        <v>901</v>
      </c>
      <c r="C259" s="339">
        <f t="shared" si="8"/>
        <v>50000</v>
      </c>
      <c r="D259" s="196" t="s">
        <v>548</v>
      </c>
      <c r="E259" s="172" t="s">
        <v>1739</v>
      </c>
      <c r="F259" s="507">
        <f>SUMIFS(Controle!$R:$R,Controle!$H:$H,produtos_escape2!$A259,Controle!$Z:$Z,"1")</f>
        <v>0</v>
      </c>
      <c r="G259" s="507">
        <f>SUMIFS(Controle!$R:$R,Controle!$H:$H,produtos_escape2!$A259,Controle!$Z:$Z,"2")</f>
        <v>0</v>
      </c>
      <c r="H259" s="507">
        <f>SUMIFS(Controle!$R:$R,Controle!$H:$H,produtos_escape2!$A259,Controle!$Z:$Z,"3")</f>
        <v>0</v>
      </c>
      <c r="I259" s="507">
        <f>SUMIFS(Controle!$R:$R,Controle!$H:$H,produtos_escape2!$A259,Controle!$Z:$Z,"4")</f>
        <v>0</v>
      </c>
      <c r="J259" s="507">
        <f>SUMIFS(Controle!$R:$R,Controle!$H:$H,produtos_escape2!$A259,Controle!$Z:$Z,"5")</f>
        <v>0</v>
      </c>
      <c r="K259" s="507">
        <f>SUMIFS(Controle!$R:$R,Controle!$H:$H,produtos_escape2!$A259,Controle!$Z:$Z,"6")</f>
        <v>0</v>
      </c>
      <c r="L259" s="507">
        <f t="shared" ref="L259:L318" si="9">SUM(F259:K259)</f>
        <v>0</v>
      </c>
      <c r="M259" s="381" t="s">
        <v>901</v>
      </c>
      <c r="AF259" s="84"/>
    </row>
    <row r="260" spans="1:32" s="185" customFormat="1" ht="14.25" customHeight="1" thickBot="1">
      <c r="A260" s="353">
        <v>10343</v>
      </c>
      <c r="B260" s="194" t="s">
        <v>2582</v>
      </c>
      <c r="C260" s="339">
        <f t="shared" si="8"/>
        <v>46261</v>
      </c>
      <c r="D260" s="196" t="s">
        <v>896</v>
      </c>
      <c r="E260" s="172" t="s">
        <v>7207</v>
      </c>
      <c r="F260" s="507">
        <f>SUMIFS(Controle!$R:$R,Controle!$H:$H,produtos_escape2!$A260,Controle!$Z:$Z,"1")</f>
        <v>0</v>
      </c>
      <c r="G260" s="507">
        <f>SUMIFS(Controle!$R:$R,Controle!$H:$H,produtos_escape2!$A260,Controle!$Z:$Z,"2")</f>
        <v>1425</v>
      </c>
      <c r="H260" s="507">
        <f>SUMIFS(Controle!$R:$R,Controle!$H:$H,produtos_escape2!$A260,Controle!$Z:$Z,"3")</f>
        <v>0</v>
      </c>
      <c r="I260" s="507">
        <f>SUMIFS(Controle!$R:$R,Controle!$H:$H,produtos_escape2!$A260,Controle!$Z:$Z,"4")</f>
        <v>0</v>
      </c>
      <c r="J260" s="507">
        <f>SUMIFS(Controle!$R:$R,Controle!$H:$H,produtos_escape2!$A260,Controle!$Z:$Z,"5")</f>
        <v>400</v>
      </c>
      <c r="K260" s="507">
        <f>SUMIFS(Controle!$R:$R,Controle!$H:$H,produtos_escape2!$A260,Controle!$Z:$Z,"6")</f>
        <v>1914</v>
      </c>
      <c r="L260" s="507">
        <f t="shared" si="9"/>
        <v>3739</v>
      </c>
      <c r="M260" s="381" t="s">
        <v>4526</v>
      </c>
      <c r="AF260" s="84"/>
    </row>
    <row r="261" spans="1:32" s="185" customFormat="1" ht="14.25" customHeight="1" thickBot="1">
      <c r="A261" s="353">
        <v>10356</v>
      </c>
      <c r="B261" s="194" t="s">
        <v>1108</v>
      </c>
      <c r="C261" s="339">
        <f t="shared" si="8"/>
        <v>50000</v>
      </c>
      <c r="D261" s="196" t="s">
        <v>548</v>
      </c>
      <c r="E261" s="197"/>
      <c r="F261" s="507">
        <f>SUMIFS(Controle!$R:$R,Controle!$H:$H,produtos_escape2!$A261,Controle!$Z:$Z,"1")</f>
        <v>0</v>
      </c>
      <c r="G261" s="507">
        <f>SUMIFS(Controle!$R:$R,Controle!$H:$H,produtos_escape2!$A261,Controle!$Z:$Z,"2")</f>
        <v>0</v>
      </c>
      <c r="H261" s="507">
        <f>SUMIFS(Controle!$R:$R,Controle!$H:$H,produtos_escape2!$A261,Controle!$Z:$Z,"3")</f>
        <v>0</v>
      </c>
      <c r="I261" s="507">
        <f>SUMIFS(Controle!$R:$R,Controle!$H:$H,produtos_escape2!$A261,Controle!$Z:$Z,"4")</f>
        <v>0</v>
      </c>
      <c r="J261" s="507">
        <f>SUMIFS(Controle!$R:$R,Controle!$H:$H,produtos_escape2!$A261,Controle!$Z:$Z,"5")</f>
        <v>0</v>
      </c>
      <c r="K261" s="507">
        <f>SUMIFS(Controle!$R:$R,Controle!$H:$H,produtos_escape2!$A261,Controle!$Z:$Z,"6")</f>
        <v>0</v>
      </c>
      <c r="L261" s="507">
        <f t="shared" si="9"/>
        <v>0</v>
      </c>
      <c r="M261" s="381" t="s">
        <v>1108</v>
      </c>
      <c r="AF261" s="84"/>
    </row>
    <row r="262" spans="1:32" s="185" customFormat="1" ht="14.25" customHeight="1" thickBot="1">
      <c r="A262" s="353">
        <v>10368</v>
      </c>
      <c r="B262" s="194" t="s">
        <v>5834</v>
      </c>
      <c r="C262" s="339">
        <f t="shared" si="8"/>
        <v>50000</v>
      </c>
      <c r="D262" s="196" t="s">
        <v>806</v>
      </c>
      <c r="E262" s="197" t="s">
        <v>3608</v>
      </c>
      <c r="F262" s="507">
        <f>SUMIFS(Controle!$R:$R,Controle!$H:$H,produtos_escape2!$A262,Controle!$Z:$Z,"1")</f>
        <v>0</v>
      </c>
      <c r="G262" s="507">
        <f>SUMIFS(Controle!$R:$R,Controle!$H:$H,produtos_escape2!$A262,Controle!$Z:$Z,"2")</f>
        <v>0</v>
      </c>
      <c r="H262" s="507">
        <f>SUMIFS(Controle!$R:$R,Controle!$H:$H,produtos_escape2!$A262,Controle!$Z:$Z,"3")</f>
        <v>0</v>
      </c>
      <c r="I262" s="507">
        <f>SUMIFS(Controle!$R:$R,Controle!$H:$H,produtos_escape2!$A262,Controle!$Z:$Z,"4")</f>
        <v>0</v>
      </c>
      <c r="J262" s="507">
        <f>SUMIFS(Controle!$R:$R,Controle!$H:$H,produtos_escape2!$A262,Controle!$Z:$Z,"5")</f>
        <v>0</v>
      </c>
      <c r="K262" s="507">
        <f>SUMIFS(Controle!$R:$R,Controle!$H:$H,produtos_escape2!$A262,Controle!$Z:$Z,"6")</f>
        <v>0</v>
      </c>
      <c r="L262" s="507">
        <f t="shared" si="9"/>
        <v>0</v>
      </c>
      <c r="M262" s="381" t="s">
        <v>5833</v>
      </c>
      <c r="AF262" s="84"/>
    </row>
    <row r="263" spans="1:32" s="185" customFormat="1" ht="14.25" customHeight="1" thickBot="1">
      <c r="A263" s="353">
        <v>10388</v>
      </c>
      <c r="B263" s="194" t="s">
        <v>2583</v>
      </c>
      <c r="C263" s="339">
        <f t="shared" si="8"/>
        <v>50000</v>
      </c>
      <c r="D263" s="196" t="s">
        <v>547</v>
      </c>
      <c r="E263" s="197" t="s">
        <v>3608</v>
      </c>
      <c r="F263" s="507">
        <f>SUMIFS(Controle!$R:$R,Controle!$H:$H,produtos_escape2!$A263,Controle!$Z:$Z,"1")</f>
        <v>0</v>
      </c>
      <c r="G263" s="507">
        <f>SUMIFS(Controle!$R:$R,Controle!$H:$H,produtos_escape2!$A263,Controle!$Z:$Z,"2")</f>
        <v>0</v>
      </c>
      <c r="H263" s="507">
        <f>SUMIFS(Controle!$R:$R,Controle!$H:$H,produtos_escape2!$A263,Controle!$Z:$Z,"3")</f>
        <v>0</v>
      </c>
      <c r="I263" s="507">
        <f>SUMIFS(Controle!$R:$R,Controle!$H:$H,produtos_escape2!$A263,Controle!$Z:$Z,"4")</f>
        <v>0</v>
      </c>
      <c r="J263" s="507">
        <f>SUMIFS(Controle!$R:$R,Controle!$H:$H,produtos_escape2!$A263,Controle!$Z:$Z,"5")</f>
        <v>0</v>
      </c>
      <c r="K263" s="507">
        <f>SUMIFS(Controle!$R:$R,Controle!$H:$H,produtos_escape2!$A263,Controle!$Z:$Z,"6")</f>
        <v>0</v>
      </c>
      <c r="L263" s="507">
        <f t="shared" si="9"/>
        <v>0</v>
      </c>
      <c r="M263" s="381" t="s">
        <v>4664</v>
      </c>
      <c r="AF263" s="84"/>
    </row>
    <row r="264" spans="1:32" s="185" customFormat="1" ht="14.25" customHeight="1" thickBot="1">
      <c r="A264" s="353">
        <v>10396</v>
      </c>
      <c r="B264" s="194" t="s">
        <v>1727</v>
      </c>
      <c r="C264" s="339">
        <f t="shared" si="8"/>
        <v>50000</v>
      </c>
      <c r="D264" s="191" t="s">
        <v>624</v>
      </c>
      <c r="E264" s="172" t="s">
        <v>1687</v>
      </c>
      <c r="F264" s="507">
        <f>SUMIFS(Controle!$R:$R,Controle!$H:$H,produtos_escape2!$A264,Controle!$Z:$Z,"1")</f>
        <v>0</v>
      </c>
      <c r="G264" s="507">
        <f>SUMIFS(Controle!$R:$R,Controle!$H:$H,produtos_escape2!$A264,Controle!$Z:$Z,"2")</f>
        <v>0</v>
      </c>
      <c r="H264" s="507">
        <f>SUMIFS(Controle!$R:$R,Controle!$H:$H,produtos_escape2!$A264,Controle!$Z:$Z,"3")</f>
        <v>0</v>
      </c>
      <c r="I264" s="507">
        <f>SUMIFS(Controle!$R:$R,Controle!$H:$H,produtos_escape2!$A264,Controle!$Z:$Z,"4")</f>
        <v>0</v>
      </c>
      <c r="J264" s="507">
        <f>SUMIFS(Controle!$R:$R,Controle!$H:$H,produtos_escape2!$A264,Controle!$Z:$Z,"5")</f>
        <v>0</v>
      </c>
      <c r="K264" s="507">
        <f>SUMIFS(Controle!$R:$R,Controle!$H:$H,produtos_escape2!$A264,Controle!$Z:$Z,"6")</f>
        <v>0</v>
      </c>
      <c r="L264" s="507">
        <f t="shared" si="9"/>
        <v>0</v>
      </c>
      <c r="M264" s="381" t="s">
        <v>4665</v>
      </c>
      <c r="AF264" s="84"/>
    </row>
    <row r="265" spans="1:32" s="185" customFormat="1" ht="14.25" customHeight="1" thickBot="1">
      <c r="A265" s="353">
        <v>10401</v>
      </c>
      <c r="B265" s="194" t="s">
        <v>445</v>
      </c>
      <c r="C265" s="339">
        <f t="shared" si="8"/>
        <v>50000</v>
      </c>
      <c r="D265" s="196" t="s">
        <v>624</v>
      </c>
      <c r="E265" s="197" t="s">
        <v>7207</v>
      </c>
      <c r="F265" s="507">
        <f>SUMIFS(Controle!$R:$R,Controle!$H:$H,produtos_escape2!$A265,Controle!$Z:$Z,"1")</f>
        <v>0</v>
      </c>
      <c r="G265" s="507">
        <f>SUMIFS(Controle!$R:$R,Controle!$H:$H,produtos_escape2!$A265,Controle!$Z:$Z,"2")</f>
        <v>0</v>
      </c>
      <c r="H265" s="507">
        <f>SUMIFS(Controle!$R:$R,Controle!$H:$H,produtos_escape2!$A265,Controle!$Z:$Z,"3")</f>
        <v>0</v>
      </c>
      <c r="I265" s="507">
        <f>SUMIFS(Controle!$R:$R,Controle!$H:$H,produtos_escape2!$A265,Controle!$Z:$Z,"4")</f>
        <v>0</v>
      </c>
      <c r="J265" s="507">
        <f>SUMIFS(Controle!$R:$R,Controle!$H:$H,produtos_escape2!$A265,Controle!$Z:$Z,"5")</f>
        <v>0</v>
      </c>
      <c r="K265" s="507">
        <f>SUMIFS(Controle!$R:$R,Controle!$H:$H,produtos_escape2!$A265,Controle!$Z:$Z,"6")</f>
        <v>0</v>
      </c>
      <c r="L265" s="507">
        <f t="shared" si="9"/>
        <v>0</v>
      </c>
      <c r="M265" s="381" t="s">
        <v>4666</v>
      </c>
      <c r="AF265" s="84"/>
    </row>
    <row r="266" spans="1:32" s="185" customFormat="1" ht="14.25" customHeight="1" thickBot="1">
      <c r="A266" s="353">
        <v>10405</v>
      </c>
      <c r="B266" s="194" t="s">
        <v>1046</v>
      </c>
      <c r="C266" s="339">
        <f t="shared" si="8"/>
        <v>50000</v>
      </c>
      <c r="D266" s="196" t="s">
        <v>624</v>
      </c>
      <c r="E266" s="197" t="s">
        <v>1739</v>
      </c>
      <c r="F266" s="507">
        <f>SUMIFS(Controle!$R:$R,Controle!$H:$H,produtos_escape2!$A266,Controle!$Z:$Z,"1")</f>
        <v>0</v>
      </c>
      <c r="G266" s="507">
        <f>SUMIFS(Controle!$R:$R,Controle!$H:$H,produtos_escape2!$A266,Controle!$Z:$Z,"2")</f>
        <v>0</v>
      </c>
      <c r="H266" s="507">
        <f>SUMIFS(Controle!$R:$R,Controle!$H:$H,produtos_escape2!$A266,Controle!$Z:$Z,"3")</f>
        <v>0</v>
      </c>
      <c r="I266" s="507">
        <f>SUMIFS(Controle!$R:$R,Controle!$H:$H,produtos_escape2!$A266,Controle!$Z:$Z,"4")</f>
        <v>0</v>
      </c>
      <c r="J266" s="507">
        <f>SUMIFS(Controle!$R:$R,Controle!$H:$H,produtos_escape2!$A266,Controle!$Z:$Z,"5")</f>
        <v>0</v>
      </c>
      <c r="K266" s="507">
        <f>SUMIFS(Controle!$R:$R,Controle!$H:$H,produtos_escape2!$A266,Controle!$Z:$Z,"6")</f>
        <v>0</v>
      </c>
      <c r="L266" s="507">
        <f t="shared" si="9"/>
        <v>0</v>
      </c>
      <c r="M266" s="381" t="s">
        <v>4667</v>
      </c>
      <c r="AF266" s="84"/>
    </row>
    <row r="267" spans="1:32" s="185" customFormat="1" ht="14.25" customHeight="1" thickBot="1">
      <c r="A267" s="333">
        <v>10438</v>
      </c>
      <c r="B267" s="338" t="s">
        <v>198</v>
      </c>
      <c r="C267" s="339">
        <f t="shared" si="8"/>
        <v>50000</v>
      </c>
      <c r="D267" s="196" t="s">
        <v>987</v>
      </c>
      <c r="E267" s="197" t="s">
        <v>1739</v>
      </c>
      <c r="F267" s="507">
        <f>SUMIFS(Controle!$R:$R,Controle!$H:$H,produtos_escape2!$A267,Controle!$Z:$Z,"1")</f>
        <v>0</v>
      </c>
      <c r="G267" s="507">
        <f>SUMIFS(Controle!$R:$R,Controle!$H:$H,produtos_escape2!$A267,Controle!$Z:$Z,"2")</f>
        <v>0</v>
      </c>
      <c r="H267" s="507">
        <f>SUMIFS(Controle!$R:$R,Controle!$H:$H,produtos_escape2!$A267,Controle!$Z:$Z,"3")</f>
        <v>0</v>
      </c>
      <c r="I267" s="507">
        <f>SUMIFS(Controle!$R:$R,Controle!$H:$H,produtos_escape2!$A267,Controle!$Z:$Z,"4")</f>
        <v>0</v>
      </c>
      <c r="J267" s="507">
        <f>SUMIFS(Controle!$R:$R,Controle!$H:$H,produtos_escape2!$A267,Controle!$Z:$Z,"5")</f>
        <v>0</v>
      </c>
      <c r="K267" s="507">
        <f>SUMIFS(Controle!$R:$R,Controle!$H:$H,produtos_escape2!$A267,Controle!$Z:$Z,"6")</f>
        <v>0</v>
      </c>
      <c r="L267" s="507">
        <f t="shared" si="9"/>
        <v>0</v>
      </c>
      <c r="M267" s="381" t="s">
        <v>198</v>
      </c>
      <c r="AF267" s="84"/>
    </row>
    <row r="268" spans="1:32" s="185" customFormat="1" ht="14.25" customHeight="1" thickBot="1">
      <c r="A268" s="353">
        <v>10442</v>
      </c>
      <c r="B268" s="194" t="s">
        <v>2812</v>
      </c>
      <c r="C268" s="339">
        <f t="shared" si="8"/>
        <v>50000</v>
      </c>
      <c r="D268" s="196" t="s">
        <v>624</v>
      </c>
      <c r="E268" s="197" t="s">
        <v>7207</v>
      </c>
      <c r="F268" s="507">
        <f>SUMIFS(Controle!$R:$R,Controle!$H:$H,produtos_escape2!$A268,Controle!$Z:$Z,"1")</f>
        <v>0</v>
      </c>
      <c r="G268" s="507">
        <f>SUMIFS(Controle!$R:$R,Controle!$H:$H,produtos_escape2!$A268,Controle!$Z:$Z,"2")</f>
        <v>0</v>
      </c>
      <c r="H268" s="507">
        <f>SUMIFS(Controle!$R:$R,Controle!$H:$H,produtos_escape2!$A268,Controle!$Z:$Z,"3")</f>
        <v>0</v>
      </c>
      <c r="I268" s="507">
        <f>SUMIFS(Controle!$R:$R,Controle!$H:$H,produtos_escape2!$A268,Controle!$Z:$Z,"4")</f>
        <v>0</v>
      </c>
      <c r="J268" s="507">
        <f>SUMIFS(Controle!$R:$R,Controle!$H:$H,produtos_escape2!$A268,Controle!$Z:$Z,"5")</f>
        <v>0</v>
      </c>
      <c r="K268" s="507">
        <f>SUMIFS(Controle!$R:$R,Controle!$H:$H,produtos_escape2!$A268,Controle!$Z:$Z,"6")</f>
        <v>0</v>
      </c>
      <c r="L268" s="507">
        <f t="shared" si="9"/>
        <v>0</v>
      </c>
      <c r="M268" s="381" t="s">
        <v>4668</v>
      </c>
      <c r="AF268" s="84"/>
    </row>
    <row r="269" spans="1:32" s="185" customFormat="1" ht="14.25" customHeight="1" thickBot="1">
      <c r="A269" s="353">
        <v>10447</v>
      </c>
      <c r="B269" s="194" t="s">
        <v>2813</v>
      </c>
      <c r="C269" s="339">
        <f t="shared" si="8"/>
        <v>50000</v>
      </c>
      <c r="D269" s="196" t="s">
        <v>624</v>
      </c>
      <c r="E269" s="197" t="s">
        <v>7207</v>
      </c>
      <c r="F269" s="507">
        <f>SUMIFS(Controle!$R:$R,Controle!$H:$H,produtos_escape2!$A269,Controle!$Z:$Z,"1")</f>
        <v>0</v>
      </c>
      <c r="G269" s="507">
        <f>SUMIFS(Controle!$R:$R,Controle!$H:$H,produtos_escape2!$A269,Controle!$Z:$Z,"2")</f>
        <v>0</v>
      </c>
      <c r="H269" s="507">
        <f>SUMIFS(Controle!$R:$R,Controle!$H:$H,produtos_escape2!$A269,Controle!$Z:$Z,"3")</f>
        <v>0</v>
      </c>
      <c r="I269" s="507">
        <f>SUMIFS(Controle!$R:$R,Controle!$H:$H,produtos_escape2!$A269,Controle!$Z:$Z,"4")</f>
        <v>0</v>
      </c>
      <c r="J269" s="507">
        <f>SUMIFS(Controle!$R:$R,Controle!$H:$H,produtos_escape2!$A269,Controle!$Z:$Z,"5")</f>
        <v>0</v>
      </c>
      <c r="K269" s="507">
        <f>SUMIFS(Controle!$R:$R,Controle!$H:$H,produtos_escape2!$A269,Controle!$Z:$Z,"6")</f>
        <v>0</v>
      </c>
      <c r="L269" s="507">
        <f t="shared" si="9"/>
        <v>0</v>
      </c>
      <c r="M269" s="381" t="s">
        <v>4669</v>
      </c>
      <c r="AF269" s="84"/>
    </row>
    <row r="270" spans="1:32" s="185" customFormat="1" ht="14.25" customHeight="1" thickBot="1">
      <c r="A270" s="353">
        <v>10454</v>
      </c>
      <c r="B270" s="194" t="s">
        <v>856</v>
      </c>
      <c r="C270" s="339">
        <f t="shared" si="8"/>
        <v>50000</v>
      </c>
      <c r="D270" s="196" t="s">
        <v>819</v>
      </c>
      <c r="E270" s="197" t="s">
        <v>3608</v>
      </c>
      <c r="F270" s="507">
        <f>SUMIFS(Controle!$R:$R,Controle!$H:$H,produtos_escape2!$A270,Controle!$Z:$Z,"1")</f>
        <v>0</v>
      </c>
      <c r="G270" s="507">
        <f>SUMIFS(Controle!$R:$R,Controle!$H:$H,produtos_escape2!$A270,Controle!$Z:$Z,"2")</f>
        <v>0</v>
      </c>
      <c r="H270" s="507">
        <f>SUMIFS(Controle!$R:$R,Controle!$H:$H,produtos_escape2!$A270,Controle!$Z:$Z,"3")</f>
        <v>0</v>
      </c>
      <c r="I270" s="507">
        <f>SUMIFS(Controle!$R:$R,Controle!$H:$H,produtos_escape2!$A270,Controle!$Z:$Z,"4")</f>
        <v>0</v>
      </c>
      <c r="J270" s="507">
        <f>SUMIFS(Controle!$R:$R,Controle!$H:$H,produtos_escape2!$A270,Controle!$Z:$Z,"5")</f>
        <v>0</v>
      </c>
      <c r="K270" s="507">
        <f>SUMIFS(Controle!$R:$R,Controle!$H:$H,produtos_escape2!$A270,Controle!$Z:$Z,"6")</f>
        <v>0</v>
      </c>
      <c r="L270" s="507">
        <f t="shared" si="9"/>
        <v>0</v>
      </c>
      <c r="M270" s="381" t="s">
        <v>856</v>
      </c>
      <c r="AF270" s="84"/>
    </row>
    <row r="271" spans="1:32" s="185" customFormat="1" ht="14.25" customHeight="1" thickBot="1">
      <c r="A271" s="353">
        <v>10468</v>
      </c>
      <c r="B271" s="194" t="s">
        <v>892</v>
      </c>
      <c r="C271" s="339">
        <f t="shared" si="8"/>
        <v>50000</v>
      </c>
      <c r="D271" s="196" t="s">
        <v>819</v>
      </c>
      <c r="E271" s="197" t="s">
        <v>3608</v>
      </c>
      <c r="F271" s="507">
        <f>SUMIFS(Controle!$R:$R,Controle!$H:$H,produtos_escape2!$A271,Controle!$Z:$Z,"1")</f>
        <v>0</v>
      </c>
      <c r="G271" s="507">
        <f>SUMIFS(Controle!$R:$R,Controle!$H:$H,produtos_escape2!$A271,Controle!$Z:$Z,"2")</f>
        <v>0</v>
      </c>
      <c r="H271" s="507">
        <f>SUMIFS(Controle!$R:$R,Controle!$H:$H,produtos_escape2!$A271,Controle!$Z:$Z,"3")</f>
        <v>0</v>
      </c>
      <c r="I271" s="507">
        <f>SUMIFS(Controle!$R:$R,Controle!$H:$H,produtos_escape2!$A271,Controle!$Z:$Z,"4")</f>
        <v>0</v>
      </c>
      <c r="J271" s="507">
        <f>SUMIFS(Controle!$R:$R,Controle!$H:$H,produtos_escape2!$A271,Controle!$Z:$Z,"5")</f>
        <v>0</v>
      </c>
      <c r="K271" s="507">
        <f>SUMIFS(Controle!$R:$R,Controle!$H:$H,produtos_escape2!$A271,Controle!$Z:$Z,"6")</f>
        <v>0</v>
      </c>
      <c r="L271" s="507">
        <f t="shared" si="9"/>
        <v>0</v>
      </c>
      <c r="M271" s="381" t="s">
        <v>4670</v>
      </c>
      <c r="AF271" s="84"/>
    </row>
    <row r="272" spans="1:32" s="185" customFormat="1" ht="14.25" customHeight="1" thickBot="1">
      <c r="A272" s="353">
        <v>10482</v>
      </c>
      <c r="B272" s="194" t="s">
        <v>2584</v>
      </c>
      <c r="C272" s="339">
        <f t="shared" si="8"/>
        <v>50000</v>
      </c>
      <c r="D272" s="196" t="s">
        <v>624</v>
      </c>
      <c r="E272" s="197" t="s">
        <v>1739</v>
      </c>
      <c r="F272" s="507">
        <f>SUMIFS(Controle!$R:$R,Controle!$H:$H,produtos_escape2!$A272,Controle!$Z:$Z,"1")</f>
        <v>0</v>
      </c>
      <c r="G272" s="507">
        <f>SUMIFS(Controle!$R:$R,Controle!$H:$H,produtos_escape2!$A272,Controle!$Z:$Z,"2")</f>
        <v>0</v>
      </c>
      <c r="H272" s="507">
        <f>SUMIFS(Controle!$R:$R,Controle!$H:$H,produtos_escape2!$A272,Controle!$Z:$Z,"3")</f>
        <v>0</v>
      </c>
      <c r="I272" s="507">
        <f>SUMIFS(Controle!$R:$R,Controle!$H:$H,produtos_escape2!$A272,Controle!$Z:$Z,"4")</f>
        <v>0</v>
      </c>
      <c r="J272" s="507">
        <f>SUMIFS(Controle!$R:$R,Controle!$H:$H,produtos_escape2!$A272,Controle!$Z:$Z,"5")</f>
        <v>0</v>
      </c>
      <c r="K272" s="507">
        <f>SUMIFS(Controle!$R:$R,Controle!$H:$H,produtos_escape2!$A272,Controle!$Z:$Z,"6")</f>
        <v>0</v>
      </c>
      <c r="L272" s="507">
        <f t="shared" si="9"/>
        <v>0</v>
      </c>
      <c r="M272" s="381" t="s">
        <v>4614</v>
      </c>
      <c r="AF272" s="84"/>
    </row>
    <row r="273" spans="1:32" s="185" customFormat="1" ht="14.25" customHeight="1" thickBot="1">
      <c r="A273" s="353">
        <v>10533</v>
      </c>
      <c r="B273" s="194" t="s">
        <v>843</v>
      </c>
      <c r="C273" s="339">
        <f t="shared" si="8"/>
        <v>50000</v>
      </c>
      <c r="D273" s="196" t="s">
        <v>624</v>
      </c>
      <c r="E273" s="197" t="s">
        <v>1739</v>
      </c>
      <c r="F273" s="507">
        <f>SUMIFS(Controle!$R:$R,Controle!$H:$H,produtos_escape2!$A273,Controle!$Z:$Z,"1")</f>
        <v>0</v>
      </c>
      <c r="G273" s="507">
        <f>SUMIFS(Controle!$R:$R,Controle!$H:$H,produtos_escape2!$A273,Controle!$Z:$Z,"2")</f>
        <v>0</v>
      </c>
      <c r="H273" s="507">
        <f>SUMIFS(Controle!$R:$R,Controle!$H:$H,produtos_escape2!$A273,Controle!$Z:$Z,"3")</f>
        <v>0</v>
      </c>
      <c r="I273" s="507">
        <f>SUMIFS(Controle!$R:$R,Controle!$H:$H,produtos_escape2!$A273,Controle!$Z:$Z,"4")</f>
        <v>0</v>
      </c>
      <c r="J273" s="507">
        <f>SUMIFS(Controle!$R:$R,Controle!$H:$H,produtos_escape2!$A273,Controle!$Z:$Z,"5")</f>
        <v>0</v>
      </c>
      <c r="K273" s="507">
        <f>SUMIFS(Controle!$R:$R,Controle!$H:$H,produtos_escape2!$A273,Controle!$Z:$Z,"6")</f>
        <v>0</v>
      </c>
      <c r="L273" s="507">
        <f t="shared" si="9"/>
        <v>0</v>
      </c>
      <c r="M273" s="381" t="s">
        <v>843</v>
      </c>
      <c r="AF273" s="84"/>
    </row>
    <row r="274" spans="1:32" s="185" customFormat="1" ht="14.25" customHeight="1" thickBot="1">
      <c r="A274" s="353">
        <v>10534</v>
      </c>
      <c r="B274" s="194" t="s">
        <v>842</v>
      </c>
      <c r="C274" s="339">
        <f t="shared" si="8"/>
        <v>50000</v>
      </c>
      <c r="D274" s="196" t="s">
        <v>624</v>
      </c>
      <c r="E274" s="197" t="s">
        <v>1739</v>
      </c>
      <c r="F274" s="507">
        <f>SUMIFS(Controle!$R:$R,Controle!$H:$H,produtos_escape2!$A274,Controle!$Z:$Z,"1")</f>
        <v>0</v>
      </c>
      <c r="G274" s="507">
        <f>SUMIFS(Controle!$R:$R,Controle!$H:$H,produtos_escape2!$A274,Controle!$Z:$Z,"2")</f>
        <v>0</v>
      </c>
      <c r="H274" s="507">
        <f>SUMIFS(Controle!$R:$R,Controle!$H:$H,produtos_escape2!$A274,Controle!$Z:$Z,"3")</f>
        <v>0</v>
      </c>
      <c r="I274" s="507">
        <f>SUMIFS(Controle!$R:$R,Controle!$H:$H,produtos_escape2!$A274,Controle!$Z:$Z,"4")</f>
        <v>0</v>
      </c>
      <c r="J274" s="507">
        <f>SUMIFS(Controle!$R:$R,Controle!$H:$H,produtos_escape2!$A274,Controle!$Z:$Z,"5")</f>
        <v>0</v>
      </c>
      <c r="K274" s="507">
        <f>SUMIFS(Controle!$R:$R,Controle!$H:$H,produtos_escape2!$A274,Controle!$Z:$Z,"6")</f>
        <v>0</v>
      </c>
      <c r="L274" s="507">
        <f t="shared" si="9"/>
        <v>0</v>
      </c>
      <c r="M274" s="381" t="s">
        <v>842</v>
      </c>
      <c r="AF274" s="84"/>
    </row>
    <row r="275" spans="1:32" s="185" customFormat="1" ht="14.25" customHeight="1" thickBot="1">
      <c r="A275" s="333">
        <v>10537</v>
      </c>
      <c r="B275" s="338" t="s">
        <v>839</v>
      </c>
      <c r="C275" s="339">
        <f t="shared" si="8"/>
        <v>50000</v>
      </c>
      <c r="D275" s="196" t="s">
        <v>624</v>
      </c>
      <c r="E275" s="197" t="s">
        <v>1739</v>
      </c>
      <c r="F275" s="507">
        <f>SUMIFS(Controle!$R:$R,Controle!$H:$H,produtos_escape2!$A275,Controle!$Z:$Z,"1")</f>
        <v>0</v>
      </c>
      <c r="G275" s="507">
        <f>SUMIFS(Controle!$R:$R,Controle!$H:$H,produtos_escape2!$A275,Controle!$Z:$Z,"2")</f>
        <v>0</v>
      </c>
      <c r="H275" s="507">
        <f>SUMIFS(Controle!$R:$R,Controle!$H:$H,produtos_escape2!$A275,Controle!$Z:$Z,"3")</f>
        <v>0</v>
      </c>
      <c r="I275" s="507">
        <f>SUMIFS(Controle!$R:$R,Controle!$H:$H,produtos_escape2!$A275,Controle!$Z:$Z,"4")</f>
        <v>0</v>
      </c>
      <c r="J275" s="507">
        <f>SUMIFS(Controle!$R:$R,Controle!$H:$H,produtos_escape2!$A275,Controle!$Z:$Z,"5")</f>
        <v>0</v>
      </c>
      <c r="K275" s="507">
        <f>SUMIFS(Controle!$R:$R,Controle!$H:$H,produtos_escape2!$A275,Controle!$Z:$Z,"6")</f>
        <v>0</v>
      </c>
      <c r="L275" s="507">
        <f t="shared" si="9"/>
        <v>0</v>
      </c>
      <c r="M275" s="381" t="s">
        <v>4671</v>
      </c>
      <c r="AF275" s="84"/>
    </row>
    <row r="276" spans="1:32" s="185" customFormat="1" ht="14.25" customHeight="1" thickBot="1">
      <c r="A276" s="353">
        <v>10599</v>
      </c>
      <c r="B276" s="194" t="s">
        <v>3508</v>
      </c>
      <c r="C276" s="339">
        <f t="shared" si="8"/>
        <v>50000</v>
      </c>
      <c r="D276" s="196" t="s">
        <v>624</v>
      </c>
      <c r="E276" s="197" t="s">
        <v>7207</v>
      </c>
      <c r="F276" s="507">
        <f>SUMIFS(Controle!$R:$R,Controle!$H:$H,produtos_escape2!$A276,Controle!$Z:$Z,"1")</f>
        <v>0</v>
      </c>
      <c r="G276" s="507">
        <f>SUMIFS(Controle!$R:$R,Controle!$H:$H,produtos_escape2!$A276,Controle!$Z:$Z,"2")</f>
        <v>0</v>
      </c>
      <c r="H276" s="507">
        <f>SUMIFS(Controle!$R:$R,Controle!$H:$H,produtos_escape2!$A276,Controle!$Z:$Z,"3")</f>
        <v>0</v>
      </c>
      <c r="I276" s="507">
        <f>SUMIFS(Controle!$R:$R,Controle!$H:$H,produtos_escape2!$A276,Controle!$Z:$Z,"4")</f>
        <v>0</v>
      </c>
      <c r="J276" s="507">
        <f>SUMIFS(Controle!$R:$R,Controle!$H:$H,produtos_escape2!$A276,Controle!$Z:$Z,"5")</f>
        <v>0</v>
      </c>
      <c r="K276" s="507">
        <f>SUMIFS(Controle!$R:$R,Controle!$H:$H,produtos_escape2!$A276,Controle!$Z:$Z,"6")</f>
        <v>0</v>
      </c>
      <c r="L276" s="507">
        <f t="shared" si="9"/>
        <v>0</v>
      </c>
      <c r="M276" s="381" t="s">
        <v>4672</v>
      </c>
      <c r="AF276" s="84"/>
    </row>
    <row r="277" spans="1:32" s="185" customFormat="1" ht="14.25" customHeight="1" thickBot="1">
      <c r="A277" s="353">
        <v>10823</v>
      </c>
      <c r="B277" s="194" t="s">
        <v>8904</v>
      </c>
      <c r="C277" s="339">
        <f t="shared" si="8"/>
        <v>50000</v>
      </c>
      <c r="D277" s="196" t="s">
        <v>624</v>
      </c>
      <c r="E277" s="197" t="s">
        <v>7207</v>
      </c>
      <c r="F277" s="507">
        <f>SUMIFS(Controle!$R:$R,Controle!$H:$H,produtos_escape2!$A277,Controle!$Z:$Z,"1")</f>
        <v>0</v>
      </c>
      <c r="G277" s="507">
        <f>SUMIFS(Controle!$R:$R,Controle!$H:$H,produtos_escape2!$A277,Controle!$Z:$Z,"2")</f>
        <v>0</v>
      </c>
      <c r="H277" s="507">
        <f>SUMIFS(Controle!$R:$R,Controle!$H:$H,produtos_escape2!$A277,Controle!$Z:$Z,"3")</f>
        <v>0</v>
      </c>
      <c r="I277" s="507">
        <f>SUMIFS(Controle!$R:$R,Controle!$H:$H,produtos_escape2!$A277,Controle!$Z:$Z,"4")</f>
        <v>0</v>
      </c>
      <c r="J277" s="507">
        <f>SUMIFS(Controle!$R:$R,Controle!$H:$H,produtos_escape2!$A277,Controle!$Z:$Z,"5")</f>
        <v>0</v>
      </c>
      <c r="K277" s="507">
        <f>SUMIFS(Controle!$R:$R,Controle!$H:$H,produtos_escape2!$A277,Controle!$Z:$Z,"6")</f>
        <v>0</v>
      </c>
      <c r="L277" s="507">
        <f t="shared" si="9"/>
        <v>0</v>
      </c>
      <c r="M277" s="381" t="s">
        <v>4673</v>
      </c>
      <c r="AF277" s="84"/>
    </row>
    <row r="278" spans="1:32" s="185" customFormat="1" ht="14.25" customHeight="1" thickBot="1">
      <c r="A278" s="353">
        <v>10871</v>
      </c>
      <c r="B278" s="194" t="s">
        <v>905</v>
      </c>
      <c r="C278" s="339">
        <f t="shared" si="8"/>
        <v>50000</v>
      </c>
      <c r="D278" s="196" t="s">
        <v>624</v>
      </c>
      <c r="E278" s="197" t="s">
        <v>7207</v>
      </c>
      <c r="F278" s="507">
        <f>SUMIFS(Controle!$R:$R,Controle!$H:$H,produtos_escape2!$A278,Controle!$Z:$Z,"1")</f>
        <v>0</v>
      </c>
      <c r="G278" s="507">
        <f>SUMIFS(Controle!$R:$R,Controle!$H:$H,produtos_escape2!$A278,Controle!$Z:$Z,"2")</f>
        <v>0</v>
      </c>
      <c r="H278" s="507">
        <f>SUMIFS(Controle!$R:$R,Controle!$H:$H,produtos_escape2!$A278,Controle!$Z:$Z,"3")</f>
        <v>0</v>
      </c>
      <c r="I278" s="507">
        <f>SUMIFS(Controle!$R:$R,Controle!$H:$H,produtos_escape2!$A278,Controle!$Z:$Z,"4")</f>
        <v>0</v>
      </c>
      <c r="J278" s="507">
        <f>SUMIFS(Controle!$R:$R,Controle!$H:$H,produtos_escape2!$A278,Controle!$Z:$Z,"5")</f>
        <v>0</v>
      </c>
      <c r="K278" s="507">
        <f>SUMIFS(Controle!$R:$R,Controle!$H:$H,produtos_escape2!$A278,Controle!$Z:$Z,"6")</f>
        <v>0</v>
      </c>
      <c r="L278" s="507">
        <f t="shared" si="9"/>
        <v>0</v>
      </c>
      <c r="M278" s="381" t="s">
        <v>4674</v>
      </c>
      <c r="AF278" s="84"/>
    </row>
    <row r="279" spans="1:32" s="185" customFormat="1" ht="14.25" customHeight="1" thickBot="1">
      <c r="A279" s="353">
        <v>10876</v>
      </c>
      <c r="B279" s="194" t="s">
        <v>147</v>
      </c>
      <c r="C279" s="339">
        <f t="shared" si="8"/>
        <v>50000</v>
      </c>
      <c r="D279" s="196" t="s">
        <v>624</v>
      </c>
      <c r="E279" s="197"/>
      <c r="F279" s="507">
        <f>SUMIFS(Controle!$R:$R,Controle!$H:$H,produtos_escape2!$A279,Controle!$Z:$Z,"1")</f>
        <v>0</v>
      </c>
      <c r="G279" s="507">
        <f>SUMIFS(Controle!$R:$R,Controle!$H:$H,produtos_escape2!$A279,Controle!$Z:$Z,"2")</f>
        <v>0</v>
      </c>
      <c r="H279" s="507">
        <f>SUMIFS(Controle!$R:$R,Controle!$H:$H,produtos_escape2!$A279,Controle!$Z:$Z,"3")</f>
        <v>0</v>
      </c>
      <c r="I279" s="507">
        <f>SUMIFS(Controle!$R:$R,Controle!$H:$H,produtos_escape2!$A279,Controle!$Z:$Z,"4")</f>
        <v>0</v>
      </c>
      <c r="J279" s="507">
        <f>SUMIFS(Controle!$R:$R,Controle!$H:$H,produtos_escape2!$A279,Controle!$Z:$Z,"5")</f>
        <v>0</v>
      </c>
      <c r="K279" s="507">
        <f>SUMIFS(Controle!$R:$R,Controle!$H:$H,produtos_escape2!$A279,Controle!$Z:$Z,"6")</f>
        <v>0</v>
      </c>
      <c r="L279" s="507">
        <f t="shared" si="9"/>
        <v>0</v>
      </c>
      <c r="M279" s="381" t="s">
        <v>4675</v>
      </c>
      <c r="AF279" s="84"/>
    </row>
    <row r="280" spans="1:32" s="185" customFormat="1" ht="14.25" customHeight="1" thickBot="1">
      <c r="A280" s="353">
        <v>10880</v>
      </c>
      <c r="B280" s="194" t="s">
        <v>614</v>
      </c>
      <c r="C280" s="339">
        <f t="shared" si="8"/>
        <v>50000</v>
      </c>
      <c r="D280" s="196" t="s">
        <v>624</v>
      </c>
      <c r="E280" s="197"/>
      <c r="F280" s="507">
        <f>SUMIFS(Controle!$R:$R,Controle!$H:$H,produtos_escape2!$A280,Controle!$Z:$Z,"1")</f>
        <v>0</v>
      </c>
      <c r="G280" s="507">
        <f>SUMIFS(Controle!$R:$R,Controle!$H:$H,produtos_escape2!$A280,Controle!$Z:$Z,"2")</f>
        <v>0</v>
      </c>
      <c r="H280" s="507">
        <f>SUMIFS(Controle!$R:$R,Controle!$H:$H,produtos_escape2!$A280,Controle!$Z:$Z,"3")</f>
        <v>0</v>
      </c>
      <c r="I280" s="507">
        <f>SUMIFS(Controle!$R:$R,Controle!$H:$H,produtos_escape2!$A280,Controle!$Z:$Z,"4")</f>
        <v>0</v>
      </c>
      <c r="J280" s="507">
        <f>SUMIFS(Controle!$R:$R,Controle!$H:$H,produtos_escape2!$A280,Controle!$Z:$Z,"5")</f>
        <v>0</v>
      </c>
      <c r="K280" s="507">
        <f>SUMIFS(Controle!$R:$R,Controle!$H:$H,produtos_escape2!$A280,Controle!$Z:$Z,"6")</f>
        <v>0</v>
      </c>
      <c r="L280" s="507">
        <f t="shared" si="9"/>
        <v>0</v>
      </c>
      <c r="M280" s="381" t="s">
        <v>4523</v>
      </c>
      <c r="AF280" s="84"/>
    </row>
    <row r="281" spans="1:32" s="185" customFormat="1" ht="14.25" customHeight="1" thickBot="1">
      <c r="A281" s="353">
        <v>10909</v>
      </c>
      <c r="B281" s="194" t="s">
        <v>1166</v>
      </c>
      <c r="C281" s="339">
        <f t="shared" si="8"/>
        <v>50000</v>
      </c>
      <c r="D281" s="196" t="s">
        <v>624</v>
      </c>
      <c r="E281" s="197" t="s">
        <v>7207</v>
      </c>
      <c r="F281" s="507">
        <f>SUMIFS(Controle!$R:$R,Controle!$H:$H,produtos_escape2!$A281,Controle!$Z:$Z,"1")</f>
        <v>0</v>
      </c>
      <c r="G281" s="507">
        <f>SUMIFS(Controle!$R:$R,Controle!$H:$H,produtos_escape2!$A281,Controle!$Z:$Z,"2")</f>
        <v>0</v>
      </c>
      <c r="H281" s="507">
        <f>SUMIFS(Controle!$R:$R,Controle!$H:$H,produtos_escape2!$A281,Controle!$Z:$Z,"3")</f>
        <v>0</v>
      </c>
      <c r="I281" s="507">
        <f>SUMIFS(Controle!$R:$R,Controle!$H:$H,produtos_escape2!$A281,Controle!$Z:$Z,"4")</f>
        <v>0</v>
      </c>
      <c r="J281" s="507">
        <f>SUMIFS(Controle!$R:$R,Controle!$H:$H,produtos_escape2!$A281,Controle!$Z:$Z,"5")</f>
        <v>0</v>
      </c>
      <c r="K281" s="507">
        <f>SUMIFS(Controle!$R:$R,Controle!$H:$H,produtos_escape2!$A281,Controle!$Z:$Z,"6")</f>
        <v>0</v>
      </c>
      <c r="L281" s="507">
        <f t="shared" si="9"/>
        <v>0</v>
      </c>
      <c r="M281" s="381" t="s">
        <v>4624</v>
      </c>
      <c r="AF281" s="84"/>
    </row>
    <row r="282" spans="1:32" s="185" customFormat="1" ht="14.25" customHeight="1" thickBot="1">
      <c r="A282" s="353">
        <v>10916</v>
      </c>
      <c r="B282" s="194" t="s">
        <v>252</v>
      </c>
      <c r="C282" s="339">
        <f t="shared" si="8"/>
        <v>50000</v>
      </c>
      <c r="D282" s="196" t="s">
        <v>624</v>
      </c>
      <c r="E282" s="197" t="s">
        <v>7207</v>
      </c>
      <c r="F282" s="507">
        <f>SUMIFS(Controle!$R:$R,Controle!$H:$H,produtos_escape2!$A282,Controle!$Z:$Z,"1")</f>
        <v>0</v>
      </c>
      <c r="G282" s="507">
        <f>SUMIFS(Controle!$R:$R,Controle!$H:$H,produtos_escape2!$A282,Controle!$Z:$Z,"2")</f>
        <v>0</v>
      </c>
      <c r="H282" s="507">
        <f>SUMIFS(Controle!$R:$R,Controle!$H:$H,produtos_escape2!$A282,Controle!$Z:$Z,"3")</f>
        <v>0</v>
      </c>
      <c r="I282" s="507">
        <f>SUMIFS(Controle!$R:$R,Controle!$H:$H,produtos_escape2!$A282,Controle!$Z:$Z,"4")</f>
        <v>0</v>
      </c>
      <c r="J282" s="507">
        <f>SUMIFS(Controle!$R:$R,Controle!$H:$H,produtos_escape2!$A282,Controle!$Z:$Z,"5")</f>
        <v>0</v>
      </c>
      <c r="K282" s="507">
        <f>SUMIFS(Controle!$R:$R,Controle!$H:$H,produtos_escape2!$A282,Controle!$Z:$Z,"6")</f>
        <v>0</v>
      </c>
      <c r="L282" s="507">
        <f t="shared" si="9"/>
        <v>0</v>
      </c>
      <c r="M282" s="381" t="s">
        <v>4676</v>
      </c>
      <c r="AF282" s="84"/>
    </row>
    <row r="283" spans="1:32" s="185" customFormat="1" ht="14.25" customHeight="1" thickBot="1">
      <c r="A283" s="333">
        <v>10946</v>
      </c>
      <c r="B283" s="338" t="s">
        <v>481</v>
      </c>
      <c r="C283" s="339">
        <f t="shared" si="8"/>
        <v>50000</v>
      </c>
      <c r="D283" s="196"/>
      <c r="E283" s="197"/>
      <c r="F283" s="507">
        <f>SUMIFS(Controle!$R:$R,Controle!$H:$H,produtos_escape2!$A283,Controle!$Z:$Z,"1")</f>
        <v>0</v>
      </c>
      <c r="G283" s="507">
        <f>SUMIFS(Controle!$R:$R,Controle!$H:$H,produtos_escape2!$A283,Controle!$Z:$Z,"2")</f>
        <v>0</v>
      </c>
      <c r="H283" s="507">
        <f>SUMIFS(Controle!$R:$R,Controle!$H:$H,produtos_escape2!$A283,Controle!$Z:$Z,"3")</f>
        <v>0</v>
      </c>
      <c r="I283" s="507">
        <f>SUMIFS(Controle!$R:$R,Controle!$H:$H,produtos_escape2!$A283,Controle!$Z:$Z,"4")</f>
        <v>0</v>
      </c>
      <c r="J283" s="507">
        <f>SUMIFS(Controle!$R:$R,Controle!$H:$H,produtos_escape2!$A283,Controle!$Z:$Z,"5")</f>
        <v>0</v>
      </c>
      <c r="K283" s="507">
        <f>SUMIFS(Controle!$R:$R,Controle!$H:$H,produtos_escape2!$A283,Controle!$Z:$Z,"6")</f>
        <v>0</v>
      </c>
      <c r="L283" s="507">
        <f t="shared" si="9"/>
        <v>0</v>
      </c>
      <c r="M283" s="381" t="s">
        <v>4677</v>
      </c>
      <c r="AF283" s="84"/>
    </row>
    <row r="284" spans="1:32" s="185" customFormat="1" ht="14.25" customHeight="1" thickBot="1">
      <c r="A284" s="353">
        <v>10960</v>
      </c>
      <c r="B284" s="194" t="s">
        <v>19</v>
      </c>
      <c r="C284" s="339">
        <f t="shared" si="8"/>
        <v>46547.6</v>
      </c>
      <c r="D284" s="196" t="s">
        <v>548</v>
      </c>
      <c r="E284" s="197" t="s">
        <v>3608</v>
      </c>
      <c r="F284" s="507">
        <f>SUMIFS(Controle!$R:$R,Controle!$H:$H,produtos_escape2!$A284,Controle!$Z:$Z,"1")</f>
        <v>0</v>
      </c>
      <c r="G284" s="507">
        <f>SUMIFS(Controle!$R:$R,Controle!$H:$H,produtos_escape2!$A284,Controle!$Z:$Z,"2")</f>
        <v>0</v>
      </c>
      <c r="H284" s="507">
        <f>SUMIFS(Controle!$R:$R,Controle!$H:$H,produtos_escape2!$A284,Controle!$Z:$Z,"3")</f>
        <v>660</v>
      </c>
      <c r="I284" s="507">
        <f>SUMIFS(Controle!$R:$R,Controle!$H:$H,produtos_escape2!$A284,Controle!$Z:$Z,"4")</f>
        <v>1016.4000000000001</v>
      </c>
      <c r="J284" s="507">
        <f>SUMIFS(Controle!$R:$R,Controle!$H:$H,produtos_escape2!$A284,Controle!$Z:$Z,"5")</f>
        <v>0</v>
      </c>
      <c r="K284" s="507">
        <f>SUMIFS(Controle!$R:$R,Controle!$H:$H,produtos_escape2!$A284,Controle!$Z:$Z,"6")</f>
        <v>1776.0000000000002</v>
      </c>
      <c r="L284" s="507">
        <f t="shared" si="9"/>
        <v>3452.4000000000005</v>
      </c>
      <c r="M284" s="381" t="s">
        <v>19</v>
      </c>
      <c r="AF284" s="84"/>
    </row>
    <row r="285" spans="1:32" s="185" customFormat="1" ht="14.25" customHeight="1" thickBot="1">
      <c r="A285" s="353">
        <v>10962</v>
      </c>
      <c r="B285" s="194" t="s">
        <v>1302</v>
      </c>
      <c r="C285" s="339">
        <f t="shared" si="8"/>
        <v>50000</v>
      </c>
      <c r="D285" s="196" t="s">
        <v>624</v>
      </c>
      <c r="E285" s="197" t="s">
        <v>7207</v>
      </c>
      <c r="F285" s="507">
        <f>SUMIFS(Controle!$R:$R,Controle!$H:$H,produtos_escape2!$A285,Controle!$Z:$Z,"1")</f>
        <v>0</v>
      </c>
      <c r="G285" s="507">
        <f>SUMIFS(Controle!$R:$R,Controle!$H:$H,produtos_escape2!$A285,Controle!$Z:$Z,"2")</f>
        <v>0</v>
      </c>
      <c r="H285" s="507">
        <f>SUMIFS(Controle!$R:$R,Controle!$H:$H,produtos_escape2!$A285,Controle!$Z:$Z,"3")</f>
        <v>0</v>
      </c>
      <c r="I285" s="507">
        <f>SUMIFS(Controle!$R:$R,Controle!$H:$H,produtos_escape2!$A285,Controle!$Z:$Z,"4")</f>
        <v>0</v>
      </c>
      <c r="J285" s="507">
        <f>SUMIFS(Controle!$R:$R,Controle!$H:$H,produtos_escape2!$A285,Controle!$Z:$Z,"5")</f>
        <v>0</v>
      </c>
      <c r="K285" s="507">
        <f>SUMIFS(Controle!$R:$R,Controle!$H:$H,produtos_escape2!$A285,Controle!$Z:$Z,"6")</f>
        <v>0</v>
      </c>
      <c r="L285" s="507">
        <f t="shared" si="9"/>
        <v>0</v>
      </c>
      <c r="M285" s="381" t="s">
        <v>4678</v>
      </c>
      <c r="AF285" s="84"/>
    </row>
    <row r="286" spans="1:32" s="185" customFormat="1" ht="14.25" customHeight="1" thickBot="1">
      <c r="A286" s="353">
        <v>10967</v>
      </c>
      <c r="B286" s="194" t="s">
        <v>6988</v>
      </c>
      <c r="C286" s="339">
        <f t="shared" si="8"/>
        <v>50000</v>
      </c>
      <c r="D286" s="191" t="s">
        <v>624</v>
      </c>
      <c r="E286" s="172" t="s">
        <v>3608</v>
      </c>
      <c r="F286" s="507">
        <f>SUMIFS(Controle!$R:$R,Controle!$H:$H,produtos_escape2!$A286,Controle!$Z:$Z,"1")</f>
        <v>0</v>
      </c>
      <c r="G286" s="507">
        <f>SUMIFS(Controle!$R:$R,Controle!$H:$H,produtos_escape2!$A286,Controle!$Z:$Z,"2")</f>
        <v>0</v>
      </c>
      <c r="H286" s="507">
        <f>SUMIFS(Controle!$R:$R,Controle!$H:$H,produtos_escape2!$A286,Controle!$Z:$Z,"3")</f>
        <v>0</v>
      </c>
      <c r="I286" s="507">
        <f>SUMIFS(Controle!$R:$R,Controle!$H:$H,produtos_escape2!$A286,Controle!$Z:$Z,"4")</f>
        <v>0</v>
      </c>
      <c r="J286" s="507">
        <f>SUMIFS(Controle!$R:$R,Controle!$H:$H,produtos_escape2!$A286,Controle!$Z:$Z,"5")</f>
        <v>0</v>
      </c>
      <c r="K286" s="507">
        <f>SUMIFS(Controle!$R:$R,Controle!$H:$H,produtos_escape2!$A286,Controle!$Z:$Z,"6")</f>
        <v>0</v>
      </c>
      <c r="L286" s="507">
        <f t="shared" si="9"/>
        <v>0</v>
      </c>
      <c r="M286" s="381" t="s">
        <v>4515</v>
      </c>
      <c r="AF286" s="84"/>
    </row>
    <row r="287" spans="1:32" s="185" customFormat="1" ht="14.25" customHeight="1" thickBot="1">
      <c r="A287" s="353">
        <v>10988</v>
      </c>
      <c r="B287" s="194" t="s">
        <v>253</v>
      </c>
      <c r="C287" s="339">
        <f t="shared" si="8"/>
        <v>50000</v>
      </c>
      <c r="D287" s="196" t="s">
        <v>624</v>
      </c>
      <c r="E287" s="197" t="s">
        <v>7207</v>
      </c>
      <c r="F287" s="507">
        <f>SUMIFS(Controle!$R:$R,Controle!$H:$H,produtos_escape2!$A287,Controle!$Z:$Z,"1")</f>
        <v>0</v>
      </c>
      <c r="G287" s="507">
        <f>SUMIFS(Controle!$R:$R,Controle!$H:$H,produtos_escape2!$A287,Controle!$Z:$Z,"2")</f>
        <v>0</v>
      </c>
      <c r="H287" s="507">
        <f>SUMIFS(Controle!$R:$R,Controle!$H:$H,produtos_escape2!$A287,Controle!$Z:$Z,"3")</f>
        <v>0</v>
      </c>
      <c r="I287" s="507">
        <f>SUMIFS(Controle!$R:$R,Controle!$H:$H,produtos_escape2!$A287,Controle!$Z:$Z,"4")</f>
        <v>0</v>
      </c>
      <c r="J287" s="507">
        <f>SUMIFS(Controle!$R:$R,Controle!$H:$H,produtos_escape2!$A287,Controle!$Z:$Z,"5")</f>
        <v>0</v>
      </c>
      <c r="K287" s="507">
        <f>SUMIFS(Controle!$R:$R,Controle!$H:$H,produtos_escape2!$A287,Controle!$Z:$Z,"6")</f>
        <v>0</v>
      </c>
      <c r="L287" s="507">
        <f t="shared" si="9"/>
        <v>0</v>
      </c>
      <c r="M287" s="381" t="s">
        <v>4679</v>
      </c>
      <c r="AF287" s="84"/>
    </row>
    <row r="288" spans="1:32" s="185" customFormat="1" ht="14.25" customHeight="1" thickBot="1">
      <c r="A288" s="353">
        <v>11077</v>
      </c>
      <c r="B288" s="194" t="s">
        <v>2585</v>
      </c>
      <c r="C288" s="339">
        <f t="shared" si="8"/>
        <v>50000</v>
      </c>
      <c r="D288" s="196" t="s">
        <v>624</v>
      </c>
      <c r="E288" s="197" t="s">
        <v>3608</v>
      </c>
      <c r="F288" s="507">
        <f>SUMIFS(Controle!$R:$R,Controle!$H:$H,produtos_escape2!$A288,Controle!$Z:$Z,"1")</f>
        <v>0</v>
      </c>
      <c r="G288" s="507">
        <f>SUMIFS(Controle!$R:$R,Controle!$H:$H,produtos_escape2!$A288,Controle!$Z:$Z,"2")</f>
        <v>0</v>
      </c>
      <c r="H288" s="507">
        <f>SUMIFS(Controle!$R:$R,Controle!$H:$H,produtos_escape2!$A288,Controle!$Z:$Z,"3")</f>
        <v>0</v>
      </c>
      <c r="I288" s="507">
        <f>SUMIFS(Controle!$R:$R,Controle!$H:$H,produtos_escape2!$A288,Controle!$Z:$Z,"4")</f>
        <v>0</v>
      </c>
      <c r="J288" s="507">
        <f>SUMIFS(Controle!$R:$R,Controle!$H:$H,produtos_escape2!$A288,Controle!$Z:$Z,"5")</f>
        <v>0</v>
      </c>
      <c r="K288" s="507">
        <f>SUMIFS(Controle!$R:$R,Controle!$H:$H,produtos_escape2!$A288,Controle!$Z:$Z,"6")</f>
        <v>0</v>
      </c>
      <c r="L288" s="507">
        <f t="shared" si="9"/>
        <v>0</v>
      </c>
      <c r="M288" s="381" t="s">
        <v>4680</v>
      </c>
      <c r="AF288" s="84"/>
    </row>
    <row r="289" spans="1:32" s="185" customFormat="1" ht="14.25" customHeight="1" thickBot="1">
      <c r="A289" s="353">
        <v>11087</v>
      </c>
      <c r="B289" s="194" t="s">
        <v>204</v>
      </c>
      <c r="C289" s="339">
        <f t="shared" si="8"/>
        <v>46785</v>
      </c>
      <c r="D289" s="196" t="s">
        <v>624</v>
      </c>
      <c r="E289" s="197" t="s">
        <v>3608</v>
      </c>
      <c r="F289" s="507">
        <f>SUMIFS(Controle!$R:$R,Controle!$H:$H,produtos_escape2!$A289,Controle!$Z:$Z,"1")</f>
        <v>0</v>
      </c>
      <c r="G289" s="507">
        <f>SUMIFS(Controle!$R:$R,Controle!$H:$H,produtos_escape2!$A289,Controle!$Z:$Z,"2")</f>
        <v>1604.9999999999998</v>
      </c>
      <c r="H289" s="507">
        <f>SUMIFS(Controle!$R:$R,Controle!$H:$H,produtos_escape2!$A289,Controle!$Z:$Z,"3")</f>
        <v>0</v>
      </c>
      <c r="I289" s="507">
        <f>SUMIFS(Controle!$R:$R,Controle!$H:$H,produtos_escape2!$A289,Controle!$Z:$Z,"4")</f>
        <v>0</v>
      </c>
      <c r="J289" s="507">
        <f>SUMIFS(Controle!$R:$R,Controle!$H:$H,produtos_escape2!$A289,Controle!$Z:$Z,"5")</f>
        <v>0</v>
      </c>
      <c r="K289" s="507">
        <f>SUMIFS(Controle!$R:$R,Controle!$H:$H,produtos_escape2!$A289,Controle!$Z:$Z,"6")</f>
        <v>1610</v>
      </c>
      <c r="L289" s="507">
        <f t="shared" si="9"/>
        <v>3215</v>
      </c>
      <c r="M289" s="381" t="s">
        <v>204</v>
      </c>
      <c r="AF289" s="84"/>
    </row>
    <row r="290" spans="1:32" s="185" customFormat="1" ht="14.25" customHeight="1" thickBot="1">
      <c r="A290" s="353">
        <v>11089</v>
      </c>
      <c r="B290" s="194" t="s">
        <v>4268</v>
      </c>
      <c r="C290" s="339">
        <f t="shared" si="8"/>
        <v>50000</v>
      </c>
      <c r="D290" s="196" t="s">
        <v>624</v>
      </c>
      <c r="E290" s="197" t="s">
        <v>3608</v>
      </c>
      <c r="F290" s="507">
        <f>SUMIFS(Controle!$R:$R,Controle!$H:$H,produtos_escape2!$A290,Controle!$Z:$Z,"1")</f>
        <v>0</v>
      </c>
      <c r="G290" s="507">
        <f>SUMIFS(Controle!$R:$R,Controle!$H:$H,produtos_escape2!$A290,Controle!$Z:$Z,"2")</f>
        <v>0</v>
      </c>
      <c r="H290" s="507">
        <f>SUMIFS(Controle!$R:$R,Controle!$H:$H,produtos_escape2!$A290,Controle!$Z:$Z,"3")</f>
        <v>0</v>
      </c>
      <c r="I290" s="507">
        <f>SUMIFS(Controle!$R:$R,Controle!$H:$H,produtos_escape2!$A290,Controle!$Z:$Z,"4")</f>
        <v>0</v>
      </c>
      <c r="J290" s="507">
        <f>SUMIFS(Controle!$R:$R,Controle!$H:$H,produtos_escape2!$A290,Controle!$Z:$Z,"5")</f>
        <v>0</v>
      </c>
      <c r="K290" s="507">
        <f>SUMIFS(Controle!$R:$R,Controle!$H:$H,produtos_escape2!$A290,Controle!$Z:$Z,"6")</f>
        <v>0</v>
      </c>
      <c r="L290" s="507">
        <f t="shared" si="9"/>
        <v>0</v>
      </c>
      <c r="M290" s="381" t="s">
        <v>4268</v>
      </c>
      <c r="AF290" s="84"/>
    </row>
    <row r="291" spans="1:32" s="185" customFormat="1" ht="14.25" customHeight="1" thickBot="1">
      <c r="A291" s="353">
        <v>11096</v>
      </c>
      <c r="B291" s="194" t="s">
        <v>1747</v>
      </c>
      <c r="C291" s="339">
        <f t="shared" si="8"/>
        <v>50000</v>
      </c>
      <c r="D291" s="196" t="s">
        <v>725</v>
      </c>
      <c r="E291" s="197" t="s">
        <v>3608</v>
      </c>
      <c r="F291" s="507">
        <f>SUMIFS(Controle!$R:$R,Controle!$H:$H,produtos_escape2!$A291,Controle!$Z:$Z,"1")</f>
        <v>0</v>
      </c>
      <c r="G291" s="507">
        <f>SUMIFS(Controle!$R:$R,Controle!$H:$H,produtos_escape2!$A291,Controle!$Z:$Z,"2")</f>
        <v>0</v>
      </c>
      <c r="H291" s="507">
        <f>SUMIFS(Controle!$R:$R,Controle!$H:$H,produtos_escape2!$A291,Controle!$Z:$Z,"3")</f>
        <v>0</v>
      </c>
      <c r="I291" s="507">
        <f>SUMIFS(Controle!$R:$R,Controle!$H:$H,produtos_escape2!$A291,Controle!$Z:$Z,"4")</f>
        <v>0</v>
      </c>
      <c r="J291" s="507">
        <f>SUMIFS(Controle!$R:$R,Controle!$H:$H,produtos_escape2!$A291,Controle!$Z:$Z,"5")</f>
        <v>0</v>
      </c>
      <c r="K291" s="507">
        <f>SUMIFS(Controle!$R:$R,Controle!$H:$H,produtos_escape2!$A291,Controle!$Z:$Z,"6")</f>
        <v>0</v>
      </c>
      <c r="L291" s="507">
        <f t="shared" si="9"/>
        <v>0</v>
      </c>
      <c r="M291" s="381" t="s">
        <v>1747</v>
      </c>
      <c r="AF291" s="84"/>
    </row>
    <row r="292" spans="1:32" s="185" customFormat="1" ht="14.25" customHeight="1" thickBot="1">
      <c r="A292" s="333">
        <v>11215</v>
      </c>
      <c r="B292" s="338" t="s">
        <v>592</v>
      </c>
      <c r="C292" s="339">
        <f t="shared" si="8"/>
        <v>50000</v>
      </c>
      <c r="D292" s="196" t="s">
        <v>624</v>
      </c>
      <c r="E292" s="197" t="s">
        <v>7207</v>
      </c>
      <c r="F292" s="507">
        <f>SUMIFS(Controle!$R:$R,Controle!$H:$H,produtos_escape2!$A292,Controle!$Z:$Z,"1")</f>
        <v>0</v>
      </c>
      <c r="G292" s="507">
        <f>SUMIFS(Controle!$R:$R,Controle!$H:$H,produtos_escape2!$A292,Controle!$Z:$Z,"2")</f>
        <v>0</v>
      </c>
      <c r="H292" s="507">
        <f>SUMIFS(Controle!$R:$R,Controle!$H:$H,produtos_escape2!$A292,Controle!$Z:$Z,"3")</f>
        <v>0</v>
      </c>
      <c r="I292" s="507">
        <f>SUMIFS(Controle!$R:$R,Controle!$H:$H,produtos_escape2!$A292,Controle!$Z:$Z,"4")</f>
        <v>0</v>
      </c>
      <c r="J292" s="507">
        <f>SUMIFS(Controle!$R:$R,Controle!$H:$H,produtos_escape2!$A292,Controle!$Z:$Z,"5")</f>
        <v>0</v>
      </c>
      <c r="K292" s="507">
        <f>SUMIFS(Controle!$R:$R,Controle!$H:$H,produtos_escape2!$A292,Controle!$Z:$Z,"6")</f>
        <v>0</v>
      </c>
      <c r="L292" s="507">
        <f t="shared" si="9"/>
        <v>0</v>
      </c>
      <c r="M292" s="381" t="s">
        <v>4681</v>
      </c>
      <c r="AF292" s="84"/>
    </row>
    <row r="293" spans="1:32" s="185" customFormat="1" ht="14.25" customHeight="1" thickBot="1">
      <c r="A293" s="353">
        <v>11216</v>
      </c>
      <c r="B293" s="194" t="s">
        <v>3522</v>
      </c>
      <c r="C293" s="339">
        <f t="shared" si="8"/>
        <v>50000</v>
      </c>
      <c r="D293" s="196" t="s">
        <v>624</v>
      </c>
      <c r="E293" s="197" t="s">
        <v>1739</v>
      </c>
      <c r="F293" s="507">
        <f>SUMIFS(Controle!$R:$R,Controle!$H:$H,produtos_escape2!$A293,Controle!$Z:$Z,"1")</f>
        <v>0</v>
      </c>
      <c r="G293" s="507">
        <f>SUMIFS(Controle!$R:$R,Controle!$H:$H,produtos_escape2!$A293,Controle!$Z:$Z,"2")</f>
        <v>0</v>
      </c>
      <c r="H293" s="507">
        <f>SUMIFS(Controle!$R:$R,Controle!$H:$H,produtos_escape2!$A293,Controle!$Z:$Z,"3")</f>
        <v>0</v>
      </c>
      <c r="I293" s="507">
        <f>SUMIFS(Controle!$R:$R,Controle!$H:$H,produtos_escape2!$A293,Controle!$Z:$Z,"4")</f>
        <v>0</v>
      </c>
      <c r="J293" s="507">
        <f>SUMIFS(Controle!$R:$R,Controle!$H:$H,produtos_escape2!$A293,Controle!$Z:$Z,"5")</f>
        <v>0</v>
      </c>
      <c r="K293" s="507">
        <f>SUMIFS(Controle!$R:$R,Controle!$H:$H,produtos_escape2!$A293,Controle!$Z:$Z,"6")</f>
        <v>0</v>
      </c>
      <c r="L293" s="507">
        <f t="shared" si="9"/>
        <v>0</v>
      </c>
      <c r="M293" s="381" t="s">
        <v>4682</v>
      </c>
      <c r="AF293" s="84"/>
    </row>
    <row r="294" spans="1:32" s="185" customFormat="1" ht="14.25" customHeight="1" thickBot="1">
      <c r="A294" s="353">
        <v>11226</v>
      </c>
      <c r="B294" s="194" t="s">
        <v>1589</v>
      </c>
      <c r="C294" s="339">
        <f t="shared" si="8"/>
        <v>50000</v>
      </c>
      <c r="D294" s="196" t="s">
        <v>830</v>
      </c>
      <c r="E294" s="197" t="s">
        <v>1739</v>
      </c>
      <c r="F294" s="507">
        <f>SUMIFS(Controle!$R:$R,Controle!$H:$H,produtos_escape2!$A294,Controle!$Z:$Z,"1")</f>
        <v>0</v>
      </c>
      <c r="G294" s="507">
        <f>SUMIFS(Controle!$R:$R,Controle!$H:$H,produtos_escape2!$A294,Controle!$Z:$Z,"2")</f>
        <v>0</v>
      </c>
      <c r="H294" s="507">
        <f>SUMIFS(Controle!$R:$R,Controle!$H:$H,produtos_escape2!$A294,Controle!$Z:$Z,"3")</f>
        <v>0</v>
      </c>
      <c r="I294" s="507">
        <f>SUMIFS(Controle!$R:$R,Controle!$H:$H,produtos_escape2!$A294,Controle!$Z:$Z,"4")</f>
        <v>0</v>
      </c>
      <c r="J294" s="507">
        <f>SUMIFS(Controle!$R:$R,Controle!$H:$H,produtos_escape2!$A294,Controle!$Z:$Z,"5")</f>
        <v>0</v>
      </c>
      <c r="K294" s="507">
        <f>SUMIFS(Controle!$R:$R,Controle!$H:$H,produtos_escape2!$A294,Controle!$Z:$Z,"6")</f>
        <v>0</v>
      </c>
      <c r="L294" s="507">
        <f t="shared" si="9"/>
        <v>0</v>
      </c>
      <c r="M294" s="381" t="s">
        <v>4683</v>
      </c>
      <c r="AF294" s="84"/>
    </row>
    <row r="295" spans="1:32" s="185" customFormat="1" ht="14.25" customHeight="1" thickBot="1">
      <c r="A295" s="353">
        <v>11234</v>
      </c>
      <c r="B295" s="194" t="s">
        <v>831</v>
      </c>
      <c r="C295" s="339">
        <f t="shared" si="8"/>
        <v>50000</v>
      </c>
      <c r="D295" s="196" t="s">
        <v>830</v>
      </c>
      <c r="E295" s="197" t="s">
        <v>1739</v>
      </c>
      <c r="F295" s="507">
        <f>SUMIFS(Controle!$R:$R,Controle!$H:$H,produtos_escape2!$A295,Controle!$Z:$Z,"1")</f>
        <v>0</v>
      </c>
      <c r="G295" s="507">
        <f>SUMIFS(Controle!$R:$R,Controle!$H:$H,produtos_escape2!$A295,Controle!$Z:$Z,"2")</f>
        <v>0</v>
      </c>
      <c r="H295" s="507">
        <f>SUMIFS(Controle!$R:$R,Controle!$H:$H,produtos_escape2!$A295,Controle!$Z:$Z,"3")</f>
        <v>0</v>
      </c>
      <c r="I295" s="507">
        <f>SUMIFS(Controle!$R:$R,Controle!$H:$H,produtos_escape2!$A295,Controle!$Z:$Z,"4")</f>
        <v>0</v>
      </c>
      <c r="J295" s="507">
        <f>SUMIFS(Controle!$R:$R,Controle!$H:$H,produtos_escape2!$A295,Controle!$Z:$Z,"5")</f>
        <v>0</v>
      </c>
      <c r="K295" s="507">
        <f>SUMIFS(Controle!$R:$R,Controle!$H:$H,produtos_escape2!$A295,Controle!$Z:$Z,"6")</f>
        <v>0</v>
      </c>
      <c r="L295" s="507">
        <f t="shared" si="9"/>
        <v>0</v>
      </c>
      <c r="M295" s="381" t="s">
        <v>4684</v>
      </c>
      <c r="AF295" s="84"/>
    </row>
    <row r="296" spans="1:32" s="185" customFormat="1" ht="14.25" customHeight="1" thickBot="1">
      <c r="A296" s="353">
        <v>11240</v>
      </c>
      <c r="B296" s="194" t="s">
        <v>288</v>
      </c>
      <c r="C296" s="339">
        <f t="shared" si="8"/>
        <v>50000</v>
      </c>
      <c r="D296" s="196"/>
      <c r="E296" s="197"/>
      <c r="F296" s="507">
        <f>SUMIFS(Controle!$R:$R,Controle!$H:$H,produtos_escape2!$A296,Controle!$Z:$Z,"1")</f>
        <v>0</v>
      </c>
      <c r="G296" s="507">
        <f>SUMIFS(Controle!$R:$R,Controle!$H:$H,produtos_escape2!$A296,Controle!$Z:$Z,"2")</f>
        <v>0</v>
      </c>
      <c r="H296" s="507">
        <f>SUMIFS(Controle!$R:$R,Controle!$H:$H,produtos_escape2!$A296,Controle!$Z:$Z,"3")</f>
        <v>0</v>
      </c>
      <c r="I296" s="507">
        <f>SUMIFS(Controle!$R:$R,Controle!$H:$H,produtos_escape2!$A296,Controle!$Z:$Z,"4")</f>
        <v>0</v>
      </c>
      <c r="J296" s="507">
        <f>SUMIFS(Controle!$R:$R,Controle!$H:$H,produtos_escape2!$A296,Controle!$Z:$Z,"5")</f>
        <v>0</v>
      </c>
      <c r="K296" s="507">
        <f>SUMIFS(Controle!$R:$R,Controle!$H:$H,produtos_escape2!$A296,Controle!$Z:$Z,"6")</f>
        <v>0</v>
      </c>
      <c r="L296" s="507">
        <f t="shared" si="9"/>
        <v>0</v>
      </c>
      <c r="M296" s="381" t="s">
        <v>4685</v>
      </c>
      <c r="AF296" s="84"/>
    </row>
    <row r="297" spans="1:32" s="185" customFormat="1" ht="14.25" customHeight="1" thickBot="1">
      <c r="A297" s="353">
        <v>11241</v>
      </c>
      <c r="B297" s="194" t="s">
        <v>181</v>
      </c>
      <c r="C297" s="339">
        <f t="shared" si="8"/>
        <v>50000</v>
      </c>
      <c r="D297" s="196"/>
      <c r="E297" s="197"/>
      <c r="F297" s="507">
        <f>SUMIFS(Controle!$R:$R,Controle!$H:$H,produtos_escape2!$A297,Controle!$Z:$Z,"1")</f>
        <v>0</v>
      </c>
      <c r="G297" s="507">
        <f>SUMIFS(Controle!$R:$R,Controle!$H:$H,produtos_escape2!$A297,Controle!$Z:$Z,"2")</f>
        <v>0</v>
      </c>
      <c r="H297" s="507">
        <f>SUMIFS(Controle!$R:$R,Controle!$H:$H,produtos_escape2!$A297,Controle!$Z:$Z,"3")</f>
        <v>0</v>
      </c>
      <c r="I297" s="507">
        <f>SUMIFS(Controle!$R:$R,Controle!$H:$H,produtos_escape2!$A297,Controle!$Z:$Z,"4")</f>
        <v>0</v>
      </c>
      <c r="J297" s="507">
        <f>SUMIFS(Controle!$R:$R,Controle!$H:$H,produtos_escape2!$A297,Controle!$Z:$Z,"5")</f>
        <v>0</v>
      </c>
      <c r="K297" s="507">
        <f>SUMIFS(Controle!$R:$R,Controle!$H:$H,produtos_escape2!$A297,Controle!$Z:$Z,"6")</f>
        <v>0</v>
      </c>
      <c r="L297" s="507">
        <f t="shared" si="9"/>
        <v>0</v>
      </c>
      <c r="M297" s="381" t="s">
        <v>4686</v>
      </c>
      <c r="AF297" s="84"/>
    </row>
    <row r="298" spans="1:32" s="185" customFormat="1" ht="14.25" customHeight="1" thickBot="1">
      <c r="A298" s="353">
        <v>11243</v>
      </c>
      <c r="B298" s="194" t="s">
        <v>1402</v>
      </c>
      <c r="C298" s="339">
        <f t="shared" si="8"/>
        <v>50000</v>
      </c>
      <c r="D298" s="196" t="s">
        <v>624</v>
      </c>
      <c r="E298" s="197" t="s">
        <v>1739</v>
      </c>
      <c r="F298" s="507">
        <f>SUMIFS(Controle!$R:$R,Controle!$H:$H,produtos_escape2!$A298,Controle!$Z:$Z,"1")</f>
        <v>0</v>
      </c>
      <c r="G298" s="507">
        <f>SUMIFS(Controle!$R:$R,Controle!$H:$H,produtos_escape2!$A298,Controle!$Z:$Z,"2")</f>
        <v>0</v>
      </c>
      <c r="H298" s="507">
        <f>SUMIFS(Controle!$R:$R,Controle!$H:$H,produtos_escape2!$A298,Controle!$Z:$Z,"3")</f>
        <v>0</v>
      </c>
      <c r="I298" s="507">
        <f>SUMIFS(Controle!$R:$R,Controle!$H:$H,produtos_escape2!$A298,Controle!$Z:$Z,"4")</f>
        <v>0</v>
      </c>
      <c r="J298" s="507">
        <f>SUMIFS(Controle!$R:$R,Controle!$H:$H,produtos_escape2!$A298,Controle!$Z:$Z,"5")</f>
        <v>0</v>
      </c>
      <c r="K298" s="507">
        <f>SUMIFS(Controle!$R:$R,Controle!$H:$H,produtos_escape2!$A298,Controle!$Z:$Z,"6")</f>
        <v>0</v>
      </c>
      <c r="L298" s="507">
        <f t="shared" si="9"/>
        <v>0</v>
      </c>
      <c r="M298" s="381" t="s">
        <v>4687</v>
      </c>
      <c r="AF298" s="84"/>
    </row>
    <row r="299" spans="1:32" s="185" customFormat="1" ht="14.25" customHeight="1" thickBot="1">
      <c r="A299" s="353">
        <v>11292</v>
      </c>
      <c r="B299" s="194" t="s">
        <v>1315</v>
      </c>
      <c r="C299" s="339">
        <f t="shared" si="8"/>
        <v>50000</v>
      </c>
      <c r="D299" s="196" t="s">
        <v>725</v>
      </c>
      <c r="E299" s="197" t="s">
        <v>3608</v>
      </c>
      <c r="F299" s="507">
        <f>SUMIFS(Controle!$R:$R,Controle!$H:$H,produtos_escape2!$A299,Controle!$Z:$Z,"1")</f>
        <v>0</v>
      </c>
      <c r="G299" s="507">
        <f>SUMIFS(Controle!$R:$R,Controle!$H:$H,produtos_escape2!$A299,Controle!$Z:$Z,"2")</f>
        <v>0</v>
      </c>
      <c r="H299" s="507">
        <f>SUMIFS(Controle!$R:$R,Controle!$H:$H,produtos_escape2!$A299,Controle!$Z:$Z,"3")</f>
        <v>0</v>
      </c>
      <c r="I299" s="507">
        <f>SUMIFS(Controle!$R:$R,Controle!$H:$H,produtos_escape2!$A299,Controle!$Z:$Z,"4")</f>
        <v>0</v>
      </c>
      <c r="J299" s="507">
        <f>SUMIFS(Controle!$R:$R,Controle!$H:$H,produtos_escape2!$A299,Controle!$Z:$Z,"5")</f>
        <v>0</v>
      </c>
      <c r="K299" s="507">
        <f>SUMIFS(Controle!$R:$R,Controle!$H:$H,produtos_escape2!$A299,Controle!$Z:$Z,"6")</f>
        <v>0</v>
      </c>
      <c r="L299" s="507">
        <f t="shared" si="9"/>
        <v>0</v>
      </c>
      <c r="M299" s="381" t="s">
        <v>1315</v>
      </c>
      <c r="AF299" s="84"/>
    </row>
    <row r="300" spans="1:32" s="185" customFormat="1" ht="17.25" customHeight="1" thickBot="1">
      <c r="A300" s="333">
        <v>11305</v>
      </c>
      <c r="B300" s="338" t="s">
        <v>3521</v>
      </c>
      <c r="C300" s="339">
        <f t="shared" si="8"/>
        <v>50000</v>
      </c>
      <c r="D300" s="196" t="s">
        <v>837</v>
      </c>
      <c r="E300" s="197" t="s">
        <v>1739</v>
      </c>
      <c r="F300" s="507">
        <f>SUMIFS(Controle!$R:$R,Controle!$H:$H,produtos_escape2!$A300,Controle!$Z:$Z,"1")</f>
        <v>0</v>
      </c>
      <c r="G300" s="507">
        <f>SUMIFS(Controle!$R:$R,Controle!$H:$H,produtos_escape2!$A300,Controle!$Z:$Z,"2")</f>
        <v>0</v>
      </c>
      <c r="H300" s="507">
        <f>SUMIFS(Controle!$R:$R,Controle!$H:$H,produtos_escape2!$A300,Controle!$Z:$Z,"3")</f>
        <v>0</v>
      </c>
      <c r="I300" s="507">
        <f>SUMIFS(Controle!$R:$R,Controle!$H:$H,produtos_escape2!$A300,Controle!$Z:$Z,"4")</f>
        <v>0</v>
      </c>
      <c r="J300" s="507">
        <f>SUMIFS(Controle!$R:$R,Controle!$H:$H,produtos_escape2!$A300,Controle!$Z:$Z,"5")</f>
        <v>0</v>
      </c>
      <c r="K300" s="507">
        <f>SUMIFS(Controle!$R:$R,Controle!$H:$H,produtos_escape2!$A300,Controle!$Z:$Z,"6")</f>
        <v>0</v>
      </c>
      <c r="L300" s="507">
        <f t="shared" si="9"/>
        <v>0</v>
      </c>
      <c r="M300" s="381" t="s">
        <v>4688</v>
      </c>
      <c r="AF300" s="84"/>
    </row>
    <row r="301" spans="1:32" s="185" customFormat="1" ht="14.25" customHeight="1" thickBot="1">
      <c r="A301" s="353">
        <v>11352</v>
      </c>
      <c r="B301" s="194" t="s">
        <v>5781</v>
      </c>
      <c r="C301" s="339">
        <f t="shared" si="8"/>
        <v>50000</v>
      </c>
      <c r="D301" s="196" t="s">
        <v>1654</v>
      </c>
      <c r="E301" s="197" t="s">
        <v>7207</v>
      </c>
      <c r="F301" s="507">
        <f>SUMIFS(Controle!$R:$R,Controle!$H:$H,produtos_escape2!$A301,Controle!$Z:$Z,"1")</f>
        <v>0</v>
      </c>
      <c r="G301" s="507">
        <f>SUMIFS(Controle!$R:$R,Controle!$H:$H,produtos_escape2!$A301,Controle!$Z:$Z,"2")</f>
        <v>0</v>
      </c>
      <c r="H301" s="507">
        <f>SUMIFS(Controle!$R:$R,Controle!$H:$H,produtos_escape2!$A301,Controle!$Z:$Z,"3")</f>
        <v>0</v>
      </c>
      <c r="I301" s="507">
        <f>SUMIFS(Controle!$R:$R,Controle!$H:$H,produtos_escape2!$A301,Controle!$Z:$Z,"4")</f>
        <v>0</v>
      </c>
      <c r="J301" s="507">
        <f>SUMIFS(Controle!$R:$R,Controle!$H:$H,produtos_escape2!$A301,Controle!$Z:$Z,"5")</f>
        <v>0</v>
      </c>
      <c r="K301" s="507">
        <f>SUMIFS(Controle!$R:$R,Controle!$H:$H,produtos_escape2!$A301,Controle!$Z:$Z,"6")</f>
        <v>0</v>
      </c>
      <c r="L301" s="507">
        <f t="shared" si="9"/>
        <v>0</v>
      </c>
      <c r="M301" s="381" t="s">
        <v>5782</v>
      </c>
      <c r="AF301" s="84"/>
    </row>
    <row r="302" spans="1:32" s="185" customFormat="1" ht="14.25" customHeight="1" thickBot="1">
      <c r="A302" s="353">
        <v>11454</v>
      </c>
      <c r="B302" s="194" t="s">
        <v>986</v>
      </c>
      <c r="C302" s="339">
        <f t="shared" si="8"/>
        <v>50000</v>
      </c>
      <c r="D302" s="196" t="s">
        <v>837</v>
      </c>
      <c r="E302" s="197" t="s">
        <v>1739</v>
      </c>
      <c r="F302" s="507">
        <f>SUMIFS(Controle!$R:$R,Controle!$H:$H,produtos_escape2!$A302,Controle!$Z:$Z,"1")</f>
        <v>0</v>
      </c>
      <c r="G302" s="507">
        <f>SUMIFS(Controle!$R:$R,Controle!$H:$H,produtos_escape2!$A302,Controle!$Z:$Z,"2")</f>
        <v>0</v>
      </c>
      <c r="H302" s="507">
        <f>SUMIFS(Controle!$R:$R,Controle!$H:$H,produtos_escape2!$A302,Controle!$Z:$Z,"3")</f>
        <v>0</v>
      </c>
      <c r="I302" s="507">
        <f>SUMIFS(Controle!$R:$R,Controle!$H:$H,produtos_escape2!$A302,Controle!$Z:$Z,"4")</f>
        <v>0</v>
      </c>
      <c r="J302" s="507">
        <f>SUMIFS(Controle!$R:$R,Controle!$H:$H,produtos_escape2!$A302,Controle!$Z:$Z,"5")</f>
        <v>0</v>
      </c>
      <c r="K302" s="507">
        <f>SUMIFS(Controle!$R:$R,Controle!$H:$H,produtos_escape2!$A302,Controle!$Z:$Z,"6")</f>
        <v>0</v>
      </c>
      <c r="L302" s="507">
        <f t="shared" si="9"/>
        <v>0</v>
      </c>
      <c r="M302" s="381" t="s">
        <v>4689</v>
      </c>
      <c r="AF302" s="84"/>
    </row>
    <row r="303" spans="1:32" s="185" customFormat="1" ht="14.25" customHeight="1" thickBot="1">
      <c r="A303" s="353">
        <v>11532</v>
      </c>
      <c r="B303" s="194" t="s">
        <v>272</v>
      </c>
      <c r="C303" s="339">
        <f t="shared" si="8"/>
        <v>50000</v>
      </c>
      <c r="D303" s="196" t="s">
        <v>624</v>
      </c>
      <c r="E303" s="197" t="s">
        <v>1739</v>
      </c>
      <c r="F303" s="507">
        <f>SUMIFS(Controle!$R:$R,Controle!$H:$H,produtos_escape2!$A303,Controle!$Z:$Z,"1")</f>
        <v>0</v>
      </c>
      <c r="G303" s="507">
        <f>SUMIFS(Controle!$R:$R,Controle!$H:$H,produtos_escape2!$A303,Controle!$Z:$Z,"2")</f>
        <v>0</v>
      </c>
      <c r="H303" s="507">
        <f>SUMIFS(Controle!$R:$R,Controle!$H:$H,produtos_escape2!$A303,Controle!$Z:$Z,"3")</f>
        <v>0</v>
      </c>
      <c r="I303" s="507">
        <f>SUMIFS(Controle!$R:$R,Controle!$H:$H,produtos_escape2!$A303,Controle!$Z:$Z,"4")</f>
        <v>0</v>
      </c>
      <c r="J303" s="507">
        <f>SUMIFS(Controle!$R:$R,Controle!$H:$H,produtos_escape2!$A303,Controle!$Z:$Z,"5")</f>
        <v>0</v>
      </c>
      <c r="K303" s="507">
        <f>SUMIFS(Controle!$R:$R,Controle!$H:$H,produtos_escape2!$A303,Controle!$Z:$Z,"6")</f>
        <v>0</v>
      </c>
      <c r="L303" s="507">
        <f t="shared" si="9"/>
        <v>0</v>
      </c>
      <c r="M303" s="381" t="s">
        <v>4690</v>
      </c>
      <c r="AF303" s="84"/>
    </row>
    <row r="304" spans="1:32" s="185" customFormat="1" ht="14.25" customHeight="1" thickBot="1">
      <c r="A304" s="353">
        <v>11558</v>
      </c>
      <c r="B304" s="194" t="s">
        <v>11533</v>
      </c>
      <c r="C304" s="339">
        <f t="shared" si="8"/>
        <v>50000</v>
      </c>
      <c r="D304" s="196"/>
      <c r="E304" s="197"/>
      <c r="F304" s="507">
        <f>SUMIFS(Controle!$R:$R,Controle!$H:$H,produtos_escape2!$A304,Controle!$Z:$Z,"1")</f>
        <v>0</v>
      </c>
      <c r="G304" s="507">
        <f>SUMIFS(Controle!$R:$R,Controle!$H:$H,produtos_escape2!$A304,Controle!$Z:$Z,"2")</f>
        <v>0</v>
      </c>
      <c r="H304" s="507">
        <f>SUMIFS(Controle!$R:$R,Controle!$H:$H,produtos_escape2!$A304,Controle!$Z:$Z,"3")</f>
        <v>0</v>
      </c>
      <c r="I304" s="507">
        <f>SUMIFS(Controle!$R:$R,Controle!$H:$H,produtos_escape2!$A304,Controle!$Z:$Z,"4")</f>
        <v>0</v>
      </c>
      <c r="J304" s="507">
        <f>SUMIFS(Controle!$R:$R,Controle!$H:$H,produtos_escape2!$A304,Controle!$Z:$Z,"5")</f>
        <v>0</v>
      </c>
      <c r="K304" s="507">
        <f>SUMIFS(Controle!$R:$R,Controle!$H:$H,produtos_escape2!$A304,Controle!$Z:$Z,"6")</f>
        <v>0</v>
      </c>
      <c r="L304" s="507">
        <f t="shared" si="9"/>
        <v>0</v>
      </c>
      <c r="M304" s="381" t="s">
        <v>4691</v>
      </c>
      <c r="AF304" s="84"/>
    </row>
    <row r="305" spans="1:32" s="185" customFormat="1" ht="14.25" customHeight="1" thickBot="1">
      <c r="A305" s="353">
        <v>11563</v>
      </c>
      <c r="B305" s="194" t="s">
        <v>169</v>
      </c>
      <c r="C305" s="339">
        <f t="shared" si="8"/>
        <v>50000</v>
      </c>
      <c r="D305" s="196"/>
      <c r="E305" s="197"/>
      <c r="F305" s="507">
        <f>SUMIFS(Controle!$R:$R,Controle!$H:$H,produtos_escape2!$A305,Controle!$Z:$Z,"1")</f>
        <v>0</v>
      </c>
      <c r="G305" s="507">
        <f>SUMIFS(Controle!$R:$R,Controle!$H:$H,produtos_escape2!$A305,Controle!$Z:$Z,"2")</f>
        <v>0</v>
      </c>
      <c r="H305" s="507">
        <f>SUMIFS(Controle!$R:$R,Controle!$H:$H,produtos_escape2!$A305,Controle!$Z:$Z,"3")</f>
        <v>0</v>
      </c>
      <c r="I305" s="507">
        <f>SUMIFS(Controle!$R:$R,Controle!$H:$H,produtos_escape2!$A305,Controle!$Z:$Z,"4")</f>
        <v>0</v>
      </c>
      <c r="J305" s="507">
        <f>SUMIFS(Controle!$R:$R,Controle!$H:$H,produtos_escape2!$A305,Controle!$Z:$Z,"5")</f>
        <v>0</v>
      </c>
      <c r="K305" s="507">
        <f>SUMIFS(Controle!$R:$R,Controle!$H:$H,produtos_escape2!$A305,Controle!$Z:$Z,"6")</f>
        <v>0</v>
      </c>
      <c r="L305" s="507">
        <f t="shared" si="9"/>
        <v>0</v>
      </c>
      <c r="M305" s="381" t="s">
        <v>4692</v>
      </c>
      <c r="AF305" s="84"/>
    </row>
    <row r="306" spans="1:32" s="185" customFormat="1" ht="14.25" customHeight="1" thickBot="1">
      <c r="A306" s="353">
        <v>11616</v>
      </c>
      <c r="B306" s="194" t="s">
        <v>9245</v>
      </c>
      <c r="C306" s="339">
        <f t="shared" si="8"/>
        <v>50000</v>
      </c>
      <c r="D306" s="196" t="s">
        <v>624</v>
      </c>
      <c r="E306" s="197" t="s">
        <v>7207</v>
      </c>
      <c r="F306" s="507">
        <f>SUMIFS(Controle!$R:$R,Controle!$H:$H,produtos_escape2!$A306,Controle!$Z:$Z,"1")</f>
        <v>0</v>
      </c>
      <c r="G306" s="507">
        <f>SUMIFS(Controle!$R:$R,Controle!$H:$H,produtos_escape2!$A306,Controle!$Z:$Z,"2")</f>
        <v>0</v>
      </c>
      <c r="H306" s="507">
        <f>SUMIFS(Controle!$R:$R,Controle!$H:$H,produtos_escape2!$A306,Controle!$Z:$Z,"3")</f>
        <v>0</v>
      </c>
      <c r="I306" s="507">
        <f>SUMIFS(Controle!$R:$R,Controle!$H:$H,produtos_escape2!$A306,Controle!$Z:$Z,"4")</f>
        <v>0</v>
      </c>
      <c r="J306" s="507">
        <f>SUMIFS(Controle!$R:$R,Controle!$H:$H,produtos_escape2!$A306,Controle!$Z:$Z,"5")</f>
        <v>0</v>
      </c>
      <c r="K306" s="507">
        <f>SUMIFS(Controle!$R:$R,Controle!$H:$H,produtos_escape2!$A306,Controle!$Z:$Z,"6")</f>
        <v>0</v>
      </c>
      <c r="L306" s="507">
        <f t="shared" si="9"/>
        <v>0</v>
      </c>
      <c r="M306" s="84"/>
      <c r="AF306" s="84"/>
    </row>
    <row r="307" spans="1:32" s="185" customFormat="1" ht="14.25" customHeight="1" thickBot="1">
      <c r="A307" s="353">
        <v>11618</v>
      </c>
      <c r="B307" s="194" t="s">
        <v>9080</v>
      </c>
      <c r="C307" s="339">
        <f t="shared" si="8"/>
        <v>50000</v>
      </c>
      <c r="D307" s="196" t="s">
        <v>624</v>
      </c>
      <c r="E307" s="197" t="s">
        <v>7207</v>
      </c>
      <c r="F307" s="507">
        <f>SUMIFS(Controle!$R:$R,Controle!$H:$H,produtos_escape2!$A307,Controle!$Z:$Z,"1")</f>
        <v>0</v>
      </c>
      <c r="G307" s="507">
        <f>SUMIFS(Controle!$R:$R,Controle!$H:$H,produtos_escape2!$A307,Controle!$Z:$Z,"2")</f>
        <v>0</v>
      </c>
      <c r="H307" s="507">
        <f>SUMIFS(Controle!$R:$R,Controle!$H:$H,produtos_escape2!$A307,Controle!$Z:$Z,"3")</f>
        <v>0</v>
      </c>
      <c r="I307" s="507">
        <f>SUMIFS(Controle!$R:$R,Controle!$H:$H,produtos_escape2!$A307,Controle!$Z:$Z,"4")</f>
        <v>0</v>
      </c>
      <c r="J307" s="507">
        <f>SUMIFS(Controle!$R:$R,Controle!$H:$H,produtos_escape2!$A307,Controle!$Z:$Z,"5")</f>
        <v>0</v>
      </c>
      <c r="K307" s="507">
        <f>SUMIFS(Controle!$R:$R,Controle!$H:$H,produtos_escape2!$A307,Controle!$Z:$Z,"6")</f>
        <v>0</v>
      </c>
      <c r="L307" s="507">
        <f t="shared" si="9"/>
        <v>0</v>
      </c>
      <c r="M307" s="381" t="s">
        <v>9079</v>
      </c>
      <c r="AF307" s="84"/>
    </row>
    <row r="308" spans="1:32" s="185" customFormat="1" ht="14.25" customHeight="1" thickBot="1">
      <c r="A308" s="353">
        <v>11624</v>
      </c>
      <c r="B308" s="194" t="s">
        <v>1352</v>
      </c>
      <c r="C308" s="339">
        <f t="shared" si="8"/>
        <v>50000</v>
      </c>
      <c r="D308" s="196" t="s">
        <v>624</v>
      </c>
      <c r="E308" s="197" t="s">
        <v>7207</v>
      </c>
      <c r="F308" s="507">
        <f>SUMIFS(Controle!$R:$R,Controle!$H:$H,produtos_escape2!$A308,Controle!$Z:$Z,"1")</f>
        <v>0</v>
      </c>
      <c r="G308" s="507">
        <f>SUMIFS(Controle!$R:$R,Controle!$H:$H,produtos_escape2!$A308,Controle!$Z:$Z,"2")</f>
        <v>0</v>
      </c>
      <c r="H308" s="507">
        <f>SUMIFS(Controle!$R:$R,Controle!$H:$H,produtos_escape2!$A308,Controle!$Z:$Z,"3")</f>
        <v>0</v>
      </c>
      <c r="I308" s="507">
        <f>SUMIFS(Controle!$R:$R,Controle!$H:$H,produtos_escape2!$A308,Controle!$Z:$Z,"4")</f>
        <v>0</v>
      </c>
      <c r="J308" s="507">
        <f>SUMIFS(Controle!$R:$R,Controle!$H:$H,produtos_escape2!$A308,Controle!$Z:$Z,"5")</f>
        <v>0</v>
      </c>
      <c r="K308" s="507">
        <f>SUMIFS(Controle!$R:$R,Controle!$H:$H,produtos_escape2!$A308,Controle!$Z:$Z,"6")</f>
        <v>0</v>
      </c>
      <c r="L308" s="507">
        <f t="shared" si="9"/>
        <v>0</v>
      </c>
      <c r="M308" s="381" t="s">
        <v>1352</v>
      </c>
      <c r="AF308" s="84"/>
    </row>
    <row r="309" spans="1:32" s="185" customFormat="1" ht="14.25" customHeight="1" thickBot="1">
      <c r="A309" s="353">
        <v>11635</v>
      </c>
      <c r="B309" s="194" t="s">
        <v>7032</v>
      </c>
      <c r="C309" s="339">
        <f t="shared" si="8"/>
        <v>50000</v>
      </c>
      <c r="D309" s="196" t="s">
        <v>624</v>
      </c>
      <c r="E309" s="197" t="s">
        <v>7207</v>
      </c>
      <c r="F309" s="507">
        <f>SUMIFS(Controle!$R:$R,Controle!$H:$H,produtos_escape2!$A309,Controle!$Z:$Z,"1")</f>
        <v>0</v>
      </c>
      <c r="G309" s="507">
        <f>SUMIFS(Controle!$R:$R,Controle!$H:$H,produtos_escape2!$A309,Controle!$Z:$Z,"2")</f>
        <v>0</v>
      </c>
      <c r="H309" s="507">
        <f>SUMIFS(Controle!$R:$R,Controle!$H:$H,produtos_escape2!$A309,Controle!$Z:$Z,"3")</f>
        <v>0</v>
      </c>
      <c r="I309" s="507">
        <f>SUMIFS(Controle!$R:$R,Controle!$H:$H,produtos_escape2!$A309,Controle!$Z:$Z,"4")</f>
        <v>0</v>
      </c>
      <c r="J309" s="507">
        <f>SUMIFS(Controle!$R:$R,Controle!$H:$H,produtos_escape2!$A309,Controle!$Z:$Z,"5")</f>
        <v>0</v>
      </c>
      <c r="K309" s="507">
        <f>SUMIFS(Controle!$R:$R,Controle!$H:$H,produtos_escape2!$A309,Controle!$Z:$Z,"6")</f>
        <v>0</v>
      </c>
      <c r="L309" s="507">
        <f t="shared" si="9"/>
        <v>0</v>
      </c>
      <c r="M309" s="381" t="s">
        <v>7033</v>
      </c>
      <c r="AF309" s="84"/>
    </row>
    <row r="310" spans="1:32" s="185" customFormat="1" ht="14.25" customHeight="1" thickBot="1">
      <c r="A310" s="353">
        <v>11674</v>
      </c>
      <c r="B310" s="194" t="s">
        <v>271</v>
      </c>
      <c r="C310" s="339">
        <f t="shared" si="8"/>
        <v>50000</v>
      </c>
      <c r="D310" s="196" t="s">
        <v>624</v>
      </c>
      <c r="E310" s="197" t="s">
        <v>1739</v>
      </c>
      <c r="F310" s="507">
        <f>SUMIFS(Controle!$R:$R,Controle!$H:$H,produtos_escape2!$A310,Controle!$Z:$Z,"1")</f>
        <v>0</v>
      </c>
      <c r="G310" s="507">
        <f>SUMIFS(Controle!$R:$R,Controle!$H:$H,produtos_escape2!$A310,Controle!$Z:$Z,"2")</f>
        <v>0</v>
      </c>
      <c r="H310" s="507">
        <f>SUMIFS(Controle!$R:$R,Controle!$H:$H,produtos_escape2!$A310,Controle!$Z:$Z,"3")</f>
        <v>0</v>
      </c>
      <c r="I310" s="507">
        <f>SUMIFS(Controle!$R:$R,Controle!$H:$H,produtos_escape2!$A310,Controle!$Z:$Z,"4")</f>
        <v>0</v>
      </c>
      <c r="J310" s="507">
        <f>SUMIFS(Controle!$R:$R,Controle!$H:$H,produtos_escape2!$A310,Controle!$Z:$Z,"5")</f>
        <v>0</v>
      </c>
      <c r="K310" s="507">
        <f>SUMIFS(Controle!$R:$R,Controle!$H:$H,produtos_escape2!$A310,Controle!$Z:$Z,"6")</f>
        <v>0</v>
      </c>
      <c r="L310" s="507">
        <f t="shared" si="9"/>
        <v>0</v>
      </c>
      <c r="M310" s="381" t="s">
        <v>4693</v>
      </c>
      <c r="AF310" s="84"/>
    </row>
    <row r="311" spans="1:32" s="185" customFormat="1" ht="14.25" customHeight="1" thickBot="1">
      <c r="A311" s="333">
        <v>11679</v>
      </c>
      <c r="B311" s="338" t="s">
        <v>135</v>
      </c>
      <c r="C311" s="339">
        <f t="shared" si="8"/>
        <v>50000</v>
      </c>
      <c r="D311" s="196"/>
      <c r="E311" s="197" t="s">
        <v>1739</v>
      </c>
      <c r="F311" s="507">
        <f>SUMIFS(Controle!$R:$R,Controle!$H:$H,produtos_escape2!$A311,Controle!$Z:$Z,"1")</f>
        <v>0</v>
      </c>
      <c r="G311" s="507">
        <f>SUMIFS(Controle!$R:$R,Controle!$H:$H,produtos_escape2!$A311,Controle!$Z:$Z,"2")</f>
        <v>0</v>
      </c>
      <c r="H311" s="507">
        <f>SUMIFS(Controle!$R:$R,Controle!$H:$H,produtos_escape2!$A311,Controle!$Z:$Z,"3")</f>
        <v>0</v>
      </c>
      <c r="I311" s="507">
        <f>SUMIFS(Controle!$R:$R,Controle!$H:$H,produtos_escape2!$A311,Controle!$Z:$Z,"4")</f>
        <v>0</v>
      </c>
      <c r="J311" s="507">
        <f>SUMIFS(Controle!$R:$R,Controle!$H:$H,produtos_escape2!$A311,Controle!$Z:$Z,"5")</f>
        <v>0</v>
      </c>
      <c r="K311" s="507">
        <f>SUMIFS(Controle!$R:$R,Controle!$H:$H,produtos_escape2!$A311,Controle!$Z:$Z,"6")</f>
        <v>0</v>
      </c>
      <c r="L311" s="507">
        <f t="shared" si="9"/>
        <v>0</v>
      </c>
      <c r="M311" s="381" t="s">
        <v>4694</v>
      </c>
      <c r="AF311" s="84"/>
    </row>
    <row r="312" spans="1:32" s="185" customFormat="1" ht="14.25" customHeight="1" thickBot="1">
      <c r="A312" s="353">
        <v>11690</v>
      </c>
      <c r="B312" s="194" t="s">
        <v>5815</v>
      </c>
      <c r="C312" s="339">
        <f t="shared" si="8"/>
        <v>49888.2</v>
      </c>
      <c r="D312" s="196" t="s">
        <v>624</v>
      </c>
      <c r="E312" s="197" t="s">
        <v>7207</v>
      </c>
      <c r="F312" s="507">
        <f>SUMIFS(Controle!$R:$R,Controle!$H:$H,produtos_escape2!$A312,Controle!$Z:$Z,"1")</f>
        <v>0</v>
      </c>
      <c r="G312" s="507">
        <f>SUMIFS(Controle!$R:$R,Controle!$H:$H,produtos_escape2!$A312,Controle!$Z:$Z,"2")</f>
        <v>0</v>
      </c>
      <c r="H312" s="507">
        <f>SUMIFS(Controle!$R:$R,Controle!$H:$H,produtos_escape2!$A312,Controle!$Z:$Z,"3")</f>
        <v>0</v>
      </c>
      <c r="I312" s="507">
        <f>SUMIFS(Controle!$R:$R,Controle!$H:$H,produtos_escape2!$A312,Controle!$Z:$Z,"4")</f>
        <v>0</v>
      </c>
      <c r="J312" s="507">
        <f>SUMIFS(Controle!$R:$R,Controle!$H:$H,produtos_escape2!$A312,Controle!$Z:$Z,"5")</f>
        <v>0</v>
      </c>
      <c r="K312" s="507">
        <f>SUMIFS(Controle!$R:$R,Controle!$H:$H,produtos_escape2!$A312,Controle!$Z:$Z,"6")</f>
        <v>111.8</v>
      </c>
      <c r="L312" s="507">
        <f t="shared" si="9"/>
        <v>111.8</v>
      </c>
      <c r="M312" s="381" t="s">
        <v>5814</v>
      </c>
      <c r="AF312" s="84"/>
    </row>
    <row r="313" spans="1:32" s="185" customFormat="1" ht="14.25" customHeight="1" thickBot="1">
      <c r="A313" s="353">
        <v>11692</v>
      </c>
      <c r="B313" s="194" t="s">
        <v>732</v>
      </c>
      <c r="C313" s="339">
        <f t="shared" si="8"/>
        <v>50000</v>
      </c>
      <c r="D313" s="196" t="s">
        <v>624</v>
      </c>
      <c r="E313" s="197" t="s">
        <v>1739</v>
      </c>
      <c r="F313" s="507">
        <f>SUMIFS(Controle!$R:$R,Controle!$H:$H,produtos_escape2!$A313,Controle!$Z:$Z,"1")</f>
        <v>0</v>
      </c>
      <c r="G313" s="507">
        <f>SUMIFS(Controle!$R:$R,Controle!$H:$H,produtos_escape2!$A313,Controle!$Z:$Z,"2")</f>
        <v>0</v>
      </c>
      <c r="H313" s="507">
        <f>SUMIFS(Controle!$R:$R,Controle!$H:$H,produtos_escape2!$A313,Controle!$Z:$Z,"3")</f>
        <v>0</v>
      </c>
      <c r="I313" s="507">
        <f>SUMIFS(Controle!$R:$R,Controle!$H:$H,produtos_escape2!$A313,Controle!$Z:$Z,"4")</f>
        <v>0</v>
      </c>
      <c r="J313" s="507">
        <f>SUMIFS(Controle!$R:$R,Controle!$H:$H,produtos_escape2!$A313,Controle!$Z:$Z,"5")</f>
        <v>0</v>
      </c>
      <c r="K313" s="507">
        <f>SUMIFS(Controle!$R:$R,Controle!$H:$H,produtos_escape2!$A313,Controle!$Z:$Z,"6")</f>
        <v>0</v>
      </c>
      <c r="L313" s="507">
        <f t="shared" si="9"/>
        <v>0</v>
      </c>
      <c r="M313" s="381" t="s">
        <v>4694</v>
      </c>
      <c r="AF313" s="84"/>
    </row>
    <row r="314" spans="1:32" s="185" customFormat="1" ht="14.25" customHeight="1" thickBot="1">
      <c r="A314" s="353">
        <v>11693</v>
      </c>
      <c r="B314" s="194" t="s">
        <v>620</v>
      </c>
      <c r="C314" s="339">
        <f t="shared" si="8"/>
        <v>50000</v>
      </c>
      <c r="D314" s="196" t="s">
        <v>624</v>
      </c>
      <c r="E314" s="197" t="s">
        <v>1739</v>
      </c>
      <c r="F314" s="507">
        <f>SUMIFS(Controle!$R:$R,Controle!$H:$H,produtos_escape2!$A314,Controle!$Z:$Z,"1")</f>
        <v>0</v>
      </c>
      <c r="G314" s="507">
        <f>SUMIFS(Controle!$R:$R,Controle!$H:$H,produtos_escape2!$A314,Controle!$Z:$Z,"2")</f>
        <v>0</v>
      </c>
      <c r="H314" s="507">
        <f>SUMIFS(Controle!$R:$R,Controle!$H:$H,produtos_escape2!$A314,Controle!$Z:$Z,"3")</f>
        <v>0</v>
      </c>
      <c r="I314" s="507">
        <f>SUMIFS(Controle!$R:$R,Controle!$H:$H,produtos_escape2!$A314,Controle!$Z:$Z,"4")</f>
        <v>0</v>
      </c>
      <c r="J314" s="507">
        <f>SUMIFS(Controle!$R:$R,Controle!$H:$H,produtos_escape2!$A314,Controle!$Z:$Z,"5")</f>
        <v>0</v>
      </c>
      <c r="K314" s="507">
        <f>SUMIFS(Controle!$R:$R,Controle!$H:$H,produtos_escape2!$A314,Controle!$Z:$Z,"6")</f>
        <v>0</v>
      </c>
      <c r="L314" s="507">
        <f t="shared" si="9"/>
        <v>0</v>
      </c>
      <c r="M314" s="381" t="s">
        <v>4695</v>
      </c>
      <c r="AF314" s="84"/>
    </row>
    <row r="315" spans="1:32" s="185" customFormat="1" ht="14.25" customHeight="1" thickBot="1">
      <c r="A315" s="353">
        <v>11714</v>
      </c>
      <c r="B315" s="194" t="s">
        <v>7189</v>
      </c>
      <c r="C315" s="339">
        <f t="shared" si="8"/>
        <v>50000</v>
      </c>
      <c r="D315" s="196" t="s">
        <v>624</v>
      </c>
      <c r="E315" s="197" t="s">
        <v>7207</v>
      </c>
      <c r="F315" s="507">
        <f>SUMIFS(Controle!$R:$R,Controle!$H:$H,produtos_escape2!$A315,Controle!$Z:$Z,"1")</f>
        <v>0</v>
      </c>
      <c r="G315" s="507">
        <f>SUMIFS(Controle!$R:$R,Controle!$H:$H,produtos_escape2!$A315,Controle!$Z:$Z,"2")</f>
        <v>0</v>
      </c>
      <c r="H315" s="507">
        <f>SUMIFS(Controle!$R:$R,Controle!$H:$H,produtos_escape2!$A315,Controle!$Z:$Z,"3")</f>
        <v>0</v>
      </c>
      <c r="I315" s="507">
        <f>SUMIFS(Controle!$R:$R,Controle!$H:$H,produtos_escape2!$A315,Controle!$Z:$Z,"4")</f>
        <v>0</v>
      </c>
      <c r="J315" s="507">
        <f>SUMIFS(Controle!$R:$R,Controle!$H:$H,produtos_escape2!$A315,Controle!$Z:$Z,"5")</f>
        <v>0</v>
      </c>
      <c r="K315" s="507">
        <f>SUMIFS(Controle!$R:$R,Controle!$H:$H,produtos_escape2!$A315,Controle!$Z:$Z,"6")</f>
        <v>0</v>
      </c>
      <c r="L315" s="507">
        <f t="shared" si="9"/>
        <v>0</v>
      </c>
      <c r="M315" s="381" t="s">
        <v>7118</v>
      </c>
      <c r="AF315" s="84"/>
    </row>
    <row r="316" spans="1:32" s="185" customFormat="1" ht="14.25" customHeight="1" thickBot="1">
      <c r="A316" s="353">
        <v>11728</v>
      </c>
      <c r="B316" s="194" t="s">
        <v>5796</v>
      </c>
      <c r="C316" s="339">
        <f t="shared" si="8"/>
        <v>49361.599999999999</v>
      </c>
      <c r="D316" s="196" t="s">
        <v>624</v>
      </c>
      <c r="E316" s="197" t="s">
        <v>7207</v>
      </c>
      <c r="F316" s="507">
        <f>SUMIFS(Controle!$R:$R,Controle!$H:$H,produtos_escape2!$A316,Controle!$Z:$Z,"1")</f>
        <v>0</v>
      </c>
      <c r="G316" s="507">
        <f>SUMIFS(Controle!$R:$R,Controle!$H:$H,produtos_escape2!$A316,Controle!$Z:$Z,"2")</f>
        <v>0</v>
      </c>
      <c r="H316" s="507">
        <f>SUMIFS(Controle!$R:$R,Controle!$H:$H,produtos_escape2!$A316,Controle!$Z:$Z,"3")</f>
        <v>638.4</v>
      </c>
      <c r="I316" s="507">
        <f>SUMIFS(Controle!$R:$R,Controle!$H:$H,produtos_escape2!$A316,Controle!$Z:$Z,"4")</f>
        <v>0</v>
      </c>
      <c r="J316" s="507">
        <f>SUMIFS(Controle!$R:$R,Controle!$H:$H,produtos_escape2!$A316,Controle!$Z:$Z,"5")</f>
        <v>0</v>
      </c>
      <c r="K316" s="507">
        <f>SUMIFS(Controle!$R:$R,Controle!$H:$H,produtos_escape2!$A316,Controle!$Z:$Z,"6")</f>
        <v>0</v>
      </c>
      <c r="L316" s="507">
        <f t="shared" si="9"/>
        <v>638.4</v>
      </c>
      <c r="M316" s="381" t="s">
        <v>5797</v>
      </c>
      <c r="AF316" s="84"/>
    </row>
    <row r="317" spans="1:32" s="185" customFormat="1" ht="14.25" customHeight="1" thickBot="1">
      <c r="A317" s="353">
        <v>11743</v>
      </c>
      <c r="B317" s="194" t="s">
        <v>189</v>
      </c>
      <c r="C317" s="339">
        <f t="shared" si="8"/>
        <v>50000</v>
      </c>
      <c r="D317" s="196"/>
      <c r="E317" s="197"/>
      <c r="F317" s="507">
        <f>SUMIFS(Controle!$R:$R,Controle!$H:$H,produtos_escape2!$A317,Controle!$Z:$Z,"1")</f>
        <v>0</v>
      </c>
      <c r="G317" s="507">
        <f>SUMIFS(Controle!$R:$R,Controle!$H:$H,produtos_escape2!$A317,Controle!$Z:$Z,"2")</f>
        <v>0</v>
      </c>
      <c r="H317" s="507">
        <f>SUMIFS(Controle!$R:$R,Controle!$H:$H,produtos_escape2!$A317,Controle!$Z:$Z,"3")</f>
        <v>0</v>
      </c>
      <c r="I317" s="507">
        <f>SUMIFS(Controle!$R:$R,Controle!$H:$H,produtos_escape2!$A317,Controle!$Z:$Z,"4")</f>
        <v>0</v>
      </c>
      <c r="J317" s="507">
        <f>SUMIFS(Controle!$R:$R,Controle!$H:$H,produtos_escape2!$A317,Controle!$Z:$Z,"5")</f>
        <v>0</v>
      </c>
      <c r="K317" s="507">
        <f>SUMIFS(Controle!$R:$R,Controle!$H:$H,produtos_escape2!$A317,Controle!$Z:$Z,"6")</f>
        <v>0</v>
      </c>
      <c r="L317" s="507">
        <f t="shared" si="9"/>
        <v>0</v>
      </c>
      <c r="M317" s="381" t="s">
        <v>4696</v>
      </c>
      <c r="AF317" s="84"/>
    </row>
    <row r="318" spans="1:32" s="185" customFormat="1" ht="14.25" customHeight="1" thickBot="1">
      <c r="A318" s="353">
        <v>11795</v>
      </c>
      <c r="B318" s="194" t="s">
        <v>323</v>
      </c>
      <c r="C318" s="339">
        <f t="shared" si="8"/>
        <v>50000</v>
      </c>
      <c r="D318" s="196"/>
      <c r="E318" s="197"/>
      <c r="F318" s="507">
        <f>SUMIFS(Controle!$R:$R,Controle!$H:$H,produtos_escape2!$A318,Controle!$Z:$Z,"1")</f>
        <v>0</v>
      </c>
      <c r="G318" s="507">
        <f>SUMIFS(Controle!$R:$R,Controle!$H:$H,produtos_escape2!$A318,Controle!$Z:$Z,"2")</f>
        <v>0</v>
      </c>
      <c r="H318" s="507">
        <f>SUMIFS(Controle!$R:$R,Controle!$H:$H,produtos_escape2!$A318,Controle!$Z:$Z,"3")</f>
        <v>0</v>
      </c>
      <c r="I318" s="507">
        <f>SUMIFS(Controle!$R:$R,Controle!$H:$H,produtos_escape2!$A318,Controle!$Z:$Z,"4")</f>
        <v>0</v>
      </c>
      <c r="J318" s="507">
        <f>SUMIFS(Controle!$R:$R,Controle!$H:$H,produtos_escape2!$A318,Controle!$Z:$Z,"5")</f>
        <v>0</v>
      </c>
      <c r="K318" s="507">
        <f>SUMIFS(Controle!$R:$R,Controle!$H:$H,produtos_escape2!$A318,Controle!$Z:$Z,"6")</f>
        <v>0</v>
      </c>
      <c r="L318" s="507">
        <f t="shared" si="9"/>
        <v>0</v>
      </c>
      <c r="M318" s="381" t="s">
        <v>4697</v>
      </c>
      <c r="AF318" s="84"/>
    </row>
    <row r="319" spans="1:32" s="185" customFormat="1" ht="14.25" customHeight="1" thickBot="1">
      <c r="A319" s="353">
        <v>11825</v>
      </c>
      <c r="B319" s="194" t="s">
        <v>472</v>
      </c>
      <c r="C319" s="339">
        <f t="shared" si="8"/>
        <v>50000</v>
      </c>
      <c r="D319" s="196"/>
      <c r="E319" s="197"/>
      <c r="F319" s="507">
        <f>SUMIFS(Controle!$R:$R,Controle!$H:$H,produtos_escape2!$A319,Controle!$Z:$Z,"1")</f>
        <v>0</v>
      </c>
      <c r="G319" s="507">
        <f>SUMIFS(Controle!$R:$R,Controle!$H:$H,produtos_escape2!$A319,Controle!$Z:$Z,"2")</f>
        <v>0</v>
      </c>
      <c r="H319" s="507">
        <f>SUMIFS(Controle!$R:$R,Controle!$H:$H,produtos_escape2!$A319,Controle!$Z:$Z,"3")</f>
        <v>0</v>
      </c>
      <c r="I319" s="507">
        <f>SUMIFS(Controle!$R:$R,Controle!$H:$H,produtos_escape2!$A319,Controle!$Z:$Z,"4")</f>
        <v>0</v>
      </c>
      <c r="J319" s="507">
        <f>SUMIFS(Controle!$R:$R,Controle!$H:$H,produtos_escape2!$A319,Controle!$Z:$Z,"5")</f>
        <v>0</v>
      </c>
      <c r="K319" s="507">
        <f>SUMIFS(Controle!$R:$R,Controle!$H:$H,produtos_escape2!$A319,Controle!$Z:$Z,"6")</f>
        <v>0</v>
      </c>
      <c r="L319" s="507">
        <f t="shared" ref="L319:L382" si="10">SUM(F319:K319)</f>
        <v>0</v>
      </c>
      <c r="M319" s="381" t="s">
        <v>4698</v>
      </c>
      <c r="AF319" s="84"/>
    </row>
    <row r="320" spans="1:32" s="185" customFormat="1" ht="14.25" customHeight="1" thickBot="1">
      <c r="A320" s="333">
        <v>11866</v>
      </c>
      <c r="B320" s="194" t="s">
        <v>862</v>
      </c>
      <c r="C320" s="339">
        <f t="shared" si="8"/>
        <v>50000</v>
      </c>
      <c r="D320" s="196" t="s">
        <v>624</v>
      </c>
      <c r="E320" s="197" t="s">
        <v>1739</v>
      </c>
      <c r="F320" s="507">
        <f>SUMIFS(Controle!$R:$R,Controle!$H:$H,produtos_escape2!$A320,Controle!$Z:$Z,"1")</f>
        <v>0</v>
      </c>
      <c r="G320" s="507">
        <f>SUMIFS(Controle!$R:$R,Controle!$H:$H,produtos_escape2!$A320,Controle!$Z:$Z,"2")</f>
        <v>0</v>
      </c>
      <c r="H320" s="507">
        <f>SUMIFS(Controle!$R:$R,Controle!$H:$H,produtos_escape2!$A320,Controle!$Z:$Z,"3")</f>
        <v>0</v>
      </c>
      <c r="I320" s="507">
        <f>SUMIFS(Controle!$R:$R,Controle!$H:$H,produtos_escape2!$A320,Controle!$Z:$Z,"4")</f>
        <v>0</v>
      </c>
      <c r="J320" s="507">
        <f>SUMIFS(Controle!$R:$R,Controle!$H:$H,produtos_escape2!$A320,Controle!$Z:$Z,"5")</f>
        <v>0</v>
      </c>
      <c r="K320" s="507">
        <f>SUMIFS(Controle!$R:$R,Controle!$H:$H,produtos_escape2!$A320,Controle!$Z:$Z,"6")</f>
        <v>0</v>
      </c>
      <c r="L320" s="507">
        <f t="shared" si="10"/>
        <v>0</v>
      </c>
      <c r="M320" s="381" t="s">
        <v>4699</v>
      </c>
      <c r="AF320" s="84"/>
    </row>
    <row r="321" spans="1:32" s="185" customFormat="1" ht="14.25" customHeight="1" thickBot="1">
      <c r="A321" s="353">
        <v>11882</v>
      </c>
      <c r="B321" s="338" t="s">
        <v>10650</v>
      </c>
      <c r="C321" s="339">
        <f t="shared" ref="C321" si="11">50000-SUM(F321:K321)</f>
        <v>48128</v>
      </c>
      <c r="D321" s="196" t="s">
        <v>624</v>
      </c>
      <c r="E321" s="197" t="s">
        <v>7207</v>
      </c>
      <c r="F321" s="507">
        <f>SUMIFS(Controle!$R:$R,Controle!$H:$H,produtos_escape2!$A321,Controle!$Z:$Z,"1")</f>
        <v>0</v>
      </c>
      <c r="G321" s="507">
        <f>SUMIFS(Controle!$R:$R,Controle!$H:$H,produtos_escape2!$A321,Controle!$Z:$Z,"2")</f>
        <v>0</v>
      </c>
      <c r="H321" s="507">
        <f>SUMIFS(Controle!$R:$R,Controle!$H:$H,produtos_escape2!$A321,Controle!$Z:$Z,"3")</f>
        <v>0</v>
      </c>
      <c r="I321" s="507">
        <f>SUMIFS(Controle!$R:$R,Controle!$H:$H,produtos_escape2!$A321,Controle!$Z:$Z,"4")</f>
        <v>0</v>
      </c>
      <c r="J321" s="507">
        <f>SUMIFS(Controle!$R:$R,Controle!$H:$H,produtos_escape2!$A321,Controle!$Z:$Z,"5")</f>
        <v>0</v>
      </c>
      <c r="K321" s="507">
        <f>SUMIFS(Controle!$R:$R,Controle!$H:$H,produtos_escape2!$A321,Controle!$Z:$Z,"6")</f>
        <v>1872</v>
      </c>
      <c r="L321" s="507">
        <f t="shared" si="10"/>
        <v>1872</v>
      </c>
      <c r="M321" t="s">
        <v>10651</v>
      </c>
      <c r="AF321" s="84"/>
    </row>
    <row r="322" spans="1:32" s="185" customFormat="1" ht="14.25" customHeight="1" thickBot="1">
      <c r="A322" s="353">
        <v>11888</v>
      </c>
      <c r="B322" s="338" t="s">
        <v>1333</v>
      </c>
      <c r="C322" s="339">
        <f t="shared" si="8"/>
        <v>42865</v>
      </c>
      <c r="D322" s="196" t="s">
        <v>624</v>
      </c>
      <c r="E322" s="197" t="s">
        <v>7207</v>
      </c>
      <c r="F322" s="507">
        <f>SUMIFS(Controle!$R:$R,Controle!$H:$H,produtos_escape2!$A322,Controle!$Z:$Z,"1")</f>
        <v>0</v>
      </c>
      <c r="G322" s="507">
        <f>SUMIFS(Controle!$R:$R,Controle!$H:$H,produtos_escape2!$A322,Controle!$Z:$Z,"2")</f>
        <v>4390</v>
      </c>
      <c r="H322" s="507">
        <f>SUMIFS(Controle!$R:$R,Controle!$H:$H,produtos_escape2!$A322,Controle!$Z:$Z,"3")</f>
        <v>2745</v>
      </c>
      <c r="I322" s="507">
        <f>SUMIFS(Controle!$R:$R,Controle!$H:$H,produtos_escape2!$A322,Controle!$Z:$Z,"4")</f>
        <v>0</v>
      </c>
      <c r="J322" s="507">
        <f>SUMIFS(Controle!$R:$R,Controle!$H:$H,produtos_escape2!$A322,Controle!$Z:$Z,"5")</f>
        <v>0</v>
      </c>
      <c r="K322" s="507">
        <f>SUMIFS(Controle!$R:$R,Controle!$H:$H,produtos_escape2!$A322,Controle!$Z:$Z,"6")</f>
        <v>0</v>
      </c>
      <c r="L322" s="507">
        <f t="shared" si="10"/>
        <v>7135</v>
      </c>
      <c r="M322" s="381" t="s">
        <v>4700</v>
      </c>
      <c r="AF322" s="84"/>
    </row>
    <row r="323" spans="1:32" s="185" customFormat="1" ht="14.25" customHeight="1" thickBot="1">
      <c r="A323" s="353">
        <v>11912</v>
      </c>
      <c r="B323" s="194" t="s">
        <v>991</v>
      </c>
      <c r="C323" s="339">
        <f t="shared" ref="C323:C386" si="12">50000-SUM(F323:K323)</f>
        <v>50000</v>
      </c>
      <c r="D323" s="196" t="s">
        <v>624</v>
      </c>
      <c r="E323" s="197" t="s">
        <v>1739</v>
      </c>
      <c r="F323" s="507">
        <f>SUMIFS(Controle!$R:$R,Controle!$H:$H,produtos_escape2!$A323,Controle!$Z:$Z,"1")</f>
        <v>0</v>
      </c>
      <c r="G323" s="507">
        <f>SUMIFS(Controle!$R:$R,Controle!$H:$H,produtos_escape2!$A323,Controle!$Z:$Z,"2")</f>
        <v>0</v>
      </c>
      <c r="H323" s="507">
        <f>SUMIFS(Controle!$R:$R,Controle!$H:$H,produtos_escape2!$A323,Controle!$Z:$Z,"3")</f>
        <v>0</v>
      </c>
      <c r="I323" s="507">
        <f>SUMIFS(Controle!$R:$R,Controle!$H:$H,produtos_escape2!$A323,Controle!$Z:$Z,"4")</f>
        <v>0</v>
      </c>
      <c r="J323" s="507">
        <f>SUMIFS(Controle!$R:$R,Controle!$H:$H,produtos_escape2!$A323,Controle!$Z:$Z,"5")</f>
        <v>0</v>
      </c>
      <c r="K323" s="507">
        <f>SUMIFS(Controle!$R:$R,Controle!$H:$H,produtos_escape2!$A323,Controle!$Z:$Z,"6")</f>
        <v>0</v>
      </c>
      <c r="L323" s="507">
        <f t="shared" si="10"/>
        <v>0</v>
      </c>
      <c r="M323" s="381" t="s">
        <v>4701</v>
      </c>
      <c r="AF323" s="84"/>
    </row>
    <row r="324" spans="1:32" s="185" customFormat="1" ht="14.25" customHeight="1" thickBot="1">
      <c r="A324" s="353">
        <v>11914</v>
      </c>
      <c r="B324" s="194" t="s">
        <v>992</v>
      </c>
      <c r="C324" s="339">
        <f t="shared" si="12"/>
        <v>50000</v>
      </c>
      <c r="D324" s="196" t="s">
        <v>624</v>
      </c>
      <c r="E324" s="197" t="s">
        <v>1739</v>
      </c>
      <c r="F324" s="507">
        <f>SUMIFS(Controle!$R:$R,Controle!$H:$H,produtos_escape2!$A324,Controle!$Z:$Z,"1")</f>
        <v>0</v>
      </c>
      <c r="G324" s="507">
        <f>SUMIFS(Controle!$R:$R,Controle!$H:$H,produtos_escape2!$A324,Controle!$Z:$Z,"2")</f>
        <v>0</v>
      </c>
      <c r="H324" s="507">
        <f>SUMIFS(Controle!$R:$R,Controle!$H:$H,produtos_escape2!$A324,Controle!$Z:$Z,"3")</f>
        <v>0</v>
      </c>
      <c r="I324" s="507">
        <f>SUMIFS(Controle!$R:$R,Controle!$H:$H,produtos_escape2!$A324,Controle!$Z:$Z,"4")</f>
        <v>0</v>
      </c>
      <c r="J324" s="507">
        <f>SUMIFS(Controle!$R:$R,Controle!$H:$H,produtos_escape2!$A324,Controle!$Z:$Z,"5")</f>
        <v>0</v>
      </c>
      <c r="K324" s="507">
        <f>SUMIFS(Controle!$R:$R,Controle!$H:$H,produtos_escape2!$A324,Controle!$Z:$Z,"6")</f>
        <v>0</v>
      </c>
      <c r="L324" s="507">
        <f t="shared" si="10"/>
        <v>0</v>
      </c>
      <c r="M324" s="381" t="s">
        <v>4702</v>
      </c>
      <c r="AF324" s="84"/>
    </row>
    <row r="325" spans="1:32" s="185" customFormat="1" ht="14.25" customHeight="1" thickBot="1">
      <c r="A325" s="353">
        <v>11925</v>
      </c>
      <c r="B325" s="194" t="s">
        <v>3357</v>
      </c>
      <c r="C325" s="339">
        <f t="shared" si="12"/>
        <v>50000</v>
      </c>
      <c r="D325" s="196" t="s">
        <v>1091</v>
      </c>
      <c r="E325" s="172" t="s">
        <v>7207</v>
      </c>
      <c r="F325" s="507">
        <f>SUMIFS(Controle!$R:$R,Controle!$H:$H,produtos_escape2!$A325,Controle!$Z:$Z,"1")</f>
        <v>0</v>
      </c>
      <c r="G325" s="507">
        <f>SUMIFS(Controle!$R:$R,Controle!$H:$H,produtos_escape2!$A325,Controle!$Z:$Z,"2")</f>
        <v>0</v>
      </c>
      <c r="H325" s="507">
        <f>SUMIFS(Controle!$R:$R,Controle!$H:$H,produtos_escape2!$A325,Controle!$Z:$Z,"3")</f>
        <v>0</v>
      </c>
      <c r="I325" s="507">
        <f>SUMIFS(Controle!$R:$R,Controle!$H:$H,produtos_escape2!$A325,Controle!$Z:$Z,"4")</f>
        <v>0</v>
      </c>
      <c r="J325" s="507">
        <f>SUMIFS(Controle!$R:$R,Controle!$H:$H,produtos_escape2!$A325,Controle!$Z:$Z,"5")</f>
        <v>0</v>
      </c>
      <c r="K325" s="507">
        <f>SUMIFS(Controle!$R:$R,Controle!$H:$H,produtos_escape2!$A325,Controle!$Z:$Z,"6")</f>
        <v>0</v>
      </c>
      <c r="L325" s="507">
        <f t="shared" si="10"/>
        <v>0</v>
      </c>
      <c r="M325" s="381" t="s">
        <v>4703</v>
      </c>
      <c r="AF325" s="84"/>
    </row>
    <row r="326" spans="1:32" s="185" customFormat="1" ht="14.25" customHeight="1" thickBot="1">
      <c r="A326" s="353">
        <v>11927</v>
      </c>
      <c r="B326" s="194" t="s">
        <v>2586</v>
      </c>
      <c r="C326" s="339">
        <f t="shared" si="12"/>
        <v>48086</v>
      </c>
      <c r="D326" s="196" t="s">
        <v>896</v>
      </c>
      <c r="E326" s="172" t="s">
        <v>7207</v>
      </c>
      <c r="F326" s="507">
        <f>SUMIFS(Controle!$R:$R,Controle!$H:$H,produtos_escape2!$A326,Controle!$Z:$Z,"1")</f>
        <v>0</v>
      </c>
      <c r="G326" s="507">
        <f>SUMIFS(Controle!$R:$R,Controle!$H:$H,produtos_escape2!$A326,Controle!$Z:$Z,"2")</f>
        <v>0</v>
      </c>
      <c r="H326" s="507">
        <f>SUMIFS(Controle!$R:$R,Controle!$H:$H,produtos_escape2!$A326,Controle!$Z:$Z,"3")</f>
        <v>0</v>
      </c>
      <c r="I326" s="507">
        <f>SUMIFS(Controle!$R:$R,Controle!$H:$H,produtos_escape2!$A326,Controle!$Z:$Z,"4")</f>
        <v>0</v>
      </c>
      <c r="J326" s="507">
        <f>SUMIFS(Controle!$R:$R,Controle!$H:$H,produtos_escape2!$A326,Controle!$Z:$Z,"5")</f>
        <v>0</v>
      </c>
      <c r="K326" s="507">
        <f>SUMIFS(Controle!$R:$R,Controle!$H:$H,produtos_escape2!$A326,Controle!$Z:$Z,"6")</f>
        <v>1914</v>
      </c>
      <c r="L326" s="507">
        <f t="shared" si="10"/>
        <v>1914</v>
      </c>
      <c r="M326" s="381" t="s">
        <v>4526</v>
      </c>
      <c r="AF326" s="84"/>
    </row>
    <row r="327" spans="1:32" s="185" customFormat="1" ht="14.25" customHeight="1" thickBot="1">
      <c r="A327" s="353">
        <v>11929</v>
      </c>
      <c r="B327" s="194" t="s">
        <v>10068</v>
      </c>
      <c r="C327" s="339">
        <f t="shared" si="12"/>
        <v>48800</v>
      </c>
      <c r="D327" s="196" t="s">
        <v>624</v>
      </c>
      <c r="E327" s="172" t="s">
        <v>7207</v>
      </c>
      <c r="F327" s="507">
        <f>SUMIFS(Controle!$R:$R,Controle!$H:$H,produtos_escape2!$A327,Controle!$Z:$Z,"1")</f>
        <v>0</v>
      </c>
      <c r="G327" s="507">
        <f>SUMIFS(Controle!$R:$R,Controle!$H:$H,produtos_escape2!$A327,Controle!$Z:$Z,"2")</f>
        <v>0</v>
      </c>
      <c r="H327" s="507">
        <f>SUMIFS(Controle!$R:$R,Controle!$H:$H,produtos_escape2!$A327,Controle!$Z:$Z,"3")</f>
        <v>0</v>
      </c>
      <c r="I327" s="507">
        <f>SUMIFS(Controle!$R:$R,Controle!$H:$H,produtos_escape2!$A327,Controle!$Z:$Z,"4")</f>
        <v>0</v>
      </c>
      <c r="J327" s="507">
        <f>SUMIFS(Controle!$R:$R,Controle!$H:$H,produtos_escape2!$A327,Controle!$Z:$Z,"5")</f>
        <v>0</v>
      </c>
      <c r="K327" s="507">
        <f>SUMIFS(Controle!$R:$R,Controle!$H:$H,produtos_escape2!$A327,Controle!$Z:$Z,"6")</f>
        <v>1200</v>
      </c>
      <c r="L327" s="507">
        <f t="shared" si="10"/>
        <v>1200</v>
      </c>
      <c r="M327" s="381" t="s">
        <v>10069</v>
      </c>
      <c r="AF327" s="84"/>
    </row>
    <row r="328" spans="1:32" s="185" customFormat="1" ht="14.25" customHeight="1" thickBot="1">
      <c r="A328" s="353">
        <v>11976</v>
      </c>
      <c r="B328" s="194" t="s">
        <v>542</v>
      </c>
      <c r="C328" s="339">
        <f t="shared" si="12"/>
        <v>50000</v>
      </c>
      <c r="D328" s="196"/>
      <c r="E328" s="197"/>
      <c r="F328" s="507">
        <f>SUMIFS(Controle!$R:$R,Controle!$H:$H,produtos_escape2!$A328,Controle!$Z:$Z,"1")</f>
        <v>0</v>
      </c>
      <c r="G328" s="507">
        <f>SUMIFS(Controle!$R:$R,Controle!$H:$H,produtos_escape2!$A328,Controle!$Z:$Z,"2")</f>
        <v>0</v>
      </c>
      <c r="H328" s="507">
        <f>SUMIFS(Controle!$R:$R,Controle!$H:$H,produtos_escape2!$A328,Controle!$Z:$Z,"3")</f>
        <v>0</v>
      </c>
      <c r="I328" s="507">
        <f>SUMIFS(Controle!$R:$R,Controle!$H:$H,produtos_escape2!$A328,Controle!$Z:$Z,"4")</f>
        <v>0</v>
      </c>
      <c r="J328" s="507">
        <f>SUMIFS(Controle!$R:$R,Controle!$H:$H,produtos_escape2!$A328,Controle!$Z:$Z,"5")</f>
        <v>0</v>
      </c>
      <c r="K328" s="507">
        <f>SUMIFS(Controle!$R:$R,Controle!$H:$H,produtos_escape2!$A328,Controle!$Z:$Z,"6")</f>
        <v>0</v>
      </c>
      <c r="L328" s="507">
        <f t="shared" si="10"/>
        <v>0</v>
      </c>
      <c r="M328" s="381" t="s">
        <v>4704</v>
      </c>
      <c r="AF328" s="84"/>
    </row>
    <row r="329" spans="1:32" s="185" customFormat="1" ht="14.25" customHeight="1" thickBot="1">
      <c r="A329" s="353">
        <v>11977</v>
      </c>
      <c r="B329" s="194" t="s">
        <v>480</v>
      </c>
      <c r="C329" s="339">
        <f t="shared" si="12"/>
        <v>50000</v>
      </c>
      <c r="D329" s="196" t="s">
        <v>624</v>
      </c>
      <c r="E329" s="197" t="s">
        <v>3608</v>
      </c>
      <c r="F329" s="507">
        <f>SUMIFS(Controle!$R:$R,Controle!$H:$H,produtos_escape2!$A329,Controle!$Z:$Z,"1")</f>
        <v>0</v>
      </c>
      <c r="G329" s="507">
        <f>SUMIFS(Controle!$R:$R,Controle!$H:$H,produtos_escape2!$A329,Controle!$Z:$Z,"2")</f>
        <v>0</v>
      </c>
      <c r="H329" s="507">
        <f>SUMIFS(Controle!$R:$R,Controle!$H:$H,produtos_escape2!$A329,Controle!$Z:$Z,"3")</f>
        <v>0</v>
      </c>
      <c r="I329" s="507">
        <f>SUMIFS(Controle!$R:$R,Controle!$H:$H,produtos_escape2!$A329,Controle!$Z:$Z,"4")</f>
        <v>0</v>
      </c>
      <c r="J329" s="507">
        <f>SUMIFS(Controle!$R:$R,Controle!$H:$H,produtos_escape2!$A329,Controle!$Z:$Z,"5")</f>
        <v>0</v>
      </c>
      <c r="K329" s="507">
        <f>SUMIFS(Controle!$R:$R,Controle!$H:$H,produtos_escape2!$A329,Controle!$Z:$Z,"6")</f>
        <v>0</v>
      </c>
      <c r="L329" s="507">
        <f t="shared" si="10"/>
        <v>0</v>
      </c>
      <c r="M329" s="381" t="s">
        <v>480</v>
      </c>
      <c r="AF329" s="84"/>
    </row>
    <row r="330" spans="1:32" s="185" customFormat="1" ht="14.25" customHeight="1" thickBot="1">
      <c r="A330" s="333">
        <v>11981</v>
      </c>
      <c r="B330" s="194" t="s">
        <v>1583</v>
      </c>
      <c r="C330" s="339">
        <f t="shared" si="12"/>
        <v>50000</v>
      </c>
      <c r="D330" s="196" t="s">
        <v>624</v>
      </c>
      <c r="E330" s="197" t="s">
        <v>7207</v>
      </c>
      <c r="F330" s="507">
        <f>SUMIFS(Controle!$R:$R,Controle!$H:$H,produtos_escape2!$A330,Controle!$Z:$Z,"1")</f>
        <v>0</v>
      </c>
      <c r="G330" s="507">
        <f>SUMIFS(Controle!$R:$R,Controle!$H:$H,produtos_escape2!$A330,Controle!$Z:$Z,"2")</f>
        <v>0</v>
      </c>
      <c r="H330" s="507">
        <f>SUMIFS(Controle!$R:$R,Controle!$H:$H,produtos_escape2!$A330,Controle!$Z:$Z,"3")</f>
        <v>0</v>
      </c>
      <c r="I330" s="507">
        <f>SUMIFS(Controle!$R:$R,Controle!$H:$H,produtos_escape2!$A330,Controle!$Z:$Z,"4")</f>
        <v>0</v>
      </c>
      <c r="J330" s="507">
        <f>SUMIFS(Controle!$R:$R,Controle!$H:$H,produtos_escape2!$A330,Controle!$Z:$Z,"5")</f>
        <v>0</v>
      </c>
      <c r="K330" s="507">
        <f>SUMIFS(Controle!$R:$R,Controle!$H:$H,produtos_escape2!$A330,Controle!$Z:$Z,"6")</f>
        <v>0</v>
      </c>
      <c r="L330" s="507">
        <f t="shared" si="10"/>
        <v>0</v>
      </c>
      <c r="M330" s="381" t="s">
        <v>4672</v>
      </c>
      <c r="AF330" s="84"/>
    </row>
    <row r="331" spans="1:32" s="185" customFormat="1" ht="14.25" customHeight="1" thickBot="1">
      <c r="A331" s="353">
        <v>12083</v>
      </c>
      <c r="B331" s="338" t="s">
        <v>22</v>
      </c>
      <c r="C331" s="339">
        <f t="shared" si="12"/>
        <v>50000</v>
      </c>
      <c r="D331" s="196" t="s">
        <v>624</v>
      </c>
      <c r="E331" s="197" t="s">
        <v>3608</v>
      </c>
      <c r="F331" s="507">
        <f>SUMIFS(Controle!$R:$R,Controle!$H:$H,produtos_escape2!$A331,Controle!$Z:$Z,"1")</f>
        <v>0</v>
      </c>
      <c r="G331" s="507">
        <f>SUMIFS(Controle!$R:$R,Controle!$H:$H,produtos_escape2!$A331,Controle!$Z:$Z,"2")</f>
        <v>0</v>
      </c>
      <c r="H331" s="507">
        <f>SUMIFS(Controle!$R:$R,Controle!$H:$H,produtos_escape2!$A331,Controle!$Z:$Z,"3")</f>
        <v>0</v>
      </c>
      <c r="I331" s="507">
        <f>SUMIFS(Controle!$R:$R,Controle!$H:$H,produtos_escape2!$A331,Controle!$Z:$Z,"4")</f>
        <v>0</v>
      </c>
      <c r="J331" s="507">
        <f>SUMIFS(Controle!$R:$R,Controle!$H:$H,produtos_escape2!$A331,Controle!$Z:$Z,"5")</f>
        <v>0</v>
      </c>
      <c r="K331" s="507">
        <f>SUMIFS(Controle!$R:$R,Controle!$H:$H,produtos_escape2!$A331,Controle!$Z:$Z,"6")</f>
        <v>0</v>
      </c>
      <c r="L331" s="507">
        <f t="shared" si="10"/>
        <v>0</v>
      </c>
      <c r="M331" s="381" t="s">
        <v>22</v>
      </c>
      <c r="AF331" s="84"/>
    </row>
    <row r="332" spans="1:32" s="185" customFormat="1" ht="14.25" customHeight="1" thickBot="1">
      <c r="A332" s="353">
        <v>12085</v>
      </c>
      <c r="B332" s="338" t="s">
        <v>9089</v>
      </c>
      <c r="C332" s="339">
        <f t="shared" si="12"/>
        <v>36500</v>
      </c>
      <c r="D332" s="196" t="s">
        <v>624</v>
      </c>
      <c r="E332" s="197" t="s">
        <v>3608</v>
      </c>
      <c r="F332" s="507">
        <f>SUMIFS(Controle!$R:$R,Controle!$H:$H,produtos_escape2!$A332,Controle!$Z:$Z,"1")</f>
        <v>0</v>
      </c>
      <c r="G332" s="507">
        <f>SUMIFS(Controle!$R:$R,Controle!$H:$H,produtos_escape2!$A332,Controle!$Z:$Z,"2")</f>
        <v>0</v>
      </c>
      <c r="H332" s="507">
        <f>SUMIFS(Controle!$R:$R,Controle!$H:$H,produtos_escape2!$A332,Controle!$Z:$Z,"3")</f>
        <v>0</v>
      </c>
      <c r="I332" s="507">
        <f>SUMIFS(Controle!$R:$R,Controle!$H:$H,produtos_escape2!$A332,Controle!$Z:$Z,"4")</f>
        <v>13500</v>
      </c>
      <c r="J332" s="507">
        <f>SUMIFS(Controle!$R:$R,Controle!$H:$H,produtos_escape2!$A332,Controle!$Z:$Z,"5")</f>
        <v>0</v>
      </c>
      <c r="K332" s="507">
        <f>SUMIFS(Controle!$R:$R,Controle!$H:$H,produtos_escape2!$A332,Controle!$Z:$Z,"6")</f>
        <v>0</v>
      </c>
      <c r="L332" s="507">
        <f t="shared" si="10"/>
        <v>13500</v>
      </c>
      <c r="M332" s="381" t="s">
        <v>9088</v>
      </c>
      <c r="AF332" s="84"/>
    </row>
    <row r="333" spans="1:32" s="185" customFormat="1" ht="14.25" customHeight="1" thickBot="1">
      <c r="A333" s="353">
        <v>12094</v>
      </c>
      <c r="B333" s="194" t="s">
        <v>1562</v>
      </c>
      <c r="C333" s="339">
        <f t="shared" si="12"/>
        <v>50000</v>
      </c>
      <c r="D333" s="196" t="s">
        <v>624</v>
      </c>
      <c r="E333" s="197" t="s">
        <v>7207</v>
      </c>
      <c r="F333" s="507">
        <f>SUMIFS(Controle!$R:$R,Controle!$H:$H,produtos_escape2!$A333,Controle!$Z:$Z,"1")</f>
        <v>0</v>
      </c>
      <c r="G333" s="507">
        <f>SUMIFS(Controle!$R:$R,Controle!$H:$H,produtos_escape2!$A333,Controle!$Z:$Z,"2")</f>
        <v>0</v>
      </c>
      <c r="H333" s="507">
        <f>SUMIFS(Controle!$R:$R,Controle!$H:$H,produtos_escape2!$A333,Controle!$Z:$Z,"3")</f>
        <v>0</v>
      </c>
      <c r="I333" s="507">
        <f>SUMIFS(Controle!$R:$R,Controle!$H:$H,produtos_escape2!$A333,Controle!$Z:$Z,"4")</f>
        <v>0</v>
      </c>
      <c r="J333" s="507">
        <f>SUMIFS(Controle!$R:$R,Controle!$H:$H,produtos_escape2!$A333,Controle!$Z:$Z,"5")</f>
        <v>0</v>
      </c>
      <c r="K333" s="507">
        <f>SUMIFS(Controle!$R:$R,Controle!$H:$H,produtos_escape2!$A333,Controle!$Z:$Z,"6")</f>
        <v>0</v>
      </c>
      <c r="L333" s="507">
        <f t="shared" si="10"/>
        <v>0</v>
      </c>
      <c r="M333" s="381" t="s">
        <v>4705</v>
      </c>
      <c r="AF333" s="84"/>
    </row>
    <row r="334" spans="1:32" s="185" customFormat="1" ht="14.25" customHeight="1" thickBot="1">
      <c r="A334" s="353">
        <v>12098</v>
      </c>
      <c r="B334" s="194" t="s">
        <v>269</v>
      </c>
      <c r="C334" s="339">
        <f t="shared" si="12"/>
        <v>49897.82</v>
      </c>
      <c r="D334" s="196" t="s">
        <v>624</v>
      </c>
      <c r="E334" s="197" t="s">
        <v>1739</v>
      </c>
      <c r="F334" s="507">
        <f>SUMIFS(Controle!$R:$R,Controle!$H:$H,produtos_escape2!$A334,Controle!$Z:$Z,"1")</f>
        <v>0</v>
      </c>
      <c r="G334" s="507">
        <f>SUMIFS(Controle!$R:$R,Controle!$H:$H,produtos_escape2!$A334,Controle!$Z:$Z,"2")</f>
        <v>102.18</v>
      </c>
      <c r="H334" s="507">
        <f>SUMIFS(Controle!$R:$R,Controle!$H:$H,produtos_escape2!$A334,Controle!$Z:$Z,"3")</f>
        <v>0</v>
      </c>
      <c r="I334" s="507">
        <f>SUMIFS(Controle!$R:$R,Controle!$H:$H,produtos_escape2!$A334,Controle!$Z:$Z,"4")</f>
        <v>0</v>
      </c>
      <c r="J334" s="507">
        <f>SUMIFS(Controle!$R:$R,Controle!$H:$H,produtos_escape2!$A334,Controle!$Z:$Z,"5")</f>
        <v>0</v>
      </c>
      <c r="K334" s="507">
        <f>SUMIFS(Controle!$R:$R,Controle!$H:$H,produtos_escape2!$A334,Controle!$Z:$Z,"6")</f>
        <v>0</v>
      </c>
      <c r="L334" s="507">
        <f t="shared" si="10"/>
        <v>102.18</v>
      </c>
      <c r="M334" s="381" t="s">
        <v>4706</v>
      </c>
      <c r="AF334" s="84"/>
    </row>
    <row r="335" spans="1:32" s="185" customFormat="1" ht="14.25" customHeight="1" thickBot="1">
      <c r="A335" s="353">
        <v>12113</v>
      </c>
      <c r="B335" s="194" t="s">
        <v>733</v>
      </c>
      <c r="C335" s="339">
        <f t="shared" si="12"/>
        <v>50000</v>
      </c>
      <c r="D335" s="196" t="s">
        <v>624</v>
      </c>
      <c r="E335" s="197" t="s">
        <v>1739</v>
      </c>
      <c r="F335" s="507">
        <f>SUMIFS(Controle!$R:$R,Controle!$H:$H,produtos_escape2!$A335,Controle!$Z:$Z,"1")</f>
        <v>0</v>
      </c>
      <c r="G335" s="507">
        <f>SUMIFS(Controle!$R:$R,Controle!$H:$H,produtos_escape2!$A335,Controle!$Z:$Z,"2")</f>
        <v>0</v>
      </c>
      <c r="H335" s="507">
        <f>SUMIFS(Controle!$R:$R,Controle!$H:$H,produtos_escape2!$A335,Controle!$Z:$Z,"3")</f>
        <v>0</v>
      </c>
      <c r="I335" s="507">
        <f>SUMIFS(Controle!$R:$R,Controle!$H:$H,produtos_escape2!$A335,Controle!$Z:$Z,"4")</f>
        <v>0</v>
      </c>
      <c r="J335" s="507">
        <f>SUMIFS(Controle!$R:$R,Controle!$H:$H,produtos_escape2!$A335,Controle!$Z:$Z,"5")</f>
        <v>0</v>
      </c>
      <c r="K335" s="507">
        <f>SUMIFS(Controle!$R:$R,Controle!$H:$H,produtos_escape2!$A335,Controle!$Z:$Z,"6")</f>
        <v>0</v>
      </c>
      <c r="L335" s="507">
        <f t="shared" si="10"/>
        <v>0</v>
      </c>
      <c r="M335" s="381" t="s">
        <v>4707</v>
      </c>
      <c r="AF335" s="84"/>
    </row>
    <row r="336" spans="1:32" s="185" customFormat="1" ht="14.25" customHeight="1" thickBot="1">
      <c r="A336" s="353">
        <v>12117</v>
      </c>
      <c r="B336" s="194" t="s">
        <v>6929</v>
      </c>
      <c r="C336" s="339">
        <f t="shared" si="12"/>
        <v>48828</v>
      </c>
      <c r="D336" s="191" t="s">
        <v>624</v>
      </c>
      <c r="E336" s="172" t="s">
        <v>3608</v>
      </c>
      <c r="F336" s="507">
        <f>SUMIFS(Controle!$R:$R,Controle!$H:$H,produtos_escape2!$A336,Controle!$Z:$Z,"1")</f>
        <v>0</v>
      </c>
      <c r="G336" s="507">
        <f>SUMIFS(Controle!$R:$R,Controle!$H:$H,produtos_escape2!$A336,Controle!$Z:$Z,"2")</f>
        <v>672</v>
      </c>
      <c r="H336" s="507">
        <f>SUMIFS(Controle!$R:$R,Controle!$H:$H,produtos_escape2!$A336,Controle!$Z:$Z,"3")</f>
        <v>500</v>
      </c>
      <c r="I336" s="507">
        <f>SUMIFS(Controle!$R:$R,Controle!$H:$H,produtos_escape2!$A336,Controle!$Z:$Z,"4")</f>
        <v>0</v>
      </c>
      <c r="J336" s="507">
        <f>SUMIFS(Controle!$R:$R,Controle!$H:$H,produtos_escape2!$A336,Controle!$Z:$Z,"5")</f>
        <v>0</v>
      </c>
      <c r="K336" s="507">
        <f>SUMIFS(Controle!$R:$R,Controle!$H:$H,produtos_escape2!$A336,Controle!$Z:$Z,"6")</f>
        <v>0</v>
      </c>
      <c r="L336" s="507">
        <f t="shared" si="10"/>
        <v>1172</v>
      </c>
      <c r="M336" s="381" t="s">
        <v>4515</v>
      </c>
      <c r="AF336" s="84"/>
    </row>
    <row r="337" spans="1:32" s="185" customFormat="1" ht="14.25" customHeight="1" thickBot="1">
      <c r="A337" s="353">
        <v>12123</v>
      </c>
      <c r="B337" s="194" t="s">
        <v>1655</v>
      </c>
      <c r="C337" s="339">
        <f t="shared" si="12"/>
        <v>50000</v>
      </c>
      <c r="D337" s="196" t="s">
        <v>624</v>
      </c>
      <c r="E337" s="197" t="s">
        <v>7207</v>
      </c>
      <c r="F337" s="507">
        <f>SUMIFS(Controle!$R:$R,Controle!$H:$H,produtos_escape2!$A337,Controle!$Z:$Z,"1")</f>
        <v>0</v>
      </c>
      <c r="G337" s="507">
        <f>SUMIFS(Controle!$R:$R,Controle!$H:$H,produtos_escape2!$A337,Controle!$Z:$Z,"2")</f>
        <v>0</v>
      </c>
      <c r="H337" s="507">
        <f>SUMIFS(Controle!$R:$R,Controle!$H:$H,produtos_escape2!$A337,Controle!$Z:$Z,"3")</f>
        <v>0</v>
      </c>
      <c r="I337" s="507">
        <f>SUMIFS(Controle!$R:$R,Controle!$H:$H,produtos_escape2!$A337,Controle!$Z:$Z,"4")</f>
        <v>0</v>
      </c>
      <c r="J337" s="507">
        <f>SUMIFS(Controle!$R:$R,Controle!$H:$H,produtos_escape2!$A337,Controle!$Z:$Z,"5")</f>
        <v>0</v>
      </c>
      <c r="K337" s="507">
        <f>SUMIFS(Controle!$R:$R,Controle!$H:$H,produtos_escape2!$A337,Controle!$Z:$Z,"6")</f>
        <v>0</v>
      </c>
      <c r="L337" s="507">
        <f t="shared" si="10"/>
        <v>0</v>
      </c>
      <c r="M337" s="381" t="s">
        <v>4708</v>
      </c>
      <c r="AF337" s="84"/>
    </row>
    <row r="338" spans="1:32" s="185" customFormat="1" ht="14.25" customHeight="1" thickBot="1">
      <c r="A338" s="353">
        <v>12135</v>
      </c>
      <c r="B338" s="194" t="s">
        <v>7174</v>
      </c>
      <c r="C338" s="339">
        <f t="shared" si="12"/>
        <v>49940</v>
      </c>
      <c r="D338" s="196" t="s">
        <v>624</v>
      </c>
      <c r="E338" s="197" t="s">
        <v>7207</v>
      </c>
      <c r="F338" s="507">
        <f>SUMIFS(Controle!$R:$R,Controle!$H:$H,produtos_escape2!$A338,Controle!$Z:$Z,"1")</f>
        <v>0</v>
      </c>
      <c r="G338" s="507">
        <f>SUMIFS(Controle!$R:$R,Controle!$H:$H,produtos_escape2!$A338,Controle!$Z:$Z,"2")</f>
        <v>60</v>
      </c>
      <c r="H338" s="507">
        <f>SUMIFS(Controle!$R:$R,Controle!$H:$H,produtos_escape2!$A338,Controle!$Z:$Z,"3")</f>
        <v>0</v>
      </c>
      <c r="I338" s="507">
        <f>SUMIFS(Controle!$R:$R,Controle!$H:$H,produtos_escape2!$A338,Controle!$Z:$Z,"4")</f>
        <v>0</v>
      </c>
      <c r="J338" s="507">
        <f>SUMIFS(Controle!$R:$R,Controle!$H:$H,produtos_escape2!$A338,Controle!$Z:$Z,"5")</f>
        <v>0</v>
      </c>
      <c r="K338" s="507">
        <f>SUMIFS(Controle!$R:$R,Controle!$H:$H,produtos_escape2!$A338,Controle!$Z:$Z,"6")</f>
        <v>0</v>
      </c>
      <c r="L338" s="507">
        <f t="shared" si="10"/>
        <v>60</v>
      </c>
      <c r="M338" s="381" t="s">
        <v>7173</v>
      </c>
      <c r="AF338" s="84"/>
    </row>
    <row r="339" spans="1:32" s="185" customFormat="1" ht="14.25" customHeight="1" thickBot="1">
      <c r="A339" s="353">
        <v>12141</v>
      </c>
      <c r="B339" s="194" t="s">
        <v>573</v>
      </c>
      <c r="C339" s="339">
        <f t="shared" si="12"/>
        <v>50000</v>
      </c>
      <c r="D339" s="196" t="s">
        <v>624</v>
      </c>
      <c r="E339" s="197" t="s">
        <v>1739</v>
      </c>
      <c r="F339" s="507">
        <f>SUMIFS(Controle!$R:$R,Controle!$H:$H,produtos_escape2!$A339,Controle!$Z:$Z,"1")</f>
        <v>0</v>
      </c>
      <c r="G339" s="507">
        <f>SUMIFS(Controle!$R:$R,Controle!$H:$H,produtos_escape2!$A339,Controle!$Z:$Z,"2")</f>
        <v>0</v>
      </c>
      <c r="H339" s="507">
        <f>SUMIFS(Controle!$R:$R,Controle!$H:$H,produtos_escape2!$A339,Controle!$Z:$Z,"3")</f>
        <v>0</v>
      </c>
      <c r="I339" s="507">
        <f>SUMIFS(Controle!$R:$R,Controle!$H:$H,produtos_escape2!$A339,Controle!$Z:$Z,"4")</f>
        <v>0</v>
      </c>
      <c r="J339" s="507">
        <f>SUMIFS(Controle!$R:$R,Controle!$H:$H,produtos_escape2!$A339,Controle!$Z:$Z,"5")</f>
        <v>0</v>
      </c>
      <c r="K339" s="507">
        <f>SUMIFS(Controle!$R:$R,Controle!$H:$H,produtos_escape2!$A339,Controle!$Z:$Z,"6")</f>
        <v>0</v>
      </c>
      <c r="L339" s="507">
        <f t="shared" si="10"/>
        <v>0</v>
      </c>
      <c r="M339" s="381" t="s">
        <v>4709</v>
      </c>
      <c r="AF339" s="84"/>
    </row>
    <row r="340" spans="1:32" s="185" customFormat="1" ht="14.25" customHeight="1" thickBot="1">
      <c r="A340" s="353">
        <v>12170</v>
      </c>
      <c r="B340" s="194" t="s">
        <v>2587</v>
      </c>
      <c r="C340" s="339">
        <f t="shared" si="12"/>
        <v>50000</v>
      </c>
      <c r="D340" s="196" t="s">
        <v>624</v>
      </c>
      <c r="E340" s="197" t="s">
        <v>3608</v>
      </c>
      <c r="F340" s="507">
        <f>SUMIFS(Controle!$R:$R,Controle!$H:$H,produtos_escape2!$A340,Controle!$Z:$Z,"1")</f>
        <v>0</v>
      </c>
      <c r="G340" s="507">
        <f>SUMIFS(Controle!$R:$R,Controle!$H:$H,produtos_escape2!$A340,Controle!$Z:$Z,"2")</f>
        <v>0</v>
      </c>
      <c r="H340" s="507">
        <f>SUMIFS(Controle!$R:$R,Controle!$H:$H,produtos_escape2!$A340,Controle!$Z:$Z,"3")</f>
        <v>0</v>
      </c>
      <c r="I340" s="507">
        <f>SUMIFS(Controle!$R:$R,Controle!$H:$H,produtos_escape2!$A340,Controle!$Z:$Z,"4")</f>
        <v>0</v>
      </c>
      <c r="J340" s="507">
        <f>SUMIFS(Controle!$R:$R,Controle!$H:$H,produtos_escape2!$A340,Controle!$Z:$Z,"5")</f>
        <v>0</v>
      </c>
      <c r="K340" s="507">
        <f>SUMIFS(Controle!$R:$R,Controle!$H:$H,produtos_escape2!$A340,Controle!$Z:$Z,"6")</f>
        <v>0</v>
      </c>
      <c r="L340" s="507">
        <f t="shared" si="10"/>
        <v>0</v>
      </c>
      <c r="M340" s="381" t="s">
        <v>4710</v>
      </c>
      <c r="AF340" s="84"/>
    </row>
    <row r="341" spans="1:32" s="185" customFormat="1" ht="14.25" customHeight="1" thickBot="1">
      <c r="A341" s="333">
        <v>12176</v>
      </c>
      <c r="B341" s="194" t="s">
        <v>4399</v>
      </c>
      <c r="C341" s="339">
        <f t="shared" si="12"/>
        <v>43602.5</v>
      </c>
      <c r="D341" s="196" t="s">
        <v>624</v>
      </c>
      <c r="E341" s="197" t="s">
        <v>7207</v>
      </c>
      <c r="F341" s="507">
        <f>SUMIFS(Controle!$R:$R,Controle!$H:$H,produtos_escape2!$A341,Controle!$Z:$Z,"1")</f>
        <v>0</v>
      </c>
      <c r="G341" s="507">
        <f>SUMIFS(Controle!$R:$R,Controle!$H:$H,produtos_escape2!$A341,Controle!$Z:$Z,"2")</f>
        <v>0</v>
      </c>
      <c r="H341" s="507">
        <f>SUMIFS(Controle!$R:$R,Controle!$H:$H,produtos_escape2!$A341,Controle!$Z:$Z,"3")</f>
        <v>0</v>
      </c>
      <c r="I341" s="507">
        <f>SUMIFS(Controle!$R:$R,Controle!$H:$H,produtos_escape2!$A341,Controle!$Z:$Z,"4")</f>
        <v>6397.5</v>
      </c>
      <c r="J341" s="507">
        <f>SUMIFS(Controle!$R:$R,Controle!$H:$H,produtos_escape2!$A341,Controle!$Z:$Z,"5")</f>
        <v>0</v>
      </c>
      <c r="K341" s="507">
        <f>SUMIFS(Controle!$R:$R,Controle!$H:$H,produtos_escape2!$A341,Controle!$Z:$Z,"6")</f>
        <v>0</v>
      </c>
      <c r="L341" s="507">
        <f t="shared" si="10"/>
        <v>6397.5</v>
      </c>
      <c r="M341" s="381" t="s">
        <v>4711</v>
      </c>
      <c r="AF341" s="84"/>
    </row>
    <row r="342" spans="1:32" s="185" customFormat="1" ht="14.25" customHeight="1" thickBot="1">
      <c r="A342" s="353">
        <v>12177</v>
      </c>
      <c r="B342" s="338" t="s">
        <v>4394</v>
      </c>
      <c r="C342" s="339">
        <f t="shared" si="12"/>
        <v>50000</v>
      </c>
      <c r="D342" s="196" t="s">
        <v>624</v>
      </c>
      <c r="E342" s="197" t="s">
        <v>7207</v>
      </c>
      <c r="F342" s="507">
        <f>SUMIFS(Controle!$R:$R,Controle!$H:$H,produtos_escape2!$A342,Controle!$Z:$Z,"1")</f>
        <v>0</v>
      </c>
      <c r="G342" s="507">
        <f>SUMIFS(Controle!$R:$R,Controle!$H:$H,produtos_escape2!$A342,Controle!$Z:$Z,"2")</f>
        <v>0</v>
      </c>
      <c r="H342" s="507">
        <f>SUMIFS(Controle!$R:$R,Controle!$H:$H,produtos_escape2!$A342,Controle!$Z:$Z,"3")</f>
        <v>0</v>
      </c>
      <c r="I342" s="507">
        <f>SUMIFS(Controle!$R:$R,Controle!$H:$H,produtos_escape2!$A342,Controle!$Z:$Z,"4")</f>
        <v>0</v>
      </c>
      <c r="J342" s="507">
        <f>SUMIFS(Controle!$R:$R,Controle!$H:$H,produtos_escape2!$A342,Controle!$Z:$Z,"5")</f>
        <v>0</v>
      </c>
      <c r="K342" s="507">
        <f>SUMIFS(Controle!$R:$R,Controle!$H:$H,produtos_escape2!$A342,Controle!$Z:$Z,"6")</f>
        <v>0</v>
      </c>
      <c r="L342" s="507">
        <f t="shared" si="10"/>
        <v>0</v>
      </c>
      <c r="M342" s="381" t="s">
        <v>4712</v>
      </c>
      <c r="AF342" s="84"/>
    </row>
    <row r="343" spans="1:32" s="185" customFormat="1" ht="14.25" customHeight="1" thickBot="1">
      <c r="A343" s="353">
        <v>12217</v>
      </c>
      <c r="B343" s="194" t="s">
        <v>7192</v>
      </c>
      <c r="C343" s="339">
        <f t="shared" si="12"/>
        <v>50000</v>
      </c>
      <c r="D343" s="196" t="s">
        <v>624</v>
      </c>
      <c r="E343" s="197" t="s">
        <v>7207</v>
      </c>
      <c r="F343" s="507">
        <f>SUMIFS(Controle!$R:$R,Controle!$H:$H,produtos_escape2!$A343,Controle!$Z:$Z,"1")</f>
        <v>0</v>
      </c>
      <c r="G343" s="507">
        <f>SUMIFS(Controle!$R:$R,Controle!$H:$H,produtos_escape2!$A343,Controle!$Z:$Z,"2")</f>
        <v>0</v>
      </c>
      <c r="H343" s="507">
        <f>SUMIFS(Controle!$R:$R,Controle!$H:$H,produtos_escape2!$A343,Controle!$Z:$Z,"3")</f>
        <v>0</v>
      </c>
      <c r="I343" s="507">
        <f>SUMIFS(Controle!$R:$R,Controle!$H:$H,produtos_escape2!$A343,Controle!$Z:$Z,"4")</f>
        <v>0</v>
      </c>
      <c r="J343" s="507">
        <f>SUMIFS(Controle!$R:$R,Controle!$H:$H,produtos_escape2!$A343,Controle!$Z:$Z,"5")</f>
        <v>0</v>
      </c>
      <c r="K343" s="507">
        <f>SUMIFS(Controle!$R:$R,Controle!$H:$H,produtos_escape2!$A343,Controle!$Z:$Z,"6")</f>
        <v>0</v>
      </c>
      <c r="L343" s="507">
        <f t="shared" si="10"/>
        <v>0</v>
      </c>
      <c r="M343" s="381" t="s">
        <v>7193</v>
      </c>
      <c r="AF343" s="84"/>
    </row>
    <row r="344" spans="1:32" s="185" customFormat="1" ht="14.25" customHeight="1" thickBot="1">
      <c r="A344" s="353">
        <v>12240</v>
      </c>
      <c r="B344" s="194" t="s">
        <v>1719</v>
      </c>
      <c r="C344" s="339">
        <f t="shared" si="12"/>
        <v>50000</v>
      </c>
      <c r="D344" s="196" t="s">
        <v>624</v>
      </c>
      <c r="E344" s="197" t="s">
        <v>7207</v>
      </c>
      <c r="F344" s="507">
        <f>SUMIFS(Controle!$R:$R,Controle!$H:$H,produtos_escape2!$A344,Controle!$Z:$Z,"1")</f>
        <v>0</v>
      </c>
      <c r="G344" s="507">
        <f>SUMIFS(Controle!$R:$R,Controle!$H:$H,produtos_escape2!$A344,Controle!$Z:$Z,"2")</f>
        <v>0</v>
      </c>
      <c r="H344" s="507">
        <f>SUMIFS(Controle!$R:$R,Controle!$H:$H,produtos_escape2!$A344,Controle!$Z:$Z,"3")</f>
        <v>0</v>
      </c>
      <c r="I344" s="507">
        <f>SUMIFS(Controle!$R:$R,Controle!$H:$H,produtos_escape2!$A344,Controle!$Z:$Z,"4")</f>
        <v>0</v>
      </c>
      <c r="J344" s="507">
        <f>SUMIFS(Controle!$R:$R,Controle!$H:$H,produtos_escape2!$A344,Controle!$Z:$Z,"5")</f>
        <v>0</v>
      </c>
      <c r="K344" s="507">
        <f>SUMIFS(Controle!$R:$R,Controle!$H:$H,produtos_escape2!$A344,Controle!$Z:$Z,"6")</f>
        <v>0</v>
      </c>
      <c r="L344" s="507">
        <f t="shared" si="10"/>
        <v>0</v>
      </c>
      <c r="M344" s="381" t="s">
        <v>4713</v>
      </c>
      <c r="AF344" s="84"/>
    </row>
    <row r="345" spans="1:32" s="185" customFormat="1" ht="14.25" customHeight="1" thickBot="1">
      <c r="A345" s="353">
        <v>12241</v>
      </c>
      <c r="B345" s="194" t="s">
        <v>1288</v>
      </c>
      <c r="C345" s="339">
        <f t="shared" si="12"/>
        <v>50000</v>
      </c>
      <c r="D345" s="196" t="s">
        <v>624</v>
      </c>
      <c r="E345" s="197" t="s">
        <v>3608</v>
      </c>
      <c r="F345" s="507">
        <f>SUMIFS(Controle!$R:$R,Controle!$H:$H,produtos_escape2!$A345,Controle!$Z:$Z,"1")</f>
        <v>0</v>
      </c>
      <c r="G345" s="507">
        <f>SUMIFS(Controle!$R:$R,Controle!$H:$H,produtos_escape2!$A345,Controle!$Z:$Z,"2")</f>
        <v>0</v>
      </c>
      <c r="H345" s="507">
        <f>SUMIFS(Controle!$R:$R,Controle!$H:$H,produtos_escape2!$A345,Controle!$Z:$Z,"3")</f>
        <v>0</v>
      </c>
      <c r="I345" s="507">
        <f>SUMIFS(Controle!$R:$R,Controle!$H:$H,produtos_escape2!$A345,Controle!$Z:$Z,"4")</f>
        <v>0</v>
      </c>
      <c r="J345" s="507">
        <f>SUMIFS(Controle!$R:$R,Controle!$H:$H,produtos_escape2!$A345,Controle!$Z:$Z,"5")</f>
        <v>0</v>
      </c>
      <c r="K345" s="507">
        <f>SUMIFS(Controle!$R:$R,Controle!$H:$H,produtos_escape2!$A345,Controle!$Z:$Z,"6")</f>
        <v>0</v>
      </c>
      <c r="L345" s="507">
        <f t="shared" si="10"/>
        <v>0</v>
      </c>
      <c r="M345" s="381" t="s">
        <v>4714</v>
      </c>
      <c r="AF345" s="84"/>
    </row>
    <row r="346" spans="1:32" s="185" customFormat="1" ht="14.25" customHeight="1" thickBot="1">
      <c r="A346" s="353">
        <v>12245</v>
      </c>
      <c r="B346" s="194" t="s">
        <v>1289</v>
      </c>
      <c r="C346" s="339">
        <f t="shared" si="12"/>
        <v>50000</v>
      </c>
      <c r="D346" s="196" t="s">
        <v>624</v>
      </c>
      <c r="E346" s="197" t="s">
        <v>3608</v>
      </c>
      <c r="F346" s="507">
        <f>SUMIFS(Controle!$R:$R,Controle!$H:$H,produtos_escape2!$A346,Controle!$Z:$Z,"1")</f>
        <v>0</v>
      </c>
      <c r="G346" s="507">
        <f>SUMIFS(Controle!$R:$R,Controle!$H:$H,produtos_escape2!$A346,Controle!$Z:$Z,"2")</f>
        <v>0</v>
      </c>
      <c r="H346" s="507">
        <f>SUMIFS(Controle!$R:$R,Controle!$H:$H,produtos_escape2!$A346,Controle!$Z:$Z,"3")</f>
        <v>0</v>
      </c>
      <c r="I346" s="507">
        <f>SUMIFS(Controle!$R:$R,Controle!$H:$H,produtos_escape2!$A346,Controle!$Z:$Z,"4")</f>
        <v>0</v>
      </c>
      <c r="J346" s="507">
        <f>SUMIFS(Controle!$R:$R,Controle!$H:$H,produtos_escape2!$A346,Controle!$Z:$Z,"5")</f>
        <v>0</v>
      </c>
      <c r="K346" s="507">
        <f>SUMIFS(Controle!$R:$R,Controle!$H:$H,produtos_escape2!$A346,Controle!$Z:$Z,"6")</f>
        <v>0</v>
      </c>
      <c r="L346" s="507">
        <f t="shared" si="10"/>
        <v>0</v>
      </c>
      <c r="M346" s="381" t="s">
        <v>4715</v>
      </c>
      <c r="AF346" s="84"/>
    </row>
    <row r="347" spans="1:32" s="185" customFormat="1" ht="14.25" customHeight="1" thickBot="1">
      <c r="A347" s="353">
        <v>12252</v>
      </c>
      <c r="B347" s="194" t="s">
        <v>1336</v>
      </c>
      <c r="C347" s="339">
        <f t="shared" si="12"/>
        <v>50000</v>
      </c>
      <c r="D347" s="196" t="s">
        <v>624</v>
      </c>
      <c r="E347" s="197" t="s">
        <v>3608</v>
      </c>
      <c r="F347" s="507">
        <f>SUMIFS(Controle!$R:$R,Controle!$H:$H,produtos_escape2!$A347,Controle!$Z:$Z,"1")</f>
        <v>0</v>
      </c>
      <c r="G347" s="507">
        <f>SUMIFS(Controle!$R:$R,Controle!$H:$H,produtos_escape2!$A347,Controle!$Z:$Z,"2")</f>
        <v>0</v>
      </c>
      <c r="H347" s="507">
        <f>SUMIFS(Controle!$R:$R,Controle!$H:$H,produtos_escape2!$A347,Controle!$Z:$Z,"3")</f>
        <v>0</v>
      </c>
      <c r="I347" s="507">
        <f>SUMIFS(Controle!$R:$R,Controle!$H:$H,produtos_escape2!$A347,Controle!$Z:$Z,"4")</f>
        <v>0</v>
      </c>
      <c r="J347" s="507">
        <f>SUMIFS(Controle!$R:$R,Controle!$H:$H,produtos_escape2!$A347,Controle!$Z:$Z,"5")</f>
        <v>0</v>
      </c>
      <c r="K347" s="507">
        <f>SUMIFS(Controle!$R:$R,Controle!$H:$H,produtos_escape2!$A347,Controle!$Z:$Z,"6")</f>
        <v>0</v>
      </c>
      <c r="L347" s="507">
        <f t="shared" si="10"/>
        <v>0</v>
      </c>
      <c r="M347" s="381" t="s">
        <v>4716</v>
      </c>
      <c r="AF347" s="84"/>
    </row>
    <row r="348" spans="1:32" s="185" customFormat="1" ht="14.25" customHeight="1" thickBot="1">
      <c r="A348" s="353">
        <v>12276</v>
      </c>
      <c r="B348" s="194" t="s">
        <v>2588</v>
      </c>
      <c r="C348" s="339">
        <f t="shared" si="12"/>
        <v>50000</v>
      </c>
      <c r="D348" s="196" t="s">
        <v>624</v>
      </c>
      <c r="E348" s="197" t="s">
        <v>1739</v>
      </c>
      <c r="F348" s="507">
        <f>SUMIFS(Controle!$R:$R,Controle!$H:$H,produtos_escape2!$A348,Controle!$Z:$Z,"1")</f>
        <v>0</v>
      </c>
      <c r="G348" s="507">
        <f>SUMIFS(Controle!$R:$R,Controle!$H:$H,produtos_escape2!$A348,Controle!$Z:$Z,"2")</f>
        <v>0</v>
      </c>
      <c r="H348" s="507">
        <f>SUMIFS(Controle!$R:$R,Controle!$H:$H,produtos_escape2!$A348,Controle!$Z:$Z,"3")</f>
        <v>0</v>
      </c>
      <c r="I348" s="507">
        <f>SUMIFS(Controle!$R:$R,Controle!$H:$H,produtos_escape2!$A348,Controle!$Z:$Z,"4")</f>
        <v>0</v>
      </c>
      <c r="J348" s="507">
        <f>SUMIFS(Controle!$R:$R,Controle!$H:$H,produtos_escape2!$A348,Controle!$Z:$Z,"5")</f>
        <v>0</v>
      </c>
      <c r="K348" s="507">
        <f>SUMIFS(Controle!$R:$R,Controle!$H:$H,produtos_escape2!$A348,Controle!$Z:$Z,"6")</f>
        <v>0</v>
      </c>
      <c r="L348" s="507">
        <f t="shared" si="10"/>
        <v>0</v>
      </c>
      <c r="M348" s="381" t="s">
        <v>4717</v>
      </c>
      <c r="AF348" s="84"/>
    </row>
    <row r="349" spans="1:32" s="185" customFormat="1" ht="14.25" customHeight="1" thickBot="1">
      <c r="A349" s="353">
        <v>12283</v>
      </c>
      <c r="B349" s="194" t="s">
        <v>448</v>
      </c>
      <c r="C349" s="339">
        <f t="shared" si="12"/>
        <v>50000</v>
      </c>
      <c r="D349" s="191" t="s">
        <v>624</v>
      </c>
      <c r="E349" s="172" t="s">
        <v>3608</v>
      </c>
      <c r="F349" s="507">
        <f>SUMIFS(Controle!$R:$R,Controle!$H:$H,produtos_escape2!$A349,Controle!$Z:$Z,"1")</f>
        <v>0</v>
      </c>
      <c r="G349" s="507">
        <f>SUMIFS(Controle!$R:$R,Controle!$H:$H,produtos_escape2!$A349,Controle!$Z:$Z,"2")</f>
        <v>0</v>
      </c>
      <c r="H349" s="507">
        <f>SUMIFS(Controle!$R:$R,Controle!$H:$H,produtos_escape2!$A349,Controle!$Z:$Z,"3")</f>
        <v>0</v>
      </c>
      <c r="I349" s="507">
        <f>SUMIFS(Controle!$R:$R,Controle!$H:$H,produtos_escape2!$A349,Controle!$Z:$Z,"4")</f>
        <v>0</v>
      </c>
      <c r="J349" s="507">
        <f>SUMIFS(Controle!$R:$R,Controle!$H:$H,produtos_escape2!$A349,Controle!$Z:$Z,"5")</f>
        <v>0</v>
      </c>
      <c r="K349" s="507">
        <f>SUMIFS(Controle!$R:$R,Controle!$H:$H,produtos_escape2!$A349,Controle!$Z:$Z,"6")</f>
        <v>0</v>
      </c>
      <c r="L349" s="507">
        <f t="shared" si="10"/>
        <v>0</v>
      </c>
      <c r="M349" s="381" t="s">
        <v>4718</v>
      </c>
      <c r="AF349" s="84"/>
    </row>
    <row r="350" spans="1:32" s="185" customFormat="1" ht="14.25" customHeight="1" thickBot="1">
      <c r="A350" s="353">
        <v>12285</v>
      </c>
      <c r="B350" s="194" t="s">
        <v>10276</v>
      </c>
      <c r="C350" s="339">
        <f t="shared" si="12"/>
        <v>50000</v>
      </c>
      <c r="D350" s="191" t="s">
        <v>624</v>
      </c>
      <c r="E350" s="172" t="s">
        <v>3608</v>
      </c>
      <c r="F350" s="507">
        <f>SUMIFS(Controle!$R:$R,Controle!$H:$H,produtos_escape2!$A350,Controle!$Z:$Z,"1")</f>
        <v>0</v>
      </c>
      <c r="G350" s="507">
        <f>SUMIFS(Controle!$R:$R,Controle!$H:$H,produtos_escape2!$A350,Controle!$Z:$Z,"2")</f>
        <v>0</v>
      </c>
      <c r="H350" s="507">
        <f>SUMIFS(Controle!$R:$R,Controle!$H:$H,produtos_escape2!$A350,Controle!$Z:$Z,"3")</f>
        <v>0</v>
      </c>
      <c r="I350" s="507">
        <f>SUMIFS(Controle!$R:$R,Controle!$H:$H,produtos_escape2!$A350,Controle!$Z:$Z,"4")</f>
        <v>0</v>
      </c>
      <c r="J350" s="507">
        <f>SUMIFS(Controle!$R:$R,Controle!$H:$H,produtos_escape2!$A350,Controle!$Z:$Z,"5")</f>
        <v>0</v>
      </c>
      <c r="K350" s="507">
        <f>SUMIFS(Controle!$R:$R,Controle!$H:$H,produtos_escape2!$A350,Controle!$Z:$Z,"6")</f>
        <v>0</v>
      </c>
      <c r="L350" s="507">
        <f t="shared" si="10"/>
        <v>0</v>
      </c>
      <c r="M350" s="381" t="s">
        <v>10275</v>
      </c>
      <c r="AF350" s="84"/>
    </row>
    <row r="351" spans="1:32" s="185" customFormat="1" ht="14.25" customHeight="1" thickBot="1">
      <c r="A351" s="333">
        <v>12286</v>
      </c>
      <c r="B351" s="194" t="s">
        <v>3355</v>
      </c>
      <c r="C351" s="339">
        <f t="shared" si="12"/>
        <v>38114</v>
      </c>
      <c r="D351" s="196" t="s">
        <v>624</v>
      </c>
      <c r="E351" s="172" t="s">
        <v>3608</v>
      </c>
      <c r="F351" s="507">
        <f>SUMIFS(Controle!$R:$R,Controle!$H:$H,produtos_escape2!$A351,Controle!$Z:$Z,"1")</f>
        <v>0</v>
      </c>
      <c r="G351" s="507">
        <f>SUMIFS(Controle!$R:$R,Controle!$H:$H,produtos_escape2!$A351,Controle!$Z:$Z,"2")</f>
        <v>0</v>
      </c>
      <c r="H351" s="507">
        <f>SUMIFS(Controle!$R:$R,Controle!$H:$H,produtos_escape2!$A351,Controle!$Z:$Z,"3")</f>
        <v>0</v>
      </c>
      <c r="I351" s="507">
        <f>SUMIFS(Controle!$R:$R,Controle!$H:$H,produtos_escape2!$A351,Controle!$Z:$Z,"4")</f>
        <v>5896</v>
      </c>
      <c r="J351" s="507">
        <f>SUMIFS(Controle!$R:$R,Controle!$H:$H,produtos_escape2!$A351,Controle!$Z:$Z,"5")</f>
        <v>5990</v>
      </c>
      <c r="K351" s="507">
        <f>SUMIFS(Controle!$R:$R,Controle!$H:$H,produtos_escape2!$A351,Controle!$Z:$Z,"6")</f>
        <v>0</v>
      </c>
      <c r="L351" s="507">
        <f t="shared" si="10"/>
        <v>11886</v>
      </c>
      <c r="M351" s="381" t="s">
        <v>4719</v>
      </c>
      <c r="AF351" s="84"/>
    </row>
    <row r="352" spans="1:32" s="185" customFormat="1" ht="14.25" customHeight="1" thickBot="1">
      <c r="A352" s="333">
        <v>12287</v>
      </c>
      <c r="B352" s="194" t="s">
        <v>10278</v>
      </c>
      <c r="C352" s="339">
        <f t="shared" si="12"/>
        <v>49028.2</v>
      </c>
      <c r="D352" s="196" t="s">
        <v>624</v>
      </c>
      <c r="E352" s="172" t="s">
        <v>3608</v>
      </c>
      <c r="F352" s="507">
        <f>SUMIFS(Controle!$R:$R,Controle!$H:$H,produtos_escape2!$A352,Controle!$Z:$Z,"1")</f>
        <v>0</v>
      </c>
      <c r="G352" s="507">
        <f>SUMIFS(Controle!$R:$R,Controle!$H:$H,produtos_escape2!$A352,Controle!$Z:$Z,"2")</f>
        <v>0</v>
      </c>
      <c r="H352" s="507">
        <f>SUMIFS(Controle!$R:$R,Controle!$H:$H,produtos_escape2!$A352,Controle!$Z:$Z,"3")</f>
        <v>0</v>
      </c>
      <c r="I352" s="507">
        <f>SUMIFS(Controle!$R:$R,Controle!$H:$H,produtos_escape2!$A352,Controle!$Z:$Z,"4")</f>
        <v>0</v>
      </c>
      <c r="J352" s="507">
        <f>SUMIFS(Controle!$R:$R,Controle!$H:$H,produtos_escape2!$A352,Controle!$Z:$Z,"5")</f>
        <v>0</v>
      </c>
      <c r="K352" s="507">
        <f>SUMIFS(Controle!$R:$R,Controle!$H:$H,produtos_escape2!$A352,Controle!$Z:$Z,"6")</f>
        <v>971.80000000000007</v>
      </c>
      <c r="L352" s="507">
        <f t="shared" si="10"/>
        <v>971.80000000000007</v>
      </c>
      <c r="M352" s="381" t="s">
        <v>10277</v>
      </c>
      <c r="AF352" s="84"/>
    </row>
    <row r="353" spans="1:32" s="185" customFormat="1" ht="14.25" customHeight="1" thickBot="1">
      <c r="A353" s="353">
        <v>12289</v>
      </c>
      <c r="B353" s="338" t="s">
        <v>3399</v>
      </c>
      <c r="C353" s="339">
        <f t="shared" si="12"/>
        <v>44105</v>
      </c>
      <c r="D353" s="196" t="s">
        <v>624</v>
      </c>
      <c r="E353" s="172" t="s">
        <v>3608</v>
      </c>
      <c r="F353" s="507">
        <f>SUMIFS(Controle!$R:$R,Controle!$H:$H,produtos_escape2!$A353,Controle!$Z:$Z,"1")</f>
        <v>0</v>
      </c>
      <c r="G353" s="507">
        <f>SUMIFS(Controle!$R:$R,Controle!$H:$H,produtos_escape2!$A353,Controle!$Z:$Z,"2")</f>
        <v>0</v>
      </c>
      <c r="H353" s="507">
        <f>SUMIFS(Controle!$R:$R,Controle!$H:$H,produtos_escape2!$A353,Controle!$Z:$Z,"3")</f>
        <v>0</v>
      </c>
      <c r="I353" s="507">
        <f>SUMIFS(Controle!$R:$R,Controle!$H:$H,produtos_escape2!$A353,Controle!$Z:$Z,"4")</f>
        <v>0</v>
      </c>
      <c r="J353" s="507">
        <f>SUMIFS(Controle!$R:$R,Controle!$H:$H,produtos_escape2!$A353,Controle!$Z:$Z,"5")</f>
        <v>2900</v>
      </c>
      <c r="K353" s="507">
        <f>SUMIFS(Controle!$R:$R,Controle!$H:$H,produtos_escape2!$A353,Controle!$Z:$Z,"6")</f>
        <v>2995</v>
      </c>
      <c r="L353" s="507">
        <f t="shared" si="10"/>
        <v>5895</v>
      </c>
      <c r="M353" s="381" t="s">
        <v>4720</v>
      </c>
      <c r="AF353" s="84"/>
    </row>
    <row r="354" spans="1:32" s="185" customFormat="1" ht="14.25" customHeight="1" thickBot="1">
      <c r="A354" s="353">
        <v>12290</v>
      </c>
      <c r="B354" s="194" t="s">
        <v>2993</v>
      </c>
      <c r="C354" s="339">
        <f t="shared" si="12"/>
        <v>25902.2</v>
      </c>
      <c r="D354" s="196" t="s">
        <v>624</v>
      </c>
      <c r="E354" s="197" t="s">
        <v>3608</v>
      </c>
      <c r="F354" s="507">
        <f>SUMIFS(Controle!$R:$R,Controle!$H:$H,produtos_escape2!$A354,Controle!$Z:$Z,"1")</f>
        <v>0</v>
      </c>
      <c r="G354" s="507">
        <f>SUMIFS(Controle!$R:$R,Controle!$H:$H,produtos_escape2!$A354,Controle!$Z:$Z,"2")</f>
        <v>0</v>
      </c>
      <c r="H354" s="507">
        <f>SUMIFS(Controle!$R:$R,Controle!$H:$H,produtos_escape2!$A354,Controle!$Z:$Z,"3")</f>
        <v>11745</v>
      </c>
      <c r="I354" s="507">
        <f>SUMIFS(Controle!$R:$R,Controle!$H:$H,produtos_escape2!$A354,Controle!$Z:$Z,"4")</f>
        <v>4732.1000000000004</v>
      </c>
      <c r="J354" s="507">
        <f>SUMIFS(Controle!$R:$R,Controle!$H:$H,produtos_escape2!$A354,Controle!$Z:$Z,"5")</f>
        <v>6648.9</v>
      </c>
      <c r="K354" s="507">
        <f>SUMIFS(Controle!$R:$R,Controle!$H:$H,produtos_escape2!$A354,Controle!$Z:$Z,"6")</f>
        <v>971.80000000000007</v>
      </c>
      <c r="L354" s="507">
        <f t="shared" si="10"/>
        <v>24097.8</v>
      </c>
      <c r="M354" s="381" t="s">
        <v>4721</v>
      </c>
      <c r="AF354" s="84"/>
    </row>
    <row r="355" spans="1:32" s="185" customFormat="1" ht="14.25" customHeight="1" thickBot="1">
      <c r="A355" s="353">
        <v>12316</v>
      </c>
      <c r="B355" s="194" t="s">
        <v>1150</v>
      </c>
      <c r="C355" s="339">
        <f t="shared" si="12"/>
        <v>50000</v>
      </c>
      <c r="D355" s="196" t="s">
        <v>624</v>
      </c>
      <c r="E355" s="197" t="s">
        <v>3608</v>
      </c>
      <c r="F355" s="507">
        <f>SUMIFS(Controle!$R:$R,Controle!$H:$H,produtos_escape2!$A355,Controle!$Z:$Z,"1")</f>
        <v>0</v>
      </c>
      <c r="G355" s="507">
        <f>SUMIFS(Controle!$R:$R,Controle!$H:$H,produtos_escape2!$A355,Controle!$Z:$Z,"2")</f>
        <v>0</v>
      </c>
      <c r="H355" s="507">
        <f>SUMIFS(Controle!$R:$R,Controle!$H:$H,produtos_escape2!$A355,Controle!$Z:$Z,"3")</f>
        <v>0</v>
      </c>
      <c r="I355" s="507">
        <f>SUMIFS(Controle!$R:$R,Controle!$H:$H,produtos_escape2!$A355,Controle!$Z:$Z,"4")</f>
        <v>0</v>
      </c>
      <c r="J355" s="507">
        <f>SUMIFS(Controle!$R:$R,Controle!$H:$H,produtos_escape2!$A355,Controle!$Z:$Z,"5")</f>
        <v>0</v>
      </c>
      <c r="K355" s="507">
        <f>SUMIFS(Controle!$R:$R,Controle!$H:$H,produtos_escape2!$A355,Controle!$Z:$Z,"6")</f>
        <v>0</v>
      </c>
      <c r="L355" s="507">
        <f t="shared" si="10"/>
        <v>0</v>
      </c>
      <c r="M355" s="381" t="s">
        <v>4722</v>
      </c>
      <c r="AF355" s="84"/>
    </row>
    <row r="356" spans="1:32" s="185" customFormat="1" ht="14.25" customHeight="1" thickBot="1">
      <c r="A356" s="353">
        <v>12321</v>
      </c>
      <c r="B356" s="194" t="s">
        <v>1196</v>
      </c>
      <c r="C356" s="339">
        <f t="shared" si="12"/>
        <v>50000</v>
      </c>
      <c r="D356" s="196" t="s">
        <v>624</v>
      </c>
      <c r="E356" s="197" t="s">
        <v>3608</v>
      </c>
      <c r="F356" s="507">
        <f>SUMIFS(Controle!$R:$R,Controle!$H:$H,produtos_escape2!$A356,Controle!$Z:$Z,"1")</f>
        <v>0</v>
      </c>
      <c r="G356" s="507">
        <f>SUMIFS(Controle!$R:$R,Controle!$H:$H,produtos_escape2!$A356,Controle!$Z:$Z,"2")</f>
        <v>0</v>
      </c>
      <c r="H356" s="507">
        <f>SUMIFS(Controle!$R:$R,Controle!$H:$H,produtos_escape2!$A356,Controle!$Z:$Z,"3")</f>
        <v>0</v>
      </c>
      <c r="I356" s="507">
        <f>SUMIFS(Controle!$R:$R,Controle!$H:$H,produtos_escape2!$A356,Controle!$Z:$Z,"4")</f>
        <v>0</v>
      </c>
      <c r="J356" s="507">
        <f>SUMIFS(Controle!$R:$R,Controle!$H:$H,produtos_escape2!$A356,Controle!$Z:$Z,"5")</f>
        <v>0</v>
      </c>
      <c r="K356" s="507">
        <f>SUMIFS(Controle!$R:$R,Controle!$H:$H,produtos_escape2!$A356,Controle!$Z:$Z,"6")</f>
        <v>0</v>
      </c>
      <c r="L356" s="507">
        <f t="shared" si="10"/>
        <v>0</v>
      </c>
      <c r="M356" s="381" t="s">
        <v>1196</v>
      </c>
      <c r="AF356" s="84"/>
    </row>
    <row r="357" spans="1:32" s="185" customFormat="1" ht="14.25" customHeight="1" thickBot="1">
      <c r="A357" s="353">
        <v>12325</v>
      </c>
      <c r="B357" s="194" t="s">
        <v>1195</v>
      </c>
      <c r="C357" s="339">
        <f t="shared" si="12"/>
        <v>50000</v>
      </c>
      <c r="D357" s="196" t="s">
        <v>624</v>
      </c>
      <c r="E357" s="197" t="s">
        <v>3608</v>
      </c>
      <c r="F357" s="507">
        <f>SUMIFS(Controle!$R:$R,Controle!$H:$H,produtos_escape2!$A357,Controle!$Z:$Z,"1")</f>
        <v>0</v>
      </c>
      <c r="G357" s="507">
        <f>SUMIFS(Controle!$R:$R,Controle!$H:$H,produtos_escape2!$A357,Controle!$Z:$Z,"2")</f>
        <v>0</v>
      </c>
      <c r="H357" s="507">
        <f>SUMIFS(Controle!$R:$R,Controle!$H:$H,produtos_escape2!$A357,Controle!$Z:$Z,"3")</f>
        <v>0</v>
      </c>
      <c r="I357" s="507">
        <f>SUMIFS(Controle!$R:$R,Controle!$H:$H,produtos_escape2!$A357,Controle!$Z:$Z,"4")</f>
        <v>0</v>
      </c>
      <c r="J357" s="507">
        <f>SUMIFS(Controle!$R:$R,Controle!$H:$H,produtos_escape2!$A357,Controle!$Z:$Z,"5")</f>
        <v>0</v>
      </c>
      <c r="K357" s="507">
        <f>SUMIFS(Controle!$R:$R,Controle!$H:$H,produtos_escape2!$A357,Controle!$Z:$Z,"6")</f>
        <v>0</v>
      </c>
      <c r="L357" s="507">
        <f t="shared" si="10"/>
        <v>0</v>
      </c>
      <c r="M357" s="381" t="s">
        <v>1195</v>
      </c>
      <c r="AF357" s="84"/>
    </row>
    <row r="358" spans="1:32" s="185" customFormat="1" ht="14.25" customHeight="1" thickBot="1">
      <c r="A358" s="353">
        <v>12329</v>
      </c>
      <c r="B358" s="194" t="s">
        <v>1210</v>
      </c>
      <c r="C358" s="339">
        <f t="shared" si="12"/>
        <v>50000</v>
      </c>
      <c r="D358" s="196" t="s">
        <v>624</v>
      </c>
      <c r="E358" s="197" t="s">
        <v>3608</v>
      </c>
      <c r="F358" s="507">
        <f>SUMIFS(Controle!$R:$R,Controle!$H:$H,produtos_escape2!$A358,Controle!$Z:$Z,"1")</f>
        <v>0</v>
      </c>
      <c r="G358" s="507">
        <f>SUMIFS(Controle!$R:$R,Controle!$H:$H,produtos_escape2!$A358,Controle!$Z:$Z,"2")</f>
        <v>0</v>
      </c>
      <c r="H358" s="507">
        <f>SUMIFS(Controle!$R:$R,Controle!$H:$H,produtos_escape2!$A358,Controle!$Z:$Z,"3")</f>
        <v>0</v>
      </c>
      <c r="I358" s="507">
        <f>SUMIFS(Controle!$R:$R,Controle!$H:$H,produtos_escape2!$A358,Controle!$Z:$Z,"4")</f>
        <v>0</v>
      </c>
      <c r="J358" s="507">
        <f>SUMIFS(Controle!$R:$R,Controle!$H:$H,produtos_escape2!$A358,Controle!$Z:$Z,"5")</f>
        <v>0</v>
      </c>
      <c r="K358" s="507">
        <f>SUMIFS(Controle!$R:$R,Controle!$H:$H,produtos_escape2!$A358,Controle!$Z:$Z,"6")</f>
        <v>0</v>
      </c>
      <c r="L358" s="507">
        <f t="shared" si="10"/>
        <v>0</v>
      </c>
      <c r="M358" s="381" t="s">
        <v>4723</v>
      </c>
      <c r="AF358" s="84"/>
    </row>
    <row r="359" spans="1:32" s="185" customFormat="1" ht="14.25" customHeight="1" thickBot="1">
      <c r="A359" s="353">
        <v>12394</v>
      </c>
      <c r="B359" s="194" t="s">
        <v>734</v>
      </c>
      <c r="C359" s="339">
        <f t="shared" si="12"/>
        <v>50000</v>
      </c>
      <c r="D359" s="196" t="s">
        <v>624</v>
      </c>
      <c r="E359" s="197" t="s">
        <v>1739</v>
      </c>
      <c r="F359" s="507">
        <f>SUMIFS(Controle!$R:$R,Controle!$H:$H,produtos_escape2!$A359,Controle!$Z:$Z,"1")</f>
        <v>0</v>
      </c>
      <c r="G359" s="507">
        <f>SUMIFS(Controle!$R:$R,Controle!$H:$H,produtos_escape2!$A359,Controle!$Z:$Z,"2")</f>
        <v>0</v>
      </c>
      <c r="H359" s="507">
        <f>SUMIFS(Controle!$R:$R,Controle!$H:$H,produtos_escape2!$A359,Controle!$Z:$Z,"3")</f>
        <v>0</v>
      </c>
      <c r="I359" s="507">
        <f>SUMIFS(Controle!$R:$R,Controle!$H:$H,produtos_escape2!$A359,Controle!$Z:$Z,"4")</f>
        <v>0</v>
      </c>
      <c r="J359" s="507">
        <f>SUMIFS(Controle!$R:$R,Controle!$H:$H,produtos_escape2!$A359,Controle!$Z:$Z,"5")</f>
        <v>0</v>
      </c>
      <c r="K359" s="507">
        <f>SUMIFS(Controle!$R:$R,Controle!$H:$H,produtos_escape2!$A359,Controle!$Z:$Z,"6")</f>
        <v>0</v>
      </c>
      <c r="L359" s="507">
        <f t="shared" si="10"/>
        <v>0</v>
      </c>
      <c r="M359" s="381" t="s">
        <v>4724</v>
      </c>
      <c r="AF359" s="84"/>
    </row>
    <row r="360" spans="1:32" s="185" customFormat="1" ht="14.25" customHeight="1" thickBot="1">
      <c r="A360" s="333">
        <v>12395</v>
      </c>
      <c r="B360" s="194" t="s">
        <v>735</v>
      </c>
      <c r="C360" s="339">
        <f t="shared" si="12"/>
        <v>50000</v>
      </c>
      <c r="D360" s="196" t="s">
        <v>624</v>
      </c>
      <c r="E360" s="197" t="s">
        <v>7207</v>
      </c>
      <c r="F360" s="507">
        <f>SUMIFS(Controle!$R:$R,Controle!$H:$H,produtos_escape2!$A360,Controle!$Z:$Z,"1")</f>
        <v>0</v>
      </c>
      <c r="G360" s="507">
        <f>SUMIFS(Controle!$R:$R,Controle!$H:$H,produtos_escape2!$A360,Controle!$Z:$Z,"2")</f>
        <v>0</v>
      </c>
      <c r="H360" s="507">
        <f>SUMIFS(Controle!$R:$R,Controle!$H:$H,produtos_escape2!$A360,Controle!$Z:$Z,"3")</f>
        <v>0</v>
      </c>
      <c r="I360" s="507">
        <f>SUMIFS(Controle!$R:$R,Controle!$H:$H,produtos_escape2!$A360,Controle!$Z:$Z,"4")</f>
        <v>0</v>
      </c>
      <c r="J360" s="507">
        <f>SUMIFS(Controle!$R:$R,Controle!$H:$H,produtos_escape2!$A360,Controle!$Z:$Z,"5")</f>
        <v>0</v>
      </c>
      <c r="K360" s="507">
        <f>SUMIFS(Controle!$R:$R,Controle!$H:$H,produtos_escape2!$A360,Controle!$Z:$Z,"6")</f>
        <v>0</v>
      </c>
      <c r="L360" s="507">
        <f t="shared" si="10"/>
        <v>0</v>
      </c>
      <c r="M360" s="381" t="s">
        <v>4725</v>
      </c>
      <c r="AF360" s="84"/>
    </row>
    <row r="361" spans="1:32" s="185" customFormat="1" ht="14.25" customHeight="1" thickBot="1">
      <c r="A361" s="353">
        <v>12396</v>
      </c>
      <c r="B361" s="338" t="s">
        <v>38</v>
      </c>
      <c r="C361" s="339">
        <f t="shared" si="12"/>
        <v>50000</v>
      </c>
      <c r="D361" s="196" t="s">
        <v>624</v>
      </c>
      <c r="E361" s="197" t="s">
        <v>1739</v>
      </c>
      <c r="F361" s="507">
        <f>SUMIFS(Controle!$R:$R,Controle!$H:$H,produtos_escape2!$A361,Controle!$Z:$Z,"1")</f>
        <v>0</v>
      </c>
      <c r="G361" s="507">
        <f>SUMIFS(Controle!$R:$R,Controle!$H:$H,produtos_escape2!$A361,Controle!$Z:$Z,"2")</f>
        <v>0</v>
      </c>
      <c r="H361" s="507">
        <f>SUMIFS(Controle!$R:$R,Controle!$H:$H,produtos_escape2!$A361,Controle!$Z:$Z,"3")</f>
        <v>0</v>
      </c>
      <c r="I361" s="507">
        <f>SUMIFS(Controle!$R:$R,Controle!$H:$H,produtos_escape2!$A361,Controle!$Z:$Z,"4")</f>
        <v>0</v>
      </c>
      <c r="J361" s="507">
        <f>SUMIFS(Controle!$R:$R,Controle!$H:$H,produtos_escape2!$A361,Controle!$Z:$Z,"5")</f>
        <v>0</v>
      </c>
      <c r="K361" s="507">
        <f>SUMIFS(Controle!$R:$R,Controle!$H:$H,produtos_escape2!$A361,Controle!$Z:$Z,"6")</f>
        <v>0</v>
      </c>
      <c r="L361" s="507">
        <f t="shared" si="10"/>
        <v>0</v>
      </c>
      <c r="M361" s="381" t="s">
        <v>4726</v>
      </c>
      <c r="AF361" s="84"/>
    </row>
    <row r="362" spans="1:32" s="185" customFormat="1" ht="14.25" customHeight="1" thickBot="1">
      <c r="A362" s="353">
        <v>12413</v>
      </c>
      <c r="B362" s="194" t="s">
        <v>312</v>
      </c>
      <c r="C362" s="339">
        <f t="shared" si="12"/>
        <v>50000</v>
      </c>
      <c r="D362" s="196" t="s">
        <v>624</v>
      </c>
      <c r="E362" s="197" t="s">
        <v>1739</v>
      </c>
      <c r="F362" s="507">
        <f>SUMIFS(Controle!$R:$R,Controle!$H:$H,produtos_escape2!$A362,Controle!$Z:$Z,"1")</f>
        <v>0</v>
      </c>
      <c r="G362" s="507">
        <f>SUMIFS(Controle!$R:$R,Controle!$H:$H,produtos_escape2!$A362,Controle!$Z:$Z,"2")</f>
        <v>0</v>
      </c>
      <c r="H362" s="507">
        <f>SUMIFS(Controle!$R:$R,Controle!$H:$H,produtos_escape2!$A362,Controle!$Z:$Z,"3")</f>
        <v>0</v>
      </c>
      <c r="I362" s="507">
        <f>SUMIFS(Controle!$R:$R,Controle!$H:$H,produtos_escape2!$A362,Controle!$Z:$Z,"4")</f>
        <v>0</v>
      </c>
      <c r="J362" s="507">
        <f>SUMIFS(Controle!$R:$R,Controle!$H:$H,produtos_escape2!$A362,Controle!$Z:$Z,"5")</f>
        <v>0</v>
      </c>
      <c r="K362" s="507">
        <f>SUMIFS(Controle!$R:$R,Controle!$H:$H,produtos_escape2!$A362,Controle!$Z:$Z,"6")</f>
        <v>0</v>
      </c>
      <c r="L362" s="507">
        <f t="shared" si="10"/>
        <v>0</v>
      </c>
      <c r="M362" s="381" t="s">
        <v>4727</v>
      </c>
      <c r="AF362" s="84"/>
    </row>
    <row r="363" spans="1:32" s="185" customFormat="1" ht="14.25" customHeight="1" thickBot="1">
      <c r="A363" s="353">
        <v>12428</v>
      </c>
      <c r="B363" s="194" t="s">
        <v>2926</v>
      </c>
      <c r="C363" s="339">
        <f t="shared" si="12"/>
        <v>50000</v>
      </c>
      <c r="D363" s="196" t="s">
        <v>624</v>
      </c>
      <c r="E363" s="197" t="s">
        <v>7207</v>
      </c>
      <c r="F363" s="507">
        <f>SUMIFS(Controle!$R:$R,Controle!$H:$H,produtos_escape2!$A363,Controle!$Z:$Z,"1")</f>
        <v>0</v>
      </c>
      <c r="G363" s="507">
        <f>SUMIFS(Controle!$R:$R,Controle!$H:$H,produtos_escape2!$A363,Controle!$Z:$Z,"2")</f>
        <v>0</v>
      </c>
      <c r="H363" s="507">
        <f>SUMIFS(Controle!$R:$R,Controle!$H:$H,produtos_escape2!$A363,Controle!$Z:$Z,"3")</f>
        <v>0</v>
      </c>
      <c r="I363" s="507">
        <f>SUMIFS(Controle!$R:$R,Controle!$H:$H,produtos_escape2!$A363,Controle!$Z:$Z,"4")</f>
        <v>0</v>
      </c>
      <c r="J363" s="507">
        <f>SUMIFS(Controle!$R:$R,Controle!$H:$H,produtos_escape2!$A363,Controle!$Z:$Z,"5")</f>
        <v>0</v>
      </c>
      <c r="K363" s="507">
        <f>SUMIFS(Controle!$R:$R,Controle!$H:$H,produtos_escape2!$A363,Controle!$Z:$Z,"6")</f>
        <v>0</v>
      </c>
      <c r="L363" s="507">
        <f t="shared" si="10"/>
        <v>0</v>
      </c>
      <c r="M363" s="381" t="s">
        <v>4728</v>
      </c>
      <c r="AF363" s="84"/>
    </row>
    <row r="364" spans="1:32" s="185" customFormat="1" ht="14.25" customHeight="1" thickBot="1">
      <c r="A364" s="353">
        <v>12430</v>
      </c>
      <c r="B364" s="194" t="s">
        <v>2927</v>
      </c>
      <c r="C364" s="339">
        <f t="shared" si="12"/>
        <v>50000</v>
      </c>
      <c r="D364" s="196" t="s">
        <v>624</v>
      </c>
      <c r="E364" s="197" t="s">
        <v>7207</v>
      </c>
      <c r="F364" s="507">
        <f>SUMIFS(Controle!$R:$R,Controle!$H:$H,produtos_escape2!$A364,Controle!$Z:$Z,"1")</f>
        <v>0</v>
      </c>
      <c r="G364" s="507">
        <f>SUMIFS(Controle!$R:$R,Controle!$H:$H,produtos_escape2!$A364,Controle!$Z:$Z,"2")</f>
        <v>0</v>
      </c>
      <c r="H364" s="507">
        <f>SUMIFS(Controle!$R:$R,Controle!$H:$H,produtos_escape2!$A364,Controle!$Z:$Z,"3")</f>
        <v>0</v>
      </c>
      <c r="I364" s="507">
        <f>SUMIFS(Controle!$R:$R,Controle!$H:$H,produtos_escape2!$A364,Controle!$Z:$Z,"4")</f>
        <v>0</v>
      </c>
      <c r="J364" s="507">
        <f>SUMIFS(Controle!$R:$R,Controle!$H:$H,produtos_escape2!$A364,Controle!$Z:$Z,"5")</f>
        <v>0</v>
      </c>
      <c r="K364" s="507">
        <f>SUMIFS(Controle!$R:$R,Controle!$H:$H,produtos_escape2!$A364,Controle!$Z:$Z,"6")</f>
        <v>0</v>
      </c>
      <c r="L364" s="507">
        <f t="shared" si="10"/>
        <v>0</v>
      </c>
      <c r="M364" s="381" t="s">
        <v>4728</v>
      </c>
      <c r="AF364" s="84"/>
    </row>
    <row r="365" spans="1:32" s="185" customFormat="1" ht="14.25" customHeight="1" thickBot="1">
      <c r="A365" s="353">
        <v>12437</v>
      </c>
      <c r="B365" s="194" t="s">
        <v>2928</v>
      </c>
      <c r="C365" s="339">
        <f t="shared" si="12"/>
        <v>50000</v>
      </c>
      <c r="D365" s="196" t="s">
        <v>624</v>
      </c>
      <c r="E365" s="197" t="s">
        <v>7207</v>
      </c>
      <c r="F365" s="507">
        <f>SUMIFS(Controle!$R:$R,Controle!$H:$H,produtos_escape2!$A365,Controle!$Z:$Z,"1")</f>
        <v>0</v>
      </c>
      <c r="G365" s="507">
        <f>SUMIFS(Controle!$R:$R,Controle!$H:$H,produtos_escape2!$A365,Controle!$Z:$Z,"2")</f>
        <v>0</v>
      </c>
      <c r="H365" s="507">
        <f>SUMIFS(Controle!$R:$R,Controle!$H:$H,produtos_escape2!$A365,Controle!$Z:$Z,"3")</f>
        <v>0</v>
      </c>
      <c r="I365" s="507">
        <f>SUMIFS(Controle!$R:$R,Controle!$H:$H,produtos_escape2!$A365,Controle!$Z:$Z,"4")</f>
        <v>0</v>
      </c>
      <c r="J365" s="507">
        <f>SUMIFS(Controle!$R:$R,Controle!$H:$H,produtos_escape2!$A365,Controle!$Z:$Z,"5")</f>
        <v>0</v>
      </c>
      <c r="K365" s="507">
        <f>SUMIFS(Controle!$R:$R,Controle!$H:$H,produtos_escape2!$A365,Controle!$Z:$Z,"6")</f>
        <v>0</v>
      </c>
      <c r="L365" s="507">
        <f t="shared" si="10"/>
        <v>0</v>
      </c>
      <c r="M365" s="381" t="s">
        <v>4728</v>
      </c>
      <c r="AF365" s="84"/>
    </row>
    <row r="366" spans="1:32" s="185" customFormat="1" ht="14.25" customHeight="1" thickBot="1">
      <c r="A366" s="353">
        <v>12440</v>
      </c>
      <c r="B366" s="194" t="s">
        <v>166</v>
      </c>
      <c r="C366" s="339">
        <f t="shared" si="12"/>
        <v>50000</v>
      </c>
      <c r="D366" s="196" t="s">
        <v>837</v>
      </c>
      <c r="E366" s="197" t="s">
        <v>1739</v>
      </c>
      <c r="F366" s="507">
        <f>SUMIFS(Controle!$R:$R,Controle!$H:$H,produtos_escape2!$A366,Controle!$Z:$Z,"1")</f>
        <v>0</v>
      </c>
      <c r="G366" s="507">
        <f>SUMIFS(Controle!$R:$R,Controle!$H:$H,produtos_escape2!$A366,Controle!$Z:$Z,"2")</f>
        <v>0</v>
      </c>
      <c r="H366" s="507">
        <f>SUMIFS(Controle!$R:$R,Controle!$H:$H,produtos_escape2!$A366,Controle!$Z:$Z,"3")</f>
        <v>0</v>
      </c>
      <c r="I366" s="507">
        <f>SUMIFS(Controle!$R:$R,Controle!$H:$H,produtos_escape2!$A366,Controle!$Z:$Z,"4")</f>
        <v>0</v>
      </c>
      <c r="J366" s="507">
        <f>SUMIFS(Controle!$R:$R,Controle!$H:$H,produtos_escape2!$A366,Controle!$Z:$Z,"5")</f>
        <v>0</v>
      </c>
      <c r="K366" s="507">
        <f>SUMIFS(Controle!$R:$R,Controle!$H:$H,produtos_escape2!$A366,Controle!$Z:$Z,"6")</f>
        <v>0</v>
      </c>
      <c r="L366" s="507">
        <f t="shared" si="10"/>
        <v>0</v>
      </c>
      <c r="M366" s="381" t="s">
        <v>166</v>
      </c>
      <c r="AF366" s="84"/>
    </row>
    <row r="367" spans="1:32" s="185" customFormat="1" ht="14.25" customHeight="1" thickBot="1">
      <c r="A367" s="353">
        <v>12456</v>
      </c>
      <c r="B367" s="194" t="s">
        <v>266</v>
      </c>
      <c r="C367" s="339">
        <f t="shared" si="12"/>
        <v>50000</v>
      </c>
      <c r="D367" s="196" t="s">
        <v>624</v>
      </c>
      <c r="E367" s="197" t="s">
        <v>1739</v>
      </c>
      <c r="F367" s="507">
        <f>SUMIFS(Controle!$R:$R,Controle!$H:$H,produtos_escape2!$A367,Controle!$Z:$Z,"1")</f>
        <v>0</v>
      </c>
      <c r="G367" s="507">
        <f>SUMIFS(Controle!$R:$R,Controle!$H:$H,produtos_escape2!$A367,Controle!$Z:$Z,"2")</f>
        <v>0</v>
      </c>
      <c r="H367" s="507">
        <f>SUMIFS(Controle!$R:$R,Controle!$H:$H,produtos_escape2!$A367,Controle!$Z:$Z,"3")</f>
        <v>0</v>
      </c>
      <c r="I367" s="507">
        <f>SUMIFS(Controle!$R:$R,Controle!$H:$H,produtos_escape2!$A367,Controle!$Z:$Z,"4")</f>
        <v>0</v>
      </c>
      <c r="J367" s="507">
        <f>SUMIFS(Controle!$R:$R,Controle!$H:$H,produtos_escape2!$A367,Controle!$Z:$Z,"5")</f>
        <v>0</v>
      </c>
      <c r="K367" s="507">
        <f>SUMIFS(Controle!$R:$R,Controle!$H:$H,produtos_escape2!$A367,Controle!$Z:$Z,"6")</f>
        <v>0</v>
      </c>
      <c r="L367" s="507">
        <f t="shared" si="10"/>
        <v>0</v>
      </c>
      <c r="M367" s="381" t="s">
        <v>4729</v>
      </c>
      <c r="AF367" s="84"/>
    </row>
    <row r="368" spans="1:32" s="185" customFormat="1" ht="14.25" customHeight="1" thickBot="1">
      <c r="A368" s="333">
        <v>12492</v>
      </c>
      <c r="B368" s="194" t="s">
        <v>1735</v>
      </c>
      <c r="C368" s="339">
        <f t="shared" si="12"/>
        <v>50000</v>
      </c>
      <c r="D368" s="196" t="s">
        <v>548</v>
      </c>
      <c r="E368" s="197" t="s">
        <v>3608</v>
      </c>
      <c r="F368" s="507">
        <f>SUMIFS(Controle!$R:$R,Controle!$H:$H,produtos_escape2!$A368,Controle!$Z:$Z,"1")</f>
        <v>0</v>
      </c>
      <c r="G368" s="507">
        <f>SUMIFS(Controle!$R:$R,Controle!$H:$H,produtos_escape2!$A368,Controle!$Z:$Z,"2")</f>
        <v>0</v>
      </c>
      <c r="H368" s="507">
        <f>SUMIFS(Controle!$R:$R,Controle!$H:$H,produtos_escape2!$A368,Controle!$Z:$Z,"3")</f>
        <v>0</v>
      </c>
      <c r="I368" s="507">
        <f>SUMIFS(Controle!$R:$R,Controle!$H:$H,produtos_escape2!$A368,Controle!$Z:$Z,"4")</f>
        <v>0</v>
      </c>
      <c r="J368" s="507">
        <f>SUMIFS(Controle!$R:$R,Controle!$H:$H,produtos_escape2!$A368,Controle!$Z:$Z,"5")</f>
        <v>0</v>
      </c>
      <c r="K368" s="507">
        <f>SUMIFS(Controle!$R:$R,Controle!$H:$H,produtos_escape2!$A368,Controle!$Z:$Z,"6")</f>
        <v>0</v>
      </c>
      <c r="L368" s="507">
        <f t="shared" si="10"/>
        <v>0</v>
      </c>
      <c r="M368" s="381" t="s">
        <v>4730</v>
      </c>
      <c r="AF368" s="84"/>
    </row>
    <row r="369" spans="1:32" s="185" customFormat="1" ht="14.25" customHeight="1" thickBot="1">
      <c r="A369" s="353">
        <v>12495</v>
      </c>
      <c r="B369" s="338" t="s">
        <v>2589</v>
      </c>
      <c r="C369" s="339">
        <f t="shared" si="12"/>
        <v>48310</v>
      </c>
      <c r="D369" s="196" t="s">
        <v>837</v>
      </c>
      <c r="E369" s="197" t="s">
        <v>7207</v>
      </c>
      <c r="F369" s="507">
        <f>SUMIFS(Controle!$R:$R,Controle!$H:$H,produtos_escape2!$A369,Controle!$Z:$Z,"1")</f>
        <v>0</v>
      </c>
      <c r="G369" s="507">
        <f>SUMIFS(Controle!$R:$R,Controle!$H:$H,produtos_escape2!$A369,Controle!$Z:$Z,"2")</f>
        <v>0</v>
      </c>
      <c r="H369" s="507">
        <f>SUMIFS(Controle!$R:$R,Controle!$H:$H,produtos_escape2!$A369,Controle!$Z:$Z,"3")</f>
        <v>1689.9999999999998</v>
      </c>
      <c r="I369" s="507">
        <f>SUMIFS(Controle!$R:$R,Controle!$H:$H,produtos_escape2!$A369,Controle!$Z:$Z,"4")</f>
        <v>0</v>
      </c>
      <c r="J369" s="507">
        <f>SUMIFS(Controle!$R:$R,Controle!$H:$H,produtos_escape2!$A369,Controle!$Z:$Z,"5")</f>
        <v>0</v>
      </c>
      <c r="K369" s="507">
        <f>SUMIFS(Controle!$R:$R,Controle!$H:$H,produtos_escape2!$A369,Controle!$Z:$Z,"6")</f>
        <v>0</v>
      </c>
      <c r="L369" s="507">
        <f t="shared" si="10"/>
        <v>1689.9999999999998</v>
      </c>
      <c r="M369" s="381" t="s">
        <v>4731</v>
      </c>
      <c r="AF369" s="84"/>
    </row>
    <row r="370" spans="1:32" s="185" customFormat="1" ht="14.25" customHeight="1" thickBot="1">
      <c r="A370" s="353">
        <v>12499</v>
      </c>
      <c r="B370" s="194" t="s">
        <v>126</v>
      </c>
      <c r="C370" s="339">
        <f t="shared" si="12"/>
        <v>50000</v>
      </c>
      <c r="D370" s="196"/>
      <c r="E370" s="197"/>
      <c r="F370" s="507">
        <f>SUMIFS(Controle!$R:$R,Controle!$H:$H,produtos_escape2!$A370,Controle!$Z:$Z,"1")</f>
        <v>0</v>
      </c>
      <c r="G370" s="507">
        <f>SUMIFS(Controle!$R:$R,Controle!$H:$H,produtos_escape2!$A370,Controle!$Z:$Z,"2")</f>
        <v>0</v>
      </c>
      <c r="H370" s="507">
        <f>SUMIFS(Controle!$R:$R,Controle!$H:$H,produtos_escape2!$A370,Controle!$Z:$Z,"3")</f>
        <v>0</v>
      </c>
      <c r="I370" s="507">
        <f>SUMIFS(Controle!$R:$R,Controle!$H:$H,produtos_escape2!$A370,Controle!$Z:$Z,"4")</f>
        <v>0</v>
      </c>
      <c r="J370" s="507">
        <f>SUMIFS(Controle!$R:$R,Controle!$H:$H,produtos_escape2!$A370,Controle!$Z:$Z,"5")</f>
        <v>0</v>
      </c>
      <c r="K370" s="507">
        <f>SUMIFS(Controle!$R:$R,Controle!$H:$H,produtos_escape2!$A370,Controle!$Z:$Z,"6")</f>
        <v>0</v>
      </c>
      <c r="L370" s="507">
        <f t="shared" si="10"/>
        <v>0</v>
      </c>
      <c r="M370" s="381" t="s">
        <v>126</v>
      </c>
      <c r="AF370" s="84"/>
    </row>
    <row r="371" spans="1:32" s="185" customFormat="1" ht="14.25" customHeight="1" thickBot="1">
      <c r="A371" s="353">
        <v>12533</v>
      </c>
      <c r="B371" s="194" t="s">
        <v>1371</v>
      </c>
      <c r="C371" s="339">
        <f t="shared" si="12"/>
        <v>50000</v>
      </c>
      <c r="D371" s="196" t="s">
        <v>819</v>
      </c>
      <c r="E371" s="197" t="s">
        <v>3608</v>
      </c>
      <c r="F371" s="507">
        <f>SUMIFS(Controle!$R:$R,Controle!$H:$H,produtos_escape2!$A371,Controle!$Z:$Z,"1")</f>
        <v>0</v>
      </c>
      <c r="G371" s="507">
        <f>SUMIFS(Controle!$R:$R,Controle!$H:$H,produtos_escape2!$A371,Controle!$Z:$Z,"2")</f>
        <v>0</v>
      </c>
      <c r="H371" s="507">
        <f>SUMIFS(Controle!$R:$R,Controle!$H:$H,produtos_escape2!$A371,Controle!$Z:$Z,"3")</f>
        <v>0</v>
      </c>
      <c r="I371" s="507">
        <f>SUMIFS(Controle!$R:$R,Controle!$H:$H,produtos_escape2!$A371,Controle!$Z:$Z,"4")</f>
        <v>0</v>
      </c>
      <c r="J371" s="507">
        <f>SUMIFS(Controle!$R:$R,Controle!$H:$H,produtos_escape2!$A371,Controle!$Z:$Z,"5")</f>
        <v>0</v>
      </c>
      <c r="K371" s="507">
        <f>SUMIFS(Controle!$R:$R,Controle!$H:$H,produtos_escape2!$A371,Controle!$Z:$Z,"6")</f>
        <v>0</v>
      </c>
      <c r="L371" s="507">
        <f t="shared" si="10"/>
        <v>0</v>
      </c>
      <c r="M371" s="381" t="s">
        <v>1371</v>
      </c>
      <c r="AF371" s="84"/>
    </row>
    <row r="372" spans="1:32" s="185" customFormat="1" ht="14.25" customHeight="1" thickBot="1">
      <c r="A372" s="353">
        <v>12534</v>
      </c>
      <c r="B372" s="194" t="s">
        <v>1372</v>
      </c>
      <c r="C372" s="339">
        <f t="shared" si="12"/>
        <v>50000</v>
      </c>
      <c r="D372" s="196" t="s">
        <v>819</v>
      </c>
      <c r="E372" s="197" t="s">
        <v>3608</v>
      </c>
      <c r="F372" s="507">
        <f>SUMIFS(Controle!$R:$R,Controle!$H:$H,produtos_escape2!$A372,Controle!$Z:$Z,"1")</f>
        <v>0</v>
      </c>
      <c r="G372" s="507">
        <f>SUMIFS(Controle!$R:$R,Controle!$H:$H,produtos_escape2!$A372,Controle!$Z:$Z,"2")</f>
        <v>0</v>
      </c>
      <c r="H372" s="507">
        <f>SUMIFS(Controle!$R:$R,Controle!$H:$H,produtos_escape2!$A372,Controle!$Z:$Z,"3")</f>
        <v>0</v>
      </c>
      <c r="I372" s="507">
        <f>SUMIFS(Controle!$R:$R,Controle!$H:$H,produtos_escape2!$A372,Controle!$Z:$Z,"4")</f>
        <v>0</v>
      </c>
      <c r="J372" s="507">
        <f>SUMIFS(Controle!$R:$R,Controle!$H:$H,produtos_escape2!$A372,Controle!$Z:$Z,"5")</f>
        <v>0</v>
      </c>
      <c r="K372" s="507">
        <f>SUMIFS(Controle!$R:$R,Controle!$H:$H,produtos_escape2!$A372,Controle!$Z:$Z,"6")</f>
        <v>0</v>
      </c>
      <c r="L372" s="507">
        <f t="shared" si="10"/>
        <v>0</v>
      </c>
      <c r="M372" s="381" t="s">
        <v>1372</v>
      </c>
      <c r="AF372" s="84"/>
    </row>
    <row r="373" spans="1:32" s="185" customFormat="1" ht="14.25" customHeight="1" thickBot="1">
      <c r="A373" s="353">
        <v>12535</v>
      </c>
      <c r="B373" s="194" t="s">
        <v>1280</v>
      </c>
      <c r="C373" s="339">
        <f t="shared" si="12"/>
        <v>50000</v>
      </c>
      <c r="D373" s="196" t="s">
        <v>819</v>
      </c>
      <c r="E373" s="197" t="s">
        <v>3608</v>
      </c>
      <c r="F373" s="507">
        <f>SUMIFS(Controle!$R:$R,Controle!$H:$H,produtos_escape2!$A373,Controle!$Z:$Z,"1")</f>
        <v>0</v>
      </c>
      <c r="G373" s="507">
        <f>SUMIFS(Controle!$R:$R,Controle!$H:$H,produtos_escape2!$A373,Controle!$Z:$Z,"2")</f>
        <v>0</v>
      </c>
      <c r="H373" s="507">
        <f>SUMIFS(Controle!$R:$R,Controle!$H:$H,produtos_escape2!$A373,Controle!$Z:$Z,"3")</f>
        <v>0</v>
      </c>
      <c r="I373" s="507">
        <f>SUMIFS(Controle!$R:$R,Controle!$H:$H,produtos_escape2!$A373,Controle!$Z:$Z,"4")</f>
        <v>0</v>
      </c>
      <c r="J373" s="507">
        <f>SUMIFS(Controle!$R:$R,Controle!$H:$H,produtos_escape2!$A373,Controle!$Z:$Z,"5")</f>
        <v>0</v>
      </c>
      <c r="K373" s="507">
        <f>SUMIFS(Controle!$R:$R,Controle!$H:$H,produtos_escape2!$A373,Controle!$Z:$Z,"6")</f>
        <v>0</v>
      </c>
      <c r="L373" s="507">
        <f t="shared" si="10"/>
        <v>0</v>
      </c>
      <c r="M373" s="381" t="s">
        <v>1280</v>
      </c>
      <c r="AF373" s="84"/>
    </row>
    <row r="374" spans="1:32" s="185" customFormat="1" ht="14.25" customHeight="1" thickBot="1">
      <c r="A374" s="353">
        <v>12554</v>
      </c>
      <c r="B374" s="194" t="s">
        <v>279</v>
      </c>
      <c r="C374" s="339">
        <f t="shared" si="12"/>
        <v>50000</v>
      </c>
      <c r="D374" s="191" t="s">
        <v>624</v>
      </c>
      <c r="E374" s="172" t="s">
        <v>1687</v>
      </c>
      <c r="F374" s="507">
        <f>SUMIFS(Controle!$R:$R,Controle!$H:$H,produtos_escape2!$A374,Controle!$Z:$Z,"1")</f>
        <v>0</v>
      </c>
      <c r="G374" s="507">
        <f>SUMIFS(Controle!$R:$R,Controle!$H:$H,produtos_escape2!$A374,Controle!$Z:$Z,"2")</f>
        <v>0</v>
      </c>
      <c r="H374" s="507">
        <f>SUMIFS(Controle!$R:$R,Controle!$H:$H,produtos_escape2!$A374,Controle!$Z:$Z,"3")</f>
        <v>0</v>
      </c>
      <c r="I374" s="507">
        <f>SUMIFS(Controle!$R:$R,Controle!$H:$H,produtos_escape2!$A374,Controle!$Z:$Z,"4")</f>
        <v>0</v>
      </c>
      <c r="J374" s="507">
        <f>SUMIFS(Controle!$R:$R,Controle!$H:$H,produtos_escape2!$A374,Controle!$Z:$Z,"5")</f>
        <v>0</v>
      </c>
      <c r="K374" s="507">
        <f>SUMIFS(Controle!$R:$R,Controle!$H:$H,produtos_escape2!$A374,Controle!$Z:$Z,"6")</f>
        <v>0</v>
      </c>
      <c r="L374" s="507">
        <f t="shared" si="10"/>
        <v>0</v>
      </c>
      <c r="M374" s="381" t="s">
        <v>4732</v>
      </c>
      <c r="AF374" s="84"/>
    </row>
    <row r="375" spans="1:32" s="185" customFormat="1" ht="14.25" customHeight="1" thickBot="1">
      <c r="A375" s="353">
        <v>12562</v>
      </c>
      <c r="B375" s="194" t="s">
        <v>864</v>
      </c>
      <c r="C375" s="339">
        <f t="shared" si="12"/>
        <v>50000</v>
      </c>
      <c r="D375" s="191" t="s">
        <v>624</v>
      </c>
      <c r="E375" s="172" t="s">
        <v>1687</v>
      </c>
      <c r="F375" s="507">
        <f>SUMIFS(Controle!$R:$R,Controle!$H:$H,produtos_escape2!$A375,Controle!$Z:$Z,"1")</f>
        <v>0</v>
      </c>
      <c r="G375" s="507">
        <f>SUMIFS(Controle!$R:$R,Controle!$H:$H,produtos_escape2!$A375,Controle!$Z:$Z,"2")</f>
        <v>0</v>
      </c>
      <c r="H375" s="507">
        <f>SUMIFS(Controle!$R:$R,Controle!$H:$H,produtos_escape2!$A375,Controle!$Z:$Z,"3")</f>
        <v>0</v>
      </c>
      <c r="I375" s="507">
        <f>SUMIFS(Controle!$R:$R,Controle!$H:$H,produtos_escape2!$A375,Controle!$Z:$Z,"4")</f>
        <v>0</v>
      </c>
      <c r="J375" s="507">
        <f>SUMIFS(Controle!$R:$R,Controle!$H:$H,produtos_escape2!$A375,Controle!$Z:$Z,"5")</f>
        <v>0</v>
      </c>
      <c r="K375" s="507">
        <f>SUMIFS(Controle!$R:$R,Controle!$H:$H,produtos_escape2!$A375,Controle!$Z:$Z,"6")</f>
        <v>0</v>
      </c>
      <c r="L375" s="507">
        <f t="shared" si="10"/>
        <v>0</v>
      </c>
      <c r="M375" s="381" t="s">
        <v>864</v>
      </c>
      <c r="AF375" s="84"/>
    </row>
    <row r="376" spans="1:32" s="185" customFormat="1" ht="14.25" customHeight="1" thickBot="1">
      <c r="A376" s="333">
        <v>12578</v>
      </c>
      <c r="B376" s="194" t="s">
        <v>176</v>
      </c>
      <c r="C376" s="339">
        <f t="shared" si="12"/>
        <v>50000</v>
      </c>
      <c r="D376" s="196"/>
      <c r="E376" s="197"/>
      <c r="F376" s="507">
        <f>SUMIFS(Controle!$R:$R,Controle!$H:$H,produtos_escape2!$A376,Controle!$Z:$Z,"1")</f>
        <v>0</v>
      </c>
      <c r="G376" s="507">
        <f>SUMIFS(Controle!$R:$R,Controle!$H:$H,produtos_escape2!$A376,Controle!$Z:$Z,"2")</f>
        <v>0</v>
      </c>
      <c r="H376" s="507">
        <f>SUMIFS(Controle!$R:$R,Controle!$H:$H,produtos_escape2!$A376,Controle!$Z:$Z,"3")</f>
        <v>0</v>
      </c>
      <c r="I376" s="507">
        <f>SUMIFS(Controle!$R:$R,Controle!$H:$H,produtos_escape2!$A376,Controle!$Z:$Z,"4")</f>
        <v>0</v>
      </c>
      <c r="J376" s="507">
        <f>SUMIFS(Controle!$R:$R,Controle!$H:$H,produtos_escape2!$A376,Controle!$Z:$Z,"5")</f>
        <v>0</v>
      </c>
      <c r="K376" s="507">
        <f>SUMIFS(Controle!$R:$R,Controle!$H:$H,produtos_escape2!$A376,Controle!$Z:$Z,"6")</f>
        <v>0</v>
      </c>
      <c r="L376" s="507">
        <f t="shared" si="10"/>
        <v>0</v>
      </c>
      <c r="M376" s="381" t="s">
        <v>4733</v>
      </c>
      <c r="AF376" s="84"/>
    </row>
    <row r="377" spans="1:32" s="185" customFormat="1" ht="14.25" customHeight="1" thickBot="1">
      <c r="A377" s="353">
        <v>12586</v>
      </c>
      <c r="B377" s="338" t="s">
        <v>431</v>
      </c>
      <c r="C377" s="339">
        <f t="shared" si="12"/>
        <v>50000</v>
      </c>
      <c r="D377" s="196" t="s">
        <v>624</v>
      </c>
      <c r="E377" s="197" t="s">
        <v>7207</v>
      </c>
      <c r="F377" s="507">
        <f>SUMIFS(Controle!$R:$R,Controle!$H:$H,produtos_escape2!$A377,Controle!$Z:$Z,"1")</f>
        <v>0</v>
      </c>
      <c r="G377" s="507">
        <f>SUMIFS(Controle!$R:$R,Controle!$H:$H,produtos_escape2!$A377,Controle!$Z:$Z,"2")</f>
        <v>0</v>
      </c>
      <c r="H377" s="507">
        <f>SUMIFS(Controle!$R:$R,Controle!$H:$H,produtos_escape2!$A377,Controle!$Z:$Z,"3")</f>
        <v>0</v>
      </c>
      <c r="I377" s="507">
        <f>SUMIFS(Controle!$R:$R,Controle!$H:$H,produtos_escape2!$A377,Controle!$Z:$Z,"4")</f>
        <v>0</v>
      </c>
      <c r="J377" s="507">
        <f>SUMIFS(Controle!$R:$R,Controle!$H:$H,produtos_escape2!$A377,Controle!$Z:$Z,"5")</f>
        <v>0</v>
      </c>
      <c r="K377" s="507">
        <f>SUMIFS(Controle!$R:$R,Controle!$H:$H,produtos_escape2!$A377,Controle!$Z:$Z,"6")</f>
        <v>0</v>
      </c>
      <c r="L377" s="507">
        <f t="shared" si="10"/>
        <v>0</v>
      </c>
      <c r="M377" s="381" t="s">
        <v>4734</v>
      </c>
      <c r="AF377" s="84"/>
    </row>
    <row r="378" spans="1:32" s="185" customFormat="1" ht="14.25" customHeight="1" thickBot="1">
      <c r="A378" s="353">
        <v>12587</v>
      </c>
      <c r="B378" s="194" t="s">
        <v>432</v>
      </c>
      <c r="C378" s="339">
        <f t="shared" si="12"/>
        <v>50000</v>
      </c>
      <c r="D378" s="196"/>
      <c r="E378" s="197"/>
      <c r="F378" s="507">
        <f>SUMIFS(Controle!$R:$R,Controle!$H:$H,produtos_escape2!$A378,Controle!$Z:$Z,"1")</f>
        <v>0</v>
      </c>
      <c r="G378" s="507">
        <f>SUMIFS(Controle!$R:$R,Controle!$H:$H,produtos_escape2!$A378,Controle!$Z:$Z,"2")</f>
        <v>0</v>
      </c>
      <c r="H378" s="507">
        <f>SUMIFS(Controle!$R:$R,Controle!$H:$H,produtos_escape2!$A378,Controle!$Z:$Z,"3")</f>
        <v>0</v>
      </c>
      <c r="I378" s="507">
        <f>SUMIFS(Controle!$R:$R,Controle!$H:$H,produtos_escape2!$A378,Controle!$Z:$Z,"4")</f>
        <v>0</v>
      </c>
      <c r="J378" s="507">
        <f>SUMIFS(Controle!$R:$R,Controle!$H:$H,produtos_escape2!$A378,Controle!$Z:$Z,"5")</f>
        <v>0</v>
      </c>
      <c r="K378" s="507">
        <f>SUMIFS(Controle!$R:$R,Controle!$H:$H,produtos_escape2!$A378,Controle!$Z:$Z,"6")</f>
        <v>0</v>
      </c>
      <c r="L378" s="507">
        <f t="shared" si="10"/>
        <v>0</v>
      </c>
      <c r="M378" s="381" t="s">
        <v>4735</v>
      </c>
      <c r="AF378" s="84"/>
    </row>
    <row r="379" spans="1:32" s="185" customFormat="1" ht="14.25" customHeight="1" thickBot="1">
      <c r="A379" s="353">
        <v>12657</v>
      </c>
      <c r="B379" s="194" t="s">
        <v>400</v>
      </c>
      <c r="C379" s="339">
        <f t="shared" si="12"/>
        <v>50000</v>
      </c>
      <c r="D379" s="196"/>
      <c r="E379" s="197"/>
      <c r="F379" s="507">
        <f>SUMIFS(Controle!$R:$R,Controle!$H:$H,produtos_escape2!$A379,Controle!$Z:$Z,"1")</f>
        <v>0</v>
      </c>
      <c r="G379" s="507">
        <f>SUMIFS(Controle!$R:$R,Controle!$H:$H,produtos_escape2!$A379,Controle!$Z:$Z,"2")</f>
        <v>0</v>
      </c>
      <c r="H379" s="507">
        <f>SUMIFS(Controle!$R:$R,Controle!$H:$H,produtos_escape2!$A379,Controle!$Z:$Z,"3")</f>
        <v>0</v>
      </c>
      <c r="I379" s="507">
        <f>SUMIFS(Controle!$R:$R,Controle!$H:$H,produtos_escape2!$A379,Controle!$Z:$Z,"4")</f>
        <v>0</v>
      </c>
      <c r="J379" s="507">
        <f>SUMIFS(Controle!$R:$R,Controle!$H:$H,produtos_escape2!$A379,Controle!$Z:$Z,"5")</f>
        <v>0</v>
      </c>
      <c r="K379" s="507">
        <f>SUMIFS(Controle!$R:$R,Controle!$H:$H,produtos_escape2!$A379,Controle!$Z:$Z,"6")</f>
        <v>0</v>
      </c>
      <c r="L379" s="507">
        <f t="shared" si="10"/>
        <v>0</v>
      </c>
      <c r="M379" s="381" t="s">
        <v>4736</v>
      </c>
      <c r="AF379" s="84"/>
    </row>
    <row r="380" spans="1:32" s="185" customFormat="1" ht="14.25" customHeight="1" thickBot="1">
      <c r="A380" s="353">
        <v>12661</v>
      </c>
      <c r="B380" s="194" t="s">
        <v>540</v>
      </c>
      <c r="C380" s="339">
        <f t="shared" si="12"/>
        <v>50000</v>
      </c>
      <c r="D380" s="196"/>
      <c r="E380" s="197"/>
      <c r="F380" s="507">
        <f>SUMIFS(Controle!$R:$R,Controle!$H:$H,produtos_escape2!$A380,Controle!$Z:$Z,"1")</f>
        <v>0</v>
      </c>
      <c r="G380" s="507">
        <f>SUMIFS(Controle!$R:$R,Controle!$H:$H,produtos_escape2!$A380,Controle!$Z:$Z,"2")</f>
        <v>0</v>
      </c>
      <c r="H380" s="507">
        <f>SUMIFS(Controle!$R:$R,Controle!$H:$H,produtos_escape2!$A380,Controle!$Z:$Z,"3")</f>
        <v>0</v>
      </c>
      <c r="I380" s="507">
        <f>SUMIFS(Controle!$R:$R,Controle!$H:$H,produtos_escape2!$A380,Controle!$Z:$Z,"4")</f>
        <v>0</v>
      </c>
      <c r="J380" s="507">
        <f>SUMIFS(Controle!$R:$R,Controle!$H:$H,produtos_escape2!$A380,Controle!$Z:$Z,"5")</f>
        <v>0</v>
      </c>
      <c r="K380" s="507">
        <f>SUMIFS(Controle!$R:$R,Controle!$H:$H,produtos_escape2!$A380,Controle!$Z:$Z,"6")</f>
        <v>0</v>
      </c>
      <c r="L380" s="507">
        <f t="shared" si="10"/>
        <v>0</v>
      </c>
      <c r="M380" s="381" t="s">
        <v>4737</v>
      </c>
      <c r="AF380" s="84"/>
    </row>
    <row r="381" spans="1:32" s="185" customFormat="1" ht="14.25" customHeight="1" thickBot="1">
      <c r="A381" s="353">
        <v>12681</v>
      </c>
      <c r="B381" s="194" t="s">
        <v>613</v>
      </c>
      <c r="C381" s="339">
        <f t="shared" si="12"/>
        <v>50000</v>
      </c>
      <c r="D381" s="196"/>
      <c r="E381" s="197" t="s">
        <v>7207</v>
      </c>
      <c r="F381" s="507">
        <f>SUMIFS(Controle!$R:$R,Controle!$H:$H,produtos_escape2!$A381,Controle!$Z:$Z,"1")</f>
        <v>0</v>
      </c>
      <c r="G381" s="507">
        <f>SUMIFS(Controle!$R:$R,Controle!$H:$H,produtos_escape2!$A381,Controle!$Z:$Z,"2")</f>
        <v>0</v>
      </c>
      <c r="H381" s="507">
        <f>SUMIFS(Controle!$R:$R,Controle!$H:$H,produtos_escape2!$A381,Controle!$Z:$Z,"3")</f>
        <v>0</v>
      </c>
      <c r="I381" s="507">
        <f>SUMIFS(Controle!$R:$R,Controle!$H:$H,produtos_escape2!$A381,Controle!$Z:$Z,"4")</f>
        <v>0</v>
      </c>
      <c r="J381" s="507">
        <f>SUMIFS(Controle!$R:$R,Controle!$H:$H,produtos_escape2!$A381,Controle!$Z:$Z,"5")</f>
        <v>0</v>
      </c>
      <c r="K381" s="507">
        <f>SUMIFS(Controle!$R:$R,Controle!$H:$H,produtos_escape2!$A381,Controle!$Z:$Z,"6")</f>
        <v>0</v>
      </c>
      <c r="L381" s="507">
        <f t="shared" si="10"/>
        <v>0</v>
      </c>
      <c r="M381" s="381" t="s">
        <v>4738</v>
      </c>
      <c r="AF381" s="84"/>
    </row>
    <row r="382" spans="1:32" s="185" customFormat="1" ht="15" customHeight="1" thickBot="1">
      <c r="A382" s="353">
        <v>12685</v>
      </c>
      <c r="B382" s="194" t="s">
        <v>635</v>
      </c>
      <c r="C382" s="339">
        <f t="shared" si="12"/>
        <v>50000</v>
      </c>
      <c r="D382" s="196" t="s">
        <v>624</v>
      </c>
      <c r="E382" s="197" t="s">
        <v>7207</v>
      </c>
      <c r="F382" s="507">
        <f>SUMIFS(Controle!$R:$R,Controle!$H:$H,produtos_escape2!$A382,Controle!$Z:$Z,"1")</f>
        <v>0</v>
      </c>
      <c r="G382" s="507">
        <f>SUMIFS(Controle!$R:$R,Controle!$H:$H,produtos_escape2!$A382,Controle!$Z:$Z,"2")</f>
        <v>0</v>
      </c>
      <c r="H382" s="507">
        <f>SUMIFS(Controle!$R:$R,Controle!$H:$H,produtos_escape2!$A382,Controle!$Z:$Z,"3")</f>
        <v>0</v>
      </c>
      <c r="I382" s="507">
        <f>SUMIFS(Controle!$R:$R,Controle!$H:$H,produtos_escape2!$A382,Controle!$Z:$Z,"4")</f>
        <v>0</v>
      </c>
      <c r="J382" s="507">
        <f>SUMIFS(Controle!$R:$R,Controle!$H:$H,produtos_escape2!$A382,Controle!$Z:$Z,"5")</f>
        <v>0</v>
      </c>
      <c r="K382" s="507">
        <f>SUMIFS(Controle!$R:$R,Controle!$H:$H,produtos_escape2!$A382,Controle!$Z:$Z,"6")</f>
        <v>0</v>
      </c>
      <c r="L382" s="507">
        <f t="shared" si="10"/>
        <v>0</v>
      </c>
      <c r="M382" s="381" t="s">
        <v>4739</v>
      </c>
      <c r="AF382" s="84"/>
    </row>
    <row r="383" spans="1:32" s="185" customFormat="1" ht="14.25" customHeight="1" thickBot="1">
      <c r="A383" s="353">
        <v>12726</v>
      </c>
      <c r="B383" s="194" t="s">
        <v>9968</v>
      </c>
      <c r="C383" s="339">
        <f t="shared" si="12"/>
        <v>50000</v>
      </c>
      <c r="D383" s="196" t="s">
        <v>624</v>
      </c>
      <c r="E383" s="197" t="s">
        <v>7207</v>
      </c>
      <c r="F383" s="507">
        <f>SUMIFS(Controle!$R:$R,Controle!$H:$H,produtos_escape2!$A383,Controle!$Z:$Z,"1")</f>
        <v>0</v>
      </c>
      <c r="G383" s="507">
        <f>SUMIFS(Controle!$R:$R,Controle!$H:$H,produtos_escape2!$A383,Controle!$Z:$Z,"2")</f>
        <v>0</v>
      </c>
      <c r="H383" s="507">
        <f>SUMIFS(Controle!$R:$R,Controle!$H:$H,produtos_escape2!$A383,Controle!$Z:$Z,"3")</f>
        <v>0</v>
      </c>
      <c r="I383" s="507">
        <f>SUMIFS(Controle!$R:$R,Controle!$H:$H,produtos_escape2!$A383,Controle!$Z:$Z,"4")</f>
        <v>0</v>
      </c>
      <c r="J383" s="507">
        <f>SUMIFS(Controle!$R:$R,Controle!$H:$H,produtos_escape2!$A383,Controle!$Z:$Z,"5")</f>
        <v>0</v>
      </c>
      <c r="K383" s="507">
        <f>SUMIFS(Controle!$R:$R,Controle!$H:$H,produtos_escape2!$A383,Controle!$Z:$Z,"6")</f>
        <v>0</v>
      </c>
      <c r="L383" s="507">
        <f t="shared" ref="L383:L446" si="13">SUM(F383:K383)</f>
        <v>0</v>
      </c>
      <c r="M383" s="381" t="s">
        <v>9969</v>
      </c>
      <c r="AF383" s="84"/>
    </row>
    <row r="384" spans="1:32" s="185" customFormat="1" ht="14.25" customHeight="1" thickBot="1">
      <c r="A384" s="353">
        <v>12787</v>
      </c>
      <c r="B384" s="194" t="s">
        <v>1782</v>
      </c>
      <c r="C384" s="339">
        <f t="shared" si="12"/>
        <v>50000</v>
      </c>
      <c r="D384" s="196" t="s">
        <v>624</v>
      </c>
      <c r="E384" s="197" t="s">
        <v>7207</v>
      </c>
      <c r="F384" s="507">
        <f>SUMIFS(Controle!$R:$R,Controle!$H:$H,produtos_escape2!$A384,Controle!$Z:$Z,"1")</f>
        <v>0</v>
      </c>
      <c r="G384" s="507">
        <f>SUMIFS(Controle!$R:$R,Controle!$H:$H,produtos_escape2!$A384,Controle!$Z:$Z,"2")</f>
        <v>0</v>
      </c>
      <c r="H384" s="507">
        <f>SUMIFS(Controle!$R:$R,Controle!$H:$H,produtos_escape2!$A384,Controle!$Z:$Z,"3")</f>
        <v>0</v>
      </c>
      <c r="I384" s="507">
        <f>SUMIFS(Controle!$R:$R,Controle!$H:$H,produtos_escape2!$A384,Controle!$Z:$Z,"4")</f>
        <v>0</v>
      </c>
      <c r="J384" s="507">
        <f>SUMIFS(Controle!$R:$R,Controle!$H:$H,produtos_escape2!$A384,Controle!$Z:$Z,"5")</f>
        <v>0</v>
      </c>
      <c r="K384" s="507">
        <f>SUMIFS(Controle!$R:$R,Controle!$H:$H,produtos_escape2!$A384,Controle!$Z:$Z,"6")</f>
        <v>0</v>
      </c>
      <c r="L384" s="507">
        <f t="shared" si="13"/>
        <v>0</v>
      </c>
      <c r="M384" s="381" t="s">
        <v>4740</v>
      </c>
      <c r="AF384" s="84"/>
    </row>
    <row r="385" spans="1:32" s="185" customFormat="1" ht="14.25" customHeight="1" thickBot="1">
      <c r="A385" s="333">
        <v>12795</v>
      </c>
      <c r="B385" s="194" t="s">
        <v>1172</v>
      </c>
      <c r="C385" s="339">
        <f t="shared" si="12"/>
        <v>50000</v>
      </c>
      <c r="D385" s="196" t="s">
        <v>624</v>
      </c>
      <c r="E385" s="197" t="s">
        <v>3608</v>
      </c>
      <c r="F385" s="507">
        <f>SUMIFS(Controle!$R:$R,Controle!$H:$H,produtos_escape2!$A385,Controle!$Z:$Z,"1")</f>
        <v>0</v>
      </c>
      <c r="G385" s="507">
        <f>SUMIFS(Controle!$R:$R,Controle!$H:$H,produtos_escape2!$A385,Controle!$Z:$Z,"2")</f>
        <v>0</v>
      </c>
      <c r="H385" s="507">
        <f>SUMIFS(Controle!$R:$R,Controle!$H:$H,produtos_escape2!$A385,Controle!$Z:$Z,"3")</f>
        <v>0</v>
      </c>
      <c r="I385" s="507">
        <f>SUMIFS(Controle!$R:$R,Controle!$H:$H,produtos_escape2!$A385,Controle!$Z:$Z,"4")</f>
        <v>0</v>
      </c>
      <c r="J385" s="507">
        <f>SUMIFS(Controle!$R:$R,Controle!$H:$H,produtos_escape2!$A385,Controle!$Z:$Z,"5")</f>
        <v>0</v>
      </c>
      <c r="K385" s="507">
        <f>SUMIFS(Controle!$R:$R,Controle!$H:$H,produtos_escape2!$A385,Controle!$Z:$Z,"6")</f>
        <v>0</v>
      </c>
      <c r="L385" s="507">
        <f t="shared" si="13"/>
        <v>0</v>
      </c>
      <c r="M385" s="381" t="s">
        <v>4741</v>
      </c>
      <c r="AF385" s="84"/>
    </row>
    <row r="386" spans="1:32" s="185" customFormat="1" ht="14.25" customHeight="1" thickBot="1">
      <c r="A386" s="353">
        <v>12806</v>
      </c>
      <c r="B386" s="338" t="s">
        <v>4439</v>
      </c>
      <c r="C386" s="339">
        <f t="shared" si="12"/>
        <v>50000</v>
      </c>
      <c r="D386" s="196" t="s">
        <v>747</v>
      </c>
      <c r="E386" s="197" t="s">
        <v>7207</v>
      </c>
      <c r="F386" s="507">
        <f>SUMIFS(Controle!$R:$R,Controle!$H:$H,produtos_escape2!$A386,Controle!$Z:$Z,"1")</f>
        <v>0</v>
      </c>
      <c r="G386" s="507">
        <f>SUMIFS(Controle!$R:$R,Controle!$H:$H,produtos_escape2!$A386,Controle!$Z:$Z,"2")</f>
        <v>0</v>
      </c>
      <c r="H386" s="507">
        <f>SUMIFS(Controle!$R:$R,Controle!$H:$H,produtos_escape2!$A386,Controle!$Z:$Z,"3")</f>
        <v>0</v>
      </c>
      <c r="I386" s="507">
        <f>SUMIFS(Controle!$R:$R,Controle!$H:$H,produtos_escape2!$A386,Controle!$Z:$Z,"4")</f>
        <v>0</v>
      </c>
      <c r="J386" s="507">
        <f>SUMIFS(Controle!$R:$R,Controle!$H:$H,produtos_escape2!$A386,Controle!$Z:$Z,"5")</f>
        <v>0</v>
      </c>
      <c r="K386" s="507">
        <f>SUMIFS(Controle!$R:$R,Controle!$H:$H,produtos_escape2!$A386,Controle!$Z:$Z,"6")</f>
        <v>0</v>
      </c>
      <c r="L386" s="507">
        <f t="shared" si="13"/>
        <v>0</v>
      </c>
      <c r="M386" s="381" t="s">
        <v>4742</v>
      </c>
      <c r="AF386" s="84"/>
    </row>
    <row r="387" spans="1:32" s="185" customFormat="1" ht="14.25" customHeight="1" thickBot="1">
      <c r="A387" s="353">
        <v>12807</v>
      </c>
      <c r="B387" s="194" t="s">
        <v>4440</v>
      </c>
      <c r="C387" s="339">
        <f t="shared" ref="C387:C450" si="14">50000-SUM(F387:K387)</f>
        <v>50000</v>
      </c>
      <c r="D387" s="196" t="s">
        <v>747</v>
      </c>
      <c r="E387" s="197" t="s">
        <v>7207</v>
      </c>
      <c r="F387" s="507">
        <f>SUMIFS(Controle!$R:$R,Controle!$H:$H,produtos_escape2!$A387,Controle!$Z:$Z,"1")</f>
        <v>0</v>
      </c>
      <c r="G387" s="507">
        <f>SUMIFS(Controle!$R:$R,Controle!$H:$H,produtos_escape2!$A387,Controle!$Z:$Z,"2")</f>
        <v>0</v>
      </c>
      <c r="H387" s="507">
        <f>SUMIFS(Controle!$R:$R,Controle!$H:$H,produtos_escape2!$A387,Controle!$Z:$Z,"3")</f>
        <v>0</v>
      </c>
      <c r="I387" s="507">
        <f>SUMIFS(Controle!$R:$R,Controle!$H:$H,produtos_escape2!$A387,Controle!$Z:$Z,"4")</f>
        <v>0</v>
      </c>
      <c r="J387" s="507">
        <f>SUMIFS(Controle!$R:$R,Controle!$H:$H,produtos_escape2!$A387,Controle!$Z:$Z,"5")</f>
        <v>0</v>
      </c>
      <c r="K387" s="507">
        <f>SUMIFS(Controle!$R:$R,Controle!$H:$H,produtos_escape2!$A387,Controle!$Z:$Z,"6")</f>
        <v>0</v>
      </c>
      <c r="L387" s="507">
        <f t="shared" si="13"/>
        <v>0</v>
      </c>
      <c r="M387" s="381" t="s">
        <v>4743</v>
      </c>
      <c r="AF387" s="84"/>
    </row>
    <row r="388" spans="1:32" s="185" customFormat="1" ht="14.25" customHeight="1" thickBot="1">
      <c r="A388" s="353">
        <v>12809</v>
      </c>
      <c r="B388" s="194" t="s">
        <v>849</v>
      </c>
      <c r="C388" s="339">
        <f t="shared" si="14"/>
        <v>50000</v>
      </c>
      <c r="D388" s="196" t="s">
        <v>747</v>
      </c>
      <c r="E388" s="197" t="s">
        <v>7207</v>
      </c>
      <c r="F388" s="507">
        <f>SUMIFS(Controle!$R:$R,Controle!$H:$H,produtos_escape2!$A388,Controle!$Z:$Z,"1")</f>
        <v>0</v>
      </c>
      <c r="G388" s="507">
        <f>SUMIFS(Controle!$R:$R,Controle!$H:$H,produtos_escape2!$A388,Controle!$Z:$Z,"2")</f>
        <v>0</v>
      </c>
      <c r="H388" s="507">
        <f>SUMIFS(Controle!$R:$R,Controle!$H:$H,produtos_escape2!$A388,Controle!$Z:$Z,"3")</f>
        <v>0</v>
      </c>
      <c r="I388" s="507">
        <f>SUMIFS(Controle!$R:$R,Controle!$H:$H,produtos_escape2!$A388,Controle!$Z:$Z,"4")</f>
        <v>0</v>
      </c>
      <c r="J388" s="507">
        <f>SUMIFS(Controle!$R:$R,Controle!$H:$H,produtos_escape2!$A388,Controle!$Z:$Z,"5")</f>
        <v>0</v>
      </c>
      <c r="K388" s="507">
        <f>SUMIFS(Controle!$R:$R,Controle!$H:$H,produtos_escape2!$A388,Controle!$Z:$Z,"6")</f>
        <v>0</v>
      </c>
      <c r="L388" s="507">
        <f t="shared" si="13"/>
        <v>0</v>
      </c>
      <c r="M388" s="381" t="s">
        <v>4744</v>
      </c>
      <c r="AF388" s="84"/>
    </row>
    <row r="389" spans="1:32" s="185" customFormat="1" ht="14.25" customHeight="1" thickBot="1">
      <c r="A389" s="353">
        <v>12814</v>
      </c>
      <c r="B389" s="194" t="s">
        <v>8819</v>
      </c>
      <c r="C389" s="339">
        <f t="shared" si="14"/>
        <v>42935</v>
      </c>
      <c r="D389" s="196" t="s">
        <v>624</v>
      </c>
      <c r="E389" s="197" t="s">
        <v>3608</v>
      </c>
      <c r="F389" s="507">
        <f>SUMIFS(Controle!$R:$R,Controle!$H:$H,produtos_escape2!$A389,Controle!$Z:$Z,"1")</f>
        <v>0</v>
      </c>
      <c r="G389" s="507">
        <f>SUMIFS(Controle!$R:$R,Controle!$H:$H,produtos_escape2!$A389,Controle!$Z:$Z,"2")</f>
        <v>0</v>
      </c>
      <c r="H389" s="507">
        <f>SUMIFS(Controle!$R:$R,Controle!$H:$H,produtos_escape2!$A389,Controle!$Z:$Z,"3")</f>
        <v>0</v>
      </c>
      <c r="I389" s="507">
        <f>SUMIFS(Controle!$R:$R,Controle!$H:$H,produtos_escape2!$A389,Controle!$Z:$Z,"4")</f>
        <v>0</v>
      </c>
      <c r="J389" s="507">
        <f>SUMIFS(Controle!$R:$R,Controle!$H:$H,produtos_escape2!$A389,Controle!$Z:$Z,"5")</f>
        <v>0</v>
      </c>
      <c r="K389" s="507">
        <f>SUMIFS(Controle!$R:$R,Controle!$H:$H,produtos_escape2!$A389,Controle!$Z:$Z,"6")</f>
        <v>7065</v>
      </c>
      <c r="L389" s="507">
        <f t="shared" si="13"/>
        <v>7065</v>
      </c>
      <c r="M389" s="381" t="s">
        <v>8820</v>
      </c>
      <c r="AF389" s="84"/>
    </row>
    <row r="390" spans="1:32" s="185" customFormat="1" ht="14.25" customHeight="1" thickBot="1">
      <c r="A390" s="353">
        <v>12822</v>
      </c>
      <c r="B390" s="194" t="s">
        <v>2555</v>
      </c>
      <c r="C390" s="339">
        <f t="shared" si="14"/>
        <v>50000</v>
      </c>
      <c r="D390" s="191" t="s">
        <v>624</v>
      </c>
      <c r="E390" s="172" t="s">
        <v>7207</v>
      </c>
      <c r="F390" s="507">
        <f>SUMIFS(Controle!$R:$R,Controle!$H:$H,produtos_escape2!$A390,Controle!$Z:$Z,"1")</f>
        <v>0</v>
      </c>
      <c r="G390" s="507">
        <f>SUMIFS(Controle!$R:$R,Controle!$H:$H,produtos_escape2!$A390,Controle!$Z:$Z,"2")</f>
        <v>0</v>
      </c>
      <c r="H390" s="507">
        <f>SUMIFS(Controle!$R:$R,Controle!$H:$H,produtos_escape2!$A390,Controle!$Z:$Z,"3")</f>
        <v>0</v>
      </c>
      <c r="I390" s="507">
        <f>SUMIFS(Controle!$R:$R,Controle!$H:$H,produtos_escape2!$A390,Controle!$Z:$Z,"4")</f>
        <v>0</v>
      </c>
      <c r="J390" s="507">
        <f>SUMIFS(Controle!$R:$R,Controle!$H:$H,produtos_escape2!$A390,Controle!$Z:$Z,"5")</f>
        <v>0</v>
      </c>
      <c r="K390" s="507">
        <f>SUMIFS(Controle!$R:$R,Controle!$H:$H,produtos_escape2!$A390,Controle!$Z:$Z,"6")</f>
        <v>0</v>
      </c>
      <c r="L390" s="507">
        <f t="shared" si="13"/>
        <v>0</v>
      </c>
      <c r="M390" s="381" t="s">
        <v>4745</v>
      </c>
      <c r="AF390" s="84"/>
    </row>
    <row r="391" spans="1:32" s="185" customFormat="1" ht="14.25" customHeight="1" thickBot="1">
      <c r="A391" s="353">
        <v>12823</v>
      </c>
      <c r="B391" s="194" t="s">
        <v>4299</v>
      </c>
      <c r="C391" s="339">
        <f t="shared" si="14"/>
        <v>50000</v>
      </c>
      <c r="D391" s="191" t="s">
        <v>624</v>
      </c>
      <c r="E391" s="189" t="s">
        <v>7207</v>
      </c>
      <c r="F391" s="507">
        <f>SUMIFS(Controle!$R:$R,Controle!$H:$H,produtos_escape2!$A391,Controle!$Z:$Z,"1")</f>
        <v>0</v>
      </c>
      <c r="G391" s="507">
        <f>SUMIFS(Controle!$R:$R,Controle!$H:$H,produtos_escape2!$A391,Controle!$Z:$Z,"2")</f>
        <v>0</v>
      </c>
      <c r="H391" s="507">
        <f>SUMIFS(Controle!$R:$R,Controle!$H:$H,produtos_escape2!$A391,Controle!$Z:$Z,"3")</f>
        <v>0</v>
      </c>
      <c r="I391" s="507">
        <f>SUMIFS(Controle!$R:$R,Controle!$H:$H,produtos_escape2!$A391,Controle!$Z:$Z,"4")</f>
        <v>0</v>
      </c>
      <c r="J391" s="507">
        <f>SUMIFS(Controle!$R:$R,Controle!$H:$H,produtos_escape2!$A391,Controle!$Z:$Z,"5")</f>
        <v>0</v>
      </c>
      <c r="K391" s="507">
        <f>SUMIFS(Controle!$R:$R,Controle!$H:$H,produtos_escape2!$A391,Controle!$Z:$Z,"6")</f>
        <v>0</v>
      </c>
      <c r="L391" s="507">
        <f t="shared" si="13"/>
        <v>0</v>
      </c>
      <c r="M391" s="381" t="s">
        <v>4745</v>
      </c>
      <c r="AF391" s="84"/>
    </row>
    <row r="392" spans="1:32" s="185" customFormat="1" ht="14.25" customHeight="1" thickBot="1">
      <c r="A392" s="353">
        <v>12825</v>
      </c>
      <c r="B392" s="194" t="s">
        <v>2556</v>
      </c>
      <c r="C392" s="339">
        <f t="shared" si="14"/>
        <v>50000</v>
      </c>
      <c r="D392" s="191" t="s">
        <v>624</v>
      </c>
      <c r="E392" s="189" t="s">
        <v>7207</v>
      </c>
      <c r="F392" s="507">
        <f>SUMIFS(Controle!$R:$R,Controle!$H:$H,produtos_escape2!$A392,Controle!$Z:$Z,"1")</f>
        <v>0</v>
      </c>
      <c r="G392" s="507">
        <f>SUMIFS(Controle!$R:$R,Controle!$H:$H,produtos_escape2!$A392,Controle!$Z:$Z,"2")</f>
        <v>0</v>
      </c>
      <c r="H392" s="507">
        <f>SUMIFS(Controle!$R:$R,Controle!$H:$H,produtos_escape2!$A392,Controle!$Z:$Z,"3")</f>
        <v>0</v>
      </c>
      <c r="I392" s="507">
        <f>SUMIFS(Controle!$R:$R,Controle!$H:$H,produtos_escape2!$A392,Controle!$Z:$Z,"4")</f>
        <v>0</v>
      </c>
      <c r="J392" s="507">
        <f>SUMIFS(Controle!$R:$R,Controle!$H:$H,produtos_escape2!$A392,Controle!$Z:$Z,"5")</f>
        <v>0</v>
      </c>
      <c r="K392" s="507">
        <f>SUMIFS(Controle!$R:$R,Controle!$H:$H,produtos_escape2!$A392,Controle!$Z:$Z,"6")</f>
        <v>0</v>
      </c>
      <c r="L392" s="507">
        <f t="shared" si="13"/>
        <v>0</v>
      </c>
      <c r="M392" s="381" t="s">
        <v>4745</v>
      </c>
      <c r="AF392" s="84"/>
    </row>
    <row r="393" spans="1:32" s="185" customFormat="1" ht="14.25" customHeight="1" thickBot="1">
      <c r="A393" s="353">
        <v>12832</v>
      </c>
      <c r="B393" s="194" t="s">
        <v>7135</v>
      </c>
      <c r="C393" s="339">
        <f t="shared" si="14"/>
        <v>50000</v>
      </c>
      <c r="D393" s="196" t="s">
        <v>624</v>
      </c>
      <c r="E393" s="187" t="s">
        <v>7207</v>
      </c>
      <c r="F393" s="507">
        <f>SUMIFS(Controle!$R:$R,Controle!$H:$H,produtos_escape2!$A393,Controle!$Z:$Z,"1")</f>
        <v>0</v>
      </c>
      <c r="G393" s="507">
        <f>SUMIFS(Controle!$R:$R,Controle!$H:$H,produtos_escape2!$A393,Controle!$Z:$Z,"2")</f>
        <v>0</v>
      </c>
      <c r="H393" s="507">
        <f>SUMIFS(Controle!$R:$R,Controle!$H:$H,produtos_escape2!$A393,Controle!$Z:$Z,"3")</f>
        <v>0</v>
      </c>
      <c r="I393" s="507">
        <f>SUMIFS(Controle!$R:$R,Controle!$H:$H,produtos_escape2!$A393,Controle!$Z:$Z,"4")</f>
        <v>0</v>
      </c>
      <c r="J393" s="507">
        <f>SUMIFS(Controle!$R:$R,Controle!$H:$H,produtos_escape2!$A393,Controle!$Z:$Z,"5")</f>
        <v>0</v>
      </c>
      <c r="K393" s="507">
        <f>SUMIFS(Controle!$R:$R,Controle!$H:$H,produtos_escape2!$A393,Controle!$Z:$Z,"6")</f>
        <v>0</v>
      </c>
      <c r="L393" s="507">
        <f t="shared" si="13"/>
        <v>0</v>
      </c>
      <c r="M393" s="381" t="s">
        <v>7136</v>
      </c>
      <c r="AF393" s="84"/>
    </row>
    <row r="394" spans="1:32" s="185" customFormat="1" ht="14.25" customHeight="1" thickBot="1">
      <c r="A394" s="353">
        <v>12835</v>
      </c>
      <c r="B394" s="194" t="s">
        <v>7133</v>
      </c>
      <c r="C394" s="339">
        <f t="shared" si="14"/>
        <v>50000</v>
      </c>
      <c r="D394" s="196" t="s">
        <v>624</v>
      </c>
      <c r="E394" s="187" t="s">
        <v>7207</v>
      </c>
      <c r="F394" s="507">
        <f>SUMIFS(Controle!$R:$R,Controle!$H:$H,produtos_escape2!$A394,Controle!$Z:$Z,"1")</f>
        <v>0</v>
      </c>
      <c r="G394" s="507">
        <f>SUMIFS(Controle!$R:$R,Controle!$H:$H,produtos_escape2!$A394,Controle!$Z:$Z,"2")</f>
        <v>0</v>
      </c>
      <c r="H394" s="507">
        <f>SUMIFS(Controle!$R:$R,Controle!$H:$H,produtos_escape2!$A394,Controle!$Z:$Z,"3")</f>
        <v>0</v>
      </c>
      <c r="I394" s="507">
        <f>SUMIFS(Controle!$R:$R,Controle!$H:$H,produtos_escape2!$A394,Controle!$Z:$Z,"4")</f>
        <v>0</v>
      </c>
      <c r="J394" s="507">
        <f>SUMIFS(Controle!$R:$R,Controle!$H:$H,produtos_escape2!$A394,Controle!$Z:$Z,"5")</f>
        <v>0</v>
      </c>
      <c r="K394" s="507">
        <f>SUMIFS(Controle!$R:$R,Controle!$H:$H,produtos_escape2!$A394,Controle!$Z:$Z,"6")</f>
        <v>0</v>
      </c>
      <c r="L394" s="507">
        <f t="shared" si="13"/>
        <v>0</v>
      </c>
      <c r="M394" s="381" t="s">
        <v>7134</v>
      </c>
      <c r="AF394" s="84"/>
    </row>
    <row r="395" spans="1:32" s="185" customFormat="1" ht="14.25" customHeight="1" thickBot="1">
      <c r="A395" s="353">
        <v>12836</v>
      </c>
      <c r="B395" s="194" t="s">
        <v>7137</v>
      </c>
      <c r="C395" s="339">
        <f t="shared" si="14"/>
        <v>50000</v>
      </c>
      <c r="D395" s="196" t="s">
        <v>624</v>
      </c>
      <c r="E395" s="187" t="s">
        <v>7207</v>
      </c>
      <c r="F395" s="507">
        <f>SUMIFS(Controle!$R:$R,Controle!$H:$H,produtos_escape2!$A395,Controle!$Z:$Z,"1")</f>
        <v>0</v>
      </c>
      <c r="G395" s="507">
        <f>SUMIFS(Controle!$R:$R,Controle!$H:$H,produtos_escape2!$A395,Controle!$Z:$Z,"2")</f>
        <v>0</v>
      </c>
      <c r="H395" s="507">
        <f>SUMIFS(Controle!$R:$R,Controle!$H:$H,produtos_escape2!$A395,Controle!$Z:$Z,"3")</f>
        <v>0</v>
      </c>
      <c r="I395" s="507">
        <f>SUMIFS(Controle!$R:$R,Controle!$H:$H,produtos_escape2!$A395,Controle!$Z:$Z,"4")</f>
        <v>0</v>
      </c>
      <c r="J395" s="507">
        <f>SUMIFS(Controle!$R:$R,Controle!$H:$H,produtos_escape2!$A395,Controle!$Z:$Z,"5")</f>
        <v>0</v>
      </c>
      <c r="K395" s="507">
        <f>SUMIFS(Controle!$R:$R,Controle!$H:$H,produtos_escape2!$A395,Controle!$Z:$Z,"6")</f>
        <v>0</v>
      </c>
      <c r="L395" s="507">
        <f t="shared" si="13"/>
        <v>0</v>
      </c>
      <c r="M395" s="381" t="s">
        <v>7138</v>
      </c>
      <c r="AF395" s="84"/>
    </row>
    <row r="396" spans="1:32" s="185" customFormat="1" ht="14.25" customHeight="1" thickBot="1">
      <c r="A396" s="353">
        <v>12841</v>
      </c>
      <c r="B396" s="194" t="s">
        <v>736</v>
      </c>
      <c r="C396" s="339">
        <f t="shared" si="14"/>
        <v>50000</v>
      </c>
      <c r="D396" s="196" t="s">
        <v>624</v>
      </c>
      <c r="E396" s="187" t="s">
        <v>1739</v>
      </c>
      <c r="F396" s="507">
        <f>SUMIFS(Controle!$R:$R,Controle!$H:$H,produtos_escape2!$A396,Controle!$Z:$Z,"1")</f>
        <v>0</v>
      </c>
      <c r="G396" s="507">
        <f>SUMIFS(Controle!$R:$R,Controle!$H:$H,produtos_escape2!$A396,Controle!$Z:$Z,"2")</f>
        <v>0</v>
      </c>
      <c r="H396" s="507">
        <f>SUMIFS(Controle!$R:$R,Controle!$H:$H,produtos_escape2!$A396,Controle!$Z:$Z,"3")</f>
        <v>0</v>
      </c>
      <c r="I396" s="507">
        <f>SUMIFS(Controle!$R:$R,Controle!$H:$H,produtos_escape2!$A396,Controle!$Z:$Z,"4")</f>
        <v>0</v>
      </c>
      <c r="J396" s="507">
        <f>SUMIFS(Controle!$R:$R,Controle!$H:$H,produtos_escape2!$A396,Controle!$Z:$Z,"5")</f>
        <v>0</v>
      </c>
      <c r="K396" s="507">
        <f>SUMIFS(Controle!$R:$R,Controle!$H:$H,produtos_escape2!$A396,Controle!$Z:$Z,"6")</f>
        <v>0</v>
      </c>
      <c r="L396" s="507">
        <f t="shared" si="13"/>
        <v>0</v>
      </c>
      <c r="M396" s="381" t="s">
        <v>4746</v>
      </c>
      <c r="AF396" s="84"/>
    </row>
    <row r="397" spans="1:32" s="185" customFormat="1" ht="14.25" customHeight="1" thickBot="1">
      <c r="A397" s="333">
        <v>12889</v>
      </c>
      <c r="B397" s="194" t="s">
        <v>1170</v>
      </c>
      <c r="C397" s="339">
        <f t="shared" si="14"/>
        <v>50000</v>
      </c>
      <c r="D397" s="196" t="s">
        <v>624</v>
      </c>
      <c r="E397" s="187" t="s">
        <v>7207</v>
      </c>
      <c r="F397" s="507">
        <f>SUMIFS(Controle!$R:$R,Controle!$H:$H,produtos_escape2!$A397,Controle!$Z:$Z,"1")</f>
        <v>0</v>
      </c>
      <c r="G397" s="507">
        <f>SUMIFS(Controle!$R:$R,Controle!$H:$H,produtos_escape2!$A397,Controle!$Z:$Z,"2")</f>
        <v>0</v>
      </c>
      <c r="H397" s="507">
        <f>SUMIFS(Controle!$R:$R,Controle!$H:$H,produtos_escape2!$A397,Controle!$Z:$Z,"3")</f>
        <v>0</v>
      </c>
      <c r="I397" s="507">
        <f>SUMIFS(Controle!$R:$R,Controle!$H:$H,produtos_escape2!$A397,Controle!$Z:$Z,"4")</f>
        <v>0</v>
      </c>
      <c r="J397" s="507">
        <f>SUMIFS(Controle!$R:$R,Controle!$H:$H,produtos_escape2!$A397,Controle!$Z:$Z,"5")</f>
        <v>0</v>
      </c>
      <c r="K397" s="507">
        <f>SUMIFS(Controle!$R:$R,Controle!$H:$H,produtos_escape2!$A397,Controle!$Z:$Z,"6")</f>
        <v>0</v>
      </c>
      <c r="L397" s="507">
        <f t="shared" si="13"/>
        <v>0</v>
      </c>
      <c r="M397" s="381" t="s">
        <v>4747</v>
      </c>
      <c r="AF397" s="84"/>
    </row>
    <row r="398" spans="1:32" s="185" customFormat="1" ht="14.25" customHeight="1" thickBot="1">
      <c r="A398" s="353">
        <v>12891</v>
      </c>
      <c r="B398" s="338" t="s">
        <v>1518</v>
      </c>
      <c r="C398" s="339">
        <f t="shared" si="14"/>
        <v>50000</v>
      </c>
      <c r="D398" s="196" t="s">
        <v>624</v>
      </c>
      <c r="E398" s="187" t="s">
        <v>7207</v>
      </c>
      <c r="F398" s="507">
        <f>SUMIFS(Controle!$R:$R,Controle!$H:$H,produtos_escape2!$A398,Controle!$Z:$Z,"1")</f>
        <v>0</v>
      </c>
      <c r="G398" s="507">
        <f>SUMIFS(Controle!$R:$R,Controle!$H:$H,produtos_escape2!$A398,Controle!$Z:$Z,"2")</f>
        <v>0</v>
      </c>
      <c r="H398" s="507">
        <f>SUMIFS(Controle!$R:$R,Controle!$H:$H,produtos_escape2!$A398,Controle!$Z:$Z,"3")</f>
        <v>0</v>
      </c>
      <c r="I398" s="507">
        <f>SUMIFS(Controle!$R:$R,Controle!$H:$H,produtos_escape2!$A398,Controle!$Z:$Z,"4")</f>
        <v>0</v>
      </c>
      <c r="J398" s="507">
        <f>SUMIFS(Controle!$R:$R,Controle!$H:$H,produtos_escape2!$A398,Controle!$Z:$Z,"5")</f>
        <v>0</v>
      </c>
      <c r="K398" s="507">
        <f>SUMIFS(Controle!$R:$R,Controle!$H:$H,produtos_escape2!$A398,Controle!$Z:$Z,"6")</f>
        <v>0</v>
      </c>
      <c r="L398" s="507">
        <f t="shared" si="13"/>
        <v>0</v>
      </c>
      <c r="M398" s="381" t="s">
        <v>4747</v>
      </c>
      <c r="AF398" s="84"/>
    </row>
    <row r="399" spans="1:32" s="185" customFormat="1" ht="14.25" customHeight="1" thickBot="1">
      <c r="A399" s="353">
        <v>12900</v>
      </c>
      <c r="B399" s="194" t="s">
        <v>505</v>
      </c>
      <c r="C399" s="339">
        <f t="shared" si="14"/>
        <v>50000</v>
      </c>
      <c r="D399" s="196" t="s">
        <v>624</v>
      </c>
      <c r="E399" s="187" t="s">
        <v>7207</v>
      </c>
      <c r="F399" s="507">
        <f>SUMIFS(Controle!$R:$R,Controle!$H:$H,produtos_escape2!$A399,Controle!$Z:$Z,"1")</f>
        <v>0</v>
      </c>
      <c r="G399" s="507">
        <f>SUMIFS(Controle!$R:$R,Controle!$H:$H,produtos_escape2!$A399,Controle!$Z:$Z,"2")</f>
        <v>0</v>
      </c>
      <c r="H399" s="507">
        <f>SUMIFS(Controle!$R:$R,Controle!$H:$H,produtos_escape2!$A399,Controle!$Z:$Z,"3")</f>
        <v>0</v>
      </c>
      <c r="I399" s="507">
        <f>SUMIFS(Controle!$R:$R,Controle!$H:$H,produtos_escape2!$A399,Controle!$Z:$Z,"4")</f>
        <v>0</v>
      </c>
      <c r="J399" s="507">
        <f>SUMIFS(Controle!$R:$R,Controle!$H:$H,produtos_escape2!$A399,Controle!$Z:$Z,"5")</f>
        <v>0</v>
      </c>
      <c r="K399" s="507">
        <f>SUMIFS(Controle!$R:$R,Controle!$H:$H,produtos_escape2!$A399,Controle!$Z:$Z,"6")</f>
        <v>0</v>
      </c>
      <c r="L399" s="507">
        <f t="shared" si="13"/>
        <v>0</v>
      </c>
      <c r="M399" s="381" t="s">
        <v>4748</v>
      </c>
      <c r="AF399" s="84"/>
    </row>
    <row r="400" spans="1:32" s="185" customFormat="1" ht="14.25" customHeight="1" thickBot="1">
      <c r="A400" s="353">
        <v>12915</v>
      </c>
      <c r="B400" s="194" t="s">
        <v>615</v>
      </c>
      <c r="C400" s="339">
        <f t="shared" si="14"/>
        <v>50000</v>
      </c>
      <c r="D400" s="196"/>
      <c r="E400" s="187" t="s">
        <v>7207</v>
      </c>
      <c r="F400" s="507">
        <f>SUMIFS(Controle!$R:$R,Controle!$H:$H,produtos_escape2!$A400,Controle!$Z:$Z,"1")</f>
        <v>0</v>
      </c>
      <c r="G400" s="507">
        <f>SUMIFS(Controle!$R:$R,Controle!$H:$H,produtos_escape2!$A400,Controle!$Z:$Z,"2")</f>
        <v>0</v>
      </c>
      <c r="H400" s="507">
        <f>SUMIFS(Controle!$R:$R,Controle!$H:$H,produtos_escape2!$A400,Controle!$Z:$Z,"3")</f>
        <v>0</v>
      </c>
      <c r="I400" s="507">
        <f>SUMIFS(Controle!$R:$R,Controle!$H:$H,produtos_escape2!$A400,Controle!$Z:$Z,"4")</f>
        <v>0</v>
      </c>
      <c r="J400" s="507">
        <f>SUMIFS(Controle!$R:$R,Controle!$H:$H,produtos_escape2!$A400,Controle!$Z:$Z,"5")</f>
        <v>0</v>
      </c>
      <c r="K400" s="507">
        <f>SUMIFS(Controle!$R:$R,Controle!$H:$H,produtos_escape2!$A400,Controle!$Z:$Z,"6")</f>
        <v>0</v>
      </c>
      <c r="L400" s="507">
        <f t="shared" si="13"/>
        <v>0</v>
      </c>
      <c r="M400" s="381" t="s">
        <v>615</v>
      </c>
      <c r="AF400" s="84"/>
    </row>
    <row r="401" spans="1:32" s="185" customFormat="1" ht="14.25" customHeight="1" thickBot="1">
      <c r="A401" s="353">
        <v>12973</v>
      </c>
      <c r="B401" s="194" t="s">
        <v>9078</v>
      </c>
      <c r="C401" s="339">
        <f t="shared" si="14"/>
        <v>46851.39</v>
      </c>
      <c r="D401" s="196" t="s">
        <v>624</v>
      </c>
      <c r="E401" s="187" t="s">
        <v>7207</v>
      </c>
      <c r="F401" s="507">
        <f>SUMIFS(Controle!$R:$R,Controle!$H:$H,produtos_escape2!$A401,Controle!$Z:$Z,"1")</f>
        <v>0</v>
      </c>
      <c r="G401" s="507">
        <f>SUMIFS(Controle!$R:$R,Controle!$H:$H,produtos_escape2!$A401,Controle!$Z:$Z,"2")</f>
        <v>0</v>
      </c>
      <c r="H401" s="507">
        <f>SUMIFS(Controle!$R:$R,Controle!$H:$H,produtos_escape2!$A401,Controle!$Z:$Z,"3")</f>
        <v>0</v>
      </c>
      <c r="I401" s="507">
        <f>SUMIFS(Controle!$R:$R,Controle!$H:$H,produtos_escape2!$A401,Controle!$Z:$Z,"4")</f>
        <v>0</v>
      </c>
      <c r="J401" s="507">
        <f>SUMIFS(Controle!$R:$R,Controle!$H:$H,produtos_escape2!$A401,Controle!$Z:$Z,"5")</f>
        <v>0</v>
      </c>
      <c r="K401" s="507">
        <f>SUMIFS(Controle!$R:$R,Controle!$H:$H,produtos_escape2!$A401,Controle!$Z:$Z,"6")</f>
        <v>3148.61</v>
      </c>
      <c r="L401" s="507">
        <f t="shared" si="13"/>
        <v>3148.61</v>
      </c>
      <c r="M401" s="381" t="s">
        <v>9077</v>
      </c>
      <c r="AF401" s="84"/>
    </row>
    <row r="402" spans="1:32" s="185" customFormat="1" ht="14.25" customHeight="1" thickBot="1">
      <c r="A402" s="353">
        <v>13020</v>
      </c>
      <c r="B402" s="194" t="s">
        <v>626</v>
      </c>
      <c r="C402" s="339">
        <f t="shared" si="14"/>
        <v>50000</v>
      </c>
      <c r="D402" s="196" t="s">
        <v>624</v>
      </c>
      <c r="E402" s="187" t="s">
        <v>1739</v>
      </c>
      <c r="F402" s="507">
        <f>SUMIFS(Controle!$R:$R,Controle!$H:$H,produtos_escape2!$A402,Controle!$Z:$Z,"1")</f>
        <v>0</v>
      </c>
      <c r="G402" s="507">
        <f>SUMIFS(Controle!$R:$R,Controle!$H:$H,produtos_escape2!$A402,Controle!$Z:$Z,"2")</f>
        <v>0</v>
      </c>
      <c r="H402" s="507">
        <f>SUMIFS(Controle!$R:$R,Controle!$H:$H,produtos_escape2!$A402,Controle!$Z:$Z,"3")</f>
        <v>0</v>
      </c>
      <c r="I402" s="507">
        <f>SUMIFS(Controle!$R:$R,Controle!$H:$H,produtos_escape2!$A402,Controle!$Z:$Z,"4")</f>
        <v>0</v>
      </c>
      <c r="J402" s="507">
        <f>SUMIFS(Controle!$R:$R,Controle!$H:$H,produtos_escape2!$A402,Controle!$Z:$Z,"5")</f>
        <v>0</v>
      </c>
      <c r="K402" s="507">
        <f>SUMIFS(Controle!$R:$R,Controle!$H:$H,produtos_escape2!$A402,Controle!$Z:$Z,"6")</f>
        <v>0</v>
      </c>
      <c r="L402" s="507">
        <f t="shared" si="13"/>
        <v>0</v>
      </c>
      <c r="M402" s="381" t="s">
        <v>4749</v>
      </c>
      <c r="AF402" s="84"/>
    </row>
    <row r="403" spans="1:32" s="185" customFormat="1" ht="14.25" customHeight="1" thickBot="1">
      <c r="A403" s="353">
        <v>13024</v>
      </c>
      <c r="B403" s="194" t="s">
        <v>7047</v>
      </c>
      <c r="C403" s="339">
        <f t="shared" si="14"/>
        <v>50000</v>
      </c>
      <c r="D403" s="196" t="s">
        <v>624</v>
      </c>
      <c r="E403" s="187" t="s">
        <v>7207</v>
      </c>
      <c r="F403" s="507">
        <f>SUMIFS(Controle!$R:$R,Controle!$H:$H,produtos_escape2!$A403,Controle!$Z:$Z,"1")</f>
        <v>0</v>
      </c>
      <c r="G403" s="507">
        <f>SUMIFS(Controle!$R:$R,Controle!$H:$H,produtos_escape2!$A403,Controle!$Z:$Z,"2")</f>
        <v>0</v>
      </c>
      <c r="H403" s="507">
        <f>SUMIFS(Controle!$R:$R,Controle!$H:$H,produtos_escape2!$A403,Controle!$Z:$Z,"3")</f>
        <v>0</v>
      </c>
      <c r="I403" s="507">
        <f>SUMIFS(Controle!$R:$R,Controle!$H:$H,produtos_escape2!$A403,Controle!$Z:$Z,"4")</f>
        <v>0</v>
      </c>
      <c r="J403" s="507">
        <f>SUMIFS(Controle!$R:$R,Controle!$H:$H,produtos_escape2!$A403,Controle!$Z:$Z,"5")</f>
        <v>0</v>
      </c>
      <c r="K403" s="507">
        <f>SUMIFS(Controle!$R:$R,Controle!$H:$H,produtos_escape2!$A403,Controle!$Z:$Z,"6")</f>
        <v>0</v>
      </c>
      <c r="L403" s="507">
        <f t="shared" si="13"/>
        <v>0</v>
      </c>
      <c r="M403" s="381" t="s">
        <v>7046</v>
      </c>
      <c r="AF403" s="84"/>
    </row>
    <row r="404" spans="1:32" s="185" customFormat="1" ht="14.25" customHeight="1" thickBot="1">
      <c r="A404" s="353">
        <v>13042</v>
      </c>
      <c r="B404" s="194" t="s">
        <v>7034</v>
      </c>
      <c r="C404" s="339">
        <f t="shared" si="14"/>
        <v>50000</v>
      </c>
      <c r="D404" s="196" t="s">
        <v>624</v>
      </c>
      <c r="E404" s="187" t="s">
        <v>1739</v>
      </c>
      <c r="F404" s="507">
        <f>SUMIFS(Controle!$R:$R,Controle!$H:$H,produtos_escape2!$A404,Controle!$Z:$Z,"1")</f>
        <v>0</v>
      </c>
      <c r="G404" s="507">
        <f>SUMIFS(Controle!$R:$R,Controle!$H:$H,produtos_escape2!$A404,Controle!$Z:$Z,"2")</f>
        <v>0</v>
      </c>
      <c r="H404" s="507">
        <f>SUMIFS(Controle!$R:$R,Controle!$H:$H,produtos_escape2!$A404,Controle!$Z:$Z,"3")</f>
        <v>0</v>
      </c>
      <c r="I404" s="507">
        <f>SUMIFS(Controle!$R:$R,Controle!$H:$H,produtos_escape2!$A404,Controle!$Z:$Z,"4")</f>
        <v>0</v>
      </c>
      <c r="J404" s="507">
        <f>SUMIFS(Controle!$R:$R,Controle!$H:$H,produtos_escape2!$A404,Controle!$Z:$Z,"5")</f>
        <v>0</v>
      </c>
      <c r="K404" s="507">
        <f>SUMIFS(Controle!$R:$R,Controle!$H:$H,produtos_escape2!$A404,Controle!$Z:$Z,"6")</f>
        <v>0</v>
      </c>
      <c r="L404" s="507">
        <f t="shared" si="13"/>
        <v>0</v>
      </c>
      <c r="M404" s="381" t="s">
        <v>7035</v>
      </c>
      <c r="AF404" s="84"/>
    </row>
    <row r="405" spans="1:32" s="185" customFormat="1" ht="14.25" customHeight="1" thickBot="1">
      <c r="A405" s="353">
        <v>13130</v>
      </c>
      <c r="B405" s="194" t="s">
        <v>3505</v>
      </c>
      <c r="C405" s="339">
        <f t="shared" si="14"/>
        <v>50000</v>
      </c>
      <c r="D405" s="196" t="s">
        <v>624</v>
      </c>
      <c r="E405" s="187" t="s">
        <v>7207</v>
      </c>
      <c r="F405" s="507">
        <f>SUMIFS(Controle!$R:$R,Controle!$H:$H,produtos_escape2!$A405,Controle!$Z:$Z,"1")</f>
        <v>0</v>
      </c>
      <c r="G405" s="507">
        <f>SUMIFS(Controle!$R:$R,Controle!$H:$H,produtos_escape2!$A405,Controle!$Z:$Z,"2")</f>
        <v>0</v>
      </c>
      <c r="H405" s="507">
        <f>SUMIFS(Controle!$R:$R,Controle!$H:$H,produtos_escape2!$A405,Controle!$Z:$Z,"3")</f>
        <v>0</v>
      </c>
      <c r="I405" s="507">
        <f>SUMIFS(Controle!$R:$R,Controle!$H:$H,produtos_escape2!$A405,Controle!$Z:$Z,"4")</f>
        <v>0</v>
      </c>
      <c r="J405" s="507">
        <f>SUMIFS(Controle!$R:$R,Controle!$H:$H,produtos_escape2!$A405,Controle!$Z:$Z,"5")</f>
        <v>0</v>
      </c>
      <c r="K405" s="507">
        <f>SUMIFS(Controle!$R:$R,Controle!$H:$H,produtos_escape2!$A405,Controle!$Z:$Z,"6")</f>
        <v>0</v>
      </c>
      <c r="L405" s="507">
        <f t="shared" si="13"/>
        <v>0</v>
      </c>
      <c r="M405" s="381" t="s">
        <v>4750</v>
      </c>
      <c r="AF405" s="84"/>
    </row>
    <row r="406" spans="1:32" s="185" customFormat="1" ht="14.25" customHeight="1" thickBot="1">
      <c r="A406" s="353">
        <v>13170</v>
      </c>
      <c r="B406" s="194" t="s">
        <v>172</v>
      </c>
      <c r="C406" s="339">
        <f t="shared" si="14"/>
        <v>50000</v>
      </c>
      <c r="D406" s="196"/>
      <c r="E406" s="187"/>
      <c r="F406" s="507">
        <f>SUMIFS(Controle!$R:$R,Controle!$H:$H,produtos_escape2!$A406,Controle!$Z:$Z,"1")</f>
        <v>0</v>
      </c>
      <c r="G406" s="507">
        <f>SUMIFS(Controle!$R:$R,Controle!$H:$H,produtos_escape2!$A406,Controle!$Z:$Z,"2")</f>
        <v>0</v>
      </c>
      <c r="H406" s="507">
        <f>SUMIFS(Controle!$R:$R,Controle!$H:$H,produtos_escape2!$A406,Controle!$Z:$Z,"3")</f>
        <v>0</v>
      </c>
      <c r="I406" s="507">
        <f>SUMIFS(Controle!$R:$R,Controle!$H:$H,produtos_escape2!$A406,Controle!$Z:$Z,"4")</f>
        <v>0</v>
      </c>
      <c r="J406" s="507">
        <f>SUMIFS(Controle!$R:$R,Controle!$H:$H,produtos_escape2!$A406,Controle!$Z:$Z,"5")</f>
        <v>0</v>
      </c>
      <c r="K406" s="507">
        <f>SUMIFS(Controle!$R:$R,Controle!$H:$H,produtos_escape2!$A406,Controle!$Z:$Z,"6")</f>
        <v>0</v>
      </c>
      <c r="L406" s="507">
        <f t="shared" si="13"/>
        <v>0</v>
      </c>
      <c r="M406" s="381" t="s">
        <v>4751</v>
      </c>
      <c r="AF406" s="84"/>
    </row>
    <row r="407" spans="1:32" s="185" customFormat="1" ht="14.25" customHeight="1" thickBot="1">
      <c r="A407" s="353">
        <v>13203</v>
      </c>
      <c r="B407" s="194" t="s">
        <v>201</v>
      </c>
      <c r="C407" s="339">
        <f t="shared" si="14"/>
        <v>50000</v>
      </c>
      <c r="D407" s="196" t="s">
        <v>624</v>
      </c>
      <c r="E407" s="187" t="s">
        <v>7207</v>
      </c>
      <c r="F407" s="507">
        <f>SUMIFS(Controle!$R:$R,Controle!$H:$H,produtos_escape2!$A407,Controle!$Z:$Z,"1")</f>
        <v>0</v>
      </c>
      <c r="G407" s="507">
        <f>SUMIFS(Controle!$R:$R,Controle!$H:$H,produtos_escape2!$A407,Controle!$Z:$Z,"2")</f>
        <v>0</v>
      </c>
      <c r="H407" s="507">
        <f>SUMIFS(Controle!$R:$R,Controle!$H:$H,produtos_escape2!$A407,Controle!$Z:$Z,"3")</f>
        <v>0</v>
      </c>
      <c r="I407" s="507">
        <f>SUMIFS(Controle!$R:$R,Controle!$H:$H,produtos_escape2!$A407,Controle!$Z:$Z,"4")</f>
        <v>0</v>
      </c>
      <c r="J407" s="507">
        <f>SUMIFS(Controle!$R:$R,Controle!$H:$H,produtos_escape2!$A407,Controle!$Z:$Z,"5")</f>
        <v>0</v>
      </c>
      <c r="K407" s="507">
        <f>SUMIFS(Controle!$R:$R,Controle!$H:$H,produtos_escape2!$A407,Controle!$Z:$Z,"6")</f>
        <v>0</v>
      </c>
      <c r="L407" s="507">
        <f t="shared" si="13"/>
        <v>0</v>
      </c>
      <c r="M407" s="381" t="s">
        <v>4752</v>
      </c>
      <c r="AF407" s="84"/>
    </row>
    <row r="408" spans="1:32" s="185" customFormat="1" ht="14.25" customHeight="1" thickBot="1">
      <c r="A408" s="333">
        <v>13214</v>
      </c>
      <c r="B408" s="194" t="s">
        <v>2999</v>
      </c>
      <c r="C408" s="339">
        <f t="shared" si="14"/>
        <v>50000</v>
      </c>
      <c r="D408" s="196" t="s">
        <v>624</v>
      </c>
      <c r="E408" s="187" t="s">
        <v>7207</v>
      </c>
      <c r="F408" s="507">
        <f>SUMIFS(Controle!$R:$R,Controle!$H:$H,produtos_escape2!$A408,Controle!$Z:$Z,"1")</f>
        <v>0</v>
      </c>
      <c r="G408" s="507">
        <f>SUMIFS(Controle!$R:$R,Controle!$H:$H,produtos_escape2!$A408,Controle!$Z:$Z,"2")</f>
        <v>0</v>
      </c>
      <c r="H408" s="507">
        <f>SUMIFS(Controle!$R:$R,Controle!$H:$H,produtos_escape2!$A408,Controle!$Z:$Z,"3")</f>
        <v>0</v>
      </c>
      <c r="I408" s="507">
        <f>SUMIFS(Controle!$R:$R,Controle!$H:$H,produtos_escape2!$A408,Controle!$Z:$Z,"4")</f>
        <v>0</v>
      </c>
      <c r="J408" s="507">
        <f>SUMIFS(Controle!$R:$R,Controle!$H:$H,produtos_escape2!$A408,Controle!$Z:$Z,"5")</f>
        <v>0</v>
      </c>
      <c r="K408" s="507">
        <f>SUMIFS(Controle!$R:$R,Controle!$H:$H,produtos_escape2!$A408,Controle!$Z:$Z,"6")</f>
        <v>0</v>
      </c>
      <c r="L408" s="507">
        <f t="shared" si="13"/>
        <v>0</v>
      </c>
      <c r="M408" s="381" t="s">
        <v>4753</v>
      </c>
      <c r="AF408" s="84"/>
    </row>
    <row r="409" spans="1:32" s="185" customFormat="1" ht="14.25" customHeight="1" thickBot="1">
      <c r="A409" s="353">
        <v>13243</v>
      </c>
      <c r="B409" s="338" t="s">
        <v>132</v>
      </c>
      <c r="C409" s="339">
        <f t="shared" si="14"/>
        <v>50000</v>
      </c>
      <c r="D409" s="191" t="s">
        <v>729</v>
      </c>
      <c r="E409" s="189"/>
      <c r="F409" s="507">
        <f>SUMIFS(Controle!$R:$R,Controle!$H:$H,produtos_escape2!$A409,Controle!$Z:$Z,"1")</f>
        <v>0</v>
      </c>
      <c r="G409" s="507">
        <f>SUMIFS(Controle!$R:$R,Controle!$H:$H,produtos_escape2!$A409,Controle!$Z:$Z,"2")</f>
        <v>0</v>
      </c>
      <c r="H409" s="507">
        <f>SUMIFS(Controle!$R:$R,Controle!$H:$H,produtos_escape2!$A409,Controle!$Z:$Z,"3")</f>
        <v>0</v>
      </c>
      <c r="I409" s="507">
        <f>SUMIFS(Controle!$R:$R,Controle!$H:$H,produtos_escape2!$A409,Controle!$Z:$Z,"4")</f>
        <v>0</v>
      </c>
      <c r="J409" s="507">
        <f>SUMIFS(Controle!$R:$R,Controle!$H:$H,produtos_escape2!$A409,Controle!$Z:$Z,"5")</f>
        <v>0</v>
      </c>
      <c r="K409" s="507">
        <f>SUMIFS(Controle!$R:$R,Controle!$H:$H,produtos_escape2!$A409,Controle!$Z:$Z,"6")</f>
        <v>0</v>
      </c>
      <c r="L409" s="507">
        <f t="shared" si="13"/>
        <v>0</v>
      </c>
      <c r="M409" s="381" t="s">
        <v>4754</v>
      </c>
      <c r="AF409" s="84"/>
    </row>
    <row r="410" spans="1:32" s="185" customFormat="1" ht="14.25" customHeight="1" thickBot="1">
      <c r="A410" s="353">
        <v>13247</v>
      </c>
      <c r="B410" s="194" t="s">
        <v>2590</v>
      </c>
      <c r="C410" s="339">
        <f t="shared" si="14"/>
        <v>50000</v>
      </c>
      <c r="D410" s="196" t="s">
        <v>624</v>
      </c>
      <c r="E410" s="187" t="s">
        <v>7207</v>
      </c>
      <c r="F410" s="507">
        <f>SUMIFS(Controle!$R:$R,Controle!$H:$H,produtos_escape2!$A410,Controle!$Z:$Z,"1")</f>
        <v>0</v>
      </c>
      <c r="G410" s="507">
        <f>SUMIFS(Controle!$R:$R,Controle!$H:$H,produtos_escape2!$A410,Controle!$Z:$Z,"2")</f>
        <v>0</v>
      </c>
      <c r="H410" s="507">
        <f>SUMIFS(Controle!$R:$R,Controle!$H:$H,produtos_escape2!$A410,Controle!$Z:$Z,"3")</f>
        <v>0</v>
      </c>
      <c r="I410" s="507">
        <f>SUMIFS(Controle!$R:$R,Controle!$H:$H,produtos_escape2!$A410,Controle!$Z:$Z,"4")</f>
        <v>0</v>
      </c>
      <c r="J410" s="507">
        <f>SUMIFS(Controle!$R:$R,Controle!$H:$H,produtos_escape2!$A410,Controle!$Z:$Z,"5")</f>
        <v>0</v>
      </c>
      <c r="K410" s="507">
        <f>SUMIFS(Controle!$R:$R,Controle!$H:$H,produtos_escape2!$A410,Controle!$Z:$Z,"6")</f>
        <v>0</v>
      </c>
      <c r="L410" s="507">
        <f t="shared" si="13"/>
        <v>0</v>
      </c>
      <c r="M410" s="381" t="s">
        <v>4755</v>
      </c>
      <c r="AF410" s="84"/>
    </row>
    <row r="411" spans="1:32" s="185" customFormat="1" ht="14.25" customHeight="1" thickBot="1">
      <c r="A411" s="353">
        <v>13250</v>
      </c>
      <c r="B411" s="194" t="s">
        <v>1297</v>
      </c>
      <c r="C411" s="339">
        <f t="shared" si="14"/>
        <v>50000</v>
      </c>
      <c r="D411" s="196" t="s">
        <v>624</v>
      </c>
      <c r="E411" s="187" t="s">
        <v>7207</v>
      </c>
      <c r="F411" s="507">
        <f>SUMIFS(Controle!$R:$R,Controle!$H:$H,produtos_escape2!$A411,Controle!$Z:$Z,"1")</f>
        <v>0</v>
      </c>
      <c r="G411" s="507">
        <f>SUMIFS(Controle!$R:$R,Controle!$H:$H,produtos_escape2!$A411,Controle!$Z:$Z,"2")</f>
        <v>0</v>
      </c>
      <c r="H411" s="507">
        <f>SUMIFS(Controle!$R:$R,Controle!$H:$H,produtos_escape2!$A411,Controle!$Z:$Z,"3")</f>
        <v>0</v>
      </c>
      <c r="I411" s="507">
        <f>SUMIFS(Controle!$R:$R,Controle!$H:$H,produtos_escape2!$A411,Controle!$Z:$Z,"4")</f>
        <v>0</v>
      </c>
      <c r="J411" s="507">
        <f>SUMIFS(Controle!$R:$R,Controle!$H:$H,produtos_escape2!$A411,Controle!$Z:$Z,"5")</f>
        <v>0</v>
      </c>
      <c r="K411" s="507">
        <f>SUMIFS(Controle!$R:$R,Controle!$H:$H,produtos_escape2!$A411,Controle!$Z:$Z,"6")</f>
        <v>0</v>
      </c>
      <c r="L411" s="507">
        <f t="shared" si="13"/>
        <v>0</v>
      </c>
      <c r="M411" s="381" t="s">
        <v>4756</v>
      </c>
      <c r="AF411" s="84"/>
    </row>
    <row r="412" spans="1:32" s="185" customFormat="1" ht="14.25" customHeight="1" thickBot="1">
      <c r="A412" s="353">
        <v>13252</v>
      </c>
      <c r="B412" s="194" t="s">
        <v>1535</v>
      </c>
      <c r="C412" s="339">
        <f t="shared" si="14"/>
        <v>50000</v>
      </c>
      <c r="D412" s="196" t="s">
        <v>624</v>
      </c>
      <c r="E412" s="187" t="s">
        <v>7207</v>
      </c>
      <c r="F412" s="507">
        <f>SUMIFS(Controle!$R:$R,Controle!$H:$H,produtos_escape2!$A412,Controle!$Z:$Z,"1")</f>
        <v>0</v>
      </c>
      <c r="G412" s="507">
        <f>SUMIFS(Controle!$R:$R,Controle!$H:$H,produtos_escape2!$A412,Controle!$Z:$Z,"2")</f>
        <v>0</v>
      </c>
      <c r="H412" s="507">
        <f>SUMIFS(Controle!$R:$R,Controle!$H:$H,produtos_escape2!$A412,Controle!$Z:$Z,"3")</f>
        <v>0</v>
      </c>
      <c r="I412" s="507">
        <f>SUMIFS(Controle!$R:$R,Controle!$H:$H,produtos_escape2!$A412,Controle!$Z:$Z,"4")</f>
        <v>0</v>
      </c>
      <c r="J412" s="507">
        <f>SUMIFS(Controle!$R:$R,Controle!$H:$H,produtos_escape2!$A412,Controle!$Z:$Z,"5")</f>
        <v>0</v>
      </c>
      <c r="K412" s="507">
        <f>SUMIFS(Controle!$R:$R,Controle!$H:$H,produtos_escape2!$A412,Controle!$Z:$Z,"6")</f>
        <v>0</v>
      </c>
      <c r="L412" s="507">
        <f t="shared" si="13"/>
        <v>0</v>
      </c>
      <c r="M412" s="381" t="s">
        <v>4674</v>
      </c>
      <c r="AF412" s="84"/>
    </row>
    <row r="413" spans="1:32" s="185" customFormat="1" ht="14.25" customHeight="1" thickBot="1">
      <c r="A413" s="353">
        <v>13254</v>
      </c>
      <c r="B413" s="194" t="s">
        <v>478</v>
      </c>
      <c r="C413" s="339">
        <f t="shared" si="14"/>
        <v>50000</v>
      </c>
      <c r="D413" s="196" t="s">
        <v>624</v>
      </c>
      <c r="E413" s="187"/>
      <c r="F413" s="507">
        <f>SUMIFS(Controle!$R:$R,Controle!$H:$H,produtos_escape2!$A413,Controle!$Z:$Z,"1")</f>
        <v>0</v>
      </c>
      <c r="G413" s="507">
        <f>SUMIFS(Controle!$R:$R,Controle!$H:$H,produtos_escape2!$A413,Controle!$Z:$Z,"2")</f>
        <v>0</v>
      </c>
      <c r="H413" s="507">
        <f>SUMIFS(Controle!$R:$R,Controle!$H:$H,produtos_escape2!$A413,Controle!$Z:$Z,"3")</f>
        <v>0</v>
      </c>
      <c r="I413" s="507">
        <f>SUMIFS(Controle!$R:$R,Controle!$H:$H,produtos_escape2!$A413,Controle!$Z:$Z,"4")</f>
        <v>0</v>
      </c>
      <c r="J413" s="507">
        <f>SUMIFS(Controle!$R:$R,Controle!$H:$H,produtos_escape2!$A413,Controle!$Z:$Z,"5")</f>
        <v>0</v>
      </c>
      <c r="K413" s="507">
        <f>SUMIFS(Controle!$R:$R,Controle!$H:$H,produtos_escape2!$A413,Controle!$Z:$Z,"6")</f>
        <v>0</v>
      </c>
      <c r="L413" s="507">
        <f t="shared" si="13"/>
        <v>0</v>
      </c>
      <c r="M413" s="381" t="s">
        <v>4757</v>
      </c>
      <c r="AF413" s="84"/>
    </row>
    <row r="414" spans="1:32" s="185" customFormat="1" ht="14.25" customHeight="1" thickBot="1">
      <c r="A414" s="353">
        <v>13255</v>
      </c>
      <c r="B414" s="194" t="s">
        <v>4473</v>
      </c>
      <c r="C414" s="339">
        <f t="shared" si="14"/>
        <v>50000</v>
      </c>
      <c r="D414" s="196" t="s">
        <v>624</v>
      </c>
      <c r="E414" s="187" t="s">
        <v>7207</v>
      </c>
      <c r="F414" s="507">
        <f>SUMIFS(Controle!$R:$R,Controle!$H:$H,produtos_escape2!$A414,Controle!$Z:$Z,"1")</f>
        <v>0</v>
      </c>
      <c r="G414" s="507">
        <f>SUMIFS(Controle!$R:$R,Controle!$H:$H,produtos_escape2!$A414,Controle!$Z:$Z,"2")</f>
        <v>0</v>
      </c>
      <c r="H414" s="507">
        <f>SUMIFS(Controle!$R:$R,Controle!$H:$H,produtos_escape2!$A414,Controle!$Z:$Z,"3")</f>
        <v>0</v>
      </c>
      <c r="I414" s="507">
        <f>SUMIFS(Controle!$R:$R,Controle!$H:$H,produtos_escape2!$A414,Controle!$Z:$Z,"4")</f>
        <v>0</v>
      </c>
      <c r="J414" s="507">
        <f>SUMIFS(Controle!$R:$R,Controle!$H:$H,produtos_escape2!$A414,Controle!$Z:$Z,"5")</f>
        <v>0</v>
      </c>
      <c r="K414" s="507">
        <f>SUMIFS(Controle!$R:$R,Controle!$H:$H,produtos_escape2!$A414,Controle!$Z:$Z,"6")</f>
        <v>0</v>
      </c>
      <c r="L414" s="507">
        <f t="shared" si="13"/>
        <v>0</v>
      </c>
      <c r="M414" s="381" t="s">
        <v>4758</v>
      </c>
      <c r="AF414" s="84"/>
    </row>
    <row r="415" spans="1:32" s="185" customFormat="1" ht="14.25" customHeight="1" thickBot="1">
      <c r="A415" s="353">
        <v>13256</v>
      </c>
      <c r="B415" s="194" t="s">
        <v>4474</v>
      </c>
      <c r="C415" s="339">
        <f t="shared" si="14"/>
        <v>50000</v>
      </c>
      <c r="D415" s="196" t="s">
        <v>624</v>
      </c>
      <c r="E415" s="187" t="s">
        <v>7207</v>
      </c>
      <c r="F415" s="507">
        <f>SUMIFS(Controle!$R:$R,Controle!$H:$H,produtos_escape2!$A415,Controle!$Z:$Z,"1")</f>
        <v>0</v>
      </c>
      <c r="G415" s="507">
        <f>SUMIFS(Controle!$R:$R,Controle!$H:$H,produtos_escape2!$A415,Controle!$Z:$Z,"2")</f>
        <v>0</v>
      </c>
      <c r="H415" s="507">
        <f>SUMIFS(Controle!$R:$R,Controle!$H:$H,produtos_escape2!$A415,Controle!$Z:$Z,"3")</f>
        <v>0</v>
      </c>
      <c r="I415" s="507">
        <f>SUMIFS(Controle!$R:$R,Controle!$H:$H,produtos_escape2!$A415,Controle!$Z:$Z,"4")</f>
        <v>0</v>
      </c>
      <c r="J415" s="507">
        <f>SUMIFS(Controle!$R:$R,Controle!$H:$H,produtos_escape2!$A415,Controle!$Z:$Z,"5")</f>
        <v>0</v>
      </c>
      <c r="K415" s="507">
        <f>SUMIFS(Controle!$R:$R,Controle!$H:$H,produtos_escape2!$A415,Controle!$Z:$Z,"6")</f>
        <v>0</v>
      </c>
      <c r="L415" s="507">
        <f t="shared" si="13"/>
        <v>0</v>
      </c>
      <c r="M415" s="381" t="s">
        <v>4759</v>
      </c>
      <c r="AF415" s="84"/>
    </row>
    <row r="416" spans="1:32" s="185" customFormat="1" ht="14.25" customHeight="1" thickBot="1">
      <c r="A416" s="333">
        <v>13278</v>
      </c>
      <c r="B416" s="194" t="s">
        <v>465</v>
      </c>
      <c r="C416" s="339">
        <f t="shared" si="14"/>
        <v>50000</v>
      </c>
      <c r="D416" s="196"/>
      <c r="E416" s="187"/>
      <c r="F416" s="507">
        <f>SUMIFS(Controle!$R:$R,Controle!$H:$H,produtos_escape2!$A416,Controle!$Z:$Z,"1")</f>
        <v>0</v>
      </c>
      <c r="G416" s="507">
        <f>SUMIFS(Controle!$R:$R,Controle!$H:$H,produtos_escape2!$A416,Controle!$Z:$Z,"2")</f>
        <v>0</v>
      </c>
      <c r="H416" s="507">
        <f>SUMIFS(Controle!$R:$R,Controle!$H:$H,produtos_escape2!$A416,Controle!$Z:$Z,"3")</f>
        <v>0</v>
      </c>
      <c r="I416" s="507">
        <f>SUMIFS(Controle!$R:$R,Controle!$H:$H,produtos_escape2!$A416,Controle!$Z:$Z,"4")</f>
        <v>0</v>
      </c>
      <c r="J416" s="507">
        <f>SUMIFS(Controle!$R:$R,Controle!$H:$H,produtos_escape2!$A416,Controle!$Z:$Z,"5")</f>
        <v>0</v>
      </c>
      <c r="K416" s="507">
        <f>SUMIFS(Controle!$R:$R,Controle!$H:$H,produtos_escape2!$A416,Controle!$Z:$Z,"6")</f>
        <v>0</v>
      </c>
      <c r="L416" s="507">
        <f t="shared" si="13"/>
        <v>0</v>
      </c>
      <c r="M416" s="381" t="s">
        <v>4760</v>
      </c>
      <c r="AF416" s="84"/>
    </row>
    <row r="417" spans="1:32" s="185" customFormat="1" ht="14.25" customHeight="1" thickBot="1">
      <c r="A417" s="353">
        <v>13279</v>
      </c>
      <c r="B417" s="338" t="s">
        <v>464</v>
      </c>
      <c r="C417" s="339">
        <f t="shared" si="14"/>
        <v>50000</v>
      </c>
      <c r="D417" s="196"/>
      <c r="E417" s="187"/>
      <c r="F417" s="507">
        <f>SUMIFS(Controle!$R:$R,Controle!$H:$H,produtos_escape2!$A417,Controle!$Z:$Z,"1")</f>
        <v>0</v>
      </c>
      <c r="G417" s="507">
        <f>SUMIFS(Controle!$R:$R,Controle!$H:$H,produtos_escape2!$A417,Controle!$Z:$Z,"2")</f>
        <v>0</v>
      </c>
      <c r="H417" s="507">
        <f>SUMIFS(Controle!$R:$R,Controle!$H:$H,produtos_escape2!$A417,Controle!$Z:$Z,"3")</f>
        <v>0</v>
      </c>
      <c r="I417" s="507">
        <f>SUMIFS(Controle!$R:$R,Controle!$H:$H,produtos_escape2!$A417,Controle!$Z:$Z,"4")</f>
        <v>0</v>
      </c>
      <c r="J417" s="507">
        <f>SUMIFS(Controle!$R:$R,Controle!$H:$H,produtos_escape2!$A417,Controle!$Z:$Z,"5")</f>
        <v>0</v>
      </c>
      <c r="K417" s="507">
        <f>SUMIFS(Controle!$R:$R,Controle!$H:$H,produtos_escape2!$A417,Controle!$Z:$Z,"6")</f>
        <v>0</v>
      </c>
      <c r="L417" s="507">
        <f t="shared" si="13"/>
        <v>0</v>
      </c>
      <c r="M417" s="381" t="s">
        <v>464</v>
      </c>
      <c r="AF417" s="84"/>
    </row>
    <row r="418" spans="1:32" s="185" customFormat="1" ht="14.25" customHeight="1" thickBot="1">
      <c r="A418" s="353">
        <v>13280</v>
      </c>
      <c r="B418" s="194" t="s">
        <v>9276</v>
      </c>
      <c r="C418" s="339">
        <f t="shared" si="14"/>
        <v>50000</v>
      </c>
      <c r="D418" s="196" t="s">
        <v>624</v>
      </c>
      <c r="E418" s="189" t="s">
        <v>7207</v>
      </c>
      <c r="F418" s="507">
        <f>SUMIFS(Controle!$R:$R,Controle!$H:$H,produtos_escape2!$A418,Controle!$Z:$Z,"1")</f>
        <v>0</v>
      </c>
      <c r="G418" s="507">
        <f>SUMIFS(Controle!$R:$R,Controle!$H:$H,produtos_escape2!$A418,Controle!$Z:$Z,"2")</f>
        <v>0</v>
      </c>
      <c r="H418" s="507">
        <f>SUMIFS(Controle!$R:$R,Controle!$H:$H,produtos_escape2!$A418,Controle!$Z:$Z,"3")</f>
        <v>0</v>
      </c>
      <c r="I418" s="507">
        <f>SUMIFS(Controle!$R:$R,Controle!$H:$H,produtos_escape2!$A418,Controle!$Z:$Z,"4")</f>
        <v>0</v>
      </c>
      <c r="J418" s="507">
        <f>SUMIFS(Controle!$R:$R,Controle!$H:$H,produtos_escape2!$A418,Controle!$Z:$Z,"5")</f>
        <v>0</v>
      </c>
      <c r="K418" s="507">
        <f>SUMIFS(Controle!$R:$R,Controle!$H:$H,produtos_escape2!$A418,Controle!$Z:$Z,"6")</f>
        <v>0</v>
      </c>
      <c r="L418" s="507">
        <f t="shared" si="13"/>
        <v>0</v>
      </c>
      <c r="M418" s="381"/>
      <c r="AF418" s="84"/>
    </row>
    <row r="419" spans="1:32" s="185" customFormat="1" ht="14.25" customHeight="1" thickBot="1">
      <c r="A419" s="353">
        <v>13351</v>
      </c>
      <c r="B419" s="194" t="s">
        <v>2591</v>
      </c>
      <c r="C419" s="339">
        <f t="shared" si="14"/>
        <v>50000</v>
      </c>
      <c r="D419" s="196" t="s">
        <v>830</v>
      </c>
      <c r="E419" s="187" t="s">
        <v>7207</v>
      </c>
      <c r="F419" s="507">
        <f>SUMIFS(Controle!$R:$R,Controle!$H:$H,produtos_escape2!$A419,Controle!$Z:$Z,"1")</f>
        <v>0</v>
      </c>
      <c r="G419" s="507">
        <f>SUMIFS(Controle!$R:$R,Controle!$H:$H,produtos_escape2!$A419,Controle!$Z:$Z,"2")</f>
        <v>0</v>
      </c>
      <c r="H419" s="507">
        <f>SUMIFS(Controle!$R:$R,Controle!$H:$H,produtos_escape2!$A419,Controle!$Z:$Z,"3")</f>
        <v>0</v>
      </c>
      <c r="I419" s="507">
        <f>SUMIFS(Controle!$R:$R,Controle!$H:$H,produtos_escape2!$A419,Controle!$Z:$Z,"4")</f>
        <v>0</v>
      </c>
      <c r="J419" s="507">
        <f>SUMIFS(Controle!$R:$R,Controle!$H:$H,produtos_escape2!$A419,Controle!$Z:$Z,"5")</f>
        <v>0</v>
      </c>
      <c r="K419" s="507">
        <f>SUMIFS(Controle!$R:$R,Controle!$H:$H,produtos_escape2!$A419,Controle!$Z:$Z,"6")</f>
        <v>0</v>
      </c>
      <c r="L419" s="507">
        <f t="shared" si="13"/>
        <v>0</v>
      </c>
      <c r="M419" s="381" t="s">
        <v>2591</v>
      </c>
      <c r="AF419" s="84"/>
    </row>
    <row r="420" spans="1:32" s="185" customFormat="1" ht="14.25" customHeight="1" thickBot="1">
      <c r="A420" s="353">
        <v>13354</v>
      </c>
      <c r="B420" s="194" t="s">
        <v>7045</v>
      </c>
      <c r="C420" s="339">
        <f t="shared" si="14"/>
        <v>50000</v>
      </c>
      <c r="D420" s="196" t="s">
        <v>917</v>
      </c>
      <c r="E420" s="187" t="s">
        <v>7207</v>
      </c>
      <c r="F420" s="507">
        <f>SUMIFS(Controle!$R:$R,Controle!$H:$H,produtos_escape2!$A420,Controle!$Z:$Z,"1")</f>
        <v>0</v>
      </c>
      <c r="G420" s="507">
        <f>SUMIFS(Controle!$R:$R,Controle!$H:$H,produtos_escape2!$A420,Controle!$Z:$Z,"2")</f>
        <v>0</v>
      </c>
      <c r="H420" s="507">
        <f>SUMIFS(Controle!$R:$R,Controle!$H:$H,produtos_escape2!$A420,Controle!$Z:$Z,"3")</f>
        <v>0</v>
      </c>
      <c r="I420" s="507">
        <f>SUMIFS(Controle!$R:$R,Controle!$H:$H,produtos_escape2!$A420,Controle!$Z:$Z,"4")</f>
        <v>0</v>
      </c>
      <c r="J420" s="507">
        <f>SUMIFS(Controle!$R:$R,Controle!$H:$H,produtos_escape2!$A420,Controle!$Z:$Z,"5")</f>
        <v>0</v>
      </c>
      <c r="K420" s="507">
        <f>SUMIFS(Controle!$R:$R,Controle!$H:$H,produtos_escape2!$A420,Controle!$Z:$Z,"6")</f>
        <v>0</v>
      </c>
      <c r="L420" s="507">
        <f t="shared" si="13"/>
        <v>0</v>
      </c>
      <c r="M420" s="381" t="s">
        <v>7044</v>
      </c>
      <c r="AF420" s="84"/>
    </row>
    <row r="421" spans="1:32" s="185" customFormat="1" ht="14.25" customHeight="1" thickBot="1">
      <c r="A421" s="353">
        <v>13459</v>
      </c>
      <c r="B421" s="194" t="s">
        <v>28</v>
      </c>
      <c r="C421" s="339">
        <f t="shared" si="14"/>
        <v>50000</v>
      </c>
      <c r="D421" s="196"/>
      <c r="E421" s="187"/>
      <c r="F421" s="507">
        <f>SUMIFS(Controle!$R:$R,Controle!$H:$H,produtos_escape2!$A421,Controle!$Z:$Z,"1")</f>
        <v>0</v>
      </c>
      <c r="G421" s="507">
        <f>SUMIFS(Controle!$R:$R,Controle!$H:$H,produtos_escape2!$A421,Controle!$Z:$Z,"2")</f>
        <v>0</v>
      </c>
      <c r="H421" s="507">
        <f>SUMIFS(Controle!$R:$R,Controle!$H:$H,produtos_escape2!$A421,Controle!$Z:$Z,"3")</f>
        <v>0</v>
      </c>
      <c r="I421" s="507">
        <f>SUMIFS(Controle!$R:$R,Controle!$H:$H,produtos_escape2!$A421,Controle!$Z:$Z,"4")</f>
        <v>0</v>
      </c>
      <c r="J421" s="507">
        <f>SUMIFS(Controle!$R:$R,Controle!$H:$H,produtos_escape2!$A421,Controle!$Z:$Z,"5")</f>
        <v>0</v>
      </c>
      <c r="K421" s="507">
        <f>SUMIFS(Controle!$R:$R,Controle!$H:$H,produtos_escape2!$A421,Controle!$Z:$Z,"6")</f>
        <v>0</v>
      </c>
      <c r="L421" s="507">
        <f t="shared" si="13"/>
        <v>0</v>
      </c>
      <c r="M421" s="381" t="s">
        <v>4761</v>
      </c>
      <c r="AF421" s="84"/>
    </row>
    <row r="422" spans="1:32" s="185" customFormat="1" ht="14.25" customHeight="1" thickBot="1">
      <c r="A422" s="353">
        <v>13464</v>
      </c>
      <c r="B422" s="194" t="s">
        <v>473</v>
      </c>
      <c r="C422" s="339">
        <f t="shared" si="14"/>
        <v>50000</v>
      </c>
      <c r="D422" s="196" t="s">
        <v>636</v>
      </c>
      <c r="E422" s="187" t="s">
        <v>7207</v>
      </c>
      <c r="F422" s="507">
        <f>SUMIFS(Controle!$R:$R,Controle!$H:$H,produtos_escape2!$A422,Controle!$Z:$Z,"1")</f>
        <v>0</v>
      </c>
      <c r="G422" s="507">
        <f>SUMIFS(Controle!$R:$R,Controle!$H:$H,produtos_escape2!$A422,Controle!$Z:$Z,"2")</f>
        <v>0</v>
      </c>
      <c r="H422" s="507">
        <f>SUMIFS(Controle!$R:$R,Controle!$H:$H,produtos_escape2!$A422,Controle!$Z:$Z,"3")</f>
        <v>0</v>
      </c>
      <c r="I422" s="507">
        <f>SUMIFS(Controle!$R:$R,Controle!$H:$H,produtos_escape2!$A422,Controle!$Z:$Z,"4")</f>
        <v>0</v>
      </c>
      <c r="J422" s="507">
        <f>SUMIFS(Controle!$R:$R,Controle!$H:$H,produtos_escape2!$A422,Controle!$Z:$Z,"5")</f>
        <v>0</v>
      </c>
      <c r="K422" s="507">
        <f>SUMIFS(Controle!$R:$R,Controle!$H:$H,produtos_escape2!$A422,Controle!$Z:$Z,"6")</f>
        <v>0</v>
      </c>
      <c r="L422" s="507">
        <f t="shared" si="13"/>
        <v>0</v>
      </c>
      <c r="M422" s="381" t="s">
        <v>4761</v>
      </c>
      <c r="AF422" s="84"/>
    </row>
    <row r="423" spans="1:32" s="185" customFormat="1" ht="14.25" customHeight="1" thickBot="1">
      <c r="A423" s="353">
        <v>13486</v>
      </c>
      <c r="B423" s="194" t="s">
        <v>454</v>
      </c>
      <c r="C423" s="339">
        <f t="shared" si="14"/>
        <v>50000</v>
      </c>
      <c r="D423" s="196"/>
      <c r="E423" s="187"/>
      <c r="F423" s="507">
        <f>SUMIFS(Controle!$R:$R,Controle!$H:$H,produtos_escape2!$A423,Controle!$Z:$Z,"1")</f>
        <v>0</v>
      </c>
      <c r="G423" s="507">
        <f>SUMIFS(Controle!$R:$R,Controle!$H:$H,produtos_escape2!$A423,Controle!$Z:$Z,"2")</f>
        <v>0</v>
      </c>
      <c r="H423" s="507">
        <f>SUMIFS(Controle!$R:$R,Controle!$H:$H,produtos_escape2!$A423,Controle!$Z:$Z,"3")</f>
        <v>0</v>
      </c>
      <c r="I423" s="507">
        <f>SUMIFS(Controle!$R:$R,Controle!$H:$H,produtos_escape2!$A423,Controle!$Z:$Z,"4")</f>
        <v>0</v>
      </c>
      <c r="J423" s="507">
        <f>SUMIFS(Controle!$R:$R,Controle!$H:$H,produtos_escape2!$A423,Controle!$Z:$Z,"5")</f>
        <v>0</v>
      </c>
      <c r="K423" s="507">
        <f>SUMIFS(Controle!$R:$R,Controle!$H:$H,produtos_escape2!$A423,Controle!$Z:$Z,"6")</f>
        <v>0</v>
      </c>
      <c r="L423" s="507">
        <f t="shared" si="13"/>
        <v>0</v>
      </c>
      <c r="M423" s="381" t="s">
        <v>4762</v>
      </c>
      <c r="AF423" s="84"/>
    </row>
    <row r="424" spans="1:32" s="185" customFormat="1" ht="14.25" customHeight="1" thickBot="1">
      <c r="A424" s="353">
        <v>13490</v>
      </c>
      <c r="B424" s="194" t="s">
        <v>1025</v>
      </c>
      <c r="C424" s="339">
        <f t="shared" si="14"/>
        <v>49317</v>
      </c>
      <c r="D424" s="196" t="s">
        <v>624</v>
      </c>
      <c r="E424" s="187" t="s">
        <v>7207</v>
      </c>
      <c r="F424" s="507">
        <f>SUMIFS(Controle!$R:$R,Controle!$H:$H,produtos_escape2!$A424,Controle!$Z:$Z,"1")</f>
        <v>0</v>
      </c>
      <c r="G424" s="507">
        <f>SUMIFS(Controle!$R:$R,Controle!$H:$H,produtos_escape2!$A424,Controle!$Z:$Z,"2")</f>
        <v>683</v>
      </c>
      <c r="H424" s="507">
        <f>SUMIFS(Controle!$R:$R,Controle!$H:$H,produtos_escape2!$A424,Controle!$Z:$Z,"3")</f>
        <v>0</v>
      </c>
      <c r="I424" s="507">
        <f>SUMIFS(Controle!$R:$R,Controle!$H:$H,produtos_escape2!$A424,Controle!$Z:$Z,"4")</f>
        <v>0</v>
      </c>
      <c r="J424" s="507">
        <f>SUMIFS(Controle!$R:$R,Controle!$H:$H,produtos_escape2!$A424,Controle!$Z:$Z,"5")</f>
        <v>0</v>
      </c>
      <c r="K424" s="507">
        <f>SUMIFS(Controle!$R:$R,Controle!$H:$H,produtos_escape2!$A424,Controle!$Z:$Z,"6")</f>
        <v>0</v>
      </c>
      <c r="L424" s="507">
        <f t="shared" si="13"/>
        <v>683</v>
      </c>
      <c r="M424" s="381" t="s">
        <v>4762</v>
      </c>
      <c r="AF424" s="84"/>
    </row>
    <row r="425" spans="1:32" s="185" customFormat="1" ht="14.25" customHeight="1" thickBot="1">
      <c r="A425" s="353">
        <v>13495</v>
      </c>
      <c r="B425" s="194" t="s">
        <v>4493</v>
      </c>
      <c r="C425" s="339">
        <f t="shared" si="14"/>
        <v>50000</v>
      </c>
      <c r="D425" s="196" t="s">
        <v>624</v>
      </c>
      <c r="E425" s="187" t="s">
        <v>7207</v>
      </c>
      <c r="F425" s="507">
        <f>SUMIFS(Controle!$R:$R,Controle!$H:$H,produtos_escape2!$A425,Controle!$Z:$Z,"1")</f>
        <v>0</v>
      </c>
      <c r="G425" s="507">
        <f>SUMIFS(Controle!$R:$R,Controle!$H:$H,produtos_escape2!$A425,Controle!$Z:$Z,"2")</f>
        <v>0</v>
      </c>
      <c r="H425" s="507">
        <f>SUMIFS(Controle!$R:$R,Controle!$H:$H,produtos_escape2!$A425,Controle!$Z:$Z,"3")</f>
        <v>0</v>
      </c>
      <c r="I425" s="507">
        <f>SUMIFS(Controle!$R:$R,Controle!$H:$H,produtos_escape2!$A425,Controle!$Z:$Z,"4")</f>
        <v>0</v>
      </c>
      <c r="J425" s="507">
        <f>SUMIFS(Controle!$R:$R,Controle!$H:$H,produtos_escape2!$A425,Controle!$Z:$Z,"5")</f>
        <v>0</v>
      </c>
      <c r="K425" s="507">
        <f>SUMIFS(Controle!$R:$R,Controle!$H:$H,produtos_escape2!$A425,Controle!$Z:$Z,"6")</f>
        <v>0</v>
      </c>
      <c r="L425" s="507">
        <f t="shared" si="13"/>
        <v>0</v>
      </c>
      <c r="M425" s="381" t="s">
        <v>5720</v>
      </c>
      <c r="AF425" s="84"/>
    </row>
    <row r="426" spans="1:32" s="185" customFormat="1" ht="14.25" customHeight="1" thickBot="1">
      <c r="A426" s="333">
        <v>13500</v>
      </c>
      <c r="B426" s="194" t="s">
        <v>4498</v>
      </c>
      <c r="C426" s="339">
        <f t="shared" si="14"/>
        <v>50000</v>
      </c>
      <c r="D426" s="196" t="s">
        <v>1093</v>
      </c>
      <c r="E426" s="187" t="s">
        <v>7207</v>
      </c>
      <c r="F426" s="507">
        <f>SUMIFS(Controle!$R:$R,Controle!$H:$H,produtos_escape2!$A426,Controle!$Z:$Z,"1")</f>
        <v>0</v>
      </c>
      <c r="G426" s="507">
        <f>SUMIFS(Controle!$R:$R,Controle!$H:$H,produtos_escape2!$A426,Controle!$Z:$Z,"2")</f>
        <v>0</v>
      </c>
      <c r="H426" s="507">
        <f>SUMIFS(Controle!$R:$R,Controle!$H:$H,produtos_escape2!$A426,Controle!$Z:$Z,"3")</f>
        <v>0</v>
      </c>
      <c r="I426" s="507">
        <f>SUMIFS(Controle!$R:$R,Controle!$H:$H,produtos_escape2!$A426,Controle!$Z:$Z,"4")</f>
        <v>0</v>
      </c>
      <c r="J426" s="507">
        <f>SUMIFS(Controle!$R:$R,Controle!$H:$H,produtos_escape2!$A426,Controle!$Z:$Z,"5")</f>
        <v>0</v>
      </c>
      <c r="K426" s="507">
        <f>SUMIFS(Controle!$R:$R,Controle!$H:$H,produtos_escape2!$A426,Controle!$Z:$Z,"6")</f>
        <v>0</v>
      </c>
      <c r="L426" s="507">
        <f t="shared" si="13"/>
        <v>0</v>
      </c>
      <c r="M426" s="381" t="s">
        <v>4763</v>
      </c>
      <c r="AF426" s="84"/>
    </row>
    <row r="427" spans="1:32" s="185" customFormat="1" ht="14.25" customHeight="1" thickBot="1">
      <c r="A427" s="353">
        <v>13506</v>
      </c>
      <c r="B427" s="338" t="s">
        <v>4499</v>
      </c>
      <c r="C427" s="339">
        <f t="shared" si="14"/>
        <v>50000</v>
      </c>
      <c r="D427" s="196" t="s">
        <v>1093</v>
      </c>
      <c r="E427" s="187" t="s">
        <v>7207</v>
      </c>
      <c r="F427" s="507">
        <f>SUMIFS(Controle!$R:$R,Controle!$H:$H,produtos_escape2!$A427,Controle!$Z:$Z,"1")</f>
        <v>0</v>
      </c>
      <c r="G427" s="507">
        <f>SUMIFS(Controle!$R:$R,Controle!$H:$H,produtos_escape2!$A427,Controle!$Z:$Z,"2")</f>
        <v>0</v>
      </c>
      <c r="H427" s="507">
        <f>SUMIFS(Controle!$R:$R,Controle!$H:$H,produtos_escape2!$A427,Controle!$Z:$Z,"3")</f>
        <v>0</v>
      </c>
      <c r="I427" s="507">
        <f>SUMIFS(Controle!$R:$R,Controle!$H:$H,produtos_escape2!$A427,Controle!$Z:$Z,"4")</f>
        <v>0</v>
      </c>
      <c r="J427" s="507">
        <f>SUMIFS(Controle!$R:$R,Controle!$H:$H,produtos_escape2!$A427,Controle!$Z:$Z,"5")</f>
        <v>0</v>
      </c>
      <c r="K427" s="507">
        <f>SUMIFS(Controle!$R:$R,Controle!$H:$H,produtos_escape2!$A427,Controle!$Z:$Z,"6")</f>
        <v>0</v>
      </c>
      <c r="L427" s="507">
        <f t="shared" si="13"/>
        <v>0</v>
      </c>
      <c r="M427" s="381" t="s">
        <v>4763</v>
      </c>
      <c r="AF427" s="84"/>
    </row>
    <row r="428" spans="1:32" s="185" customFormat="1" ht="14.25" customHeight="1" thickBot="1">
      <c r="A428" s="353">
        <v>13516</v>
      </c>
      <c r="B428" s="194" t="s">
        <v>2918</v>
      </c>
      <c r="C428" s="339">
        <f t="shared" si="14"/>
        <v>50000</v>
      </c>
      <c r="D428" s="196" t="s">
        <v>1726</v>
      </c>
      <c r="E428" s="187" t="s">
        <v>7207</v>
      </c>
      <c r="F428" s="507">
        <f>SUMIFS(Controle!$R:$R,Controle!$H:$H,produtos_escape2!$A428,Controle!$Z:$Z,"1")</f>
        <v>0</v>
      </c>
      <c r="G428" s="507">
        <f>SUMIFS(Controle!$R:$R,Controle!$H:$H,produtos_escape2!$A428,Controle!$Z:$Z,"2")</f>
        <v>0</v>
      </c>
      <c r="H428" s="507">
        <f>SUMIFS(Controle!$R:$R,Controle!$H:$H,produtos_escape2!$A428,Controle!$Z:$Z,"3")</f>
        <v>0</v>
      </c>
      <c r="I428" s="507">
        <f>SUMIFS(Controle!$R:$R,Controle!$H:$H,produtos_escape2!$A428,Controle!$Z:$Z,"4")</f>
        <v>0</v>
      </c>
      <c r="J428" s="507">
        <f>SUMIFS(Controle!$R:$R,Controle!$H:$H,produtos_escape2!$A428,Controle!$Z:$Z,"5")</f>
        <v>0</v>
      </c>
      <c r="K428" s="507">
        <f>SUMIFS(Controle!$R:$R,Controle!$H:$H,produtos_escape2!$A428,Controle!$Z:$Z,"6")</f>
        <v>0</v>
      </c>
      <c r="L428" s="507">
        <f t="shared" si="13"/>
        <v>0</v>
      </c>
      <c r="M428" s="381" t="s">
        <v>4763</v>
      </c>
      <c r="AF428" s="84"/>
    </row>
    <row r="429" spans="1:32" s="185" customFormat="1" ht="14.25" customHeight="1" thickBot="1">
      <c r="A429" s="353">
        <v>13517</v>
      </c>
      <c r="B429" s="194" t="s">
        <v>2919</v>
      </c>
      <c r="C429" s="339">
        <f t="shared" si="14"/>
        <v>50000</v>
      </c>
      <c r="D429" s="196" t="s">
        <v>1726</v>
      </c>
      <c r="E429" s="187" t="s">
        <v>7207</v>
      </c>
      <c r="F429" s="507">
        <f>SUMIFS(Controle!$R:$R,Controle!$H:$H,produtos_escape2!$A429,Controle!$Z:$Z,"1")</f>
        <v>0</v>
      </c>
      <c r="G429" s="507">
        <f>SUMIFS(Controle!$R:$R,Controle!$H:$H,produtos_escape2!$A429,Controle!$Z:$Z,"2")</f>
        <v>0</v>
      </c>
      <c r="H429" s="507">
        <f>SUMIFS(Controle!$R:$R,Controle!$H:$H,produtos_escape2!$A429,Controle!$Z:$Z,"3")</f>
        <v>0</v>
      </c>
      <c r="I429" s="507">
        <f>SUMIFS(Controle!$R:$R,Controle!$H:$H,produtos_escape2!$A429,Controle!$Z:$Z,"4")</f>
        <v>0</v>
      </c>
      <c r="J429" s="507">
        <f>SUMIFS(Controle!$R:$R,Controle!$H:$H,produtos_escape2!$A429,Controle!$Z:$Z,"5")</f>
        <v>0</v>
      </c>
      <c r="K429" s="507">
        <f>SUMIFS(Controle!$R:$R,Controle!$H:$H,produtos_escape2!$A429,Controle!$Z:$Z,"6")</f>
        <v>0</v>
      </c>
      <c r="L429" s="507">
        <f t="shared" si="13"/>
        <v>0</v>
      </c>
      <c r="M429" s="381" t="s">
        <v>4763</v>
      </c>
      <c r="AF429" s="84"/>
    </row>
    <row r="430" spans="1:32" s="185" customFormat="1" ht="14.25" customHeight="1" thickBot="1">
      <c r="A430" s="353">
        <v>13518</v>
      </c>
      <c r="B430" s="194" t="s">
        <v>2920</v>
      </c>
      <c r="C430" s="339">
        <f t="shared" si="14"/>
        <v>50000</v>
      </c>
      <c r="D430" s="196" t="s">
        <v>1726</v>
      </c>
      <c r="E430" s="187" t="s">
        <v>7207</v>
      </c>
      <c r="F430" s="507">
        <f>SUMIFS(Controle!$R:$R,Controle!$H:$H,produtos_escape2!$A430,Controle!$Z:$Z,"1")</f>
        <v>0</v>
      </c>
      <c r="G430" s="507">
        <f>SUMIFS(Controle!$R:$R,Controle!$H:$H,produtos_escape2!$A430,Controle!$Z:$Z,"2")</f>
        <v>0</v>
      </c>
      <c r="H430" s="507">
        <f>SUMIFS(Controle!$R:$R,Controle!$H:$H,produtos_escape2!$A430,Controle!$Z:$Z,"3")</f>
        <v>0</v>
      </c>
      <c r="I430" s="507">
        <f>SUMIFS(Controle!$R:$R,Controle!$H:$H,produtos_escape2!$A430,Controle!$Z:$Z,"4")</f>
        <v>0</v>
      </c>
      <c r="J430" s="507">
        <f>SUMIFS(Controle!$R:$R,Controle!$H:$H,produtos_escape2!$A430,Controle!$Z:$Z,"5")</f>
        <v>0</v>
      </c>
      <c r="K430" s="507">
        <f>SUMIFS(Controle!$R:$R,Controle!$H:$H,produtos_escape2!$A430,Controle!$Z:$Z,"6")</f>
        <v>0</v>
      </c>
      <c r="L430" s="507">
        <f t="shared" si="13"/>
        <v>0</v>
      </c>
      <c r="M430" s="381" t="s">
        <v>4763</v>
      </c>
      <c r="AF430" s="84"/>
    </row>
    <row r="431" spans="1:32" s="185" customFormat="1" ht="14.25" customHeight="1" thickBot="1">
      <c r="A431" s="353">
        <v>13522</v>
      </c>
      <c r="B431" s="194" t="s">
        <v>2921</v>
      </c>
      <c r="C431" s="339">
        <f t="shared" si="14"/>
        <v>50000</v>
      </c>
      <c r="D431" s="196" t="s">
        <v>1726</v>
      </c>
      <c r="E431" s="187" t="s">
        <v>7207</v>
      </c>
      <c r="F431" s="507">
        <f>SUMIFS(Controle!$R:$R,Controle!$H:$H,produtos_escape2!$A431,Controle!$Z:$Z,"1")</f>
        <v>0</v>
      </c>
      <c r="G431" s="507">
        <f>SUMIFS(Controle!$R:$R,Controle!$H:$H,produtos_escape2!$A431,Controle!$Z:$Z,"2")</f>
        <v>0</v>
      </c>
      <c r="H431" s="507">
        <f>SUMIFS(Controle!$R:$R,Controle!$H:$H,produtos_escape2!$A431,Controle!$Z:$Z,"3")</f>
        <v>0</v>
      </c>
      <c r="I431" s="507">
        <f>SUMIFS(Controle!$R:$R,Controle!$H:$H,produtos_escape2!$A431,Controle!$Z:$Z,"4")</f>
        <v>0</v>
      </c>
      <c r="J431" s="507">
        <f>SUMIFS(Controle!$R:$R,Controle!$H:$H,produtos_escape2!$A431,Controle!$Z:$Z,"5")</f>
        <v>0</v>
      </c>
      <c r="K431" s="507">
        <f>SUMIFS(Controle!$R:$R,Controle!$H:$H,produtos_escape2!$A431,Controle!$Z:$Z,"6")</f>
        <v>0</v>
      </c>
      <c r="L431" s="507">
        <f t="shared" si="13"/>
        <v>0</v>
      </c>
      <c r="M431" s="381" t="s">
        <v>4763</v>
      </c>
      <c r="AF431" s="84"/>
    </row>
    <row r="432" spans="1:32" s="185" customFormat="1" ht="14.25" customHeight="1" thickBot="1">
      <c r="A432" s="353">
        <v>13523</v>
      </c>
      <c r="B432" s="194" t="s">
        <v>2922</v>
      </c>
      <c r="C432" s="339">
        <f t="shared" si="14"/>
        <v>50000</v>
      </c>
      <c r="D432" s="196" t="s">
        <v>1726</v>
      </c>
      <c r="E432" s="187" t="s">
        <v>7207</v>
      </c>
      <c r="F432" s="507">
        <f>SUMIFS(Controle!$R:$R,Controle!$H:$H,produtos_escape2!$A432,Controle!$Z:$Z,"1")</f>
        <v>0</v>
      </c>
      <c r="G432" s="507">
        <f>SUMIFS(Controle!$R:$R,Controle!$H:$H,produtos_escape2!$A432,Controle!$Z:$Z,"2")</f>
        <v>0</v>
      </c>
      <c r="H432" s="507">
        <f>SUMIFS(Controle!$R:$R,Controle!$H:$H,produtos_escape2!$A432,Controle!$Z:$Z,"3")</f>
        <v>0</v>
      </c>
      <c r="I432" s="507">
        <f>SUMIFS(Controle!$R:$R,Controle!$H:$H,produtos_escape2!$A432,Controle!$Z:$Z,"4")</f>
        <v>0</v>
      </c>
      <c r="J432" s="507">
        <f>SUMIFS(Controle!$R:$R,Controle!$H:$H,produtos_escape2!$A432,Controle!$Z:$Z,"5")</f>
        <v>0</v>
      </c>
      <c r="K432" s="507">
        <f>SUMIFS(Controle!$R:$R,Controle!$H:$H,produtos_escape2!$A432,Controle!$Z:$Z,"6")</f>
        <v>0</v>
      </c>
      <c r="L432" s="507">
        <f t="shared" si="13"/>
        <v>0</v>
      </c>
      <c r="M432" s="381" t="s">
        <v>4763</v>
      </c>
      <c r="AF432" s="84"/>
    </row>
    <row r="433" spans="1:32" s="185" customFormat="1" ht="14.25" customHeight="1" thickBot="1">
      <c r="A433" s="353">
        <v>13524</v>
      </c>
      <c r="B433" s="194" t="s">
        <v>2923</v>
      </c>
      <c r="C433" s="339">
        <f t="shared" si="14"/>
        <v>50000</v>
      </c>
      <c r="D433" s="196" t="s">
        <v>1726</v>
      </c>
      <c r="E433" s="187" t="s">
        <v>7207</v>
      </c>
      <c r="F433" s="507">
        <f>SUMIFS(Controle!$R:$R,Controle!$H:$H,produtos_escape2!$A433,Controle!$Z:$Z,"1")</f>
        <v>0</v>
      </c>
      <c r="G433" s="507">
        <f>SUMIFS(Controle!$R:$R,Controle!$H:$H,produtos_escape2!$A433,Controle!$Z:$Z,"2")</f>
        <v>0</v>
      </c>
      <c r="H433" s="507">
        <f>SUMIFS(Controle!$R:$R,Controle!$H:$H,produtos_escape2!$A433,Controle!$Z:$Z,"3")</f>
        <v>0</v>
      </c>
      <c r="I433" s="507">
        <f>SUMIFS(Controle!$R:$R,Controle!$H:$H,produtos_escape2!$A433,Controle!$Z:$Z,"4")</f>
        <v>0</v>
      </c>
      <c r="J433" s="507">
        <f>SUMIFS(Controle!$R:$R,Controle!$H:$H,produtos_escape2!$A433,Controle!$Z:$Z,"5")</f>
        <v>0</v>
      </c>
      <c r="K433" s="507">
        <f>SUMIFS(Controle!$R:$R,Controle!$H:$H,produtos_escape2!$A433,Controle!$Z:$Z,"6")</f>
        <v>0</v>
      </c>
      <c r="L433" s="507">
        <f t="shared" si="13"/>
        <v>0</v>
      </c>
      <c r="M433" s="381" t="s">
        <v>4763</v>
      </c>
      <c r="AF433" s="84"/>
    </row>
    <row r="434" spans="1:32" s="185" customFormat="1" ht="14.25" customHeight="1" thickBot="1">
      <c r="A434" s="333">
        <v>13525</v>
      </c>
      <c r="B434" s="194" t="s">
        <v>3527</v>
      </c>
      <c r="C434" s="339">
        <f t="shared" si="14"/>
        <v>50000</v>
      </c>
      <c r="D434" s="196" t="s">
        <v>1726</v>
      </c>
      <c r="E434" s="187" t="s">
        <v>7207</v>
      </c>
      <c r="F434" s="507">
        <f>SUMIFS(Controle!$R:$R,Controle!$H:$H,produtos_escape2!$A434,Controle!$Z:$Z,"1")</f>
        <v>0</v>
      </c>
      <c r="G434" s="507">
        <f>SUMIFS(Controle!$R:$R,Controle!$H:$H,produtos_escape2!$A434,Controle!$Z:$Z,"2")</f>
        <v>0</v>
      </c>
      <c r="H434" s="507">
        <f>SUMIFS(Controle!$R:$R,Controle!$H:$H,produtos_escape2!$A434,Controle!$Z:$Z,"3")</f>
        <v>0</v>
      </c>
      <c r="I434" s="507">
        <f>SUMIFS(Controle!$R:$R,Controle!$H:$H,produtos_escape2!$A434,Controle!$Z:$Z,"4")</f>
        <v>0</v>
      </c>
      <c r="J434" s="507">
        <f>SUMIFS(Controle!$R:$R,Controle!$H:$H,produtos_escape2!$A434,Controle!$Z:$Z,"5")</f>
        <v>0</v>
      </c>
      <c r="K434" s="507">
        <f>SUMIFS(Controle!$R:$R,Controle!$H:$H,produtos_escape2!$A434,Controle!$Z:$Z,"6")</f>
        <v>0</v>
      </c>
      <c r="L434" s="507">
        <f t="shared" si="13"/>
        <v>0</v>
      </c>
      <c r="M434" s="381" t="s">
        <v>4763</v>
      </c>
      <c r="AF434" s="84"/>
    </row>
    <row r="435" spans="1:32" s="185" customFormat="1" ht="14.25" customHeight="1" thickBot="1">
      <c r="A435" s="353">
        <v>13529</v>
      </c>
      <c r="B435" s="194" t="s">
        <v>8954</v>
      </c>
      <c r="C435" s="339">
        <f t="shared" si="14"/>
        <v>49510.5</v>
      </c>
      <c r="D435" s="196" t="s">
        <v>1726</v>
      </c>
      <c r="E435" s="189" t="s">
        <v>7207</v>
      </c>
      <c r="F435" s="507">
        <f>SUMIFS(Controle!$R:$R,Controle!$H:$H,produtos_escape2!$A435,Controle!$Z:$Z,"1")</f>
        <v>0</v>
      </c>
      <c r="G435" s="507">
        <f>SUMIFS(Controle!$R:$R,Controle!$H:$H,produtos_escape2!$A435,Controle!$Z:$Z,"2")</f>
        <v>0</v>
      </c>
      <c r="H435" s="507">
        <f>SUMIFS(Controle!$R:$R,Controle!$H:$H,produtos_escape2!$A435,Controle!$Z:$Z,"3")</f>
        <v>0</v>
      </c>
      <c r="I435" s="507">
        <f>SUMIFS(Controle!$R:$R,Controle!$H:$H,produtos_escape2!$A435,Controle!$Z:$Z,"4")</f>
        <v>489.49999999999994</v>
      </c>
      <c r="J435" s="507">
        <f>SUMIFS(Controle!$R:$R,Controle!$H:$H,produtos_escape2!$A435,Controle!$Z:$Z,"5")</f>
        <v>0</v>
      </c>
      <c r="K435" s="507">
        <f>SUMIFS(Controle!$R:$R,Controle!$H:$H,produtos_escape2!$A435,Controle!$Z:$Z,"6")</f>
        <v>0</v>
      </c>
      <c r="L435" s="507">
        <f t="shared" si="13"/>
        <v>489.49999999999994</v>
      </c>
      <c r="M435" s="381" t="s">
        <v>8955</v>
      </c>
      <c r="AF435" s="84"/>
    </row>
    <row r="436" spans="1:32" s="185" customFormat="1" ht="14.25" customHeight="1" thickBot="1">
      <c r="A436" s="353">
        <v>13530</v>
      </c>
      <c r="B436" s="194" t="s">
        <v>8879</v>
      </c>
      <c r="C436" s="339">
        <f t="shared" si="14"/>
        <v>49510.5</v>
      </c>
      <c r="D436" s="196" t="s">
        <v>1726</v>
      </c>
      <c r="E436" s="189" t="s">
        <v>7207</v>
      </c>
      <c r="F436" s="507">
        <f>SUMIFS(Controle!$R:$R,Controle!$H:$H,produtos_escape2!$A436,Controle!$Z:$Z,"1")</f>
        <v>0</v>
      </c>
      <c r="G436" s="507">
        <f>SUMIFS(Controle!$R:$R,Controle!$H:$H,produtos_escape2!$A436,Controle!$Z:$Z,"2")</f>
        <v>0</v>
      </c>
      <c r="H436" s="507">
        <f>SUMIFS(Controle!$R:$R,Controle!$H:$H,produtos_escape2!$A436,Controle!$Z:$Z,"3")</f>
        <v>0</v>
      </c>
      <c r="I436" s="507">
        <f>SUMIFS(Controle!$R:$R,Controle!$H:$H,produtos_escape2!$A436,Controle!$Z:$Z,"4")</f>
        <v>489.49999999999994</v>
      </c>
      <c r="J436" s="507">
        <f>SUMIFS(Controle!$R:$R,Controle!$H:$H,produtos_escape2!$A436,Controle!$Z:$Z,"5")</f>
        <v>0</v>
      </c>
      <c r="K436" s="507">
        <f>SUMIFS(Controle!$R:$R,Controle!$H:$H,produtos_escape2!$A436,Controle!$Z:$Z,"6")</f>
        <v>0</v>
      </c>
      <c r="L436" s="507">
        <f t="shared" si="13"/>
        <v>489.49999999999994</v>
      </c>
      <c r="M436" s="381" t="s">
        <v>8882</v>
      </c>
      <c r="AF436" s="84"/>
    </row>
    <row r="437" spans="1:32" s="185" customFormat="1" ht="14.25" customHeight="1" thickBot="1">
      <c r="A437" s="353">
        <v>13532</v>
      </c>
      <c r="B437" s="338" t="s">
        <v>3004</v>
      </c>
      <c r="C437" s="339">
        <f t="shared" si="14"/>
        <v>50000</v>
      </c>
      <c r="D437" s="196" t="s">
        <v>1093</v>
      </c>
      <c r="E437" s="187" t="s">
        <v>7207</v>
      </c>
      <c r="F437" s="507">
        <f>SUMIFS(Controle!$R:$R,Controle!$H:$H,produtos_escape2!$A437,Controle!$Z:$Z,"1")</f>
        <v>0</v>
      </c>
      <c r="G437" s="507">
        <f>SUMIFS(Controle!$R:$R,Controle!$H:$H,produtos_escape2!$A437,Controle!$Z:$Z,"2")</f>
        <v>0</v>
      </c>
      <c r="H437" s="507">
        <f>SUMIFS(Controle!$R:$R,Controle!$H:$H,produtos_escape2!$A437,Controle!$Z:$Z,"3")</f>
        <v>0</v>
      </c>
      <c r="I437" s="507">
        <f>SUMIFS(Controle!$R:$R,Controle!$H:$H,produtos_escape2!$A437,Controle!$Z:$Z,"4")</f>
        <v>0</v>
      </c>
      <c r="J437" s="507">
        <f>SUMIFS(Controle!$R:$R,Controle!$H:$H,produtos_escape2!$A437,Controle!$Z:$Z,"5")</f>
        <v>0</v>
      </c>
      <c r="K437" s="507">
        <f>SUMIFS(Controle!$R:$R,Controle!$H:$H,produtos_escape2!$A437,Controle!$Z:$Z,"6")</f>
        <v>0</v>
      </c>
      <c r="L437" s="507">
        <f t="shared" si="13"/>
        <v>0</v>
      </c>
      <c r="M437" s="381" t="s">
        <v>4764</v>
      </c>
      <c r="AF437" s="84"/>
    </row>
    <row r="438" spans="1:32" s="185" customFormat="1" ht="14.25" customHeight="1" thickBot="1">
      <c r="A438" s="353">
        <v>13540</v>
      </c>
      <c r="B438" s="194" t="s">
        <v>4472</v>
      </c>
      <c r="C438" s="339">
        <f t="shared" si="14"/>
        <v>50000</v>
      </c>
      <c r="D438" s="196" t="s">
        <v>624</v>
      </c>
      <c r="E438" s="187" t="s">
        <v>7207</v>
      </c>
      <c r="F438" s="507">
        <f>SUMIFS(Controle!$R:$R,Controle!$H:$H,produtos_escape2!$A438,Controle!$Z:$Z,"1")</f>
        <v>0</v>
      </c>
      <c r="G438" s="507">
        <f>SUMIFS(Controle!$R:$R,Controle!$H:$H,produtos_escape2!$A438,Controle!$Z:$Z,"2")</f>
        <v>0</v>
      </c>
      <c r="H438" s="507">
        <f>SUMIFS(Controle!$R:$R,Controle!$H:$H,produtos_escape2!$A438,Controle!$Z:$Z,"3")</f>
        <v>0</v>
      </c>
      <c r="I438" s="507">
        <f>SUMIFS(Controle!$R:$R,Controle!$H:$H,produtos_escape2!$A438,Controle!$Z:$Z,"4")</f>
        <v>0</v>
      </c>
      <c r="J438" s="507">
        <f>SUMIFS(Controle!$R:$R,Controle!$H:$H,produtos_escape2!$A438,Controle!$Z:$Z,"5")</f>
        <v>0</v>
      </c>
      <c r="K438" s="507">
        <f>SUMIFS(Controle!$R:$R,Controle!$H:$H,produtos_escape2!$A438,Controle!$Z:$Z,"6")</f>
        <v>0</v>
      </c>
      <c r="L438" s="507">
        <f t="shared" si="13"/>
        <v>0</v>
      </c>
      <c r="M438" s="381" t="s">
        <v>5719</v>
      </c>
      <c r="AF438" s="84"/>
    </row>
    <row r="439" spans="1:32" s="185" customFormat="1" ht="14.25" customHeight="1" thickBot="1">
      <c r="A439" s="353">
        <v>13541</v>
      </c>
      <c r="B439" s="194" t="s">
        <v>2592</v>
      </c>
      <c r="C439" s="339">
        <f t="shared" si="14"/>
        <v>50000</v>
      </c>
      <c r="D439" s="196" t="s">
        <v>624</v>
      </c>
      <c r="E439" s="187" t="s">
        <v>7207</v>
      </c>
      <c r="F439" s="507">
        <f>SUMIFS(Controle!$R:$R,Controle!$H:$H,produtos_escape2!$A439,Controle!$Z:$Z,"1")</f>
        <v>0</v>
      </c>
      <c r="G439" s="507">
        <f>SUMIFS(Controle!$R:$R,Controle!$H:$H,produtos_escape2!$A439,Controle!$Z:$Z,"2")</f>
        <v>0</v>
      </c>
      <c r="H439" s="507">
        <f>SUMIFS(Controle!$R:$R,Controle!$H:$H,produtos_escape2!$A439,Controle!$Z:$Z,"3")</f>
        <v>0</v>
      </c>
      <c r="I439" s="507">
        <f>SUMIFS(Controle!$R:$R,Controle!$H:$H,produtos_escape2!$A439,Controle!$Z:$Z,"4")</f>
        <v>0</v>
      </c>
      <c r="J439" s="507">
        <f>SUMIFS(Controle!$R:$R,Controle!$H:$H,produtos_escape2!$A439,Controle!$Z:$Z,"5")</f>
        <v>0</v>
      </c>
      <c r="K439" s="507">
        <f>SUMIFS(Controle!$R:$R,Controle!$H:$H,produtos_escape2!$A439,Controle!$Z:$Z,"6")</f>
        <v>0</v>
      </c>
      <c r="L439" s="507">
        <f t="shared" si="13"/>
        <v>0</v>
      </c>
      <c r="M439" s="381" t="s">
        <v>4765</v>
      </c>
      <c r="AF439" s="84"/>
    </row>
    <row r="440" spans="1:32" s="185" customFormat="1" ht="14.25" customHeight="1" thickBot="1">
      <c r="A440" s="353">
        <v>13542</v>
      </c>
      <c r="B440" s="194" t="s">
        <v>7533</v>
      </c>
      <c r="C440" s="339">
        <f t="shared" si="14"/>
        <v>48550</v>
      </c>
      <c r="D440" s="196" t="s">
        <v>624</v>
      </c>
      <c r="E440" s="187" t="s">
        <v>7207</v>
      </c>
      <c r="F440" s="507">
        <f>SUMIFS(Controle!$R:$R,Controle!$H:$H,produtos_escape2!$A440,Controle!$Z:$Z,"1")</f>
        <v>0</v>
      </c>
      <c r="G440" s="507">
        <f>SUMIFS(Controle!$R:$R,Controle!$H:$H,produtos_escape2!$A440,Controle!$Z:$Z,"2")</f>
        <v>1450</v>
      </c>
      <c r="H440" s="507">
        <f>SUMIFS(Controle!$R:$R,Controle!$H:$H,produtos_escape2!$A440,Controle!$Z:$Z,"3")</f>
        <v>0</v>
      </c>
      <c r="I440" s="507">
        <f>SUMIFS(Controle!$R:$R,Controle!$H:$H,produtos_escape2!$A440,Controle!$Z:$Z,"4")</f>
        <v>0</v>
      </c>
      <c r="J440" s="507">
        <f>SUMIFS(Controle!$R:$R,Controle!$H:$H,produtos_escape2!$A440,Controle!$Z:$Z,"5")</f>
        <v>0</v>
      </c>
      <c r="K440" s="507">
        <f>SUMIFS(Controle!$R:$R,Controle!$H:$H,produtos_escape2!$A440,Controle!$Z:$Z,"6")</f>
        <v>0</v>
      </c>
      <c r="L440" s="507">
        <f t="shared" si="13"/>
        <v>1450</v>
      </c>
      <c r="M440" s="381" t="s">
        <v>4766</v>
      </c>
      <c r="AF440" s="84"/>
    </row>
    <row r="441" spans="1:32" s="185" customFormat="1" ht="14.25" customHeight="1" thickBot="1">
      <c r="A441" s="353">
        <v>13639</v>
      </c>
      <c r="B441" s="194" t="s">
        <v>398</v>
      </c>
      <c r="C441" s="339">
        <f t="shared" si="14"/>
        <v>50000</v>
      </c>
      <c r="D441" s="196"/>
      <c r="E441" s="187"/>
      <c r="F441" s="507">
        <f>SUMIFS(Controle!$R:$R,Controle!$H:$H,produtos_escape2!$A441,Controle!$Z:$Z,"1")</f>
        <v>0</v>
      </c>
      <c r="G441" s="507">
        <f>SUMIFS(Controle!$R:$R,Controle!$H:$H,produtos_escape2!$A441,Controle!$Z:$Z,"2")</f>
        <v>0</v>
      </c>
      <c r="H441" s="507">
        <f>SUMIFS(Controle!$R:$R,Controle!$H:$H,produtos_escape2!$A441,Controle!$Z:$Z,"3")</f>
        <v>0</v>
      </c>
      <c r="I441" s="507">
        <f>SUMIFS(Controle!$R:$R,Controle!$H:$H,produtos_escape2!$A441,Controle!$Z:$Z,"4")</f>
        <v>0</v>
      </c>
      <c r="J441" s="507">
        <f>SUMIFS(Controle!$R:$R,Controle!$H:$H,produtos_escape2!$A441,Controle!$Z:$Z,"5")</f>
        <v>0</v>
      </c>
      <c r="K441" s="507">
        <f>SUMIFS(Controle!$R:$R,Controle!$H:$H,produtos_escape2!$A441,Controle!$Z:$Z,"6")</f>
        <v>0</v>
      </c>
      <c r="L441" s="507">
        <f t="shared" si="13"/>
        <v>0</v>
      </c>
      <c r="M441" s="381" t="s">
        <v>4767</v>
      </c>
      <c r="AF441" s="84"/>
    </row>
    <row r="442" spans="1:32" s="185" customFormat="1" ht="14.25" customHeight="1" thickBot="1">
      <c r="A442" s="353">
        <v>13640</v>
      </c>
      <c r="B442" s="194" t="s">
        <v>399</v>
      </c>
      <c r="C442" s="339">
        <f t="shared" si="14"/>
        <v>50000</v>
      </c>
      <c r="D442" s="196"/>
      <c r="E442" s="187"/>
      <c r="F442" s="507">
        <f>SUMIFS(Controle!$R:$R,Controle!$H:$H,produtos_escape2!$A442,Controle!$Z:$Z,"1")</f>
        <v>0</v>
      </c>
      <c r="G442" s="507">
        <f>SUMIFS(Controle!$R:$R,Controle!$H:$H,produtos_escape2!$A442,Controle!$Z:$Z,"2")</f>
        <v>0</v>
      </c>
      <c r="H442" s="507">
        <f>SUMIFS(Controle!$R:$R,Controle!$H:$H,produtos_escape2!$A442,Controle!$Z:$Z,"3")</f>
        <v>0</v>
      </c>
      <c r="I442" s="507">
        <f>SUMIFS(Controle!$R:$R,Controle!$H:$H,produtos_escape2!$A442,Controle!$Z:$Z,"4")</f>
        <v>0</v>
      </c>
      <c r="J442" s="507">
        <f>SUMIFS(Controle!$R:$R,Controle!$H:$H,produtos_escape2!$A442,Controle!$Z:$Z,"5")</f>
        <v>0</v>
      </c>
      <c r="K442" s="507">
        <f>SUMIFS(Controle!$R:$R,Controle!$H:$H,produtos_escape2!$A442,Controle!$Z:$Z,"6")</f>
        <v>0</v>
      </c>
      <c r="L442" s="507">
        <f t="shared" si="13"/>
        <v>0</v>
      </c>
      <c r="M442" s="381" t="s">
        <v>4767</v>
      </c>
      <c r="AF442" s="84"/>
    </row>
    <row r="443" spans="1:32" s="185" customFormat="1" ht="17.25" customHeight="1" thickBot="1">
      <c r="A443" s="353">
        <v>13788</v>
      </c>
      <c r="B443" s="194" t="s">
        <v>3490</v>
      </c>
      <c r="C443" s="339">
        <f t="shared" si="14"/>
        <v>50000</v>
      </c>
      <c r="D443" s="196" t="s">
        <v>624</v>
      </c>
      <c r="E443" s="187" t="s">
        <v>7207</v>
      </c>
      <c r="F443" s="507">
        <f>SUMIFS(Controle!$R:$R,Controle!$H:$H,produtos_escape2!$A443,Controle!$Z:$Z,"1")</f>
        <v>0</v>
      </c>
      <c r="G443" s="507">
        <f>SUMIFS(Controle!$R:$R,Controle!$H:$H,produtos_escape2!$A443,Controle!$Z:$Z,"2")</f>
        <v>0</v>
      </c>
      <c r="H443" s="507">
        <f>SUMIFS(Controle!$R:$R,Controle!$H:$H,produtos_escape2!$A443,Controle!$Z:$Z,"3")</f>
        <v>0</v>
      </c>
      <c r="I443" s="507">
        <f>SUMIFS(Controle!$R:$R,Controle!$H:$H,produtos_escape2!$A443,Controle!$Z:$Z,"4")</f>
        <v>0</v>
      </c>
      <c r="J443" s="507">
        <f>SUMIFS(Controle!$R:$R,Controle!$H:$H,produtos_escape2!$A443,Controle!$Z:$Z,"5")</f>
        <v>0</v>
      </c>
      <c r="K443" s="507">
        <f>SUMIFS(Controle!$R:$R,Controle!$H:$H,produtos_escape2!$A443,Controle!$Z:$Z,"6")</f>
        <v>0</v>
      </c>
      <c r="L443" s="507">
        <f t="shared" si="13"/>
        <v>0</v>
      </c>
      <c r="M443" s="381" t="s">
        <v>4768</v>
      </c>
      <c r="AF443" s="84"/>
    </row>
    <row r="444" spans="1:32" s="185" customFormat="1" ht="14.25" customHeight="1" thickBot="1">
      <c r="A444" s="333">
        <v>13821</v>
      </c>
      <c r="B444" s="194" t="s">
        <v>1738</v>
      </c>
      <c r="C444" s="339">
        <f t="shared" si="14"/>
        <v>50000</v>
      </c>
      <c r="D444" s="191" t="s">
        <v>624</v>
      </c>
      <c r="E444" s="189" t="s">
        <v>7207</v>
      </c>
      <c r="F444" s="507">
        <f>SUMIFS(Controle!$R:$R,Controle!$H:$H,produtos_escape2!$A444,Controle!$Z:$Z,"1")</f>
        <v>0</v>
      </c>
      <c r="G444" s="507">
        <f>SUMIFS(Controle!$R:$R,Controle!$H:$H,produtos_escape2!$A444,Controle!$Z:$Z,"2")</f>
        <v>0</v>
      </c>
      <c r="H444" s="507">
        <f>SUMIFS(Controle!$R:$R,Controle!$H:$H,produtos_escape2!$A444,Controle!$Z:$Z,"3")</f>
        <v>0</v>
      </c>
      <c r="I444" s="507">
        <f>SUMIFS(Controle!$R:$R,Controle!$H:$H,produtos_escape2!$A444,Controle!$Z:$Z,"4")</f>
        <v>0</v>
      </c>
      <c r="J444" s="507">
        <f>SUMIFS(Controle!$R:$R,Controle!$H:$H,produtos_escape2!$A444,Controle!$Z:$Z,"5")</f>
        <v>0</v>
      </c>
      <c r="K444" s="507">
        <f>SUMIFS(Controle!$R:$R,Controle!$H:$H,produtos_escape2!$A444,Controle!$Z:$Z,"6")</f>
        <v>0</v>
      </c>
      <c r="L444" s="507">
        <f t="shared" si="13"/>
        <v>0</v>
      </c>
      <c r="M444" s="381" t="s">
        <v>4769</v>
      </c>
      <c r="AF444" s="84"/>
    </row>
    <row r="445" spans="1:32" s="185" customFormat="1" ht="14.25" customHeight="1" thickBot="1">
      <c r="A445" s="353">
        <v>13884</v>
      </c>
      <c r="B445" s="338" t="s">
        <v>4229</v>
      </c>
      <c r="C445" s="339">
        <f t="shared" si="14"/>
        <v>50000</v>
      </c>
      <c r="D445" s="196" t="s">
        <v>624</v>
      </c>
      <c r="E445" s="189" t="s">
        <v>7207</v>
      </c>
      <c r="F445" s="507">
        <f>SUMIFS(Controle!$R:$R,Controle!$H:$H,produtos_escape2!$A445,Controle!$Z:$Z,"1")</f>
        <v>0</v>
      </c>
      <c r="G445" s="507">
        <f>SUMIFS(Controle!$R:$R,Controle!$H:$H,produtos_escape2!$A445,Controle!$Z:$Z,"2")</f>
        <v>0</v>
      </c>
      <c r="H445" s="507">
        <f>SUMIFS(Controle!$R:$R,Controle!$H:$H,produtos_escape2!$A445,Controle!$Z:$Z,"3")</f>
        <v>0</v>
      </c>
      <c r="I445" s="507">
        <f>SUMIFS(Controle!$R:$R,Controle!$H:$H,produtos_escape2!$A445,Controle!$Z:$Z,"4")</f>
        <v>0</v>
      </c>
      <c r="J445" s="507">
        <f>SUMIFS(Controle!$R:$R,Controle!$H:$H,produtos_escape2!$A445,Controle!$Z:$Z,"5")</f>
        <v>0</v>
      </c>
      <c r="K445" s="507">
        <f>SUMIFS(Controle!$R:$R,Controle!$H:$H,produtos_escape2!$A445,Controle!$Z:$Z,"6")</f>
        <v>0</v>
      </c>
      <c r="L445" s="507">
        <f t="shared" si="13"/>
        <v>0</v>
      </c>
      <c r="M445" s="381" t="s">
        <v>4770</v>
      </c>
      <c r="AF445" s="84"/>
    </row>
    <row r="446" spans="1:32" s="185" customFormat="1" ht="14.25" customHeight="1" thickBot="1">
      <c r="A446" s="353">
        <v>13890</v>
      </c>
      <c r="B446" s="194" t="s">
        <v>1652</v>
      </c>
      <c r="C446" s="339">
        <f t="shared" si="14"/>
        <v>50000</v>
      </c>
      <c r="D446" s="196" t="s">
        <v>624</v>
      </c>
      <c r="E446" s="187" t="s">
        <v>7207</v>
      </c>
      <c r="F446" s="507">
        <f>SUMIFS(Controle!$R:$R,Controle!$H:$H,produtos_escape2!$A446,Controle!$Z:$Z,"1")</f>
        <v>0</v>
      </c>
      <c r="G446" s="507">
        <f>SUMIFS(Controle!$R:$R,Controle!$H:$H,produtos_escape2!$A446,Controle!$Z:$Z,"2")</f>
        <v>0</v>
      </c>
      <c r="H446" s="507">
        <f>SUMIFS(Controle!$R:$R,Controle!$H:$H,produtos_escape2!$A446,Controle!$Z:$Z,"3")</f>
        <v>0</v>
      </c>
      <c r="I446" s="507">
        <f>SUMIFS(Controle!$R:$R,Controle!$H:$H,produtos_escape2!$A446,Controle!$Z:$Z,"4")</f>
        <v>0</v>
      </c>
      <c r="J446" s="507">
        <f>SUMIFS(Controle!$R:$R,Controle!$H:$H,produtos_escape2!$A446,Controle!$Z:$Z,"5")</f>
        <v>0</v>
      </c>
      <c r="K446" s="507">
        <f>SUMIFS(Controle!$R:$R,Controle!$H:$H,produtos_escape2!$A446,Controle!$Z:$Z,"6")</f>
        <v>0</v>
      </c>
      <c r="L446" s="507">
        <f t="shared" si="13"/>
        <v>0</v>
      </c>
      <c r="M446" s="381" t="s">
        <v>1652</v>
      </c>
      <c r="AF446" s="84"/>
    </row>
    <row r="447" spans="1:32" s="185" customFormat="1" ht="14.25" customHeight="1" thickBot="1">
      <c r="A447" s="353">
        <v>13905</v>
      </c>
      <c r="B447" s="194" t="s">
        <v>3689</v>
      </c>
      <c r="C447" s="339">
        <f t="shared" si="14"/>
        <v>50000</v>
      </c>
      <c r="D447" s="196" t="s">
        <v>624</v>
      </c>
      <c r="E447" s="187" t="s">
        <v>7207</v>
      </c>
      <c r="F447" s="507">
        <f>SUMIFS(Controle!$R:$R,Controle!$H:$H,produtos_escape2!$A447,Controle!$Z:$Z,"1")</f>
        <v>0</v>
      </c>
      <c r="G447" s="507">
        <f>SUMIFS(Controle!$R:$R,Controle!$H:$H,produtos_escape2!$A447,Controle!$Z:$Z,"2")</f>
        <v>0</v>
      </c>
      <c r="H447" s="507">
        <f>SUMIFS(Controle!$R:$R,Controle!$H:$H,produtos_escape2!$A447,Controle!$Z:$Z,"3")</f>
        <v>0</v>
      </c>
      <c r="I447" s="507">
        <f>SUMIFS(Controle!$R:$R,Controle!$H:$H,produtos_escape2!$A447,Controle!$Z:$Z,"4")</f>
        <v>0</v>
      </c>
      <c r="J447" s="507">
        <f>SUMIFS(Controle!$R:$R,Controle!$H:$H,produtos_escape2!$A447,Controle!$Z:$Z,"5")</f>
        <v>0</v>
      </c>
      <c r="K447" s="507">
        <f>SUMIFS(Controle!$R:$R,Controle!$H:$H,produtos_escape2!$A447,Controle!$Z:$Z,"6")</f>
        <v>0</v>
      </c>
      <c r="L447" s="507">
        <f t="shared" ref="L447:L510" si="15">SUM(F447:K447)</f>
        <v>0</v>
      </c>
      <c r="M447" s="381" t="s">
        <v>4771</v>
      </c>
      <c r="AF447" s="84"/>
    </row>
    <row r="448" spans="1:32" s="185" customFormat="1" ht="14.25" customHeight="1" thickBot="1">
      <c r="A448" s="353">
        <v>13906</v>
      </c>
      <c r="B448" s="194" t="s">
        <v>3687</v>
      </c>
      <c r="C448" s="339">
        <f t="shared" si="14"/>
        <v>50000</v>
      </c>
      <c r="D448" s="196" t="s">
        <v>624</v>
      </c>
      <c r="E448" s="187" t="s">
        <v>7207</v>
      </c>
      <c r="F448" s="507">
        <f>SUMIFS(Controle!$R:$R,Controle!$H:$H,produtos_escape2!$A448,Controle!$Z:$Z,"1")</f>
        <v>0</v>
      </c>
      <c r="G448" s="507">
        <f>SUMIFS(Controle!$R:$R,Controle!$H:$H,produtos_escape2!$A448,Controle!$Z:$Z,"2")</f>
        <v>0</v>
      </c>
      <c r="H448" s="507">
        <f>SUMIFS(Controle!$R:$R,Controle!$H:$H,produtos_escape2!$A448,Controle!$Z:$Z,"3")</f>
        <v>0</v>
      </c>
      <c r="I448" s="507">
        <f>SUMIFS(Controle!$R:$R,Controle!$H:$H,produtos_escape2!$A448,Controle!$Z:$Z,"4")</f>
        <v>0</v>
      </c>
      <c r="J448" s="507">
        <f>SUMIFS(Controle!$R:$R,Controle!$H:$H,produtos_escape2!$A448,Controle!$Z:$Z,"5")</f>
        <v>0</v>
      </c>
      <c r="K448" s="507">
        <f>SUMIFS(Controle!$R:$R,Controle!$H:$H,produtos_escape2!$A448,Controle!$Z:$Z,"6")</f>
        <v>0</v>
      </c>
      <c r="L448" s="507">
        <f t="shared" si="15"/>
        <v>0</v>
      </c>
      <c r="M448" s="381" t="s">
        <v>4772</v>
      </c>
      <c r="AF448" s="84"/>
    </row>
    <row r="449" spans="1:32" s="185" customFormat="1" ht="14.25" customHeight="1" thickBot="1">
      <c r="A449" s="353">
        <v>13907</v>
      </c>
      <c r="B449" s="194" t="s">
        <v>4259</v>
      </c>
      <c r="C449" s="339">
        <f t="shared" si="14"/>
        <v>50000</v>
      </c>
      <c r="D449" s="196" t="s">
        <v>624</v>
      </c>
      <c r="E449" s="187" t="s">
        <v>7207</v>
      </c>
      <c r="F449" s="507">
        <f>SUMIFS(Controle!$R:$R,Controle!$H:$H,produtos_escape2!$A449,Controle!$Z:$Z,"1")</f>
        <v>0</v>
      </c>
      <c r="G449" s="507">
        <f>SUMIFS(Controle!$R:$R,Controle!$H:$H,produtos_escape2!$A449,Controle!$Z:$Z,"2")</f>
        <v>0</v>
      </c>
      <c r="H449" s="507">
        <f>SUMIFS(Controle!$R:$R,Controle!$H:$H,produtos_escape2!$A449,Controle!$Z:$Z,"3")</f>
        <v>0</v>
      </c>
      <c r="I449" s="507">
        <f>SUMIFS(Controle!$R:$R,Controle!$H:$H,produtos_escape2!$A449,Controle!$Z:$Z,"4")</f>
        <v>0</v>
      </c>
      <c r="J449" s="507">
        <f>SUMIFS(Controle!$R:$R,Controle!$H:$H,produtos_escape2!$A449,Controle!$Z:$Z,"5")</f>
        <v>0</v>
      </c>
      <c r="K449" s="507">
        <f>SUMIFS(Controle!$R:$R,Controle!$H:$H,produtos_escape2!$A449,Controle!$Z:$Z,"6")</f>
        <v>0</v>
      </c>
      <c r="L449" s="507">
        <f t="shared" si="15"/>
        <v>0</v>
      </c>
      <c r="M449" s="381" t="s">
        <v>4773</v>
      </c>
      <c r="AF449" s="84"/>
    </row>
    <row r="450" spans="1:32" s="185" customFormat="1" ht="14.25" customHeight="1" thickBot="1">
      <c r="A450" s="353">
        <v>13923</v>
      </c>
      <c r="B450" s="194" t="s">
        <v>8328</v>
      </c>
      <c r="C450" s="339">
        <f t="shared" si="14"/>
        <v>49304</v>
      </c>
      <c r="D450" s="191" t="s">
        <v>624</v>
      </c>
      <c r="E450" s="189" t="s">
        <v>7207</v>
      </c>
      <c r="F450" s="507">
        <f>SUMIFS(Controle!$R:$R,Controle!$H:$H,produtos_escape2!$A450,Controle!$Z:$Z,"1")</f>
        <v>0</v>
      </c>
      <c r="G450" s="507">
        <f>SUMIFS(Controle!$R:$R,Controle!$H:$H,produtos_escape2!$A450,Controle!$Z:$Z,"2")</f>
        <v>0</v>
      </c>
      <c r="H450" s="507">
        <f>SUMIFS(Controle!$R:$R,Controle!$H:$H,produtos_escape2!$A450,Controle!$Z:$Z,"3")</f>
        <v>696</v>
      </c>
      <c r="I450" s="507">
        <f>SUMIFS(Controle!$R:$R,Controle!$H:$H,produtos_escape2!$A450,Controle!$Z:$Z,"4")</f>
        <v>0</v>
      </c>
      <c r="J450" s="507">
        <f>SUMIFS(Controle!$R:$R,Controle!$H:$H,produtos_escape2!$A450,Controle!$Z:$Z,"5")</f>
        <v>0</v>
      </c>
      <c r="K450" s="507">
        <f>SUMIFS(Controle!$R:$R,Controle!$H:$H,produtos_escape2!$A450,Controle!$Z:$Z,"6")</f>
        <v>0</v>
      </c>
      <c r="L450" s="507">
        <f t="shared" si="15"/>
        <v>696</v>
      </c>
      <c r="M450" s="381" t="s">
        <v>8328</v>
      </c>
      <c r="AF450" s="84"/>
    </row>
    <row r="451" spans="1:32" s="185" customFormat="1" ht="14.25" customHeight="1" thickBot="1">
      <c r="A451" s="353">
        <v>13927</v>
      </c>
      <c r="B451" s="194" t="s">
        <v>3079</v>
      </c>
      <c r="C451" s="339">
        <f t="shared" ref="C451:C514" si="16">50000-SUM(F451:K451)</f>
        <v>50000</v>
      </c>
      <c r="D451" s="191" t="s">
        <v>624</v>
      </c>
      <c r="E451" s="189" t="s">
        <v>7207</v>
      </c>
      <c r="F451" s="507">
        <f>SUMIFS(Controle!$R:$R,Controle!$H:$H,produtos_escape2!$A451,Controle!$Z:$Z,"1")</f>
        <v>0</v>
      </c>
      <c r="G451" s="507">
        <f>SUMIFS(Controle!$R:$R,Controle!$H:$H,produtos_escape2!$A451,Controle!$Z:$Z,"2")</f>
        <v>0</v>
      </c>
      <c r="H451" s="507">
        <f>SUMIFS(Controle!$R:$R,Controle!$H:$H,produtos_escape2!$A451,Controle!$Z:$Z,"3")</f>
        <v>0</v>
      </c>
      <c r="I451" s="507">
        <f>SUMIFS(Controle!$R:$R,Controle!$H:$H,produtos_escape2!$A451,Controle!$Z:$Z,"4")</f>
        <v>0</v>
      </c>
      <c r="J451" s="507">
        <f>SUMIFS(Controle!$R:$R,Controle!$H:$H,produtos_escape2!$A451,Controle!$Z:$Z,"5")</f>
        <v>0</v>
      </c>
      <c r="K451" s="507">
        <f>SUMIFS(Controle!$R:$R,Controle!$H:$H,produtos_escape2!$A451,Controle!$Z:$Z,"6")</f>
        <v>0</v>
      </c>
      <c r="L451" s="507">
        <f t="shared" si="15"/>
        <v>0</v>
      </c>
      <c r="M451" s="381" t="s">
        <v>4774</v>
      </c>
      <c r="AF451" s="84"/>
    </row>
    <row r="452" spans="1:32" s="185" customFormat="1" ht="14.25" customHeight="1" thickBot="1">
      <c r="A452" s="353">
        <v>13934</v>
      </c>
      <c r="B452" s="194" t="s">
        <v>4262</v>
      </c>
      <c r="C452" s="339">
        <f t="shared" si="16"/>
        <v>50000</v>
      </c>
      <c r="D452" s="196" t="s">
        <v>624</v>
      </c>
      <c r="E452" s="189" t="s">
        <v>7207</v>
      </c>
      <c r="F452" s="507">
        <f>SUMIFS(Controle!$R:$R,Controle!$H:$H,produtos_escape2!$A452,Controle!$Z:$Z,"1")</f>
        <v>0</v>
      </c>
      <c r="G452" s="507">
        <f>SUMIFS(Controle!$R:$R,Controle!$H:$H,produtos_escape2!$A452,Controle!$Z:$Z,"2")</f>
        <v>0</v>
      </c>
      <c r="H452" s="507">
        <f>SUMIFS(Controle!$R:$R,Controle!$H:$H,produtos_escape2!$A452,Controle!$Z:$Z,"3")</f>
        <v>0</v>
      </c>
      <c r="I452" s="507">
        <f>SUMIFS(Controle!$R:$R,Controle!$H:$H,produtos_escape2!$A452,Controle!$Z:$Z,"4")</f>
        <v>0</v>
      </c>
      <c r="J452" s="507">
        <f>SUMIFS(Controle!$R:$R,Controle!$H:$H,produtos_escape2!$A452,Controle!$Z:$Z,"5")</f>
        <v>0</v>
      </c>
      <c r="K452" s="507">
        <f>SUMIFS(Controle!$R:$R,Controle!$H:$H,produtos_escape2!$A452,Controle!$Z:$Z,"6")</f>
        <v>0</v>
      </c>
      <c r="L452" s="507">
        <f t="shared" si="15"/>
        <v>0</v>
      </c>
      <c r="M452" s="381" t="s">
        <v>4775</v>
      </c>
      <c r="AF452" s="84"/>
    </row>
    <row r="453" spans="1:32" s="185" customFormat="1" ht="14.25" customHeight="1" thickBot="1">
      <c r="A453" s="333">
        <v>13940</v>
      </c>
      <c r="B453" s="194" t="s">
        <v>9</v>
      </c>
      <c r="C453" s="339">
        <f t="shared" si="16"/>
        <v>50000</v>
      </c>
      <c r="D453" s="196" t="s">
        <v>624</v>
      </c>
      <c r="E453" s="187" t="s">
        <v>7207</v>
      </c>
      <c r="F453" s="507">
        <f>SUMIFS(Controle!$R:$R,Controle!$H:$H,produtos_escape2!$A453,Controle!$Z:$Z,"1")</f>
        <v>0</v>
      </c>
      <c r="G453" s="507">
        <f>SUMIFS(Controle!$R:$R,Controle!$H:$H,produtos_escape2!$A453,Controle!$Z:$Z,"2")</f>
        <v>0</v>
      </c>
      <c r="H453" s="507">
        <f>SUMIFS(Controle!$R:$R,Controle!$H:$H,produtos_escape2!$A453,Controle!$Z:$Z,"3")</f>
        <v>0</v>
      </c>
      <c r="I453" s="507">
        <f>SUMIFS(Controle!$R:$R,Controle!$H:$H,produtos_escape2!$A453,Controle!$Z:$Z,"4")</f>
        <v>0</v>
      </c>
      <c r="J453" s="507">
        <f>SUMIFS(Controle!$R:$R,Controle!$H:$H,produtos_escape2!$A453,Controle!$Z:$Z,"5")</f>
        <v>0</v>
      </c>
      <c r="K453" s="507">
        <f>SUMIFS(Controle!$R:$R,Controle!$H:$H,produtos_escape2!$A453,Controle!$Z:$Z,"6")</f>
        <v>0</v>
      </c>
      <c r="L453" s="507">
        <f t="shared" si="15"/>
        <v>0</v>
      </c>
      <c r="M453" s="381" t="s">
        <v>4776</v>
      </c>
      <c r="AF453" s="84"/>
    </row>
    <row r="454" spans="1:32" s="185" customFormat="1" ht="122.25" customHeight="1" thickBot="1">
      <c r="A454" s="353">
        <v>13943</v>
      </c>
      <c r="B454" s="338" t="s">
        <v>10734</v>
      </c>
      <c r="C454" s="339">
        <f t="shared" si="16"/>
        <v>47300</v>
      </c>
      <c r="D454" s="196" t="s">
        <v>624</v>
      </c>
      <c r="E454" s="187" t="s">
        <v>7207</v>
      </c>
      <c r="F454" s="507">
        <f>SUMIFS(Controle!$R:$R,Controle!$H:$H,produtos_escape2!$A454,Controle!$Z:$Z,"1")</f>
        <v>0</v>
      </c>
      <c r="G454" s="507">
        <f>SUMIFS(Controle!$R:$R,Controle!$H:$H,produtos_escape2!$A454,Controle!$Z:$Z,"2")</f>
        <v>0</v>
      </c>
      <c r="H454" s="507">
        <f>SUMIFS(Controle!$R:$R,Controle!$H:$H,produtos_escape2!$A454,Controle!$Z:$Z,"3")</f>
        <v>0</v>
      </c>
      <c r="I454" s="507">
        <f>SUMIFS(Controle!$R:$R,Controle!$H:$H,produtos_escape2!$A454,Controle!$Z:$Z,"4")</f>
        <v>2700</v>
      </c>
      <c r="J454" s="507">
        <f>SUMIFS(Controle!$R:$R,Controle!$H:$H,produtos_escape2!$A454,Controle!$Z:$Z,"5")</f>
        <v>0</v>
      </c>
      <c r="K454" s="507">
        <f>SUMIFS(Controle!$R:$R,Controle!$H:$H,produtos_escape2!$A454,Controle!$Z:$Z,"6")</f>
        <v>0</v>
      </c>
      <c r="L454" s="507">
        <f t="shared" si="15"/>
        <v>2700</v>
      </c>
      <c r="M454" s="381" t="s">
        <v>8450</v>
      </c>
      <c r="AF454" s="84"/>
    </row>
    <row r="455" spans="1:32" s="185" customFormat="1" ht="14.25" customHeight="1" thickBot="1">
      <c r="A455" s="353">
        <v>13947</v>
      </c>
      <c r="B455" s="194" t="s">
        <v>92</v>
      </c>
      <c r="C455" s="339">
        <f t="shared" si="16"/>
        <v>50000</v>
      </c>
      <c r="D455" s="196" t="s">
        <v>624</v>
      </c>
      <c r="E455" s="187" t="s">
        <v>7207</v>
      </c>
      <c r="F455" s="507">
        <f>SUMIFS(Controle!$R:$R,Controle!$H:$H,produtos_escape2!$A455,Controle!$Z:$Z,"1")</f>
        <v>0</v>
      </c>
      <c r="G455" s="507">
        <f>SUMIFS(Controle!$R:$R,Controle!$H:$H,produtos_escape2!$A455,Controle!$Z:$Z,"2")</f>
        <v>0</v>
      </c>
      <c r="H455" s="507">
        <f>SUMIFS(Controle!$R:$R,Controle!$H:$H,produtos_escape2!$A455,Controle!$Z:$Z,"3")</f>
        <v>0</v>
      </c>
      <c r="I455" s="507">
        <f>SUMIFS(Controle!$R:$R,Controle!$H:$H,produtos_escape2!$A455,Controle!$Z:$Z,"4")</f>
        <v>0</v>
      </c>
      <c r="J455" s="507">
        <f>SUMIFS(Controle!$R:$R,Controle!$H:$H,produtos_escape2!$A455,Controle!$Z:$Z,"5")</f>
        <v>0</v>
      </c>
      <c r="K455" s="507">
        <f>SUMIFS(Controle!$R:$R,Controle!$H:$H,produtos_escape2!$A455,Controle!$Z:$Z,"6")</f>
        <v>0</v>
      </c>
      <c r="L455" s="507">
        <f t="shared" si="15"/>
        <v>0</v>
      </c>
      <c r="M455" s="381" t="s">
        <v>4777</v>
      </c>
      <c r="AF455" s="84"/>
    </row>
    <row r="456" spans="1:32" s="185" customFormat="1" ht="14.25" customHeight="1" thickBot="1">
      <c r="A456" s="353">
        <v>13948</v>
      </c>
      <c r="B456" s="194" t="s">
        <v>87</v>
      </c>
      <c r="C456" s="339">
        <f t="shared" si="16"/>
        <v>50000</v>
      </c>
      <c r="D456" s="196" t="s">
        <v>624</v>
      </c>
      <c r="E456" s="187" t="s">
        <v>7207</v>
      </c>
      <c r="F456" s="507">
        <f>SUMIFS(Controle!$R:$R,Controle!$H:$H,produtos_escape2!$A456,Controle!$Z:$Z,"1")</f>
        <v>0</v>
      </c>
      <c r="G456" s="507">
        <f>SUMIFS(Controle!$R:$R,Controle!$H:$H,produtos_escape2!$A456,Controle!$Z:$Z,"2")</f>
        <v>0</v>
      </c>
      <c r="H456" s="507">
        <f>SUMIFS(Controle!$R:$R,Controle!$H:$H,produtos_escape2!$A456,Controle!$Z:$Z,"3")</f>
        <v>0</v>
      </c>
      <c r="I456" s="507">
        <f>SUMIFS(Controle!$R:$R,Controle!$H:$H,produtos_escape2!$A456,Controle!$Z:$Z,"4")</f>
        <v>0</v>
      </c>
      <c r="J456" s="507">
        <f>SUMIFS(Controle!$R:$R,Controle!$H:$H,produtos_escape2!$A456,Controle!$Z:$Z,"5")</f>
        <v>0</v>
      </c>
      <c r="K456" s="507">
        <f>SUMIFS(Controle!$R:$R,Controle!$H:$H,produtos_escape2!$A456,Controle!$Z:$Z,"6")</f>
        <v>0</v>
      </c>
      <c r="L456" s="507">
        <f t="shared" si="15"/>
        <v>0</v>
      </c>
      <c r="M456" s="381" t="s">
        <v>4778</v>
      </c>
      <c r="AF456" s="84"/>
    </row>
    <row r="457" spans="1:32" s="185" customFormat="1" ht="14.25" customHeight="1" thickBot="1">
      <c r="A457" s="353">
        <v>13949</v>
      </c>
      <c r="B457" s="194" t="s">
        <v>4304</v>
      </c>
      <c r="C457" s="339">
        <f t="shared" si="16"/>
        <v>50000</v>
      </c>
      <c r="D457" s="196" t="s">
        <v>624</v>
      </c>
      <c r="E457" s="187" t="s">
        <v>7207</v>
      </c>
      <c r="F457" s="507">
        <f>SUMIFS(Controle!$R:$R,Controle!$H:$H,produtos_escape2!$A457,Controle!$Z:$Z,"1")</f>
        <v>0</v>
      </c>
      <c r="G457" s="507">
        <f>SUMIFS(Controle!$R:$R,Controle!$H:$H,produtos_escape2!$A457,Controle!$Z:$Z,"2")</f>
        <v>0</v>
      </c>
      <c r="H457" s="507">
        <f>SUMIFS(Controle!$R:$R,Controle!$H:$H,produtos_escape2!$A457,Controle!$Z:$Z,"3")</f>
        <v>0</v>
      </c>
      <c r="I457" s="507">
        <f>SUMIFS(Controle!$R:$R,Controle!$H:$H,produtos_escape2!$A457,Controle!$Z:$Z,"4")</f>
        <v>0</v>
      </c>
      <c r="J457" s="507">
        <f>SUMIFS(Controle!$R:$R,Controle!$H:$H,produtos_escape2!$A457,Controle!$Z:$Z,"5")</f>
        <v>0</v>
      </c>
      <c r="K457" s="507">
        <f>SUMIFS(Controle!$R:$R,Controle!$H:$H,produtos_escape2!$A457,Controle!$Z:$Z,"6")</f>
        <v>0</v>
      </c>
      <c r="L457" s="507">
        <f t="shared" si="15"/>
        <v>0</v>
      </c>
      <c r="M457" s="381" t="s">
        <v>4779</v>
      </c>
      <c r="AF457" s="84"/>
    </row>
    <row r="458" spans="1:32" s="185" customFormat="1" ht="14.25" customHeight="1" thickBot="1">
      <c r="A458" s="353">
        <v>13950</v>
      </c>
      <c r="B458" s="194" t="s">
        <v>175</v>
      </c>
      <c r="C458" s="339">
        <f t="shared" si="16"/>
        <v>50000</v>
      </c>
      <c r="D458" s="196" t="s">
        <v>624</v>
      </c>
      <c r="E458" s="187" t="s">
        <v>7207</v>
      </c>
      <c r="F458" s="507">
        <f>SUMIFS(Controle!$R:$R,Controle!$H:$H,produtos_escape2!$A458,Controle!$Z:$Z,"1")</f>
        <v>0</v>
      </c>
      <c r="G458" s="507">
        <f>SUMIFS(Controle!$R:$R,Controle!$H:$H,produtos_escape2!$A458,Controle!$Z:$Z,"2")</f>
        <v>0</v>
      </c>
      <c r="H458" s="507">
        <f>SUMIFS(Controle!$R:$R,Controle!$H:$H,produtos_escape2!$A458,Controle!$Z:$Z,"3")</f>
        <v>0</v>
      </c>
      <c r="I458" s="507">
        <f>SUMIFS(Controle!$R:$R,Controle!$H:$H,produtos_escape2!$A458,Controle!$Z:$Z,"4")</f>
        <v>0</v>
      </c>
      <c r="J458" s="507">
        <f>SUMIFS(Controle!$R:$R,Controle!$H:$H,produtos_escape2!$A458,Controle!$Z:$Z,"5")</f>
        <v>0</v>
      </c>
      <c r="K458" s="507">
        <f>SUMIFS(Controle!$R:$R,Controle!$H:$H,produtos_escape2!$A458,Controle!$Z:$Z,"6")</f>
        <v>0</v>
      </c>
      <c r="L458" s="507">
        <f t="shared" si="15"/>
        <v>0</v>
      </c>
      <c r="M458" s="381" t="s">
        <v>4780</v>
      </c>
      <c r="AF458" s="84"/>
    </row>
    <row r="459" spans="1:32" s="185" customFormat="1" ht="14.25" customHeight="1" thickBot="1">
      <c r="A459" s="353">
        <v>13952</v>
      </c>
      <c r="B459" s="194" t="s">
        <v>89</v>
      </c>
      <c r="C459" s="339">
        <f t="shared" si="16"/>
        <v>50000</v>
      </c>
      <c r="D459" s="196" t="s">
        <v>624</v>
      </c>
      <c r="E459" s="187" t="s">
        <v>7207</v>
      </c>
      <c r="F459" s="507">
        <f>SUMIFS(Controle!$R:$R,Controle!$H:$H,produtos_escape2!$A459,Controle!$Z:$Z,"1")</f>
        <v>0</v>
      </c>
      <c r="G459" s="507">
        <f>SUMIFS(Controle!$R:$R,Controle!$H:$H,produtos_escape2!$A459,Controle!$Z:$Z,"2")</f>
        <v>0</v>
      </c>
      <c r="H459" s="507">
        <f>SUMIFS(Controle!$R:$R,Controle!$H:$H,produtos_escape2!$A459,Controle!$Z:$Z,"3")</f>
        <v>0</v>
      </c>
      <c r="I459" s="507">
        <f>SUMIFS(Controle!$R:$R,Controle!$H:$H,produtos_escape2!$A459,Controle!$Z:$Z,"4")</f>
        <v>0</v>
      </c>
      <c r="J459" s="507">
        <f>SUMIFS(Controle!$R:$R,Controle!$H:$H,produtos_escape2!$A459,Controle!$Z:$Z,"5")</f>
        <v>0</v>
      </c>
      <c r="K459" s="507">
        <f>SUMIFS(Controle!$R:$R,Controle!$H:$H,produtos_escape2!$A459,Controle!$Z:$Z,"6")</f>
        <v>0</v>
      </c>
      <c r="L459" s="507">
        <f t="shared" si="15"/>
        <v>0</v>
      </c>
      <c r="M459" s="381" t="s">
        <v>4781</v>
      </c>
      <c r="AF459" s="84"/>
    </row>
    <row r="460" spans="1:32" s="185" customFormat="1" ht="14.25" customHeight="1" thickBot="1">
      <c r="A460" s="353">
        <v>13956</v>
      </c>
      <c r="B460" s="194" t="s">
        <v>369</v>
      </c>
      <c r="C460" s="339">
        <f t="shared" si="16"/>
        <v>50000</v>
      </c>
      <c r="D460" s="196" t="s">
        <v>624</v>
      </c>
      <c r="E460" s="187" t="s">
        <v>7207</v>
      </c>
      <c r="F460" s="507">
        <f>SUMIFS(Controle!$R:$R,Controle!$H:$H,produtos_escape2!$A460,Controle!$Z:$Z,"1")</f>
        <v>0</v>
      </c>
      <c r="G460" s="507">
        <f>SUMIFS(Controle!$R:$R,Controle!$H:$H,produtos_escape2!$A460,Controle!$Z:$Z,"2")</f>
        <v>0</v>
      </c>
      <c r="H460" s="507">
        <f>SUMIFS(Controle!$R:$R,Controle!$H:$H,produtos_escape2!$A460,Controle!$Z:$Z,"3")</f>
        <v>0</v>
      </c>
      <c r="I460" s="507">
        <f>SUMIFS(Controle!$R:$R,Controle!$H:$H,produtos_escape2!$A460,Controle!$Z:$Z,"4")</f>
        <v>0</v>
      </c>
      <c r="J460" s="507">
        <f>SUMIFS(Controle!$R:$R,Controle!$H:$H,produtos_escape2!$A460,Controle!$Z:$Z,"5")</f>
        <v>0</v>
      </c>
      <c r="K460" s="507">
        <f>SUMIFS(Controle!$R:$R,Controle!$H:$H,produtos_escape2!$A460,Controle!$Z:$Z,"6")</f>
        <v>0</v>
      </c>
      <c r="L460" s="507">
        <f t="shared" si="15"/>
        <v>0</v>
      </c>
      <c r="M460" s="381" t="s">
        <v>4782</v>
      </c>
      <c r="AF460" s="84"/>
    </row>
    <row r="461" spans="1:32" s="185" customFormat="1" ht="14.25" customHeight="1" thickBot="1">
      <c r="A461" s="333">
        <v>13957</v>
      </c>
      <c r="B461" s="194" t="s">
        <v>250</v>
      </c>
      <c r="C461" s="339">
        <f t="shared" si="16"/>
        <v>50000</v>
      </c>
      <c r="D461" s="196" t="s">
        <v>624</v>
      </c>
      <c r="E461" s="187" t="s">
        <v>7207</v>
      </c>
      <c r="F461" s="507">
        <f>SUMIFS(Controle!$R:$R,Controle!$H:$H,produtos_escape2!$A461,Controle!$Z:$Z,"1")</f>
        <v>0</v>
      </c>
      <c r="G461" s="507">
        <f>SUMIFS(Controle!$R:$R,Controle!$H:$H,produtos_escape2!$A461,Controle!$Z:$Z,"2")</f>
        <v>0</v>
      </c>
      <c r="H461" s="507">
        <f>SUMIFS(Controle!$R:$R,Controle!$H:$H,produtos_escape2!$A461,Controle!$Z:$Z,"3")</f>
        <v>0</v>
      </c>
      <c r="I461" s="507">
        <f>SUMIFS(Controle!$R:$R,Controle!$H:$H,produtos_escape2!$A461,Controle!$Z:$Z,"4")</f>
        <v>0</v>
      </c>
      <c r="J461" s="507">
        <f>SUMIFS(Controle!$R:$R,Controle!$H:$H,produtos_escape2!$A461,Controle!$Z:$Z,"5")</f>
        <v>0</v>
      </c>
      <c r="K461" s="507">
        <f>SUMIFS(Controle!$R:$R,Controle!$H:$H,produtos_escape2!$A461,Controle!$Z:$Z,"6")</f>
        <v>0</v>
      </c>
      <c r="L461" s="507">
        <f t="shared" si="15"/>
        <v>0</v>
      </c>
      <c r="M461" s="381" t="s">
        <v>4599</v>
      </c>
      <c r="AF461" s="84"/>
    </row>
    <row r="462" spans="1:32" s="185" customFormat="1" ht="14.25" customHeight="1" thickBot="1">
      <c r="A462" s="353">
        <v>13958</v>
      </c>
      <c r="B462" s="338" t="s">
        <v>4258</v>
      </c>
      <c r="C462" s="339">
        <f t="shared" si="16"/>
        <v>50000</v>
      </c>
      <c r="D462" s="196" t="s">
        <v>624</v>
      </c>
      <c r="E462" s="187" t="s">
        <v>7207</v>
      </c>
      <c r="F462" s="507">
        <f>SUMIFS(Controle!$R:$R,Controle!$H:$H,produtos_escape2!$A462,Controle!$Z:$Z,"1")</f>
        <v>0</v>
      </c>
      <c r="G462" s="507">
        <f>SUMIFS(Controle!$R:$R,Controle!$H:$H,produtos_escape2!$A462,Controle!$Z:$Z,"2")</f>
        <v>0</v>
      </c>
      <c r="H462" s="507">
        <f>SUMIFS(Controle!$R:$R,Controle!$H:$H,produtos_escape2!$A462,Controle!$Z:$Z,"3")</f>
        <v>0</v>
      </c>
      <c r="I462" s="507">
        <f>SUMIFS(Controle!$R:$R,Controle!$H:$H,produtos_escape2!$A462,Controle!$Z:$Z,"4")</f>
        <v>0</v>
      </c>
      <c r="J462" s="507">
        <f>SUMIFS(Controle!$R:$R,Controle!$H:$H,produtos_escape2!$A462,Controle!$Z:$Z,"5")</f>
        <v>0</v>
      </c>
      <c r="K462" s="507">
        <f>SUMIFS(Controle!$R:$R,Controle!$H:$H,produtos_escape2!$A462,Controle!$Z:$Z,"6")</f>
        <v>0</v>
      </c>
      <c r="L462" s="507">
        <f t="shared" si="15"/>
        <v>0</v>
      </c>
      <c r="M462" s="381" t="s">
        <v>4783</v>
      </c>
      <c r="AF462" s="84"/>
    </row>
    <row r="463" spans="1:32" s="185" customFormat="1" ht="14.25" customHeight="1" thickBot="1">
      <c r="A463" s="353">
        <v>13961</v>
      </c>
      <c r="B463" s="194" t="s">
        <v>906</v>
      </c>
      <c r="C463" s="339">
        <f t="shared" si="16"/>
        <v>50000</v>
      </c>
      <c r="D463" s="196" t="s">
        <v>624</v>
      </c>
      <c r="E463" s="187" t="s">
        <v>7207</v>
      </c>
      <c r="F463" s="507">
        <f>SUMIFS(Controle!$R:$R,Controle!$H:$H,produtos_escape2!$A463,Controle!$Z:$Z,"1")</f>
        <v>0</v>
      </c>
      <c r="G463" s="507">
        <f>SUMIFS(Controle!$R:$R,Controle!$H:$H,produtos_escape2!$A463,Controle!$Z:$Z,"2")</f>
        <v>0</v>
      </c>
      <c r="H463" s="507">
        <f>SUMIFS(Controle!$R:$R,Controle!$H:$H,produtos_escape2!$A463,Controle!$Z:$Z,"3")</f>
        <v>0</v>
      </c>
      <c r="I463" s="507">
        <f>SUMIFS(Controle!$R:$R,Controle!$H:$H,produtos_escape2!$A463,Controle!$Z:$Z,"4")</f>
        <v>0</v>
      </c>
      <c r="J463" s="507">
        <f>SUMIFS(Controle!$R:$R,Controle!$H:$H,produtos_escape2!$A463,Controle!$Z:$Z,"5")</f>
        <v>0</v>
      </c>
      <c r="K463" s="507">
        <f>SUMIFS(Controle!$R:$R,Controle!$H:$H,produtos_escape2!$A463,Controle!$Z:$Z,"6")</f>
        <v>0</v>
      </c>
      <c r="L463" s="507">
        <f t="shared" si="15"/>
        <v>0</v>
      </c>
      <c r="M463" s="381" t="s">
        <v>4776</v>
      </c>
      <c r="AF463" s="84"/>
    </row>
    <row r="464" spans="1:32" s="185" customFormat="1" ht="14.25" customHeight="1" thickBot="1">
      <c r="A464" s="353">
        <v>13970</v>
      </c>
      <c r="B464" s="194" t="s">
        <v>366</v>
      </c>
      <c r="C464" s="339">
        <f t="shared" si="16"/>
        <v>50000</v>
      </c>
      <c r="D464" s="196" t="s">
        <v>624</v>
      </c>
      <c r="E464" s="187" t="s">
        <v>7207</v>
      </c>
      <c r="F464" s="507">
        <f>SUMIFS(Controle!$R:$R,Controle!$H:$H,produtos_escape2!$A464,Controle!$Z:$Z,"1")</f>
        <v>0</v>
      </c>
      <c r="G464" s="507">
        <f>SUMIFS(Controle!$R:$R,Controle!$H:$H,produtos_escape2!$A464,Controle!$Z:$Z,"2")</f>
        <v>0</v>
      </c>
      <c r="H464" s="507">
        <f>SUMIFS(Controle!$R:$R,Controle!$H:$H,produtos_escape2!$A464,Controle!$Z:$Z,"3")</f>
        <v>0</v>
      </c>
      <c r="I464" s="507">
        <f>SUMIFS(Controle!$R:$R,Controle!$H:$H,produtos_escape2!$A464,Controle!$Z:$Z,"4")</f>
        <v>0</v>
      </c>
      <c r="J464" s="507">
        <f>SUMIFS(Controle!$R:$R,Controle!$H:$H,produtos_escape2!$A464,Controle!$Z:$Z,"5")</f>
        <v>0</v>
      </c>
      <c r="K464" s="507">
        <f>SUMIFS(Controle!$R:$R,Controle!$H:$H,produtos_escape2!$A464,Controle!$Z:$Z,"6")</f>
        <v>0</v>
      </c>
      <c r="L464" s="507">
        <f t="shared" si="15"/>
        <v>0</v>
      </c>
      <c r="M464" s="381" t="s">
        <v>4784</v>
      </c>
      <c r="AF464" s="84"/>
    </row>
    <row r="465" spans="1:32" s="185" customFormat="1" ht="14.25" customHeight="1" thickBot="1">
      <c r="A465" s="353">
        <v>14000</v>
      </c>
      <c r="B465" s="194" t="s">
        <v>90</v>
      </c>
      <c r="C465" s="339">
        <f t="shared" si="16"/>
        <v>50000</v>
      </c>
      <c r="D465" s="196" t="s">
        <v>624</v>
      </c>
      <c r="E465" s="187" t="s">
        <v>7207</v>
      </c>
      <c r="F465" s="507">
        <f>SUMIFS(Controle!$R:$R,Controle!$H:$H,produtos_escape2!$A465,Controle!$Z:$Z,"1")</f>
        <v>0</v>
      </c>
      <c r="G465" s="507">
        <f>SUMIFS(Controle!$R:$R,Controle!$H:$H,produtos_escape2!$A465,Controle!$Z:$Z,"2")</f>
        <v>0</v>
      </c>
      <c r="H465" s="507">
        <f>SUMIFS(Controle!$R:$R,Controle!$H:$H,produtos_escape2!$A465,Controle!$Z:$Z,"3")</f>
        <v>0</v>
      </c>
      <c r="I465" s="507">
        <f>SUMIFS(Controle!$R:$R,Controle!$H:$H,produtos_escape2!$A465,Controle!$Z:$Z,"4")</f>
        <v>0</v>
      </c>
      <c r="J465" s="507">
        <f>SUMIFS(Controle!$R:$R,Controle!$H:$H,produtos_escape2!$A465,Controle!$Z:$Z,"5")</f>
        <v>0</v>
      </c>
      <c r="K465" s="507">
        <f>SUMIFS(Controle!$R:$R,Controle!$H:$H,produtos_escape2!$A465,Controle!$Z:$Z,"6")</f>
        <v>0</v>
      </c>
      <c r="L465" s="507">
        <f t="shared" si="15"/>
        <v>0</v>
      </c>
      <c r="M465" s="381" t="s">
        <v>4785</v>
      </c>
      <c r="AF465" s="84"/>
    </row>
    <row r="466" spans="1:32" s="185" customFormat="1" ht="14.25" customHeight="1" thickBot="1">
      <c r="A466" s="353">
        <v>14006</v>
      </c>
      <c r="B466" s="194" t="s">
        <v>364</v>
      </c>
      <c r="C466" s="339">
        <f t="shared" si="16"/>
        <v>50000</v>
      </c>
      <c r="D466" s="196" t="s">
        <v>624</v>
      </c>
      <c r="E466" s="187" t="s">
        <v>7207</v>
      </c>
      <c r="F466" s="507">
        <f>SUMIFS(Controle!$R:$R,Controle!$H:$H,produtos_escape2!$A466,Controle!$Z:$Z,"1")</f>
        <v>0</v>
      </c>
      <c r="G466" s="507">
        <f>SUMIFS(Controle!$R:$R,Controle!$H:$H,produtos_escape2!$A466,Controle!$Z:$Z,"2")</f>
        <v>0</v>
      </c>
      <c r="H466" s="507">
        <f>SUMIFS(Controle!$R:$R,Controle!$H:$H,produtos_escape2!$A466,Controle!$Z:$Z,"3")</f>
        <v>0</v>
      </c>
      <c r="I466" s="507">
        <f>SUMIFS(Controle!$R:$R,Controle!$H:$H,produtos_escape2!$A466,Controle!$Z:$Z,"4")</f>
        <v>0</v>
      </c>
      <c r="J466" s="507">
        <f>SUMIFS(Controle!$R:$R,Controle!$H:$H,produtos_escape2!$A466,Controle!$Z:$Z,"5")</f>
        <v>0</v>
      </c>
      <c r="K466" s="507">
        <f>SUMIFS(Controle!$R:$R,Controle!$H:$H,produtos_escape2!$A466,Controle!$Z:$Z,"6")</f>
        <v>0</v>
      </c>
      <c r="L466" s="507">
        <f t="shared" si="15"/>
        <v>0</v>
      </c>
      <c r="M466" s="381" t="s">
        <v>4786</v>
      </c>
      <c r="AF466" s="84"/>
    </row>
    <row r="467" spans="1:32" s="185" customFormat="1" ht="14.25" customHeight="1" thickBot="1">
      <c r="A467" s="353">
        <v>14010</v>
      </c>
      <c r="B467" s="194" t="s">
        <v>3688</v>
      </c>
      <c r="C467" s="339">
        <f t="shared" si="16"/>
        <v>50000</v>
      </c>
      <c r="D467" s="196" t="s">
        <v>624</v>
      </c>
      <c r="E467" s="187" t="s">
        <v>7207</v>
      </c>
      <c r="F467" s="507">
        <f>SUMIFS(Controle!$R:$R,Controle!$H:$H,produtos_escape2!$A467,Controle!$Z:$Z,"1")</f>
        <v>0</v>
      </c>
      <c r="G467" s="507">
        <f>SUMIFS(Controle!$R:$R,Controle!$H:$H,produtos_escape2!$A467,Controle!$Z:$Z,"2")</f>
        <v>0</v>
      </c>
      <c r="H467" s="507">
        <f>SUMIFS(Controle!$R:$R,Controle!$H:$H,produtos_escape2!$A467,Controle!$Z:$Z,"3")</f>
        <v>0</v>
      </c>
      <c r="I467" s="507">
        <f>SUMIFS(Controle!$R:$R,Controle!$H:$H,produtos_escape2!$A467,Controle!$Z:$Z,"4")</f>
        <v>0</v>
      </c>
      <c r="J467" s="507">
        <f>SUMIFS(Controle!$R:$R,Controle!$H:$H,produtos_escape2!$A467,Controle!$Z:$Z,"5")</f>
        <v>0</v>
      </c>
      <c r="K467" s="507">
        <f>SUMIFS(Controle!$R:$R,Controle!$H:$H,produtos_escape2!$A467,Controle!$Z:$Z,"6")</f>
        <v>0</v>
      </c>
      <c r="L467" s="507">
        <f t="shared" si="15"/>
        <v>0</v>
      </c>
      <c r="M467" s="381" t="s">
        <v>4787</v>
      </c>
      <c r="AF467" s="84"/>
    </row>
    <row r="468" spans="1:32" s="185" customFormat="1" ht="14.25" customHeight="1" thickBot="1">
      <c r="A468" s="353">
        <v>14043</v>
      </c>
      <c r="B468" s="194" t="s">
        <v>4303</v>
      </c>
      <c r="C468" s="339">
        <f t="shared" si="16"/>
        <v>50000</v>
      </c>
      <c r="D468" s="196" t="s">
        <v>624</v>
      </c>
      <c r="E468" s="187" t="s">
        <v>7207</v>
      </c>
      <c r="F468" s="507">
        <f>SUMIFS(Controle!$R:$R,Controle!$H:$H,produtos_escape2!$A468,Controle!$Z:$Z,"1")</f>
        <v>0</v>
      </c>
      <c r="G468" s="507">
        <f>SUMIFS(Controle!$R:$R,Controle!$H:$H,produtos_escape2!$A468,Controle!$Z:$Z,"2")</f>
        <v>0</v>
      </c>
      <c r="H468" s="507">
        <f>SUMIFS(Controle!$R:$R,Controle!$H:$H,produtos_escape2!$A468,Controle!$Z:$Z,"3")</f>
        <v>0</v>
      </c>
      <c r="I468" s="507">
        <f>SUMIFS(Controle!$R:$R,Controle!$H:$H,produtos_escape2!$A468,Controle!$Z:$Z,"4")</f>
        <v>0</v>
      </c>
      <c r="J468" s="507">
        <f>SUMIFS(Controle!$R:$R,Controle!$H:$H,produtos_escape2!$A468,Controle!$Z:$Z,"5")</f>
        <v>0</v>
      </c>
      <c r="K468" s="507">
        <f>SUMIFS(Controle!$R:$R,Controle!$H:$H,produtos_escape2!$A468,Controle!$Z:$Z,"6")</f>
        <v>0</v>
      </c>
      <c r="L468" s="507">
        <f t="shared" si="15"/>
        <v>0</v>
      </c>
      <c r="M468" s="381" t="s">
        <v>4788</v>
      </c>
      <c r="AF468" s="84"/>
    </row>
    <row r="469" spans="1:32" s="185" customFormat="1" ht="14.25" customHeight="1" thickBot="1">
      <c r="A469" s="333">
        <v>14044</v>
      </c>
      <c r="B469" s="194" t="s">
        <v>370</v>
      </c>
      <c r="C469" s="339">
        <f t="shared" si="16"/>
        <v>50000</v>
      </c>
      <c r="D469" s="196" t="s">
        <v>624</v>
      </c>
      <c r="E469" s="187" t="s">
        <v>7207</v>
      </c>
      <c r="F469" s="507">
        <f>SUMIFS(Controle!$R:$R,Controle!$H:$H,produtos_escape2!$A469,Controle!$Z:$Z,"1")</f>
        <v>0</v>
      </c>
      <c r="G469" s="507">
        <f>SUMIFS(Controle!$R:$R,Controle!$H:$H,produtos_escape2!$A469,Controle!$Z:$Z,"2")</f>
        <v>0</v>
      </c>
      <c r="H469" s="507">
        <f>SUMIFS(Controle!$R:$R,Controle!$H:$H,produtos_escape2!$A469,Controle!$Z:$Z,"3")</f>
        <v>0</v>
      </c>
      <c r="I469" s="507">
        <f>SUMIFS(Controle!$R:$R,Controle!$H:$H,produtos_escape2!$A469,Controle!$Z:$Z,"4")</f>
        <v>0</v>
      </c>
      <c r="J469" s="507">
        <f>SUMIFS(Controle!$R:$R,Controle!$H:$H,produtos_escape2!$A469,Controle!$Z:$Z,"5")</f>
        <v>0</v>
      </c>
      <c r="K469" s="507">
        <f>SUMIFS(Controle!$R:$R,Controle!$H:$H,produtos_escape2!$A469,Controle!$Z:$Z,"6")</f>
        <v>0</v>
      </c>
      <c r="L469" s="507">
        <f t="shared" si="15"/>
        <v>0</v>
      </c>
      <c r="M469" s="381" t="s">
        <v>4789</v>
      </c>
      <c r="AF469" s="84"/>
    </row>
    <row r="470" spans="1:32" s="185" customFormat="1" ht="14.25" customHeight="1" thickBot="1">
      <c r="A470" s="353">
        <v>14049</v>
      </c>
      <c r="B470" s="338" t="s">
        <v>83</v>
      </c>
      <c r="C470" s="339">
        <f t="shared" si="16"/>
        <v>50000</v>
      </c>
      <c r="D470" s="196" t="s">
        <v>624</v>
      </c>
      <c r="E470" s="187" t="s">
        <v>7207</v>
      </c>
      <c r="F470" s="507">
        <f>SUMIFS(Controle!$R:$R,Controle!$H:$H,produtos_escape2!$A470,Controle!$Z:$Z,"1")</f>
        <v>0</v>
      </c>
      <c r="G470" s="507">
        <f>SUMIFS(Controle!$R:$R,Controle!$H:$H,produtos_escape2!$A470,Controle!$Z:$Z,"2")</f>
        <v>0</v>
      </c>
      <c r="H470" s="507">
        <f>SUMIFS(Controle!$R:$R,Controle!$H:$H,produtos_escape2!$A470,Controle!$Z:$Z,"3")</f>
        <v>0</v>
      </c>
      <c r="I470" s="507">
        <f>SUMIFS(Controle!$R:$R,Controle!$H:$H,produtos_escape2!$A470,Controle!$Z:$Z,"4")</f>
        <v>0</v>
      </c>
      <c r="J470" s="507">
        <f>SUMIFS(Controle!$R:$R,Controle!$H:$H,produtos_escape2!$A470,Controle!$Z:$Z,"5")</f>
        <v>0</v>
      </c>
      <c r="K470" s="507">
        <f>SUMIFS(Controle!$R:$R,Controle!$H:$H,produtos_escape2!$A470,Controle!$Z:$Z,"6")</f>
        <v>0</v>
      </c>
      <c r="L470" s="507">
        <f t="shared" si="15"/>
        <v>0</v>
      </c>
      <c r="M470" s="381" t="s">
        <v>4790</v>
      </c>
      <c r="AF470" s="84"/>
    </row>
    <row r="471" spans="1:32" s="185" customFormat="1" ht="14.25" customHeight="1" thickBot="1">
      <c r="A471" s="353">
        <v>14051</v>
      </c>
      <c r="B471" s="194" t="s">
        <v>1097</v>
      </c>
      <c r="C471" s="339">
        <f t="shared" si="16"/>
        <v>50000</v>
      </c>
      <c r="D471" s="196" t="s">
        <v>624</v>
      </c>
      <c r="E471" s="187" t="s">
        <v>7207</v>
      </c>
      <c r="F471" s="507">
        <f>SUMIFS(Controle!$R:$R,Controle!$H:$H,produtos_escape2!$A471,Controle!$Z:$Z,"1")</f>
        <v>0</v>
      </c>
      <c r="G471" s="507">
        <f>SUMIFS(Controle!$R:$R,Controle!$H:$H,produtos_escape2!$A471,Controle!$Z:$Z,"2")</f>
        <v>0</v>
      </c>
      <c r="H471" s="507">
        <f>SUMIFS(Controle!$R:$R,Controle!$H:$H,produtos_escape2!$A471,Controle!$Z:$Z,"3")</f>
        <v>0</v>
      </c>
      <c r="I471" s="507">
        <f>SUMIFS(Controle!$R:$R,Controle!$H:$H,produtos_escape2!$A471,Controle!$Z:$Z,"4")</f>
        <v>0</v>
      </c>
      <c r="J471" s="507">
        <f>SUMIFS(Controle!$R:$R,Controle!$H:$H,produtos_escape2!$A471,Controle!$Z:$Z,"5")</f>
        <v>0</v>
      </c>
      <c r="K471" s="507">
        <f>SUMIFS(Controle!$R:$R,Controle!$H:$H,produtos_escape2!$A471,Controle!$Z:$Z,"6")</f>
        <v>0</v>
      </c>
      <c r="L471" s="507">
        <f t="shared" si="15"/>
        <v>0</v>
      </c>
      <c r="M471" s="381" t="s">
        <v>4791</v>
      </c>
      <c r="AF471" s="84"/>
    </row>
    <row r="472" spans="1:32" s="185" customFormat="1" ht="14.25" customHeight="1" thickBot="1">
      <c r="A472" s="353">
        <v>14054</v>
      </c>
      <c r="B472" s="194" t="s">
        <v>29</v>
      </c>
      <c r="C472" s="339">
        <f t="shared" si="16"/>
        <v>50000</v>
      </c>
      <c r="D472" s="196" t="s">
        <v>636</v>
      </c>
      <c r="E472" s="187" t="s">
        <v>7207</v>
      </c>
      <c r="F472" s="507">
        <f>SUMIFS(Controle!$R:$R,Controle!$H:$H,produtos_escape2!$A472,Controle!$Z:$Z,"1")</f>
        <v>0</v>
      </c>
      <c r="G472" s="507">
        <f>SUMIFS(Controle!$R:$R,Controle!$H:$H,produtos_escape2!$A472,Controle!$Z:$Z,"2")</f>
        <v>0</v>
      </c>
      <c r="H472" s="507">
        <f>SUMIFS(Controle!$R:$R,Controle!$H:$H,produtos_escape2!$A472,Controle!$Z:$Z,"3")</f>
        <v>0</v>
      </c>
      <c r="I472" s="507">
        <f>SUMIFS(Controle!$R:$R,Controle!$H:$H,produtos_escape2!$A472,Controle!$Z:$Z,"4")</f>
        <v>0</v>
      </c>
      <c r="J472" s="507">
        <f>SUMIFS(Controle!$R:$R,Controle!$H:$H,produtos_escape2!$A472,Controle!$Z:$Z,"5")</f>
        <v>0</v>
      </c>
      <c r="K472" s="507">
        <f>SUMIFS(Controle!$R:$R,Controle!$H:$H,produtos_escape2!$A472,Controle!$Z:$Z,"6")</f>
        <v>0</v>
      </c>
      <c r="L472" s="507">
        <f t="shared" si="15"/>
        <v>0</v>
      </c>
      <c r="M472" s="381" t="s">
        <v>4792</v>
      </c>
      <c r="AF472" s="84"/>
    </row>
    <row r="473" spans="1:32" s="185" customFormat="1" ht="14.25" customHeight="1" thickBot="1">
      <c r="A473" s="353">
        <v>14079</v>
      </c>
      <c r="B473" s="194" t="s">
        <v>1405</v>
      </c>
      <c r="C473" s="339">
        <f t="shared" si="16"/>
        <v>50000</v>
      </c>
      <c r="D473" s="196" t="s">
        <v>896</v>
      </c>
      <c r="E473" s="187" t="s">
        <v>7207</v>
      </c>
      <c r="F473" s="507">
        <f>SUMIFS(Controle!$R:$R,Controle!$H:$H,produtos_escape2!$A473,Controle!$Z:$Z,"1")</f>
        <v>0</v>
      </c>
      <c r="G473" s="507">
        <f>SUMIFS(Controle!$R:$R,Controle!$H:$H,produtos_escape2!$A473,Controle!$Z:$Z,"2")</f>
        <v>0</v>
      </c>
      <c r="H473" s="507">
        <f>SUMIFS(Controle!$R:$R,Controle!$H:$H,produtos_escape2!$A473,Controle!$Z:$Z,"3")</f>
        <v>0</v>
      </c>
      <c r="I473" s="507">
        <f>SUMIFS(Controle!$R:$R,Controle!$H:$H,produtos_escape2!$A473,Controle!$Z:$Z,"4")</f>
        <v>0</v>
      </c>
      <c r="J473" s="507">
        <f>SUMIFS(Controle!$R:$R,Controle!$H:$H,produtos_escape2!$A473,Controle!$Z:$Z,"5")</f>
        <v>0</v>
      </c>
      <c r="K473" s="507">
        <f>SUMIFS(Controle!$R:$R,Controle!$H:$H,produtos_escape2!$A473,Controle!$Z:$Z,"6")</f>
        <v>0</v>
      </c>
      <c r="L473" s="507">
        <f t="shared" si="15"/>
        <v>0</v>
      </c>
      <c r="M473" s="381" t="s">
        <v>5721</v>
      </c>
      <c r="AF473" s="84"/>
    </row>
    <row r="474" spans="1:32" s="185" customFormat="1" ht="14.25" customHeight="1" thickBot="1">
      <c r="A474" s="353">
        <v>14086</v>
      </c>
      <c r="B474" s="194" t="s">
        <v>415</v>
      </c>
      <c r="C474" s="339">
        <f t="shared" si="16"/>
        <v>50000</v>
      </c>
      <c r="D474" s="196"/>
      <c r="E474" s="187"/>
      <c r="F474" s="507">
        <f>SUMIFS(Controle!$R:$R,Controle!$H:$H,produtos_escape2!$A474,Controle!$Z:$Z,"1")</f>
        <v>0</v>
      </c>
      <c r="G474" s="507">
        <f>SUMIFS(Controle!$R:$R,Controle!$H:$H,produtos_escape2!$A474,Controle!$Z:$Z,"2")</f>
        <v>0</v>
      </c>
      <c r="H474" s="507">
        <f>SUMIFS(Controle!$R:$R,Controle!$H:$H,produtos_escape2!$A474,Controle!$Z:$Z,"3")</f>
        <v>0</v>
      </c>
      <c r="I474" s="507">
        <f>SUMIFS(Controle!$R:$R,Controle!$H:$H,produtos_escape2!$A474,Controle!$Z:$Z,"4")</f>
        <v>0</v>
      </c>
      <c r="J474" s="507">
        <f>SUMIFS(Controle!$R:$R,Controle!$H:$H,produtos_escape2!$A474,Controle!$Z:$Z,"5")</f>
        <v>0</v>
      </c>
      <c r="K474" s="507">
        <f>SUMIFS(Controle!$R:$R,Controle!$H:$H,produtos_escape2!$A474,Controle!$Z:$Z,"6")</f>
        <v>0</v>
      </c>
      <c r="L474" s="507">
        <f t="shared" si="15"/>
        <v>0</v>
      </c>
      <c r="M474" s="381" t="s">
        <v>4793</v>
      </c>
      <c r="AF474" s="84"/>
    </row>
    <row r="475" spans="1:32" s="185" customFormat="1" ht="14.25" customHeight="1" thickBot="1">
      <c r="A475" s="353">
        <v>14096</v>
      </c>
      <c r="B475" s="194" t="s">
        <v>414</v>
      </c>
      <c r="C475" s="339">
        <f t="shared" si="16"/>
        <v>50000</v>
      </c>
      <c r="D475" s="196"/>
      <c r="E475" s="187"/>
      <c r="F475" s="507">
        <f>SUMIFS(Controle!$R:$R,Controle!$H:$H,produtos_escape2!$A475,Controle!$Z:$Z,"1")</f>
        <v>0</v>
      </c>
      <c r="G475" s="507">
        <f>SUMIFS(Controle!$R:$R,Controle!$H:$H,produtos_escape2!$A475,Controle!$Z:$Z,"2")</f>
        <v>0</v>
      </c>
      <c r="H475" s="507">
        <f>SUMIFS(Controle!$R:$R,Controle!$H:$H,produtos_escape2!$A475,Controle!$Z:$Z,"3")</f>
        <v>0</v>
      </c>
      <c r="I475" s="507">
        <f>SUMIFS(Controle!$R:$R,Controle!$H:$H,produtos_escape2!$A475,Controle!$Z:$Z,"4")</f>
        <v>0</v>
      </c>
      <c r="J475" s="507">
        <f>SUMIFS(Controle!$R:$R,Controle!$H:$H,produtos_escape2!$A475,Controle!$Z:$Z,"5")</f>
        <v>0</v>
      </c>
      <c r="K475" s="507">
        <f>SUMIFS(Controle!$R:$R,Controle!$H:$H,produtos_escape2!$A475,Controle!$Z:$Z,"6")</f>
        <v>0</v>
      </c>
      <c r="L475" s="507">
        <f t="shared" si="15"/>
        <v>0</v>
      </c>
      <c r="M475" s="381" t="s">
        <v>4793</v>
      </c>
      <c r="AF475" s="84"/>
    </row>
    <row r="476" spans="1:32" s="185" customFormat="1" ht="14.25" customHeight="1" thickBot="1">
      <c r="A476" s="353">
        <v>14098</v>
      </c>
      <c r="B476" s="194" t="s">
        <v>413</v>
      </c>
      <c r="C476" s="339">
        <f t="shared" si="16"/>
        <v>50000</v>
      </c>
      <c r="D476" s="196"/>
      <c r="E476" s="187"/>
      <c r="F476" s="507">
        <f>SUMIFS(Controle!$R:$R,Controle!$H:$H,produtos_escape2!$A476,Controle!$Z:$Z,"1")</f>
        <v>0</v>
      </c>
      <c r="G476" s="507">
        <f>SUMIFS(Controle!$R:$R,Controle!$H:$H,produtos_escape2!$A476,Controle!$Z:$Z,"2")</f>
        <v>0</v>
      </c>
      <c r="H476" s="507">
        <f>SUMIFS(Controle!$R:$R,Controle!$H:$H,produtos_escape2!$A476,Controle!$Z:$Z,"3")</f>
        <v>0</v>
      </c>
      <c r="I476" s="507">
        <f>SUMIFS(Controle!$R:$R,Controle!$H:$H,produtos_escape2!$A476,Controle!$Z:$Z,"4")</f>
        <v>0</v>
      </c>
      <c r="J476" s="507">
        <f>SUMIFS(Controle!$R:$R,Controle!$H:$H,produtos_escape2!$A476,Controle!$Z:$Z,"5")</f>
        <v>0</v>
      </c>
      <c r="K476" s="507">
        <f>SUMIFS(Controle!$R:$R,Controle!$H:$H,produtos_escape2!$A476,Controle!$Z:$Z,"6")</f>
        <v>0</v>
      </c>
      <c r="L476" s="507">
        <f t="shared" si="15"/>
        <v>0</v>
      </c>
      <c r="M476" s="381" t="s">
        <v>4793</v>
      </c>
      <c r="AF476" s="84"/>
    </row>
    <row r="477" spans="1:32" s="185" customFormat="1" ht="15" customHeight="1" thickBot="1">
      <c r="A477" s="333">
        <v>14099</v>
      </c>
      <c r="B477" s="194" t="s">
        <v>412</v>
      </c>
      <c r="C477" s="339">
        <f t="shared" si="16"/>
        <v>50000</v>
      </c>
      <c r="D477" s="196"/>
      <c r="E477" s="187"/>
      <c r="F477" s="507">
        <f>SUMIFS(Controle!$R:$R,Controle!$H:$H,produtos_escape2!$A477,Controle!$Z:$Z,"1")</f>
        <v>0</v>
      </c>
      <c r="G477" s="507">
        <f>SUMIFS(Controle!$R:$R,Controle!$H:$H,produtos_escape2!$A477,Controle!$Z:$Z,"2")</f>
        <v>0</v>
      </c>
      <c r="H477" s="507">
        <f>SUMIFS(Controle!$R:$R,Controle!$H:$H,produtos_escape2!$A477,Controle!$Z:$Z,"3")</f>
        <v>0</v>
      </c>
      <c r="I477" s="507">
        <f>SUMIFS(Controle!$R:$R,Controle!$H:$H,produtos_escape2!$A477,Controle!$Z:$Z,"4")</f>
        <v>0</v>
      </c>
      <c r="J477" s="507">
        <f>SUMIFS(Controle!$R:$R,Controle!$H:$H,produtos_escape2!$A477,Controle!$Z:$Z,"5")</f>
        <v>0</v>
      </c>
      <c r="K477" s="507">
        <f>SUMIFS(Controle!$R:$R,Controle!$H:$H,produtos_escape2!$A477,Controle!$Z:$Z,"6")</f>
        <v>0</v>
      </c>
      <c r="L477" s="507">
        <f t="shared" si="15"/>
        <v>0</v>
      </c>
      <c r="M477" s="381" t="s">
        <v>4793</v>
      </c>
      <c r="AF477" s="84"/>
    </row>
    <row r="478" spans="1:32" s="185" customFormat="1" ht="15" customHeight="1" thickBot="1">
      <c r="A478" s="353">
        <v>14183</v>
      </c>
      <c r="B478" s="338" t="s">
        <v>3981</v>
      </c>
      <c r="C478" s="339">
        <f t="shared" si="16"/>
        <v>50000</v>
      </c>
      <c r="D478" s="196" t="s">
        <v>624</v>
      </c>
      <c r="E478" s="187" t="s">
        <v>7207</v>
      </c>
      <c r="F478" s="507">
        <f>SUMIFS(Controle!$R:$R,Controle!$H:$H,produtos_escape2!$A478,Controle!$Z:$Z,"1")</f>
        <v>0</v>
      </c>
      <c r="G478" s="507">
        <f>SUMIFS(Controle!$R:$R,Controle!$H:$H,produtos_escape2!$A478,Controle!$Z:$Z,"2")</f>
        <v>0</v>
      </c>
      <c r="H478" s="507">
        <f>SUMIFS(Controle!$R:$R,Controle!$H:$H,produtos_escape2!$A478,Controle!$Z:$Z,"3")</f>
        <v>0</v>
      </c>
      <c r="I478" s="507">
        <f>SUMIFS(Controle!$R:$R,Controle!$H:$H,produtos_escape2!$A478,Controle!$Z:$Z,"4")</f>
        <v>0</v>
      </c>
      <c r="J478" s="507">
        <f>SUMIFS(Controle!$R:$R,Controle!$H:$H,produtos_escape2!$A478,Controle!$Z:$Z,"5")</f>
        <v>0</v>
      </c>
      <c r="K478" s="507">
        <f>SUMIFS(Controle!$R:$R,Controle!$H:$H,produtos_escape2!$A478,Controle!$Z:$Z,"6")</f>
        <v>0</v>
      </c>
      <c r="L478" s="507">
        <f t="shared" si="15"/>
        <v>0</v>
      </c>
      <c r="M478" s="381" t="s">
        <v>4794</v>
      </c>
      <c r="AF478" s="84"/>
    </row>
    <row r="479" spans="1:32" s="185" customFormat="1" ht="14.25" customHeight="1" thickBot="1">
      <c r="A479" s="353">
        <v>14184</v>
      </c>
      <c r="B479" s="194" t="s">
        <v>3982</v>
      </c>
      <c r="C479" s="339">
        <f t="shared" si="16"/>
        <v>50000</v>
      </c>
      <c r="D479" s="196" t="s">
        <v>624</v>
      </c>
      <c r="E479" s="187" t="s">
        <v>7207</v>
      </c>
      <c r="F479" s="507">
        <f>SUMIFS(Controle!$R:$R,Controle!$H:$H,produtos_escape2!$A479,Controle!$Z:$Z,"1")</f>
        <v>0</v>
      </c>
      <c r="G479" s="507">
        <f>SUMIFS(Controle!$R:$R,Controle!$H:$H,produtos_escape2!$A479,Controle!$Z:$Z,"2")</f>
        <v>0</v>
      </c>
      <c r="H479" s="507">
        <f>SUMIFS(Controle!$R:$R,Controle!$H:$H,produtos_escape2!$A479,Controle!$Z:$Z,"3")</f>
        <v>0</v>
      </c>
      <c r="I479" s="507">
        <f>SUMIFS(Controle!$R:$R,Controle!$H:$H,produtos_escape2!$A479,Controle!$Z:$Z,"4")</f>
        <v>0</v>
      </c>
      <c r="J479" s="507">
        <f>SUMIFS(Controle!$R:$R,Controle!$H:$H,produtos_escape2!$A479,Controle!$Z:$Z,"5")</f>
        <v>0</v>
      </c>
      <c r="K479" s="507">
        <f>SUMIFS(Controle!$R:$R,Controle!$H:$H,produtos_escape2!$A479,Controle!$Z:$Z,"6")</f>
        <v>0</v>
      </c>
      <c r="L479" s="507">
        <f t="shared" si="15"/>
        <v>0</v>
      </c>
      <c r="M479" s="381" t="s">
        <v>4795</v>
      </c>
      <c r="AF479" s="84"/>
    </row>
    <row r="480" spans="1:32" s="185" customFormat="1" ht="14.25" customHeight="1" thickBot="1">
      <c r="A480" s="353">
        <v>14207</v>
      </c>
      <c r="B480" s="194" t="s">
        <v>2924</v>
      </c>
      <c r="C480" s="339">
        <f t="shared" si="16"/>
        <v>50000</v>
      </c>
      <c r="D480" s="196" t="s">
        <v>1726</v>
      </c>
      <c r="E480" s="187" t="s">
        <v>7207</v>
      </c>
      <c r="F480" s="507">
        <f>SUMIFS(Controle!$R:$R,Controle!$H:$H,produtos_escape2!$A480,Controle!$Z:$Z,"1")</f>
        <v>0</v>
      </c>
      <c r="G480" s="507">
        <f>SUMIFS(Controle!$R:$R,Controle!$H:$H,produtos_escape2!$A480,Controle!$Z:$Z,"2")</f>
        <v>0</v>
      </c>
      <c r="H480" s="507">
        <f>SUMIFS(Controle!$R:$R,Controle!$H:$H,produtos_escape2!$A480,Controle!$Z:$Z,"3")</f>
        <v>0</v>
      </c>
      <c r="I480" s="507">
        <f>SUMIFS(Controle!$R:$R,Controle!$H:$H,produtos_escape2!$A480,Controle!$Z:$Z,"4")</f>
        <v>0</v>
      </c>
      <c r="J480" s="507">
        <f>SUMIFS(Controle!$R:$R,Controle!$H:$H,produtos_escape2!$A480,Controle!$Z:$Z,"5")</f>
        <v>0</v>
      </c>
      <c r="K480" s="507">
        <f>SUMIFS(Controle!$R:$R,Controle!$H:$H,produtos_escape2!$A480,Controle!$Z:$Z,"6")</f>
        <v>0</v>
      </c>
      <c r="L480" s="507">
        <f t="shared" si="15"/>
        <v>0</v>
      </c>
      <c r="M480" s="381" t="s">
        <v>4796</v>
      </c>
      <c r="AF480" s="84"/>
    </row>
    <row r="481" spans="1:32" s="185" customFormat="1" ht="14.25" customHeight="1" thickBot="1">
      <c r="A481" s="353">
        <v>14226</v>
      </c>
      <c r="B481" s="194" t="s">
        <v>2593</v>
      </c>
      <c r="C481" s="339">
        <f t="shared" si="16"/>
        <v>50000</v>
      </c>
      <c r="D481" s="196" t="s">
        <v>624</v>
      </c>
      <c r="E481" s="187" t="s">
        <v>7207</v>
      </c>
      <c r="F481" s="507">
        <f>SUMIFS(Controle!$R:$R,Controle!$H:$H,produtos_escape2!$A481,Controle!$Z:$Z,"1")</f>
        <v>0</v>
      </c>
      <c r="G481" s="507">
        <f>SUMIFS(Controle!$R:$R,Controle!$H:$H,produtos_escape2!$A481,Controle!$Z:$Z,"2")</f>
        <v>0</v>
      </c>
      <c r="H481" s="507">
        <f>SUMIFS(Controle!$R:$R,Controle!$H:$H,produtos_escape2!$A481,Controle!$Z:$Z,"3")</f>
        <v>0</v>
      </c>
      <c r="I481" s="507">
        <f>SUMIFS(Controle!$R:$R,Controle!$H:$H,produtos_escape2!$A481,Controle!$Z:$Z,"4")</f>
        <v>0</v>
      </c>
      <c r="J481" s="507">
        <f>SUMIFS(Controle!$R:$R,Controle!$H:$H,produtos_escape2!$A481,Controle!$Z:$Z,"5")</f>
        <v>0</v>
      </c>
      <c r="K481" s="507">
        <f>SUMIFS(Controle!$R:$R,Controle!$H:$H,produtos_escape2!$A481,Controle!$Z:$Z,"6")</f>
        <v>0</v>
      </c>
      <c r="L481" s="507">
        <f t="shared" si="15"/>
        <v>0</v>
      </c>
      <c r="M481" s="381" t="s">
        <v>2593</v>
      </c>
      <c r="AF481" s="84"/>
    </row>
    <row r="482" spans="1:32" s="185" customFormat="1" ht="14.25" customHeight="1" thickBot="1">
      <c r="A482" s="353">
        <v>14227</v>
      </c>
      <c r="B482" s="194" t="s">
        <v>4211</v>
      </c>
      <c r="C482" s="339">
        <f t="shared" si="16"/>
        <v>50000</v>
      </c>
      <c r="D482" s="196" t="s">
        <v>624</v>
      </c>
      <c r="E482" s="189" t="s">
        <v>7207</v>
      </c>
      <c r="F482" s="507">
        <f>SUMIFS(Controle!$R:$R,Controle!$H:$H,produtos_escape2!$A482,Controle!$Z:$Z,"1")</f>
        <v>0</v>
      </c>
      <c r="G482" s="507">
        <f>SUMIFS(Controle!$R:$R,Controle!$H:$H,produtos_escape2!$A482,Controle!$Z:$Z,"2")</f>
        <v>0</v>
      </c>
      <c r="H482" s="507">
        <f>SUMIFS(Controle!$R:$R,Controle!$H:$H,produtos_escape2!$A482,Controle!$Z:$Z,"3")</f>
        <v>0</v>
      </c>
      <c r="I482" s="507">
        <f>SUMIFS(Controle!$R:$R,Controle!$H:$H,produtos_escape2!$A482,Controle!$Z:$Z,"4")</f>
        <v>0</v>
      </c>
      <c r="J482" s="507">
        <f>SUMIFS(Controle!$R:$R,Controle!$H:$H,produtos_escape2!$A482,Controle!$Z:$Z,"5")</f>
        <v>0</v>
      </c>
      <c r="K482" s="507">
        <f>SUMIFS(Controle!$R:$R,Controle!$H:$H,produtos_escape2!$A482,Controle!$Z:$Z,"6")</f>
        <v>0</v>
      </c>
      <c r="L482" s="507">
        <f t="shared" si="15"/>
        <v>0</v>
      </c>
      <c r="M482" s="381" t="s">
        <v>4797</v>
      </c>
      <c r="AF482" s="84"/>
    </row>
    <row r="483" spans="1:32" s="185" customFormat="1" ht="14.25" customHeight="1" thickBot="1">
      <c r="A483" s="353">
        <v>14228</v>
      </c>
      <c r="B483" s="194" t="s">
        <v>9076</v>
      </c>
      <c r="C483" s="339">
        <f t="shared" si="16"/>
        <v>50000</v>
      </c>
      <c r="D483" s="196" t="s">
        <v>624</v>
      </c>
      <c r="E483" s="189" t="s">
        <v>7207</v>
      </c>
      <c r="F483" s="507">
        <f>SUMIFS(Controle!$R:$R,Controle!$H:$H,produtos_escape2!$A483,Controle!$Z:$Z,"1")</f>
        <v>0</v>
      </c>
      <c r="G483" s="507">
        <f>SUMIFS(Controle!$R:$R,Controle!$H:$H,produtos_escape2!$A483,Controle!$Z:$Z,"2")</f>
        <v>0</v>
      </c>
      <c r="H483" s="507">
        <f>SUMIFS(Controle!$R:$R,Controle!$H:$H,produtos_escape2!$A483,Controle!$Z:$Z,"3")</f>
        <v>0</v>
      </c>
      <c r="I483" s="507">
        <f>SUMIFS(Controle!$R:$R,Controle!$H:$H,produtos_escape2!$A483,Controle!$Z:$Z,"4")</f>
        <v>0</v>
      </c>
      <c r="J483" s="507">
        <f>SUMIFS(Controle!$R:$R,Controle!$H:$H,produtos_escape2!$A483,Controle!$Z:$Z,"5")</f>
        <v>0</v>
      </c>
      <c r="K483" s="507">
        <f>SUMIFS(Controle!$R:$R,Controle!$H:$H,produtos_escape2!$A483,Controle!$Z:$Z,"6")</f>
        <v>0</v>
      </c>
      <c r="L483" s="507">
        <f t="shared" si="15"/>
        <v>0</v>
      </c>
      <c r="M483" s="381" t="s">
        <v>9075</v>
      </c>
      <c r="AF483" s="84"/>
    </row>
    <row r="484" spans="1:32" s="185" customFormat="1" ht="14.25" customHeight="1" thickBot="1">
      <c r="A484" s="353">
        <v>14289</v>
      </c>
      <c r="B484" s="194" t="s">
        <v>2594</v>
      </c>
      <c r="C484" s="339">
        <f t="shared" si="16"/>
        <v>50000</v>
      </c>
      <c r="D484" s="196" t="s">
        <v>624</v>
      </c>
      <c r="E484" s="187" t="s">
        <v>7207</v>
      </c>
      <c r="F484" s="507">
        <f>SUMIFS(Controle!$R:$R,Controle!$H:$H,produtos_escape2!$A484,Controle!$Z:$Z,"1")</f>
        <v>0</v>
      </c>
      <c r="G484" s="507">
        <f>SUMIFS(Controle!$R:$R,Controle!$H:$H,produtos_escape2!$A484,Controle!$Z:$Z,"2")</f>
        <v>0</v>
      </c>
      <c r="H484" s="507">
        <f>SUMIFS(Controle!$R:$R,Controle!$H:$H,produtos_escape2!$A484,Controle!$Z:$Z,"3")</f>
        <v>0</v>
      </c>
      <c r="I484" s="507">
        <f>SUMIFS(Controle!$R:$R,Controle!$H:$H,produtos_escape2!$A484,Controle!$Z:$Z,"4")</f>
        <v>0</v>
      </c>
      <c r="J484" s="507">
        <f>SUMIFS(Controle!$R:$R,Controle!$H:$H,produtos_escape2!$A484,Controle!$Z:$Z,"5")</f>
        <v>0</v>
      </c>
      <c r="K484" s="507">
        <f>SUMIFS(Controle!$R:$R,Controle!$H:$H,produtos_escape2!$A484,Controle!$Z:$Z,"6")</f>
        <v>0</v>
      </c>
      <c r="L484" s="507">
        <f t="shared" si="15"/>
        <v>0</v>
      </c>
      <c r="M484" s="381" t="s">
        <v>4798</v>
      </c>
      <c r="AF484" s="84"/>
    </row>
    <row r="485" spans="1:32" s="185" customFormat="1" ht="14.25" customHeight="1" thickBot="1">
      <c r="A485" s="353">
        <v>14340</v>
      </c>
      <c r="B485" s="194" t="s">
        <v>434</v>
      </c>
      <c r="C485" s="339">
        <f t="shared" si="16"/>
        <v>50000</v>
      </c>
      <c r="D485" s="196"/>
      <c r="E485" s="187"/>
      <c r="F485" s="507">
        <f>SUMIFS(Controle!$R:$R,Controle!$H:$H,produtos_escape2!$A485,Controle!$Z:$Z,"1")</f>
        <v>0</v>
      </c>
      <c r="G485" s="507">
        <f>SUMIFS(Controle!$R:$R,Controle!$H:$H,produtos_escape2!$A485,Controle!$Z:$Z,"2")</f>
        <v>0</v>
      </c>
      <c r="H485" s="507">
        <f>SUMIFS(Controle!$R:$R,Controle!$H:$H,produtos_escape2!$A485,Controle!$Z:$Z,"3")</f>
        <v>0</v>
      </c>
      <c r="I485" s="507">
        <f>SUMIFS(Controle!$R:$R,Controle!$H:$H,produtos_escape2!$A485,Controle!$Z:$Z,"4")</f>
        <v>0</v>
      </c>
      <c r="J485" s="507">
        <f>SUMIFS(Controle!$R:$R,Controle!$H:$H,produtos_escape2!$A485,Controle!$Z:$Z,"5")</f>
        <v>0</v>
      </c>
      <c r="K485" s="507">
        <f>SUMIFS(Controle!$R:$R,Controle!$H:$H,produtos_escape2!$A485,Controle!$Z:$Z,"6")</f>
        <v>0</v>
      </c>
      <c r="L485" s="507">
        <f t="shared" si="15"/>
        <v>0</v>
      </c>
      <c r="M485" s="381" t="s">
        <v>4799</v>
      </c>
      <c r="AF485" s="84"/>
    </row>
    <row r="486" spans="1:32" s="185" customFormat="1" ht="14.25" customHeight="1" thickBot="1">
      <c r="A486" s="333">
        <v>14356</v>
      </c>
      <c r="B486" s="194" t="s">
        <v>3356</v>
      </c>
      <c r="C486" s="339">
        <f t="shared" si="16"/>
        <v>50000</v>
      </c>
      <c r="D486" s="196" t="s">
        <v>624</v>
      </c>
      <c r="E486" s="189" t="s">
        <v>7207</v>
      </c>
      <c r="F486" s="507">
        <f>SUMIFS(Controle!$R:$R,Controle!$H:$H,produtos_escape2!$A486,Controle!$Z:$Z,"1")</f>
        <v>0</v>
      </c>
      <c r="G486" s="507">
        <f>SUMIFS(Controle!$R:$R,Controle!$H:$H,produtos_escape2!$A486,Controle!$Z:$Z,"2")</f>
        <v>0</v>
      </c>
      <c r="H486" s="507">
        <f>SUMIFS(Controle!$R:$R,Controle!$H:$H,produtos_escape2!$A486,Controle!$Z:$Z,"3")</f>
        <v>0</v>
      </c>
      <c r="I486" s="507">
        <f>SUMIFS(Controle!$R:$R,Controle!$H:$H,produtos_escape2!$A486,Controle!$Z:$Z,"4")</f>
        <v>0</v>
      </c>
      <c r="J486" s="507">
        <f>SUMIFS(Controle!$R:$R,Controle!$H:$H,produtos_escape2!$A486,Controle!$Z:$Z,"5")</f>
        <v>0</v>
      </c>
      <c r="K486" s="507">
        <f>SUMIFS(Controle!$R:$R,Controle!$H:$H,produtos_escape2!$A486,Controle!$Z:$Z,"6")</f>
        <v>0</v>
      </c>
      <c r="L486" s="507">
        <f t="shared" si="15"/>
        <v>0</v>
      </c>
      <c r="M486" s="381" t="s">
        <v>4800</v>
      </c>
      <c r="AF486" s="84"/>
    </row>
    <row r="487" spans="1:32" s="185" customFormat="1" ht="14.25" customHeight="1" thickBot="1">
      <c r="A487" s="353">
        <v>14375</v>
      </c>
      <c r="B487" s="194" t="s">
        <v>8880</v>
      </c>
      <c r="C487" s="339">
        <f t="shared" si="16"/>
        <v>50000</v>
      </c>
      <c r="D487" s="196" t="s">
        <v>1726</v>
      </c>
      <c r="E487" s="189" t="s">
        <v>7207</v>
      </c>
      <c r="F487" s="507">
        <f>SUMIFS(Controle!$R:$R,Controle!$H:$H,produtos_escape2!$A487,Controle!$Z:$Z,"1")</f>
        <v>0</v>
      </c>
      <c r="G487" s="507">
        <f>SUMIFS(Controle!$R:$R,Controle!$H:$H,produtos_escape2!$A487,Controle!$Z:$Z,"2")</f>
        <v>0</v>
      </c>
      <c r="H487" s="507">
        <f>SUMIFS(Controle!$R:$R,Controle!$H:$H,produtos_escape2!$A487,Controle!$Z:$Z,"3")</f>
        <v>0</v>
      </c>
      <c r="I487" s="507">
        <f>SUMIFS(Controle!$R:$R,Controle!$H:$H,produtos_escape2!$A487,Controle!$Z:$Z,"4")</f>
        <v>0</v>
      </c>
      <c r="J487" s="507">
        <f>SUMIFS(Controle!$R:$R,Controle!$H:$H,produtos_escape2!$A487,Controle!$Z:$Z,"5")</f>
        <v>0</v>
      </c>
      <c r="K487" s="507">
        <f>SUMIFS(Controle!$R:$R,Controle!$H:$H,produtos_escape2!$A487,Controle!$Z:$Z,"6")</f>
        <v>0</v>
      </c>
      <c r="L487" s="507">
        <f t="shared" si="15"/>
        <v>0</v>
      </c>
      <c r="M487" s="381" t="s">
        <v>8883</v>
      </c>
      <c r="AF487" s="84"/>
    </row>
    <row r="488" spans="1:32" s="185" customFormat="1" ht="14.25" customHeight="1" thickBot="1">
      <c r="A488" s="333">
        <v>14381</v>
      </c>
      <c r="B488" s="194" t="s">
        <v>8491</v>
      </c>
      <c r="C488" s="339">
        <f t="shared" si="16"/>
        <v>49662.5</v>
      </c>
      <c r="D488" s="196" t="s">
        <v>1093</v>
      </c>
      <c r="E488" s="189" t="s">
        <v>7207</v>
      </c>
      <c r="F488" s="507">
        <f>SUMIFS(Controle!$R:$R,Controle!$H:$H,produtos_escape2!$A488,Controle!$Z:$Z,"1")</f>
        <v>0</v>
      </c>
      <c r="G488" s="507">
        <f>SUMIFS(Controle!$R:$R,Controle!$H:$H,produtos_escape2!$A488,Controle!$Z:$Z,"2")</f>
        <v>0</v>
      </c>
      <c r="H488" s="507">
        <f>SUMIFS(Controle!$R:$R,Controle!$H:$H,produtos_escape2!$A488,Controle!$Z:$Z,"3")</f>
        <v>337.5</v>
      </c>
      <c r="I488" s="507">
        <f>SUMIFS(Controle!$R:$R,Controle!$H:$H,produtos_escape2!$A488,Controle!$Z:$Z,"4")</f>
        <v>0</v>
      </c>
      <c r="J488" s="507">
        <f>SUMIFS(Controle!$R:$R,Controle!$H:$H,produtos_escape2!$A488,Controle!$Z:$Z,"5")</f>
        <v>0</v>
      </c>
      <c r="K488" s="507">
        <f>SUMIFS(Controle!$R:$R,Controle!$H:$H,produtos_escape2!$A488,Controle!$Z:$Z,"6")</f>
        <v>0</v>
      </c>
      <c r="L488" s="507">
        <f t="shared" si="15"/>
        <v>337.5</v>
      </c>
      <c r="M488" s="381" t="s">
        <v>8492</v>
      </c>
      <c r="AF488" s="84"/>
    </row>
    <row r="489" spans="1:32" s="185" customFormat="1" ht="14.25" customHeight="1" thickBot="1">
      <c r="A489" s="333">
        <v>14383</v>
      </c>
      <c r="B489" s="194" t="s">
        <v>8487</v>
      </c>
      <c r="C489" s="339">
        <f t="shared" si="16"/>
        <v>48651</v>
      </c>
      <c r="D489" s="196" t="s">
        <v>1093</v>
      </c>
      <c r="E489" s="189" t="s">
        <v>7207</v>
      </c>
      <c r="F489" s="507">
        <f>SUMIFS(Controle!$R:$R,Controle!$H:$H,produtos_escape2!$A489,Controle!$Z:$Z,"1")</f>
        <v>0</v>
      </c>
      <c r="G489" s="507">
        <f>SUMIFS(Controle!$R:$R,Controle!$H:$H,produtos_escape2!$A489,Controle!$Z:$Z,"2")</f>
        <v>0</v>
      </c>
      <c r="H489" s="507">
        <f>SUMIFS(Controle!$R:$R,Controle!$H:$H,produtos_escape2!$A489,Controle!$Z:$Z,"3")</f>
        <v>337.5</v>
      </c>
      <c r="I489" s="507">
        <f>SUMIFS(Controle!$R:$R,Controle!$H:$H,produtos_escape2!$A489,Controle!$Z:$Z,"4")</f>
        <v>0</v>
      </c>
      <c r="J489" s="507">
        <f>SUMIFS(Controle!$R:$R,Controle!$H:$H,produtos_escape2!$A489,Controle!$Z:$Z,"5")</f>
        <v>1011.4999999999999</v>
      </c>
      <c r="K489" s="507">
        <f>SUMIFS(Controle!$R:$R,Controle!$H:$H,produtos_escape2!$A489,Controle!$Z:$Z,"6")</f>
        <v>0</v>
      </c>
      <c r="L489" s="507">
        <f t="shared" si="15"/>
        <v>1349</v>
      </c>
      <c r="M489" s="381" t="s">
        <v>8488</v>
      </c>
      <c r="AF489" s="84"/>
    </row>
    <row r="490" spans="1:32" s="185" customFormat="1" ht="14.25" customHeight="1" thickBot="1">
      <c r="A490" s="333">
        <v>14384</v>
      </c>
      <c r="B490" s="194" t="s">
        <v>8484</v>
      </c>
      <c r="C490" s="339">
        <f t="shared" si="16"/>
        <v>49662.5</v>
      </c>
      <c r="D490" s="196" t="s">
        <v>1093</v>
      </c>
      <c r="E490" s="189" t="s">
        <v>7207</v>
      </c>
      <c r="F490" s="507">
        <f>SUMIFS(Controle!$R:$R,Controle!$H:$H,produtos_escape2!$A490,Controle!$Z:$Z,"1")</f>
        <v>0</v>
      </c>
      <c r="G490" s="507">
        <f>SUMIFS(Controle!$R:$R,Controle!$H:$H,produtos_escape2!$A490,Controle!$Z:$Z,"2")</f>
        <v>0</v>
      </c>
      <c r="H490" s="507">
        <f>SUMIFS(Controle!$R:$R,Controle!$H:$H,produtos_escape2!$A490,Controle!$Z:$Z,"3")</f>
        <v>337.5</v>
      </c>
      <c r="I490" s="507">
        <f>SUMIFS(Controle!$R:$R,Controle!$H:$H,produtos_escape2!$A490,Controle!$Z:$Z,"4")</f>
        <v>0</v>
      </c>
      <c r="J490" s="507">
        <f>SUMIFS(Controle!$R:$R,Controle!$H:$H,produtos_escape2!$A490,Controle!$Z:$Z,"5")</f>
        <v>0</v>
      </c>
      <c r="K490" s="507">
        <f>SUMIFS(Controle!$R:$R,Controle!$H:$H,produtos_escape2!$A490,Controle!$Z:$Z,"6")</f>
        <v>0</v>
      </c>
      <c r="L490" s="507">
        <f t="shared" si="15"/>
        <v>337.5</v>
      </c>
      <c r="M490" s="381" t="s">
        <v>8485</v>
      </c>
      <c r="AF490" s="84"/>
    </row>
    <row r="491" spans="1:32" s="185" customFormat="1" ht="14.25" customHeight="1" thickBot="1">
      <c r="A491" s="333">
        <v>14386</v>
      </c>
      <c r="B491" s="194" t="s">
        <v>8482</v>
      </c>
      <c r="C491" s="339">
        <f t="shared" si="16"/>
        <v>48908</v>
      </c>
      <c r="D491" s="196" t="s">
        <v>1093</v>
      </c>
      <c r="E491" s="189" t="s">
        <v>7207</v>
      </c>
      <c r="F491" s="507">
        <f>SUMIFS(Controle!$R:$R,Controle!$H:$H,produtos_escape2!$A491,Controle!$Z:$Z,"1")</f>
        <v>0</v>
      </c>
      <c r="G491" s="507">
        <f>SUMIFS(Controle!$R:$R,Controle!$H:$H,produtos_escape2!$A491,Controle!$Z:$Z,"2")</f>
        <v>0</v>
      </c>
      <c r="H491" s="507">
        <f>SUMIFS(Controle!$R:$R,Controle!$H:$H,produtos_escape2!$A491,Controle!$Z:$Z,"3")</f>
        <v>225</v>
      </c>
      <c r="I491" s="507">
        <f>SUMIFS(Controle!$R:$R,Controle!$H:$H,produtos_escape2!$A491,Controle!$Z:$Z,"4")</f>
        <v>867</v>
      </c>
      <c r="J491" s="507">
        <f>SUMIFS(Controle!$R:$R,Controle!$H:$H,produtos_escape2!$A491,Controle!$Z:$Z,"5")</f>
        <v>0</v>
      </c>
      <c r="K491" s="507">
        <f>SUMIFS(Controle!$R:$R,Controle!$H:$H,produtos_escape2!$A491,Controle!$Z:$Z,"6")</f>
        <v>0</v>
      </c>
      <c r="L491" s="507">
        <f t="shared" si="15"/>
        <v>1092</v>
      </c>
      <c r="M491" s="381" t="s">
        <v>8481</v>
      </c>
      <c r="AF491" s="84"/>
    </row>
    <row r="492" spans="1:32" s="185" customFormat="1" ht="14.25" customHeight="1" thickBot="1">
      <c r="A492" s="333">
        <v>14388</v>
      </c>
      <c r="B492" s="194" t="s">
        <v>8478</v>
      </c>
      <c r="C492" s="339">
        <f t="shared" si="16"/>
        <v>49341.5</v>
      </c>
      <c r="D492" s="196" t="s">
        <v>1093</v>
      </c>
      <c r="E492" s="189" t="s">
        <v>7207</v>
      </c>
      <c r="F492" s="507">
        <f>SUMIFS(Controle!$R:$R,Controle!$H:$H,produtos_escape2!$A492,Controle!$Z:$Z,"1")</f>
        <v>0</v>
      </c>
      <c r="G492" s="507">
        <f>SUMIFS(Controle!$R:$R,Controle!$H:$H,produtos_escape2!$A492,Controle!$Z:$Z,"2")</f>
        <v>0</v>
      </c>
      <c r="H492" s="507">
        <f>SUMIFS(Controle!$R:$R,Controle!$H:$H,produtos_escape2!$A492,Controle!$Z:$Z,"3")</f>
        <v>225</v>
      </c>
      <c r="I492" s="507">
        <f>SUMIFS(Controle!$R:$R,Controle!$H:$H,produtos_escape2!$A492,Controle!$Z:$Z,"4")</f>
        <v>433.5</v>
      </c>
      <c r="J492" s="507">
        <f>SUMIFS(Controle!$R:$R,Controle!$H:$H,produtos_escape2!$A492,Controle!$Z:$Z,"5")</f>
        <v>0</v>
      </c>
      <c r="K492" s="507">
        <f>SUMIFS(Controle!$R:$R,Controle!$H:$H,produtos_escape2!$A492,Controle!$Z:$Z,"6")</f>
        <v>0</v>
      </c>
      <c r="L492" s="507">
        <f t="shared" si="15"/>
        <v>658.5</v>
      </c>
      <c r="M492" s="381" t="s">
        <v>8479</v>
      </c>
      <c r="AF492" s="84"/>
    </row>
    <row r="493" spans="1:32" s="185" customFormat="1" ht="14.25" customHeight="1" thickBot="1">
      <c r="A493" s="333">
        <v>14389</v>
      </c>
      <c r="B493" s="194" t="s">
        <v>9087</v>
      </c>
      <c r="C493" s="339">
        <f t="shared" si="16"/>
        <v>39500</v>
      </c>
      <c r="D493" s="196" t="s">
        <v>624</v>
      </c>
      <c r="E493" s="189" t="s">
        <v>7207</v>
      </c>
      <c r="F493" s="507">
        <f>SUMIFS(Controle!$R:$R,Controle!$H:$H,produtos_escape2!$A493,Controle!$Z:$Z,"1")</f>
        <v>0</v>
      </c>
      <c r="G493" s="507">
        <f>SUMIFS(Controle!$R:$R,Controle!$H:$H,produtos_escape2!$A493,Controle!$Z:$Z,"2")</f>
        <v>0</v>
      </c>
      <c r="H493" s="507">
        <f>SUMIFS(Controle!$R:$R,Controle!$H:$H,produtos_escape2!$A493,Controle!$Z:$Z,"3")</f>
        <v>0</v>
      </c>
      <c r="I493" s="507">
        <f>SUMIFS(Controle!$R:$R,Controle!$H:$H,produtos_escape2!$A493,Controle!$Z:$Z,"4")</f>
        <v>10500</v>
      </c>
      <c r="J493" s="507">
        <f>SUMIFS(Controle!$R:$R,Controle!$H:$H,produtos_escape2!$A493,Controle!$Z:$Z,"5")</f>
        <v>0</v>
      </c>
      <c r="K493" s="507">
        <f>SUMIFS(Controle!$R:$R,Controle!$H:$H,produtos_escape2!$A493,Controle!$Z:$Z,"6")</f>
        <v>0</v>
      </c>
      <c r="L493" s="507">
        <f t="shared" si="15"/>
        <v>10500</v>
      </c>
      <c r="M493" s="381" t="s">
        <v>9086</v>
      </c>
      <c r="AF493" s="84"/>
    </row>
    <row r="494" spans="1:32" s="185" customFormat="1" ht="14.25" customHeight="1" thickBot="1">
      <c r="A494" s="333">
        <v>14401</v>
      </c>
      <c r="B494" s="194" t="s">
        <v>8497</v>
      </c>
      <c r="C494" s="339">
        <f t="shared" si="16"/>
        <v>49373.5</v>
      </c>
      <c r="D494" s="196" t="s">
        <v>1093</v>
      </c>
      <c r="E494" s="189" t="s">
        <v>7207</v>
      </c>
      <c r="F494" s="507">
        <f>SUMIFS(Controle!$R:$R,Controle!$H:$H,produtos_escape2!$A494,Controle!$Z:$Z,"1")</f>
        <v>0</v>
      </c>
      <c r="G494" s="507">
        <f>SUMIFS(Controle!$R:$R,Controle!$H:$H,produtos_escape2!$A494,Controle!$Z:$Z,"2")</f>
        <v>0</v>
      </c>
      <c r="H494" s="507">
        <f>SUMIFS(Controle!$R:$R,Controle!$H:$H,produtos_escape2!$A494,Controle!$Z:$Z,"3")</f>
        <v>337.5</v>
      </c>
      <c r="I494" s="507">
        <f>SUMIFS(Controle!$R:$R,Controle!$H:$H,produtos_escape2!$A494,Controle!$Z:$Z,"4")</f>
        <v>289</v>
      </c>
      <c r="J494" s="507">
        <f>SUMIFS(Controle!$R:$R,Controle!$H:$H,produtos_escape2!$A494,Controle!$Z:$Z,"5")</f>
        <v>0</v>
      </c>
      <c r="K494" s="507">
        <f>SUMIFS(Controle!$R:$R,Controle!$H:$H,produtos_escape2!$A494,Controle!$Z:$Z,"6")</f>
        <v>0</v>
      </c>
      <c r="L494" s="507">
        <f t="shared" si="15"/>
        <v>626.5</v>
      </c>
      <c r="M494" s="381" t="s">
        <v>8498</v>
      </c>
      <c r="AF494" s="84"/>
    </row>
    <row r="495" spans="1:32" s="185" customFormat="1" ht="14.25" customHeight="1" thickBot="1">
      <c r="A495" s="333">
        <v>14402</v>
      </c>
      <c r="B495" s="194" t="s">
        <v>8500</v>
      </c>
      <c r="C495" s="339">
        <f t="shared" si="16"/>
        <v>49546.9</v>
      </c>
      <c r="D495" s="196" t="s">
        <v>1093</v>
      </c>
      <c r="E495" s="189" t="s">
        <v>7207</v>
      </c>
      <c r="F495" s="507">
        <f>SUMIFS(Controle!$R:$R,Controle!$H:$H,produtos_escape2!$A495,Controle!$Z:$Z,"1")</f>
        <v>0</v>
      </c>
      <c r="G495" s="507">
        <f>SUMIFS(Controle!$R:$R,Controle!$H:$H,produtos_escape2!$A495,Controle!$Z:$Z,"2")</f>
        <v>0</v>
      </c>
      <c r="H495" s="507">
        <f>SUMIFS(Controle!$R:$R,Controle!$H:$H,produtos_escape2!$A495,Controle!$Z:$Z,"3")</f>
        <v>337.5</v>
      </c>
      <c r="I495" s="507">
        <f>SUMIFS(Controle!$R:$R,Controle!$H:$H,produtos_escape2!$A495,Controle!$Z:$Z,"4")</f>
        <v>115.6</v>
      </c>
      <c r="J495" s="507">
        <f>SUMIFS(Controle!$R:$R,Controle!$H:$H,produtos_escape2!$A495,Controle!$Z:$Z,"5")</f>
        <v>0</v>
      </c>
      <c r="K495" s="507">
        <f>SUMIFS(Controle!$R:$R,Controle!$H:$H,produtos_escape2!$A495,Controle!$Z:$Z,"6")</f>
        <v>0</v>
      </c>
      <c r="L495" s="507">
        <f t="shared" si="15"/>
        <v>453.1</v>
      </c>
      <c r="M495" s="381" t="s">
        <v>8501</v>
      </c>
      <c r="AF495" s="84"/>
    </row>
    <row r="496" spans="1:32" s="185" customFormat="1" ht="14.25" customHeight="1" thickBot="1">
      <c r="A496" s="353">
        <v>14464</v>
      </c>
      <c r="B496" s="338" t="s">
        <v>1359</v>
      </c>
      <c r="C496" s="339">
        <f t="shared" si="16"/>
        <v>49760</v>
      </c>
      <c r="D496" s="196" t="s">
        <v>624</v>
      </c>
      <c r="E496" s="187" t="s">
        <v>1739</v>
      </c>
      <c r="F496" s="507">
        <f>SUMIFS(Controle!$R:$R,Controle!$H:$H,produtos_escape2!$A496,Controle!$Z:$Z,"1")</f>
        <v>0</v>
      </c>
      <c r="G496" s="507">
        <f>SUMIFS(Controle!$R:$R,Controle!$H:$H,produtos_escape2!$A496,Controle!$Z:$Z,"2")</f>
        <v>0</v>
      </c>
      <c r="H496" s="507">
        <f>SUMIFS(Controle!$R:$R,Controle!$H:$H,produtos_escape2!$A496,Controle!$Z:$Z,"3")</f>
        <v>240</v>
      </c>
      <c r="I496" s="507">
        <f>SUMIFS(Controle!$R:$R,Controle!$H:$H,produtos_escape2!$A496,Controle!$Z:$Z,"4")</f>
        <v>0</v>
      </c>
      <c r="J496" s="507">
        <f>SUMIFS(Controle!$R:$R,Controle!$H:$H,produtos_escape2!$A496,Controle!$Z:$Z,"5")</f>
        <v>0</v>
      </c>
      <c r="K496" s="507">
        <f>SUMIFS(Controle!$R:$R,Controle!$H:$H,produtos_escape2!$A496,Controle!$Z:$Z,"6")</f>
        <v>0</v>
      </c>
      <c r="L496" s="507">
        <f t="shared" si="15"/>
        <v>240</v>
      </c>
      <c r="M496" s="381" t="s">
        <v>4801</v>
      </c>
      <c r="AF496" s="84"/>
    </row>
    <row r="497" spans="1:32" s="185" customFormat="1" ht="14.25" customHeight="1" thickBot="1">
      <c r="A497" s="353">
        <v>14522</v>
      </c>
      <c r="B497" s="194" t="s">
        <v>466</v>
      </c>
      <c r="C497" s="339">
        <f t="shared" si="16"/>
        <v>50000</v>
      </c>
      <c r="D497" s="191" t="s">
        <v>624</v>
      </c>
      <c r="E497" s="189" t="s">
        <v>7207</v>
      </c>
      <c r="F497" s="507">
        <f>SUMIFS(Controle!$R:$R,Controle!$H:$H,produtos_escape2!$A497,Controle!$Z:$Z,"1")</f>
        <v>0</v>
      </c>
      <c r="G497" s="507">
        <f>SUMIFS(Controle!$R:$R,Controle!$H:$H,produtos_escape2!$A497,Controle!$Z:$Z,"2")</f>
        <v>0</v>
      </c>
      <c r="H497" s="507">
        <f>SUMIFS(Controle!$R:$R,Controle!$H:$H,produtos_escape2!$A497,Controle!$Z:$Z,"3")</f>
        <v>0</v>
      </c>
      <c r="I497" s="507">
        <f>SUMIFS(Controle!$R:$R,Controle!$H:$H,produtos_escape2!$A497,Controle!$Z:$Z,"4")</f>
        <v>0</v>
      </c>
      <c r="J497" s="507">
        <f>SUMIFS(Controle!$R:$R,Controle!$H:$H,produtos_escape2!$A497,Controle!$Z:$Z,"5")</f>
        <v>0</v>
      </c>
      <c r="K497" s="507">
        <f>SUMIFS(Controle!$R:$R,Controle!$H:$H,produtos_escape2!$A497,Controle!$Z:$Z,"6")</f>
        <v>0</v>
      </c>
      <c r="L497" s="507">
        <f t="shared" si="15"/>
        <v>0</v>
      </c>
      <c r="M497" s="381"/>
      <c r="AF497" s="84"/>
    </row>
    <row r="498" spans="1:32" s="185" customFormat="1" ht="14.25" customHeight="1" thickBot="1">
      <c r="A498" s="353">
        <v>14566</v>
      </c>
      <c r="B498" s="194" t="s">
        <v>452</v>
      </c>
      <c r="C498" s="339">
        <f t="shared" si="16"/>
        <v>50000</v>
      </c>
      <c r="D498" s="196"/>
      <c r="E498" s="187"/>
      <c r="F498" s="507">
        <f>SUMIFS(Controle!$R:$R,Controle!$H:$H,produtos_escape2!$A498,Controle!$Z:$Z,"1")</f>
        <v>0</v>
      </c>
      <c r="G498" s="507">
        <f>SUMIFS(Controle!$R:$R,Controle!$H:$H,produtos_escape2!$A498,Controle!$Z:$Z,"2")</f>
        <v>0</v>
      </c>
      <c r="H498" s="507">
        <f>SUMIFS(Controle!$R:$R,Controle!$H:$H,produtos_escape2!$A498,Controle!$Z:$Z,"3")</f>
        <v>0</v>
      </c>
      <c r="I498" s="507">
        <f>SUMIFS(Controle!$R:$R,Controle!$H:$H,produtos_escape2!$A498,Controle!$Z:$Z,"4")</f>
        <v>0</v>
      </c>
      <c r="J498" s="507">
        <f>SUMIFS(Controle!$R:$R,Controle!$H:$H,produtos_escape2!$A498,Controle!$Z:$Z,"5")</f>
        <v>0</v>
      </c>
      <c r="K498" s="507">
        <f>SUMIFS(Controle!$R:$R,Controle!$H:$H,produtos_escape2!$A498,Controle!$Z:$Z,"6")</f>
        <v>0</v>
      </c>
      <c r="L498" s="507">
        <f t="shared" si="15"/>
        <v>0</v>
      </c>
      <c r="M498" s="381" t="s">
        <v>4802</v>
      </c>
      <c r="AF498" s="84"/>
    </row>
    <row r="499" spans="1:32" s="185" customFormat="1" ht="14.25" customHeight="1" thickBot="1">
      <c r="A499" s="353">
        <v>14568</v>
      </c>
      <c r="B499" s="194" t="s">
        <v>513</v>
      </c>
      <c r="C499" s="339">
        <f t="shared" si="16"/>
        <v>50000</v>
      </c>
      <c r="D499" s="196"/>
      <c r="E499" s="187"/>
      <c r="F499" s="507">
        <f>SUMIFS(Controle!$R:$R,Controle!$H:$H,produtos_escape2!$A499,Controle!$Z:$Z,"1")</f>
        <v>0</v>
      </c>
      <c r="G499" s="507">
        <f>SUMIFS(Controle!$R:$R,Controle!$H:$H,produtos_escape2!$A499,Controle!$Z:$Z,"2")</f>
        <v>0</v>
      </c>
      <c r="H499" s="507">
        <f>SUMIFS(Controle!$R:$R,Controle!$H:$H,produtos_escape2!$A499,Controle!$Z:$Z,"3")</f>
        <v>0</v>
      </c>
      <c r="I499" s="507">
        <f>SUMIFS(Controle!$R:$R,Controle!$H:$H,produtos_escape2!$A499,Controle!$Z:$Z,"4")</f>
        <v>0</v>
      </c>
      <c r="J499" s="507">
        <f>SUMIFS(Controle!$R:$R,Controle!$H:$H,produtos_escape2!$A499,Controle!$Z:$Z,"5")</f>
        <v>0</v>
      </c>
      <c r="K499" s="507">
        <f>SUMIFS(Controle!$R:$R,Controle!$H:$H,produtos_escape2!$A499,Controle!$Z:$Z,"6")</f>
        <v>0</v>
      </c>
      <c r="L499" s="507">
        <f t="shared" si="15"/>
        <v>0</v>
      </c>
      <c r="M499" s="381" t="s">
        <v>4803</v>
      </c>
      <c r="AF499" s="84"/>
    </row>
    <row r="500" spans="1:32" s="185" customFormat="1" ht="14.25" customHeight="1" thickBot="1">
      <c r="A500" s="353">
        <v>14657</v>
      </c>
      <c r="B500" s="194" t="s">
        <v>350</v>
      </c>
      <c r="C500" s="339">
        <f t="shared" si="16"/>
        <v>50000</v>
      </c>
      <c r="D500" s="196"/>
      <c r="E500" s="187"/>
      <c r="F500" s="507">
        <f>SUMIFS(Controle!$R:$R,Controle!$H:$H,produtos_escape2!$A500,Controle!$Z:$Z,"1")</f>
        <v>0</v>
      </c>
      <c r="G500" s="507">
        <f>SUMIFS(Controle!$R:$R,Controle!$H:$H,produtos_escape2!$A500,Controle!$Z:$Z,"2")</f>
        <v>0</v>
      </c>
      <c r="H500" s="507">
        <f>SUMIFS(Controle!$R:$R,Controle!$H:$H,produtos_escape2!$A500,Controle!$Z:$Z,"3")</f>
        <v>0</v>
      </c>
      <c r="I500" s="507">
        <f>SUMIFS(Controle!$R:$R,Controle!$H:$H,produtos_escape2!$A500,Controle!$Z:$Z,"4")</f>
        <v>0</v>
      </c>
      <c r="J500" s="507">
        <f>SUMIFS(Controle!$R:$R,Controle!$H:$H,produtos_escape2!$A500,Controle!$Z:$Z,"5")</f>
        <v>0</v>
      </c>
      <c r="K500" s="507">
        <f>SUMIFS(Controle!$R:$R,Controle!$H:$H,produtos_escape2!$A500,Controle!$Z:$Z,"6")</f>
        <v>0</v>
      </c>
      <c r="L500" s="507">
        <f t="shared" si="15"/>
        <v>0</v>
      </c>
      <c r="M500" s="381" t="s">
        <v>4762</v>
      </c>
      <c r="AF500" s="84"/>
    </row>
    <row r="501" spans="1:32" s="185" customFormat="1" ht="14.25" customHeight="1" thickBot="1">
      <c r="A501" s="353">
        <v>14661</v>
      </c>
      <c r="B501" s="194" t="s">
        <v>348</v>
      </c>
      <c r="C501" s="339">
        <f t="shared" si="16"/>
        <v>50000</v>
      </c>
      <c r="D501" s="196"/>
      <c r="E501" s="187"/>
      <c r="F501" s="507">
        <f>SUMIFS(Controle!$R:$R,Controle!$H:$H,produtos_escape2!$A501,Controle!$Z:$Z,"1")</f>
        <v>0</v>
      </c>
      <c r="G501" s="507">
        <f>SUMIFS(Controle!$R:$R,Controle!$H:$H,produtos_escape2!$A501,Controle!$Z:$Z,"2")</f>
        <v>0</v>
      </c>
      <c r="H501" s="507">
        <f>SUMIFS(Controle!$R:$R,Controle!$H:$H,produtos_escape2!$A501,Controle!$Z:$Z,"3")</f>
        <v>0</v>
      </c>
      <c r="I501" s="507">
        <f>SUMIFS(Controle!$R:$R,Controle!$H:$H,produtos_escape2!$A501,Controle!$Z:$Z,"4")</f>
        <v>0</v>
      </c>
      <c r="J501" s="507">
        <f>SUMIFS(Controle!$R:$R,Controle!$H:$H,produtos_escape2!$A501,Controle!$Z:$Z,"5")</f>
        <v>0</v>
      </c>
      <c r="K501" s="507">
        <f>SUMIFS(Controle!$R:$R,Controle!$H:$H,produtos_escape2!$A501,Controle!$Z:$Z,"6")</f>
        <v>0</v>
      </c>
      <c r="L501" s="507">
        <f t="shared" si="15"/>
        <v>0</v>
      </c>
      <c r="M501" s="381" t="s">
        <v>4762</v>
      </c>
      <c r="AF501" s="84"/>
    </row>
    <row r="502" spans="1:32" s="185" customFormat="1" ht="14.25" customHeight="1" thickBot="1">
      <c r="A502" s="353">
        <v>14662</v>
      </c>
      <c r="B502" s="194" t="s">
        <v>351</v>
      </c>
      <c r="C502" s="339">
        <f t="shared" si="16"/>
        <v>50000</v>
      </c>
      <c r="D502" s="196"/>
      <c r="E502" s="187"/>
      <c r="F502" s="507">
        <f>SUMIFS(Controle!$R:$R,Controle!$H:$H,produtos_escape2!$A502,Controle!$Z:$Z,"1")</f>
        <v>0</v>
      </c>
      <c r="G502" s="507">
        <f>SUMIFS(Controle!$R:$R,Controle!$H:$H,produtos_escape2!$A502,Controle!$Z:$Z,"2")</f>
        <v>0</v>
      </c>
      <c r="H502" s="507">
        <f>SUMIFS(Controle!$R:$R,Controle!$H:$H,produtos_escape2!$A502,Controle!$Z:$Z,"3")</f>
        <v>0</v>
      </c>
      <c r="I502" s="507">
        <f>SUMIFS(Controle!$R:$R,Controle!$H:$H,produtos_escape2!$A502,Controle!$Z:$Z,"4")</f>
        <v>0</v>
      </c>
      <c r="J502" s="507">
        <f>SUMIFS(Controle!$R:$R,Controle!$H:$H,produtos_escape2!$A502,Controle!$Z:$Z,"5")</f>
        <v>0</v>
      </c>
      <c r="K502" s="507">
        <f>SUMIFS(Controle!$R:$R,Controle!$H:$H,produtos_escape2!$A502,Controle!$Z:$Z,"6")</f>
        <v>0</v>
      </c>
      <c r="L502" s="507">
        <f t="shared" si="15"/>
        <v>0</v>
      </c>
      <c r="M502" s="381" t="s">
        <v>4762</v>
      </c>
      <c r="AF502" s="84"/>
    </row>
    <row r="503" spans="1:32" s="185" customFormat="1" ht="14.25" customHeight="1" thickBot="1">
      <c r="A503" s="353">
        <v>14670</v>
      </c>
      <c r="B503" s="194" t="s">
        <v>357</v>
      </c>
      <c r="C503" s="339">
        <f t="shared" si="16"/>
        <v>50000</v>
      </c>
      <c r="D503" s="196"/>
      <c r="E503" s="187"/>
      <c r="F503" s="507">
        <f>SUMIFS(Controle!$R:$R,Controle!$H:$H,produtos_escape2!$A503,Controle!$Z:$Z,"1")</f>
        <v>0</v>
      </c>
      <c r="G503" s="507">
        <f>SUMIFS(Controle!$R:$R,Controle!$H:$H,produtos_escape2!$A503,Controle!$Z:$Z,"2")</f>
        <v>0</v>
      </c>
      <c r="H503" s="507">
        <f>SUMIFS(Controle!$R:$R,Controle!$H:$H,produtos_escape2!$A503,Controle!$Z:$Z,"3")</f>
        <v>0</v>
      </c>
      <c r="I503" s="507">
        <f>SUMIFS(Controle!$R:$R,Controle!$H:$H,produtos_escape2!$A503,Controle!$Z:$Z,"4")</f>
        <v>0</v>
      </c>
      <c r="J503" s="507">
        <f>SUMIFS(Controle!$R:$R,Controle!$H:$H,produtos_escape2!$A503,Controle!$Z:$Z,"5")</f>
        <v>0</v>
      </c>
      <c r="K503" s="507">
        <f>SUMIFS(Controle!$R:$R,Controle!$H:$H,produtos_escape2!$A503,Controle!$Z:$Z,"6")</f>
        <v>0</v>
      </c>
      <c r="L503" s="507">
        <f t="shared" si="15"/>
        <v>0</v>
      </c>
      <c r="M503" s="381" t="s">
        <v>4804</v>
      </c>
      <c r="AF503" s="84"/>
    </row>
    <row r="504" spans="1:32" s="185" customFormat="1" ht="14.25" customHeight="1" thickBot="1">
      <c r="A504" s="333">
        <v>14758</v>
      </c>
      <c r="B504" s="194" t="s">
        <v>2557</v>
      </c>
      <c r="C504" s="339">
        <f t="shared" si="16"/>
        <v>50000</v>
      </c>
      <c r="D504" s="191" t="s">
        <v>624</v>
      </c>
      <c r="E504" s="189" t="s">
        <v>7207</v>
      </c>
      <c r="F504" s="507">
        <f>SUMIFS(Controle!$R:$R,Controle!$H:$H,produtos_escape2!$A504,Controle!$Z:$Z,"1")</f>
        <v>0</v>
      </c>
      <c r="G504" s="507">
        <f>SUMIFS(Controle!$R:$R,Controle!$H:$H,produtos_escape2!$A504,Controle!$Z:$Z,"2")</f>
        <v>0</v>
      </c>
      <c r="H504" s="507">
        <f>SUMIFS(Controle!$R:$R,Controle!$H:$H,produtos_escape2!$A504,Controle!$Z:$Z,"3")</f>
        <v>0</v>
      </c>
      <c r="I504" s="507">
        <f>SUMIFS(Controle!$R:$R,Controle!$H:$H,produtos_escape2!$A504,Controle!$Z:$Z,"4")</f>
        <v>0</v>
      </c>
      <c r="J504" s="507">
        <f>SUMIFS(Controle!$R:$R,Controle!$H:$H,produtos_escape2!$A504,Controle!$Z:$Z,"5")</f>
        <v>0</v>
      </c>
      <c r="K504" s="507">
        <f>SUMIFS(Controle!$R:$R,Controle!$H:$H,produtos_escape2!$A504,Controle!$Z:$Z,"6")</f>
        <v>0</v>
      </c>
      <c r="L504" s="507">
        <f t="shared" si="15"/>
        <v>0</v>
      </c>
      <c r="M504" s="381" t="s">
        <v>5722</v>
      </c>
      <c r="AF504" s="84"/>
    </row>
    <row r="505" spans="1:32" s="185" customFormat="1" ht="14.25" customHeight="1" thickBot="1">
      <c r="A505" s="353">
        <v>14844</v>
      </c>
      <c r="B505" s="338" t="s">
        <v>349</v>
      </c>
      <c r="C505" s="339">
        <f t="shared" si="16"/>
        <v>50000</v>
      </c>
      <c r="D505" s="196"/>
      <c r="E505" s="187"/>
      <c r="F505" s="507">
        <f>SUMIFS(Controle!$R:$R,Controle!$H:$H,produtos_escape2!$A505,Controle!$Z:$Z,"1")</f>
        <v>0</v>
      </c>
      <c r="G505" s="507">
        <f>SUMIFS(Controle!$R:$R,Controle!$H:$H,produtos_escape2!$A505,Controle!$Z:$Z,"2")</f>
        <v>0</v>
      </c>
      <c r="H505" s="507">
        <f>SUMIFS(Controle!$R:$R,Controle!$H:$H,produtos_escape2!$A505,Controle!$Z:$Z,"3")</f>
        <v>0</v>
      </c>
      <c r="I505" s="507">
        <f>SUMIFS(Controle!$R:$R,Controle!$H:$H,produtos_escape2!$A505,Controle!$Z:$Z,"4")</f>
        <v>0</v>
      </c>
      <c r="J505" s="507">
        <f>SUMIFS(Controle!$R:$R,Controle!$H:$H,produtos_escape2!$A505,Controle!$Z:$Z,"5")</f>
        <v>0</v>
      </c>
      <c r="K505" s="507">
        <f>SUMIFS(Controle!$R:$R,Controle!$H:$H,produtos_escape2!$A505,Controle!$Z:$Z,"6")</f>
        <v>0</v>
      </c>
      <c r="L505" s="507">
        <f t="shared" si="15"/>
        <v>0</v>
      </c>
      <c r="M505" s="381" t="s">
        <v>4762</v>
      </c>
      <c r="AF505" s="84"/>
    </row>
    <row r="506" spans="1:32" s="185" customFormat="1" ht="14.25" customHeight="1" thickBot="1">
      <c r="A506" s="353">
        <v>14871</v>
      </c>
      <c r="B506" s="194" t="s">
        <v>1627</v>
      </c>
      <c r="C506" s="339">
        <f t="shared" si="16"/>
        <v>50000</v>
      </c>
      <c r="D506" s="196" t="s">
        <v>624</v>
      </c>
      <c r="E506" s="187" t="s">
        <v>7207</v>
      </c>
      <c r="F506" s="507">
        <f>SUMIFS(Controle!$R:$R,Controle!$H:$H,produtos_escape2!$A506,Controle!$Z:$Z,"1")</f>
        <v>0</v>
      </c>
      <c r="G506" s="507">
        <f>SUMIFS(Controle!$R:$R,Controle!$H:$H,produtos_escape2!$A506,Controle!$Z:$Z,"2")</f>
        <v>0</v>
      </c>
      <c r="H506" s="507">
        <f>SUMIFS(Controle!$R:$R,Controle!$H:$H,produtos_escape2!$A506,Controle!$Z:$Z,"3")</f>
        <v>0</v>
      </c>
      <c r="I506" s="507">
        <f>SUMIFS(Controle!$R:$R,Controle!$H:$H,produtos_escape2!$A506,Controle!$Z:$Z,"4")</f>
        <v>0</v>
      </c>
      <c r="J506" s="507">
        <f>SUMIFS(Controle!$R:$R,Controle!$H:$H,produtos_escape2!$A506,Controle!$Z:$Z,"5")</f>
        <v>0</v>
      </c>
      <c r="K506" s="507">
        <f>SUMIFS(Controle!$R:$R,Controle!$H:$H,produtos_escape2!$A506,Controle!$Z:$Z,"6")</f>
        <v>0</v>
      </c>
      <c r="L506" s="507">
        <f t="shared" si="15"/>
        <v>0</v>
      </c>
      <c r="M506" s="381" t="s">
        <v>4592</v>
      </c>
      <c r="AF506" s="84"/>
    </row>
    <row r="507" spans="1:32" s="185" customFormat="1" ht="14.25" customHeight="1" thickBot="1">
      <c r="A507" s="353">
        <v>14872</v>
      </c>
      <c r="B507" s="194" t="s">
        <v>453</v>
      </c>
      <c r="C507" s="339">
        <f t="shared" si="16"/>
        <v>50000</v>
      </c>
      <c r="D507" s="196" t="s">
        <v>624</v>
      </c>
      <c r="E507" s="187" t="s">
        <v>3608</v>
      </c>
      <c r="F507" s="507">
        <f>SUMIFS(Controle!$R:$R,Controle!$H:$H,produtos_escape2!$A507,Controle!$Z:$Z,"1")</f>
        <v>0</v>
      </c>
      <c r="G507" s="507">
        <f>SUMIFS(Controle!$R:$R,Controle!$H:$H,produtos_escape2!$A507,Controle!$Z:$Z,"2")</f>
        <v>0</v>
      </c>
      <c r="H507" s="507">
        <f>SUMIFS(Controle!$R:$R,Controle!$H:$H,produtos_escape2!$A507,Controle!$Z:$Z,"3")</f>
        <v>0</v>
      </c>
      <c r="I507" s="507">
        <f>SUMIFS(Controle!$R:$R,Controle!$H:$H,produtos_escape2!$A507,Controle!$Z:$Z,"4")</f>
        <v>0</v>
      </c>
      <c r="J507" s="507">
        <f>SUMIFS(Controle!$R:$R,Controle!$H:$H,produtos_escape2!$A507,Controle!$Z:$Z,"5")</f>
        <v>0</v>
      </c>
      <c r="K507" s="507">
        <f>SUMIFS(Controle!$R:$R,Controle!$H:$H,produtos_escape2!$A507,Controle!$Z:$Z,"6")</f>
        <v>0</v>
      </c>
      <c r="L507" s="507">
        <f t="shared" si="15"/>
        <v>0</v>
      </c>
      <c r="M507" s="381" t="s">
        <v>4805</v>
      </c>
      <c r="AF507" s="84"/>
    </row>
    <row r="508" spans="1:32" s="185" customFormat="1" ht="14.25" customHeight="1" thickBot="1">
      <c r="A508" s="353">
        <v>14885</v>
      </c>
      <c r="B508" s="194" t="s">
        <v>456</v>
      </c>
      <c r="C508" s="339">
        <f t="shared" si="16"/>
        <v>50000</v>
      </c>
      <c r="D508" s="196"/>
      <c r="E508" s="187"/>
      <c r="F508" s="507">
        <f>SUMIFS(Controle!$R:$R,Controle!$H:$H,produtos_escape2!$A508,Controle!$Z:$Z,"1")</f>
        <v>0</v>
      </c>
      <c r="G508" s="507">
        <f>SUMIFS(Controle!$R:$R,Controle!$H:$H,produtos_escape2!$A508,Controle!$Z:$Z,"2")</f>
        <v>0</v>
      </c>
      <c r="H508" s="507">
        <f>SUMIFS(Controle!$R:$R,Controle!$H:$H,produtos_escape2!$A508,Controle!$Z:$Z,"3")</f>
        <v>0</v>
      </c>
      <c r="I508" s="507">
        <f>SUMIFS(Controle!$R:$R,Controle!$H:$H,produtos_escape2!$A508,Controle!$Z:$Z,"4")</f>
        <v>0</v>
      </c>
      <c r="J508" s="507">
        <f>SUMIFS(Controle!$R:$R,Controle!$H:$H,produtos_escape2!$A508,Controle!$Z:$Z,"5")</f>
        <v>0</v>
      </c>
      <c r="K508" s="507">
        <f>SUMIFS(Controle!$R:$R,Controle!$H:$H,produtos_escape2!$A508,Controle!$Z:$Z,"6")</f>
        <v>0</v>
      </c>
      <c r="L508" s="507">
        <f t="shared" si="15"/>
        <v>0</v>
      </c>
      <c r="M508" s="381" t="s">
        <v>4806</v>
      </c>
      <c r="AF508" s="84"/>
    </row>
    <row r="509" spans="1:32" s="185" customFormat="1" ht="14.25" customHeight="1" thickBot="1">
      <c r="A509" s="353">
        <v>14995</v>
      </c>
      <c r="B509" s="194" t="s">
        <v>4453</v>
      </c>
      <c r="C509" s="339">
        <f t="shared" si="16"/>
        <v>50000</v>
      </c>
      <c r="D509" s="196" t="s">
        <v>848</v>
      </c>
      <c r="E509" s="187" t="s">
        <v>7207</v>
      </c>
      <c r="F509" s="507">
        <f>SUMIFS(Controle!$R:$R,Controle!$H:$H,produtos_escape2!$A509,Controle!$Z:$Z,"1")</f>
        <v>0</v>
      </c>
      <c r="G509" s="507">
        <f>SUMIFS(Controle!$R:$R,Controle!$H:$H,produtos_escape2!$A509,Controle!$Z:$Z,"2")</f>
        <v>0</v>
      </c>
      <c r="H509" s="507">
        <f>SUMIFS(Controle!$R:$R,Controle!$H:$H,produtos_escape2!$A509,Controle!$Z:$Z,"3")</f>
        <v>0</v>
      </c>
      <c r="I509" s="507">
        <f>SUMIFS(Controle!$R:$R,Controle!$H:$H,produtos_escape2!$A509,Controle!$Z:$Z,"4")</f>
        <v>0</v>
      </c>
      <c r="J509" s="507">
        <f>SUMIFS(Controle!$R:$R,Controle!$H:$H,produtos_escape2!$A509,Controle!$Z:$Z,"5")</f>
        <v>0</v>
      </c>
      <c r="K509" s="507">
        <f>SUMIFS(Controle!$R:$R,Controle!$H:$H,produtos_escape2!$A509,Controle!$Z:$Z,"6")</f>
        <v>0</v>
      </c>
      <c r="L509" s="507">
        <f t="shared" si="15"/>
        <v>0</v>
      </c>
      <c r="M509" s="381" t="s">
        <v>4807</v>
      </c>
      <c r="AF509" s="84"/>
    </row>
    <row r="510" spans="1:32" s="185" customFormat="1" ht="14.25" customHeight="1" thickBot="1">
      <c r="A510" s="353">
        <v>15007</v>
      </c>
      <c r="B510" s="194" t="s">
        <v>2595</v>
      </c>
      <c r="C510" s="339">
        <f t="shared" si="16"/>
        <v>50000</v>
      </c>
      <c r="D510" s="196" t="s">
        <v>624</v>
      </c>
      <c r="E510" s="187" t="s">
        <v>7207</v>
      </c>
      <c r="F510" s="507">
        <f>SUMIFS(Controle!$R:$R,Controle!$H:$H,produtos_escape2!$A510,Controle!$Z:$Z,"1")</f>
        <v>0</v>
      </c>
      <c r="G510" s="507">
        <f>SUMIFS(Controle!$R:$R,Controle!$H:$H,produtos_escape2!$A510,Controle!$Z:$Z,"2")</f>
        <v>0</v>
      </c>
      <c r="H510" s="507">
        <f>SUMIFS(Controle!$R:$R,Controle!$H:$H,produtos_escape2!$A510,Controle!$Z:$Z,"3")</f>
        <v>0</v>
      </c>
      <c r="I510" s="507">
        <f>SUMIFS(Controle!$R:$R,Controle!$H:$H,produtos_escape2!$A510,Controle!$Z:$Z,"4")</f>
        <v>0</v>
      </c>
      <c r="J510" s="507">
        <f>SUMIFS(Controle!$R:$R,Controle!$H:$H,produtos_escape2!$A510,Controle!$Z:$Z,"5")</f>
        <v>0</v>
      </c>
      <c r="K510" s="507">
        <f>SUMIFS(Controle!$R:$R,Controle!$H:$H,produtos_escape2!$A510,Controle!$Z:$Z,"6")</f>
        <v>0</v>
      </c>
      <c r="L510" s="507">
        <f t="shared" si="15"/>
        <v>0</v>
      </c>
      <c r="M510" s="381" t="s">
        <v>4808</v>
      </c>
      <c r="AF510" s="84"/>
    </row>
    <row r="511" spans="1:32" s="185" customFormat="1" ht="14.25" customHeight="1" thickBot="1">
      <c r="A511" s="353">
        <v>15024</v>
      </c>
      <c r="B511" s="194" t="s">
        <v>2925</v>
      </c>
      <c r="C511" s="339">
        <f t="shared" si="16"/>
        <v>50000</v>
      </c>
      <c r="D511" s="196" t="s">
        <v>1726</v>
      </c>
      <c r="E511" s="187" t="s">
        <v>7207</v>
      </c>
      <c r="F511" s="507">
        <f>SUMIFS(Controle!$R:$R,Controle!$H:$H,produtos_escape2!$A511,Controle!$Z:$Z,"1")</f>
        <v>0</v>
      </c>
      <c r="G511" s="507">
        <f>SUMIFS(Controle!$R:$R,Controle!$H:$H,produtos_escape2!$A511,Controle!$Z:$Z,"2")</f>
        <v>0</v>
      </c>
      <c r="H511" s="507">
        <f>SUMIFS(Controle!$R:$R,Controle!$H:$H,produtos_escape2!$A511,Controle!$Z:$Z,"3")</f>
        <v>0</v>
      </c>
      <c r="I511" s="507">
        <f>SUMIFS(Controle!$R:$R,Controle!$H:$H,produtos_escape2!$A511,Controle!$Z:$Z,"4")</f>
        <v>0</v>
      </c>
      <c r="J511" s="507">
        <f>SUMIFS(Controle!$R:$R,Controle!$H:$H,produtos_escape2!$A511,Controle!$Z:$Z,"5")</f>
        <v>0</v>
      </c>
      <c r="K511" s="507">
        <f>SUMIFS(Controle!$R:$R,Controle!$H:$H,produtos_escape2!$A511,Controle!$Z:$Z,"6")</f>
        <v>0</v>
      </c>
      <c r="L511" s="507">
        <f t="shared" ref="L511:L574" si="17">SUM(F511:K511)</f>
        <v>0</v>
      </c>
      <c r="M511" s="381" t="s">
        <v>4809</v>
      </c>
      <c r="AF511" s="84"/>
    </row>
    <row r="512" spans="1:32" s="185" customFormat="1" ht="14.25" customHeight="1" thickBot="1">
      <c r="A512" s="333">
        <v>15058</v>
      </c>
      <c r="B512" s="194" t="s">
        <v>1757</v>
      </c>
      <c r="C512" s="339">
        <f t="shared" si="16"/>
        <v>50000</v>
      </c>
      <c r="D512" s="191" t="s">
        <v>624</v>
      </c>
      <c r="E512" s="189" t="s">
        <v>7207</v>
      </c>
      <c r="F512" s="507">
        <f>SUMIFS(Controle!$R:$R,Controle!$H:$H,produtos_escape2!$A512,Controle!$Z:$Z,"1")</f>
        <v>0</v>
      </c>
      <c r="G512" s="507">
        <f>SUMIFS(Controle!$R:$R,Controle!$H:$H,produtos_escape2!$A512,Controle!$Z:$Z,"2")</f>
        <v>0</v>
      </c>
      <c r="H512" s="507">
        <f>SUMIFS(Controle!$R:$R,Controle!$H:$H,produtos_escape2!$A512,Controle!$Z:$Z,"3")</f>
        <v>0</v>
      </c>
      <c r="I512" s="507">
        <f>SUMIFS(Controle!$R:$R,Controle!$H:$H,produtos_escape2!$A512,Controle!$Z:$Z,"4")</f>
        <v>0</v>
      </c>
      <c r="J512" s="507">
        <f>SUMIFS(Controle!$R:$R,Controle!$H:$H,produtos_escape2!$A512,Controle!$Z:$Z,"5")</f>
        <v>0</v>
      </c>
      <c r="K512" s="507">
        <f>SUMIFS(Controle!$R:$R,Controle!$H:$H,produtos_escape2!$A512,Controle!$Z:$Z,"6")</f>
        <v>0</v>
      </c>
      <c r="L512" s="507">
        <f t="shared" si="17"/>
        <v>0</v>
      </c>
      <c r="M512" s="381" t="s">
        <v>4810</v>
      </c>
      <c r="AF512" s="84"/>
    </row>
    <row r="513" spans="1:32" s="185" customFormat="1" ht="14.25" customHeight="1" thickBot="1">
      <c r="A513" s="353">
        <v>15076</v>
      </c>
      <c r="B513" s="338" t="s">
        <v>3360</v>
      </c>
      <c r="C513" s="339">
        <f t="shared" si="16"/>
        <v>50000</v>
      </c>
      <c r="D513" s="196" t="s">
        <v>624</v>
      </c>
      <c r="E513" s="189" t="s">
        <v>7207</v>
      </c>
      <c r="F513" s="507">
        <f>SUMIFS(Controle!$R:$R,Controle!$H:$H,produtos_escape2!$A513,Controle!$Z:$Z,"1")</f>
        <v>0</v>
      </c>
      <c r="G513" s="507">
        <f>SUMIFS(Controle!$R:$R,Controle!$H:$H,produtos_escape2!$A513,Controle!$Z:$Z,"2")</f>
        <v>0</v>
      </c>
      <c r="H513" s="507">
        <f>SUMIFS(Controle!$R:$R,Controle!$H:$H,produtos_escape2!$A513,Controle!$Z:$Z,"3")</f>
        <v>0</v>
      </c>
      <c r="I513" s="507">
        <f>SUMIFS(Controle!$R:$R,Controle!$H:$H,produtos_escape2!$A513,Controle!$Z:$Z,"4")</f>
        <v>0</v>
      </c>
      <c r="J513" s="507">
        <f>SUMIFS(Controle!$R:$R,Controle!$H:$H,produtos_escape2!$A513,Controle!$Z:$Z,"5")</f>
        <v>0</v>
      </c>
      <c r="K513" s="507">
        <f>SUMIFS(Controle!$R:$R,Controle!$H:$H,produtos_escape2!$A513,Controle!$Z:$Z,"6")</f>
        <v>0</v>
      </c>
      <c r="L513" s="507">
        <f t="shared" si="17"/>
        <v>0</v>
      </c>
      <c r="M513" s="381" t="s">
        <v>4811</v>
      </c>
      <c r="AF513" s="84"/>
    </row>
    <row r="514" spans="1:32" s="185" customFormat="1" ht="14.25" customHeight="1" thickBot="1">
      <c r="A514" s="353">
        <v>15141</v>
      </c>
      <c r="B514" s="194" t="s">
        <v>387</v>
      </c>
      <c r="C514" s="339">
        <f t="shared" si="16"/>
        <v>48832</v>
      </c>
      <c r="D514" s="196" t="s">
        <v>624</v>
      </c>
      <c r="E514" s="187" t="s">
        <v>7207</v>
      </c>
      <c r="F514" s="507">
        <f>SUMIFS(Controle!$R:$R,Controle!$H:$H,produtos_escape2!$A514,Controle!$Z:$Z,"1")</f>
        <v>0</v>
      </c>
      <c r="G514" s="507">
        <f>SUMIFS(Controle!$R:$R,Controle!$H:$H,produtos_escape2!$A514,Controle!$Z:$Z,"2")</f>
        <v>0</v>
      </c>
      <c r="H514" s="507">
        <f>SUMIFS(Controle!$R:$R,Controle!$H:$H,produtos_escape2!$A514,Controle!$Z:$Z,"3")</f>
        <v>0</v>
      </c>
      <c r="I514" s="507">
        <f>SUMIFS(Controle!$R:$R,Controle!$H:$H,produtos_escape2!$A514,Controle!$Z:$Z,"4")</f>
        <v>0</v>
      </c>
      <c r="J514" s="507">
        <f>SUMIFS(Controle!$R:$R,Controle!$H:$H,produtos_escape2!$A514,Controle!$Z:$Z,"5")</f>
        <v>0</v>
      </c>
      <c r="K514" s="507">
        <f>SUMIFS(Controle!$R:$R,Controle!$H:$H,produtos_escape2!$A514,Controle!$Z:$Z,"6")</f>
        <v>1168</v>
      </c>
      <c r="L514" s="507">
        <f t="shared" si="17"/>
        <v>1168</v>
      </c>
      <c r="M514" s="381" t="s">
        <v>4812</v>
      </c>
      <c r="AF514" s="84"/>
    </row>
    <row r="515" spans="1:32" s="185" customFormat="1" ht="14.25" customHeight="1" thickBot="1">
      <c r="A515" s="353">
        <v>15144</v>
      </c>
      <c r="B515" s="194" t="s">
        <v>9239</v>
      </c>
      <c r="C515" s="339">
        <f t="shared" ref="C515:C578" si="18">50000-SUM(F515:K515)</f>
        <v>50000</v>
      </c>
      <c r="D515" s="196" t="s">
        <v>624</v>
      </c>
      <c r="E515" s="189" t="s">
        <v>7207</v>
      </c>
      <c r="F515" s="507">
        <f>SUMIFS(Controle!$R:$R,Controle!$H:$H,produtos_escape2!$A515,Controle!$Z:$Z,"1")</f>
        <v>0</v>
      </c>
      <c r="G515" s="507">
        <f>SUMIFS(Controle!$R:$R,Controle!$H:$H,produtos_escape2!$A515,Controle!$Z:$Z,"2")</f>
        <v>0</v>
      </c>
      <c r="H515" s="507">
        <f>SUMIFS(Controle!$R:$R,Controle!$H:$H,produtos_escape2!$A515,Controle!$Z:$Z,"3")</f>
        <v>0</v>
      </c>
      <c r="I515" s="507">
        <f>SUMIFS(Controle!$R:$R,Controle!$H:$H,produtos_escape2!$A515,Controle!$Z:$Z,"4")</f>
        <v>0</v>
      </c>
      <c r="J515" s="507">
        <f>SUMIFS(Controle!$R:$R,Controle!$H:$H,produtos_escape2!$A515,Controle!$Z:$Z,"5")</f>
        <v>0</v>
      </c>
      <c r="K515" s="507">
        <f>SUMIFS(Controle!$R:$R,Controle!$H:$H,produtos_escape2!$A515,Controle!$Z:$Z,"6")</f>
        <v>0</v>
      </c>
      <c r="L515" s="507">
        <f t="shared" si="17"/>
        <v>0</v>
      </c>
      <c r="M515" s="65" t="s">
        <v>9239</v>
      </c>
      <c r="AF515" s="84"/>
    </row>
    <row r="516" spans="1:32" s="185" customFormat="1" ht="14.25" customHeight="1" thickBot="1">
      <c r="A516" s="353">
        <v>15151</v>
      </c>
      <c r="B516" s="194" t="s">
        <v>4302</v>
      </c>
      <c r="C516" s="339">
        <f t="shared" si="18"/>
        <v>50000</v>
      </c>
      <c r="D516" s="196" t="s">
        <v>624</v>
      </c>
      <c r="E516" s="187" t="s">
        <v>7207</v>
      </c>
      <c r="F516" s="507">
        <f>SUMIFS(Controle!$R:$R,Controle!$H:$H,produtos_escape2!$A516,Controle!$Z:$Z,"1")</f>
        <v>0</v>
      </c>
      <c r="G516" s="507">
        <f>SUMIFS(Controle!$R:$R,Controle!$H:$H,produtos_escape2!$A516,Controle!$Z:$Z,"2")</f>
        <v>0</v>
      </c>
      <c r="H516" s="507">
        <f>SUMIFS(Controle!$R:$R,Controle!$H:$H,produtos_escape2!$A516,Controle!$Z:$Z,"3")</f>
        <v>0</v>
      </c>
      <c r="I516" s="507">
        <f>SUMIFS(Controle!$R:$R,Controle!$H:$H,produtos_escape2!$A516,Controle!$Z:$Z,"4")</f>
        <v>0</v>
      </c>
      <c r="J516" s="507">
        <f>SUMIFS(Controle!$R:$R,Controle!$H:$H,produtos_escape2!$A516,Controle!$Z:$Z,"5")</f>
        <v>0</v>
      </c>
      <c r="K516" s="507">
        <f>SUMIFS(Controle!$R:$R,Controle!$H:$H,produtos_escape2!$A516,Controle!$Z:$Z,"6")</f>
        <v>0</v>
      </c>
      <c r="L516" s="507">
        <f t="shared" si="17"/>
        <v>0</v>
      </c>
      <c r="M516" s="381" t="s">
        <v>4813</v>
      </c>
      <c r="AF516" s="84"/>
    </row>
    <row r="517" spans="1:32" s="185" customFormat="1" ht="14.25" customHeight="1" thickBot="1">
      <c r="A517" s="353">
        <v>15154</v>
      </c>
      <c r="B517" s="194" t="s">
        <v>9272</v>
      </c>
      <c r="C517" s="339">
        <f t="shared" si="18"/>
        <v>50000</v>
      </c>
      <c r="D517" s="191" t="s">
        <v>624</v>
      </c>
      <c r="E517" s="189" t="s">
        <v>7207</v>
      </c>
      <c r="F517" s="507">
        <f>SUMIFS(Controle!$R:$R,Controle!$H:$H,produtos_escape2!$A517,Controle!$Z:$Z,"1")</f>
        <v>0</v>
      </c>
      <c r="G517" s="507">
        <f>SUMIFS(Controle!$R:$R,Controle!$H:$H,produtos_escape2!$A517,Controle!$Z:$Z,"2")</f>
        <v>0</v>
      </c>
      <c r="H517" s="507">
        <f>SUMIFS(Controle!$R:$R,Controle!$H:$H,produtos_escape2!$A517,Controle!$Z:$Z,"3")</f>
        <v>0</v>
      </c>
      <c r="I517" s="507">
        <f>SUMIFS(Controle!$R:$R,Controle!$H:$H,produtos_escape2!$A517,Controle!$Z:$Z,"4")</f>
        <v>0</v>
      </c>
      <c r="J517" s="507">
        <f>SUMIFS(Controle!$R:$R,Controle!$H:$H,produtos_escape2!$A517,Controle!$Z:$Z,"5")</f>
        <v>0</v>
      </c>
      <c r="K517" s="507">
        <f>SUMIFS(Controle!$R:$R,Controle!$H:$H,produtos_escape2!$A517,Controle!$Z:$Z,"6")</f>
        <v>0</v>
      </c>
      <c r="L517" s="507">
        <f t="shared" si="17"/>
        <v>0</v>
      </c>
      <c r="M517" s="381"/>
      <c r="AF517" s="84"/>
    </row>
    <row r="518" spans="1:32" s="185" customFormat="1" ht="14.25" customHeight="1" thickBot="1">
      <c r="A518" s="353">
        <v>15185</v>
      </c>
      <c r="B518" s="194" t="s">
        <v>2596</v>
      </c>
      <c r="C518" s="339">
        <f t="shared" si="18"/>
        <v>50000</v>
      </c>
      <c r="D518" s="196" t="s">
        <v>624</v>
      </c>
      <c r="E518" s="187" t="s">
        <v>7207</v>
      </c>
      <c r="F518" s="507">
        <f>SUMIFS(Controle!$R:$R,Controle!$H:$H,produtos_escape2!$A518,Controle!$Z:$Z,"1")</f>
        <v>0</v>
      </c>
      <c r="G518" s="507">
        <f>SUMIFS(Controle!$R:$R,Controle!$H:$H,produtos_escape2!$A518,Controle!$Z:$Z,"2")</f>
        <v>0</v>
      </c>
      <c r="H518" s="507">
        <f>SUMIFS(Controle!$R:$R,Controle!$H:$H,produtos_escape2!$A518,Controle!$Z:$Z,"3")</f>
        <v>0</v>
      </c>
      <c r="I518" s="507">
        <f>SUMIFS(Controle!$R:$R,Controle!$H:$H,produtos_escape2!$A518,Controle!$Z:$Z,"4")</f>
        <v>0</v>
      </c>
      <c r="J518" s="507">
        <f>SUMIFS(Controle!$R:$R,Controle!$H:$H,produtos_escape2!$A518,Controle!$Z:$Z,"5")</f>
        <v>0</v>
      </c>
      <c r="K518" s="507">
        <f>SUMIFS(Controle!$R:$R,Controle!$H:$H,produtos_escape2!$A518,Controle!$Z:$Z,"6")</f>
        <v>0</v>
      </c>
      <c r="L518" s="507">
        <f t="shared" si="17"/>
        <v>0</v>
      </c>
      <c r="M518" s="381" t="s">
        <v>2596</v>
      </c>
      <c r="AF518" s="84"/>
    </row>
    <row r="519" spans="1:32" s="185" customFormat="1" ht="14.25" customHeight="1" thickBot="1">
      <c r="A519" s="353">
        <v>15200</v>
      </c>
      <c r="B519" s="194" t="s">
        <v>9085</v>
      </c>
      <c r="C519" s="339">
        <f t="shared" si="18"/>
        <v>46080</v>
      </c>
      <c r="D519" s="196" t="s">
        <v>624</v>
      </c>
      <c r="E519" s="187" t="s">
        <v>7207</v>
      </c>
      <c r="F519" s="507">
        <f>SUMIFS(Controle!$R:$R,Controle!$H:$H,produtos_escape2!$A519,Controle!$Z:$Z,"1")</f>
        <v>0</v>
      </c>
      <c r="G519" s="507">
        <f>SUMIFS(Controle!$R:$R,Controle!$H:$H,produtos_escape2!$A519,Controle!$Z:$Z,"2")</f>
        <v>0</v>
      </c>
      <c r="H519" s="507">
        <f>SUMIFS(Controle!$R:$R,Controle!$H:$H,produtos_escape2!$A519,Controle!$Z:$Z,"3")</f>
        <v>0</v>
      </c>
      <c r="I519" s="507">
        <f>SUMIFS(Controle!$R:$R,Controle!$H:$H,produtos_escape2!$A519,Controle!$Z:$Z,"4")</f>
        <v>3920</v>
      </c>
      <c r="J519" s="507">
        <f>SUMIFS(Controle!$R:$R,Controle!$H:$H,produtos_escape2!$A519,Controle!$Z:$Z,"5")</f>
        <v>0</v>
      </c>
      <c r="K519" s="507">
        <f>SUMIFS(Controle!$R:$R,Controle!$H:$H,produtos_escape2!$A519,Controle!$Z:$Z,"6")</f>
        <v>0</v>
      </c>
      <c r="L519" s="507">
        <f t="shared" si="17"/>
        <v>3920</v>
      </c>
      <c r="M519" s="381" t="s">
        <v>9084</v>
      </c>
      <c r="AF519" s="84"/>
    </row>
    <row r="520" spans="1:32" s="185" customFormat="1" ht="14.25" customHeight="1" thickBot="1">
      <c r="A520" s="353">
        <v>15204</v>
      </c>
      <c r="B520" s="194" t="s">
        <v>9246</v>
      </c>
      <c r="C520" s="339">
        <f t="shared" si="18"/>
        <v>50000</v>
      </c>
      <c r="D520" s="196" t="s">
        <v>624</v>
      </c>
      <c r="E520" s="187" t="s">
        <v>7207</v>
      </c>
      <c r="F520" s="507">
        <f>SUMIFS(Controle!$R:$R,Controle!$H:$H,produtos_escape2!$A520,Controle!$Z:$Z,"1")</f>
        <v>0</v>
      </c>
      <c r="G520" s="507">
        <f>SUMIFS(Controle!$R:$R,Controle!$H:$H,produtos_escape2!$A520,Controle!$Z:$Z,"2")</f>
        <v>0</v>
      </c>
      <c r="H520" s="507">
        <f>SUMIFS(Controle!$R:$R,Controle!$H:$H,produtos_escape2!$A520,Controle!$Z:$Z,"3")</f>
        <v>0</v>
      </c>
      <c r="I520" s="507">
        <f>SUMIFS(Controle!$R:$R,Controle!$H:$H,produtos_escape2!$A520,Controle!$Z:$Z,"4")</f>
        <v>0</v>
      </c>
      <c r="J520" s="507">
        <f>SUMIFS(Controle!$R:$R,Controle!$H:$H,produtos_escape2!$A520,Controle!$Z:$Z,"5")</f>
        <v>0</v>
      </c>
      <c r="K520" s="507">
        <f>SUMIFS(Controle!$R:$R,Controle!$H:$H,produtos_escape2!$A520,Controle!$Z:$Z,"6")</f>
        <v>0</v>
      </c>
      <c r="L520" s="507">
        <f t="shared" si="17"/>
        <v>0</v>
      </c>
      <c r="M520" s="84"/>
      <c r="AF520" s="84"/>
    </row>
    <row r="521" spans="1:32" s="185" customFormat="1" ht="14.25" customHeight="1" thickBot="1">
      <c r="A521" s="353">
        <v>15205</v>
      </c>
      <c r="B521" s="194" t="s">
        <v>9247</v>
      </c>
      <c r="C521" s="339">
        <f t="shared" si="18"/>
        <v>49135.89</v>
      </c>
      <c r="D521" s="196" t="s">
        <v>624</v>
      </c>
      <c r="E521" s="187" t="s">
        <v>7207</v>
      </c>
      <c r="F521" s="507">
        <f>SUMIFS(Controle!$R:$R,Controle!$H:$H,produtos_escape2!$A521,Controle!$Z:$Z,"1")</f>
        <v>0</v>
      </c>
      <c r="G521" s="507">
        <f>SUMIFS(Controle!$R:$R,Controle!$H:$H,produtos_escape2!$A521,Controle!$Z:$Z,"2")</f>
        <v>0</v>
      </c>
      <c r="H521" s="507">
        <f>SUMIFS(Controle!$R:$R,Controle!$H:$H,produtos_escape2!$A521,Controle!$Z:$Z,"3")</f>
        <v>0</v>
      </c>
      <c r="I521" s="507">
        <f>SUMIFS(Controle!$R:$R,Controle!$H:$H,produtos_escape2!$A521,Controle!$Z:$Z,"4")</f>
        <v>0</v>
      </c>
      <c r="J521" s="507">
        <f>SUMIFS(Controle!$R:$R,Controle!$H:$H,produtos_escape2!$A521,Controle!$Z:$Z,"5")</f>
        <v>0</v>
      </c>
      <c r="K521" s="507">
        <f>SUMIFS(Controle!$R:$R,Controle!$H:$H,produtos_escape2!$A521,Controle!$Z:$Z,"6")</f>
        <v>864.11</v>
      </c>
      <c r="L521" s="507">
        <f t="shared" si="17"/>
        <v>864.11</v>
      </c>
      <c r="M521" s="84"/>
      <c r="AF521" s="84"/>
    </row>
    <row r="522" spans="1:32" s="185" customFormat="1" ht="14.25" customHeight="1" thickBot="1">
      <c r="A522" s="353">
        <v>15208</v>
      </c>
      <c r="B522" s="194" t="s">
        <v>2597</v>
      </c>
      <c r="C522" s="339">
        <f t="shared" si="18"/>
        <v>50000</v>
      </c>
      <c r="D522" s="196" t="s">
        <v>624</v>
      </c>
      <c r="E522" s="187" t="s">
        <v>7207</v>
      </c>
      <c r="F522" s="507">
        <f>SUMIFS(Controle!$R:$R,Controle!$H:$H,produtos_escape2!$A522,Controle!$Z:$Z,"1")</f>
        <v>0</v>
      </c>
      <c r="G522" s="507">
        <f>SUMIFS(Controle!$R:$R,Controle!$H:$H,produtos_escape2!$A522,Controle!$Z:$Z,"2")</f>
        <v>0</v>
      </c>
      <c r="H522" s="507">
        <f>SUMIFS(Controle!$R:$R,Controle!$H:$H,produtos_escape2!$A522,Controle!$Z:$Z,"3")</f>
        <v>0</v>
      </c>
      <c r="I522" s="507">
        <f>SUMIFS(Controle!$R:$R,Controle!$H:$H,produtos_escape2!$A522,Controle!$Z:$Z,"4")</f>
        <v>0</v>
      </c>
      <c r="J522" s="507">
        <f>SUMIFS(Controle!$R:$R,Controle!$H:$H,produtos_escape2!$A522,Controle!$Z:$Z,"5")</f>
        <v>0</v>
      </c>
      <c r="K522" s="507">
        <f>SUMIFS(Controle!$R:$R,Controle!$H:$H,produtos_escape2!$A522,Controle!$Z:$Z,"6")</f>
        <v>0</v>
      </c>
      <c r="L522" s="507">
        <f t="shared" si="17"/>
        <v>0</v>
      </c>
      <c r="M522" s="381" t="s">
        <v>2597</v>
      </c>
      <c r="AF522" s="84"/>
    </row>
    <row r="523" spans="1:32" s="185" customFormat="1" ht="14.25" customHeight="1" thickBot="1">
      <c r="A523" s="353">
        <v>15209</v>
      </c>
      <c r="B523" s="194" t="s">
        <v>2598</v>
      </c>
      <c r="C523" s="339">
        <f t="shared" si="18"/>
        <v>50000</v>
      </c>
      <c r="D523" s="196" t="s">
        <v>624</v>
      </c>
      <c r="E523" s="187" t="s">
        <v>7207</v>
      </c>
      <c r="F523" s="507">
        <f>SUMIFS(Controle!$R:$R,Controle!$H:$H,produtos_escape2!$A523,Controle!$Z:$Z,"1")</f>
        <v>0</v>
      </c>
      <c r="G523" s="507">
        <f>SUMIFS(Controle!$R:$R,Controle!$H:$H,produtos_escape2!$A523,Controle!$Z:$Z,"2")</f>
        <v>0</v>
      </c>
      <c r="H523" s="507">
        <f>SUMIFS(Controle!$R:$R,Controle!$H:$H,produtos_escape2!$A523,Controle!$Z:$Z,"3")</f>
        <v>0</v>
      </c>
      <c r="I523" s="507">
        <f>SUMIFS(Controle!$R:$R,Controle!$H:$H,produtos_escape2!$A523,Controle!$Z:$Z,"4")</f>
        <v>0</v>
      </c>
      <c r="J523" s="507">
        <f>SUMIFS(Controle!$R:$R,Controle!$H:$H,produtos_escape2!$A523,Controle!$Z:$Z,"5")</f>
        <v>0</v>
      </c>
      <c r="K523" s="507">
        <f>SUMIFS(Controle!$R:$R,Controle!$H:$H,produtos_escape2!$A523,Controle!$Z:$Z,"6")</f>
        <v>0</v>
      </c>
      <c r="L523" s="507">
        <f t="shared" si="17"/>
        <v>0</v>
      </c>
      <c r="M523" s="381" t="s">
        <v>2598</v>
      </c>
      <c r="AF523" s="84"/>
    </row>
    <row r="524" spans="1:32" s="185" customFormat="1" ht="14.25" customHeight="1" thickBot="1">
      <c r="A524" s="353">
        <v>15213</v>
      </c>
      <c r="B524" s="194" t="s">
        <v>4216</v>
      </c>
      <c r="C524" s="339">
        <f t="shared" si="18"/>
        <v>46482</v>
      </c>
      <c r="D524" s="196" t="s">
        <v>624</v>
      </c>
      <c r="E524" s="189" t="s">
        <v>7207</v>
      </c>
      <c r="F524" s="507">
        <f>SUMIFS(Controle!$R:$R,Controle!$H:$H,produtos_escape2!$A524,Controle!$Z:$Z,"1")</f>
        <v>0</v>
      </c>
      <c r="G524" s="507">
        <f>SUMIFS(Controle!$R:$R,Controle!$H:$H,produtos_escape2!$A524,Controle!$Z:$Z,"2")</f>
        <v>0</v>
      </c>
      <c r="H524" s="507">
        <f>SUMIFS(Controle!$R:$R,Controle!$H:$H,produtos_escape2!$A524,Controle!$Z:$Z,"3")</f>
        <v>0</v>
      </c>
      <c r="I524" s="507">
        <f>SUMIFS(Controle!$R:$R,Controle!$H:$H,produtos_escape2!$A524,Controle!$Z:$Z,"4")</f>
        <v>0</v>
      </c>
      <c r="J524" s="507">
        <f>SUMIFS(Controle!$R:$R,Controle!$H:$H,produtos_escape2!$A524,Controle!$Z:$Z,"5")</f>
        <v>0</v>
      </c>
      <c r="K524" s="507">
        <f>SUMIFS(Controle!$R:$R,Controle!$H:$H,produtos_escape2!$A524,Controle!$Z:$Z,"6")</f>
        <v>3518</v>
      </c>
      <c r="L524" s="507">
        <f t="shared" si="17"/>
        <v>3518</v>
      </c>
      <c r="M524" s="381" t="s">
        <v>4814</v>
      </c>
      <c r="AF524" s="84"/>
    </row>
    <row r="525" spans="1:32" s="185" customFormat="1" ht="14.25" customHeight="1" thickBot="1">
      <c r="A525" s="333">
        <v>15215</v>
      </c>
      <c r="B525" s="194" t="s">
        <v>2599</v>
      </c>
      <c r="C525" s="339">
        <f t="shared" si="18"/>
        <v>50000</v>
      </c>
      <c r="D525" s="196" t="s">
        <v>624</v>
      </c>
      <c r="E525" s="187" t="s">
        <v>7207</v>
      </c>
      <c r="F525" s="507">
        <f>SUMIFS(Controle!$R:$R,Controle!$H:$H,produtos_escape2!$A525,Controle!$Z:$Z,"1")</f>
        <v>0</v>
      </c>
      <c r="G525" s="507">
        <f>SUMIFS(Controle!$R:$R,Controle!$H:$H,produtos_escape2!$A525,Controle!$Z:$Z,"2")</f>
        <v>0</v>
      </c>
      <c r="H525" s="507">
        <f>SUMIFS(Controle!$R:$R,Controle!$H:$H,produtos_escape2!$A525,Controle!$Z:$Z,"3")</f>
        <v>0</v>
      </c>
      <c r="I525" s="507">
        <f>SUMIFS(Controle!$R:$R,Controle!$H:$H,produtos_escape2!$A525,Controle!$Z:$Z,"4")</f>
        <v>0</v>
      </c>
      <c r="J525" s="507">
        <f>SUMIFS(Controle!$R:$R,Controle!$H:$H,produtos_escape2!$A525,Controle!$Z:$Z,"5")</f>
        <v>0</v>
      </c>
      <c r="K525" s="507">
        <f>SUMIFS(Controle!$R:$R,Controle!$H:$H,produtos_escape2!$A525,Controle!$Z:$Z,"6")</f>
        <v>0</v>
      </c>
      <c r="L525" s="507">
        <f t="shared" si="17"/>
        <v>0</v>
      </c>
      <c r="M525" s="381" t="s">
        <v>2599</v>
      </c>
      <c r="AF525" s="84"/>
    </row>
    <row r="526" spans="1:32" s="185" customFormat="1" ht="14.25" customHeight="1" thickBot="1">
      <c r="A526" s="353">
        <v>15247</v>
      </c>
      <c r="B526" s="338" t="s">
        <v>2600</v>
      </c>
      <c r="C526" s="339">
        <f t="shared" si="18"/>
        <v>49021.5</v>
      </c>
      <c r="D526" s="196" t="s">
        <v>624</v>
      </c>
      <c r="E526" s="187" t="s">
        <v>7207</v>
      </c>
      <c r="F526" s="507">
        <f>SUMIFS(Controle!$R:$R,Controle!$H:$H,produtos_escape2!$A526,Controle!$Z:$Z,"1")</f>
        <v>0</v>
      </c>
      <c r="G526" s="507">
        <f>SUMIFS(Controle!$R:$R,Controle!$H:$H,produtos_escape2!$A526,Controle!$Z:$Z,"2")</f>
        <v>0</v>
      </c>
      <c r="H526" s="507">
        <f>SUMIFS(Controle!$R:$R,Controle!$H:$H,produtos_escape2!$A526,Controle!$Z:$Z,"3")</f>
        <v>0</v>
      </c>
      <c r="I526" s="507">
        <f>SUMIFS(Controle!$R:$R,Controle!$H:$H,produtos_escape2!$A526,Controle!$Z:$Z,"4")</f>
        <v>0</v>
      </c>
      <c r="J526" s="507">
        <f>SUMIFS(Controle!$R:$R,Controle!$H:$H,produtos_escape2!$A526,Controle!$Z:$Z,"5")</f>
        <v>0</v>
      </c>
      <c r="K526" s="507">
        <f>SUMIFS(Controle!$R:$R,Controle!$H:$H,produtos_escape2!$A526,Controle!$Z:$Z,"6")</f>
        <v>978.5</v>
      </c>
      <c r="L526" s="507">
        <f t="shared" si="17"/>
        <v>978.5</v>
      </c>
      <c r="M526" s="381" t="s">
        <v>2600</v>
      </c>
      <c r="AF526" s="84"/>
    </row>
    <row r="527" spans="1:32" s="185" customFormat="1" ht="14.25" customHeight="1" thickBot="1">
      <c r="A527" s="353">
        <v>15248</v>
      </c>
      <c r="B527" s="338" t="s">
        <v>9074</v>
      </c>
      <c r="C527" s="339">
        <f t="shared" si="18"/>
        <v>50000</v>
      </c>
      <c r="D527" s="196" t="s">
        <v>624</v>
      </c>
      <c r="E527" s="187" t="s">
        <v>7207</v>
      </c>
      <c r="F527" s="507">
        <f>SUMIFS(Controle!$R:$R,Controle!$H:$H,produtos_escape2!$A527,Controle!$Z:$Z,"1")</f>
        <v>0</v>
      </c>
      <c r="G527" s="507">
        <f>SUMIFS(Controle!$R:$R,Controle!$H:$H,produtos_escape2!$A527,Controle!$Z:$Z,"2")</f>
        <v>0</v>
      </c>
      <c r="H527" s="507">
        <f>SUMIFS(Controle!$R:$R,Controle!$H:$H,produtos_escape2!$A527,Controle!$Z:$Z,"3")</f>
        <v>0</v>
      </c>
      <c r="I527" s="507">
        <f>SUMIFS(Controle!$R:$R,Controle!$H:$H,produtos_escape2!$A527,Controle!$Z:$Z,"4")</f>
        <v>0</v>
      </c>
      <c r="J527" s="507">
        <f>SUMIFS(Controle!$R:$R,Controle!$H:$H,produtos_escape2!$A527,Controle!$Z:$Z,"5")</f>
        <v>0</v>
      </c>
      <c r="K527" s="507">
        <f>SUMIFS(Controle!$R:$R,Controle!$H:$H,produtos_escape2!$A527,Controle!$Z:$Z,"6")</f>
        <v>0</v>
      </c>
      <c r="L527" s="507">
        <f t="shared" si="17"/>
        <v>0</v>
      </c>
      <c r="M527" s="381" t="s">
        <v>9073</v>
      </c>
      <c r="AF527" s="84"/>
    </row>
    <row r="528" spans="1:32" s="185" customFormat="1" ht="14.25" customHeight="1" thickBot="1">
      <c r="A528" s="353">
        <v>15256</v>
      </c>
      <c r="B528" s="194" t="s">
        <v>9248</v>
      </c>
      <c r="C528" s="339">
        <f t="shared" si="18"/>
        <v>49827.199999999997</v>
      </c>
      <c r="D528" s="196" t="s">
        <v>624</v>
      </c>
      <c r="E528" s="187" t="s">
        <v>7207</v>
      </c>
      <c r="F528" s="507">
        <f>SUMIFS(Controle!$R:$R,Controle!$H:$H,produtos_escape2!$A528,Controle!$Z:$Z,"1")</f>
        <v>0</v>
      </c>
      <c r="G528" s="507">
        <f>SUMIFS(Controle!$R:$R,Controle!$H:$H,produtos_escape2!$A528,Controle!$Z:$Z,"2")</f>
        <v>0</v>
      </c>
      <c r="H528" s="507">
        <f>SUMIFS(Controle!$R:$R,Controle!$H:$H,produtos_escape2!$A528,Controle!$Z:$Z,"3")</f>
        <v>0</v>
      </c>
      <c r="I528" s="507">
        <f>SUMIFS(Controle!$R:$R,Controle!$H:$H,produtos_escape2!$A528,Controle!$Z:$Z,"4")</f>
        <v>0</v>
      </c>
      <c r="J528" s="507">
        <f>SUMIFS(Controle!$R:$R,Controle!$H:$H,produtos_escape2!$A528,Controle!$Z:$Z,"5")</f>
        <v>0</v>
      </c>
      <c r="K528" s="507">
        <f>SUMIFS(Controle!$R:$R,Controle!$H:$H,produtos_escape2!$A528,Controle!$Z:$Z,"6")</f>
        <v>172.79999999999998</v>
      </c>
      <c r="L528" s="507">
        <f t="shared" si="17"/>
        <v>172.79999999999998</v>
      </c>
      <c r="M528" s="84"/>
      <c r="AF528" s="84"/>
    </row>
    <row r="529" spans="1:32" s="185" customFormat="1" ht="14.25" customHeight="1" thickBot="1">
      <c r="A529" s="353">
        <v>15257</v>
      </c>
      <c r="B529" s="194" t="s">
        <v>1651</v>
      </c>
      <c r="C529" s="339">
        <f t="shared" si="18"/>
        <v>49048</v>
      </c>
      <c r="D529" s="196" t="s">
        <v>624</v>
      </c>
      <c r="E529" s="187" t="s">
        <v>7207</v>
      </c>
      <c r="F529" s="507">
        <f>SUMIFS(Controle!$R:$R,Controle!$H:$H,produtos_escape2!$A529,Controle!$Z:$Z,"1")</f>
        <v>0</v>
      </c>
      <c r="G529" s="507">
        <f>SUMIFS(Controle!$R:$R,Controle!$H:$H,produtos_escape2!$A529,Controle!$Z:$Z,"2")</f>
        <v>0</v>
      </c>
      <c r="H529" s="507">
        <f>SUMIFS(Controle!$R:$R,Controle!$H:$H,produtos_escape2!$A529,Controle!$Z:$Z,"3")</f>
        <v>0</v>
      </c>
      <c r="I529" s="507">
        <f>SUMIFS(Controle!$R:$R,Controle!$H:$H,produtos_escape2!$A529,Controle!$Z:$Z,"4")</f>
        <v>0</v>
      </c>
      <c r="J529" s="507">
        <f>SUMIFS(Controle!$R:$R,Controle!$H:$H,produtos_escape2!$A529,Controle!$Z:$Z,"5")</f>
        <v>0</v>
      </c>
      <c r="K529" s="507">
        <f>SUMIFS(Controle!$R:$R,Controle!$H:$H,produtos_escape2!$A529,Controle!$Z:$Z,"6")</f>
        <v>952</v>
      </c>
      <c r="L529" s="507">
        <f t="shared" si="17"/>
        <v>952</v>
      </c>
      <c r="M529" s="381" t="s">
        <v>1651</v>
      </c>
      <c r="AF529" s="84"/>
    </row>
    <row r="530" spans="1:32" s="185" customFormat="1" ht="14.25" customHeight="1" thickBot="1">
      <c r="A530" s="353">
        <v>15258</v>
      </c>
      <c r="B530" s="194" t="s">
        <v>9249</v>
      </c>
      <c r="C530" s="339">
        <f t="shared" si="18"/>
        <v>49193</v>
      </c>
      <c r="D530" s="196" t="s">
        <v>624</v>
      </c>
      <c r="E530" s="187" t="s">
        <v>7207</v>
      </c>
      <c r="F530" s="507">
        <f>SUMIFS(Controle!$R:$R,Controle!$H:$H,produtos_escape2!$A530,Controle!$Z:$Z,"1")</f>
        <v>0</v>
      </c>
      <c r="G530" s="507">
        <f>SUMIFS(Controle!$R:$R,Controle!$H:$H,produtos_escape2!$A530,Controle!$Z:$Z,"2")</f>
        <v>0</v>
      </c>
      <c r="H530" s="507">
        <f>SUMIFS(Controle!$R:$R,Controle!$H:$H,produtos_escape2!$A530,Controle!$Z:$Z,"3")</f>
        <v>0</v>
      </c>
      <c r="I530" s="507">
        <f>SUMIFS(Controle!$R:$R,Controle!$H:$H,produtos_escape2!$A530,Controle!$Z:$Z,"4")</f>
        <v>0</v>
      </c>
      <c r="J530" s="507">
        <f>SUMIFS(Controle!$R:$R,Controle!$H:$H,produtos_escape2!$A530,Controle!$Z:$Z,"5")</f>
        <v>0</v>
      </c>
      <c r="K530" s="507">
        <f>SUMIFS(Controle!$R:$R,Controle!$H:$H,produtos_escape2!$A530,Controle!$Z:$Z,"6")</f>
        <v>807</v>
      </c>
      <c r="L530" s="507">
        <f t="shared" si="17"/>
        <v>807</v>
      </c>
      <c r="M530" s="84"/>
      <c r="AF530" s="84"/>
    </row>
    <row r="531" spans="1:32" s="185" customFormat="1" ht="14.25" customHeight="1" thickBot="1">
      <c r="A531" s="353">
        <v>15259</v>
      </c>
      <c r="B531" s="194" t="s">
        <v>9250</v>
      </c>
      <c r="C531" s="339">
        <f t="shared" si="18"/>
        <v>49805</v>
      </c>
      <c r="D531" s="196" t="s">
        <v>624</v>
      </c>
      <c r="E531" s="187" t="s">
        <v>7207</v>
      </c>
      <c r="F531" s="507">
        <f>SUMIFS(Controle!$R:$R,Controle!$H:$H,produtos_escape2!$A531,Controle!$Z:$Z,"1")</f>
        <v>0</v>
      </c>
      <c r="G531" s="507">
        <f>SUMIFS(Controle!$R:$R,Controle!$H:$H,produtos_escape2!$A531,Controle!$Z:$Z,"2")</f>
        <v>0</v>
      </c>
      <c r="H531" s="507">
        <f>SUMIFS(Controle!$R:$R,Controle!$H:$H,produtos_escape2!$A531,Controle!$Z:$Z,"3")</f>
        <v>0</v>
      </c>
      <c r="I531" s="507">
        <f>SUMIFS(Controle!$R:$R,Controle!$H:$H,produtos_escape2!$A531,Controle!$Z:$Z,"4")</f>
        <v>0</v>
      </c>
      <c r="J531" s="507">
        <f>SUMIFS(Controle!$R:$R,Controle!$H:$H,produtos_escape2!$A531,Controle!$Z:$Z,"5")</f>
        <v>0</v>
      </c>
      <c r="K531" s="507">
        <f>SUMIFS(Controle!$R:$R,Controle!$H:$H,produtos_escape2!$A531,Controle!$Z:$Z,"6")</f>
        <v>195</v>
      </c>
      <c r="L531" s="507">
        <f t="shared" si="17"/>
        <v>195</v>
      </c>
      <c r="M531" s="84"/>
      <c r="AF531" s="84"/>
    </row>
    <row r="532" spans="1:32" s="185" customFormat="1" ht="14.25" customHeight="1" thickBot="1">
      <c r="A532" s="353">
        <v>15263</v>
      </c>
      <c r="B532" s="194" t="s">
        <v>462</v>
      </c>
      <c r="C532" s="339">
        <f t="shared" si="18"/>
        <v>50000</v>
      </c>
      <c r="D532" s="196" t="s">
        <v>624</v>
      </c>
      <c r="E532" s="187" t="s">
        <v>7207</v>
      </c>
      <c r="F532" s="507">
        <f>SUMIFS(Controle!$R:$R,Controle!$H:$H,produtos_escape2!$A532,Controle!$Z:$Z,"1")</f>
        <v>0</v>
      </c>
      <c r="G532" s="507">
        <f>SUMIFS(Controle!$R:$R,Controle!$H:$H,produtos_escape2!$A532,Controle!$Z:$Z,"2")</f>
        <v>0</v>
      </c>
      <c r="H532" s="507">
        <f>SUMIFS(Controle!$R:$R,Controle!$H:$H,produtos_escape2!$A532,Controle!$Z:$Z,"3")</f>
        <v>0</v>
      </c>
      <c r="I532" s="507">
        <f>SUMIFS(Controle!$R:$R,Controle!$H:$H,produtos_escape2!$A532,Controle!$Z:$Z,"4")</f>
        <v>0</v>
      </c>
      <c r="J532" s="507">
        <f>SUMIFS(Controle!$R:$R,Controle!$H:$H,produtos_escape2!$A532,Controle!$Z:$Z,"5")</f>
        <v>0</v>
      </c>
      <c r="K532" s="507">
        <f>SUMIFS(Controle!$R:$R,Controle!$H:$H,produtos_escape2!$A532,Controle!$Z:$Z,"6")</f>
        <v>0</v>
      </c>
      <c r="L532" s="507">
        <f t="shared" si="17"/>
        <v>0</v>
      </c>
      <c r="M532" s="381" t="s">
        <v>4815</v>
      </c>
      <c r="AF532" s="84"/>
    </row>
    <row r="533" spans="1:32" s="185" customFormat="1" ht="14.25" customHeight="1" thickBot="1">
      <c r="A533" s="353">
        <v>15265</v>
      </c>
      <c r="B533" s="194" t="s">
        <v>2601</v>
      </c>
      <c r="C533" s="339">
        <f t="shared" si="18"/>
        <v>50000</v>
      </c>
      <c r="D533" s="196" t="s">
        <v>624</v>
      </c>
      <c r="E533" s="187" t="s">
        <v>7207</v>
      </c>
      <c r="F533" s="507">
        <f>SUMIFS(Controle!$R:$R,Controle!$H:$H,produtos_escape2!$A533,Controle!$Z:$Z,"1")</f>
        <v>0</v>
      </c>
      <c r="G533" s="507">
        <f>SUMIFS(Controle!$R:$R,Controle!$H:$H,produtos_escape2!$A533,Controle!$Z:$Z,"2")</f>
        <v>0</v>
      </c>
      <c r="H533" s="507">
        <f>SUMIFS(Controle!$R:$R,Controle!$H:$H,produtos_escape2!$A533,Controle!$Z:$Z,"3")</f>
        <v>0</v>
      </c>
      <c r="I533" s="507">
        <f>SUMIFS(Controle!$R:$R,Controle!$H:$H,produtos_escape2!$A533,Controle!$Z:$Z,"4")</f>
        <v>0</v>
      </c>
      <c r="J533" s="507">
        <f>SUMIFS(Controle!$R:$R,Controle!$H:$H,produtos_escape2!$A533,Controle!$Z:$Z,"5")</f>
        <v>0</v>
      </c>
      <c r="K533" s="507">
        <f>SUMIFS(Controle!$R:$R,Controle!$H:$H,produtos_escape2!$A533,Controle!$Z:$Z,"6")</f>
        <v>0</v>
      </c>
      <c r="L533" s="507">
        <f t="shared" si="17"/>
        <v>0</v>
      </c>
      <c r="M533" s="381" t="s">
        <v>2601</v>
      </c>
      <c r="AF533" s="84"/>
    </row>
    <row r="534" spans="1:32" s="185" customFormat="1" ht="14.25" customHeight="1" thickBot="1">
      <c r="A534" s="353">
        <v>15277</v>
      </c>
      <c r="B534" s="194" t="s">
        <v>4213</v>
      </c>
      <c r="C534" s="339">
        <f t="shared" si="18"/>
        <v>50000</v>
      </c>
      <c r="D534" s="196" t="s">
        <v>624</v>
      </c>
      <c r="E534" s="189" t="s">
        <v>7207</v>
      </c>
      <c r="F534" s="507">
        <f>SUMIFS(Controle!$R:$R,Controle!$H:$H,produtos_escape2!$A534,Controle!$Z:$Z,"1")</f>
        <v>0</v>
      </c>
      <c r="G534" s="507">
        <f>SUMIFS(Controle!$R:$R,Controle!$H:$H,produtos_escape2!$A534,Controle!$Z:$Z,"2")</f>
        <v>0</v>
      </c>
      <c r="H534" s="507">
        <f>SUMIFS(Controle!$R:$R,Controle!$H:$H,produtos_escape2!$A534,Controle!$Z:$Z,"3")</f>
        <v>0</v>
      </c>
      <c r="I534" s="507">
        <f>SUMIFS(Controle!$R:$R,Controle!$H:$H,produtos_escape2!$A534,Controle!$Z:$Z,"4")</f>
        <v>0</v>
      </c>
      <c r="J534" s="507">
        <f>SUMIFS(Controle!$R:$R,Controle!$H:$H,produtos_escape2!$A534,Controle!$Z:$Z,"5")</f>
        <v>0</v>
      </c>
      <c r="K534" s="507">
        <f>SUMIFS(Controle!$R:$R,Controle!$H:$H,produtos_escape2!$A534,Controle!$Z:$Z,"6")</f>
        <v>0</v>
      </c>
      <c r="L534" s="507">
        <f t="shared" si="17"/>
        <v>0</v>
      </c>
      <c r="M534" s="381" t="s">
        <v>4213</v>
      </c>
      <c r="AF534" s="84"/>
    </row>
    <row r="535" spans="1:32" s="185" customFormat="1" ht="14.25" customHeight="1" thickBot="1">
      <c r="A535" s="353">
        <v>15292</v>
      </c>
      <c r="B535" s="194" t="s">
        <v>9251</v>
      </c>
      <c r="C535" s="339">
        <f t="shared" si="18"/>
        <v>50000</v>
      </c>
      <c r="D535" s="196" t="s">
        <v>624</v>
      </c>
      <c r="E535" s="187" t="s">
        <v>7207</v>
      </c>
      <c r="F535" s="507">
        <f>SUMIFS(Controle!$R:$R,Controle!$H:$H,produtos_escape2!$A535,Controle!$Z:$Z,"1")</f>
        <v>0</v>
      </c>
      <c r="G535" s="507">
        <f>SUMIFS(Controle!$R:$R,Controle!$H:$H,produtos_escape2!$A535,Controle!$Z:$Z,"2")</f>
        <v>0</v>
      </c>
      <c r="H535" s="507">
        <f>SUMIFS(Controle!$R:$R,Controle!$H:$H,produtos_escape2!$A535,Controle!$Z:$Z,"3")</f>
        <v>0</v>
      </c>
      <c r="I535" s="507">
        <f>SUMIFS(Controle!$R:$R,Controle!$H:$H,produtos_escape2!$A535,Controle!$Z:$Z,"4")</f>
        <v>0</v>
      </c>
      <c r="J535" s="507">
        <f>SUMIFS(Controle!$R:$R,Controle!$H:$H,produtos_escape2!$A535,Controle!$Z:$Z,"5")</f>
        <v>0</v>
      </c>
      <c r="K535" s="507">
        <f>SUMIFS(Controle!$R:$R,Controle!$H:$H,produtos_escape2!$A535,Controle!$Z:$Z,"6")</f>
        <v>0</v>
      </c>
      <c r="L535" s="507">
        <f t="shared" si="17"/>
        <v>0</v>
      </c>
      <c r="M535" s="84"/>
      <c r="AF535" s="84"/>
    </row>
    <row r="536" spans="1:32" s="185" customFormat="1" ht="14.25" customHeight="1" thickBot="1">
      <c r="A536" s="353">
        <v>15293</v>
      </c>
      <c r="B536" s="194" t="s">
        <v>4224</v>
      </c>
      <c r="C536" s="339">
        <f t="shared" si="18"/>
        <v>48902.3</v>
      </c>
      <c r="D536" s="196" t="s">
        <v>624</v>
      </c>
      <c r="E536" s="189" t="s">
        <v>7207</v>
      </c>
      <c r="F536" s="507">
        <f>SUMIFS(Controle!$R:$R,Controle!$H:$H,produtos_escape2!$A536,Controle!$Z:$Z,"1")</f>
        <v>0</v>
      </c>
      <c r="G536" s="507">
        <f>SUMIFS(Controle!$R:$R,Controle!$H:$H,produtos_escape2!$A536,Controle!$Z:$Z,"2")</f>
        <v>0</v>
      </c>
      <c r="H536" s="507">
        <f>SUMIFS(Controle!$R:$R,Controle!$H:$H,produtos_escape2!$A536,Controle!$Z:$Z,"3")</f>
        <v>0</v>
      </c>
      <c r="I536" s="507">
        <f>SUMIFS(Controle!$R:$R,Controle!$H:$H,produtos_escape2!$A536,Controle!$Z:$Z,"4")</f>
        <v>0</v>
      </c>
      <c r="J536" s="507">
        <f>SUMIFS(Controle!$R:$R,Controle!$H:$H,produtos_escape2!$A536,Controle!$Z:$Z,"5")</f>
        <v>0</v>
      </c>
      <c r="K536" s="507">
        <f>SUMIFS(Controle!$R:$R,Controle!$H:$H,produtos_escape2!$A536,Controle!$Z:$Z,"6")</f>
        <v>1097.6999999999998</v>
      </c>
      <c r="L536" s="507">
        <f t="shared" si="17"/>
        <v>1097.6999999999998</v>
      </c>
      <c r="M536" s="381" t="s">
        <v>4224</v>
      </c>
      <c r="AF536" s="84"/>
    </row>
    <row r="537" spans="1:32" s="185" customFormat="1" ht="14.25" customHeight="1" thickBot="1">
      <c r="A537" s="353">
        <v>15294</v>
      </c>
      <c r="B537" s="194" t="s">
        <v>9252</v>
      </c>
      <c r="C537" s="339">
        <f t="shared" si="18"/>
        <v>49172.88</v>
      </c>
      <c r="D537" s="196" t="s">
        <v>624</v>
      </c>
      <c r="E537" s="187" t="s">
        <v>7207</v>
      </c>
      <c r="F537" s="507">
        <f>SUMIFS(Controle!$R:$R,Controle!$H:$H,produtos_escape2!$A537,Controle!$Z:$Z,"1")</f>
        <v>0</v>
      </c>
      <c r="G537" s="507">
        <f>SUMIFS(Controle!$R:$R,Controle!$H:$H,produtos_escape2!$A537,Controle!$Z:$Z,"2")</f>
        <v>0</v>
      </c>
      <c r="H537" s="507">
        <f>SUMIFS(Controle!$R:$R,Controle!$H:$H,produtos_escape2!$A537,Controle!$Z:$Z,"3")</f>
        <v>0</v>
      </c>
      <c r="I537" s="507">
        <f>SUMIFS(Controle!$R:$R,Controle!$H:$H,produtos_escape2!$A537,Controle!$Z:$Z,"4")</f>
        <v>0</v>
      </c>
      <c r="J537" s="507">
        <f>SUMIFS(Controle!$R:$R,Controle!$H:$H,produtos_escape2!$A537,Controle!$Z:$Z,"5")</f>
        <v>0</v>
      </c>
      <c r="K537" s="507">
        <f>SUMIFS(Controle!$R:$R,Controle!$H:$H,produtos_escape2!$A537,Controle!$Z:$Z,"6")</f>
        <v>827.12</v>
      </c>
      <c r="L537" s="507">
        <f t="shared" si="17"/>
        <v>827.12</v>
      </c>
      <c r="M537" s="84"/>
      <c r="AF537" s="84"/>
    </row>
    <row r="538" spans="1:32" s="185" customFormat="1" ht="14.25" customHeight="1" thickBot="1">
      <c r="A538" s="353">
        <v>15297</v>
      </c>
      <c r="B538" s="194" t="s">
        <v>9254</v>
      </c>
      <c r="C538" s="339">
        <f t="shared" si="18"/>
        <v>49576</v>
      </c>
      <c r="D538" s="196" t="s">
        <v>624</v>
      </c>
      <c r="E538" s="189" t="s">
        <v>7207</v>
      </c>
      <c r="F538" s="507">
        <f>SUMIFS(Controle!$R:$R,Controle!$H:$H,produtos_escape2!$A538,Controle!$Z:$Z,"1")</f>
        <v>0</v>
      </c>
      <c r="G538" s="507">
        <f>SUMIFS(Controle!$R:$R,Controle!$H:$H,produtos_escape2!$A538,Controle!$Z:$Z,"2")</f>
        <v>0</v>
      </c>
      <c r="H538" s="507">
        <f>SUMIFS(Controle!$R:$R,Controle!$H:$H,produtos_escape2!$A538,Controle!$Z:$Z,"3")</f>
        <v>0</v>
      </c>
      <c r="I538" s="507">
        <f>SUMIFS(Controle!$R:$R,Controle!$H:$H,produtos_escape2!$A538,Controle!$Z:$Z,"4")</f>
        <v>0</v>
      </c>
      <c r="J538" s="507">
        <f>SUMIFS(Controle!$R:$R,Controle!$H:$H,produtos_escape2!$A538,Controle!$Z:$Z,"5")</f>
        <v>0</v>
      </c>
      <c r="K538" s="507">
        <f>SUMIFS(Controle!$R:$R,Controle!$H:$H,produtos_escape2!$A538,Controle!$Z:$Z,"6")</f>
        <v>424</v>
      </c>
      <c r="L538" s="507">
        <f t="shared" si="17"/>
        <v>424</v>
      </c>
      <c r="M538" s="84"/>
      <c r="AF538" s="84"/>
    </row>
    <row r="539" spans="1:32" s="185" customFormat="1" ht="14.25" customHeight="1" thickBot="1">
      <c r="A539" s="353">
        <v>15298</v>
      </c>
      <c r="B539" s="194" t="s">
        <v>9255</v>
      </c>
      <c r="C539" s="339">
        <f t="shared" si="18"/>
        <v>50000</v>
      </c>
      <c r="D539" s="196" t="s">
        <v>624</v>
      </c>
      <c r="E539" s="189" t="s">
        <v>7207</v>
      </c>
      <c r="F539" s="507">
        <f>SUMIFS(Controle!$R:$R,Controle!$H:$H,produtos_escape2!$A539,Controle!$Z:$Z,"1")</f>
        <v>0</v>
      </c>
      <c r="G539" s="507">
        <f>SUMIFS(Controle!$R:$R,Controle!$H:$H,produtos_escape2!$A539,Controle!$Z:$Z,"2")</f>
        <v>0</v>
      </c>
      <c r="H539" s="507">
        <f>SUMIFS(Controle!$R:$R,Controle!$H:$H,produtos_escape2!$A539,Controle!$Z:$Z,"3")</f>
        <v>0</v>
      </c>
      <c r="I539" s="507">
        <f>SUMIFS(Controle!$R:$R,Controle!$H:$H,produtos_escape2!$A539,Controle!$Z:$Z,"4")</f>
        <v>0</v>
      </c>
      <c r="J539" s="507">
        <f>SUMIFS(Controle!$R:$R,Controle!$H:$H,produtos_escape2!$A539,Controle!$Z:$Z,"5")</f>
        <v>0</v>
      </c>
      <c r="K539" s="507">
        <f>SUMIFS(Controle!$R:$R,Controle!$H:$H,produtos_escape2!$A539,Controle!$Z:$Z,"6")</f>
        <v>0</v>
      </c>
      <c r="L539" s="507">
        <f t="shared" si="17"/>
        <v>0</v>
      </c>
      <c r="M539" s="84"/>
      <c r="AF539" s="84"/>
    </row>
    <row r="540" spans="1:32" s="185" customFormat="1" ht="14.25" customHeight="1" thickBot="1">
      <c r="A540" s="353">
        <v>15301</v>
      </c>
      <c r="B540" s="194" t="s">
        <v>4225</v>
      </c>
      <c r="C540" s="339">
        <f t="shared" si="18"/>
        <v>50000</v>
      </c>
      <c r="D540" s="196" t="s">
        <v>624</v>
      </c>
      <c r="E540" s="189" t="s">
        <v>7207</v>
      </c>
      <c r="F540" s="507">
        <f>SUMIFS(Controle!$R:$R,Controle!$H:$H,produtos_escape2!$A540,Controle!$Z:$Z,"1")</f>
        <v>0</v>
      </c>
      <c r="G540" s="507">
        <f>SUMIFS(Controle!$R:$R,Controle!$H:$H,produtos_escape2!$A540,Controle!$Z:$Z,"2")</f>
        <v>0</v>
      </c>
      <c r="H540" s="507">
        <f>SUMIFS(Controle!$R:$R,Controle!$H:$H,produtos_escape2!$A540,Controle!$Z:$Z,"3")</f>
        <v>0</v>
      </c>
      <c r="I540" s="507">
        <f>SUMIFS(Controle!$R:$R,Controle!$H:$H,produtos_escape2!$A540,Controle!$Z:$Z,"4")</f>
        <v>0</v>
      </c>
      <c r="J540" s="507">
        <f>SUMIFS(Controle!$R:$R,Controle!$H:$H,produtos_escape2!$A540,Controle!$Z:$Z,"5")</f>
        <v>0</v>
      </c>
      <c r="K540" s="507">
        <f>SUMIFS(Controle!$R:$R,Controle!$H:$H,produtos_escape2!$A540,Controle!$Z:$Z,"6")</f>
        <v>0</v>
      </c>
      <c r="L540" s="507">
        <f t="shared" si="17"/>
        <v>0</v>
      </c>
      <c r="M540" s="381" t="s">
        <v>4816</v>
      </c>
      <c r="AF540" s="84"/>
    </row>
    <row r="541" spans="1:32" s="185" customFormat="1" ht="14.25" customHeight="1" thickBot="1">
      <c r="A541" s="333">
        <v>15302</v>
      </c>
      <c r="B541" s="194" t="s">
        <v>9071</v>
      </c>
      <c r="C541" s="339">
        <f t="shared" si="18"/>
        <v>50000</v>
      </c>
      <c r="D541" s="196" t="s">
        <v>624</v>
      </c>
      <c r="E541" s="189" t="s">
        <v>7207</v>
      </c>
      <c r="F541" s="507">
        <f>SUMIFS(Controle!$R:$R,Controle!$H:$H,produtos_escape2!$A541,Controle!$Z:$Z,"1")</f>
        <v>0</v>
      </c>
      <c r="G541" s="507">
        <f>SUMIFS(Controle!$R:$R,Controle!$H:$H,produtos_escape2!$A541,Controle!$Z:$Z,"2")</f>
        <v>0</v>
      </c>
      <c r="H541" s="507">
        <f>SUMIFS(Controle!$R:$R,Controle!$H:$H,produtos_escape2!$A541,Controle!$Z:$Z,"3")</f>
        <v>0</v>
      </c>
      <c r="I541" s="507">
        <f>SUMIFS(Controle!$R:$R,Controle!$H:$H,produtos_escape2!$A541,Controle!$Z:$Z,"4")</f>
        <v>0</v>
      </c>
      <c r="J541" s="507">
        <f>SUMIFS(Controle!$R:$R,Controle!$H:$H,produtos_escape2!$A541,Controle!$Z:$Z,"5")</f>
        <v>0</v>
      </c>
      <c r="K541" s="507">
        <f>SUMIFS(Controle!$R:$R,Controle!$H:$H,produtos_escape2!$A541,Controle!$Z:$Z,"6")</f>
        <v>0</v>
      </c>
      <c r="L541" s="507">
        <f t="shared" si="17"/>
        <v>0</v>
      </c>
      <c r="M541" s="381" t="s">
        <v>9072</v>
      </c>
      <c r="AF541" s="84"/>
    </row>
    <row r="542" spans="1:32" s="185" customFormat="1" ht="14.25" customHeight="1" thickBot="1">
      <c r="A542" s="333">
        <v>15303</v>
      </c>
      <c r="B542" s="194" t="s">
        <v>9070</v>
      </c>
      <c r="C542" s="339">
        <f t="shared" si="18"/>
        <v>50000</v>
      </c>
      <c r="D542" s="196" t="s">
        <v>624</v>
      </c>
      <c r="E542" s="189" t="s">
        <v>7207</v>
      </c>
      <c r="F542" s="507">
        <f>SUMIFS(Controle!$R:$R,Controle!$H:$H,produtos_escape2!$A542,Controle!$Z:$Z,"1")</f>
        <v>0</v>
      </c>
      <c r="G542" s="507">
        <f>SUMIFS(Controle!$R:$R,Controle!$H:$H,produtos_escape2!$A542,Controle!$Z:$Z,"2")</f>
        <v>0</v>
      </c>
      <c r="H542" s="507">
        <f>SUMIFS(Controle!$R:$R,Controle!$H:$H,produtos_escape2!$A542,Controle!$Z:$Z,"3")</f>
        <v>0</v>
      </c>
      <c r="I542" s="507">
        <f>SUMIFS(Controle!$R:$R,Controle!$H:$H,produtos_escape2!$A542,Controle!$Z:$Z,"4")</f>
        <v>0</v>
      </c>
      <c r="J542" s="507">
        <f>SUMIFS(Controle!$R:$R,Controle!$H:$H,produtos_escape2!$A542,Controle!$Z:$Z,"5")</f>
        <v>0</v>
      </c>
      <c r="K542" s="507">
        <f>SUMIFS(Controle!$R:$R,Controle!$H:$H,produtos_escape2!$A542,Controle!$Z:$Z,"6")</f>
        <v>0</v>
      </c>
      <c r="L542" s="507">
        <f t="shared" si="17"/>
        <v>0</v>
      </c>
      <c r="M542" s="381" t="s">
        <v>9069</v>
      </c>
      <c r="AF542" s="84"/>
    </row>
    <row r="543" spans="1:32" s="185" customFormat="1" ht="14.25" customHeight="1" thickBot="1">
      <c r="A543" s="333">
        <v>15322</v>
      </c>
      <c r="B543" s="194" t="s">
        <v>4212</v>
      </c>
      <c r="C543" s="339">
        <f t="shared" si="18"/>
        <v>49010</v>
      </c>
      <c r="D543" s="196" t="s">
        <v>624</v>
      </c>
      <c r="E543" s="189" t="s">
        <v>7207</v>
      </c>
      <c r="F543" s="507">
        <f>SUMIFS(Controle!$R:$R,Controle!$H:$H,produtos_escape2!$A543,Controle!$Z:$Z,"1")</f>
        <v>0</v>
      </c>
      <c r="G543" s="507">
        <f>SUMIFS(Controle!$R:$R,Controle!$H:$H,produtos_escape2!$A543,Controle!$Z:$Z,"2")</f>
        <v>0</v>
      </c>
      <c r="H543" s="507">
        <f>SUMIFS(Controle!$R:$R,Controle!$H:$H,produtos_escape2!$A543,Controle!$Z:$Z,"3")</f>
        <v>0</v>
      </c>
      <c r="I543" s="507">
        <f>SUMIFS(Controle!$R:$R,Controle!$H:$H,produtos_escape2!$A543,Controle!$Z:$Z,"4")</f>
        <v>0</v>
      </c>
      <c r="J543" s="507">
        <f>SUMIFS(Controle!$R:$R,Controle!$H:$H,produtos_escape2!$A543,Controle!$Z:$Z,"5")</f>
        <v>0</v>
      </c>
      <c r="K543" s="507">
        <f>SUMIFS(Controle!$R:$R,Controle!$H:$H,produtos_escape2!$A543,Controle!$Z:$Z,"6")</f>
        <v>990</v>
      </c>
      <c r="L543" s="507">
        <f t="shared" si="17"/>
        <v>990</v>
      </c>
      <c r="M543" s="381" t="s">
        <v>4817</v>
      </c>
      <c r="AF543" s="84"/>
    </row>
    <row r="544" spans="1:32" s="185" customFormat="1" ht="14.25" customHeight="1" thickBot="1">
      <c r="A544" s="353">
        <v>15338</v>
      </c>
      <c r="B544" s="338" t="s">
        <v>86</v>
      </c>
      <c r="C544" s="339">
        <f t="shared" si="18"/>
        <v>50000</v>
      </c>
      <c r="D544" s="196" t="s">
        <v>624</v>
      </c>
      <c r="E544" s="187" t="s">
        <v>7207</v>
      </c>
      <c r="F544" s="507">
        <f>SUMIFS(Controle!$R:$R,Controle!$H:$H,produtos_escape2!$A544,Controle!$Z:$Z,"1")</f>
        <v>0</v>
      </c>
      <c r="G544" s="507">
        <f>SUMIFS(Controle!$R:$R,Controle!$H:$H,produtos_escape2!$A544,Controle!$Z:$Z,"2")</f>
        <v>0</v>
      </c>
      <c r="H544" s="507">
        <f>SUMIFS(Controle!$R:$R,Controle!$H:$H,produtos_escape2!$A544,Controle!$Z:$Z,"3")</f>
        <v>0</v>
      </c>
      <c r="I544" s="507">
        <f>SUMIFS(Controle!$R:$R,Controle!$H:$H,produtos_escape2!$A544,Controle!$Z:$Z,"4")</f>
        <v>0</v>
      </c>
      <c r="J544" s="507">
        <f>SUMIFS(Controle!$R:$R,Controle!$H:$H,produtos_escape2!$A544,Controle!$Z:$Z,"5")</f>
        <v>0</v>
      </c>
      <c r="K544" s="507">
        <f>SUMIFS(Controle!$R:$R,Controle!$H:$H,produtos_escape2!$A544,Controle!$Z:$Z,"6")</f>
        <v>0</v>
      </c>
      <c r="L544" s="507">
        <f t="shared" si="17"/>
        <v>0</v>
      </c>
      <c r="M544" s="381" t="s">
        <v>4818</v>
      </c>
      <c r="AF544" s="84"/>
    </row>
    <row r="545" spans="1:32" s="185" customFormat="1" ht="14.25" customHeight="1" thickBot="1">
      <c r="A545" s="353">
        <v>15383</v>
      </c>
      <c r="B545" s="194" t="s">
        <v>10073</v>
      </c>
      <c r="C545" s="339">
        <f t="shared" si="18"/>
        <v>50000</v>
      </c>
      <c r="D545" s="196" t="s">
        <v>624</v>
      </c>
      <c r="E545" s="187" t="s">
        <v>7207</v>
      </c>
      <c r="F545" s="507">
        <f>SUMIFS(Controle!$R:$R,Controle!$H:$H,produtos_escape2!$A545,Controle!$Z:$Z,"1")</f>
        <v>0</v>
      </c>
      <c r="G545" s="507">
        <f>SUMIFS(Controle!$R:$R,Controle!$H:$H,produtos_escape2!$A545,Controle!$Z:$Z,"2")</f>
        <v>0</v>
      </c>
      <c r="H545" s="507">
        <f>SUMIFS(Controle!$R:$R,Controle!$H:$H,produtos_escape2!$A545,Controle!$Z:$Z,"3")</f>
        <v>0</v>
      </c>
      <c r="I545" s="507">
        <f>SUMIFS(Controle!$R:$R,Controle!$H:$H,produtos_escape2!$A545,Controle!$Z:$Z,"4")</f>
        <v>0</v>
      </c>
      <c r="J545" s="507">
        <f>SUMIFS(Controle!$R:$R,Controle!$H:$H,produtos_escape2!$A545,Controle!$Z:$Z,"5")</f>
        <v>0</v>
      </c>
      <c r="K545" s="507">
        <f>SUMIFS(Controle!$R:$R,Controle!$H:$H,produtos_escape2!$A545,Controle!$Z:$Z,"6")</f>
        <v>0</v>
      </c>
      <c r="L545" s="507">
        <f t="shared" si="17"/>
        <v>0</v>
      </c>
      <c r="M545" s="381" t="s">
        <v>4819</v>
      </c>
      <c r="AF545" s="84"/>
    </row>
    <row r="546" spans="1:32" s="185" customFormat="1" ht="14.25" customHeight="1" thickBot="1">
      <c r="A546" s="353">
        <v>15384</v>
      </c>
      <c r="B546" s="194" t="s">
        <v>367</v>
      </c>
      <c r="C546" s="339">
        <f t="shared" si="18"/>
        <v>50000</v>
      </c>
      <c r="D546" s="196" t="s">
        <v>624</v>
      </c>
      <c r="E546" s="187" t="s">
        <v>7207</v>
      </c>
      <c r="F546" s="507">
        <f>SUMIFS(Controle!$R:$R,Controle!$H:$H,produtos_escape2!$A546,Controle!$Z:$Z,"1")</f>
        <v>0</v>
      </c>
      <c r="G546" s="507">
        <f>SUMIFS(Controle!$R:$R,Controle!$H:$H,produtos_escape2!$A546,Controle!$Z:$Z,"2")</f>
        <v>0</v>
      </c>
      <c r="H546" s="507">
        <f>SUMIFS(Controle!$R:$R,Controle!$H:$H,produtos_escape2!$A546,Controle!$Z:$Z,"3")</f>
        <v>0</v>
      </c>
      <c r="I546" s="507">
        <f>SUMIFS(Controle!$R:$R,Controle!$H:$H,produtos_escape2!$A546,Controle!$Z:$Z,"4")</f>
        <v>0</v>
      </c>
      <c r="J546" s="507">
        <f>SUMIFS(Controle!$R:$R,Controle!$H:$H,produtos_escape2!$A546,Controle!$Z:$Z,"5")</f>
        <v>0</v>
      </c>
      <c r="K546" s="507">
        <f>SUMIFS(Controle!$R:$R,Controle!$H:$H,produtos_escape2!$A546,Controle!$Z:$Z,"6")</f>
        <v>0</v>
      </c>
      <c r="L546" s="507">
        <f t="shared" si="17"/>
        <v>0</v>
      </c>
      <c r="M546" s="381" t="s">
        <v>4820</v>
      </c>
      <c r="AF546" s="84"/>
    </row>
    <row r="547" spans="1:32" s="185" customFormat="1" ht="14.25" customHeight="1" thickBot="1">
      <c r="A547" s="353">
        <v>15393</v>
      </c>
      <c r="B547" s="194" t="s">
        <v>575</v>
      </c>
      <c r="C547" s="339">
        <f t="shared" si="18"/>
        <v>50000</v>
      </c>
      <c r="D547" s="196" t="s">
        <v>624</v>
      </c>
      <c r="E547" s="187" t="s">
        <v>7207</v>
      </c>
      <c r="F547" s="507">
        <f>SUMIFS(Controle!$R:$R,Controle!$H:$H,produtos_escape2!$A547,Controle!$Z:$Z,"1")</f>
        <v>0</v>
      </c>
      <c r="G547" s="507">
        <f>SUMIFS(Controle!$R:$R,Controle!$H:$H,produtos_escape2!$A547,Controle!$Z:$Z,"2")</f>
        <v>0</v>
      </c>
      <c r="H547" s="507">
        <f>SUMIFS(Controle!$R:$R,Controle!$H:$H,produtos_escape2!$A547,Controle!$Z:$Z,"3")</f>
        <v>0</v>
      </c>
      <c r="I547" s="507">
        <f>SUMIFS(Controle!$R:$R,Controle!$H:$H,produtos_escape2!$A547,Controle!$Z:$Z,"4")</f>
        <v>0</v>
      </c>
      <c r="J547" s="507">
        <f>SUMIFS(Controle!$R:$R,Controle!$H:$H,produtos_escape2!$A547,Controle!$Z:$Z,"5")</f>
        <v>0</v>
      </c>
      <c r="K547" s="507">
        <f>SUMIFS(Controle!$R:$R,Controle!$H:$H,produtos_escape2!$A547,Controle!$Z:$Z,"6")</f>
        <v>0</v>
      </c>
      <c r="L547" s="507">
        <f t="shared" si="17"/>
        <v>0</v>
      </c>
      <c r="M547" s="382" t="s">
        <v>4821</v>
      </c>
      <c r="AF547" s="84"/>
    </row>
    <row r="548" spans="1:32" s="185" customFormat="1" ht="14.25" customHeight="1" thickBot="1">
      <c r="A548" s="353">
        <v>15413</v>
      </c>
      <c r="B548" s="194" t="s">
        <v>10</v>
      </c>
      <c r="C548" s="339">
        <f t="shared" si="18"/>
        <v>50000</v>
      </c>
      <c r="D548" s="196" t="s">
        <v>624</v>
      </c>
      <c r="E548" s="187" t="s">
        <v>7207</v>
      </c>
      <c r="F548" s="507">
        <f>SUMIFS(Controle!$R:$R,Controle!$H:$H,produtos_escape2!$A548,Controle!$Z:$Z,"1")</f>
        <v>0</v>
      </c>
      <c r="G548" s="507">
        <f>SUMIFS(Controle!$R:$R,Controle!$H:$H,produtos_escape2!$A548,Controle!$Z:$Z,"2")</f>
        <v>0</v>
      </c>
      <c r="H548" s="507">
        <f>SUMIFS(Controle!$R:$R,Controle!$H:$H,produtos_escape2!$A548,Controle!$Z:$Z,"3")</f>
        <v>0</v>
      </c>
      <c r="I548" s="507">
        <f>SUMIFS(Controle!$R:$R,Controle!$H:$H,produtos_escape2!$A548,Controle!$Z:$Z,"4")</f>
        <v>0</v>
      </c>
      <c r="J548" s="507">
        <f>SUMIFS(Controle!$R:$R,Controle!$H:$H,produtos_escape2!$A548,Controle!$Z:$Z,"5")</f>
        <v>0</v>
      </c>
      <c r="K548" s="507">
        <f>SUMIFS(Controle!$R:$R,Controle!$H:$H,produtos_escape2!$A548,Controle!$Z:$Z,"6")</f>
        <v>0</v>
      </c>
      <c r="L548" s="507">
        <f t="shared" si="17"/>
        <v>0</v>
      </c>
      <c r="M548" s="381" t="s">
        <v>4822</v>
      </c>
      <c r="AF548" s="84"/>
    </row>
    <row r="549" spans="1:32" s="185" customFormat="1" ht="14.25" customHeight="1" thickBot="1">
      <c r="A549" s="353">
        <v>15414</v>
      </c>
      <c r="B549" s="194" t="s">
        <v>4261</v>
      </c>
      <c r="C549" s="339">
        <f t="shared" si="18"/>
        <v>50000</v>
      </c>
      <c r="D549" s="196" t="s">
        <v>624</v>
      </c>
      <c r="E549" s="187" t="s">
        <v>7207</v>
      </c>
      <c r="F549" s="507">
        <f>SUMIFS(Controle!$R:$R,Controle!$H:$H,produtos_escape2!$A549,Controle!$Z:$Z,"1")</f>
        <v>0</v>
      </c>
      <c r="G549" s="507">
        <f>SUMIFS(Controle!$R:$R,Controle!$H:$H,produtos_escape2!$A549,Controle!$Z:$Z,"2")</f>
        <v>0</v>
      </c>
      <c r="H549" s="507">
        <f>SUMIFS(Controle!$R:$R,Controle!$H:$H,produtos_escape2!$A549,Controle!$Z:$Z,"3")</f>
        <v>0</v>
      </c>
      <c r="I549" s="507">
        <f>SUMIFS(Controle!$R:$R,Controle!$H:$H,produtos_escape2!$A549,Controle!$Z:$Z,"4")</f>
        <v>0</v>
      </c>
      <c r="J549" s="507">
        <f>SUMIFS(Controle!$R:$R,Controle!$H:$H,produtos_escape2!$A549,Controle!$Z:$Z,"5")</f>
        <v>0</v>
      </c>
      <c r="K549" s="507">
        <f>SUMIFS(Controle!$R:$R,Controle!$H:$H,produtos_escape2!$A549,Controle!$Z:$Z,"6")</f>
        <v>0</v>
      </c>
      <c r="L549" s="507">
        <f t="shared" si="17"/>
        <v>0</v>
      </c>
      <c r="M549" s="381" t="s">
        <v>4823</v>
      </c>
      <c r="AF549" s="84"/>
    </row>
    <row r="550" spans="1:32" s="185" customFormat="1" ht="14.25" customHeight="1" thickBot="1">
      <c r="A550" s="353">
        <v>15416</v>
      </c>
      <c r="B550" s="194" t="s">
        <v>363</v>
      </c>
      <c r="C550" s="339">
        <f t="shared" si="18"/>
        <v>50000</v>
      </c>
      <c r="D550" s="196" t="s">
        <v>624</v>
      </c>
      <c r="E550" s="187" t="s">
        <v>7207</v>
      </c>
      <c r="F550" s="507">
        <f>SUMIFS(Controle!$R:$R,Controle!$H:$H,produtos_escape2!$A550,Controle!$Z:$Z,"1")</f>
        <v>0</v>
      </c>
      <c r="G550" s="507">
        <f>SUMIFS(Controle!$R:$R,Controle!$H:$H,produtos_escape2!$A550,Controle!$Z:$Z,"2")</f>
        <v>0</v>
      </c>
      <c r="H550" s="507">
        <f>SUMIFS(Controle!$R:$R,Controle!$H:$H,produtos_escape2!$A550,Controle!$Z:$Z,"3")</f>
        <v>0</v>
      </c>
      <c r="I550" s="507">
        <f>SUMIFS(Controle!$R:$R,Controle!$H:$H,produtos_escape2!$A550,Controle!$Z:$Z,"4")</f>
        <v>0</v>
      </c>
      <c r="J550" s="507">
        <f>SUMIFS(Controle!$R:$R,Controle!$H:$H,produtos_escape2!$A550,Controle!$Z:$Z,"5")</f>
        <v>0</v>
      </c>
      <c r="K550" s="507">
        <f>SUMIFS(Controle!$R:$R,Controle!$H:$H,produtos_escape2!$A550,Controle!$Z:$Z,"6")</f>
        <v>0</v>
      </c>
      <c r="L550" s="507">
        <f t="shared" si="17"/>
        <v>0</v>
      </c>
      <c r="M550" s="381" t="s">
        <v>4824</v>
      </c>
      <c r="AF550" s="84"/>
    </row>
    <row r="551" spans="1:32" s="185" customFormat="1" ht="14.25" customHeight="1" thickBot="1">
      <c r="A551" s="333">
        <v>15417</v>
      </c>
      <c r="B551" s="194" t="s">
        <v>359</v>
      </c>
      <c r="C551" s="339">
        <f t="shared" si="18"/>
        <v>50000</v>
      </c>
      <c r="D551" s="196" t="s">
        <v>624</v>
      </c>
      <c r="E551" s="187" t="s">
        <v>7207</v>
      </c>
      <c r="F551" s="507">
        <f>SUMIFS(Controle!$R:$R,Controle!$H:$H,produtos_escape2!$A551,Controle!$Z:$Z,"1")</f>
        <v>0</v>
      </c>
      <c r="G551" s="507">
        <f>SUMIFS(Controle!$R:$R,Controle!$H:$H,produtos_escape2!$A551,Controle!$Z:$Z,"2")</f>
        <v>0</v>
      </c>
      <c r="H551" s="507">
        <f>SUMIFS(Controle!$R:$R,Controle!$H:$H,produtos_escape2!$A551,Controle!$Z:$Z,"3")</f>
        <v>0</v>
      </c>
      <c r="I551" s="507">
        <f>SUMIFS(Controle!$R:$R,Controle!$H:$H,produtos_escape2!$A551,Controle!$Z:$Z,"4")</f>
        <v>0</v>
      </c>
      <c r="J551" s="507">
        <f>SUMIFS(Controle!$R:$R,Controle!$H:$H,produtos_escape2!$A551,Controle!$Z:$Z,"5")</f>
        <v>0</v>
      </c>
      <c r="K551" s="507">
        <f>SUMIFS(Controle!$R:$R,Controle!$H:$H,produtos_escape2!$A551,Controle!$Z:$Z,"6")</f>
        <v>0</v>
      </c>
      <c r="L551" s="507">
        <f t="shared" si="17"/>
        <v>0</v>
      </c>
      <c r="M551" s="381" t="s">
        <v>4825</v>
      </c>
      <c r="AF551" s="84"/>
    </row>
    <row r="552" spans="1:32" s="185" customFormat="1" ht="14.25" customHeight="1" thickBot="1">
      <c r="A552" s="353">
        <v>15424</v>
      </c>
      <c r="B552" s="338" t="s">
        <v>360</v>
      </c>
      <c r="C552" s="339">
        <f t="shared" si="18"/>
        <v>50000</v>
      </c>
      <c r="D552" s="196" t="s">
        <v>624</v>
      </c>
      <c r="E552" s="187" t="s">
        <v>7207</v>
      </c>
      <c r="F552" s="507">
        <f>SUMIFS(Controle!$R:$R,Controle!$H:$H,produtos_escape2!$A552,Controle!$Z:$Z,"1")</f>
        <v>0</v>
      </c>
      <c r="G552" s="507">
        <f>SUMIFS(Controle!$R:$R,Controle!$H:$H,produtos_escape2!$A552,Controle!$Z:$Z,"2")</f>
        <v>0</v>
      </c>
      <c r="H552" s="507">
        <f>SUMIFS(Controle!$R:$R,Controle!$H:$H,produtos_escape2!$A552,Controle!$Z:$Z,"3")</f>
        <v>0</v>
      </c>
      <c r="I552" s="507">
        <f>SUMIFS(Controle!$R:$R,Controle!$H:$H,produtos_escape2!$A552,Controle!$Z:$Z,"4")</f>
        <v>0</v>
      </c>
      <c r="J552" s="507">
        <f>SUMIFS(Controle!$R:$R,Controle!$H:$H,produtos_escape2!$A552,Controle!$Z:$Z,"5")</f>
        <v>0</v>
      </c>
      <c r="K552" s="507">
        <f>SUMIFS(Controle!$R:$R,Controle!$H:$H,produtos_escape2!$A552,Controle!$Z:$Z,"6")</f>
        <v>0</v>
      </c>
      <c r="L552" s="507">
        <f t="shared" si="17"/>
        <v>0</v>
      </c>
      <c r="M552" s="381" t="s">
        <v>4825</v>
      </c>
      <c r="AF552" s="84"/>
    </row>
    <row r="553" spans="1:32" s="185" customFormat="1" ht="14.25" customHeight="1" thickBot="1">
      <c r="A553" s="353">
        <v>15433</v>
      </c>
      <c r="B553" s="194" t="s">
        <v>2602</v>
      </c>
      <c r="C553" s="339">
        <f t="shared" si="18"/>
        <v>50000</v>
      </c>
      <c r="D553" s="196" t="s">
        <v>624</v>
      </c>
      <c r="E553" s="187" t="s">
        <v>7207</v>
      </c>
      <c r="F553" s="507">
        <f>SUMIFS(Controle!$R:$R,Controle!$H:$H,produtos_escape2!$A553,Controle!$Z:$Z,"1")</f>
        <v>0</v>
      </c>
      <c r="G553" s="507">
        <f>SUMIFS(Controle!$R:$R,Controle!$H:$H,produtos_escape2!$A553,Controle!$Z:$Z,"2")</f>
        <v>0</v>
      </c>
      <c r="H553" s="507">
        <f>SUMIFS(Controle!$R:$R,Controle!$H:$H,produtos_escape2!$A553,Controle!$Z:$Z,"3")</f>
        <v>0</v>
      </c>
      <c r="I553" s="507">
        <f>SUMIFS(Controle!$R:$R,Controle!$H:$H,produtos_escape2!$A553,Controle!$Z:$Z,"4")</f>
        <v>0</v>
      </c>
      <c r="J553" s="507">
        <f>SUMIFS(Controle!$R:$R,Controle!$H:$H,produtos_escape2!$A553,Controle!$Z:$Z,"5")</f>
        <v>0</v>
      </c>
      <c r="K553" s="507">
        <f>SUMIFS(Controle!$R:$R,Controle!$H:$H,produtos_escape2!$A553,Controle!$Z:$Z,"6")</f>
        <v>0</v>
      </c>
      <c r="L553" s="507">
        <f t="shared" si="17"/>
        <v>0</v>
      </c>
      <c r="M553" s="381" t="s">
        <v>4826</v>
      </c>
      <c r="AF553" s="84"/>
    </row>
    <row r="554" spans="1:32" s="185" customFormat="1" ht="14.25" customHeight="1" thickBot="1">
      <c r="A554" s="353">
        <v>15438</v>
      </c>
      <c r="B554" s="194" t="s">
        <v>2603</v>
      </c>
      <c r="C554" s="339">
        <f t="shared" si="18"/>
        <v>50000</v>
      </c>
      <c r="D554" s="196" t="s">
        <v>624</v>
      </c>
      <c r="E554" s="187" t="s">
        <v>7207</v>
      </c>
      <c r="F554" s="507">
        <f>SUMIFS(Controle!$R:$R,Controle!$H:$H,produtos_escape2!$A554,Controle!$Z:$Z,"1")</f>
        <v>0</v>
      </c>
      <c r="G554" s="507">
        <f>SUMIFS(Controle!$R:$R,Controle!$H:$H,produtos_escape2!$A554,Controle!$Z:$Z,"2")</f>
        <v>0</v>
      </c>
      <c r="H554" s="507">
        <f>SUMIFS(Controle!$R:$R,Controle!$H:$H,produtos_escape2!$A554,Controle!$Z:$Z,"3")</f>
        <v>0</v>
      </c>
      <c r="I554" s="507">
        <f>SUMIFS(Controle!$R:$R,Controle!$H:$H,produtos_escape2!$A554,Controle!$Z:$Z,"4")</f>
        <v>0</v>
      </c>
      <c r="J554" s="507">
        <f>SUMIFS(Controle!$R:$R,Controle!$H:$H,produtos_escape2!$A554,Controle!$Z:$Z,"5")</f>
        <v>0</v>
      </c>
      <c r="K554" s="507">
        <f>SUMIFS(Controle!$R:$R,Controle!$H:$H,produtos_escape2!$A554,Controle!$Z:$Z,"6")</f>
        <v>0</v>
      </c>
      <c r="L554" s="507">
        <f t="shared" si="17"/>
        <v>0</v>
      </c>
      <c r="M554" s="381" t="s">
        <v>4826</v>
      </c>
      <c r="AF554" s="84"/>
    </row>
    <row r="555" spans="1:32" s="185" customFormat="1" ht="14.25" customHeight="1" thickBot="1">
      <c r="A555" s="353">
        <v>15439</v>
      </c>
      <c r="B555" s="194" t="s">
        <v>2604</v>
      </c>
      <c r="C555" s="339">
        <f t="shared" si="18"/>
        <v>50000</v>
      </c>
      <c r="D555" s="196" t="s">
        <v>624</v>
      </c>
      <c r="E555" s="187" t="s">
        <v>7207</v>
      </c>
      <c r="F555" s="507">
        <f>SUMIFS(Controle!$R:$R,Controle!$H:$H,produtos_escape2!$A555,Controle!$Z:$Z,"1")</f>
        <v>0</v>
      </c>
      <c r="G555" s="507">
        <f>SUMIFS(Controle!$R:$R,Controle!$H:$H,produtos_escape2!$A555,Controle!$Z:$Z,"2")</f>
        <v>0</v>
      </c>
      <c r="H555" s="507">
        <f>SUMIFS(Controle!$R:$R,Controle!$H:$H,produtos_escape2!$A555,Controle!$Z:$Z,"3")</f>
        <v>0</v>
      </c>
      <c r="I555" s="507">
        <f>SUMIFS(Controle!$R:$R,Controle!$H:$H,produtos_escape2!$A555,Controle!$Z:$Z,"4")</f>
        <v>0</v>
      </c>
      <c r="J555" s="507">
        <f>SUMIFS(Controle!$R:$R,Controle!$H:$H,produtos_escape2!$A555,Controle!$Z:$Z,"5")</f>
        <v>0</v>
      </c>
      <c r="K555" s="507">
        <f>SUMIFS(Controle!$R:$R,Controle!$H:$H,produtos_escape2!$A555,Controle!$Z:$Z,"6")</f>
        <v>0</v>
      </c>
      <c r="L555" s="507">
        <f t="shared" si="17"/>
        <v>0</v>
      </c>
      <c r="M555" s="381" t="s">
        <v>4826</v>
      </c>
      <c r="AF555" s="84"/>
    </row>
    <row r="556" spans="1:32" s="185" customFormat="1" ht="14.25" customHeight="1" thickBot="1">
      <c r="A556" s="353">
        <v>15440</v>
      </c>
      <c r="B556" s="194" t="s">
        <v>2605</v>
      </c>
      <c r="C556" s="339">
        <f t="shared" si="18"/>
        <v>50000</v>
      </c>
      <c r="D556" s="196" t="s">
        <v>624</v>
      </c>
      <c r="E556" s="187" t="s">
        <v>7207</v>
      </c>
      <c r="F556" s="507">
        <f>SUMIFS(Controle!$R:$R,Controle!$H:$H,produtos_escape2!$A556,Controle!$Z:$Z,"1")</f>
        <v>0</v>
      </c>
      <c r="G556" s="507">
        <f>SUMIFS(Controle!$R:$R,Controle!$H:$H,produtos_escape2!$A556,Controle!$Z:$Z,"2")</f>
        <v>0</v>
      </c>
      <c r="H556" s="507">
        <f>SUMIFS(Controle!$R:$R,Controle!$H:$H,produtos_escape2!$A556,Controle!$Z:$Z,"3")</f>
        <v>0</v>
      </c>
      <c r="I556" s="507">
        <f>SUMIFS(Controle!$R:$R,Controle!$H:$H,produtos_escape2!$A556,Controle!$Z:$Z,"4")</f>
        <v>0</v>
      </c>
      <c r="J556" s="507">
        <f>SUMIFS(Controle!$R:$R,Controle!$H:$H,produtos_escape2!$A556,Controle!$Z:$Z,"5")</f>
        <v>0</v>
      </c>
      <c r="K556" s="507">
        <f>SUMIFS(Controle!$R:$R,Controle!$H:$H,produtos_escape2!$A556,Controle!$Z:$Z,"6")</f>
        <v>0</v>
      </c>
      <c r="L556" s="507">
        <f t="shared" si="17"/>
        <v>0</v>
      </c>
      <c r="M556" s="381" t="s">
        <v>4826</v>
      </c>
      <c r="AF556" s="84"/>
    </row>
    <row r="557" spans="1:32" s="185" customFormat="1" ht="14.25" customHeight="1" thickBot="1">
      <c r="A557" s="353">
        <v>15448</v>
      </c>
      <c r="B557" s="194" t="s">
        <v>3366</v>
      </c>
      <c r="C557" s="339">
        <f t="shared" si="18"/>
        <v>50000</v>
      </c>
      <c r="D557" s="196" t="s">
        <v>624</v>
      </c>
      <c r="E557" s="187" t="s">
        <v>7207</v>
      </c>
      <c r="F557" s="507">
        <f>SUMIFS(Controle!$R:$R,Controle!$H:$H,produtos_escape2!$A557,Controle!$Z:$Z,"1")</f>
        <v>0</v>
      </c>
      <c r="G557" s="507">
        <f>SUMIFS(Controle!$R:$R,Controle!$H:$H,produtos_escape2!$A557,Controle!$Z:$Z,"2")</f>
        <v>0</v>
      </c>
      <c r="H557" s="507">
        <f>SUMIFS(Controle!$R:$R,Controle!$H:$H,produtos_escape2!$A557,Controle!$Z:$Z,"3")</f>
        <v>0</v>
      </c>
      <c r="I557" s="507">
        <f>SUMIFS(Controle!$R:$R,Controle!$H:$H,produtos_escape2!$A557,Controle!$Z:$Z,"4")</f>
        <v>0</v>
      </c>
      <c r="J557" s="507">
        <f>SUMIFS(Controle!$R:$R,Controle!$H:$H,produtos_escape2!$A557,Controle!$Z:$Z,"5")</f>
        <v>0</v>
      </c>
      <c r="K557" s="507">
        <f>SUMIFS(Controle!$R:$R,Controle!$H:$H,produtos_escape2!$A557,Controle!$Z:$Z,"6")</f>
        <v>0</v>
      </c>
      <c r="L557" s="507">
        <f t="shared" si="17"/>
        <v>0</v>
      </c>
      <c r="M557" s="381" t="s">
        <v>4827</v>
      </c>
      <c r="AF557" s="84"/>
    </row>
    <row r="558" spans="1:32" s="185" customFormat="1" ht="14.25" customHeight="1" thickBot="1">
      <c r="A558" s="353">
        <v>15451</v>
      </c>
      <c r="B558" s="194" t="s">
        <v>2606</v>
      </c>
      <c r="C558" s="339">
        <f t="shared" si="18"/>
        <v>50000</v>
      </c>
      <c r="D558" s="196" t="s">
        <v>624</v>
      </c>
      <c r="E558" s="187" t="s">
        <v>7207</v>
      </c>
      <c r="F558" s="507">
        <f>SUMIFS(Controle!$R:$R,Controle!$H:$H,produtos_escape2!$A558,Controle!$Z:$Z,"1")</f>
        <v>0</v>
      </c>
      <c r="G558" s="507">
        <f>SUMIFS(Controle!$R:$R,Controle!$H:$H,produtos_escape2!$A558,Controle!$Z:$Z,"2")</f>
        <v>0</v>
      </c>
      <c r="H558" s="507">
        <f>SUMIFS(Controle!$R:$R,Controle!$H:$H,produtos_escape2!$A558,Controle!$Z:$Z,"3")</f>
        <v>0</v>
      </c>
      <c r="I558" s="507">
        <f>SUMIFS(Controle!$R:$R,Controle!$H:$H,produtos_escape2!$A558,Controle!$Z:$Z,"4")</f>
        <v>0</v>
      </c>
      <c r="J558" s="507">
        <f>SUMIFS(Controle!$R:$R,Controle!$H:$H,produtos_escape2!$A558,Controle!$Z:$Z,"5")</f>
        <v>0</v>
      </c>
      <c r="K558" s="507">
        <f>SUMIFS(Controle!$R:$R,Controle!$H:$H,produtos_escape2!$A558,Controle!$Z:$Z,"6")</f>
        <v>0</v>
      </c>
      <c r="L558" s="507">
        <f t="shared" si="17"/>
        <v>0</v>
      </c>
      <c r="M558" s="381" t="s">
        <v>4826</v>
      </c>
      <c r="AF558" s="84"/>
    </row>
    <row r="559" spans="1:32" s="185" customFormat="1" ht="14.25" customHeight="1" thickBot="1">
      <c r="A559" s="333">
        <v>15457</v>
      </c>
      <c r="B559" s="194" t="s">
        <v>94</v>
      </c>
      <c r="C559" s="339">
        <f t="shared" si="18"/>
        <v>50000</v>
      </c>
      <c r="D559" s="196" t="s">
        <v>624</v>
      </c>
      <c r="E559" s="187" t="s">
        <v>7207</v>
      </c>
      <c r="F559" s="507">
        <f>SUMIFS(Controle!$R:$R,Controle!$H:$H,produtos_escape2!$A559,Controle!$Z:$Z,"1")</f>
        <v>0</v>
      </c>
      <c r="G559" s="507">
        <f>SUMIFS(Controle!$R:$R,Controle!$H:$H,produtos_escape2!$A559,Controle!$Z:$Z,"2")</f>
        <v>0</v>
      </c>
      <c r="H559" s="507">
        <f>SUMIFS(Controle!$R:$R,Controle!$H:$H,produtos_escape2!$A559,Controle!$Z:$Z,"3")</f>
        <v>0</v>
      </c>
      <c r="I559" s="507">
        <f>SUMIFS(Controle!$R:$R,Controle!$H:$H,produtos_escape2!$A559,Controle!$Z:$Z,"4")</f>
        <v>0</v>
      </c>
      <c r="J559" s="507">
        <f>SUMIFS(Controle!$R:$R,Controle!$H:$H,produtos_escape2!$A559,Controle!$Z:$Z,"5")</f>
        <v>0</v>
      </c>
      <c r="K559" s="507">
        <f>SUMIFS(Controle!$R:$R,Controle!$H:$H,produtos_escape2!$A559,Controle!$Z:$Z,"6")</f>
        <v>0</v>
      </c>
      <c r="L559" s="507">
        <f t="shared" si="17"/>
        <v>0</v>
      </c>
      <c r="M559" s="381" t="s">
        <v>4777</v>
      </c>
      <c r="AF559" s="84"/>
    </row>
    <row r="560" spans="1:32" s="185" customFormat="1" ht="14.25" customHeight="1" thickBot="1">
      <c r="A560" s="353">
        <v>15464</v>
      </c>
      <c r="B560" s="338" t="s">
        <v>1492</v>
      </c>
      <c r="C560" s="339">
        <f t="shared" si="18"/>
        <v>50000</v>
      </c>
      <c r="D560" s="196" t="s">
        <v>624</v>
      </c>
      <c r="E560" s="187" t="s">
        <v>7207</v>
      </c>
      <c r="F560" s="507">
        <f>SUMIFS(Controle!$R:$R,Controle!$H:$H,produtos_escape2!$A560,Controle!$Z:$Z,"1")</f>
        <v>0</v>
      </c>
      <c r="G560" s="507">
        <f>SUMIFS(Controle!$R:$R,Controle!$H:$H,produtos_escape2!$A560,Controle!$Z:$Z,"2")</f>
        <v>0</v>
      </c>
      <c r="H560" s="507">
        <f>SUMIFS(Controle!$R:$R,Controle!$H:$H,produtos_escape2!$A560,Controle!$Z:$Z,"3")</f>
        <v>0</v>
      </c>
      <c r="I560" s="507">
        <f>SUMIFS(Controle!$R:$R,Controle!$H:$H,produtos_escape2!$A560,Controle!$Z:$Z,"4")</f>
        <v>0</v>
      </c>
      <c r="J560" s="507">
        <f>SUMIFS(Controle!$R:$R,Controle!$H:$H,produtos_escape2!$A560,Controle!$Z:$Z,"5")</f>
        <v>0</v>
      </c>
      <c r="K560" s="507">
        <f>SUMIFS(Controle!$R:$R,Controle!$H:$H,produtos_escape2!$A560,Controle!$Z:$Z,"6")</f>
        <v>0</v>
      </c>
      <c r="L560" s="507">
        <f t="shared" si="17"/>
        <v>0</v>
      </c>
      <c r="M560" s="381" t="s">
        <v>4828</v>
      </c>
      <c r="AF560" s="84"/>
    </row>
    <row r="561" spans="1:32" s="185" customFormat="1" ht="14.25" customHeight="1" thickBot="1">
      <c r="A561" s="353">
        <v>15466</v>
      </c>
      <c r="B561" s="194" t="s">
        <v>93</v>
      </c>
      <c r="C561" s="339">
        <f t="shared" si="18"/>
        <v>50000</v>
      </c>
      <c r="D561" s="196" t="s">
        <v>624</v>
      </c>
      <c r="E561" s="187" t="s">
        <v>7207</v>
      </c>
      <c r="F561" s="507">
        <f>SUMIFS(Controle!$R:$R,Controle!$H:$H,produtos_escape2!$A561,Controle!$Z:$Z,"1")</f>
        <v>0</v>
      </c>
      <c r="G561" s="507">
        <f>SUMIFS(Controle!$R:$R,Controle!$H:$H,produtos_escape2!$A561,Controle!$Z:$Z,"2")</f>
        <v>0</v>
      </c>
      <c r="H561" s="507">
        <f>SUMIFS(Controle!$R:$R,Controle!$H:$H,produtos_escape2!$A561,Controle!$Z:$Z,"3")</f>
        <v>0</v>
      </c>
      <c r="I561" s="507">
        <f>SUMIFS(Controle!$R:$R,Controle!$H:$H,produtos_escape2!$A561,Controle!$Z:$Z,"4")</f>
        <v>0</v>
      </c>
      <c r="J561" s="507">
        <f>SUMIFS(Controle!$R:$R,Controle!$H:$H,produtos_escape2!$A561,Controle!$Z:$Z,"5")</f>
        <v>0</v>
      </c>
      <c r="K561" s="507">
        <f>SUMIFS(Controle!$R:$R,Controle!$H:$H,produtos_escape2!$A561,Controle!$Z:$Z,"6")</f>
        <v>0</v>
      </c>
      <c r="L561" s="507">
        <f t="shared" si="17"/>
        <v>0</v>
      </c>
      <c r="M561" s="381" t="s">
        <v>4777</v>
      </c>
      <c r="AF561" s="84"/>
    </row>
    <row r="562" spans="1:32" s="185" customFormat="1" ht="14.25" customHeight="1" thickBot="1">
      <c r="A562" s="353">
        <v>15473</v>
      </c>
      <c r="B562" s="194" t="s">
        <v>95</v>
      </c>
      <c r="C562" s="339">
        <f t="shared" si="18"/>
        <v>50000</v>
      </c>
      <c r="D562" s="196" t="s">
        <v>624</v>
      </c>
      <c r="E562" s="187" t="s">
        <v>7207</v>
      </c>
      <c r="F562" s="507">
        <f>SUMIFS(Controle!$R:$R,Controle!$H:$H,produtos_escape2!$A562,Controle!$Z:$Z,"1")</f>
        <v>0</v>
      </c>
      <c r="G562" s="507">
        <f>SUMIFS(Controle!$R:$R,Controle!$H:$H,produtos_escape2!$A562,Controle!$Z:$Z,"2")</f>
        <v>0</v>
      </c>
      <c r="H562" s="507">
        <f>SUMIFS(Controle!$R:$R,Controle!$H:$H,produtos_escape2!$A562,Controle!$Z:$Z,"3")</f>
        <v>0</v>
      </c>
      <c r="I562" s="507">
        <f>SUMIFS(Controle!$R:$R,Controle!$H:$H,produtos_escape2!$A562,Controle!$Z:$Z,"4")</f>
        <v>0</v>
      </c>
      <c r="J562" s="507">
        <f>SUMIFS(Controle!$R:$R,Controle!$H:$H,produtos_escape2!$A562,Controle!$Z:$Z,"5")</f>
        <v>0</v>
      </c>
      <c r="K562" s="507">
        <f>SUMIFS(Controle!$R:$R,Controle!$H:$H,produtos_escape2!$A562,Controle!$Z:$Z,"6")</f>
        <v>0</v>
      </c>
      <c r="L562" s="507">
        <f t="shared" si="17"/>
        <v>0</v>
      </c>
      <c r="M562" s="381" t="s">
        <v>4829</v>
      </c>
      <c r="AF562" s="84"/>
    </row>
    <row r="563" spans="1:32" s="185" customFormat="1" ht="14.25" customHeight="1" thickBot="1">
      <c r="A563" s="353">
        <v>15474</v>
      </c>
      <c r="B563" s="194" t="s">
        <v>96</v>
      </c>
      <c r="C563" s="339">
        <f t="shared" si="18"/>
        <v>50000</v>
      </c>
      <c r="D563" s="196" t="s">
        <v>624</v>
      </c>
      <c r="E563" s="187" t="s">
        <v>7207</v>
      </c>
      <c r="F563" s="507">
        <f>SUMIFS(Controle!$R:$R,Controle!$H:$H,produtos_escape2!$A563,Controle!$Z:$Z,"1")</f>
        <v>0</v>
      </c>
      <c r="G563" s="507">
        <f>SUMIFS(Controle!$R:$R,Controle!$H:$H,produtos_escape2!$A563,Controle!$Z:$Z,"2")</f>
        <v>0</v>
      </c>
      <c r="H563" s="507">
        <f>SUMIFS(Controle!$R:$R,Controle!$H:$H,produtos_escape2!$A563,Controle!$Z:$Z,"3")</f>
        <v>0</v>
      </c>
      <c r="I563" s="507">
        <f>SUMIFS(Controle!$R:$R,Controle!$H:$H,produtos_escape2!$A563,Controle!$Z:$Z,"4")</f>
        <v>0</v>
      </c>
      <c r="J563" s="507">
        <f>SUMIFS(Controle!$R:$R,Controle!$H:$H,produtos_escape2!$A563,Controle!$Z:$Z,"5")</f>
        <v>0</v>
      </c>
      <c r="K563" s="507">
        <f>SUMIFS(Controle!$R:$R,Controle!$H:$H,produtos_escape2!$A563,Controle!$Z:$Z,"6")</f>
        <v>0</v>
      </c>
      <c r="L563" s="507">
        <f t="shared" si="17"/>
        <v>0</v>
      </c>
      <c r="M563" s="381" t="s">
        <v>4829</v>
      </c>
      <c r="AF563" s="84"/>
    </row>
    <row r="564" spans="1:32" s="185" customFormat="1" ht="14.25" customHeight="1" thickBot="1">
      <c r="A564" s="353">
        <v>15482</v>
      </c>
      <c r="B564" s="194" t="s">
        <v>97</v>
      </c>
      <c r="C564" s="339">
        <f t="shared" si="18"/>
        <v>50000</v>
      </c>
      <c r="D564" s="196" t="s">
        <v>624</v>
      </c>
      <c r="E564" s="187" t="s">
        <v>7207</v>
      </c>
      <c r="F564" s="507">
        <f>SUMIFS(Controle!$R:$R,Controle!$H:$H,produtos_escape2!$A564,Controle!$Z:$Z,"1")</f>
        <v>0</v>
      </c>
      <c r="G564" s="507">
        <f>SUMIFS(Controle!$R:$R,Controle!$H:$H,produtos_escape2!$A564,Controle!$Z:$Z,"2")</f>
        <v>0</v>
      </c>
      <c r="H564" s="507">
        <f>SUMIFS(Controle!$R:$R,Controle!$H:$H,produtos_escape2!$A564,Controle!$Z:$Z,"3")</f>
        <v>0</v>
      </c>
      <c r="I564" s="507">
        <f>SUMIFS(Controle!$R:$R,Controle!$H:$H,produtos_escape2!$A564,Controle!$Z:$Z,"4")</f>
        <v>0</v>
      </c>
      <c r="J564" s="507">
        <f>SUMIFS(Controle!$R:$R,Controle!$H:$H,produtos_escape2!$A564,Controle!$Z:$Z,"5")</f>
        <v>0</v>
      </c>
      <c r="K564" s="507">
        <f>SUMIFS(Controle!$R:$R,Controle!$H:$H,produtos_escape2!$A564,Controle!$Z:$Z,"6")</f>
        <v>0</v>
      </c>
      <c r="L564" s="507">
        <f t="shared" si="17"/>
        <v>0</v>
      </c>
      <c r="M564" s="381" t="s">
        <v>4829</v>
      </c>
      <c r="AF564" s="84"/>
    </row>
    <row r="565" spans="1:32" s="185" customFormat="1" ht="14.25" customHeight="1" thickBot="1">
      <c r="A565" s="353">
        <v>15483</v>
      </c>
      <c r="B565" s="194" t="s">
        <v>84</v>
      </c>
      <c r="C565" s="339">
        <f t="shared" si="18"/>
        <v>50000</v>
      </c>
      <c r="D565" s="196"/>
      <c r="E565" s="187"/>
      <c r="F565" s="507">
        <f>SUMIFS(Controle!$R:$R,Controle!$H:$H,produtos_escape2!$A565,Controle!$Z:$Z,"1")</f>
        <v>0</v>
      </c>
      <c r="G565" s="507">
        <f>SUMIFS(Controle!$R:$R,Controle!$H:$H,produtos_escape2!$A565,Controle!$Z:$Z,"2")</f>
        <v>0</v>
      </c>
      <c r="H565" s="507">
        <f>SUMIFS(Controle!$R:$R,Controle!$H:$H,produtos_escape2!$A565,Controle!$Z:$Z,"3")</f>
        <v>0</v>
      </c>
      <c r="I565" s="507">
        <f>SUMIFS(Controle!$R:$R,Controle!$H:$H,produtos_escape2!$A565,Controle!$Z:$Z,"4")</f>
        <v>0</v>
      </c>
      <c r="J565" s="507">
        <f>SUMIFS(Controle!$R:$R,Controle!$H:$H,produtos_escape2!$A565,Controle!$Z:$Z,"5")</f>
        <v>0</v>
      </c>
      <c r="K565" s="507">
        <f>SUMIFS(Controle!$R:$R,Controle!$H:$H,produtos_escape2!$A565,Controle!$Z:$Z,"6")</f>
        <v>0</v>
      </c>
      <c r="L565" s="507">
        <f t="shared" si="17"/>
        <v>0</v>
      </c>
      <c r="M565" s="381" t="s">
        <v>4830</v>
      </c>
      <c r="AF565" s="84"/>
    </row>
    <row r="566" spans="1:32" s="185" customFormat="1" ht="14.25" customHeight="1" thickBot="1">
      <c r="A566" s="353">
        <v>15520</v>
      </c>
      <c r="B566" s="194" t="s">
        <v>528</v>
      </c>
      <c r="C566" s="339">
        <f t="shared" si="18"/>
        <v>50000</v>
      </c>
      <c r="D566" s="196"/>
      <c r="E566" s="187"/>
      <c r="F566" s="507">
        <f>SUMIFS(Controle!$R:$R,Controle!$H:$H,produtos_escape2!$A566,Controle!$Z:$Z,"1")</f>
        <v>0</v>
      </c>
      <c r="G566" s="507">
        <f>SUMIFS(Controle!$R:$R,Controle!$H:$H,produtos_escape2!$A566,Controle!$Z:$Z,"2")</f>
        <v>0</v>
      </c>
      <c r="H566" s="507">
        <f>SUMIFS(Controle!$R:$R,Controle!$H:$H,produtos_escape2!$A566,Controle!$Z:$Z,"3")</f>
        <v>0</v>
      </c>
      <c r="I566" s="507">
        <f>SUMIFS(Controle!$R:$R,Controle!$H:$H,produtos_escape2!$A566,Controle!$Z:$Z,"4")</f>
        <v>0</v>
      </c>
      <c r="J566" s="507">
        <f>SUMIFS(Controle!$R:$R,Controle!$H:$H,produtos_escape2!$A566,Controle!$Z:$Z,"5")</f>
        <v>0</v>
      </c>
      <c r="K566" s="507">
        <f>SUMIFS(Controle!$R:$R,Controle!$H:$H,produtos_escape2!$A566,Controle!$Z:$Z,"6")</f>
        <v>0</v>
      </c>
      <c r="L566" s="507">
        <f t="shared" si="17"/>
        <v>0</v>
      </c>
      <c r="M566" s="381" t="s">
        <v>4831</v>
      </c>
      <c r="AF566" s="84"/>
    </row>
    <row r="567" spans="1:32" s="185" customFormat="1" ht="14.25" customHeight="1" thickBot="1">
      <c r="A567" s="333">
        <v>15638</v>
      </c>
      <c r="B567" s="194" t="s">
        <v>7030</v>
      </c>
      <c r="C567" s="339">
        <f t="shared" si="18"/>
        <v>50000</v>
      </c>
      <c r="D567" s="196" t="s">
        <v>624</v>
      </c>
      <c r="E567" s="187" t="s">
        <v>7207</v>
      </c>
      <c r="F567" s="507">
        <f>SUMIFS(Controle!$R:$R,Controle!$H:$H,produtos_escape2!$A567,Controle!$Z:$Z,"1")</f>
        <v>0</v>
      </c>
      <c r="G567" s="507">
        <f>SUMIFS(Controle!$R:$R,Controle!$H:$H,produtos_escape2!$A567,Controle!$Z:$Z,"2")</f>
        <v>0</v>
      </c>
      <c r="H567" s="507">
        <f>SUMIFS(Controle!$R:$R,Controle!$H:$H,produtos_escape2!$A567,Controle!$Z:$Z,"3")</f>
        <v>0</v>
      </c>
      <c r="I567" s="507">
        <f>SUMIFS(Controle!$R:$R,Controle!$H:$H,produtos_escape2!$A567,Controle!$Z:$Z,"4")</f>
        <v>0</v>
      </c>
      <c r="J567" s="507">
        <f>SUMIFS(Controle!$R:$R,Controle!$H:$H,produtos_escape2!$A567,Controle!$Z:$Z,"5")</f>
        <v>0</v>
      </c>
      <c r="K567" s="507">
        <f>SUMIFS(Controle!$R:$R,Controle!$H:$H,produtos_escape2!$A567,Controle!$Z:$Z,"6")</f>
        <v>0</v>
      </c>
      <c r="L567" s="507">
        <f t="shared" si="17"/>
        <v>0</v>
      </c>
      <c r="M567" s="381" t="s">
        <v>7036</v>
      </c>
      <c r="AF567" s="84"/>
    </row>
    <row r="568" spans="1:32" s="185" customFormat="1" ht="14.25" customHeight="1" thickBot="1">
      <c r="A568" s="333">
        <v>15642</v>
      </c>
      <c r="B568" s="194" t="s">
        <v>2714</v>
      </c>
      <c r="C568" s="339">
        <f t="shared" si="18"/>
        <v>50000</v>
      </c>
      <c r="D568" s="196" t="s">
        <v>624</v>
      </c>
      <c r="E568" s="187" t="s">
        <v>7207</v>
      </c>
      <c r="F568" s="507">
        <f>SUMIFS(Controle!$R:$R,Controle!$H:$H,produtos_escape2!$A568,Controle!$Z:$Z,"1")</f>
        <v>0</v>
      </c>
      <c r="G568" s="507">
        <f>SUMIFS(Controle!$R:$R,Controle!$H:$H,produtos_escape2!$A568,Controle!$Z:$Z,"2")</f>
        <v>0</v>
      </c>
      <c r="H568" s="507">
        <f>SUMIFS(Controle!$R:$R,Controle!$H:$H,produtos_escape2!$A568,Controle!$Z:$Z,"3")</f>
        <v>0</v>
      </c>
      <c r="I568" s="507">
        <f>SUMIFS(Controle!$R:$R,Controle!$H:$H,produtos_escape2!$A568,Controle!$Z:$Z,"4")</f>
        <v>0</v>
      </c>
      <c r="J568" s="507">
        <f>SUMIFS(Controle!$R:$R,Controle!$H:$H,produtos_escape2!$A568,Controle!$Z:$Z,"5")</f>
        <v>0</v>
      </c>
      <c r="K568" s="507">
        <f>SUMIFS(Controle!$R:$R,Controle!$H:$H,produtos_escape2!$A568,Controle!$Z:$Z,"6")</f>
        <v>0</v>
      </c>
      <c r="L568" s="507">
        <f t="shared" si="17"/>
        <v>0</v>
      </c>
      <c r="M568" s="381" t="s">
        <v>4832</v>
      </c>
      <c r="AF568" s="84"/>
    </row>
    <row r="569" spans="1:32" s="185" customFormat="1" ht="14.25" customHeight="1" thickBot="1">
      <c r="A569" s="353">
        <v>15644</v>
      </c>
      <c r="B569" s="338" t="s">
        <v>3691</v>
      </c>
      <c r="C569" s="339">
        <f t="shared" si="18"/>
        <v>50000</v>
      </c>
      <c r="D569" s="196" t="s">
        <v>624</v>
      </c>
      <c r="E569" s="187" t="s">
        <v>7207</v>
      </c>
      <c r="F569" s="507">
        <f>SUMIFS(Controle!$R:$R,Controle!$H:$H,produtos_escape2!$A569,Controle!$Z:$Z,"1")</f>
        <v>0</v>
      </c>
      <c r="G569" s="507">
        <f>SUMIFS(Controle!$R:$R,Controle!$H:$H,produtos_escape2!$A569,Controle!$Z:$Z,"2")</f>
        <v>0</v>
      </c>
      <c r="H569" s="507">
        <f>SUMIFS(Controle!$R:$R,Controle!$H:$H,produtos_escape2!$A569,Controle!$Z:$Z,"3")</f>
        <v>0</v>
      </c>
      <c r="I569" s="507">
        <f>SUMIFS(Controle!$R:$R,Controle!$H:$H,produtos_escape2!$A569,Controle!$Z:$Z,"4")</f>
        <v>0</v>
      </c>
      <c r="J569" s="507">
        <f>SUMIFS(Controle!$R:$R,Controle!$H:$H,produtos_escape2!$A569,Controle!$Z:$Z,"5")</f>
        <v>0</v>
      </c>
      <c r="K569" s="507">
        <f>SUMIFS(Controle!$R:$R,Controle!$H:$H,produtos_escape2!$A569,Controle!$Z:$Z,"6")</f>
        <v>0</v>
      </c>
      <c r="L569" s="507">
        <f t="shared" si="17"/>
        <v>0</v>
      </c>
      <c r="M569" s="381" t="s">
        <v>4833</v>
      </c>
      <c r="AF569" s="84"/>
    </row>
    <row r="570" spans="1:32" s="185" customFormat="1" ht="14.25" customHeight="1" thickBot="1">
      <c r="A570" s="353">
        <v>15645</v>
      </c>
      <c r="B570" s="194" t="s">
        <v>85</v>
      </c>
      <c r="C570" s="339">
        <f t="shared" si="18"/>
        <v>50000</v>
      </c>
      <c r="D570" s="196" t="s">
        <v>624</v>
      </c>
      <c r="E570" s="187" t="s">
        <v>7207</v>
      </c>
      <c r="F570" s="507">
        <f>SUMIFS(Controle!$R:$R,Controle!$H:$H,produtos_escape2!$A570,Controle!$Z:$Z,"1")</f>
        <v>0</v>
      </c>
      <c r="G570" s="507">
        <f>SUMIFS(Controle!$R:$R,Controle!$H:$H,produtos_escape2!$A570,Controle!$Z:$Z,"2")</f>
        <v>0</v>
      </c>
      <c r="H570" s="507">
        <f>SUMIFS(Controle!$R:$R,Controle!$H:$H,produtos_escape2!$A570,Controle!$Z:$Z,"3")</f>
        <v>0</v>
      </c>
      <c r="I570" s="507">
        <f>SUMIFS(Controle!$R:$R,Controle!$H:$H,produtos_escape2!$A570,Controle!$Z:$Z,"4")</f>
        <v>0</v>
      </c>
      <c r="J570" s="507">
        <f>SUMIFS(Controle!$R:$R,Controle!$H:$H,produtos_escape2!$A570,Controle!$Z:$Z,"5")</f>
        <v>0</v>
      </c>
      <c r="K570" s="507">
        <f>SUMIFS(Controle!$R:$R,Controle!$H:$H,produtos_escape2!$A570,Controle!$Z:$Z,"6")</f>
        <v>0</v>
      </c>
      <c r="L570" s="507">
        <f t="shared" si="17"/>
        <v>0</v>
      </c>
      <c r="M570" s="381" t="s">
        <v>4834</v>
      </c>
      <c r="AF570" s="84"/>
    </row>
    <row r="571" spans="1:32" s="185" customFormat="1" ht="14.25" customHeight="1" thickBot="1">
      <c r="A571" s="353">
        <v>15715</v>
      </c>
      <c r="B571" s="194" t="s">
        <v>1744</v>
      </c>
      <c r="C571" s="339">
        <f t="shared" si="18"/>
        <v>50000</v>
      </c>
      <c r="D571" s="191" t="s">
        <v>624</v>
      </c>
      <c r="E571" s="189" t="s">
        <v>3608</v>
      </c>
      <c r="F571" s="507">
        <f>SUMIFS(Controle!$R:$R,Controle!$H:$H,produtos_escape2!$A571,Controle!$Z:$Z,"1")</f>
        <v>0</v>
      </c>
      <c r="G571" s="507">
        <f>SUMIFS(Controle!$R:$R,Controle!$H:$H,produtos_escape2!$A571,Controle!$Z:$Z,"2")</f>
        <v>0</v>
      </c>
      <c r="H571" s="507">
        <f>SUMIFS(Controle!$R:$R,Controle!$H:$H,produtos_escape2!$A571,Controle!$Z:$Z,"3")</f>
        <v>0</v>
      </c>
      <c r="I571" s="507">
        <f>SUMIFS(Controle!$R:$R,Controle!$H:$H,produtos_escape2!$A571,Controle!$Z:$Z,"4")</f>
        <v>0</v>
      </c>
      <c r="J571" s="507">
        <f>SUMIFS(Controle!$R:$R,Controle!$H:$H,produtos_escape2!$A571,Controle!$Z:$Z,"5")</f>
        <v>0</v>
      </c>
      <c r="K571" s="507">
        <f>SUMIFS(Controle!$R:$R,Controle!$H:$H,produtos_escape2!$A571,Controle!$Z:$Z,"6")</f>
        <v>0</v>
      </c>
      <c r="L571" s="507">
        <f t="shared" si="17"/>
        <v>0</v>
      </c>
      <c r="M571" s="381" t="s">
        <v>4835</v>
      </c>
      <c r="AF571" s="84"/>
    </row>
    <row r="572" spans="1:32" s="185" customFormat="1" ht="14.25" customHeight="1" thickBot="1">
      <c r="A572" s="353">
        <v>15736</v>
      </c>
      <c r="B572" s="194" t="s">
        <v>2896</v>
      </c>
      <c r="C572" s="339">
        <f t="shared" si="18"/>
        <v>50000</v>
      </c>
      <c r="D572" s="196" t="s">
        <v>624</v>
      </c>
      <c r="E572" s="187" t="s">
        <v>7207</v>
      </c>
      <c r="F572" s="507">
        <f>SUMIFS(Controle!$R:$R,Controle!$H:$H,produtos_escape2!$A572,Controle!$Z:$Z,"1")</f>
        <v>0</v>
      </c>
      <c r="G572" s="507">
        <f>SUMIFS(Controle!$R:$R,Controle!$H:$H,produtos_escape2!$A572,Controle!$Z:$Z,"2")</f>
        <v>0</v>
      </c>
      <c r="H572" s="507">
        <f>SUMIFS(Controle!$R:$R,Controle!$H:$H,produtos_escape2!$A572,Controle!$Z:$Z,"3")</f>
        <v>0</v>
      </c>
      <c r="I572" s="507">
        <f>SUMIFS(Controle!$R:$R,Controle!$H:$H,produtos_escape2!$A572,Controle!$Z:$Z,"4")</f>
        <v>0</v>
      </c>
      <c r="J572" s="507">
        <f>SUMIFS(Controle!$R:$R,Controle!$H:$H,produtos_escape2!$A572,Controle!$Z:$Z,"5")</f>
        <v>0</v>
      </c>
      <c r="K572" s="507">
        <f>SUMIFS(Controle!$R:$R,Controle!$H:$H,produtos_escape2!$A572,Controle!$Z:$Z,"6")</f>
        <v>0</v>
      </c>
      <c r="L572" s="507">
        <f t="shared" si="17"/>
        <v>0</v>
      </c>
      <c r="M572" s="381" t="s">
        <v>4836</v>
      </c>
      <c r="AF572" s="84"/>
    </row>
    <row r="573" spans="1:32" s="185" customFormat="1" ht="14.25" customHeight="1" thickBot="1">
      <c r="A573" s="353">
        <v>15759</v>
      </c>
      <c r="B573" s="194" t="s">
        <v>9066</v>
      </c>
      <c r="C573" s="339">
        <f t="shared" si="18"/>
        <v>49217</v>
      </c>
      <c r="D573" s="196" t="s">
        <v>624</v>
      </c>
      <c r="E573" s="187" t="s">
        <v>7207</v>
      </c>
      <c r="F573" s="507">
        <f>SUMIFS(Controle!$R:$R,Controle!$H:$H,produtos_escape2!$A573,Controle!$Z:$Z,"1")</f>
        <v>0</v>
      </c>
      <c r="G573" s="507">
        <f>SUMIFS(Controle!$R:$R,Controle!$H:$H,produtos_escape2!$A573,Controle!$Z:$Z,"2")</f>
        <v>0</v>
      </c>
      <c r="H573" s="507">
        <f>SUMIFS(Controle!$R:$R,Controle!$H:$H,produtos_escape2!$A573,Controle!$Z:$Z,"3")</f>
        <v>0</v>
      </c>
      <c r="I573" s="507">
        <f>SUMIFS(Controle!$R:$R,Controle!$H:$H,produtos_escape2!$A573,Controle!$Z:$Z,"4")</f>
        <v>783</v>
      </c>
      <c r="J573" s="507">
        <f>SUMIFS(Controle!$R:$R,Controle!$H:$H,produtos_escape2!$A573,Controle!$Z:$Z,"5")</f>
        <v>0</v>
      </c>
      <c r="K573" s="507">
        <f>SUMIFS(Controle!$R:$R,Controle!$H:$H,produtos_escape2!$A573,Controle!$Z:$Z,"6")</f>
        <v>0</v>
      </c>
      <c r="L573" s="507">
        <f t="shared" si="17"/>
        <v>783</v>
      </c>
      <c r="M573" s="381" t="s">
        <v>9065</v>
      </c>
      <c r="AF573" s="84"/>
    </row>
    <row r="574" spans="1:32" s="185" customFormat="1" ht="14.25" customHeight="1" thickBot="1">
      <c r="A574" s="353">
        <v>15780</v>
      </c>
      <c r="B574" s="194" t="s">
        <v>368</v>
      </c>
      <c r="C574" s="339">
        <f t="shared" si="18"/>
        <v>50000</v>
      </c>
      <c r="D574" s="196" t="s">
        <v>624</v>
      </c>
      <c r="E574" s="187" t="s">
        <v>7207</v>
      </c>
      <c r="F574" s="507">
        <f>SUMIFS(Controle!$R:$R,Controle!$H:$H,produtos_escape2!$A574,Controle!$Z:$Z,"1")</f>
        <v>0</v>
      </c>
      <c r="G574" s="507">
        <f>SUMIFS(Controle!$R:$R,Controle!$H:$H,produtos_escape2!$A574,Controle!$Z:$Z,"2")</f>
        <v>0</v>
      </c>
      <c r="H574" s="507">
        <f>SUMIFS(Controle!$R:$R,Controle!$H:$H,produtos_escape2!$A574,Controle!$Z:$Z,"3")</f>
        <v>0</v>
      </c>
      <c r="I574" s="507">
        <f>SUMIFS(Controle!$R:$R,Controle!$H:$H,produtos_escape2!$A574,Controle!$Z:$Z,"4")</f>
        <v>0</v>
      </c>
      <c r="J574" s="507">
        <f>SUMIFS(Controle!$R:$R,Controle!$H:$H,produtos_escape2!$A574,Controle!$Z:$Z,"5")</f>
        <v>0</v>
      </c>
      <c r="K574" s="507">
        <f>SUMIFS(Controle!$R:$R,Controle!$H:$H,produtos_escape2!$A574,Controle!$Z:$Z,"6")</f>
        <v>0</v>
      </c>
      <c r="L574" s="507">
        <f t="shared" si="17"/>
        <v>0</v>
      </c>
      <c r="M574" s="381" t="s">
        <v>4837</v>
      </c>
      <c r="AF574" s="84"/>
    </row>
    <row r="575" spans="1:32" s="185" customFormat="1" ht="14.25" customHeight="1" thickBot="1">
      <c r="A575" s="353">
        <v>15785</v>
      </c>
      <c r="B575" s="194" t="s">
        <v>3690</v>
      </c>
      <c r="C575" s="339">
        <f t="shared" si="18"/>
        <v>50000</v>
      </c>
      <c r="D575" s="196" t="s">
        <v>624</v>
      </c>
      <c r="E575" s="187" t="s">
        <v>7207</v>
      </c>
      <c r="F575" s="507">
        <f>SUMIFS(Controle!$R:$R,Controle!$H:$H,produtos_escape2!$A575,Controle!$Z:$Z,"1")</f>
        <v>0</v>
      </c>
      <c r="G575" s="507">
        <f>SUMIFS(Controle!$R:$R,Controle!$H:$H,produtos_escape2!$A575,Controle!$Z:$Z,"2")</f>
        <v>0</v>
      </c>
      <c r="H575" s="507">
        <f>SUMIFS(Controle!$R:$R,Controle!$H:$H,produtos_escape2!$A575,Controle!$Z:$Z,"3")</f>
        <v>0</v>
      </c>
      <c r="I575" s="507">
        <f>SUMIFS(Controle!$R:$R,Controle!$H:$H,produtos_escape2!$A575,Controle!$Z:$Z,"4")</f>
        <v>0</v>
      </c>
      <c r="J575" s="507">
        <f>SUMIFS(Controle!$R:$R,Controle!$H:$H,produtos_escape2!$A575,Controle!$Z:$Z,"5")</f>
        <v>0</v>
      </c>
      <c r="K575" s="507">
        <f>SUMIFS(Controle!$R:$R,Controle!$H:$H,produtos_escape2!$A575,Controle!$Z:$Z,"6")</f>
        <v>0</v>
      </c>
      <c r="L575" s="507">
        <f t="shared" ref="L575:L638" si="19">SUM(F575:K575)</f>
        <v>0</v>
      </c>
      <c r="M575" s="381" t="s">
        <v>4828</v>
      </c>
      <c r="AF575" s="84"/>
    </row>
    <row r="576" spans="1:32" s="185" customFormat="1" ht="14.25" customHeight="1" thickBot="1">
      <c r="A576" s="353">
        <v>15786</v>
      </c>
      <c r="B576" s="194" t="s">
        <v>361</v>
      </c>
      <c r="C576" s="339">
        <f t="shared" si="18"/>
        <v>50000</v>
      </c>
      <c r="D576" s="196" t="s">
        <v>624</v>
      </c>
      <c r="E576" s="187" t="s">
        <v>7207</v>
      </c>
      <c r="F576" s="507">
        <f>SUMIFS(Controle!$R:$R,Controle!$H:$H,produtos_escape2!$A576,Controle!$Z:$Z,"1")</f>
        <v>0</v>
      </c>
      <c r="G576" s="507">
        <f>SUMIFS(Controle!$R:$R,Controle!$H:$H,produtos_escape2!$A576,Controle!$Z:$Z,"2")</f>
        <v>0</v>
      </c>
      <c r="H576" s="507">
        <f>SUMIFS(Controle!$R:$R,Controle!$H:$H,produtos_escape2!$A576,Controle!$Z:$Z,"3")</f>
        <v>0</v>
      </c>
      <c r="I576" s="507">
        <f>SUMIFS(Controle!$R:$R,Controle!$H:$H,produtos_escape2!$A576,Controle!$Z:$Z,"4")</f>
        <v>0</v>
      </c>
      <c r="J576" s="507">
        <f>SUMIFS(Controle!$R:$R,Controle!$H:$H,produtos_escape2!$A576,Controle!$Z:$Z,"5")</f>
        <v>0</v>
      </c>
      <c r="K576" s="507">
        <f>SUMIFS(Controle!$R:$R,Controle!$H:$H,produtos_escape2!$A576,Controle!$Z:$Z,"6")</f>
        <v>0</v>
      </c>
      <c r="L576" s="507">
        <f t="shared" si="19"/>
        <v>0</v>
      </c>
      <c r="M576" s="381" t="s">
        <v>4828</v>
      </c>
      <c r="AF576" s="84"/>
    </row>
    <row r="577" spans="1:32" s="185" customFormat="1" ht="14.25" customHeight="1" thickBot="1">
      <c r="A577" s="333">
        <v>15787</v>
      </c>
      <c r="B577" s="194" t="s">
        <v>362</v>
      </c>
      <c r="C577" s="339">
        <f t="shared" si="18"/>
        <v>50000</v>
      </c>
      <c r="D577" s="196" t="s">
        <v>624</v>
      </c>
      <c r="E577" s="187" t="s">
        <v>7207</v>
      </c>
      <c r="F577" s="507">
        <f>SUMIFS(Controle!$R:$R,Controle!$H:$H,produtos_escape2!$A577,Controle!$Z:$Z,"1")</f>
        <v>0</v>
      </c>
      <c r="G577" s="507">
        <f>SUMIFS(Controle!$R:$R,Controle!$H:$H,produtos_escape2!$A577,Controle!$Z:$Z,"2")</f>
        <v>0</v>
      </c>
      <c r="H577" s="507">
        <f>SUMIFS(Controle!$R:$R,Controle!$H:$H,produtos_escape2!$A577,Controle!$Z:$Z,"3")</f>
        <v>0</v>
      </c>
      <c r="I577" s="507">
        <f>SUMIFS(Controle!$R:$R,Controle!$H:$H,produtos_escape2!$A577,Controle!$Z:$Z,"4")</f>
        <v>0</v>
      </c>
      <c r="J577" s="507">
        <f>SUMIFS(Controle!$R:$R,Controle!$H:$H,produtos_escape2!$A577,Controle!$Z:$Z,"5")</f>
        <v>0</v>
      </c>
      <c r="K577" s="507">
        <f>SUMIFS(Controle!$R:$R,Controle!$H:$H,produtos_escape2!$A577,Controle!$Z:$Z,"6")</f>
        <v>0</v>
      </c>
      <c r="L577" s="507">
        <f t="shared" si="19"/>
        <v>0</v>
      </c>
      <c r="M577" s="381" t="s">
        <v>4828</v>
      </c>
      <c r="AF577" s="84"/>
    </row>
    <row r="578" spans="1:32" s="185" customFormat="1" ht="14.25" customHeight="1" thickBot="1">
      <c r="A578" s="353">
        <v>15875</v>
      </c>
      <c r="B578" s="338" t="s">
        <v>197</v>
      </c>
      <c r="C578" s="339">
        <f t="shared" si="18"/>
        <v>50000</v>
      </c>
      <c r="D578" s="196" t="s">
        <v>624</v>
      </c>
      <c r="E578" s="187" t="s">
        <v>1739</v>
      </c>
      <c r="F578" s="507">
        <f>SUMIFS(Controle!$R:$R,Controle!$H:$H,produtos_escape2!$A578,Controle!$Z:$Z,"1")</f>
        <v>0</v>
      </c>
      <c r="G578" s="507">
        <f>SUMIFS(Controle!$R:$R,Controle!$H:$H,produtos_escape2!$A578,Controle!$Z:$Z,"2")</f>
        <v>0</v>
      </c>
      <c r="H578" s="507">
        <f>SUMIFS(Controle!$R:$R,Controle!$H:$H,produtos_escape2!$A578,Controle!$Z:$Z,"3")</f>
        <v>0</v>
      </c>
      <c r="I578" s="507">
        <f>SUMIFS(Controle!$R:$R,Controle!$H:$H,produtos_escape2!$A578,Controle!$Z:$Z,"4")</f>
        <v>0</v>
      </c>
      <c r="J578" s="507">
        <f>SUMIFS(Controle!$R:$R,Controle!$H:$H,produtos_escape2!$A578,Controle!$Z:$Z,"5")</f>
        <v>0</v>
      </c>
      <c r="K578" s="507">
        <f>SUMIFS(Controle!$R:$R,Controle!$H:$H,produtos_escape2!$A578,Controle!$Z:$Z,"6")</f>
        <v>0</v>
      </c>
      <c r="L578" s="507">
        <f t="shared" si="19"/>
        <v>0</v>
      </c>
      <c r="M578" s="381" t="s">
        <v>5723</v>
      </c>
      <c r="AF578" s="84"/>
    </row>
    <row r="579" spans="1:32" s="185" customFormat="1" ht="14.25" customHeight="1" thickBot="1">
      <c r="A579" s="353">
        <v>15878</v>
      </c>
      <c r="B579" s="194" t="s">
        <v>1128</v>
      </c>
      <c r="C579" s="339">
        <f t="shared" ref="C579:C644" si="20">50000-SUM(F579:K579)</f>
        <v>50000</v>
      </c>
      <c r="D579" s="196" t="s">
        <v>833</v>
      </c>
      <c r="E579" s="187" t="s">
        <v>7207</v>
      </c>
      <c r="F579" s="507">
        <f>SUMIFS(Controle!$R:$R,Controle!$H:$H,produtos_escape2!$A579,Controle!$Z:$Z,"1")</f>
        <v>0</v>
      </c>
      <c r="G579" s="507">
        <f>SUMIFS(Controle!$R:$R,Controle!$H:$H,produtos_escape2!$A579,Controle!$Z:$Z,"2")</f>
        <v>0</v>
      </c>
      <c r="H579" s="507">
        <f>SUMIFS(Controle!$R:$R,Controle!$H:$H,produtos_escape2!$A579,Controle!$Z:$Z,"3")</f>
        <v>0</v>
      </c>
      <c r="I579" s="507">
        <f>SUMIFS(Controle!$R:$R,Controle!$H:$H,produtos_escape2!$A579,Controle!$Z:$Z,"4")</f>
        <v>0</v>
      </c>
      <c r="J579" s="507">
        <f>SUMIFS(Controle!$R:$R,Controle!$H:$H,produtos_escape2!$A579,Controle!$Z:$Z,"5")</f>
        <v>0</v>
      </c>
      <c r="K579" s="507">
        <f>SUMIFS(Controle!$R:$R,Controle!$H:$H,produtos_escape2!$A579,Controle!$Z:$Z,"6")</f>
        <v>0</v>
      </c>
      <c r="L579" s="507">
        <f t="shared" si="19"/>
        <v>0</v>
      </c>
      <c r="M579" s="381" t="s">
        <v>4838</v>
      </c>
      <c r="AF579" s="84"/>
    </row>
    <row r="580" spans="1:32" s="185" customFormat="1" ht="14.25" customHeight="1" thickBot="1">
      <c r="A580" s="353">
        <v>15879</v>
      </c>
      <c r="B580" s="194" t="s">
        <v>208</v>
      </c>
      <c r="C580" s="339">
        <f t="shared" si="20"/>
        <v>50000</v>
      </c>
      <c r="D580" s="196" t="s">
        <v>833</v>
      </c>
      <c r="E580" s="187" t="s">
        <v>7207</v>
      </c>
      <c r="F580" s="507">
        <f>SUMIFS(Controle!$R:$R,Controle!$H:$H,produtos_escape2!$A580,Controle!$Z:$Z,"1")</f>
        <v>0</v>
      </c>
      <c r="G580" s="507">
        <f>SUMIFS(Controle!$R:$R,Controle!$H:$H,produtos_escape2!$A580,Controle!$Z:$Z,"2")</f>
        <v>0</v>
      </c>
      <c r="H580" s="507">
        <f>SUMIFS(Controle!$R:$R,Controle!$H:$H,produtos_escape2!$A580,Controle!$Z:$Z,"3")</f>
        <v>0</v>
      </c>
      <c r="I580" s="507">
        <f>SUMIFS(Controle!$R:$R,Controle!$H:$H,produtos_escape2!$A580,Controle!$Z:$Z,"4")</f>
        <v>0</v>
      </c>
      <c r="J580" s="507">
        <f>SUMIFS(Controle!$R:$R,Controle!$H:$H,produtos_escape2!$A580,Controle!$Z:$Z,"5")</f>
        <v>0</v>
      </c>
      <c r="K580" s="507">
        <f>SUMIFS(Controle!$R:$R,Controle!$H:$H,produtos_escape2!$A580,Controle!$Z:$Z,"6")</f>
        <v>0</v>
      </c>
      <c r="L580" s="507">
        <f t="shared" si="19"/>
        <v>0</v>
      </c>
      <c r="M580" s="381" t="s">
        <v>4838</v>
      </c>
      <c r="AF580" s="84"/>
    </row>
    <row r="581" spans="1:32" s="185" customFormat="1" ht="14.25" customHeight="1" thickBot="1">
      <c r="A581" s="353">
        <v>15880</v>
      </c>
      <c r="B581" s="194" t="s">
        <v>1127</v>
      </c>
      <c r="C581" s="339">
        <f t="shared" si="20"/>
        <v>50000</v>
      </c>
      <c r="D581" s="196" t="s">
        <v>833</v>
      </c>
      <c r="E581" s="187" t="s">
        <v>7207</v>
      </c>
      <c r="F581" s="507">
        <f>SUMIFS(Controle!$R:$R,Controle!$H:$H,produtos_escape2!$A581,Controle!$Z:$Z,"1")</f>
        <v>0</v>
      </c>
      <c r="G581" s="507">
        <f>SUMIFS(Controle!$R:$R,Controle!$H:$H,produtos_escape2!$A581,Controle!$Z:$Z,"2")</f>
        <v>0</v>
      </c>
      <c r="H581" s="507">
        <f>SUMIFS(Controle!$R:$R,Controle!$H:$H,produtos_escape2!$A581,Controle!$Z:$Z,"3")</f>
        <v>0</v>
      </c>
      <c r="I581" s="507">
        <f>SUMIFS(Controle!$R:$R,Controle!$H:$H,produtos_escape2!$A581,Controle!$Z:$Z,"4")</f>
        <v>0</v>
      </c>
      <c r="J581" s="507">
        <f>SUMIFS(Controle!$R:$R,Controle!$H:$H,produtos_escape2!$A581,Controle!$Z:$Z,"5")</f>
        <v>0</v>
      </c>
      <c r="K581" s="507">
        <f>SUMIFS(Controle!$R:$R,Controle!$H:$H,produtos_escape2!$A581,Controle!$Z:$Z,"6")</f>
        <v>0</v>
      </c>
      <c r="L581" s="507">
        <f t="shared" si="19"/>
        <v>0</v>
      </c>
      <c r="M581" s="381" t="s">
        <v>4838</v>
      </c>
      <c r="AF581" s="84"/>
    </row>
    <row r="582" spans="1:32" s="185" customFormat="1" ht="14.25" customHeight="1" thickBot="1">
      <c r="A582" s="353">
        <v>15881</v>
      </c>
      <c r="B582" s="194" t="s">
        <v>209</v>
      </c>
      <c r="C582" s="339">
        <f t="shared" si="20"/>
        <v>50000</v>
      </c>
      <c r="D582" s="196" t="s">
        <v>833</v>
      </c>
      <c r="E582" s="187" t="s">
        <v>7207</v>
      </c>
      <c r="F582" s="507">
        <f>SUMIFS(Controle!$R:$R,Controle!$H:$H,produtos_escape2!$A582,Controle!$Z:$Z,"1")</f>
        <v>0</v>
      </c>
      <c r="G582" s="507">
        <f>SUMIFS(Controle!$R:$R,Controle!$H:$H,produtos_escape2!$A582,Controle!$Z:$Z,"2")</f>
        <v>0</v>
      </c>
      <c r="H582" s="507">
        <f>SUMIFS(Controle!$R:$R,Controle!$H:$H,produtos_escape2!$A582,Controle!$Z:$Z,"3")</f>
        <v>0</v>
      </c>
      <c r="I582" s="507">
        <f>SUMIFS(Controle!$R:$R,Controle!$H:$H,produtos_escape2!$A582,Controle!$Z:$Z,"4")</f>
        <v>0</v>
      </c>
      <c r="J582" s="507">
        <f>SUMIFS(Controle!$R:$R,Controle!$H:$H,produtos_escape2!$A582,Controle!$Z:$Z,"5")</f>
        <v>0</v>
      </c>
      <c r="K582" s="507">
        <f>SUMIFS(Controle!$R:$R,Controle!$H:$H,produtos_escape2!$A582,Controle!$Z:$Z,"6")</f>
        <v>0</v>
      </c>
      <c r="L582" s="507">
        <f t="shared" si="19"/>
        <v>0</v>
      </c>
      <c r="M582" s="381" t="s">
        <v>4838</v>
      </c>
      <c r="AF582" s="84"/>
    </row>
    <row r="583" spans="1:32" s="185" customFormat="1" ht="14.25" customHeight="1" thickBot="1">
      <c r="A583" s="353">
        <v>15908</v>
      </c>
      <c r="B583" s="194" t="s">
        <v>3002</v>
      </c>
      <c r="C583" s="339">
        <f t="shared" si="20"/>
        <v>50000</v>
      </c>
      <c r="D583" s="196" t="s">
        <v>1093</v>
      </c>
      <c r="E583" s="187" t="s">
        <v>7207</v>
      </c>
      <c r="F583" s="507">
        <f>SUMIFS(Controle!$R:$R,Controle!$H:$H,produtos_escape2!$A583,Controle!$Z:$Z,"1")</f>
        <v>0</v>
      </c>
      <c r="G583" s="507">
        <f>SUMIFS(Controle!$R:$R,Controle!$H:$H,produtos_escape2!$A583,Controle!$Z:$Z,"2")</f>
        <v>0</v>
      </c>
      <c r="H583" s="507">
        <f>SUMIFS(Controle!$R:$R,Controle!$H:$H,produtos_escape2!$A583,Controle!$Z:$Z,"3")</f>
        <v>0</v>
      </c>
      <c r="I583" s="507">
        <f>SUMIFS(Controle!$R:$R,Controle!$H:$H,produtos_escape2!$A583,Controle!$Z:$Z,"4")</f>
        <v>0</v>
      </c>
      <c r="J583" s="507">
        <f>SUMIFS(Controle!$R:$R,Controle!$H:$H,produtos_escape2!$A583,Controle!$Z:$Z,"5")</f>
        <v>0</v>
      </c>
      <c r="K583" s="507">
        <f>SUMIFS(Controle!$R:$R,Controle!$H:$H,produtos_escape2!$A583,Controle!$Z:$Z,"6")</f>
        <v>0</v>
      </c>
      <c r="L583" s="507">
        <f t="shared" si="19"/>
        <v>0</v>
      </c>
      <c r="M583" s="381" t="s">
        <v>4621</v>
      </c>
      <c r="AF583" s="84"/>
    </row>
    <row r="584" spans="1:32" s="185" customFormat="1" ht="14.25" customHeight="1" thickBot="1">
      <c r="A584" s="353">
        <v>15921</v>
      </c>
      <c r="B584" s="194" t="s">
        <v>8504</v>
      </c>
      <c r="C584" s="339">
        <f t="shared" si="20"/>
        <v>49647.86</v>
      </c>
      <c r="D584" s="196" t="s">
        <v>1093</v>
      </c>
      <c r="E584" s="187" t="s">
        <v>7207</v>
      </c>
      <c r="F584" s="507">
        <f>SUMIFS(Controle!$R:$R,Controle!$H:$H,produtos_escape2!$A584,Controle!$Z:$Z,"1")</f>
        <v>0</v>
      </c>
      <c r="G584" s="507">
        <f>SUMIFS(Controle!$R:$R,Controle!$H:$H,produtos_escape2!$A584,Controle!$Z:$Z,"2")</f>
        <v>0</v>
      </c>
      <c r="H584" s="507">
        <f>SUMIFS(Controle!$R:$R,Controle!$H:$H,produtos_escape2!$A584,Controle!$Z:$Z,"3")</f>
        <v>225</v>
      </c>
      <c r="I584" s="507">
        <f>SUMIFS(Controle!$R:$R,Controle!$H:$H,produtos_escape2!$A584,Controle!$Z:$Z,"4")</f>
        <v>127.14000000000001</v>
      </c>
      <c r="J584" s="507">
        <f>SUMIFS(Controle!$R:$R,Controle!$H:$H,produtos_escape2!$A584,Controle!$Z:$Z,"5")</f>
        <v>0</v>
      </c>
      <c r="K584" s="507">
        <f>SUMIFS(Controle!$R:$R,Controle!$H:$H,produtos_escape2!$A584,Controle!$Z:$Z,"6")</f>
        <v>0</v>
      </c>
      <c r="L584" s="507">
        <f t="shared" si="19"/>
        <v>352.14</v>
      </c>
      <c r="M584" s="381" t="s">
        <v>8503</v>
      </c>
      <c r="AF584" s="84"/>
    </row>
    <row r="585" spans="1:32" s="185" customFormat="1" ht="14.25" customHeight="1" thickBot="1">
      <c r="A585" s="353">
        <v>15933</v>
      </c>
      <c r="B585" s="194" t="s">
        <v>8507</v>
      </c>
      <c r="C585" s="339">
        <f t="shared" si="20"/>
        <v>49647.86</v>
      </c>
      <c r="D585" s="196" t="s">
        <v>1093</v>
      </c>
      <c r="E585" s="187" t="s">
        <v>7207</v>
      </c>
      <c r="F585" s="507">
        <f>SUMIFS(Controle!$R:$R,Controle!$H:$H,produtos_escape2!$A585,Controle!$Z:$Z,"1")</f>
        <v>0</v>
      </c>
      <c r="G585" s="507">
        <f>SUMIFS(Controle!$R:$R,Controle!$H:$H,produtos_escape2!$A585,Controle!$Z:$Z,"2")</f>
        <v>0</v>
      </c>
      <c r="H585" s="507">
        <f>SUMIFS(Controle!$R:$R,Controle!$H:$H,produtos_escape2!$A585,Controle!$Z:$Z,"3")</f>
        <v>225</v>
      </c>
      <c r="I585" s="507">
        <f>SUMIFS(Controle!$R:$R,Controle!$H:$H,produtos_escape2!$A585,Controle!$Z:$Z,"4")</f>
        <v>127.14000000000001</v>
      </c>
      <c r="J585" s="507">
        <f>SUMIFS(Controle!$R:$R,Controle!$H:$H,produtos_escape2!$A585,Controle!$Z:$Z,"5")</f>
        <v>0</v>
      </c>
      <c r="K585" s="507">
        <f>SUMIFS(Controle!$R:$R,Controle!$H:$H,produtos_escape2!$A585,Controle!$Z:$Z,"6")</f>
        <v>0</v>
      </c>
      <c r="L585" s="507">
        <f t="shared" si="19"/>
        <v>352.14</v>
      </c>
      <c r="M585" s="381" t="s">
        <v>8506</v>
      </c>
      <c r="AF585" s="84"/>
    </row>
    <row r="586" spans="1:32" s="185" customFormat="1" ht="14.25" customHeight="1" thickBot="1">
      <c r="A586" s="353">
        <v>15934</v>
      </c>
      <c r="B586" s="194" t="s">
        <v>315</v>
      </c>
      <c r="C586" s="339">
        <f t="shared" si="20"/>
        <v>50000</v>
      </c>
      <c r="D586" s="196"/>
      <c r="E586" s="187"/>
      <c r="F586" s="507">
        <f>SUMIFS(Controle!$R:$R,Controle!$H:$H,produtos_escape2!$A586,Controle!$Z:$Z,"1")</f>
        <v>0</v>
      </c>
      <c r="G586" s="507">
        <f>SUMIFS(Controle!$R:$R,Controle!$H:$H,produtos_escape2!$A586,Controle!$Z:$Z,"2")</f>
        <v>0</v>
      </c>
      <c r="H586" s="507">
        <f>SUMIFS(Controle!$R:$R,Controle!$H:$H,produtos_escape2!$A586,Controle!$Z:$Z,"3")</f>
        <v>0</v>
      </c>
      <c r="I586" s="507">
        <f>SUMIFS(Controle!$R:$R,Controle!$H:$H,produtos_escape2!$A586,Controle!$Z:$Z,"4")</f>
        <v>0</v>
      </c>
      <c r="J586" s="507">
        <f>SUMIFS(Controle!$R:$R,Controle!$H:$H,produtos_escape2!$A586,Controle!$Z:$Z,"5")</f>
        <v>0</v>
      </c>
      <c r="K586" s="507">
        <f>SUMIFS(Controle!$R:$R,Controle!$H:$H,produtos_escape2!$A586,Controle!$Z:$Z,"6")</f>
        <v>0</v>
      </c>
      <c r="L586" s="507">
        <f t="shared" si="19"/>
        <v>0</v>
      </c>
      <c r="M586" s="381" t="s">
        <v>4839</v>
      </c>
      <c r="AF586" s="84"/>
    </row>
    <row r="587" spans="1:32" s="185" customFormat="1" ht="14.25" customHeight="1" thickBot="1">
      <c r="A587" s="333">
        <v>15939</v>
      </c>
      <c r="B587" s="194" t="s">
        <v>451</v>
      </c>
      <c r="C587" s="339">
        <f t="shared" si="20"/>
        <v>50000</v>
      </c>
      <c r="D587" s="196"/>
      <c r="E587" s="187"/>
      <c r="F587" s="507">
        <f>SUMIFS(Controle!$R:$R,Controle!$H:$H,produtos_escape2!$A587,Controle!$Z:$Z,"1")</f>
        <v>0</v>
      </c>
      <c r="G587" s="507">
        <f>SUMIFS(Controle!$R:$R,Controle!$H:$H,produtos_escape2!$A587,Controle!$Z:$Z,"2")</f>
        <v>0</v>
      </c>
      <c r="H587" s="507">
        <f>SUMIFS(Controle!$R:$R,Controle!$H:$H,produtos_escape2!$A587,Controle!$Z:$Z,"3")</f>
        <v>0</v>
      </c>
      <c r="I587" s="507">
        <f>SUMIFS(Controle!$R:$R,Controle!$H:$H,produtos_escape2!$A587,Controle!$Z:$Z,"4")</f>
        <v>0</v>
      </c>
      <c r="J587" s="507">
        <f>SUMIFS(Controle!$R:$R,Controle!$H:$H,produtos_escape2!$A587,Controle!$Z:$Z,"5")</f>
        <v>0</v>
      </c>
      <c r="K587" s="507">
        <f>SUMIFS(Controle!$R:$R,Controle!$H:$H,produtos_escape2!$A587,Controle!$Z:$Z,"6")</f>
        <v>0</v>
      </c>
      <c r="L587" s="507">
        <f t="shared" si="19"/>
        <v>0</v>
      </c>
      <c r="M587" s="381" t="s">
        <v>4840</v>
      </c>
      <c r="AF587" s="84"/>
    </row>
    <row r="588" spans="1:32" s="185" customFormat="1" ht="14.25" customHeight="1" thickBot="1">
      <c r="A588" s="353">
        <v>15946</v>
      </c>
      <c r="B588" s="338" t="s">
        <v>525</v>
      </c>
      <c r="C588" s="339">
        <f t="shared" si="20"/>
        <v>50000</v>
      </c>
      <c r="D588" s="196"/>
      <c r="E588" s="187"/>
      <c r="F588" s="507">
        <f>SUMIFS(Controle!$R:$R,Controle!$H:$H,produtos_escape2!$A588,Controle!$Z:$Z,"1")</f>
        <v>0</v>
      </c>
      <c r="G588" s="507">
        <f>SUMIFS(Controle!$R:$R,Controle!$H:$H,produtos_escape2!$A588,Controle!$Z:$Z,"2")</f>
        <v>0</v>
      </c>
      <c r="H588" s="507">
        <f>SUMIFS(Controle!$R:$R,Controle!$H:$H,produtos_escape2!$A588,Controle!$Z:$Z,"3")</f>
        <v>0</v>
      </c>
      <c r="I588" s="507">
        <f>SUMIFS(Controle!$R:$R,Controle!$H:$H,produtos_escape2!$A588,Controle!$Z:$Z,"4")</f>
        <v>0</v>
      </c>
      <c r="J588" s="507">
        <f>SUMIFS(Controle!$R:$R,Controle!$H:$H,produtos_escape2!$A588,Controle!$Z:$Z,"5")</f>
        <v>0</v>
      </c>
      <c r="K588" s="507">
        <f>SUMIFS(Controle!$R:$R,Controle!$H:$H,produtos_escape2!$A588,Controle!$Z:$Z,"6")</f>
        <v>0</v>
      </c>
      <c r="L588" s="507">
        <f t="shared" si="19"/>
        <v>0</v>
      </c>
      <c r="M588" s="381" t="s">
        <v>525</v>
      </c>
      <c r="AF588" s="84"/>
    </row>
    <row r="589" spans="1:32" s="185" customFormat="1" ht="14.25" customHeight="1" thickBot="1">
      <c r="A589" s="353">
        <v>15947</v>
      </c>
      <c r="B589" s="194" t="s">
        <v>1746</v>
      </c>
      <c r="C589" s="339">
        <f t="shared" si="20"/>
        <v>50000</v>
      </c>
      <c r="D589" s="196" t="s">
        <v>624</v>
      </c>
      <c r="E589" s="187" t="s">
        <v>7207</v>
      </c>
      <c r="F589" s="507">
        <f>SUMIFS(Controle!$R:$R,Controle!$H:$H,produtos_escape2!$A589,Controle!$Z:$Z,"1")</f>
        <v>0</v>
      </c>
      <c r="G589" s="507">
        <f>SUMIFS(Controle!$R:$R,Controle!$H:$H,produtos_escape2!$A589,Controle!$Z:$Z,"2")</f>
        <v>0</v>
      </c>
      <c r="H589" s="507">
        <f>SUMIFS(Controle!$R:$R,Controle!$H:$H,produtos_escape2!$A589,Controle!$Z:$Z,"3")</f>
        <v>0</v>
      </c>
      <c r="I589" s="507">
        <f>SUMIFS(Controle!$R:$R,Controle!$H:$H,produtos_escape2!$A589,Controle!$Z:$Z,"4")</f>
        <v>0</v>
      </c>
      <c r="J589" s="507">
        <f>SUMIFS(Controle!$R:$R,Controle!$H:$H,produtos_escape2!$A589,Controle!$Z:$Z,"5")</f>
        <v>0</v>
      </c>
      <c r="K589" s="507">
        <f>SUMIFS(Controle!$R:$R,Controle!$H:$H,produtos_escape2!$A589,Controle!$Z:$Z,"6")</f>
        <v>0</v>
      </c>
      <c r="L589" s="507">
        <f t="shared" si="19"/>
        <v>0</v>
      </c>
      <c r="M589" s="381" t="s">
        <v>4841</v>
      </c>
      <c r="AF589" s="84"/>
    </row>
    <row r="590" spans="1:32" s="185" customFormat="1" ht="14.25" customHeight="1" thickBot="1">
      <c r="A590" s="353">
        <v>15962</v>
      </c>
      <c r="B590" s="194" t="s">
        <v>7050</v>
      </c>
      <c r="C590" s="339">
        <f t="shared" si="20"/>
        <v>39050</v>
      </c>
      <c r="D590" s="196" t="s">
        <v>624</v>
      </c>
      <c r="E590" s="187" t="s">
        <v>7207</v>
      </c>
      <c r="F590" s="507">
        <f>SUMIFS(Controle!$R:$R,Controle!$H:$H,produtos_escape2!$A590,Controle!$Z:$Z,"1")</f>
        <v>0</v>
      </c>
      <c r="G590" s="507">
        <f>SUMIFS(Controle!$R:$R,Controle!$H:$H,produtos_escape2!$A590,Controle!$Z:$Z,"2")</f>
        <v>0</v>
      </c>
      <c r="H590" s="507">
        <f>SUMIFS(Controle!$R:$R,Controle!$H:$H,produtos_escape2!$A590,Controle!$Z:$Z,"3")</f>
        <v>10950</v>
      </c>
      <c r="I590" s="507">
        <f>SUMIFS(Controle!$R:$R,Controle!$H:$H,produtos_escape2!$A590,Controle!$Z:$Z,"4")</f>
        <v>0</v>
      </c>
      <c r="J590" s="507">
        <f>SUMIFS(Controle!$R:$R,Controle!$H:$H,produtos_escape2!$A590,Controle!$Z:$Z,"5")</f>
        <v>0</v>
      </c>
      <c r="K590" s="507">
        <f>SUMIFS(Controle!$R:$R,Controle!$H:$H,produtos_escape2!$A590,Controle!$Z:$Z,"6")</f>
        <v>0</v>
      </c>
      <c r="L590" s="507">
        <f t="shared" si="19"/>
        <v>10950</v>
      </c>
      <c r="M590" s="381" t="s">
        <v>5801</v>
      </c>
      <c r="AF590" s="84"/>
    </row>
    <row r="591" spans="1:32" s="185" customFormat="1" ht="14.25" customHeight="1" thickBot="1">
      <c r="A591" s="353">
        <v>16039</v>
      </c>
      <c r="B591" s="194" t="s">
        <v>275</v>
      </c>
      <c r="C591" s="339">
        <f t="shared" si="20"/>
        <v>50000</v>
      </c>
      <c r="D591" s="196"/>
      <c r="E591" s="187"/>
      <c r="F591" s="507">
        <f>SUMIFS(Controle!$R:$R,Controle!$H:$H,produtos_escape2!$A591,Controle!$Z:$Z,"1")</f>
        <v>0</v>
      </c>
      <c r="G591" s="507">
        <f>SUMIFS(Controle!$R:$R,Controle!$H:$H,produtos_escape2!$A591,Controle!$Z:$Z,"2")</f>
        <v>0</v>
      </c>
      <c r="H591" s="507">
        <f>SUMIFS(Controle!$R:$R,Controle!$H:$H,produtos_escape2!$A591,Controle!$Z:$Z,"3")</f>
        <v>0</v>
      </c>
      <c r="I591" s="507">
        <f>SUMIFS(Controle!$R:$R,Controle!$H:$H,produtos_escape2!$A591,Controle!$Z:$Z,"4")</f>
        <v>0</v>
      </c>
      <c r="J591" s="507">
        <f>SUMIFS(Controle!$R:$R,Controle!$H:$H,produtos_escape2!$A591,Controle!$Z:$Z,"5")</f>
        <v>0</v>
      </c>
      <c r="K591" s="507">
        <f>SUMIFS(Controle!$R:$R,Controle!$H:$H,produtos_escape2!$A591,Controle!$Z:$Z,"6")</f>
        <v>0</v>
      </c>
      <c r="L591" s="507">
        <f t="shared" si="19"/>
        <v>0</v>
      </c>
      <c r="M591" s="381" t="s">
        <v>4626</v>
      </c>
      <c r="AF591" s="84"/>
    </row>
    <row r="592" spans="1:32" s="185" customFormat="1" ht="14.25" customHeight="1" thickBot="1">
      <c r="A592" s="353">
        <v>16050</v>
      </c>
      <c r="B592" s="194" t="s">
        <v>4269</v>
      </c>
      <c r="C592" s="339">
        <f t="shared" si="20"/>
        <v>47005</v>
      </c>
      <c r="D592" s="196" t="s">
        <v>624</v>
      </c>
      <c r="E592" s="187" t="s">
        <v>3608</v>
      </c>
      <c r="F592" s="507">
        <f>SUMIFS(Controle!$R:$R,Controle!$H:$H,produtos_escape2!$A592,Controle!$Z:$Z,"1")</f>
        <v>0</v>
      </c>
      <c r="G592" s="507">
        <f>SUMIFS(Controle!$R:$R,Controle!$H:$H,produtos_escape2!$A592,Controle!$Z:$Z,"2")</f>
        <v>0</v>
      </c>
      <c r="H592" s="507">
        <f>SUMIFS(Controle!$R:$R,Controle!$H:$H,produtos_escape2!$A592,Controle!$Z:$Z,"3")</f>
        <v>0</v>
      </c>
      <c r="I592" s="507">
        <f>SUMIFS(Controle!$R:$R,Controle!$H:$H,produtos_escape2!$A592,Controle!$Z:$Z,"4")</f>
        <v>0</v>
      </c>
      <c r="J592" s="507">
        <f>SUMIFS(Controle!$R:$R,Controle!$H:$H,produtos_escape2!$A592,Controle!$Z:$Z,"5")</f>
        <v>0</v>
      </c>
      <c r="K592" s="507">
        <f>SUMIFS(Controle!$R:$R,Controle!$H:$H,produtos_escape2!$A592,Controle!$Z:$Z,"6")</f>
        <v>2995</v>
      </c>
      <c r="L592" s="507">
        <f t="shared" si="19"/>
        <v>2995</v>
      </c>
      <c r="M592" s="381" t="s">
        <v>4842</v>
      </c>
      <c r="AF592" s="84"/>
    </row>
    <row r="593" spans="1:32" s="185" customFormat="1" ht="14.25" customHeight="1" thickBot="1">
      <c r="A593" s="353">
        <v>16184</v>
      </c>
      <c r="B593" s="194" t="s">
        <v>10585</v>
      </c>
      <c r="C593" s="339">
        <f t="shared" ref="C593" si="21">50000-SUM(F593:K593)</f>
        <v>50000</v>
      </c>
      <c r="D593" s="196" t="s">
        <v>624</v>
      </c>
      <c r="E593" s="187" t="s">
        <v>7207</v>
      </c>
      <c r="F593" s="507">
        <f>SUMIFS(Controle!$R:$R,Controle!$H:$H,produtos_escape2!$A593,Controle!$Z:$Z,"1")</f>
        <v>0</v>
      </c>
      <c r="G593" s="507">
        <f>SUMIFS(Controle!$R:$R,Controle!$H:$H,produtos_escape2!$A593,Controle!$Z:$Z,"2")</f>
        <v>0</v>
      </c>
      <c r="H593" s="507">
        <f>SUMIFS(Controle!$R:$R,Controle!$H:$H,produtos_escape2!$A593,Controle!$Z:$Z,"3")</f>
        <v>0</v>
      </c>
      <c r="I593" s="507">
        <f>SUMIFS(Controle!$R:$R,Controle!$H:$H,produtos_escape2!$A593,Controle!$Z:$Z,"4")</f>
        <v>0</v>
      </c>
      <c r="J593" s="507">
        <f>SUMIFS(Controle!$R:$R,Controle!$H:$H,produtos_escape2!$A593,Controle!$Z:$Z,"5")</f>
        <v>0</v>
      </c>
      <c r="K593" s="507">
        <f>SUMIFS(Controle!$R:$R,Controle!$H:$H,produtos_escape2!$A593,Controle!$Z:$Z,"6")</f>
        <v>0</v>
      </c>
      <c r="L593" s="507">
        <f t="shared" si="19"/>
        <v>0</v>
      </c>
      <c r="M593" s="381" t="s">
        <v>10586</v>
      </c>
      <c r="AF593" s="84"/>
    </row>
    <row r="594" spans="1:32" s="185" customFormat="1" ht="14.25" customHeight="1" thickBot="1">
      <c r="A594" s="353">
        <v>16185</v>
      </c>
      <c r="B594" s="194" t="s">
        <v>8432</v>
      </c>
      <c r="C594" s="339">
        <f t="shared" si="20"/>
        <v>32423</v>
      </c>
      <c r="D594" s="196" t="s">
        <v>624</v>
      </c>
      <c r="E594" s="187" t="s">
        <v>7207</v>
      </c>
      <c r="F594" s="507">
        <f>SUMIFS(Controle!$R:$R,Controle!$H:$H,produtos_escape2!$A594,Controle!$Z:$Z,"1")</f>
        <v>0</v>
      </c>
      <c r="G594" s="507">
        <f>SUMIFS(Controle!$R:$R,Controle!$H:$H,produtos_escape2!$A594,Controle!$Z:$Z,"2")</f>
        <v>0</v>
      </c>
      <c r="H594" s="507">
        <f>SUMIFS(Controle!$R:$R,Controle!$H:$H,produtos_escape2!$A594,Controle!$Z:$Z,"3")</f>
        <v>0</v>
      </c>
      <c r="I594" s="507">
        <f>SUMIFS(Controle!$R:$R,Controle!$H:$H,produtos_escape2!$A594,Controle!$Z:$Z,"4")</f>
        <v>17577</v>
      </c>
      <c r="J594" s="507">
        <f>SUMIFS(Controle!$R:$R,Controle!$H:$H,produtos_escape2!$A594,Controle!$Z:$Z,"5")</f>
        <v>0</v>
      </c>
      <c r="K594" s="507">
        <f>SUMIFS(Controle!$R:$R,Controle!$H:$H,produtos_escape2!$A594,Controle!$Z:$Z,"6")</f>
        <v>0</v>
      </c>
      <c r="L594" s="507">
        <f t="shared" si="19"/>
        <v>17577</v>
      </c>
      <c r="M594" s="381" t="s">
        <v>8451</v>
      </c>
      <c r="AF594" s="84"/>
    </row>
    <row r="595" spans="1:32" s="185" customFormat="1" ht="14.25" customHeight="1" thickBot="1">
      <c r="A595" s="353">
        <v>16186</v>
      </c>
      <c r="B595" s="194" t="s">
        <v>8435</v>
      </c>
      <c r="C595" s="339">
        <f t="shared" si="20"/>
        <v>45100</v>
      </c>
      <c r="D595" s="196" t="s">
        <v>624</v>
      </c>
      <c r="E595" s="187" t="s">
        <v>7207</v>
      </c>
      <c r="F595" s="507">
        <f>SUMIFS(Controle!$R:$R,Controle!$H:$H,produtos_escape2!$A595,Controle!$Z:$Z,"1")</f>
        <v>0</v>
      </c>
      <c r="G595" s="507">
        <f>SUMIFS(Controle!$R:$R,Controle!$H:$H,produtos_escape2!$A595,Controle!$Z:$Z,"2")</f>
        <v>0</v>
      </c>
      <c r="H595" s="507">
        <f>SUMIFS(Controle!$R:$R,Controle!$H:$H,produtos_escape2!$A595,Controle!$Z:$Z,"3")</f>
        <v>0</v>
      </c>
      <c r="I595" s="507">
        <f>SUMIFS(Controle!$R:$R,Controle!$H:$H,produtos_escape2!$A595,Controle!$Z:$Z,"4")</f>
        <v>4900</v>
      </c>
      <c r="J595" s="507">
        <f>SUMIFS(Controle!$R:$R,Controle!$H:$H,produtos_escape2!$A595,Controle!$Z:$Z,"5")</f>
        <v>0</v>
      </c>
      <c r="K595" s="507">
        <f>SUMIFS(Controle!$R:$R,Controle!$H:$H,produtos_escape2!$A595,Controle!$Z:$Z,"6")</f>
        <v>0</v>
      </c>
      <c r="L595" s="507">
        <f t="shared" si="19"/>
        <v>4900</v>
      </c>
      <c r="M595" s="381" t="s">
        <v>8451</v>
      </c>
      <c r="AF595" s="84"/>
    </row>
    <row r="596" spans="1:32" s="185" customFormat="1" ht="14.25" customHeight="1" thickBot="1">
      <c r="A596" s="353">
        <v>16194</v>
      </c>
      <c r="B596" s="194" t="s">
        <v>1800</v>
      </c>
      <c r="C596" s="339">
        <f t="shared" si="20"/>
        <v>50000</v>
      </c>
      <c r="D596" s="191" t="s">
        <v>624</v>
      </c>
      <c r="E596" s="189" t="s">
        <v>7207</v>
      </c>
      <c r="F596" s="507">
        <f>SUMIFS(Controle!$R:$R,Controle!$H:$H,produtos_escape2!$A596,Controle!$Z:$Z,"1")</f>
        <v>0</v>
      </c>
      <c r="G596" s="507">
        <f>SUMIFS(Controle!$R:$R,Controle!$H:$H,produtos_escape2!$A596,Controle!$Z:$Z,"2")</f>
        <v>0</v>
      </c>
      <c r="H596" s="507">
        <f>SUMIFS(Controle!$R:$R,Controle!$H:$H,produtos_escape2!$A596,Controle!$Z:$Z,"3")</f>
        <v>0</v>
      </c>
      <c r="I596" s="507">
        <f>SUMIFS(Controle!$R:$R,Controle!$H:$H,produtos_escape2!$A596,Controle!$Z:$Z,"4")</f>
        <v>0</v>
      </c>
      <c r="J596" s="507">
        <f>SUMIFS(Controle!$R:$R,Controle!$H:$H,produtos_escape2!$A596,Controle!$Z:$Z,"5")</f>
        <v>0</v>
      </c>
      <c r="K596" s="507">
        <f>SUMIFS(Controle!$R:$R,Controle!$H:$H,produtos_escape2!$A596,Controle!$Z:$Z,"6")</f>
        <v>0</v>
      </c>
      <c r="L596" s="507">
        <f t="shared" si="19"/>
        <v>0</v>
      </c>
      <c r="M596" s="381" t="s">
        <v>4844</v>
      </c>
      <c r="AF596" s="84"/>
    </row>
    <row r="597" spans="1:32" s="185" customFormat="1" ht="14.25" customHeight="1" thickBot="1">
      <c r="A597" s="333">
        <v>16195</v>
      </c>
      <c r="B597" s="194" t="s">
        <v>1728</v>
      </c>
      <c r="C597" s="339">
        <f t="shared" si="20"/>
        <v>50000</v>
      </c>
      <c r="D597" s="191" t="s">
        <v>624</v>
      </c>
      <c r="E597" s="189" t="s">
        <v>7207</v>
      </c>
      <c r="F597" s="507">
        <f>SUMIFS(Controle!$R:$R,Controle!$H:$H,produtos_escape2!$A597,Controle!$Z:$Z,"1")</f>
        <v>0</v>
      </c>
      <c r="G597" s="507">
        <f>SUMIFS(Controle!$R:$R,Controle!$H:$H,produtos_escape2!$A597,Controle!$Z:$Z,"2")</f>
        <v>0</v>
      </c>
      <c r="H597" s="507">
        <f>SUMIFS(Controle!$R:$R,Controle!$H:$H,produtos_escape2!$A597,Controle!$Z:$Z,"3")</f>
        <v>0</v>
      </c>
      <c r="I597" s="507">
        <f>SUMIFS(Controle!$R:$R,Controle!$H:$H,produtos_escape2!$A597,Controle!$Z:$Z,"4")</f>
        <v>0</v>
      </c>
      <c r="J597" s="507">
        <f>SUMIFS(Controle!$R:$R,Controle!$H:$H,produtos_escape2!$A597,Controle!$Z:$Z,"5")</f>
        <v>0</v>
      </c>
      <c r="K597" s="507">
        <f>SUMIFS(Controle!$R:$R,Controle!$H:$H,produtos_escape2!$A597,Controle!$Z:$Z,"6")</f>
        <v>0</v>
      </c>
      <c r="L597" s="507">
        <f t="shared" si="19"/>
        <v>0</v>
      </c>
      <c r="M597" s="381" t="s">
        <v>4844</v>
      </c>
      <c r="AF597" s="84"/>
    </row>
    <row r="598" spans="1:32" s="185" customFormat="1" ht="14.25" customHeight="1" thickBot="1">
      <c r="A598" s="353">
        <v>16197</v>
      </c>
      <c r="B598" s="338" t="s">
        <v>1729</v>
      </c>
      <c r="C598" s="339">
        <f t="shared" si="20"/>
        <v>50000</v>
      </c>
      <c r="D598" s="191" t="s">
        <v>624</v>
      </c>
      <c r="E598" s="189" t="s">
        <v>7207</v>
      </c>
      <c r="F598" s="507">
        <f>SUMIFS(Controle!$R:$R,Controle!$H:$H,produtos_escape2!$A598,Controle!$Z:$Z,"1")</f>
        <v>0</v>
      </c>
      <c r="G598" s="507">
        <f>SUMIFS(Controle!$R:$R,Controle!$H:$H,produtos_escape2!$A598,Controle!$Z:$Z,"2")</f>
        <v>0</v>
      </c>
      <c r="H598" s="507">
        <f>SUMIFS(Controle!$R:$R,Controle!$H:$H,produtos_escape2!$A598,Controle!$Z:$Z,"3")</f>
        <v>0</v>
      </c>
      <c r="I598" s="507">
        <f>SUMIFS(Controle!$R:$R,Controle!$H:$H,produtos_escape2!$A598,Controle!$Z:$Z,"4")</f>
        <v>0</v>
      </c>
      <c r="J598" s="507">
        <f>SUMIFS(Controle!$R:$R,Controle!$H:$H,produtos_escape2!$A598,Controle!$Z:$Z,"5")</f>
        <v>0</v>
      </c>
      <c r="K598" s="507">
        <f>SUMIFS(Controle!$R:$R,Controle!$H:$H,produtos_escape2!$A598,Controle!$Z:$Z,"6")</f>
        <v>0</v>
      </c>
      <c r="L598" s="507">
        <f t="shared" si="19"/>
        <v>0</v>
      </c>
      <c r="M598" s="381" t="s">
        <v>4844</v>
      </c>
      <c r="AF598" s="84"/>
    </row>
    <row r="599" spans="1:32" s="185" customFormat="1" ht="14.25" customHeight="1" thickBot="1">
      <c r="A599" s="353">
        <v>16204</v>
      </c>
      <c r="B599" s="194" t="s">
        <v>2607</v>
      </c>
      <c r="C599" s="339">
        <f t="shared" si="20"/>
        <v>50000</v>
      </c>
      <c r="D599" s="191" t="s">
        <v>624</v>
      </c>
      <c r="E599" s="189" t="s">
        <v>7207</v>
      </c>
      <c r="F599" s="507">
        <f>SUMIFS(Controle!$R:$R,Controle!$H:$H,produtos_escape2!$A599,Controle!$Z:$Z,"1")</f>
        <v>0</v>
      </c>
      <c r="G599" s="507">
        <f>SUMIFS(Controle!$R:$R,Controle!$H:$H,produtos_escape2!$A599,Controle!$Z:$Z,"2")</f>
        <v>0</v>
      </c>
      <c r="H599" s="507">
        <f>SUMIFS(Controle!$R:$R,Controle!$H:$H,produtos_escape2!$A599,Controle!$Z:$Z,"3")</f>
        <v>0</v>
      </c>
      <c r="I599" s="507">
        <f>SUMIFS(Controle!$R:$R,Controle!$H:$H,produtos_escape2!$A599,Controle!$Z:$Z,"4")</f>
        <v>0</v>
      </c>
      <c r="J599" s="507">
        <f>SUMIFS(Controle!$R:$R,Controle!$H:$H,produtos_escape2!$A599,Controle!$Z:$Z,"5")</f>
        <v>0</v>
      </c>
      <c r="K599" s="507">
        <f>SUMIFS(Controle!$R:$R,Controle!$H:$H,produtos_escape2!$A599,Controle!$Z:$Z,"6")</f>
        <v>0</v>
      </c>
      <c r="L599" s="507">
        <f t="shared" si="19"/>
        <v>0</v>
      </c>
      <c r="M599" s="381" t="s">
        <v>4843</v>
      </c>
      <c r="AF599" s="84"/>
    </row>
    <row r="600" spans="1:32" s="185" customFormat="1" ht="14.25" customHeight="1" thickBot="1">
      <c r="A600" s="353">
        <v>16206</v>
      </c>
      <c r="B600" s="194" t="s">
        <v>4260</v>
      </c>
      <c r="C600" s="339">
        <f t="shared" si="20"/>
        <v>50000</v>
      </c>
      <c r="D600" s="191" t="s">
        <v>624</v>
      </c>
      <c r="E600" s="189" t="s">
        <v>7207</v>
      </c>
      <c r="F600" s="507">
        <f>SUMIFS(Controle!$R:$R,Controle!$H:$H,produtos_escape2!$A600,Controle!$Z:$Z,"1")</f>
        <v>0</v>
      </c>
      <c r="G600" s="507">
        <f>SUMIFS(Controle!$R:$R,Controle!$H:$H,produtos_escape2!$A600,Controle!$Z:$Z,"2")</f>
        <v>0</v>
      </c>
      <c r="H600" s="507">
        <f>SUMIFS(Controle!$R:$R,Controle!$H:$H,produtos_escape2!$A600,Controle!$Z:$Z,"3")</f>
        <v>0</v>
      </c>
      <c r="I600" s="507">
        <f>SUMIFS(Controle!$R:$R,Controle!$H:$H,produtos_escape2!$A600,Controle!$Z:$Z,"4")</f>
        <v>0</v>
      </c>
      <c r="J600" s="507">
        <f>SUMIFS(Controle!$R:$R,Controle!$H:$H,produtos_escape2!$A600,Controle!$Z:$Z,"5")</f>
        <v>0</v>
      </c>
      <c r="K600" s="507">
        <f>SUMIFS(Controle!$R:$R,Controle!$H:$H,produtos_escape2!$A600,Controle!$Z:$Z,"6")</f>
        <v>0</v>
      </c>
      <c r="L600" s="507">
        <f t="shared" si="19"/>
        <v>0</v>
      </c>
      <c r="M600" s="381" t="s">
        <v>4845</v>
      </c>
      <c r="AF600" s="84"/>
    </row>
    <row r="601" spans="1:32" s="185" customFormat="1" ht="14.25" customHeight="1" thickBot="1">
      <c r="A601" s="353">
        <v>16207</v>
      </c>
      <c r="B601" s="194" t="s">
        <v>10074</v>
      </c>
      <c r="C601" s="339">
        <f t="shared" si="20"/>
        <v>50000</v>
      </c>
      <c r="D601" s="191" t="s">
        <v>624</v>
      </c>
      <c r="E601" s="189" t="s">
        <v>7207</v>
      </c>
      <c r="F601" s="507">
        <f>SUMIFS(Controle!$R:$R,Controle!$H:$H,produtos_escape2!$A601,Controle!$Z:$Z,"1")</f>
        <v>0</v>
      </c>
      <c r="G601" s="507">
        <f>SUMIFS(Controle!$R:$R,Controle!$H:$H,produtos_escape2!$A601,Controle!$Z:$Z,"2")</f>
        <v>0</v>
      </c>
      <c r="H601" s="507">
        <f>SUMIFS(Controle!$R:$R,Controle!$H:$H,produtos_escape2!$A601,Controle!$Z:$Z,"3")</f>
        <v>0</v>
      </c>
      <c r="I601" s="507">
        <f>SUMIFS(Controle!$R:$R,Controle!$H:$H,produtos_escape2!$A601,Controle!$Z:$Z,"4")</f>
        <v>0</v>
      </c>
      <c r="J601" s="507">
        <f>SUMIFS(Controle!$R:$R,Controle!$H:$H,produtos_escape2!$A601,Controle!$Z:$Z,"5")</f>
        <v>0</v>
      </c>
      <c r="K601" s="507">
        <f>SUMIFS(Controle!$R:$R,Controle!$H:$H,produtos_escape2!$A601,Controle!$Z:$Z,"6")</f>
        <v>0</v>
      </c>
      <c r="L601" s="507">
        <f t="shared" si="19"/>
        <v>0</v>
      </c>
      <c r="M601" s="381" t="s">
        <v>4846</v>
      </c>
      <c r="AF601" s="84"/>
    </row>
    <row r="602" spans="1:32" s="185" customFormat="1" ht="14.25" customHeight="1" thickBot="1">
      <c r="A602" s="353">
        <v>16208</v>
      </c>
      <c r="B602" s="194" t="s">
        <v>88</v>
      </c>
      <c r="C602" s="339">
        <f t="shared" si="20"/>
        <v>50000</v>
      </c>
      <c r="D602" s="196" t="s">
        <v>624</v>
      </c>
      <c r="E602" s="187" t="s">
        <v>7207</v>
      </c>
      <c r="F602" s="507">
        <f>SUMIFS(Controle!$R:$R,Controle!$H:$H,produtos_escape2!$A602,Controle!$Z:$Z,"1")</f>
        <v>0</v>
      </c>
      <c r="G602" s="507">
        <f>SUMIFS(Controle!$R:$R,Controle!$H:$H,produtos_escape2!$A602,Controle!$Z:$Z,"2")</f>
        <v>0</v>
      </c>
      <c r="H602" s="507">
        <f>SUMIFS(Controle!$R:$R,Controle!$H:$H,produtos_escape2!$A602,Controle!$Z:$Z,"3")</f>
        <v>0</v>
      </c>
      <c r="I602" s="507">
        <f>SUMIFS(Controle!$R:$R,Controle!$H:$H,produtos_escape2!$A602,Controle!$Z:$Z,"4")</f>
        <v>0</v>
      </c>
      <c r="J602" s="507">
        <f>SUMIFS(Controle!$R:$R,Controle!$H:$H,produtos_escape2!$A602,Controle!$Z:$Z,"5")</f>
        <v>0</v>
      </c>
      <c r="K602" s="507">
        <f>SUMIFS(Controle!$R:$R,Controle!$H:$H,produtos_escape2!$A602,Controle!$Z:$Z,"6")</f>
        <v>0</v>
      </c>
      <c r="L602" s="507">
        <f t="shared" si="19"/>
        <v>0</v>
      </c>
      <c r="M602" s="381" t="s">
        <v>4825</v>
      </c>
      <c r="AF602" s="84"/>
    </row>
    <row r="603" spans="1:32" s="185" customFormat="1" ht="14.25" customHeight="1" thickBot="1">
      <c r="A603" s="353">
        <v>16308</v>
      </c>
      <c r="B603" s="194" t="s">
        <v>1536</v>
      </c>
      <c r="C603" s="339">
        <f t="shared" si="20"/>
        <v>50000</v>
      </c>
      <c r="D603" s="196" t="s">
        <v>624</v>
      </c>
      <c r="E603" s="187"/>
      <c r="F603" s="507">
        <f>SUMIFS(Controle!$R:$R,Controle!$H:$H,produtos_escape2!$A603,Controle!$Z:$Z,"1")</f>
        <v>0</v>
      </c>
      <c r="G603" s="507">
        <f>SUMIFS(Controle!$R:$R,Controle!$H:$H,produtos_escape2!$A603,Controle!$Z:$Z,"2")</f>
        <v>0</v>
      </c>
      <c r="H603" s="507">
        <f>SUMIFS(Controle!$R:$R,Controle!$H:$H,produtos_escape2!$A603,Controle!$Z:$Z,"3")</f>
        <v>0</v>
      </c>
      <c r="I603" s="507">
        <f>SUMIFS(Controle!$R:$R,Controle!$H:$H,produtos_escape2!$A603,Controle!$Z:$Z,"4")</f>
        <v>0</v>
      </c>
      <c r="J603" s="507">
        <f>SUMIFS(Controle!$R:$R,Controle!$H:$H,produtos_escape2!$A603,Controle!$Z:$Z,"5")</f>
        <v>0</v>
      </c>
      <c r="K603" s="507">
        <f>SUMIFS(Controle!$R:$R,Controle!$H:$H,produtos_escape2!$A603,Controle!$Z:$Z,"6")</f>
        <v>0</v>
      </c>
      <c r="L603" s="507">
        <f t="shared" si="19"/>
        <v>0</v>
      </c>
      <c r="M603" s="381" t="s">
        <v>4847</v>
      </c>
      <c r="AF603" s="84"/>
    </row>
    <row r="604" spans="1:32" s="185" customFormat="1" ht="13.15" customHeight="1" thickBot="1">
      <c r="A604" s="353">
        <v>16329</v>
      </c>
      <c r="B604" s="194" t="s">
        <v>2608</v>
      </c>
      <c r="C604" s="339">
        <f t="shared" si="20"/>
        <v>45815</v>
      </c>
      <c r="D604" s="196" t="s">
        <v>624</v>
      </c>
      <c r="E604" s="187" t="s">
        <v>7207</v>
      </c>
      <c r="F604" s="507">
        <f>SUMIFS(Controle!$R:$R,Controle!$H:$H,produtos_escape2!$A604,Controle!$Z:$Z,"1")</f>
        <v>0</v>
      </c>
      <c r="G604" s="507">
        <f>SUMIFS(Controle!$R:$R,Controle!$H:$H,produtos_escape2!$A604,Controle!$Z:$Z,"2")</f>
        <v>0</v>
      </c>
      <c r="H604" s="507">
        <f>SUMIFS(Controle!$R:$R,Controle!$H:$H,produtos_escape2!$A604,Controle!$Z:$Z,"3")</f>
        <v>0</v>
      </c>
      <c r="I604" s="507">
        <f>SUMIFS(Controle!$R:$R,Controle!$H:$H,produtos_escape2!$A604,Controle!$Z:$Z,"4")</f>
        <v>4185</v>
      </c>
      <c r="J604" s="507">
        <f>SUMIFS(Controle!$R:$R,Controle!$H:$H,produtos_escape2!$A604,Controle!$Z:$Z,"5")</f>
        <v>0</v>
      </c>
      <c r="K604" s="507">
        <f>SUMIFS(Controle!$R:$R,Controle!$H:$H,produtos_escape2!$A604,Controle!$Z:$Z,"6")</f>
        <v>0</v>
      </c>
      <c r="L604" s="507">
        <f t="shared" si="19"/>
        <v>4185</v>
      </c>
      <c r="M604" s="381" t="s">
        <v>4848</v>
      </c>
      <c r="AF604" s="84"/>
    </row>
    <row r="605" spans="1:32" s="185" customFormat="1" ht="13.9" customHeight="1" thickBot="1">
      <c r="A605" s="333">
        <v>16359</v>
      </c>
      <c r="B605" s="194" t="s">
        <v>401</v>
      </c>
      <c r="C605" s="339">
        <f t="shared" si="20"/>
        <v>50000</v>
      </c>
      <c r="D605" s="196"/>
      <c r="E605" s="187"/>
      <c r="F605" s="507">
        <f>SUMIFS(Controle!$R:$R,Controle!$H:$H,produtos_escape2!$A605,Controle!$Z:$Z,"1")</f>
        <v>0</v>
      </c>
      <c r="G605" s="507">
        <f>SUMIFS(Controle!$R:$R,Controle!$H:$H,produtos_escape2!$A605,Controle!$Z:$Z,"2")</f>
        <v>0</v>
      </c>
      <c r="H605" s="507">
        <f>SUMIFS(Controle!$R:$R,Controle!$H:$H,produtos_escape2!$A605,Controle!$Z:$Z,"3")</f>
        <v>0</v>
      </c>
      <c r="I605" s="507">
        <f>SUMIFS(Controle!$R:$R,Controle!$H:$H,produtos_escape2!$A605,Controle!$Z:$Z,"4")</f>
        <v>0</v>
      </c>
      <c r="J605" s="507">
        <f>SUMIFS(Controle!$R:$R,Controle!$H:$H,produtos_escape2!$A605,Controle!$Z:$Z,"5")</f>
        <v>0</v>
      </c>
      <c r="K605" s="507">
        <f>SUMIFS(Controle!$R:$R,Controle!$H:$H,produtos_escape2!$A605,Controle!$Z:$Z,"6")</f>
        <v>0</v>
      </c>
      <c r="L605" s="507">
        <f t="shared" si="19"/>
        <v>0</v>
      </c>
      <c r="M605" s="381" t="s">
        <v>4849</v>
      </c>
      <c r="AF605" s="84"/>
    </row>
    <row r="606" spans="1:32" s="185" customFormat="1" ht="13.9" customHeight="1" thickBot="1">
      <c r="A606" s="333">
        <v>16372</v>
      </c>
      <c r="B606" s="194" t="s">
        <v>6948</v>
      </c>
      <c r="C606" s="339">
        <f t="shared" si="20"/>
        <v>50000</v>
      </c>
      <c r="D606" s="196" t="s">
        <v>624</v>
      </c>
      <c r="E606" s="187" t="s">
        <v>7207</v>
      </c>
      <c r="F606" s="507">
        <f>SUMIFS(Controle!$R:$R,Controle!$H:$H,produtos_escape2!$A606,Controle!$Z:$Z,"1")</f>
        <v>0</v>
      </c>
      <c r="G606" s="507">
        <f>SUMIFS(Controle!$R:$R,Controle!$H:$H,produtos_escape2!$A606,Controle!$Z:$Z,"2")</f>
        <v>0</v>
      </c>
      <c r="H606" s="507">
        <f>SUMIFS(Controle!$R:$R,Controle!$H:$H,produtos_escape2!$A606,Controle!$Z:$Z,"3")</f>
        <v>0</v>
      </c>
      <c r="I606" s="507">
        <f>SUMIFS(Controle!$R:$R,Controle!$H:$H,produtos_escape2!$A606,Controle!$Z:$Z,"4")</f>
        <v>0</v>
      </c>
      <c r="J606" s="507">
        <f>SUMIFS(Controle!$R:$R,Controle!$H:$H,produtos_escape2!$A606,Controle!$Z:$Z,"5")</f>
        <v>0</v>
      </c>
      <c r="K606" s="507">
        <f>SUMIFS(Controle!$R:$R,Controle!$H:$H,produtos_escape2!$A606,Controle!$Z:$Z,"6")</f>
        <v>0</v>
      </c>
      <c r="L606" s="507">
        <f t="shared" si="19"/>
        <v>0</v>
      </c>
      <c r="M606" s="381" t="s">
        <v>4850</v>
      </c>
      <c r="AF606" s="84"/>
    </row>
    <row r="607" spans="1:32" s="185" customFormat="1" ht="14.25" customHeight="1" thickBot="1">
      <c r="A607" s="353">
        <v>16388</v>
      </c>
      <c r="B607" s="338" t="s">
        <v>1298</v>
      </c>
      <c r="C607" s="339">
        <f t="shared" si="20"/>
        <v>50000</v>
      </c>
      <c r="D607" s="196" t="s">
        <v>624</v>
      </c>
      <c r="E607" s="187" t="s">
        <v>7207</v>
      </c>
      <c r="F607" s="507">
        <f>SUMIFS(Controle!$R:$R,Controle!$H:$H,produtos_escape2!$A607,Controle!$Z:$Z,"1")</f>
        <v>0</v>
      </c>
      <c r="G607" s="507">
        <f>SUMIFS(Controle!$R:$R,Controle!$H:$H,produtos_escape2!$A607,Controle!$Z:$Z,"2")</f>
        <v>0</v>
      </c>
      <c r="H607" s="507">
        <f>SUMIFS(Controle!$R:$R,Controle!$H:$H,produtos_escape2!$A607,Controle!$Z:$Z,"3")</f>
        <v>0</v>
      </c>
      <c r="I607" s="507">
        <f>SUMIFS(Controle!$R:$R,Controle!$H:$H,produtos_escape2!$A607,Controle!$Z:$Z,"4")</f>
        <v>0</v>
      </c>
      <c r="J607" s="507">
        <f>SUMIFS(Controle!$R:$R,Controle!$H:$H,produtos_escape2!$A607,Controle!$Z:$Z,"5")</f>
        <v>0</v>
      </c>
      <c r="K607" s="507">
        <f>SUMIFS(Controle!$R:$R,Controle!$H:$H,produtos_escape2!$A607,Controle!$Z:$Z,"6")</f>
        <v>0</v>
      </c>
      <c r="L607" s="507">
        <f t="shared" si="19"/>
        <v>0</v>
      </c>
      <c r="M607" s="381" t="s">
        <v>4850</v>
      </c>
      <c r="AF607" s="84"/>
    </row>
    <row r="608" spans="1:32" s="185" customFormat="1" ht="14.25" customHeight="1" thickBot="1">
      <c r="A608" s="353">
        <v>16397</v>
      </c>
      <c r="B608" s="194" t="s">
        <v>352</v>
      </c>
      <c r="C608" s="339">
        <f t="shared" si="20"/>
        <v>50000</v>
      </c>
      <c r="D608" s="196"/>
      <c r="E608" s="187" t="s">
        <v>7207</v>
      </c>
      <c r="F608" s="507">
        <f>SUMIFS(Controle!$R:$R,Controle!$H:$H,produtos_escape2!$A608,Controle!$Z:$Z,"1")</f>
        <v>0</v>
      </c>
      <c r="G608" s="507">
        <f>SUMIFS(Controle!$R:$R,Controle!$H:$H,produtos_escape2!$A608,Controle!$Z:$Z,"2")</f>
        <v>0</v>
      </c>
      <c r="H608" s="507">
        <f>SUMIFS(Controle!$R:$R,Controle!$H:$H,produtos_escape2!$A608,Controle!$Z:$Z,"3")</f>
        <v>0</v>
      </c>
      <c r="I608" s="507">
        <f>SUMIFS(Controle!$R:$R,Controle!$H:$H,produtos_escape2!$A608,Controle!$Z:$Z,"4")</f>
        <v>0</v>
      </c>
      <c r="J608" s="507">
        <f>SUMIFS(Controle!$R:$R,Controle!$H:$H,produtos_escape2!$A608,Controle!$Z:$Z,"5")</f>
        <v>0</v>
      </c>
      <c r="K608" s="507">
        <f>SUMIFS(Controle!$R:$R,Controle!$H:$H,produtos_escape2!$A608,Controle!$Z:$Z,"6")</f>
        <v>0</v>
      </c>
      <c r="L608" s="507">
        <f t="shared" si="19"/>
        <v>0</v>
      </c>
      <c r="M608" s="381" t="s">
        <v>4851</v>
      </c>
      <c r="AF608" s="84"/>
    </row>
    <row r="609" spans="1:32" s="185" customFormat="1" ht="14.25" customHeight="1" thickBot="1">
      <c r="A609" s="353">
        <v>16398</v>
      </c>
      <c r="B609" s="194" t="s">
        <v>4496</v>
      </c>
      <c r="C609" s="339">
        <f t="shared" si="20"/>
        <v>50000</v>
      </c>
      <c r="D609" s="196" t="s">
        <v>624</v>
      </c>
      <c r="E609" s="187" t="s">
        <v>7207</v>
      </c>
      <c r="F609" s="507">
        <f>SUMIFS(Controle!$R:$R,Controle!$H:$H,produtos_escape2!$A609,Controle!$Z:$Z,"1")</f>
        <v>0</v>
      </c>
      <c r="G609" s="507">
        <f>SUMIFS(Controle!$R:$R,Controle!$H:$H,produtos_escape2!$A609,Controle!$Z:$Z,"2")</f>
        <v>0</v>
      </c>
      <c r="H609" s="507">
        <f>SUMIFS(Controle!$R:$R,Controle!$H:$H,produtos_escape2!$A609,Controle!$Z:$Z,"3")</f>
        <v>0</v>
      </c>
      <c r="I609" s="507">
        <f>SUMIFS(Controle!$R:$R,Controle!$H:$H,produtos_escape2!$A609,Controle!$Z:$Z,"4")</f>
        <v>0</v>
      </c>
      <c r="J609" s="507">
        <f>SUMIFS(Controle!$R:$R,Controle!$H:$H,produtos_escape2!$A609,Controle!$Z:$Z,"5")</f>
        <v>0</v>
      </c>
      <c r="K609" s="507">
        <f>SUMIFS(Controle!$R:$R,Controle!$H:$H,produtos_escape2!$A609,Controle!$Z:$Z,"6")</f>
        <v>0</v>
      </c>
      <c r="L609" s="507">
        <f t="shared" si="19"/>
        <v>0</v>
      </c>
      <c r="M609" s="381" t="s">
        <v>4762</v>
      </c>
      <c r="AF609" s="84"/>
    </row>
    <row r="610" spans="1:32" s="185" customFormat="1" ht="14.25" customHeight="1" thickBot="1">
      <c r="A610" s="353">
        <v>16401</v>
      </c>
      <c r="B610" s="194" t="s">
        <v>4494</v>
      </c>
      <c r="C610" s="339">
        <f t="shared" si="20"/>
        <v>50000</v>
      </c>
      <c r="D610" s="196" t="s">
        <v>624</v>
      </c>
      <c r="E610" s="187" t="s">
        <v>7207</v>
      </c>
      <c r="F610" s="507">
        <f>SUMIFS(Controle!$R:$R,Controle!$H:$H,produtos_escape2!$A610,Controle!$Z:$Z,"1")</f>
        <v>0</v>
      </c>
      <c r="G610" s="507">
        <f>SUMIFS(Controle!$R:$R,Controle!$H:$H,produtos_escape2!$A610,Controle!$Z:$Z,"2")</f>
        <v>0</v>
      </c>
      <c r="H610" s="507">
        <f>SUMIFS(Controle!$R:$R,Controle!$H:$H,produtos_escape2!$A610,Controle!$Z:$Z,"3")</f>
        <v>0</v>
      </c>
      <c r="I610" s="507">
        <f>SUMIFS(Controle!$R:$R,Controle!$H:$H,produtos_escape2!$A610,Controle!$Z:$Z,"4")</f>
        <v>0</v>
      </c>
      <c r="J610" s="507">
        <f>SUMIFS(Controle!$R:$R,Controle!$H:$H,produtos_escape2!$A610,Controle!$Z:$Z,"5")</f>
        <v>0</v>
      </c>
      <c r="K610" s="507">
        <f>SUMIFS(Controle!$R:$R,Controle!$H:$H,produtos_escape2!$A610,Controle!$Z:$Z,"6")</f>
        <v>0</v>
      </c>
      <c r="L610" s="507">
        <f t="shared" si="19"/>
        <v>0</v>
      </c>
      <c r="M610" s="381" t="s">
        <v>4762</v>
      </c>
      <c r="AF610" s="84"/>
    </row>
    <row r="611" spans="1:32" s="185" customFormat="1" ht="14.25" customHeight="1" thickBot="1">
      <c r="A611" s="353">
        <v>16409</v>
      </c>
      <c r="B611" s="194" t="s">
        <v>4495</v>
      </c>
      <c r="C611" s="339">
        <f t="shared" si="20"/>
        <v>50000</v>
      </c>
      <c r="D611" s="196" t="s">
        <v>624</v>
      </c>
      <c r="E611" s="187" t="s">
        <v>7207</v>
      </c>
      <c r="F611" s="507">
        <f>SUMIFS(Controle!$R:$R,Controle!$H:$H,produtos_escape2!$A611,Controle!$Z:$Z,"1")</f>
        <v>0</v>
      </c>
      <c r="G611" s="507">
        <f>SUMIFS(Controle!$R:$R,Controle!$H:$H,produtos_escape2!$A611,Controle!$Z:$Z,"2")</f>
        <v>0</v>
      </c>
      <c r="H611" s="507">
        <f>SUMIFS(Controle!$R:$R,Controle!$H:$H,produtos_escape2!$A611,Controle!$Z:$Z,"3")</f>
        <v>0</v>
      </c>
      <c r="I611" s="507">
        <f>SUMIFS(Controle!$R:$R,Controle!$H:$H,produtos_escape2!$A611,Controle!$Z:$Z,"4")</f>
        <v>0</v>
      </c>
      <c r="J611" s="507">
        <f>SUMIFS(Controle!$R:$R,Controle!$H:$H,produtos_escape2!$A611,Controle!$Z:$Z,"5")</f>
        <v>0</v>
      </c>
      <c r="K611" s="507">
        <f>SUMIFS(Controle!$R:$R,Controle!$H:$H,produtos_escape2!$A611,Controle!$Z:$Z,"6")</f>
        <v>0</v>
      </c>
      <c r="L611" s="507">
        <f t="shared" si="19"/>
        <v>0</v>
      </c>
      <c r="M611" s="381" t="s">
        <v>4762</v>
      </c>
      <c r="AF611" s="84"/>
    </row>
    <row r="612" spans="1:32" s="185" customFormat="1" ht="14.25" customHeight="1" thickBot="1">
      <c r="A612" s="353">
        <v>16488</v>
      </c>
      <c r="B612" s="194" t="s">
        <v>8830</v>
      </c>
      <c r="C612" s="339">
        <f t="shared" si="20"/>
        <v>27650</v>
      </c>
      <c r="D612" s="196" t="s">
        <v>624</v>
      </c>
      <c r="E612" s="189" t="s">
        <v>7207</v>
      </c>
      <c r="F612" s="507">
        <f>SUMIFS(Controle!$R:$R,Controle!$H:$H,produtos_escape2!$A612,Controle!$Z:$Z,"1")</f>
        <v>0</v>
      </c>
      <c r="G612" s="507">
        <f>SUMIFS(Controle!$R:$R,Controle!$H:$H,produtos_escape2!$A612,Controle!$Z:$Z,"2")</f>
        <v>0</v>
      </c>
      <c r="H612" s="507">
        <f>SUMIFS(Controle!$R:$R,Controle!$H:$H,produtos_escape2!$A612,Controle!$Z:$Z,"3")</f>
        <v>0</v>
      </c>
      <c r="I612" s="507">
        <f>SUMIFS(Controle!$R:$R,Controle!$H:$H,produtos_escape2!$A612,Controle!$Z:$Z,"4")</f>
        <v>22350</v>
      </c>
      <c r="J612" s="507">
        <f>SUMIFS(Controle!$R:$R,Controle!$H:$H,produtos_escape2!$A612,Controle!$Z:$Z,"5")</f>
        <v>0</v>
      </c>
      <c r="K612" s="507">
        <f>SUMIFS(Controle!$R:$R,Controle!$H:$H,produtos_escape2!$A612,Controle!$Z:$Z,"6")</f>
        <v>0</v>
      </c>
      <c r="L612" s="507">
        <f t="shared" si="19"/>
        <v>22350</v>
      </c>
      <c r="M612" s="381" t="s">
        <v>8831</v>
      </c>
      <c r="AF612" s="84"/>
    </row>
    <row r="613" spans="1:32" s="185" customFormat="1" ht="14.25" customHeight="1" thickBot="1">
      <c r="A613" s="353">
        <v>16788</v>
      </c>
      <c r="B613" s="194" t="s">
        <v>4497</v>
      </c>
      <c r="C613" s="339">
        <f t="shared" si="20"/>
        <v>50000</v>
      </c>
      <c r="D613" s="196" t="s">
        <v>1726</v>
      </c>
      <c r="E613" s="187" t="s">
        <v>7207</v>
      </c>
      <c r="F613" s="507">
        <f>SUMIFS(Controle!$R:$R,Controle!$H:$H,produtos_escape2!$A613,Controle!$Z:$Z,"1")</f>
        <v>0</v>
      </c>
      <c r="G613" s="507">
        <f>SUMIFS(Controle!$R:$R,Controle!$H:$H,produtos_escape2!$A613,Controle!$Z:$Z,"2")</f>
        <v>0</v>
      </c>
      <c r="H613" s="507">
        <f>SUMIFS(Controle!$R:$R,Controle!$H:$H,produtos_escape2!$A613,Controle!$Z:$Z,"3")</f>
        <v>0</v>
      </c>
      <c r="I613" s="507">
        <f>SUMIFS(Controle!$R:$R,Controle!$H:$H,produtos_escape2!$A613,Controle!$Z:$Z,"4")</f>
        <v>0</v>
      </c>
      <c r="J613" s="507">
        <f>SUMIFS(Controle!$R:$R,Controle!$H:$H,produtos_escape2!$A613,Controle!$Z:$Z,"5")</f>
        <v>0</v>
      </c>
      <c r="K613" s="507">
        <f>SUMIFS(Controle!$R:$R,Controle!$H:$H,produtos_escape2!$A613,Controle!$Z:$Z,"6")</f>
        <v>0</v>
      </c>
      <c r="L613" s="507">
        <f t="shared" si="19"/>
        <v>0</v>
      </c>
      <c r="M613" s="381" t="s">
        <v>4852</v>
      </c>
      <c r="AF613" s="84"/>
    </row>
    <row r="614" spans="1:32" s="185" customFormat="1" ht="14.25" customHeight="1" thickBot="1">
      <c r="A614" s="353">
        <v>16789</v>
      </c>
      <c r="B614" s="194" t="s">
        <v>2917</v>
      </c>
      <c r="C614" s="339">
        <f t="shared" si="20"/>
        <v>50000</v>
      </c>
      <c r="D614" s="196" t="s">
        <v>1726</v>
      </c>
      <c r="E614" s="187" t="s">
        <v>7207</v>
      </c>
      <c r="F614" s="507">
        <f>SUMIFS(Controle!$R:$R,Controle!$H:$H,produtos_escape2!$A614,Controle!$Z:$Z,"1")</f>
        <v>0</v>
      </c>
      <c r="G614" s="507">
        <f>SUMIFS(Controle!$R:$R,Controle!$H:$H,produtos_escape2!$A614,Controle!$Z:$Z,"2")</f>
        <v>0</v>
      </c>
      <c r="H614" s="507">
        <f>SUMIFS(Controle!$R:$R,Controle!$H:$H,produtos_escape2!$A614,Controle!$Z:$Z,"3")</f>
        <v>0</v>
      </c>
      <c r="I614" s="507">
        <f>SUMIFS(Controle!$R:$R,Controle!$H:$H,produtos_escape2!$A614,Controle!$Z:$Z,"4")</f>
        <v>0</v>
      </c>
      <c r="J614" s="507">
        <f>SUMIFS(Controle!$R:$R,Controle!$H:$H,produtos_escape2!$A614,Controle!$Z:$Z,"5")</f>
        <v>0</v>
      </c>
      <c r="K614" s="507">
        <f>SUMIFS(Controle!$R:$R,Controle!$H:$H,produtos_escape2!$A614,Controle!$Z:$Z,"6")</f>
        <v>0</v>
      </c>
      <c r="L614" s="507">
        <f t="shared" si="19"/>
        <v>0</v>
      </c>
      <c r="M614" s="381" t="s">
        <v>4852</v>
      </c>
      <c r="AF614" s="84"/>
    </row>
    <row r="615" spans="1:32" s="185" customFormat="1" ht="14.25" customHeight="1" thickBot="1">
      <c r="A615" s="333">
        <v>16790</v>
      </c>
      <c r="B615" s="194" t="s">
        <v>4151</v>
      </c>
      <c r="C615" s="339">
        <f t="shared" si="20"/>
        <v>50000</v>
      </c>
      <c r="D615" s="196" t="s">
        <v>1726</v>
      </c>
      <c r="E615" s="187" t="s">
        <v>7207</v>
      </c>
      <c r="F615" s="507">
        <f>SUMIFS(Controle!$R:$R,Controle!$H:$H,produtos_escape2!$A615,Controle!$Z:$Z,"1")</f>
        <v>0</v>
      </c>
      <c r="G615" s="507">
        <f>SUMIFS(Controle!$R:$R,Controle!$H:$H,produtos_escape2!$A615,Controle!$Z:$Z,"2")</f>
        <v>0</v>
      </c>
      <c r="H615" s="507">
        <f>SUMIFS(Controle!$R:$R,Controle!$H:$H,produtos_escape2!$A615,Controle!$Z:$Z,"3")</f>
        <v>0</v>
      </c>
      <c r="I615" s="507">
        <f>SUMIFS(Controle!$R:$R,Controle!$H:$H,produtos_escape2!$A615,Controle!$Z:$Z,"4")</f>
        <v>0</v>
      </c>
      <c r="J615" s="507">
        <f>SUMIFS(Controle!$R:$R,Controle!$H:$H,produtos_escape2!$A615,Controle!$Z:$Z,"5")</f>
        <v>0</v>
      </c>
      <c r="K615" s="507">
        <f>SUMIFS(Controle!$R:$R,Controle!$H:$H,produtos_escape2!$A615,Controle!$Z:$Z,"6")</f>
        <v>0</v>
      </c>
      <c r="L615" s="507">
        <f t="shared" si="19"/>
        <v>0</v>
      </c>
      <c r="M615" s="381" t="s">
        <v>4852</v>
      </c>
      <c r="AF615" s="84"/>
    </row>
    <row r="616" spans="1:32" s="185" customFormat="1" ht="14.25" customHeight="1" thickBot="1">
      <c r="A616" s="353">
        <v>16817</v>
      </c>
      <c r="B616" s="338" t="s">
        <v>171</v>
      </c>
      <c r="C616" s="339">
        <f t="shared" si="20"/>
        <v>50000</v>
      </c>
      <c r="D616" s="196"/>
      <c r="E616" s="187"/>
      <c r="F616" s="507">
        <f>SUMIFS(Controle!$R:$R,Controle!$H:$H,produtos_escape2!$A616,Controle!$Z:$Z,"1")</f>
        <v>0</v>
      </c>
      <c r="G616" s="507">
        <f>SUMIFS(Controle!$R:$R,Controle!$H:$H,produtos_escape2!$A616,Controle!$Z:$Z,"2")</f>
        <v>0</v>
      </c>
      <c r="H616" s="507">
        <f>SUMIFS(Controle!$R:$R,Controle!$H:$H,produtos_escape2!$A616,Controle!$Z:$Z,"3")</f>
        <v>0</v>
      </c>
      <c r="I616" s="507">
        <f>SUMIFS(Controle!$R:$R,Controle!$H:$H,produtos_escape2!$A616,Controle!$Z:$Z,"4")</f>
        <v>0</v>
      </c>
      <c r="J616" s="507">
        <f>SUMIFS(Controle!$R:$R,Controle!$H:$H,produtos_escape2!$A616,Controle!$Z:$Z,"5")</f>
        <v>0</v>
      </c>
      <c r="K616" s="507">
        <f>SUMIFS(Controle!$R:$R,Controle!$H:$H,produtos_escape2!$A616,Controle!$Z:$Z,"6")</f>
        <v>0</v>
      </c>
      <c r="L616" s="507">
        <f t="shared" si="19"/>
        <v>0</v>
      </c>
      <c r="M616" s="381" t="s">
        <v>4584</v>
      </c>
      <c r="AF616" s="84"/>
    </row>
    <row r="617" spans="1:32" s="185" customFormat="1" ht="14.25" customHeight="1" thickBot="1">
      <c r="A617" s="353">
        <v>16829</v>
      </c>
      <c r="B617" s="194" t="s">
        <v>7529</v>
      </c>
      <c r="C617" s="339">
        <f t="shared" si="20"/>
        <v>50000</v>
      </c>
      <c r="D617" s="196" t="s">
        <v>1726</v>
      </c>
      <c r="E617" s="187" t="s">
        <v>7207</v>
      </c>
      <c r="F617" s="507">
        <f>SUMIFS(Controle!$R:$R,Controle!$H:$H,produtos_escape2!$A617,Controle!$Z:$Z,"1")</f>
        <v>0</v>
      </c>
      <c r="G617" s="507">
        <f>SUMIFS(Controle!$R:$R,Controle!$H:$H,produtos_escape2!$A617,Controle!$Z:$Z,"2")</f>
        <v>0</v>
      </c>
      <c r="H617" s="507">
        <f>SUMIFS(Controle!$R:$R,Controle!$H:$H,produtos_escape2!$A617,Controle!$Z:$Z,"3")</f>
        <v>0</v>
      </c>
      <c r="I617" s="507">
        <f>SUMIFS(Controle!$R:$R,Controle!$H:$H,produtos_escape2!$A617,Controle!$Z:$Z,"4")</f>
        <v>0</v>
      </c>
      <c r="J617" s="507">
        <f>SUMIFS(Controle!$R:$R,Controle!$H:$H,produtos_escape2!$A617,Controle!$Z:$Z,"5")</f>
        <v>0</v>
      </c>
      <c r="K617" s="507">
        <f>SUMIFS(Controle!$R:$R,Controle!$H:$H,produtos_escape2!$A617,Controle!$Z:$Z,"6")</f>
        <v>0</v>
      </c>
      <c r="L617" s="507">
        <f t="shared" si="19"/>
        <v>0</v>
      </c>
      <c r="M617" s="381" t="s">
        <v>4853</v>
      </c>
      <c r="AF617" s="84"/>
    </row>
    <row r="618" spans="1:32" s="185" customFormat="1" ht="14.25" customHeight="1" thickBot="1">
      <c r="A618" s="353">
        <v>16830</v>
      </c>
      <c r="B618" s="194" t="s">
        <v>7530</v>
      </c>
      <c r="C618" s="339">
        <f t="shared" si="20"/>
        <v>50000</v>
      </c>
      <c r="D618" s="196" t="s">
        <v>1726</v>
      </c>
      <c r="E618" s="187" t="s">
        <v>7207</v>
      </c>
      <c r="F618" s="507">
        <f>SUMIFS(Controle!$R:$R,Controle!$H:$H,produtos_escape2!$A618,Controle!$Z:$Z,"1")</f>
        <v>0</v>
      </c>
      <c r="G618" s="507">
        <f>SUMIFS(Controle!$R:$R,Controle!$H:$H,produtos_escape2!$A618,Controle!$Z:$Z,"2")</f>
        <v>0</v>
      </c>
      <c r="H618" s="507">
        <f>SUMIFS(Controle!$R:$R,Controle!$H:$H,produtos_escape2!$A618,Controle!$Z:$Z,"3")</f>
        <v>0</v>
      </c>
      <c r="I618" s="507">
        <f>SUMIFS(Controle!$R:$R,Controle!$H:$H,produtos_escape2!$A618,Controle!$Z:$Z,"4")</f>
        <v>0</v>
      </c>
      <c r="J618" s="507">
        <f>SUMIFS(Controle!$R:$R,Controle!$H:$H,produtos_escape2!$A618,Controle!$Z:$Z,"5")</f>
        <v>0</v>
      </c>
      <c r="K618" s="507">
        <f>SUMIFS(Controle!$R:$R,Controle!$H:$H,produtos_escape2!$A618,Controle!$Z:$Z,"6")</f>
        <v>0</v>
      </c>
      <c r="L618" s="507">
        <f t="shared" si="19"/>
        <v>0</v>
      </c>
      <c r="M618" s="381" t="s">
        <v>4853</v>
      </c>
      <c r="AF618" s="84"/>
    </row>
    <row r="619" spans="1:32" s="185" customFormat="1" ht="14.25" customHeight="1" thickBot="1">
      <c r="A619" s="353">
        <v>16831</v>
      </c>
      <c r="B619" s="194" t="s">
        <v>7531</v>
      </c>
      <c r="C619" s="339">
        <f t="shared" si="20"/>
        <v>50000</v>
      </c>
      <c r="D619" s="196" t="s">
        <v>1726</v>
      </c>
      <c r="E619" s="187" t="s">
        <v>7207</v>
      </c>
      <c r="F619" s="507">
        <f>SUMIFS(Controle!$R:$R,Controle!$H:$H,produtos_escape2!$A619,Controle!$Z:$Z,"1")</f>
        <v>0</v>
      </c>
      <c r="G619" s="507">
        <f>SUMIFS(Controle!$R:$R,Controle!$H:$H,produtos_escape2!$A619,Controle!$Z:$Z,"2")</f>
        <v>0</v>
      </c>
      <c r="H619" s="507">
        <f>SUMIFS(Controle!$R:$R,Controle!$H:$H,produtos_escape2!$A619,Controle!$Z:$Z,"3")</f>
        <v>0</v>
      </c>
      <c r="I619" s="507">
        <f>SUMIFS(Controle!$R:$R,Controle!$H:$H,produtos_escape2!$A619,Controle!$Z:$Z,"4")</f>
        <v>0</v>
      </c>
      <c r="J619" s="507">
        <f>SUMIFS(Controle!$R:$R,Controle!$H:$H,produtos_escape2!$A619,Controle!$Z:$Z,"5")</f>
        <v>0</v>
      </c>
      <c r="K619" s="507">
        <f>SUMIFS(Controle!$R:$R,Controle!$H:$H,produtos_escape2!$A619,Controle!$Z:$Z,"6")</f>
        <v>0</v>
      </c>
      <c r="L619" s="507">
        <f t="shared" si="19"/>
        <v>0</v>
      </c>
      <c r="M619" s="381" t="s">
        <v>4853</v>
      </c>
      <c r="AF619" s="84"/>
    </row>
    <row r="620" spans="1:32" s="185" customFormat="1" ht="14.25" customHeight="1" thickBot="1">
      <c r="A620" s="353">
        <v>16835</v>
      </c>
      <c r="B620" s="194" t="s">
        <v>7532</v>
      </c>
      <c r="C620" s="339">
        <f t="shared" si="20"/>
        <v>49220</v>
      </c>
      <c r="D620" s="196" t="s">
        <v>1726</v>
      </c>
      <c r="E620" s="187" t="s">
        <v>7207</v>
      </c>
      <c r="F620" s="507">
        <f>SUMIFS(Controle!$R:$R,Controle!$H:$H,produtos_escape2!$A620,Controle!$Z:$Z,"1")</f>
        <v>0</v>
      </c>
      <c r="G620" s="507">
        <f>SUMIFS(Controle!$R:$R,Controle!$H:$H,produtos_escape2!$A620,Controle!$Z:$Z,"2")</f>
        <v>780</v>
      </c>
      <c r="H620" s="507">
        <f>SUMIFS(Controle!$R:$R,Controle!$H:$H,produtos_escape2!$A620,Controle!$Z:$Z,"3")</f>
        <v>0</v>
      </c>
      <c r="I620" s="507">
        <f>SUMIFS(Controle!$R:$R,Controle!$H:$H,produtos_escape2!$A620,Controle!$Z:$Z,"4")</f>
        <v>0</v>
      </c>
      <c r="J620" s="507">
        <f>SUMIFS(Controle!$R:$R,Controle!$H:$H,produtos_escape2!$A620,Controle!$Z:$Z,"5")</f>
        <v>0</v>
      </c>
      <c r="K620" s="507">
        <f>SUMIFS(Controle!$R:$R,Controle!$H:$H,produtos_escape2!$A620,Controle!$Z:$Z,"6")</f>
        <v>0</v>
      </c>
      <c r="L620" s="507">
        <f t="shared" si="19"/>
        <v>780</v>
      </c>
      <c r="M620" s="381" t="s">
        <v>4853</v>
      </c>
      <c r="AF620" s="84"/>
    </row>
    <row r="621" spans="1:32" s="185" customFormat="1" ht="15" customHeight="1" thickBot="1">
      <c r="A621" s="353">
        <v>16881</v>
      </c>
      <c r="B621" s="194" t="s">
        <v>2998</v>
      </c>
      <c r="C621" s="339">
        <f t="shared" si="20"/>
        <v>50000</v>
      </c>
      <c r="D621" s="196" t="s">
        <v>624</v>
      </c>
      <c r="E621" s="187" t="s">
        <v>7207</v>
      </c>
      <c r="F621" s="507">
        <f>SUMIFS(Controle!$R:$R,Controle!$H:$H,produtos_escape2!$A621,Controle!$Z:$Z,"1")</f>
        <v>0</v>
      </c>
      <c r="G621" s="507">
        <f>SUMIFS(Controle!$R:$R,Controle!$H:$H,produtos_escape2!$A621,Controle!$Z:$Z,"2")</f>
        <v>0</v>
      </c>
      <c r="H621" s="507">
        <f>SUMIFS(Controle!$R:$R,Controle!$H:$H,produtos_escape2!$A621,Controle!$Z:$Z,"3")</f>
        <v>0</v>
      </c>
      <c r="I621" s="507">
        <f>SUMIFS(Controle!$R:$R,Controle!$H:$H,produtos_escape2!$A621,Controle!$Z:$Z,"4")</f>
        <v>0</v>
      </c>
      <c r="J621" s="507">
        <f>SUMIFS(Controle!$R:$R,Controle!$H:$H,produtos_escape2!$A621,Controle!$Z:$Z,"5")</f>
        <v>0</v>
      </c>
      <c r="K621" s="507">
        <f>SUMIFS(Controle!$R:$R,Controle!$H:$H,produtos_escape2!$A621,Controle!$Z:$Z,"6")</f>
        <v>0</v>
      </c>
      <c r="L621" s="507">
        <f t="shared" si="19"/>
        <v>0</v>
      </c>
      <c r="M621" s="381" t="s">
        <v>4854</v>
      </c>
      <c r="AF621" s="84"/>
    </row>
    <row r="622" spans="1:32" s="185" customFormat="1" ht="14.25" customHeight="1" thickBot="1">
      <c r="A622" s="353">
        <v>16925</v>
      </c>
      <c r="B622" s="194" t="s">
        <v>1024</v>
      </c>
      <c r="C622" s="339">
        <f t="shared" si="20"/>
        <v>50000</v>
      </c>
      <c r="D622" s="196" t="s">
        <v>624</v>
      </c>
      <c r="E622" s="187" t="s">
        <v>7207</v>
      </c>
      <c r="F622" s="507">
        <f>SUMIFS(Controle!$R:$R,Controle!$H:$H,produtos_escape2!$A622,Controle!$Z:$Z,"1")</f>
        <v>0</v>
      </c>
      <c r="G622" s="507">
        <f>SUMIFS(Controle!$R:$R,Controle!$H:$H,produtos_escape2!$A622,Controle!$Z:$Z,"2")</f>
        <v>0</v>
      </c>
      <c r="H622" s="507">
        <f>SUMIFS(Controle!$R:$R,Controle!$H:$H,produtos_escape2!$A622,Controle!$Z:$Z,"3")</f>
        <v>0</v>
      </c>
      <c r="I622" s="507">
        <f>SUMIFS(Controle!$R:$R,Controle!$H:$H,produtos_escape2!$A622,Controle!$Z:$Z,"4")</f>
        <v>0</v>
      </c>
      <c r="J622" s="507">
        <f>SUMIFS(Controle!$R:$R,Controle!$H:$H,produtos_escape2!$A622,Controle!$Z:$Z,"5")</f>
        <v>0</v>
      </c>
      <c r="K622" s="507">
        <f>SUMIFS(Controle!$R:$R,Controle!$H:$H,produtos_escape2!$A622,Controle!$Z:$Z,"6")</f>
        <v>0</v>
      </c>
      <c r="L622" s="507">
        <f t="shared" si="19"/>
        <v>0</v>
      </c>
      <c r="M622" s="381" t="s">
        <v>4855</v>
      </c>
      <c r="AF622" s="84"/>
    </row>
    <row r="623" spans="1:32" s="185" customFormat="1" ht="14.25" customHeight="1" thickBot="1">
      <c r="A623" s="353">
        <v>16991</v>
      </c>
      <c r="B623" s="194" t="s">
        <v>302</v>
      </c>
      <c r="C623" s="339">
        <f t="shared" si="20"/>
        <v>50000</v>
      </c>
      <c r="D623" s="196" t="s">
        <v>624</v>
      </c>
      <c r="E623" s="187" t="s">
        <v>7207</v>
      </c>
      <c r="F623" s="507">
        <f>SUMIFS(Controle!$R:$R,Controle!$H:$H,produtos_escape2!$A623,Controle!$Z:$Z,"1")</f>
        <v>0</v>
      </c>
      <c r="G623" s="507">
        <f>SUMIFS(Controle!$R:$R,Controle!$H:$H,produtos_escape2!$A623,Controle!$Z:$Z,"2")</f>
        <v>0</v>
      </c>
      <c r="H623" s="507">
        <f>SUMIFS(Controle!$R:$R,Controle!$H:$H,produtos_escape2!$A623,Controle!$Z:$Z,"3")</f>
        <v>0</v>
      </c>
      <c r="I623" s="507">
        <f>SUMIFS(Controle!$R:$R,Controle!$H:$H,produtos_escape2!$A623,Controle!$Z:$Z,"4")</f>
        <v>0</v>
      </c>
      <c r="J623" s="507">
        <f>SUMIFS(Controle!$R:$R,Controle!$H:$H,produtos_escape2!$A623,Controle!$Z:$Z,"5")</f>
        <v>0</v>
      </c>
      <c r="K623" s="507">
        <f>SUMIFS(Controle!$R:$R,Controle!$H:$H,produtos_escape2!$A623,Controle!$Z:$Z,"6")</f>
        <v>0</v>
      </c>
      <c r="L623" s="507">
        <f t="shared" si="19"/>
        <v>0</v>
      </c>
      <c r="M623" s="381" t="s">
        <v>4856</v>
      </c>
      <c r="AF623" s="84"/>
    </row>
    <row r="624" spans="1:32" s="185" customFormat="1" ht="14.25" customHeight="1" thickBot="1">
      <c r="A624" s="333">
        <v>16996</v>
      </c>
      <c r="B624" s="194" t="s">
        <v>303</v>
      </c>
      <c r="C624" s="339">
        <f t="shared" si="20"/>
        <v>50000</v>
      </c>
      <c r="D624" s="196" t="s">
        <v>624</v>
      </c>
      <c r="E624" s="187" t="s">
        <v>7207</v>
      </c>
      <c r="F624" s="507">
        <f>SUMIFS(Controle!$R:$R,Controle!$H:$H,produtos_escape2!$A624,Controle!$Z:$Z,"1")</f>
        <v>0</v>
      </c>
      <c r="G624" s="507">
        <f>SUMIFS(Controle!$R:$R,Controle!$H:$H,produtos_escape2!$A624,Controle!$Z:$Z,"2")</f>
        <v>0</v>
      </c>
      <c r="H624" s="507">
        <f>SUMIFS(Controle!$R:$R,Controle!$H:$H,produtos_escape2!$A624,Controle!$Z:$Z,"3")</f>
        <v>0</v>
      </c>
      <c r="I624" s="507">
        <f>SUMIFS(Controle!$R:$R,Controle!$H:$H,produtos_escape2!$A624,Controle!$Z:$Z,"4")</f>
        <v>0</v>
      </c>
      <c r="J624" s="507">
        <f>SUMIFS(Controle!$R:$R,Controle!$H:$H,produtos_escape2!$A624,Controle!$Z:$Z,"5")</f>
        <v>0</v>
      </c>
      <c r="K624" s="507">
        <f>SUMIFS(Controle!$R:$R,Controle!$H:$H,produtos_escape2!$A624,Controle!$Z:$Z,"6")</f>
        <v>0</v>
      </c>
      <c r="L624" s="507">
        <f t="shared" si="19"/>
        <v>0</v>
      </c>
      <c r="M624" s="381" t="s">
        <v>4857</v>
      </c>
      <c r="AF624" s="84"/>
    </row>
    <row r="625" spans="1:32" s="185" customFormat="1" ht="14.25" customHeight="1" thickBot="1">
      <c r="A625" s="353">
        <v>17000</v>
      </c>
      <c r="B625" s="338" t="s">
        <v>309</v>
      </c>
      <c r="C625" s="339">
        <f t="shared" si="20"/>
        <v>50000</v>
      </c>
      <c r="D625" s="196" t="s">
        <v>624</v>
      </c>
      <c r="E625" s="187" t="s">
        <v>7207</v>
      </c>
      <c r="F625" s="507">
        <f>SUMIFS(Controle!$R:$R,Controle!$H:$H,produtos_escape2!$A625,Controle!$Z:$Z,"1")</f>
        <v>0</v>
      </c>
      <c r="G625" s="507">
        <f>SUMIFS(Controle!$R:$R,Controle!$H:$H,produtos_escape2!$A625,Controle!$Z:$Z,"2")</f>
        <v>0</v>
      </c>
      <c r="H625" s="507">
        <f>SUMIFS(Controle!$R:$R,Controle!$H:$H,produtos_escape2!$A625,Controle!$Z:$Z,"3")</f>
        <v>0</v>
      </c>
      <c r="I625" s="507">
        <f>SUMIFS(Controle!$R:$R,Controle!$H:$H,produtos_escape2!$A625,Controle!$Z:$Z,"4")</f>
        <v>0</v>
      </c>
      <c r="J625" s="507">
        <f>SUMIFS(Controle!$R:$R,Controle!$H:$H,produtos_escape2!$A625,Controle!$Z:$Z,"5")</f>
        <v>0</v>
      </c>
      <c r="K625" s="507">
        <f>SUMIFS(Controle!$R:$R,Controle!$H:$H,produtos_escape2!$A625,Controle!$Z:$Z,"6")</f>
        <v>0</v>
      </c>
      <c r="L625" s="507">
        <f t="shared" si="19"/>
        <v>0</v>
      </c>
      <c r="M625" s="381" t="s">
        <v>4858</v>
      </c>
      <c r="AF625" s="84"/>
    </row>
    <row r="626" spans="1:32" s="185" customFormat="1" ht="14.25" customHeight="1" thickBot="1">
      <c r="A626" s="353">
        <v>17002</v>
      </c>
      <c r="B626" s="194" t="s">
        <v>310</v>
      </c>
      <c r="C626" s="339">
        <f t="shared" si="20"/>
        <v>50000</v>
      </c>
      <c r="D626" s="196" t="s">
        <v>624</v>
      </c>
      <c r="E626" s="187" t="s">
        <v>7207</v>
      </c>
      <c r="F626" s="507">
        <f>SUMIFS(Controle!$R:$R,Controle!$H:$H,produtos_escape2!$A626,Controle!$Z:$Z,"1")</f>
        <v>0</v>
      </c>
      <c r="G626" s="507">
        <f>SUMIFS(Controle!$R:$R,Controle!$H:$H,produtos_escape2!$A626,Controle!$Z:$Z,"2")</f>
        <v>0</v>
      </c>
      <c r="H626" s="507">
        <f>SUMIFS(Controle!$R:$R,Controle!$H:$H,produtos_escape2!$A626,Controle!$Z:$Z,"3")</f>
        <v>0</v>
      </c>
      <c r="I626" s="507">
        <f>SUMIFS(Controle!$R:$R,Controle!$H:$H,produtos_escape2!$A626,Controle!$Z:$Z,"4")</f>
        <v>0</v>
      </c>
      <c r="J626" s="507">
        <f>SUMIFS(Controle!$R:$R,Controle!$H:$H,produtos_escape2!$A626,Controle!$Z:$Z,"5")</f>
        <v>0</v>
      </c>
      <c r="K626" s="507">
        <f>SUMIFS(Controle!$R:$R,Controle!$H:$H,produtos_escape2!$A626,Controle!$Z:$Z,"6")</f>
        <v>0</v>
      </c>
      <c r="L626" s="507">
        <f t="shared" si="19"/>
        <v>0</v>
      </c>
      <c r="M626" s="381" t="s">
        <v>4858</v>
      </c>
      <c r="AF626" s="84"/>
    </row>
    <row r="627" spans="1:32" s="185" customFormat="1" ht="14.25" customHeight="1" thickBot="1">
      <c r="A627" s="353">
        <v>17003</v>
      </c>
      <c r="B627" s="194" t="s">
        <v>6821</v>
      </c>
      <c r="C627" s="339">
        <f t="shared" si="20"/>
        <v>50000</v>
      </c>
      <c r="D627" s="196" t="s">
        <v>624</v>
      </c>
      <c r="E627" s="187" t="s">
        <v>7207</v>
      </c>
      <c r="F627" s="507">
        <f>SUMIFS(Controle!$R:$R,Controle!$H:$H,produtos_escape2!$A627,Controle!$Z:$Z,"1")</f>
        <v>0</v>
      </c>
      <c r="G627" s="507">
        <f>SUMIFS(Controle!$R:$R,Controle!$H:$H,produtos_escape2!$A627,Controle!$Z:$Z,"2")</f>
        <v>0</v>
      </c>
      <c r="H627" s="507">
        <f>SUMIFS(Controle!$R:$R,Controle!$H:$H,produtos_escape2!$A627,Controle!$Z:$Z,"3")</f>
        <v>0</v>
      </c>
      <c r="I627" s="507">
        <f>SUMIFS(Controle!$R:$R,Controle!$H:$H,produtos_escape2!$A627,Controle!$Z:$Z,"4")</f>
        <v>0</v>
      </c>
      <c r="J627" s="507">
        <f>SUMIFS(Controle!$R:$R,Controle!$H:$H,produtos_escape2!$A627,Controle!$Z:$Z,"5")</f>
        <v>0</v>
      </c>
      <c r="K627" s="507">
        <f>SUMIFS(Controle!$R:$R,Controle!$H:$H,produtos_escape2!$A627,Controle!$Z:$Z,"6")</f>
        <v>0</v>
      </c>
      <c r="L627" s="507">
        <f t="shared" si="19"/>
        <v>0</v>
      </c>
      <c r="M627" s="381" t="s">
        <v>4858</v>
      </c>
      <c r="AF627" s="84"/>
    </row>
    <row r="628" spans="1:32" s="185" customFormat="1" ht="14.25" customHeight="1" thickBot="1">
      <c r="A628" s="353">
        <v>17005</v>
      </c>
      <c r="B628" s="194" t="s">
        <v>1181</v>
      </c>
      <c r="C628" s="339">
        <f t="shared" si="20"/>
        <v>50000</v>
      </c>
      <c r="D628" s="196" t="s">
        <v>639</v>
      </c>
      <c r="E628" s="187" t="s">
        <v>7207</v>
      </c>
      <c r="F628" s="507">
        <f>SUMIFS(Controle!$R:$R,Controle!$H:$H,produtos_escape2!$A628,Controle!$Z:$Z,"1")</f>
        <v>0</v>
      </c>
      <c r="G628" s="507">
        <f>SUMIFS(Controle!$R:$R,Controle!$H:$H,produtos_escape2!$A628,Controle!$Z:$Z,"2")</f>
        <v>0</v>
      </c>
      <c r="H628" s="507">
        <f>SUMIFS(Controle!$R:$R,Controle!$H:$H,produtos_escape2!$A628,Controle!$Z:$Z,"3")</f>
        <v>0</v>
      </c>
      <c r="I628" s="507">
        <f>SUMIFS(Controle!$R:$R,Controle!$H:$H,produtos_escape2!$A628,Controle!$Z:$Z,"4")</f>
        <v>0</v>
      </c>
      <c r="J628" s="507">
        <f>SUMIFS(Controle!$R:$R,Controle!$H:$H,produtos_escape2!$A628,Controle!$Z:$Z,"5")</f>
        <v>0</v>
      </c>
      <c r="K628" s="507">
        <f>SUMIFS(Controle!$R:$R,Controle!$H:$H,produtos_escape2!$A628,Controle!$Z:$Z,"6")</f>
        <v>0</v>
      </c>
      <c r="L628" s="507">
        <f t="shared" si="19"/>
        <v>0</v>
      </c>
      <c r="M628" s="381" t="s">
        <v>4859</v>
      </c>
      <c r="AF628" s="84"/>
    </row>
    <row r="629" spans="1:32" s="185" customFormat="1" ht="14.25" customHeight="1" thickBot="1">
      <c r="A629" s="353">
        <v>17006</v>
      </c>
      <c r="B629" s="194" t="s">
        <v>150</v>
      </c>
      <c r="C629" s="339">
        <f t="shared" si="20"/>
        <v>50000</v>
      </c>
      <c r="D629" s="196" t="s">
        <v>624</v>
      </c>
      <c r="E629" s="187" t="s">
        <v>7207</v>
      </c>
      <c r="F629" s="507">
        <f>SUMIFS(Controle!$R:$R,Controle!$H:$H,produtos_escape2!$A629,Controle!$Z:$Z,"1")</f>
        <v>0</v>
      </c>
      <c r="G629" s="507">
        <f>SUMIFS(Controle!$R:$R,Controle!$H:$H,produtos_escape2!$A629,Controle!$Z:$Z,"2")</f>
        <v>0</v>
      </c>
      <c r="H629" s="507">
        <f>SUMIFS(Controle!$R:$R,Controle!$H:$H,produtos_escape2!$A629,Controle!$Z:$Z,"3")</f>
        <v>0</v>
      </c>
      <c r="I629" s="507">
        <f>SUMIFS(Controle!$R:$R,Controle!$H:$H,produtos_escape2!$A629,Controle!$Z:$Z,"4")</f>
        <v>0</v>
      </c>
      <c r="J629" s="507">
        <f>SUMIFS(Controle!$R:$R,Controle!$H:$H,produtos_escape2!$A629,Controle!$Z:$Z,"5")</f>
        <v>0</v>
      </c>
      <c r="K629" s="507">
        <f>SUMIFS(Controle!$R:$R,Controle!$H:$H,produtos_escape2!$A629,Controle!$Z:$Z,"6")</f>
        <v>0</v>
      </c>
      <c r="L629" s="507">
        <f t="shared" si="19"/>
        <v>0</v>
      </c>
      <c r="M629" s="381" t="s">
        <v>4860</v>
      </c>
      <c r="AF629" s="84"/>
    </row>
    <row r="630" spans="1:32" s="185" customFormat="1" ht="14.25" customHeight="1" thickBot="1">
      <c r="A630" s="333">
        <v>17012</v>
      </c>
      <c r="B630" s="194" t="s">
        <v>10589</v>
      </c>
      <c r="C630" s="339">
        <f t="shared" ref="C630" si="22">50000-SUM(F630:K630)</f>
        <v>50000</v>
      </c>
      <c r="D630" s="196" t="s">
        <v>624</v>
      </c>
      <c r="E630" s="189" t="s">
        <v>7207</v>
      </c>
      <c r="F630" s="507">
        <f>SUMIFS(Controle!$R:$R,Controle!$H:$H,produtos_escape2!$A630,Controle!$Z:$Z,"1")</f>
        <v>0</v>
      </c>
      <c r="G630" s="507">
        <f>SUMIFS(Controle!$R:$R,Controle!$H:$H,produtos_escape2!$A630,Controle!$Z:$Z,"2")</f>
        <v>0</v>
      </c>
      <c r="H630" s="507">
        <f>SUMIFS(Controle!$R:$R,Controle!$H:$H,produtos_escape2!$A630,Controle!$Z:$Z,"3")</f>
        <v>0</v>
      </c>
      <c r="I630" s="507">
        <f>SUMIFS(Controle!$R:$R,Controle!$H:$H,produtos_escape2!$A630,Controle!$Z:$Z,"4")</f>
        <v>0</v>
      </c>
      <c r="J630" s="507">
        <f>SUMIFS(Controle!$R:$R,Controle!$H:$H,produtos_escape2!$A630,Controle!$Z:$Z,"5")</f>
        <v>0</v>
      </c>
      <c r="K630" s="507">
        <f>SUMIFS(Controle!$R:$R,Controle!$H:$H,produtos_escape2!$A630,Controle!$Z:$Z,"6")</f>
        <v>0</v>
      </c>
      <c r="L630" s="507">
        <f t="shared" si="19"/>
        <v>0</v>
      </c>
      <c r="M630" s="381" t="s">
        <v>10590</v>
      </c>
      <c r="AF630" s="84"/>
    </row>
    <row r="631" spans="1:32" s="185" customFormat="1" ht="14.25" customHeight="1" thickBot="1">
      <c r="A631" s="333">
        <v>17016</v>
      </c>
      <c r="B631" s="194" t="s">
        <v>9018</v>
      </c>
      <c r="C631" s="339">
        <f t="shared" si="20"/>
        <v>50000</v>
      </c>
      <c r="D631" s="196" t="s">
        <v>624</v>
      </c>
      <c r="E631" s="189" t="s">
        <v>7207</v>
      </c>
      <c r="F631" s="507">
        <f>SUMIFS(Controle!$R:$R,Controle!$H:$H,produtos_escape2!$A631,Controle!$Z:$Z,"1")</f>
        <v>0</v>
      </c>
      <c r="G631" s="507">
        <f>SUMIFS(Controle!$R:$R,Controle!$H:$H,produtos_escape2!$A631,Controle!$Z:$Z,"2")</f>
        <v>0</v>
      </c>
      <c r="H631" s="507">
        <f>SUMIFS(Controle!$R:$R,Controle!$H:$H,produtos_escape2!$A631,Controle!$Z:$Z,"3")</f>
        <v>0</v>
      </c>
      <c r="I631" s="507">
        <f>SUMIFS(Controle!$R:$R,Controle!$H:$H,produtos_escape2!$A631,Controle!$Z:$Z,"4")</f>
        <v>0</v>
      </c>
      <c r="J631" s="507">
        <f>SUMIFS(Controle!$R:$R,Controle!$H:$H,produtos_escape2!$A631,Controle!$Z:$Z,"5")</f>
        <v>0</v>
      </c>
      <c r="K631" s="507">
        <f>SUMIFS(Controle!$R:$R,Controle!$H:$H,produtos_escape2!$A631,Controle!$Z:$Z,"6")</f>
        <v>0</v>
      </c>
      <c r="L631" s="507">
        <f t="shared" si="19"/>
        <v>0</v>
      </c>
      <c r="M631" s="381" t="s">
        <v>9024</v>
      </c>
      <c r="AF631" s="84"/>
    </row>
    <row r="632" spans="1:32" s="185" customFormat="1" ht="14.25" customHeight="1" thickBot="1">
      <c r="A632" s="333">
        <v>17017</v>
      </c>
      <c r="B632" s="194" t="s">
        <v>9019</v>
      </c>
      <c r="C632" s="339">
        <f t="shared" si="20"/>
        <v>50000</v>
      </c>
      <c r="D632" s="196" t="s">
        <v>624</v>
      </c>
      <c r="E632" s="189" t="s">
        <v>7207</v>
      </c>
      <c r="F632" s="507">
        <f>SUMIFS(Controle!$R:$R,Controle!$H:$H,produtos_escape2!$A632,Controle!$Z:$Z,"1")</f>
        <v>0</v>
      </c>
      <c r="G632" s="507">
        <f>SUMIFS(Controle!$R:$R,Controle!$H:$H,produtos_escape2!$A632,Controle!$Z:$Z,"2")</f>
        <v>0</v>
      </c>
      <c r="H632" s="507">
        <f>SUMIFS(Controle!$R:$R,Controle!$H:$H,produtos_escape2!$A632,Controle!$Z:$Z,"3")</f>
        <v>0</v>
      </c>
      <c r="I632" s="507">
        <f>SUMIFS(Controle!$R:$R,Controle!$H:$H,produtos_escape2!$A632,Controle!$Z:$Z,"4")</f>
        <v>0</v>
      </c>
      <c r="J632" s="507">
        <f>SUMIFS(Controle!$R:$R,Controle!$H:$H,produtos_escape2!$A632,Controle!$Z:$Z,"5")</f>
        <v>0</v>
      </c>
      <c r="K632" s="507">
        <f>SUMIFS(Controle!$R:$R,Controle!$H:$H,produtos_escape2!$A632,Controle!$Z:$Z,"6")</f>
        <v>0</v>
      </c>
      <c r="L632" s="507">
        <f t="shared" si="19"/>
        <v>0</v>
      </c>
      <c r="M632" s="381" t="s">
        <v>9020</v>
      </c>
      <c r="AF632" s="84"/>
    </row>
    <row r="633" spans="1:32" s="185" customFormat="1" ht="14.25" customHeight="1" thickBot="1">
      <c r="A633" s="333">
        <v>17018</v>
      </c>
      <c r="B633" s="194" t="s">
        <v>9021</v>
      </c>
      <c r="C633" s="339">
        <f t="shared" si="20"/>
        <v>50000</v>
      </c>
      <c r="D633" s="196" t="s">
        <v>624</v>
      </c>
      <c r="E633" s="189" t="s">
        <v>7207</v>
      </c>
      <c r="F633" s="507">
        <f>SUMIFS(Controle!$R:$R,Controle!$H:$H,produtos_escape2!$A633,Controle!$Z:$Z,"1")</f>
        <v>0</v>
      </c>
      <c r="G633" s="507">
        <f>SUMIFS(Controle!$R:$R,Controle!$H:$H,produtos_escape2!$A633,Controle!$Z:$Z,"2")</f>
        <v>0</v>
      </c>
      <c r="H633" s="507">
        <f>SUMIFS(Controle!$R:$R,Controle!$H:$H,produtos_escape2!$A633,Controle!$Z:$Z,"3")</f>
        <v>0</v>
      </c>
      <c r="I633" s="507">
        <f>SUMIFS(Controle!$R:$R,Controle!$H:$H,produtos_escape2!$A633,Controle!$Z:$Z,"4")</f>
        <v>0</v>
      </c>
      <c r="J633" s="507">
        <f>SUMIFS(Controle!$R:$R,Controle!$H:$H,produtos_escape2!$A633,Controle!$Z:$Z,"5")</f>
        <v>0</v>
      </c>
      <c r="K633" s="507">
        <f>SUMIFS(Controle!$R:$R,Controle!$H:$H,produtos_escape2!$A633,Controle!$Z:$Z,"6")</f>
        <v>0</v>
      </c>
      <c r="L633" s="507">
        <f t="shared" si="19"/>
        <v>0</v>
      </c>
      <c r="M633" s="381" t="s">
        <v>9026</v>
      </c>
      <c r="AF633" s="84"/>
    </row>
    <row r="634" spans="1:32" s="185" customFormat="1" ht="14.25" customHeight="1" thickBot="1">
      <c r="A634" s="333">
        <v>17019</v>
      </c>
      <c r="B634" s="194" t="s">
        <v>9022</v>
      </c>
      <c r="C634" s="339">
        <f t="shared" si="20"/>
        <v>50000</v>
      </c>
      <c r="D634" s="196" t="s">
        <v>624</v>
      </c>
      <c r="E634" s="189" t="s">
        <v>7207</v>
      </c>
      <c r="F634" s="507">
        <f>SUMIFS(Controle!$R:$R,Controle!$H:$H,produtos_escape2!$A634,Controle!$Z:$Z,"1")</f>
        <v>0</v>
      </c>
      <c r="G634" s="507">
        <f>SUMIFS(Controle!$R:$R,Controle!$H:$H,produtos_escape2!$A634,Controle!$Z:$Z,"2")</f>
        <v>0</v>
      </c>
      <c r="H634" s="507">
        <f>SUMIFS(Controle!$R:$R,Controle!$H:$H,produtos_escape2!$A634,Controle!$Z:$Z,"3")</f>
        <v>0</v>
      </c>
      <c r="I634" s="507">
        <f>SUMIFS(Controle!$R:$R,Controle!$H:$H,produtos_escape2!$A634,Controle!$Z:$Z,"4")</f>
        <v>0</v>
      </c>
      <c r="J634" s="507">
        <f>SUMIFS(Controle!$R:$R,Controle!$H:$H,produtos_escape2!$A634,Controle!$Z:$Z,"5")</f>
        <v>0</v>
      </c>
      <c r="K634" s="507">
        <f>SUMIFS(Controle!$R:$R,Controle!$H:$H,produtos_escape2!$A634,Controle!$Z:$Z,"6")</f>
        <v>0</v>
      </c>
      <c r="L634" s="507">
        <f t="shared" si="19"/>
        <v>0</v>
      </c>
      <c r="M634" s="381" t="s">
        <v>9025</v>
      </c>
      <c r="AF634" s="84"/>
    </row>
    <row r="635" spans="1:32" s="185" customFormat="1" ht="14.25" customHeight="1" thickBot="1">
      <c r="A635" s="333">
        <v>17020</v>
      </c>
      <c r="B635" s="194" t="s">
        <v>9023</v>
      </c>
      <c r="C635" s="339">
        <f t="shared" si="20"/>
        <v>50000</v>
      </c>
      <c r="D635" s="196" t="s">
        <v>624</v>
      </c>
      <c r="E635" s="189" t="s">
        <v>7207</v>
      </c>
      <c r="F635" s="507">
        <f>SUMIFS(Controle!$R:$R,Controle!$H:$H,produtos_escape2!$A635,Controle!$Z:$Z,"1")</f>
        <v>0</v>
      </c>
      <c r="G635" s="507">
        <f>SUMIFS(Controle!$R:$R,Controle!$H:$H,produtos_escape2!$A635,Controle!$Z:$Z,"2")</f>
        <v>0</v>
      </c>
      <c r="H635" s="507">
        <f>SUMIFS(Controle!$R:$R,Controle!$H:$H,produtos_escape2!$A635,Controle!$Z:$Z,"3")</f>
        <v>0</v>
      </c>
      <c r="I635" s="507">
        <f>SUMIFS(Controle!$R:$R,Controle!$H:$H,produtos_escape2!$A635,Controle!$Z:$Z,"4")</f>
        <v>0</v>
      </c>
      <c r="J635" s="507">
        <f>SUMIFS(Controle!$R:$R,Controle!$H:$H,produtos_escape2!$A635,Controle!$Z:$Z,"5")</f>
        <v>0</v>
      </c>
      <c r="K635" s="507">
        <f>SUMIFS(Controle!$R:$R,Controle!$H:$H,produtos_escape2!$A635,Controle!$Z:$Z,"6")</f>
        <v>0</v>
      </c>
      <c r="L635" s="507">
        <f t="shared" si="19"/>
        <v>0</v>
      </c>
      <c r="M635" s="381" t="s">
        <v>9020</v>
      </c>
      <c r="AF635" s="84"/>
    </row>
    <row r="636" spans="1:32" s="185" customFormat="1" ht="14.25" customHeight="1" thickBot="1">
      <c r="A636" s="353">
        <v>17055</v>
      </c>
      <c r="B636" s="194" t="s">
        <v>354</v>
      </c>
      <c r="C636" s="339">
        <f t="shared" si="20"/>
        <v>50000</v>
      </c>
      <c r="D636" s="196" t="s">
        <v>624</v>
      </c>
      <c r="E636" s="187" t="s">
        <v>7207</v>
      </c>
      <c r="F636" s="507">
        <f>SUMIFS(Controle!$R:$R,Controle!$H:$H,produtos_escape2!$A636,Controle!$Z:$Z,"1")</f>
        <v>0</v>
      </c>
      <c r="G636" s="507">
        <f>SUMIFS(Controle!$R:$R,Controle!$H:$H,produtos_escape2!$A636,Controle!$Z:$Z,"2")</f>
        <v>0</v>
      </c>
      <c r="H636" s="507">
        <f>SUMIFS(Controle!$R:$R,Controle!$H:$H,produtos_escape2!$A636,Controle!$Z:$Z,"3")</f>
        <v>0</v>
      </c>
      <c r="I636" s="507">
        <f>SUMIFS(Controle!$R:$R,Controle!$H:$H,produtos_escape2!$A636,Controle!$Z:$Z,"4")</f>
        <v>0</v>
      </c>
      <c r="J636" s="507">
        <f>SUMIFS(Controle!$R:$R,Controle!$H:$H,produtos_escape2!$A636,Controle!$Z:$Z,"5")</f>
        <v>0</v>
      </c>
      <c r="K636" s="507">
        <f>SUMIFS(Controle!$R:$R,Controle!$H:$H,produtos_escape2!$A636,Controle!$Z:$Z,"6")</f>
        <v>0</v>
      </c>
      <c r="L636" s="507">
        <f t="shared" si="19"/>
        <v>0</v>
      </c>
      <c r="M636" s="381" t="s">
        <v>4851</v>
      </c>
      <c r="AF636" s="84"/>
    </row>
    <row r="637" spans="1:32" s="185" customFormat="1" ht="14.25" customHeight="1" thickBot="1">
      <c r="A637" s="353">
        <v>17056</v>
      </c>
      <c r="B637" s="194" t="s">
        <v>353</v>
      </c>
      <c r="C637" s="339">
        <f t="shared" si="20"/>
        <v>50000</v>
      </c>
      <c r="D637" s="196" t="s">
        <v>624</v>
      </c>
      <c r="E637" s="187" t="s">
        <v>7207</v>
      </c>
      <c r="F637" s="507">
        <f>SUMIFS(Controle!$R:$R,Controle!$H:$H,produtos_escape2!$A637,Controle!$Z:$Z,"1")</f>
        <v>0</v>
      </c>
      <c r="G637" s="507">
        <f>SUMIFS(Controle!$R:$R,Controle!$H:$H,produtos_escape2!$A637,Controle!$Z:$Z,"2")</f>
        <v>0</v>
      </c>
      <c r="H637" s="507">
        <f>SUMIFS(Controle!$R:$R,Controle!$H:$H,produtos_escape2!$A637,Controle!$Z:$Z,"3")</f>
        <v>0</v>
      </c>
      <c r="I637" s="507">
        <f>SUMIFS(Controle!$R:$R,Controle!$H:$H,produtos_escape2!$A637,Controle!$Z:$Z,"4")</f>
        <v>0</v>
      </c>
      <c r="J637" s="507">
        <f>SUMIFS(Controle!$R:$R,Controle!$H:$H,produtos_escape2!$A637,Controle!$Z:$Z,"5")</f>
        <v>0</v>
      </c>
      <c r="K637" s="507">
        <f>SUMIFS(Controle!$R:$R,Controle!$H:$H,produtos_escape2!$A637,Controle!$Z:$Z,"6")</f>
        <v>0</v>
      </c>
      <c r="L637" s="507">
        <f t="shared" si="19"/>
        <v>0</v>
      </c>
      <c r="M637" s="381" t="s">
        <v>4851</v>
      </c>
      <c r="AF637" s="84"/>
    </row>
    <row r="638" spans="1:32" s="185" customFormat="1" ht="14.25" customHeight="1" thickBot="1">
      <c r="A638" s="353">
        <v>17090</v>
      </c>
      <c r="B638" s="194" t="s">
        <v>600</v>
      </c>
      <c r="C638" s="339">
        <f t="shared" si="20"/>
        <v>47839</v>
      </c>
      <c r="D638" s="196" t="s">
        <v>624</v>
      </c>
      <c r="E638" s="187" t="s">
        <v>7207</v>
      </c>
      <c r="F638" s="507">
        <f>SUMIFS(Controle!$R:$R,Controle!$H:$H,produtos_escape2!$A638,Controle!$Z:$Z,"1")</f>
        <v>0</v>
      </c>
      <c r="G638" s="507">
        <f>SUMIFS(Controle!$R:$R,Controle!$H:$H,produtos_escape2!$A638,Controle!$Z:$Z,"2")</f>
        <v>695</v>
      </c>
      <c r="H638" s="507">
        <f>SUMIFS(Controle!$R:$R,Controle!$H:$H,produtos_escape2!$A638,Controle!$Z:$Z,"3")</f>
        <v>1466</v>
      </c>
      <c r="I638" s="507">
        <f>SUMIFS(Controle!$R:$R,Controle!$H:$H,produtos_escape2!$A638,Controle!$Z:$Z,"4")</f>
        <v>0</v>
      </c>
      <c r="J638" s="507">
        <f>SUMIFS(Controle!$R:$R,Controle!$H:$H,produtos_escape2!$A638,Controle!$Z:$Z,"5")</f>
        <v>0</v>
      </c>
      <c r="K638" s="507">
        <f>SUMIFS(Controle!$R:$R,Controle!$H:$H,produtos_escape2!$A638,Controle!$Z:$Z,"6")</f>
        <v>0</v>
      </c>
      <c r="L638" s="507">
        <f t="shared" si="19"/>
        <v>2161</v>
      </c>
      <c r="M638" s="381" t="s">
        <v>4861</v>
      </c>
      <c r="AF638" s="84"/>
    </row>
    <row r="639" spans="1:32" s="185" customFormat="1" ht="14.25" customHeight="1" thickBot="1">
      <c r="A639" s="353">
        <v>17117</v>
      </c>
      <c r="B639" s="194" t="s">
        <v>9256</v>
      </c>
      <c r="C639" s="339">
        <f t="shared" si="20"/>
        <v>50000</v>
      </c>
      <c r="D639" s="196" t="s">
        <v>624</v>
      </c>
      <c r="E639" s="189" t="s">
        <v>7207</v>
      </c>
      <c r="F639" s="507">
        <f>SUMIFS(Controle!$R:$R,Controle!$H:$H,produtos_escape2!$A639,Controle!$Z:$Z,"1")</f>
        <v>0</v>
      </c>
      <c r="G639" s="507">
        <f>SUMIFS(Controle!$R:$R,Controle!$H:$H,produtos_escape2!$A639,Controle!$Z:$Z,"2")</f>
        <v>0</v>
      </c>
      <c r="H639" s="507">
        <f>SUMIFS(Controle!$R:$R,Controle!$H:$H,produtos_escape2!$A639,Controle!$Z:$Z,"3")</f>
        <v>0</v>
      </c>
      <c r="I639" s="507">
        <f>SUMIFS(Controle!$R:$R,Controle!$H:$H,produtos_escape2!$A639,Controle!$Z:$Z,"4")</f>
        <v>0</v>
      </c>
      <c r="J639" s="507">
        <f>SUMIFS(Controle!$R:$R,Controle!$H:$H,produtos_escape2!$A639,Controle!$Z:$Z,"5")</f>
        <v>0</v>
      </c>
      <c r="K639" s="507">
        <f>SUMIFS(Controle!$R:$R,Controle!$H:$H,produtos_escape2!$A639,Controle!$Z:$Z,"6")</f>
        <v>0</v>
      </c>
      <c r="L639" s="507">
        <f t="shared" ref="L639:L702" si="23">SUM(F639:K639)</f>
        <v>0</v>
      </c>
      <c r="M639" s="84"/>
      <c r="AF639" s="84"/>
    </row>
    <row r="640" spans="1:32" s="185" customFormat="1" ht="14.25" customHeight="1" thickBot="1">
      <c r="A640" s="333">
        <v>17140</v>
      </c>
      <c r="B640" s="194" t="s">
        <v>9042</v>
      </c>
      <c r="C640" s="339">
        <f t="shared" si="20"/>
        <v>50000</v>
      </c>
      <c r="D640" s="196" t="s">
        <v>624</v>
      </c>
      <c r="E640" s="187" t="s">
        <v>7207</v>
      </c>
      <c r="F640" s="507">
        <f>SUMIFS(Controle!$R:$R,Controle!$H:$H,produtos_escape2!$A640,Controle!$Z:$Z,"1")</f>
        <v>0</v>
      </c>
      <c r="G640" s="507">
        <f>SUMIFS(Controle!$R:$R,Controle!$H:$H,produtos_escape2!$A640,Controle!$Z:$Z,"2")</f>
        <v>0</v>
      </c>
      <c r="H640" s="507">
        <f>SUMIFS(Controle!$R:$R,Controle!$H:$H,produtos_escape2!$A640,Controle!$Z:$Z,"3")</f>
        <v>0</v>
      </c>
      <c r="I640" s="507">
        <f>SUMIFS(Controle!$R:$R,Controle!$H:$H,produtos_escape2!$A640,Controle!$Z:$Z,"4")</f>
        <v>0</v>
      </c>
      <c r="J640" s="507">
        <f>SUMIFS(Controle!$R:$R,Controle!$H:$H,produtos_escape2!$A640,Controle!$Z:$Z,"5")</f>
        <v>0</v>
      </c>
      <c r="K640" s="507">
        <f>SUMIFS(Controle!$R:$R,Controle!$H:$H,produtos_escape2!$A640,Controle!$Z:$Z,"6")</f>
        <v>0</v>
      </c>
      <c r="L640" s="507">
        <f t="shared" si="23"/>
        <v>0</v>
      </c>
      <c r="M640" s="381" t="s">
        <v>9043</v>
      </c>
      <c r="AF640" s="84"/>
    </row>
    <row r="641" spans="1:32" s="185" customFormat="1" ht="14.25" customHeight="1" thickBot="1">
      <c r="A641" s="333">
        <v>17148</v>
      </c>
      <c r="B641" s="194" t="s">
        <v>295</v>
      </c>
      <c r="C641" s="339">
        <f t="shared" si="20"/>
        <v>50000</v>
      </c>
      <c r="D641" s="196"/>
      <c r="E641" s="187"/>
      <c r="F641" s="507">
        <f>SUMIFS(Controle!$R:$R,Controle!$H:$H,produtos_escape2!$A641,Controle!$Z:$Z,"1")</f>
        <v>0</v>
      </c>
      <c r="G641" s="507">
        <f>SUMIFS(Controle!$R:$R,Controle!$H:$H,produtos_escape2!$A641,Controle!$Z:$Z,"2")</f>
        <v>0</v>
      </c>
      <c r="H641" s="507">
        <f>SUMIFS(Controle!$R:$R,Controle!$H:$H,produtos_escape2!$A641,Controle!$Z:$Z,"3")</f>
        <v>0</v>
      </c>
      <c r="I641" s="507">
        <f>SUMIFS(Controle!$R:$R,Controle!$H:$H,produtos_escape2!$A641,Controle!$Z:$Z,"4")</f>
        <v>0</v>
      </c>
      <c r="J641" s="507">
        <f>SUMIFS(Controle!$R:$R,Controle!$H:$H,produtos_escape2!$A641,Controle!$Z:$Z,"5")</f>
        <v>0</v>
      </c>
      <c r="K641" s="507">
        <f>SUMIFS(Controle!$R:$R,Controle!$H:$H,produtos_escape2!$A641,Controle!$Z:$Z,"6")</f>
        <v>0</v>
      </c>
      <c r="L641" s="507">
        <f t="shared" si="23"/>
        <v>0</v>
      </c>
      <c r="M641" s="381" t="s">
        <v>4862</v>
      </c>
      <c r="AF641" s="84"/>
    </row>
    <row r="642" spans="1:32" s="185" customFormat="1" ht="14.25" customHeight="1" thickBot="1">
      <c r="A642" s="353">
        <v>17163</v>
      </c>
      <c r="B642" s="338" t="s">
        <v>44</v>
      </c>
      <c r="C642" s="339">
        <f t="shared" si="20"/>
        <v>48640.6</v>
      </c>
      <c r="D642" s="196" t="s">
        <v>747</v>
      </c>
      <c r="E642" s="187" t="s">
        <v>7207</v>
      </c>
      <c r="F642" s="507">
        <f>SUMIFS(Controle!$R:$R,Controle!$H:$H,produtos_escape2!$A642,Controle!$Z:$Z,"1")</f>
        <v>679.80000000000007</v>
      </c>
      <c r="G642" s="507">
        <f>SUMIFS(Controle!$R:$R,Controle!$H:$H,produtos_escape2!$A642,Controle!$Z:$Z,"2")</f>
        <v>679.59999999999991</v>
      </c>
      <c r="H642" s="507">
        <f>SUMIFS(Controle!$R:$R,Controle!$H:$H,produtos_escape2!$A642,Controle!$Z:$Z,"3")</f>
        <v>0</v>
      </c>
      <c r="I642" s="507">
        <f>SUMIFS(Controle!$R:$R,Controle!$H:$H,produtos_escape2!$A642,Controle!$Z:$Z,"4")</f>
        <v>0</v>
      </c>
      <c r="J642" s="507">
        <f>SUMIFS(Controle!$R:$R,Controle!$H:$H,produtos_escape2!$A642,Controle!$Z:$Z,"5")</f>
        <v>0</v>
      </c>
      <c r="K642" s="507">
        <f>SUMIFS(Controle!$R:$R,Controle!$H:$H,produtos_escape2!$A642,Controle!$Z:$Z,"6")</f>
        <v>0</v>
      </c>
      <c r="L642" s="507">
        <f t="shared" si="23"/>
        <v>1359.4</v>
      </c>
      <c r="M642" s="381" t="s">
        <v>4863</v>
      </c>
      <c r="AF642" s="84"/>
    </row>
    <row r="643" spans="1:32" s="185" customFormat="1" ht="14.25" customHeight="1" thickBot="1">
      <c r="A643" s="353">
        <v>17169</v>
      </c>
      <c r="B643" s="194" t="s">
        <v>9063</v>
      </c>
      <c r="C643" s="339">
        <f t="shared" si="20"/>
        <v>47960.959999999999</v>
      </c>
      <c r="D643" s="196" t="s">
        <v>624</v>
      </c>
      <c r="E643" s="187" t="s">
        <v>7207</v>
      </c>
      <c r="F643" s="507">
        <f>SUMIFS(Controle!$R:$R,Controle!$H:$H,produtos_escape2!$A643,Controle!$Z:$Z,"1")</f>
        <v>0</v>
      </c>
      <c r="G643" s="507">
        <f>SUMIFS(Controle!$R:$R,Controle!$H:$H,produtos_escape2!$A643,Controle!$Z:$Z,"2")</f>
        <v>0</v>
      </c>
      <c r="H643" s="507">
        <f>SUMIFS(Controle!$R:$R,Controle!$H:$H,produtos_escape2!$A643,Controle!$Z:$Z,"3")</f>
        <v>0</v>
      </c>
      <c r="I643" s="507">
        <f>SUMIFS(Controle!$R:$R,Controle!$H:$H,produtos_escape2!$A643,Controle!$Z:$Z,"4")</f>
        <v>2039.04</v>
      </c>
      <c r="J643" s="507">
        <f>SUMIFS(Controle!$R:$R,Controle!$H:$H,produtos_escape2!$A643,Controle!$Z:$Z,"5")</f>
        <v>0</v>
      </c>
      <c r="K643" s="507">
        <f>SUMIFS(Controle!$R:$R,Controle!$H:$H,produtos_escape2!$A643,Controle!$Z:$Z,"6")</f>
        <v>0</v>
      </c>
      <c r="L643" s="507">
        <f t="shared" si="23"/>
        <v>2039.04</v>
      </c>
      <c r="M643" s="381" t="s">
        <v>9064</v>
      </c>
      <c r="AF643" s="84"/>
    </row>
    <row r="644" spans="1:32" s="185" customFormat="1" ht="14.25" customHeight="1" thickBot="1">
      <c r="A644" s="353">
        <v>17170</v>
      </c>
      <c r="B644" s="194" t="s">
        <v>9062</v>
      </c>
      <c r="C644" s="339">
        <f t="shared" si="20"/>
        <v>47352.08</v>
      </c>
      <c r="D644" s="196" t="s">
        <v>624</v>
      </c>
      <c r="E644" s="187" t="s">
        <v>7207</v>
      </c>
      <c r="F644" s="507">
        <f>SUMIFS(Controle!$R:$R,Controle!$H:$H,produtos_escape2!$A644,Controle!$Z:$Z,"1")</f>
        <v>0</v>
      </c>
      <c r="G644" s="507">
        <f>SUMIFS(Controle!$R:$R,Controle!$H:$H,produtos_escape2!$A644,Controle!$Z:$Z,"2")</f>
        <v>0</v>
      </c>
      <c r="H644" s="507">
        <f>SUMIFS(Controle!$R:$R,Controle!$H:$H,produtos_escape2!$A644,Controle!$Z:$Z,"3")</f>
        <v>0</v>
      </c>
      <c r="I644" s="507">
        <f>SUMIFS(Controle!$R:$R,Controle!$H:$H,produtos_escape2!$A644,Controle!$Z:$Z,"4")</f>
        <v>2647.92</v>
      </c>
      <c r="J644" s="507">
        <f>SUMIFS(Controle!$R:$R,Controle!$H:$H,produtos_escape2!$A644,Controle!$Z:$Z,"5")</f>
        <v>0</v>
      </c>
      <c r="K644" s="507">
        <f>SUMIFS(Controle!$R:$R,Controle!$H:$H,produtos_escape2!$A644,Controle!$Z:$Z,"6")</f>
        <v>0</v>
      </c>
      <c r="L644" s="507">
        <f t="shared" si="23"/>
        <v>2647.92</v>
      </c>
      <c r="M644" s="381" t="s">
        <v>9061</v>
      </c>
      <c r="AF644" s="84"/>
    </row>
    <row r="645" spans="1:32" s="185" customFormat="1" ht="14.25" customHeight="1" thickBot="1">
      <c r="A645" s="353">
        <v>17177</v>
      </c>
      <c r="B645" s="194" t="s">
        <v>612</v>
      </c>
      <c r="C645" s="339">
        <f t="shared" ref="C645:C708" si="24">50000-SUM(F645:K645)</f>
        <v>50000</v>
      </c>
      <c r="D645" s="196" t="s">
        <v>624</v>
      </c>
      <c r="E645" s="187" t="s">
        <v>7207</v>
      </c>
      <c r="F645" s="507">
        <f>SUMIFS(Controle!$R:$R,Controle!$H:$H,produtos_escape2!$A645,Controle!$Z:$Z,"1")</f>
        <v>0</v>
      </c>
      <c r="G645" s="507">
        <f>SUMIFS(Controle!$R:$R,Controle!$H:$H,produtos_escape2!$A645,Controle!$Z:$Z,"2")</f>
        <v>0</v>
      </c>
      <c r="H645" s="507">
        <f>SUMIFS(Controle!$R:$R,Controle!$H:$H,produtos_escape2!$A645,Controle!$Z:$Z,"3")</f>
        <v>0</v>
      </c>
      <c r="I645" s="507">
        <f>SUMIFS(Controle!$R:$R,Controle!$H:$H,produtos_escape2!$A645,Controle!$Z:$Z,"4")</f>
        <v>0</v>
      </c>
      <c r="J645" s="507">
        <f>SUMIFS(Controle!$R:$R,Controle!$H:$H,produtos_escape2!$A645,Controle!$Z:$Z,"5")</f>
        <v>0</v>
      </c>
      <c r="K645" s="507">
        <f>SUMIFS(Controle!$R:$R,Controle!$H:$H,produtos_escape2!$A645,Controle!$Z:$Z,"6")</f>
        <v>0</v>
      </c>
      <c r="L645" s="507">
        <f t="shared" si="23"/>
        <v>0</v>
      </c>
      <c r="M645" s="381" t="s">
        <v>4864</v>
      </c>
      <c r="AF645" s="84"/>
    </row>
    <row r="646" spans="1:32" s="185" customFormat="1" ht="14.25" customHeight="1" thickBot="1">
      <c r="A646" s="353">
        <v>17195</v>
      </c>
      <c r="B646" s="194" t="s">
        <v>8229</v>
      </c>
      <c r="C646" s="339">
        <f t="shared" si="24"/>
        <v>48420</v>
      </c>
      <c r="D646" s="196" t="s">
        <v>624</v>
      </c>
      <c r="E646" s="187" t="s">
        <v>7207</v>
      </c>
      <c r="F646" s="507">
        <f>SUMIFS(Controle!$R:$R,Controle!$H:$H,produtos_escape2!$A646,Controle!$Z:$Z,"1")</f>
        <v>0</v>
      </c>
      <c r="G646" s="507">
        <f>SUMIFS(Controle!$R:$R,Controle!$H:$H,produtos_escape2!$A646,Controle!$Z:$Z,"2")</f>
        <v>0</v>
      </c>
      <c r="H646" s="507">
        <f>SUMIFS(Controle!$R:$R,Controle!$H:$H,produtos_escape2!$A646,Controle!$Z:$Z,"3")</f>
        <v>1580</v>
      </c>
      <c r="I646" s="507">
        <f>SUMIFS(Controle!$R:$R,Controle!$H:$H,produtos_escape2!$A646,Controle!$Z:$Z,"4")</f>
        <v>0</v>
      </c>
      <c r="J646" s="507">
        <f>SUMIFS(Controle!$R:$R,Controle!$H:$H,produtos_escape2!$A646,Controle!$Z:$Z,"5")</f>
        <v>0</v>
      </c>
      <c r="K646" s="507">
        <f>SUMIFS(Controle!$R:$R,Controle!$H:$H,produtos_escape2!$A646,Controle!$Z:$Z,"6")</f>
        <v>0</v>
      </c>
      <c r="L646" s="507">
        <f t="shared" si="23"/>
        <v>1580</v>
      </c>
      <c r="M646" s="381" t="s">
        <v>8230</v>
      </c>
      <c r="AF646" s="84"/>
    </row>
    <row r="647" spans="1:32" s="185" customFormat="1" ht="14.25" customHeight="1" thickBot="1">
      <c r="A647" s="353">
        <v>17232</v>
      </c>
      <c r="B647" s="194" t="s">
        <v>4321</v>
      </c>
      <c r="C647" s="339">
        <f t="shared" si="24"/>
        <v>50000</v>
      </c>
      <c r="D647" s="196" t="s">
        <v>624</v>
      </c>
      <c r="E647" s="187" t="s">
        <v>7207</v>
      </c>
      <c r="F647" s="507">
        <f>SUMIFS(Controle!$R:$R,Controle!$H:$H,produtos_escape2!$A647,Controle!$Z:$Z,"1")</f>
        <v>0</v>
      </c>
      <c r="G647" s="507">
        <f>SUMIFS(Controle!$R:$R,Controle!$H:$H,produtos_escape2!$A647,Controle!$Z:$Z,"2")</f>
        <v>0</v>
      </c>
      <c r="H647" s="507">
        <f>SUMIFS(Controle!$R:$R,Controle!$H:$H,produtos_escape2!$A647,Controle!$Z:$Z,"3")</f>
        <v>0</v>
      </c>
      <c r="I647" s="507">
        <f>SUMIFS(Controle!$R:$R,Controle!$H:$H,produtos_escape2!$A647,Controle!$Z:$Z,"4")</f>
        <v>0</v>
      </c>
      <c r="J647" s="507">
        <f>SUMIFS(Controle!$R:$R,Controle!$H:$H,produtos_escape2!$A647,Controle!$Z:$Z,"5")</f>
        <v>0</v>
      </c>
      <c r="K647" s="507">
        <f>SUMIFS(Controle!$R:$R,Controle!$H:$H,produtos_escape2!$A647,Controle!$Z:$Z,"6")</f>
        <v>0</v>
      </c>
      <c r="L647" s="507">
        <f t="shared" si="23"/>
        <v>0</v>
      </c>
      <c r="M647" s="381" t="s">
        <v>4865</v>
      </c>
      <c r="AF647" s="84"/>
    </row>
    <row r="648" spans="1:32" s="185" customFormat="1" ht="14.25" customHeight="1" thickBot="1">
      <c r="A648" s="353">
        <v>17237</v>
      </c>
      <c r="B648" s="194" t="s">
        <v>180</v>
      </c>
      <c r="C648" s="339">
        <f t="shared" si="24"/>
        <v>50000</v>
      </c>
      <c r="D648" s="196" t="s">
        <v>624</v>
      </c>
      <c r="E648" s="187" t="s">
        <v>7207</v>
      </c>
      <c r="F648" s="507">
        <f>SUMIFS(Controle!$R:$R,Controle!$H:$H,produtos_escape2!$A648,Controle!$Z:$Z,"1")</f>
        <v>0</v>
      </c>
      <c r="G648" s="507">
        <f>SUMIFS(Controle!$R:$R,Controle!$H:$H,produtos_escape2!$A648,Controle!$Z:$Z,"2")</f>
        <v>0</v>
      </c>
      <c r="H648" s="507">
        <f>SUMIFS(Controle!$R:$R,Controle!$H:$H,produtos_escape2!$A648,Controle!$Z:$Z,"3")</f>
        <v>0</v>
      </c>
      <c r="I648" s="507">
        <f>SUMIFS(Controle!$R:$R,Controle!$H:$H,produtos_escape2!$A648,Controle!$Z:$Z,"4")</f>
        <v>0</v>
      </c>
      <c r="J648" s="507">
        <f>SUMIFS(Controle!$R:$R,Controle!$H:$H,produtos_escape2!$A648,Controle!$Z:$Z,"5")</f>
        <v>0</v>
      </c>
      <c r="K648" s="507">
        <f>SUMIFS(Controle!$R:$R,Controle!$H:$H,produtos_escape2!$A648,Controle!$Z:$Z,"6")</f>
        <v>0</v>
      </c>
      <c r="L648" s="507">
        <f t="shared" si="23"/>
        <v>0</v>
      </c>
      <c r="M648" s="381" t="s">
        <v>4866</v>
      </c>
      <c r="AF648" s="84"/>
    </row>
    <row r="649" spans="1:32" s="185" customFormat="1" ht="14.25" customHeight="1" thickBot="1">
      <c r="A649" s="353">
        <v>17269</v>
      </c>
      <c r="B649" s="194" t="s">
        <v>105</v>
      </c>
      <c r="C649" s="339">
        <f t="shared" si="24"/>
        <v>50000</v>
      </c>
      <c r="D649" s="196" t="s">
        <v>624</v>
      </c>
      <c r="E649" s="187" t="s">
        <v>7207</v>
      </c>
      <c r="F649" s="507">
        <f>SUMIFS(Controle!$R:$R,Controle!$H:$H,produtos_escape2!$A649,Controle!$Z:$Z,"1")</f>
        <v>0</v>
      </c>
      <c r="G649" s="507">
        <f>SUMIFS(Controle!$R:$R,Controle!$H:$H,produtos_escape2!$A649,Controle!$Z:$Z,"2")</f>
        <v>0</v>
      </c>
      <c r="H649" s="507">
        <f>SUMIFS(Controle!$R:$R,Controle!$H:$H,produtos_escape2!$A649,Controle!$Z:$Z,"3")</f>
        <v>0</v>
      </c>
      <c r="I649" s="507">
        <f>SUMIFS(Controle!$R:$R,Controle!$H:$H,produtos_escape2!$A649,Controle!$Z:$Z,"4")</f>
        <v>0</v>
      </c>
      <c r="J649" s="507">
        <f>SUMIFS(Controle!$R:$R,Controle!$H:$H,produtos_escape2!$A649,Controle!$Z:$Z,"5")</f>
        <v>0</v>
      </c>
      <c r="K649" s="507">
        <f>SUMIFS(Controle!$R:$R,Controle!$H:$H,produtos_escape2!$A649,Controle!$Z:$Z,"6")</f>
        <v>0</v>
      </c>
      <c r="L649" s="507">
        <f t="shared" si="23"/>
        <v>0</v>
      </c>
      <c r="M649" s="381" t="s">
        <v>4867</v>
      </c>
      <c r="AF649" s="84"/>
    </row>
    <row r="650" spans="1:32" s="185" customFormat="1" ht="14.25" customHeight="1" thickBot="1">
      <c r="A650" s="353">
        <v>17327</v>
      </c>
      <c r="B650" s="194" t="s">
        <v>1407</v>
      </c>
      <c r="C650" s="339">
        <f t="shared" si="24"/>
        <v>50000</v>
      </c>
      <c r="D650" s="196" t="s">
        <v>624</v>
      </c>
      <c r="E650" s="187" t="s">
        <v>1739</v>
      </c>
      <c r="F650" s="507">
        <f>SUMIFS(Controle!$R:$R,Controle!$H:$H,produtos_escape2!$A650,Controle!$Z:$Z,"1")</f>
        <v>0</v>
      </c>
      <c r="G650" s="507">
        <f>SUMIFS(Controle!$R:$R,Controle!$H:$H,produtos_escape2!$A650,Controle!$Z:$Z,"2")</f>
        <v>0</v>
      </c>
      <c r="H650" s="507">
        <f>SUMIFS(Controle!$R:$R,Controle!$H:$H,produtos_escape2!$A650,Controle!$Z:$Z,"3")</f>
        <v>0</v>
      </c>
      <c r="I650" s="507">
        <f>SUMIFS(Controle!$R:$R,Controle!$H:$H,produtos_escape2!$A650,Controle!$Z:$Z,"4")</f>
        <v>0</v>
      </c>
      <c r="J650" s="507">
        <f>SUMIFS(Controle!$R:$R,Controle!$H:$H,produtos_escape2!$A650,Controle!$Z:$Z,"5")</f>
        <v>0</v>
      </c>
      <c r="K650" s="507">
        <f>SUMIFS(Controle!$R:$R,Controle!$H:$H,produtos_escape2!$A650,Controle!$Z:$Z,"6")</f>
        <v>0</v>
      </c>
      <c r="L650" s="507">
        <f t="shared" si="23"/>
        <v>0</v>
      </c>
      <c r="M650" s="381" t="s">
        <v>4506</v>
      </c>
      <c r="AF650" s="84"/>
    </row>
    <row r="651" spans="1:32" s="185" customFormat="1" ht="14.25" customHeight="1" thickBot="1">
      <c r="A651" s="353">
        <v>17356</v>
      </c>
      <c r="B651" s="194" t="s">
        <v>1620</v>
      </c>
      <c r="C651" s="339">
        <f t="shared" si="24"/>
        <v>50000</v>
      </c>
      <c r="D651" s="977" t="s">
        <v>1621</v>
      </c>
      <c r="E651" s="189" t="s">
        <v>7207</v>
      </c>
      <c r="F651" s="507">
        <f>SUMIFS(Controle!$R:$R,Controle!$H:$H,produtos_escape2!$A651,Controle!$Z:$Z,"1")</f>
        <v>0</v>
      </c>
      <c r="G651" s="507">
        <f>SUMIFS(Controle!$R:$R,Controle!$H:$H,produtos_escape2!$A651,Controle!$Z:$Z,"2")</f>
        <v>0</v>
      </c>
      <c r="H651" s="507">
        <f>SUMIFS(Controle!$R:$R,Controle!$H:$H,produtos_escape2!$A651,Controle!$Z:$Z,"3")</f>
        <v>0</v>
      </c>
      <c r="I651" s="507">
        <f>SUMIFS(Controle!$R:$R,Controle!$H:$H,produtos_escape2!$A651,Controle!$Z:$Z,"4")</f>
        <v>0</v>
      </c>
      <c r="J651" s="507">
        <f>SUMIFS(Controle!$R:$R,Controle!$H:$H,produtos_escape2!$A651,Controle!$Z:$Z,"5")</f>
        <v>0</v>
      </c>
      <c r="K651" s="507">
        <f>SUMIFS(Controle!$R:$R,Controle!$H:$H,produtos_escape2!$A651,Controle!$Z:$Z,"6")</f>
        <v>0</v>
      </c>
      <c r="L651" s="507">
        <f t="shared" si="23"/>
        <v>0</v>
      </c>
      <c r="M651" s="381" t="s">
        <v>4868</v>
      </c>
      <c r="AF651" s="84"/>
    </row>
    <row r="652" spans="1:32" s="185" customFormat="1" ht="14.25" customHeight="1" thickBot="1">
      <c r="A652" s="333">
        <v>17580</v>
      </c>
      <c r="B652" s="194" t="s">
        <v>515</v>
      </c>
      <c r="C652" s="339">
        <f t="shared" si="24"/>
        <v>50000</v>
      </c>
      <c r="D652" s="196"/>
      <c r="E652" s="187" t="s">
        <v>1739</v>
      </c>
      <c r="F652" s="507">
        <f>SUMIFS(Controle!$R:$R,Controle!$H:$H,produtos_escape2!$A652,Controle!$Z:$Z,"1")</f>
        <v>0</v>
      </c>
      <c r="G652" s="507">
        <f>SUMIFS(Controle!$R:$R,Controle!$H:$H,produtos_escape2!$A652,Controle!$Z:$Z,"2")</f>
        <v>0</v>
      </c>
      <c r="H652" s="507">
        <f>SUMIFS(Controle!$R:$R,Controle!$H:$H,produtos_escape2!$A652,Controle!$Z:$Z,"3")</f>
        <v>0</v>
      </c>
      <c r="I652" s="507">
        <f>SUMIFS(Controle!$R:$R,Controle!$H:$H,produtos_escape2!$A652,Controle!$Z:$Z,"4")</f>
        <v>0</v>
      </c>
      <c r="J652" s="507">
        <f>SUMIFS(Controle!$R:$R,Controle!$H:$H,produtos_escape2!$A652,Controle!$Z:$Z,"5")</f>
        <v>0</v>
      </c>
      <c r="K652" s="507">
        <f>SUMIFS(Controle!$R:$R,Controle!$H:$H,produtos_escape2!$A652,Controle!$Z:$Z,"6")</f>
        <v>0</v>
      </c>
      <c r="L652" s="507">
        <f t="shared" si="23"/>
        <v>0</v>
      </c>
      <c r="M652" s="381" t="s">
        <v>4869</v>
      </c>
      <c r="AF652" s="84"/>
    </row>
    <row r="653" spans="1:32" s="185" customFormat="1" ht="14.25" customHeight="1" thickBot="1">
      <c r="A653" s="353">
        <v>17684</v>
      </c>
      <c r="B653" s="338" t="s">
        <v>4384</v>
      </c>
      <c r="C653" s="339">
        <f t="shared" si="24"/>
        <v>46875.6</v>
      </c>
      <c r="D653" s="196" t="s">
        <v>1255</v>
      </c>
      <c r="E653" s="189" t="s">
        <v>3608</v>
      </c>
      <c r="F653" s="507">
        <f>SUMIFS(Controle!$R:$R,Controle!$H:$H,produtos_escape2!$A653,Controle!$Z:$Z,"1")</f>
        <v>0</v>
      </c>
      <c r="G653" s="507">
        <f>SUMIFS(Controle!$R:$R,Controle!$H:$H,produtos_escape2!$A653,Controle!$Z:$Z,"2")</f>
        <v>1540.4</v>
      </c>
      <c r="H653" s="507">
        <f>SUMIFS(Controle!$R:$R,Controle!$H:$H,produtos_escape2!$A653,Controle!$Z:$Z,"3")</f>
        <v>0</v>
      </c>
      <c r="I653" s="507">
        <f>SUMIFS(Controle!$R:$R,Controle!$H:$H,produtos_escape2!$A653,Controle!$Z:$Z,"4")</f>
        <v>1584</v>
      </c>
      <c r="J653" s="507">
        <f>SUMIFS(Controle!$R:$R,Controle!$H:$H,produtos_escape2!$A653,Controle!$Z:$Z,"5")</f>
        <v>0</v>
      </c>
      <c r="K653" s="507">
        <f>SUMIFS(Controle!$R:$R,Controle!$H:$H,produtos_escape2!$A653,Controle!$Z:$Z,"6")</f>
        <v>0</v>
      </c>
      <c r="L653" s="507">
        <f t="shared" si="23"/>
        <v>3124.4</v>
      </c>
      <c r="M653" s="381" t="s">
        <v>4870</v>
      </c>
      <c r="AF653" s="84"/>
    </row>
    <row r="654" spans="1:32" s="185" customFormat="1" ht="14.25" customHeight="1" thickBot="1">
      <c r="A654" s="353">
        <v>17685</v>
      </c>
      <c r="B654" s="194" t="s">
        <v>4383</v>
      </c>
      <c r="C654" s="339">
        <f t="shared" si="24"/>
        <v>50000</v>
      </c>
      <c r="D654" s="196" t="s">
        <v>1255</v>
      </c>
      <c r="E654" s="189" t="s">
        <v>3608</v>
      </c>
      <c r="F654" s="507">
        <f>SUMIFS(Controle!$R:$R,Controle!$H:$H,produtos_escape2!$A654,Controle!$Z:$Z,"1")</f>
        <v>0</v>
      </c>
      <c r="G654" s="507">
        <f>SUMIFS(Controle!$R:$R,Controle!$H:$H,produtos_escape2!$A654,Controle!$Z:$Z,"2")</f>
        <v>0</v>
      </c>
      <c r="H654" s="507">
        <f>SUMIFS(Controle!$R:$R,Controle!$H:$H,produtos_escape2!$A654,Controle!$Z:$Z,"3")</f>
        <v>0</v>
      </c>
      <c r="I654" s="507">
        <f>SUMIFS(Controle!$R:$R,Controle!$H:$H,produtos_escape2!$A654,Controle!$Z:$Z,"4")</f>
        <v>0</v>
      </c>
      <c r="J654" s="507">
        <f>SUMIFS(Controle!$R:$R,Controle!$H:$H,produtos_escape2!$A654,Controle!$Z:$Z,"5")</f>
        <v>0</v>
      </c>
      <c r="K654" s="507">
        <f>SUMIFS(Controle!$R:$R,Controle!$H:$H,produtos_escape2!$A654,Controle!$Z:$Z,"6")</f>
        <v>0</v>
      </c>
      <c r="L654" s="507">
        <f t="shared" si="23"/>
        <v>0</v>
      </c>
      <c r="M654" s="381" t="s">
        <v>4871</v>
      </c>
      <c r="AF654" s="84"/>
    </row>
    <row r="655" spans="1:32" s="185" customFormat="1" ht="14.25" customHeight="1" thickBot="1">
      <c r="A655" s="353">
        <v>17689</v>
      </c>
      <c r="B655" s="194" t="s">
        <v>4457</v>
      </c>
      <c r="C655" s="339">
        <f t="shared" si="24"/>
        <v>50000</v>
      </c>
      <c r="D655" s="196" t="s">
        <v>1093</v>
      </c>
      <c r="E655" s="189" t="s">
        <v>7207</v>
      </c>
      <c r="F655" s="507">
        <f>SUMIFS(Controle!$R:$R,Controle!$H:$H,produtos_escape2!$A655,Controle!$Z:$Z,"1")</f>
        <v>0</v>
      </c>
      <c r="G655" s="507">
        <f>SUMIFS(Controle!$R:$R,Controle!$H:$H,produtos_escape2!$A655,Controle!$Z:$Z,"2")</f>
        <v>0</v>
      </c>
      <c r="H655" s="507">
        <f>SUMIFS(Controle!$R:$R,Controle!$H:$H,produtos_escape2!$A655,Controle!$Z:$Z,"3")</f>
        <v>0</v>
      </c>
      <c r="I655" s="507">
        <f>SUMIFS(Controle!$R:$R,Controle!$H:$H,produtos_escape2!$A655,Controle!$Z:$Z,"4")</f>
        <v>0</v>
      </c>
      <c r="J655" s="507">
        <f>SUMIFS(Controle!$R:$R,Controle!$H:$H,produtos_escape2!$A655,Controle!$Z:$Z,"5")</f>
        <v>0</v>
      </c>
      <c r="K655" s="507">
        <f>SUMIFS(Controle!$R:$R,Controle!$H:$H,produtos_escape2!$A655,Controle!$Z:$Z,"6")</f>
        <v>0</v>
      </c>
      <c r="L655" s="507">
        <f t="shared" si="23"/>
        <v>0</v>
      </c>
      <c r="M655" s="381" t="s">
        <v>4457</v>
      </c>
      <c r="AF655" s="84"/>
    </row>
    <row r="656" spans="1:32" s="185" customFormat="1" ht="14.25" customHeight="1" thickBot="1">
      <c r="A656" s="353">
        <v>17691</v>
      </c>
      <c r="B656" s="194" t="s">
        <v>75</v>
      </c>
      <c r="C656" s="339">
        <f t="shared" si="24"/>
        <v>50000</v>
      </c>
      <c r="D656" s="196" t="s">
        <v>628</v>
      </c>
      <c r="E656" s="187"/>
      <c r="F656" s="507">
        <f>SUMIFS(Controle!$R:$R,Controle!$H:$H,produtos_escape2!$A656,Controle!$Z:$Z,"1")</f>
        <v>0</v>
      </c>
      <c r="G656" s="507">
        <f>SUMIFS(Controle!$R:$R,Controle!$H:$H,produtos_escape2!$A656,Controle!$Z:$Z,"2")</f>
        <v>0</v>
      </c>
      <c r="H656" s="507">
        <f>SUMIFS(Controle!$R:$R,Controle!$H:$H,produtos_escape2!$A656,Controle!$Z:$Z,"3")</f>
        <v>0</v>
      </c>
      <c r="I656" s="507">
        <f>SUMIFS(Controle!$R:$R,Controle!$H:$H,produtos_escape2!$A656,Controle!$Z:$Z,"4")</f>
        <v>0</v>
      </c>
      <c r="J656" s="507">
        <f>SUMIFS(Controle!$R:$R,Controle!$H:$H,produtos_escape2!$A656,Controle!$Z:$Z,"5")</f>
        <v>0</v>
      </c>
      <c r="K656" s="507">
        <f>SUMIFS(Controle!$R:$R,Controle!$H:$H,produtos_escape2!$A656,Controle!$Z:$Z,"6")</f>
        <v>0</v>
      </c>
      <c r="L656" s="507">
        <f t="shared" si="23"/>
        <v>0</v>
      </c>
      <c r="M656" s="381" t="s">
        <v>4872</v>
      </c>
      <c r="AF656" s="84"/>
    </row>
    <row r="657" spans="1:32" s="185" customFormat="1" ht="14.25" customHeight="1" thickBot="1">
      <c r="A657" s="353">
        <v>17693</v>
      </c>
      <c r="B657" s="194" t="s">
        <v>329</v>
      </c>
      <c r="C657" s="339">
        <f t="shared" si="24"/>
        <v>50000</v>
      </c>
      <c r="D657" s="196" t="s">
        <v>628</v>
      </c>
      <c r="E657" s="187"/>
      <c r="F657" s="507">
        <f>SUMIFS(Controle!$R:$R,Controle!$H:$H,produtos_escape2!$A657,Controle!$Z:$Z,"1")</f>
        <v>0</v>
      </c>
      <c r="G657" s="507">
        <f>SUMIFS(Controle!$R:$R,Controle!$H:$H,produtos_escape2!$A657,Controle!$Z:$Z,"2")</f>
        <v>0</v>
      </c>
      <c r="H657" s="507">
        <f>SUMIFS(Controle!$R:$R,Controle!$H:$H,produtos_escape2!$A657,Controle!$Z:$Z,"3")</f>
        <v>0</v>
      </c>
      <c r="I657" s="507">
        <f>SUMIFS(Controle!$R:$R,Controle!$H:$H,produtos_escape2!$A657,Controle!$Z:$Z,"4")</f>
        <v>0</v>
      </c>
      <c r="J657" s="507">
        <f>SUMIFS(Controle!$R:$R,Controle!$H:$H,produtos_escape2!$A657,Controle!$Z:$Z,"5")</f>
        <v>0</v>
      </c>
      <c r="K657" s="507">
        <f>SUMIFS(Controle!$R:$R,Controle!$H:$H,produtos_escape2!$A657,Controle!$Z:$Z,"6")</f>
        <v>0</v>
      </c>
      <c r="L657" s="507">
        <f t="shared" si="23"/>
        <v>0</v>
      </c>
      <c r="M657" s="381" t="s">
        <v>4873</v>
      </c>
      <c r="AF657" s="84"/>
    </row>
    <row r="658" spans="1:32" s="185" customFormat="1" ht="14.25" customHeight="1" thickBot="1">
      <c r="A658" s="353">
        <v>17694</v>
      </c>
      <c r="B658" s="194" t="s">
        <v>78</v>
      </c>
      <c r="C658" s="339">
        <f t="shared" si="24"/>
        <v>50000</v>
      </c>
      <c r="D658" s="196" t="s">
        <v>624</v>
      </c>
      <c r="E658" s="187" t="s">
        <v>1739</v>
      </c>
      <c r="F658" s="507">
        <f>SUMIFS(Controle!$R:$R,Controle!$H:$H,produtos_escape2!$A658,Controle!$Z:$Z,"1")</f>
        <v>0</v>
      </c>
      <c r="G658" s="507">
        <f>SUMIFS(Controle!$R:$R,Controle!$H:$H,produtos_escape2!$A658,Controle!$Z:$Z,"2")</f>
        <v>0</v>
      </c>
      <c r="H658" s="507">
        <f>SUMIFS(Controle!$R:$R,Controle!$H:$H,produtos_escape2!$A658,Controle!$Z:$Z,"3")</f>
        <v>0</v>
      </c>
      <c r="I658" s="507">
        <f>SUMIFS(Controle!$R:$R,Controle!$H:$H,produtos_escape2!$A658,Controle!$Z:$Z,"4")</f>
        <v>0</v>
      </c>
      <c r="J658" s="507">
        <f>SUMIFS(Controle!$R:$R,Controle!$H:$H,produtos_escape2!$A658,Controle!$Z:$Z,"5")</f>
        <v>0</v>
      </c>
      <c r="K658" s="507">
        <f>SUMIFS(Controle!$R:$R,Controle!$H:$H,produtos_escape2!$A658,Controle!$Z:$Z,"6")</f>
        <v>0</v>
      </c>
      <c r="L658" s="507">
        <f t="shared" si="23"/>
        <v>0</v>
      </c>
      <c r="M658" s="381" t="s">
        <v>4874</v>
      </c>
      <c r="AF658" s="84"/>
    </row>
    <row r="659" spans="1:32" s="185" customFormat="1" ht="14.25" customHeight="1" thickBot="1">
      <c r="A659" s="353">
        <v>17699</v>
      </c>
      <c r="B659" s="194" t="s">
        <v>4007</v>
      </c>
      <c r="C659" s="339">
        <f t="shared" si="24"/>
        <v>48981.29</v>
      </c>
      <c r="D659" s="196" t="s">
        <v>624</v>
      </c>
      <c r="E659" s="187" t="s">
        <v>3608</v>
      </c>
      <c r="F659" s="507">
        <f>SUMIFS(Controle!$R:$R,Controle!$H:$H,produtos_escape2!$A659,Controle!$Z:$Z,"1")</f>
        <v>0</v>
      </c>
      <c r="G659" s="507">
        <f>SUMIFS(Controle!$R:$R,Controle!$H:$H,produtos_escape2!$A659,Controle!$Z:$Z,"2")</f>
        <v>1018.7099999999999</v>
      </c>
      <c r="H659" s="507">
        <f>SUMIFS(Controle!$R:$R,Controle!$H:$H,produtos_escape2!$A659,Controle!$Z:$Z,"3")</f>
        <v>0</v>
      </c>
      <c r="I659" s="507">
        <f>SUMIFS(Controle!$R:$R,Controle!$H:$H,produtos_escape2!$A659,Controle!$Z:$Z,"4")</f>
        <v>0</v>
      </c>
      <c r="J659" s="507">
        <f>SUMIFS(Controle!$R:$R,Controle!$H:$H,produtos_escape2!$A659,Controle!$Z:$Z,"5")</f>
        <v>0</v>
      </c>
      <c r="K659" s="507">
        <f>SUMIFS(Controle!$R:$R,Controle!$H:$H,produtos_escape2!$A659,Controle!$Z:$Z,"6")</f>
        <v>0</v>
      </c>
      <c r="L659" s="507">
        <f t="shared" si="23"/>
        <v>1018.7099999999999</v>
      </c>
      <c r="M659" s="381" t="s">
        <v>4875</v>
      </c>
      <c r="AF659" s="84"/>
    </row>
    <row r="660" spans="1:32" s="185" customFormat="1" ht="14.25" customHeight="1" thickBot="1">
      <c r="A660" s="333">
        <v>17703</v>
      </c>
      <c r="B660" s="194" t="s">
        <v>463</v>
      </c>
      <c r="C660" s="339">
        <f t="shared" si="24"/>
        <v>50000</v>
      </c>
      <c r="D660" s="196"/>
      <c r="E660" s="187"/>
      <c r="F660" s="507">
        <f>SUMIFS(Controle!$R:$R,Controle!$H:$H,produtos_escape2!$A660,Controle!$Z:$Z,"1")</f>
        <v>0</v>
      </c>
      <c r="G660" s="507">
        <f>SUMIFS(Controle!$R:$R,Controle!$H:$H,produtos_escape2!$A660,Controle!$Z:$Z,"2")</f>
        <v>0</v>
      </c>
      <c r="H660" s="507">
        <f>SUMIFS(Controle!$R:$R,Controle!$H:$H,produtos_escape2!$A660,Controle!$Z:$Z,"3")</f>
        <v>0</v>
      </c>
      <c r="I660" s="507">
        <f>SUMIFS(Controle!$R:$R,Controle!$H:$H,produtos_escape2!$A660,Controle!$Z:$Z,"4")</f>
        <v>0</v>
      </c>
      <c r="J660" s="507">
        <f>SUMIFS(Controle!$R:$R,Controle!$H:$H,produtos_escape2!$A660,Controle!$Z:$Z,"5")</f>
        <v>0</v>
      </c>
      <c r="K660" s="507">
        <f>SUMIFS(Controle!$R:$R,Controle!$H:$H,produtos_escape2!$A660,Controle!$Z:$Z,"6")</f>
        <v>0</v>
      </c>
      <c r="L660" s="507">
        <f t="shared" si="23"/>
        <v>0</v>
      </c>
      <c r="M660" s="381" t="s">
        <v>4876</v>
      </c>
      <c r="AF660" s="84"/>
    </row>
    <row r="661" spans="1:32" s="185" customFormat="1" ht="14.25" customHeight="1" thickBot="1">
      <c r="A661" s="353">
        <v>17872</v>
      </c>
      <c r="B661" s="338" t="s">
        <v>291</v>
      </c>
      <c r="C661" s="339">
        <f t="shared" si="24"/>
        <v>50000</v>
      </c>
      <c r="D661" s="196" t="s">
        <v>729</v>
      </c>
      <c r="E661" s="187" t="s">
        <v>1739</v>
      </c>
      <c r="F661" s="507">
        <f>SUMIFS(Controle!$R:$R,Controle!$H:$H,produtos_escape2!$A661,Controle!$Z:$Z,"1")</f>
        <v>0</v>
      </c>
      <c r="G661" s="507">
        <f>SUMIFS(Controle!$R:$R,Controle!$H:$H,produtos_escape2!$A661,Controle!$Z:$Z,"2")</f>
        <v>0</v>
      </c>
      <c r="H661" s="507">
        <f>SUMIFS(Controle!$R:$R,Controle!$H:$H,produtos_escape2!$A661,Controle!$Z:$Z,"3")</f>
        <v>0</v>
      </c>
      <c r="I661" s="507">
        <f>SUMIFS(Controle!$R:$R,Controle!$H:$H,produtos_escape2!$A661,Controle!$Z:$Z,"4")</f>
        <v>0</v>
      </c>
      <c r="J661" s="507">
        <f>SUMIFS(Controle!$R:$R,Controle!$H:$H,produtos_escape2!$A661,Controle!$Z:$Z,"5")</f>
        <v>0</v>
      </c>
      <c r="K661" s="507">
        <f>SUMIFS(Controle!$R:$R,Controle!$H:$H,produtos_escape2!$A661,Controle!$Z:$Z,"6")</f>
        <v>0</v>
      </c>
      <c r="L661" s="507">
        <f t="shared" si="23"/>
        <v>0</v>
      </c>
      <c r="M661" s="381" t="s">
        <v>4877</v>
      </c>
      <c r="AF661" s="84"/>
    </row>
    <row r="662" spans="1:32" s="185" customFormat="1" ht="14.25" customHeight="1" thickBot="1">
      <c r="A662" s="353">
        <v>17998</v>
      </c>
      <c r="B662" s="194" t="s">
        <v>466</v>
      </c>
      <c r="C662" s="339">
        <f t="shared" si="24"/>
        <v>50000</v>
      </c>
      <c r="D662" s="196"/>
      <c r="E662" s="187"/>
      <c r="F662" s="507">
        <f>SUMIFS(Controle!$R:$R,Controle!$H:$H,produtos_escape2!$A662,Controle!$Z:$Z,"1")</f>
        <v>0</v>
      </c>
      <c r="G662" s="507">
        <f>SUMIFS(Controle!$R:$R,Controle!$H:$H,produtos_escape2!$A662,Controle!$Z:$Z,"2")</f>
        <v>0</v>
      </c>
      <c r="H662" s="507">
        <f>SUMIFS(Controle!$R:$R,Controle!$H:$H,produtos_escape2!$A662,Controle!$Z:$Z,"3")</f>
        <v>0</v>
      </c>
      <c r="I662" s="507">
        <f>SUMIFS(Controle!$R:$R,Controle!$H:$H,produtos_escape2!$A662,Controle!$Z:$Z,"4")</f>
        <v>0</v>
      </c>
      <c r="J662" s="507">
        <f>SUMIFS(Controle!$R:$R,Controle!$H:$H,produtos_escape2!$A662,Controle!$Z:$Z,"5")</f>
        <v>0</v>
      </c>
      <c r="K662" s="507">
        <f>SUMIFS(Controle!$R:$R,Controle!$H:$H,produtos_escape2!$A662,Controle!$Z:$Z,"6")</f>
        <v>0</v>
      </c>
      <c r="L662" s="507">
        <f t="shared" si="23"/>
        <v>0</v>
      </c>
      <c r="M662" s="381" t="s">
        <v>4878</v>
      </c>
      <c r="AF662" s="84"/>
    </row>
    <row r="663" spans="1:32" s="185" customFormat="1" ht="14.25" customHeight="1" thickBot="1">
      <c r="A663" s="353">
        <v>18010</v>
      </c>
      <c r="B663" s="194" t="s">
        <v>1167</v>
      </c>
      <c r="C663" s="339">
        <f t="shared" si="24"/>
        <v>50000</v>
      </c>
      <c r="D663" s="196" t="s">
        <v>624</v>
      </c>
      <c r="E663" s="187" t="s">
        <v>7207</v>
      </c>
      <c r="F663" s="507">
        <f>SUMIFS(Controle!$R:$R,Controle!$H:$H,produtos_escape2!$A663,Controle!$Z:$Z,"1")</f>
        <v>0</v>
      </c>
      <c r="G663" s="507">
        <f>SUMIFS(Controle!$R:$R,Controle!$H:$H,produtos_escape2!$A663,Controle!$Z:$Z,"2")</f>
        <v>0</v>
      </c>
      <c r="H663" s="507">
        <f>SUMIFS(Controle!$R:$R,Controle!$H:$H,produtos_escape2!$A663,Controle!$Z:$Z,"3")</f>
        <v>0</v>
      </c>
      <c r="I663" s="507">
        <f>SUMIFS(Controle!$R:$R,Controle!$H:$H,produtos_escape2!$A663,Controle!$Z:$Z,"4")</f>
        <v>0</v>
      </c>
      <c r="J663" s="507">
        <f>SUMIFS(Controle!$R:$R,Controle!$H:$H,produtos_escape2!$A663,Controle!$Z:$Z,"5")</f>
        <v>0</v>
      </c>
      <c r="K663" s="507">
        <f>SUMIFS(Controle!$R:$R,Controle!$H:$H,produtos_escape2!$A663,Controle!$Z:$Z,"6")</f>
        <v>0</v>
      </c>
      <c r="L663" s="507">
        <f t="shared" si="23"/>
        <v>0</v>
      </c>
      <c r="M663" s="381" t="s">
        <v>4879</v>
      </c>
      <c r="AF663" s="84"/>
    </row>
    <row r="664" spans="1:32" s="185" customFormat="1" ht="14.25" customHeight="1" thickBot="1">
      <c r="A664" s="353">
        <v>18130</v>
      </c>
      <c r="B664" s="194" t="s">
        <v>4236</v>
      </c>
      <c r="C664" s="339">
        <f t="shared" si="24"/>
        <v>50000</v>
      </c>
      <c r="D664" s="196" t="s">
        <v>624</v>
      </c>
      <c r="E664" s="189" t="s">
        <v>7207</v>
      </c>
      <c r="F664" s="507">
        <f>SUMIFS(Controle!$R:$R,Controle!$H:$H,produtos_escape2!$A664,Controle!$Z:$Z,"1")</f>
        <v>0</v>
      </c>
      <c r="G664" s="507">
        <f>SUMIFS(Controle!$R:$R,Controle!$H:$H,produtos_escape2!$A664,Controle!$Z:$Z,"2")</f>
        <v>0</v>
      </c>
      <c r="H664" s="507">
        <f>SUMIFS(Controle!$R:$R,Controle!$H:$H,produtos_escape2!$A664,Controle!$Z:$Z,"3")</f>
        <v>0</v>
      </c>
      <c r="I664" s="507">
        <f>SUMIFS(Controle!$R:$R,Controle!$H:$H,produtos_escape2!$A664,Controle!$Z:$Z,"4")</f>
        <v>0</v>
      </c>
      <c r="J664" s="507">
        <f>SUMIFS(Controle!$R:$R,Controle!$H:$H,produtos_escape2!$A664,Controle!$Z:$Z,"5")</f>
        <v>0</v>
      </c>
      <c r="K664" s="507">
        <f>SUMIFS(Controle!$R:$R,Controle!$H:$H,produtos_escape2!$A664,Controle!$Z:$Z,"6")</f>
        <v>0</v>
      </c>
      <c r="L664" s="507">
        <f t="shared" si="23"/>
        <v>0</v>
      </c>
      <c r="M664" s="381" t="s">
        <v>4880</v>
      </c>
      <c r="AF664" s="84"/>
    </row>
    <row r="665" spans="1:32" s="185" customFormat="1" ht="14.25" customHeight="1" thickBot="1">
      <c r="A665" s="353">
        <v>18131</v>
      </c>
      <c r="B665" s="194" t="s">
        <v>4237</v>
      </c>
      <c r="C665" s="339">
        <f t="shared" si="24"/>
        <v>50000</v>
      </c>
      <c r="D665" s="196" t="s">
        <v>624</v>
      </c>
      <c r="E665" s="189" t="s">
        <v>7207</v>
      </c>
      <c r="F665" s="507">
        <f>SUMIFS(Controle!$R:$R,Controle!$H:$H,produtos_escape2!$A665,Controle!$Z:$Z,"1")</f>
        <v>0</v>
      </c>
      <c r="G665" s="507">
        <f>SUMIFS(Controle!$R:$R,Controle!$H:$H,produtos_escape2!$A665,Controle!$Z:$Z,"2")</f>
        <v>0</v>
      </c>
      <c r="H665" s="507">
        <f>SUMIFS(Controle!$R:$R,Controle!$H:$H,produtos_escape2!$A665,Controle!$Z:$Z,"3")</f>
        <v>0</v>
      </c>
      <c r="I665" s="507">
        <f>SUMIFS(Controle!$R:$R,Controle!$H:$H,produtos_escape2!$A665,Controle!$Z:$Z,"4")</f>
        <v>0</v>
      </c>
      <c r="J665" s="507">
        <f>SUMIFS(Controle!$R:$R,Controle!$H:$H,produtos_escape2!$A665,Controle!$Z:$Z,"5")</f>
        <v>0</v>
      </c>
      <c r="K665" s="507">
        <f>SUMIFS(Controle!$R:$R,Controle!$H:$H,produtos_escape2!$A665,Controle!$Z:$Z,"6")</f>
        <v>0</v>
      </c>
      <c r="L665" s="507">
        <f t="shared" si="23"/>
        <v>0</v>
      </c>
      <c r="M665" s="381" t="s">
        <v>4881</v>
      </c>
      <c r="AF665" s="84"/>
    </row>
    <row r="666" spans="1:32" s="185" customFormat="1" ht="14.25" customHeight="1" thickBot="1">
      <c r="A666" s="353">
        <v>18132</v>
      </c>
      <c r="B666" s="194" t="s">
        <v>4238</v>
      </c>
      <c r="C666" s="339">
        <f t="shared" si="24"/>
        <v>50000</v>
      </c>
      <c r="D666" s="196" t="s">
        <v>624</v>
      </c>
      <c r="E666" s="189" t="s">
        <v>7207</v>
      </c>
      <c r="F666" s="507">
        <f>SUMIFS(Controle!$R:$R,Controle!$H:$H,produtos_escape2!$A666,Controle!$Z:$Z,"1")</f>
        <v>0</v>
      </c>
      <c r="G666" s="507">
        <f>SUMIFS(Controle!$R:$R,Controle!$H:$H,produtos_escape2!$A666,Controle!$Z:$Z,"2")</f>
        <v>0</v>
      </c>
      <c r="H666" s="507">
        <f>SUMIFS(Controle!$R:$R,Controle!$H:$H,produtos_escape2!$A666,Controle!$Z:$Z,"3")</f>
        <v>0</v>
      </c>
      <c r="I666" s="507">
        <f>SUMIFS(Controle!$R:$R,Controle!$H:$H,produtos_escape2!$A666,Controle!$Z:$Z,"4")</f>
        <v>0</v>
      </c>
      <c r="J666" s="507">
        <f>SUMIFS(Controle!$R:$R,Controle!$H:$H,produtos_escape2!$A666,Controle!$Z:$Z,"5")</f>
        <v>0</v>
      </c>
      <c r="K666" s="507">
        <f>SUMIFS(Controle!$R:$R,Controle!$H:$H,produtos_escape2!$A666,Controle!$Z:$Z,"6")</f>
        <v>0</v>
      </c>
      <c r="L666" s="507">
        <f t="shared" si="23"/>
        <v>0</v>
      </c>
      <c r="M666" s="381" t="s">
        <v>4880</v>
      </c>
      <c r="AF666" s="84"/>
    </row>
    <row r="667" spans="1:32" s="185" customFormat="1" ht="14.25" customHeight="1" thickBot="1">
      <c r="A667" s="353">
        <v>18161</v>
      </c>
      <c r="B667" s="194" t="s">
        <v>611</v>
      </c>
      <c r="C667" s="339">
        <f t="shared" si="24"/>
        <v>50000</v>
      </c>
      <c r="D667" s="196" t="s">
        <v>848</v>
      </c>
      <c r="E667" s="187" t="s">
        <v>7207</v>
      </c>
      <c r="F667" s="507">
        <f>SUMIFS(Controle!$R:$R,Controle!$H:$H,produtos_escape2!$A667,Controle!$Z:$Z,"1")</f>
        <v>0</v>
      </c>
      <c r="G667" s="507">
        <f>SUMIFS(Controle!$R:$R,Controle!$H:$H,produtos_escape2!$A667,Controle!$Z:$Z,"2")</f>
        <v>0</v>
      </c>
      <c r="H667" s="507">
        <f>SUMIFS(Controle!$R:$R,Controle!$H:$H,produtos_escape2!$A667,Controle!$Z:$Z,"3")</f>
        <v>0</v>
      </c>
      <c r="I667" s="507">
        <f>SUMIFS(Controle!$R:$R,Controle!$H:$H,produtos_escape2!$A667,Controle!$Z:$Z,"4")</f>
        <v>0</v>
      </c>
      <c r="J667" s="507">
        <f>SUMIFS(Controle!$R:$R,Controle!$H:$H,produtos_escape2!$A667,Controle!$Z:$Z,"5")</f>
        <v>0</v>
      </c>
      <c r="K667" s="507">
        <f>SUMIFS(Controle!$R:$R,Controle!$H:$H,produtos_escape2!$A667,Controle!$Z:$Z,"6")</f>
        <v>0</v>
      </c>
      <c r="L667" s="507">
        <f t="shared" si="23"/>
        <v>0</v>
      </c>
      <c r="M667" s="381" t="s">
        <v>4882</v>
      </c>
      <c r="AF667" s="84"/>
    </row>
    <row r="668" spans="1:32" s="185" customFormat="1" ht="14.25" customHeight="1" thickBot="1">
      <c r="A668" s="333">
        <v>18335</v>
      </c>
      <c r="B668" s="194" t="s">
        <v>45</v>
      </c>
      <c r="C668" s="339">
        <f t="shared" si="24"/>
        <v>50000</v>
      </c>
      <c r="D668" s="196"/>
      <c r="E668" s="187"/>
      <c r="F668" s="507">
        <f>SUMIFS(Controle!$R:$R,Controle!$H:$H,produtos_escape2!$A668,Controle!$Z:$Z,"1")</f>
        <v>0</v>
      </c>
      <c r="G668" s="507">
        <f>SUMIFS(Controle!$R:$R,Controle!$H:$H,produtos_escape2!$A668,Controle!$Z:$Z,"2")</f>
        <v>0</v>
      </c>
      <c r="H668" s="507">
        <f>SUMIFS(Controle!$R:$R,Controle!$H:$H,produtos_escape2!$A668,Controle!$Z:$Z,"3")</f>
        <v>0</v>
      </c>
      <c r="I668" s="507">
        <f>SUMIFS(Controle!$R:$R,Controle!$H:$H,produtos_escape2!$A668,Controle!$Z:$Z,"4")</f>
        <v>0</v>
      </c>
      <c r="J668" s="507">
        <f>SUMIFS(Controle!$R:$R,Controle!$H:$H,produtos_escape2!$A668,Controle!$Z:$Z,"5")</f>
        <v>0</v>
      </c>
      <c r="K668" s="507">
        <f>SUMIFS(Controle!$R:$R,Controle!$H:$H,produtos_escape2!$A668,Controle!$Z:$Z,"6")</f>
        <v>0</v>
      </c>
      <c r="L668" s="507">
        <f t="shared" si="23"/>
        <v>0</v>
      </c>
      <c r="M668" s="381" t="s">
        <v>4883</v>
      </c>
      <c r="AF668" s="84"/>
    </row>
    <row r="669" spans="1:32" s="185" customFormat="1" ht="14.25" customHeight="1" thickBot="1">
      <c r="A669" s="353">
        <v>18346</v>
      </c>
      <c r="B669" s="338" t="s">
        <v>1354</v>
      </c>
      <c r="C669" s="339">
        <f t="shared" si="24"/>
        <v>50000</v>
      </c>
      <c r="D669" s="196" t="s">
        <v>624</v>
      </c>
      <c r="E669" s="187" t="s">
        <v>7207</v>
      </c>
      <c r="F669" s="507">
        <f>SUMIFS(Controle!$R:$R,Controle!$H:$H,produtos_escape2!$A669,Controle!$Z:$Z,"1")</f>
        <v>0</v>
      </c>
      <c r="G669" s="507">
        <f>SUMIFS(Controle!$R:$R,Controle!$H:$H,produtos_escape2!$A669,Controle!$Z:$Z,"2")</f>
        <v>0</v>
      </c>
      <c r="H669" s="507">
        <f>SUMIFS(Controle!$R:$R,Controle!$H:$H,produtos_escape2!$A669,Controle!$Z:$Z,"3")</f>
        <v>0</v>
      </c>
      <c r="I669" s="507">
        <f>SUMIFS(Controle!$R:$R,Controle!$H:$H,produtos_escape2!$A669,Controle!$Z:$Z,"4")</f>
        <v>0</v>
      </c>
      <c r="J669" s="507">
        <f>SUMIFS(Controle!$R:$R,Controle!$H:$H,produtos_escape2!$A669,Controle!$Z:$Z,"5")</f>
        <v>0</v>
      </c>
      <c r="K669" s="507">
        <f>SUMIFS(Controle!$R:$R,Controle!$H:$H,produtos_escape2!$A669,Controle!$Z:$Z,"6")</f>
        <v>0</v>
      </c>
      <c r="L669" s="507">
        <f t="shared" si="23"/>
        <v>0</v>
      </c>
      <c r="M669" s="381" t="s">
        <v>4884</v>
      </c>
      <c r="AF669" s="84"/>
    </row>
    <row r="670" spans="1:32" s="185" customFormat="1" ht="14.25" customHeight="1" thickBot="1">
      <c r="A670" s="353">
        <v>18355</v>
      </c>
      <c r="B670" s="194" t="s">
        <v>406</v>
      </c>
      <c r="C670" s="339">
        <f t="shared" si="24"/>
        <v>50000</v>
      </c>
      <c r="D670" s="196"/>
      <c r="E670" s="187"/>
      <c r="F670" s="507">
        <f>SUMIFS(Controle!$R:$R,Controle!$H:$H,produtos_escape2!$A670,Controle!$Z:$Z,"1")</f>
        <v>0</v>
      </c>
      <c r="G670" s="507">
        <f>SUMIFS(Controle!$R:$R,Controle!$H:$H,produtos_escape2!$A670,Controle!$Z:$Z,"2")</f>
        <v>0</v>
      </c>
      <c r="H670" s="507">
        <f>SUMIFS(Controle!$R:$R,Controle!$H:$H,produtos_escape2!$A670,Controle!$Z:$Z,"3")</f>
        <v>0</v>
      </c>
      <c r="I670" s="507">
        <f>SUMIFS(Controle!$R:$R,Controle!$H:$H,produtos_escape2!$A670,Controle!$Z:$Z,"4")</f>
        <v>0</v>
      </c>
      <c r="J670" s="507">
        <f>SUMIFS(Controle!$R:$R,Controle!$H:$H,produtos_escape2!$A670,Controle!$Z:$Z,"5")</f>
        <v>0</v>
      </c>
      <c r="K670" s="507">
        <f>SUMIFS(Controle!$R:$R,Controle!$H:$H,produtos_escape2!$A670,Controle!$Z:$Z,"6")</f>
        <v>0</v>
      </c>
      <c r="L670" s="507">
        <f t="shared" si="23"/>
        <v>0</v>
      </c>
      <c r="M670" s="381" t="s">
        <v>4885</v>
      </c>
      <c r="AF670" s="84"/>
    </row>
    <row r="671" spans="1:32" s="185" customFormat="1" ht="14.25" customHeight="1" thickBot="1">
      <c r="A671" s="353">
        <v>18364</v>
      </c>
      <c r="B671" s="194" t="s">
        <v>1355</v>
      </c>
      <c r="C671" s="339">
        <f t="shared" si="24"/>
        <v>50000</v>
      </c>
      <c r="D671" s="196" t="s">
        <v>624</v>
      </c>
      <c r="E671" s="187" t="s">
        <v>7207</v>
      </c>
      <c r="F671" s="507">
        <f>SUMIFS(Controle!$R:$R,Controle!$H:$H,produtos_escape2!$A671,Controle!$Z:$Z,"1")</f>
        <v>0</v>
      </c>
      <c r="G671" s="507">
        <f>SUMIFS(Controle!$R:$R,Controle!$H:$H,produtos_escape2!$A671,Controle!$Z:$Z,"2")</f>
        <v>0</v>
      </c>
      <c r="H671" s="507">
        <f>SUMIFS(Controle!$R:$R,Controle!$H:$H,produtos_escape2!$A671,Controle!$Z:$Z,"3")</f>
        <v>0</v>
      </c>
      <c r="I671" s="507">
        <f>SUMIFS(Controle!$R:$R,Controle!$H:$H,produtos_escape2!$A671,Controle!$Z:$Z,"4")</f>
        <v>0</v>
      </c>
      <c r="J671" s="507">
        <f>SUMIFS(Controle!$R:$R,Controle!$H:$H,produtos_escape2!$A671,Controle!$Z:$Z,"5")</f>
        <v>0</v>
      </c>
      <c r="K671" s="507">
        <f>SUMIFS(Controle!$R:$R,Controle!$H:$H,produtos_escape2!$A671,Controle!$Z:$Z,"6")</f>
        <v>0</v>
      </c>
      <c r="L671" s="507">
        <f t="shared" si="23"/>
        <v>0</v>
      </c>
      <c r="M671" s="381" t="s">
        <v>4886</v>
      </c>
      <c r="AF671" s="84"/>
    </row>
    <row r="672" spans="1:32" s="185" customFormat="1" ht="14.25" customHeight="1" thickBot="1">
      <c r="A672" s="353">
        <v>18421</v>
      </c>
      <c r="B672" s="194" t="s">
        <v>4227</v>
      </c>
      <c r="C672" s="339">
        <f t="shared" si="24"/>
        <v>50000</v>
      </c>
      <c r="D672" s="196" t="s">
        <v>624</v>
      </c>
      <c r="E672" s="189" t="s">
        <v>7207</v>
      </c>
      <c r="F672" s="507">
        <f>SUMIFS(Controle!$R:$R,Controle!$H:$H,produtos_escape2!$A672,Controle!$Z:$Z,"1")</f>
        <v>0</v>
      </c>
      <c r="G672" s="507">
        <f>SUMIFS(Controle!$R:$R,Controle!$H:$H,produtos_escape2!$A672,Controle!$Z:$Z,"2")</f>
        <v>0</v>
      </c>
      <c r="H672" s="507">
        <f>SUMIFS(Controle!$R:$R,Controle!$H:$H,produtos_escape2!$A672,Controle!$Z:$Z,"3")</f>
        <v>0</v>
      </c>
      <c r="I672" s="507">
        <f>SUMIFS(Controle!$R:$R,Controle!$H:$H,produtos_escape2!$A672,Controle!$Z:$Z,"4")</f>
        <v>0</v>
      </c>
      <c r="J672" s="507">
        <f>SUMIFS(Controle!$R:$R,Controle!$H:$H,produtos_escape2!$A672,Controle!$Z:$Z,"5")</f>
        <v>0</v>
      </c>
      <c r="K672" s="507">
        <f>SUMIFS(Controle!$R:$R,Controle!$H:$H,produtos_escape2!$A672,Controle!$Z:$Z,"6")</f>
        <v>0</v>
      </c>
      <c r="L672" s="507">
        <f t="shared" si="23"/>
        <v>0</v>
      </c>
      <c r="M672" s="381" t="s">
        <v>4227</v>
      </c>
      <c r="AF672" s="84"/>
    </row>
    <row r="673" spans="1:32" s="185" customFormat="1" ht="14.25" customHeight="1" thickBot="1">
      <c r="A673" s="353">
        <v>18458</v>
      </c>
      <c r="B673" s="194" t="s">
        <v>9605</v>
      </c>
      <c r="C673" s="339">
        <f t="shared" si="24"/>
        <v>49397</v>
      </c>
      <c r="D673" s="196" t="s">
        <v>725</v>
      </c>
      <c r="E673" s="187" t="s">
        <v>3608</v>
      </c>
      <c r="F673" s="507">
        <f>SUMIFS(Controle!$R:$R,Controle!$H:$H,produtos_escape2!$A673,Controle!$Z:$Z,"1")</f>
        <v>0</v>
      </c>
      <c r="G673" s="507">
        <f>SUMIFS(Controle!$R:$R,Controle!$H:$H,produtos_escape2!$A673,Controle!$Z:$Z,"2")</f>
        <v>0</v>
      </c>
      <c r="H673" s="507">
        <f>SUMIFS(Controle!$R:$R,Controle!$H:$H,produtos_escape2!$A673,Controle!$Z:$Z,"3")</f>
        <v>0</v>
      </c>
      <c r="I673" s="507">
        <f>SUMIFS(Controle!$R:$R,Controle!$H:$H,produtos_escape2!$A673,Controle!$Z:$Z,"4")</f>
        <v>0</v>
      </c>
      <c r="J673" s="507">
        <f>SUMIFS(Controle!$R:$R,Controle!$H:$H,produtos_escape2!$A673,Controle!$Z:$Z,"5")</f>
        <v>225</v>
      </c>
      <c r="K673" s="507">
        <f>SUMIFS(Controle!$R:$R,Controle!$H:$H,produtos_escape2!$A673,Controle!$Z:$Z,"6")</f>
        <v>378</v>
      </c>
      <c r="L673" s="507">
        <f t="shared" si="23"/>
        <v>603</v>
      </c>
      <c r="M673" s="381" t="s">
        <v>9606</v>
      </c>
      <c r="AF673" s="84"/>
    </row>
    <row r="674" spans="1:32" s="185" customFormat="1" ht="14.25" customHeight="1" thickBot="1">
      <c r="A674" s="353">
        <v>18465</v>
      </c>
      <c r="B674" s="194" t="s">
        <v>737</v>
      </c>
      <c r="C674" s="339">
        <f t="shared" si="24"/>
        <v>50000</v>
      </c>
      <c r="D674" s="196"/>
      <c r="E674" s="187" t="s">
        <v>1739</v>
      </c>
      <c r="F674" s="507">
        <f>SUMIFS(Controle!$R:$R,Controle!$H:$H,produtos_escape2!$A674,Controle!$Z:$Z,"1")</f>
        <v>0</v>
      </c>
      <c r="G674" s="507">
        <f>SUMIFS(Controle!$R:$R,Controle!$H:$H,produtos_escape2!$A674,Controle!$Z:$Z,"2")</f>
        <v>0</v>
      </c>
      <c r="H674" s="507">
        <f>SUMIFS(Controle!$R:$R,Controle!$H:$H,produtos_escape2!$A674,Controle!$Z:$Z,"3")</f>
        <v>0</v>
      </c>
      <c r="I674" s="507">
        <f>SUMIFS(Controle!$R:$R,Controle!$H:$H,produtos_escape2!$A674,Controle!$Z:$Z,"4")</f>
        <v>0</v>
      </c>
      <c r="J674" s="507">
        <f>SUMIFS(Controle!$R:$R,Controle!$H:$H,produtos_escape2!$A674,Controle!$Z:$Z,"5")</f>
        <v>0</v>
      </c>
      <c r="K674" s="507">
        <f>SUMIFS(Controle!$R:$R,Controle!$H:$H,produtos_escape2!$A674,Controle!$Z:$Z,"6")</f>
        <v>0</v>
      </c>
      <c r="L674" s="507">
        <f t="shared" si="23"/>
        <v>0</v>
      </c>
      <c r="M674" s="381" t="s">
        <v>4887</v>
      </c>
      <c r="AF674" s="84"/>
    </row>
    <row r="675" spans="1:32" s="185" customFormat="1" ht="14.25" customHeight="1" thickBot="1">
      <c r="A675" s="353">
        <v>18508</v>
      </c>
      <c r="B675" s="194" t="s">
        <v>122</v>
      </c>
      <c r="C675" s="339">
        <f t="shared" si="24"/>
        <v>50000</v>
      </c>
      <c r="D675" s="196"/>
      <c r="E675" s="187" t="s">
        <v>3608</v>
      </c>
      <c r="F675" s="507">
        <f>SUMIFS(Controle!$R:$R,Controle!$H:$H,produtos_escape2!$A675,Controle!$Z:$Z,"1")</f>
        <v>0</v>
      </c>
      <c r="G675" s="507">
        <f>SUMIFS(Controle!$R:$R,Controle!$H:$H,produtos_escape2!$A675,Controle!$Z:$Z,"2")</f>
        <v>0</v>
      </c>
      <c r="H675" s="507">
        <f>SUMIFS(Controle!$R:$R,Controle!$H:$H,produtos_escape2!$A675,Controle!$Z:$Z,"3")</f>
        <v>0</v>
      </c>
      <c r="I675" s="507">
        <f>SUMIFS(Controle!$R:$R,Controle!$H:$H,produtos_escape2!$A675,Controle!$Z:$Z,"4")</f>
        <v>0</v>
      </c>
      <c r="J675" s="507">
        <f>SUMIFS(Controle!$R:$R,Controle!$H:$H,produtos_escape2!$A675,Controle!$Z:$Z,"5")</f>
        <v>0</v>
      </c>
      <c r="K675" s="507">
        <f>SUMIFS(Controle!$R:$R,Controle!$H:$H,produtos_escape2!$A675,Controle!$Z:$Z,"6")</f>
        <v>0</v>
      </c>
      <c r="L675" s="507">
        <f t="shared" si="23"/>
        <v>0</v>
      </c>
      <c r="M675" s="381" t="s">
        <v>122</v>
      </c>
      <c r="AF675" s="84"/>
    </row>
    <row r="676" spans="1:32" s="185" customFormat="1" ht="14.25" customHeight="1" thickBot="1">
      <c r="A676" s="353">
        <v>18513</v>
      </c>
      <c r="B676" s="194" t="s">
        <v>318</v>
      </c>
      <c r="C676" s="339">
        <f t="shared" si="24"/>
        <v>50000</v>
      </c>
      <c r="D676" s="196" t="s">
        <v>725</v>
      </c>
      <c r="E676" s="187"/>
      <c r="F676" s="507">
        <f>SUMIFS(Controle!$R:$R,Controle!$H:$H,produtos_escape2!$A676,Controle!$Z:$Z,"1")</f>
        <v>0</v>
      </c>
      <c r="G676" s="507">
        <f>SUMIFS(Controle!$R:$R,Controle!$H:$H,produtos_escape2!$A676,Controle!$Z:$Z,"2")</f>
        <v>0</v>
      </c>
      <c r="H676" s="507">
        <f>SUMIFS(Controle!$R:$R,Controle!$H:$H,produtos_escape2!$A676,Controle!$Z:$Z,"3")</f>
        <v>0</v>
      </c>
      <c r="I676" s="507">
        <f>SUMIFS(Controle!$R:$R,Controle!$H:$H,produtos_escape2!$A676,Controle!$Z:$Z,"4")</f>
        <v>0</v>
      </c>
      <c r="J676" s="507">
        <f>SUMIFS(Controle!$R:$R,Controle!$H:$H,produtos_escape2!$A676,Controle!$Z:$Z,"5")</f>
        <v>0</v>
      </c>
      <c r="K676" s="507">
        <f>SUMIFS(Controle!$R:$R,Controle!$H:$H,produtos_escape2!$A676,Controle!$Z:$Z,"6")</f>
        <v>0</v>
      </c>
      <c r="L676" s="507">
        <f t="shared" si="23"/>
        <v>0</v>
      </c>
      <c r="M676" s="381" t="s">
        <v>318</v>
      </c>
      <c r="AF676" s="84"/>
    </row>
    <row r="677" spans="1:32" s="185" customFormat="1" ht="14.25" customHeight="1" thickBot="1">
      <c r="A677" s="333">
        <v>18538</v>
      </c>
      <c r="B677" s="194" t="s">
        <v>1360</v>
      </c>
      <c r="C677" s="339">
        <f t="shared" si="24"/>
        <v>50000</v>
      </c>
      <c r="D677" s="196" t="s">
        <v>624</v>
      </c>
      <c r="E677" s="187" t="s">
        <v>1739</v>
      </c>
      <c r="F677" s="507">
        <f>SUMIFS(Controle!$R:$R,Controle!$H:$H,produtos_escape2!$A677,Controle!$Z:$Z,"1")</f>
        <v>0</v>
      </c>
      <c r="G677" s="507">
        <f>SUMIFS(Controle!$R:$R,Controle!$H:$H,produtos_escape2!$A677,Controle!$Z:$Z,"2")</f>
        <v>0</v>
      </c>
      <c r="H677" s="507">
        <f>SUMIFS(Controle!$R:$R,Controle!$H:$H,produtos_escape2!$A677,Controle!$Z:$Z,"3")</f>
        <v>0</v>
      </c>
      <c r="I677" s="507">
        <f>SUMIFS(Controle!$R:$R,Controle!$H:$H,produtos_escape2!$A677,Controle!$Z:$Z,"4")</f>
        <v>0</v>
      </c>
      <c r="J677" s="507">
        <f>SUMIFS(Controle!$R:$R,Controle!$H:$H,produtos_escape2!$A677,Controle!$Z:$Z,"5")</f>
        <v>0</v>
      </c>
      <c r="K677" s="507">
        <f>SUMIFS(Controle!$R:$R,Controle!$H:$H,produtos_escape2!$A677,Controle!$Z:$Z,"6")</f>
        <v>0</v>
      </c>
      <c r="L677" s="507">
        <f t="shared" si="23"/>
        <v>0</v>
      </c>
      <c r="M677" s="381" t="s">
        <v>4888</v>
      </c>
      <c r="AF677" s="84"/>
    </row>
    <row r="678" spans="1:32" s="185" customFormat="1" ht="14.25" customHeight="1" thickBot="1">
      <c r="A678" s="353">
        <v>18561</v>
      </c>
      <c r="B678" s="338" t="s">
        <v>2829</v>
      </c>
      <c r="C678" s="339">
        <f t="shared" si="24"/>
        <v>50000</v>
      </c>
      <c r="D678" s="196" t="s">
        <v>894</v>
      </c>
      <c r="E678" s="187" t="s">
        <v>3608</v>
      </c>
      <c r="F678" s="507">
        <f>SUMIFS(Controle!$R:$R,Controle!$H:$H,produtos_escape2!$A678,Controle!$Z:$Z,"1")</f>
        <v>0</v>
      </c>
      <c r="G678" s="507">
        <f>SUMIFS(Controle!$R:$R,Controle!$H:$H,produtos_escape2!$A678,Controle!$Z:$Z,"2")</f>
        <v>0</v>
      </c>
      <c r="H678" s="507">
        <f>SUMIFS(Controle!$R:$R,Controle!$H:$H,produtos_escape2!$A678,Controle!$Z:$Z,"3")</f>
        <v>0</v>
      </c>
      <c r="I678" s="507">
        <f>SUMIFS(Controle!$R:$R,Controle!$H:$H,produtos_escape2!$A678,Controle!$Z:$Z,"4")</f>
        <v>0</v>
      </c>
      <c r="J678" s="507">
        <f>SUMIFS(Controle!$R:$R,Controle!$H:$H,produtos_escape2!$A678,Controle!$Z:$Z,"5")</f>
        <v>0</v>
      </c>
      <c r="K678" s="507">
        <f>SUMIFS(Controle!$R:$R,Controle!$H:$H,produtos_escape2!$A678,Controle!$Z:$Z,"6")</f>
        <v>0</v>
      </c>
      <c r="L678" s="507">
        <f t="shared" si="23"/>
        <v>0</v>
      </c>
      <c r="M678" s="381" t="s">
        <v>4889</v>
      </c>
      <c r="AF678" s="84"/>
    </row>
    <row r="679" spans="1:32" s="185" customFormat="1" ht="14.25" customHeight="1" thickBot="1">
      <c r="A679" s="353">
        <v>18587</v>
      </c>
      <c r="B679" s="194" t="s">
        <v>200</v>
      </c>
      <c r="C679" s="339">
        <f t="shared" si="24"/>
        <v>50000</v>
      </c>
      <c r="D679" s="196" t="s">
        <v>624</v>
      </c>
      <c r="E679" s="187" t="s">
        <v>1739</v>
      </c>
      <c r="F679" s="507">
        <f>SUMIFS(Controle!$R:$R,Controle!$H:$H,produtos_escape2!$A679,Controle!$Z:$Z,"1")</f>
        <v>0</v>
      </c>
      <c r="G679" s="507">
        <f>SUMIFS(Controle!$R:$R,Controle!$H:$H,produtos_escape2!$A679,Controle!$Z:$Z,"2")</f>
        <v>0</v>
      </c>
      <c r="H679" s="507">
        <f>SUMIFS(Controle!$R:$R,Controle!$H:$H,produtos_escape2!$A679,Controle!$Z:$Z,"3")</f>
        <v>0</v>
      </c>
      <c r="I679" s="507">
        <f>SUMIFS(Controle!$R:$R,Controle!$H:$H,produtos_escape2!$A679,Controle!$Z:$Z,"4")</f>
        <v>0</v>
      </c>
      <c r="J679" s="507">
        <f>SUMIFS(Controle!$R:$R,Controle!$H:$H,produtos_escape2!$A679,Controle!$Z:$Z,"5")</f>
        <v>0</v>
      </c>
      <c r="K679" s="507">
        <f>SUMIFS(Controle!$R:$R,Controle!$H:$H,produtos_escape2!$A679,Controle!$Z:$Z,"6")</f>
        <v>0</v>
      </c>
      <c r="L679" s="507">
        <f t="shared" si="23"/>
        <v>0</v>
      </c>
      <c r="M679" s="381" t="s">
        <v>4890</v>
      </c>
      <c r="AF679" s="84"/>
    </row>
    <row r="680" spans="1:32" s="185" customFormat="1" ht="14.25" customHeight="1" thickBot="1">
      <c r="A680" s="353">
        <v>18592</v>
      </c>
      <c r="B680" s="194" t="s">
        <v>81</v>
      </c>
      <c r="C680" s="339">
        <f t="shared" si="24"/>
        <v>50000</v>
      </c>
      <c r="D680" s="196" t="s">
        <v>624</v>
      </c>
      <c r="E680" s="187" t="s">
        <v>1739</v>
      </c>
      <c r="F680" s="507">
        <f>SUMIFS(Controle!$R:$R,Controle!$H:$H,produtos_escape2!$A680,Controle!$Z:$Z,"1")</f>
        <v>0</v>
      </c>
      <c r="G680" s="507">
        <f>SUMIFS(Controle!$R:$R,Controle!$H:$H,produtos_escape2!$A680,Controle!$Z:$Z,"2")</f>
        <v>0</v>
      </c>
      <c r="H680" s="507">
        <f>SUMIFS(Controle!$R:$R,Controle!$H:$H,produtos_escape2!$A680,Controle!$Z:$Z,"3")</f>
        <v>0</v>
      </c>
      <c r="I680" s="507">
        <f>SUMIFS(Controle!$R:$R,Controle!$H:$H,produtos_escape2!$A680,Controle!$Z:$Z,"4")</f>
        <v>0</v>
      </c>
      <c r="J680" s="507">
        <f>SUMIFS(Controle!$R:$R,Controle!$H:$H,produtos_escape2!$A680,Controle!$Z:$Z,"5")</f>
        <v>0</v>
      </c>
      <c r="K680" s="507">
        <f>SUMIFS(Controle!$R:$R,Controle!$H:$H,produtos_escape2!$A680,Controle!$Z:$Z,"6")</f>
        <v>0</v>
      </c>
      <c r="L680" s="507">
        <f t="shared" si="23"/>
        <v>0</v>
      </c>
      <c r="M680" s="381" t="s">
        <v>4891</v>
      </c>
      <c r="AF680" s="84"/>
    </row>
    <row r="681" spans="1:32" s="185" customFormat="1" ht="14.25" customHeight="1" thickBot="1">
      <c r="A681" s="353">
        <v>18615</v>
      </c>
      <c r="B681" s="194" t="s">
        <v>9040</v>
      </c>
      <c r="C681" s="339">
        <f t="shared" si="24"/>
        <v>50000</v>
      </c>
      <c r="D681" s="196" t="s">
        <v>624</v>
      </c>
      <c r="E681" s="187" t="s">
        <v>7207</v>
      </c>
      <c r="F681" s="507">
        <f>SUMIFS(Controle!$R:$R,Controle!$H:$H,produtos_escape2!$A681,Controle!$Z:$Z,"1")</f>
        <v>0</v>
      </c>
      <c r="G681" s="507">
        <f>SUMIFS(Controle!$R:$R,Controle!$H:$H,produtos_escape2!$A681,Controle!$Z:$Z,"2")</f>
        <v>0</v>
      </c>
      <c r="H681" s="507">
        <f>SUMIFS(Controle!$R:$R,Controle!$H:$H,produtos_escape2!$A681,Controle!$Z:$Z,"3")</f>
        <v>0</v>
      </c>
      <c r="I681" s="507">
        <f>SUMIFS(Controle!$R:$R,Controle!$H:$H,produtos_escape2!$A681,Controle!$Z:$Z,"4")</f>
        <v>0</v>
      </c>
      <c r="J681" s="507">
        <f>SUMIFS(Controle!$R:$R,Controle!$H:$H,produtos_escape2!$A681,Controle!$Z:$Z,"5")</f>
        <v>0</v>
      </c>
      <c r="K681" s="507">
        <f>SUMIFS(Controle!$R:$R,Controle!$H:$H,produtos_escape2!$A681,Controle!$Z:$Z,"6")</f>
        <v>0</v>
      </c>
      <c r="L681" s="507">
        <f t="shared" si="23"/>
        <v>0</v>
      </c>
      <c r="M681" s="381" t="s">
        <v>9041</v>
      </c>
      <c r="AF681" s="84"/>
    </row>
    <row r="682" spans="1:32" s="185" customFormat="1" ht="14.25" customHeight="1" thickBot="1">
      <c r="A682" s="353">
        <v>18618</v>
      </c>
      <c r="B682" s="194" t="s">
        <v>9060</v>
      </c>
      <c r="C682" s="339">
        <f t="shared" si="24"/>
        <v>47962.2</v>
      </c>
      <c r="D682" s="196" t="s">
        <v>624</v>
      </c>
      <c r="E682" s="187" t="s">
        <v>7207</v>
      </c>
      <c r="F682" s="507">
        <f>SUMIFS(Controle!$R:$R,Controle!$H:$H,produtos_escape2!$A682,Controle!$Z:$Z,"1")</f>
        <v>0</v>
      </c>
      <c r="G682" s="507">
        <f>SUMIFS(Controle!$R:$R,Controle!$H:$H,produtos_escape2!$A682,Controle!$Z:$Z,"2")</f>
        <v>0</v>
      </c>
      <c r="H682" s="507">
        <f>SUMIFS(Controle!$R:$R,Controle!$H:$H,produtos_escape2!$A682,Controle!$Z:$Z,"3")</f>
        <v>0</v>
      </c>
      <c r="I682" s="507">
        <f>SUMIFS(Controle!$R:$R,Controle!$H:$H,produtos_escape2!$A682,Controle!$Z:$Z,"4")</f>
        <v>2037.8</v>
      </c>
      <c r="J682" s="507">
        <f>SUMIFS(Controle!$R:$R,Controle!$H:$H,produtos_escape2!$A682,Controle!$Z:$Z,"5")</f>
        <v>0</v>
      </c>
      <c r="K682" s="507">
        <f>SUMIFS(Controle!$R:$R,Controle!$H:$H,produtos_escape2!$A682,Controle!$Z:$Z,"6")</f>
        <v>0</v>
      </c>
      <c r="L682" s="507">
        <f t="shared" si="23"/>
        <v>2037.8</v>
      </c>
      <c r="M682" s="381" t="s">
        <v>9058</v>
      </c>
      <c r="AF682" s="84"/>
    </row>
    <row r="683" spans="1:32" s="185" customFormat="1" ht="14.25" customHeight="1" thickBot="1">
      <c r="A683" s="353">
        <v>18619</v>
      </c>
      <c r="B683" s="194" t="s">
        <v>9059</v>
      </c>
      <c r="C683" s="339">
        <f t="shared" si="24"/>
        <v>48068.52</v>
      </c>
      <c r="D683" s="196" t="s">
        <v>624</v>
      </c>
      <c r="E683" s="187" t="s">
        <v>7207</v>
      </c>
      <c r="F683" s="507">
        <f>SUMIFS(Controle!$R:$R,Controle!$H:$H,produtos_escape2!$A683,Controle!$Z:$Z,"1")</f>
        <v>0</v>
      </c>
      <c r="G683" s="507">
        <f>SUMIFS(Controle!$R:$R,Controle!$H:$H,produtos_escape2!$A683,Controle!$Z:$Z,"2")</f>
        <v>0</v>
      </c>
      <c r="H683" s="507">
        <f>SUMIFS(Controle!$R:$R,Controle!$H:$H,produtos_escape2!$A683,Controle!$Z:$Z,"3")</f>
        <v>0</v>
      </c>
      <c r="I683" s="507">
        <f>SUMIFS(Controle!$R:$R,Controle!$H:$H,produtos_escape2!$A683,Controle!$Z:$Z,"4")</f>
        <v>1931.4799999999998</v>
      </c>
      <c r="J683" s="507">
        <f>SUMIFS(Controle!$R:$R,Controle!$H:$H,produtos_escape2!$A683,Controle!$Z:$Z,"5")</f>
        <v>0</v>
      </c>
      <c r="K683" s="507">
        <f>SUMIFS(Controle!$R:$R,Controle!$H:$H,produtos_escape2!$A683,Controle!$Z:$Z,"6")</f>
        <v>0</v>
      </c>
      <c r="L683" s="507">
        <f t="shared" si="23"/>
        <v>1931.4799999999998</v>
      </c>
      <c r="M683" s="381" t="s">
        <v>9058</v>
      </c>
      <c r="AF683" s="84"/>
    </row>
    <row r="684" spans="1:32" s="185" customFormat="1" ht="14.25" customHeight="1" thickBot="1">
      <c r="A684" s="353">
        <v>18622</v>
      </c>
      <c r="B684" s="194" t="s">
        <v>4217</v>
      </c>
      <c r="C684" s="339">
        <f t="shared" si="24"/>
        <v>50000</v>
      </c>
      <c r="D684" s="196" t="s">
        <v>624</v>
      </c>
      <c r="E684" s="189" t="s">
        <v>7207</v>
      </c>
      <c r="F684" s="507">
        <f>SUMIFS(Controle!$R:$R,Controle!$H:$H,produtos_escape2!$A684,Controle!$Z:$Z,"1")</f>
        <v>0</v>
      </c>
      <c r="G684" s="507">
        <f>SUMIFS(Controle!$R:$R,Controle!$H:$H,produtos_escape2!$A684,Controle!$Z:$Z,"2")</f>
        <v>0</v>
      </c>
      <c r="H684" s="507">
        <f>SUMIFS(Controle!$R:$R,Controle!$H:$H,produtos_escape2!$A684,Controle!$Z:$Z,"3")</f>
        <v>0</v>
      </c>
      <c r="I684" s="507">
        <f>SUMIFS(Controle!$R:$R,Controle!$H:$H,produtos_escape2!$A684,Controle!$Z:$Z,"4")</f>
        <v>0</v>
      </c>
      <c r="J684" s="507">
        <f>SUMIFS(Controle!$R:$R,Controle!$H:$H,produtos_escape2!$A684,Controle!$Z:$Z,"5")</f>
        <v>0</v>
      </c>
      <c r="K684" s="507">
        <f>SUMIFS(Controle!$R:$R,Controle!$H:$H,produtos_escape2!$A684,Controle!$Z:$Z,"6")</f>
        <v>0</v>
      </c>
      <c r="L684" s="507">
        <f t="shared" si="23"/>
        <v>0</v>
      </c>
      <c r="M684" s="381" t="s">
        <v>4892</v>
      </c>
      <c r="AF684" s="84"/>
    </row>
    <row r="685" spans="1:32" s="185" customFormat="1" ht="14.25" customHeight="1" thickBot="1">
      <c r="A685" s="353">
        <v>18640</v>
      </c>
      <c r="B685" s="194" t="s">
        <v>4410</v>
      </c>
      <c r="C685" s="339">
        <f t="shared" si="24"/>
        <v>50000</v>
      </c>
      <c r="D685" s="196" t="s">
        <v>624</v>
      </c>
      <c r="E685" s="189" t="s">
        <v>7207</v>
      </c>
      <c r="F685" s="507">
        <f>SUMIFS(Controle!$R:$R,Controle!$H:$H,produtos_escape2!$A685,Controle!$Z:$Z,"1")</f>
        <v>0</v>
      </c>
      <c r="G685" s="507">
        <f>SUMIFS(Controle!$R:$R,Controle!$H:$H,produtos_escape2!$A685,Controle!$Z:$Z,"2")</f>
        <v>0</v>
      </c>
      <c r="H685" s="507">
        <f>SUMIFS(Controle!$R:$R,Controle!$H:$H,produtos_escape2!$A685,Controle!$Z:$Z,"3")</f>
        <v>0</v>
      </c>
      <c r="I685" s="507">
        <f>SUMIFS(Controle!$R:$R,Controle!$H:$H,produtos_escape2!$A685,Controle!$Z:$Z,"4")</f>
        <v>0</v>
      </c>
      <c r="J685" s="507">
        <f>SUMIFS(Controle!$R:$R,Controle!$H:$H,produtos_escape2!$A685,Controle!$Z:$Z,"5")</f>
        <v>0</v>
      </c>
      <c r="K685" s="507">
        <f>SUMIFS(Controle!$R:$R,Controle!$H:$H,produtos_escape2!$A685,Controle!$Z:$Z,"6")</f>
        <v>0</v>
      </c>
      <c r="L685" s="507">
        <f t="shared" si="23"/>
        <v>0</v>
      </c>
      <c r="M685" s="381" t="s">
        <v>4410</v>
      </c>
      <c r="AF685" s="84"/>
    </row>
    <row r="686" spans="1:32" s="185" customFormat="1" ht="14.25" customHeight="1" thickBot="1">
      <c r="A686" s="353">
        <v>18754</v>
      </c>
      <c r="B686" s="194" t="s">
        <v>7840</v>
      </c>
      <c r="C686" s="339">
        <f t="shared" si="24"/>
        <v>49919</v>
      </c>
      <c r="D686" s="196" t="s">
        <v>550</v>
      </c>
      <c r="E686" s="189" t="s">
        <v>3608</v>
      </c>
      <c r="F686" s="507">
        <f>SUMIFS(Controle!$R:$R,Controle!$H:$H,produtos_escape2!$A686,Controle!$Z:$Z,"1")</f>
        <v>0</v>
      </c>
      <c r="G686" s="507">
        <f>SUMIFS(Controle!$R:$R,Controle!$H:$H,produtos_escape2!$A686,Controle!$Z:$Z,"2")</f>
        <v>81</v>
      </c>
      <c r="H686" s="507">
        <f>SUMIFS(Controle!$R:$R,Controle!$H:$H,produtos_escape2!$A686,Controle!$Z:$Z,"3")</f>
        <v>0</v>
      </c>
      <c r="I686" s="507">
        <f>SUMIFS(Controle!$R:$R,Controle!$H:$H,produtos_escape2!$A686,Controle!$Z:$Z,"4")</f>
        <v>0</v>
      </c>
      <c r="J686" s="507">
        <f>SUMIFS(Controle!$R:$R,Controle!$H:$H,produtos_escape2!$A686,Controle!$Z:$Z,"5")</f>
        <v>0</v>
      </c>
      <c r="K686" s="507">
        <f>SUMIFS(Controle!$R:$R,Controle!$H:$H,produtos_escape2!$A686,Controle!$Z:$Z,"6")</f>
        <v>0</v>
      </c>
      <c r="L686" s="507">
        <f t="shared" si="23"/>
        <v>81</v>
      </c>
      <c r="M686" s="381" t="s">
        <v>7841</v>
      </c>
      <c r="AF686" s="84"/>
    </row>
    <row r="687" spans="1:32" s="185" customFormat="1" ht="14.25" customHeight="1" thickBot="1">
      <c r="A687" s="353">
        <v>18761</v>
      </c>
      <c r="B687" s="194" t="s">
        <v>514</v>
      </c>
      <c r="C687" s="339">
        <f t="shared" si="24"/>
        <v>50000</v>
      </c>
      <c r="D687" s="196" t="s">
        <v>624</v>
      </c>
      <c r="E687" s="187" t="s">
        <v>7207</v>
      </c>
      <c r="F687" s="507">
        <f>SUMIFS(Controle!$R:$R,Controle!$H:$H,produtos_escape2!$A687,Controle!$Z:$Z,"1")</f>
        <v>0</v>
      </c>
      <c r="G687" s="507">
        <f>SUMIFS(Controle!$R:$R,Controle!$H:$H,produtos_escape2!$A687,Controle!$Z:$Z,"2")</f>
        <v>0</v>
      </c>
      <c r="H687" s="507">
        <f>SUMIFS(Controle!$R:$R,Controle!$H:$H,produtos_escape2!$A687,Controle!$Z:$Z,"3")</f>
        <v>0</v>
      </c>
      <c r="I687" s="507">
        <f>SUMIFS(Controle!$R:$R,Controle!$H:$H,produtos_escape2!$A687,Controle!$Z:$Z,"4")</f>
        <v>0</v>
      </c>
      <c r="J687" s="507">
        <f>SUMIFS(Controle!$R:$R,Controle!$H:$H,produtos_escape2!$A687,Controle!$Z:$Z,"5")</f>
        <v>0</v>
      </c>
      <c r="K687" s="507">
        <f>SUMIFS(Controle!$R:$R,Controle!$H:$H,produtos_escape2!$A687,Controle!$Z:$Z,"6")</f>
        <v>0</v>
      </c>
      <c r="L687" s="507">
        <f t="shared" si="23"/>
        <v>0</v>
      </c>
      <c r="M687" s="381" t="s">
        <v>4893</v>
      </c>
      <c r="AF687" s="84"/>
    </row>
    <row r="688" spans="1:32" s="185" customFormat="1" ht="14.25" customHeight="1" thickBot="1">
      <c r="A688" s="353">
        <v>18805</v>
      </c>
      <c r="B688" s="194" t="s">
        <v>10141</v>
      </c>
      <c r="C688" s="339">
        <f t="shared" si="24"/>
        <v>47603</v>
      </c>
      <c r="D688" s="196" t="s">
        <v>624</v>
      </c>
      <c r="E688" s="189" t="s">
        <v>7207</v>
      </c>
      <c r="F688" s="507">
        <f>SUMIFS(Controle!$R:$R,Controle!$H:$H,produtos_escape2!$A688,Controle!$Z:$Z,"1")</f>
        <v>0</v>
      </c>
      <c r="G688" s="507">
        <f>SUMIFS(Controle!$R:$R,Controle!$H:$H,produtos_escape2!$A688,Controle!$Z:$Z,"2")</f>
        <v>0</v>
      </c>
      <c r="H688" s="507">
        <f>SUMIFS(Controle!$R:$R,Controle!$H:$H,produtos_escape2!$A688,Controle!$Z:$Z,"3")</f>
        <v>0</v>
      </c>
      <c r="I688" s="507">
        <f>SUMIFS(Controle!$R:$R,Controle!$H:$H,produtos_escape2!$A688,Controle!$Z:$Z,"4")</f>
        <v>0</v>
      </c>
      <c r="J688" s="507">
        <f>SUMIFS(Controle!$R:$R,Controle!$H:$H,produtos_escape2!$A688,Controle!$Z:$Z,"5")</f>
        <v>0</v>
      </c>
      <c r="K688" s="507">
        <f>SUMIFS(Controle!$R:$R,Controle!$H:$H,produtos_escape2!$A688,Controle!$Z:$Z,"6")</f>
        <v>2397</v>
      </c>
      <c r="L688" s="507">
        <f t="shared" si="23"/>
        <v>2397</v>
      </c>
      <c r="M688" s="381" t="s">
        <v>10142</v>
      </c>
      <c r="AF688" s="84"/>
    </row>
    <row r="689" spans="1:32" s="185" customFormat="1" ht="14.25" customHeight="1" thickBot="1">
      <c r="A689" s="353">
        <v>18857</v>
      </c>
      <c r="B689" s="194" t="s">
        <v>474</v>
      </c>
      <c r="C689" s="339">
        <f t="shared" si="24"/>
        <v>50000</v>
      </c>
      <c r="D689" s="196" t="s">
        <v>624</v>
      </c>
      <c r="E689" s="187" t="s">
        <v>7207</v>
      </c>
      <c r="F689" s="507">
        <f>SUMIFS(Controle!$R:$R,Controle!$H:$H,produtos_escape2!$A689,Controle!$Z:$Z,"1")</f>
        <v>0</v>
      </c>
      <c r="G689" s="507">
        <f>SUMIFS(Controle!$R:$R,Controle!$H:$H,produtos_escape2!$A689,Controle!$Z:$Z,"2")</f>
        <v>0</v>
      </c>
      <c r="H689" s="507">
        <f>SUMIFS(Controle!$R:$R,Controle!$H:$H,produtos_escape2!$A689,Controle!$Z:$Z,"3")</f>
        <v>0</v>
      </c>
      <c r="I689" s="507">
        <f>SUMIFS(Controle!$R:$R,Controle!$H:$H,produtos_escape2!$A689,Controle!$Z:$Z,"4")</f>
        <v>0</v>
      </c>
      <c r="J689" s="507">
        <f>SUMIFS(Controle!$R:$R,Controle!$H:$H,produtos_escape2!$A689,Controle!$Z:$Z,"5")</f>
        <v>0</v>
      </c>
      <c r="K689" s="507">
        <f>SUMIFS(Controle!$R:$R,Controle!$H:$H,produtos_escape2!$A689,Controle!$Z:$Z,"6")</f>
        <v>0</v>
      </c>
      <c r="L689" s="507">
        <f t="shared" si="23"/>
        <v>0</v>
      </c>
      <c r="M689" s="381" t="s">
        <v>4894</v>
      </c>
      <c r="AF689" s="84"/>
    </row>
    <row r="690" spans="1:32" s="185" customFormat="1" ht="14.25" customHeight="1" thickBot="1">
      <c r="A690" s="333">
        <v>18875</v>
      </c>
      <c r="B690" s="194" t="s">
        <v>2983</v>
      </c>
      <c r="C690" s="339">
        <f t="shared" si="24"/>
        <v>50000</v>
      </c>
      <c r="D690" s="196" t="s">
        <v>548</v>
      </c>
      <c r="E690" s="187" t="s">
        <v>3608</v>
      </c>
      <c r="F690" s="507">
        <f>SUMIFS(Controle!$R:$R,Controle!$H:$H,produtos_escape2!$A690,Controle!$Z:$Z,"1")</f>
        <v>0</v>
      </c>
      <c r="G690" s="507">
        <f>SUMIFS(Controle!$R:$R,Controle!$H:$H,produtos_escape2!$A690,Controle!$Z:$Z,"2")</f>
        <v>0</v>
      </c>
      <c r="H690" s="507">
        <f>SUMIFS(Controle!$R:$R,Controle!$H:$H,produtos_escape2!$A690,Controle!$Z:$Z,"3")</f>
        <v>0</v>
      </c>
      <c r="I690" s="507">
        <f>SUMIFS(Controle!$R:$R,Controle!$H:$H,produtos_escape2!$A690,Controle!$Z:$Z,"4")</f>
        <v>0</v>
      </c>
      <c r="J690" s="507">
        <f>SUMIFS(Controle!$R:$R,Controle!$H:$H,produtos_escape2!$A690,Controle!$Z:$Z,"5")</f>
        <v>0</v>
      </c>
      <c r="K690" s="507">
        <f>SUMIFS(Controle!$R:$R,Controle!$H:$H,produtos_escape2!$A690,Controle!$Z:$Z,"6")</f>
        <v>0</v>
      </c>
      <c r="L690" s="507">
        <f t="shared" si="23"/>
        <v>0</v>
      </c>
      <c r="M690" s="381" t="s">
        <v>2983</v>
      </c>
      <c r="AF690" s="84"/>
    </row>
    <row r="691" spans="1:32" s="185" customFormat="1" ht="14.25" customHeight="1" thickBot="1">
      <c r="A691" s="333">
        <v>18881</v>
      </c>
      <c r="B691" s="194" t="s">
        <v>8632</v>
      </c>
      <c r="C691" s="339">
        <f t="shared" si="24"/>
        <v>50000</v>
      </c>
      <c r="D691" s="196" t="s">
        <v>819</v>
      </c>
      <c r="E691" s="187" t="s">
        <v>3608</v>
      </c>
      <c r="F691" s="507">
        <f>SUMIFS(Controle!$R:$R,Controle!$H:$H,produtos_escape2!$A691,Controle!$Z:$Z,"1")</f>
        <v>0</v>
      </c>
      <c r="G691" s="507">
        <f>SUMIFS(Controle!$R:$R,Controle!$H:$H,produtos_escape2!$A691,Controle!$Z:$Z,"2")</f>
        <v>0</v>
      </c>
      <c r="H691" s="507">
        <f>SUMIFS(Controle!$R:$R,Controle!$H:$H,produtos_escape2!$A691,Controle!$Z:$Z,"3")</f>
        <v>0</v>
      </c>
      <c r="I691" s="507">
        <f>SUMIFS(Controle!$R:$R,Controle!$H:$H,produtos_escape2!$A691,Controle!$Z:$Z,"4")</f>
        <v>0</v>
      </c>
      <c r="J691" s="507">
        <f>SUMIFS(Controle!$R:$R,Controle!$H:$H,produtos_escape2!$A691,Controle!$Z:$Z,"5")</f>
        <v>0</v>
      </c>
      <c r="K691" s="507">
        <f>SUMIFS(Controle!$R:$R,Controle!$H:$H,produtos_escape2!$A691,Controle!$Z:$Z,"6")</f>
        <v>0</v>
      </c>
      <c r="L691" s="507">
        <f t="shared" si="23"/>
        <v>0</v>
      </c>
      <c r="M691" s="381" t="s">
        <v>8633</v>
      </c>
      <c r="AF691" s="84"/>
    </row>
    <row r="692" spans="1:32" s="185" customFormat="1" ht="14.25" customHeight="1" thickBot="1">
      <c r="A692" s="353">
        <v>18908</v>
      </c>
      <c r="B692" s="338" t="s">
        <v>263</v>
      </c>
      <c r="C692" s="339">
        <f t="shared" si="24"/>
        <v>50000</v>
      </c>
      <c r="D692" s="196" t="s">
        <v>624</v>
      </c>
      <c r="E692" s="187" t="s">
        <v>7207</v>
      </c>
      <c r="F692" s="507">
        <f>SUMIFS(Controle!$R:$R,Controle!$H:$H,produtos_escape2!$A692,Controle!$Z:$Z,"1")</f>
        <v>0</v>
      </c>
      <c r="G692" s="507">
        <f>SUMIFS(Controle!$R:$R,Controle!$H:$H,produtos_escape2!$A692,Controle!$Z:$Z,"2")</f>
        <v>0</v>
      </c>
      <c r="H692" s="507">
        <f>SUMIFS(Controle!$R:$R,Controle!$H:$H,produtos_escape2!$A692,Controle!$Z:$Z,"3")</f>
        <v>0</v>
      </c>
      <c r="I692" s="507">
        <f>SUMIFS(Controle!$R:$R,Controle!$H:$H,produtos_escape2!$A692,Controle!$Z:$Z,"4")</f>
        <v>0</v>
      </c>
      <c r="J692" s="507">
        <f>SUMIFS(Controle!$R:$R,Controle!$H:$H,produtos_escape2!$A692,Controle!$Z:$Z,"5")</f>
        <v>0</v>
      </c>
      <c r="K692" s="507">
        <f>SUMIFS(Controle!$R:$R,Controle!$H:$H,produtos_escape2!$A692,Controle!$Z:$Z,"6")</f>
        <v>0</v>
      </c>
      <c r="L692" s="507">
        <f t="shared" si="23"/>
        <v>0</v>
      </c>
      <c r="M692" s="381" t="s">
        <v>4792</v>
      </c>
      <c r="AF692" s="84"/>
    </row>
    <row r="693" spans="1:32" s="185" customFormat="1" ht="14.25" customHeight="1" thickBot="1">
      <c r="A693" s="353">
        <v>18929</v>
      </c>
      <c r="B693" s="194" t="s">
        <v>224</v>
      </c>
      <c r="C693" s="339">
        <f t="shared" si="24"/>
        <v>47111.695999999996</v>
      </c>
      <c r="D693" s="196" t="s">
        <v>624</v>
      </c>
      <c r="E693" s="187" t="s">
        <v>3608</v>
      </c>
      <c r="F693" s="507">
        <f>SUMIFS(Controle!$R:$R,Controle!$H:$H,produtos_escape2!$A693,Controle!$Z:$Z,"1")</f>
        <v>0</v>
      </c>
      <c r="G693" s="507">
        <f>SUMIFS(Controle!$R:$R,Controle!$H:$H,produtos_escape2!$A693,Controle!$Z:$Z,"2")</f>
        <v>776.4</v>
      </c>
      <c r="H693" s="507">
        <f>SUMIFS(Controle!$R:$R,Controle!$H:$H,produtos_escape2!$A693,Controle!$Z:$Z,"3")</f>
        <v>813.20399999999995</v>
      </c>
      <c r="I693" s="507">
        <f>SUMIFS(Controle!$R:$R,Controle!$H:$H,produtos_escape2!$A693,Controle!$Z:$Z,"4")</f>
        <v>0</v>
      </c>
      <c r="J693" s="507">
        <f>SUMIFS(Controle!$R:$R,Controle!$H:$H,produtos_escape2!$A693,Controle!$Z:$Z,"5")</f>
        <v>659.7</v>
      </c>
      <c r="K693" s="507">
        <f>SUMIFS(Controle!$R:$R,Controle!$H:$H,produtos_escape2!$A693,Controle!$Z:$Z,"6")</f>
        <v>639</v>
      </c>
      <c r="L693" s="507">
        <f t="shared" si="23"/>
        <v>2888.3040000000001</v>
      </c>
      <c r="M693" s="381" t="s">
        <v>224</v>
      </c>
      <c r="AF693" s="84"/>
    </row>
    <row r="694" spans="1:32" s="185" customFormat="1" ht="14.25" customHeight="1" thickBot="1">
      <c r="A694" s="353">
        <v>18943</v>
      </c>
      <c r="B694" s="194" t="s">
        <v>1406</v>
      </c>
      <c r="C694" s="339">
        <f t="shared" si="24"/>
        <v>50000</v>
      </c>
      <c r="D694" s="196" t="s">
        <v>837</v>
      </c>
      <c r="E694" s="187" t="s">
        <v>1739</v>
      </c>
      <c r="F694" s="507">
        <f>SUMIFS(Controle!$R:$R,Controle!$H:$H,produtos_escape2!$A694,Controle!$Z:$Z,"1")</f>
        <v>0</v>
      </c>
      <c r="G694" s="507">
        <f>SUMIFS(Controle!$R:$R,Controle!$H:$H,produtos_escape2!$A694,Controle!$Z:$Z,"2")</f>
        <v>0</v>
      </c>
      <c r="H694" s="507">
        <f>SUMIFS(Controle!$R:$R,Controle!$H:$H,produtos_escape2!$A694,Controle!$Z:$Z,"3")</f>
        <v>0</v>
      </c>
      <c r="I694" s="507">
        <f>SUMIFS(Controle!$R:$R,Controle!$H:$H,produtos_escape2!$A694,Controle!$Z:$Z,"4")</f>
        <v>0</v>
      </c>
      <c r="J694" s="507">
        <f>SUMIFS(Controle!$R:$R,Controle!$H:$H,produtos_escape2!$A694,Controle!$Z:$Z,"5")</f>
        <v>0</v>
      </c>
      <c r="K694" s="507">
        <f>SUMIFS(Controle!$R:$R,Controle!$H:$H,produtos_escape2!$A694,Controle!$Z:$Z,"6")</f>
        <v>0</v>
      </c>
      <c r="L694" s="507">
        <f t="shared" si="23"/>
        <v>0</v>
      </c>
      <c r="M694" s="381" t="s">
        <v>4895</v>
      </c>
      <c r="AF694" s="84"/>
    </row>
    <row r="695" spans="1:32" s="185" customFormat="1" ht="14.25" customHeight="1" thickBot="1">
      <c r="A695" s="353">
        <v>19051</v>
      </c>
      <c r="B695" s="194" t="s">
        <v>1358</v>
      </c>
      <c r="C695" s="339">
        <f t="shared" si="24"/>
        <v>50000</v>
      </c>
      <c r="D695" s="196" t="s">
        <v>547</v>
      </c>
      <c r="E695" s="187" t="s">
        <v>3608</v>
      </c>
      <c r="F695" s="507">
        <f>SUMIFS(Controle!$R:$R,Controle!$H:$H,produtos_escape2!$A695,Controle!$Z:$Z,"1")</f>
        <v>0</v>
      </c>
      <c r="G695" s="507">
        <f>SUMIFS(Controle!$R:$R,Controle!$H:$H,produtos_escape2!$A695,Controle!$Z:$Z,"2")</f>
        <v>0</v>
      </c>
      <c r="H695" s="507">
        <f>SUMIFS(Controle!$R:$R,Controle!$H:$H,produtos_escape2!$A695,Controle!$Z:$Z,"3")</f>
        <v>0</v>
      </c>
      <c r="I695" s="507">
        <f>SUMIFS(Controle!$R:$R,Controle!$H:$H,produtos_escape2!$A695,Controle!$Z:$Z,"4")</f>
        <v>0</v>
      </c>
      <c r="J695" s="507">
        <f>SUMIFS(Controle!$R:$R,Controle!$H:$H,produtos_escape2!$A695,Controle!$Z:$Z,"5")</f>
        <v>0</v>
      </c>
      <c r="K695" s="507">
        <f>SUMIFS(Controle!$R:$R,Controle!$H:$H,produtos_escape2!$A695,Controle!$Z:$Z,"6")</f>
        <v>0</v>
      </c>
      <c r="L695" s="507">
        <f t="shared" si="23"/>
        <v>0</v>
      </c>
      <c r="M695" s="381" t="s">
        <v>4896</v>
      </c>
      <c r="AF695" s="84"/>
    </row>
    <row r="696" spans="1:32" s="185" customFormat="1" ht="14.25" customHeight="1" thickBot="1">
      <c r="A696" s="353">
        <v>19067</v>
      </c>
      <c r="B696" s="194" t="s">
        <v>563</v>
      </c>
      <c r="C696" s="339">
        <f t="shared" si="24"/>
        <v>50000</v>
      </c>
      <c r="D696" s="196" t="s">
        <v>624</v>
      </c>
      <c r="E696" s="187" t="s">
        <v>7207</v>
      </c>
      <c r="F696" s="507">
        <f>SUMIFS(Controle!$R:$R,Controle!$H:$H,produtos_escape2!$A696,Controle!$Z:$Z,"1")</f>
        <v>0</v>
      </c>
      <c r="G696" s="507">
        <f>SUMIFS(Controle!$R:$R,Controle!$H:$H,produtos_escape2!$A696,Controle!$Z:$Z,"2")</f>
        <v>0</v>
      </c>
      <c r="H696" s="507">
        <f>SUMIFS(Controle!$R:$R,Controle!$H:$H,produtos_escape2!$A696,Controle!$Z:$Z,"3")</f>
        <v>0</v>
      </c>
      <c r="I696" s="507">
        <f>SUMIFS(Controle!$R:$R,Controle!$H:$H,produtos_escape2!$A696,Controle!$Z:$Z,"4")</f>
        <v>0</v>
      </c>
      <c r="J696" s="507">
        <f>SUMIFS(Controle!$R:$R,Controle!$H:$H,produtos_escape2!$A696,Controle!$Z:$Z,"5")</f>
        <v>0</v>
      </c>
      <c r="K696" s="507">
        <f>SUMIFS(Controle!$R:$R,Controle!$H:$H,produtos_escape2!$A696,Controle!$Z:$Z,"6")</f>
        <v>0</v>
      </c>
      <c r="L696" s="507">
        <f t="shared" si="23"/>
        <v>0</v>
      </c>
      <c r="M696" s="381" t="s">
        <v>4897</v>
      </c>
      <c r="AF696" s="84"/>
    </row>
    <row r="697" spans="1:32" s="185" customFormat="1" ht="14.25" customHeight="1" thickBot="1">
      <c r="A697" s="353">
        <v>19082</v>
      </c>
      <c r="B697" s="194" t="s">
        <v>1273</v>
      </c>
      <c r="C697" s="339">
        <f t="shared" si="24"/>
        <v>50000</v>
      </c>
      <c r="D697" s="196" t="s">
        <v>819</v>
      </c>
      <c r="E697" s="187" t="s">
        <v>3608</v>
      </c>
      <c r="F697" s="507">
        <f>SUMIFS(Controle!$R:$R,Controle!$H:$H,produtos_escape2!$A697,Controle!$Z:$Z,"1")</f>
        <v>0</v>
      </c>
      <c r="G697" s="507">
        <f>SUMIFS(Controle!$R:$R,Controle!$H:$H,produtos_escape2!$A697,Controle!$Z:$Z,"2")</f>
        <v>0</v>
      </c>
      <c r="H697" s="507">
        <f>SUMIFS(Controle!$R:$R,Controle!$H:$H,produtos_escape2!$A697,Controle!$Z:$Z,"3")</f>
        <v>0</v>
      </c>
      <c r="I697" s="507">
        <f>SUMIFS(Controle!$R:$R,Controle!$H:$H,produtos_escape2!$A697,Controle!$Z:$Z,"4")</f>
        <v>0</v>
      </c>
      <c r="J697" s="507">
        <f>SUMIFS(Controle!$R:$R,Controle!$H:$H,produtos_escape2!$A697,Controle!$Z:$Z,"5")</f>
        <v>0</v>
      </c>
      <c r="K697" s="507">
        <f>SUMIFS(Controle!$R:$R,Controle!$H:$H,produtos_escape2!$A697,Controle!$Z:$Z,"6")</f>
        <v>0</v>
      </c>
      <c r="L697" s="507">
        <f t="shared" si="23"/>
        <v>0</v>
      </c>
      <c r="M697" s="381" t="s">
        <v>1273</v>
      </c>
      <c r="AF697" s="84"/>
    </row>
    <row r="698" spans="1:32" s="185" customFormat="1" ht="14.25" customHeight="1" thickBot="1">
      <c r="A698" s="353">
        <v>19084</v>
      </c>
      <c r="B698" s="194" t="s">
        <v>10323</v>
      </c>
      <c r="C698" s="339">
        <f t="shared" si="24"/>
        <v>50000</v>
      </c>
      <c r="D698" s="196" t="s">
        <v>550</v>
      </c>
      <c r="E698" s="187" t="s">
        <v>1687</v>
      </c>
      <c r="F698" s="507">
        <f>SUMIFS(Controle!$R:$R,Controle!$H:$H,produtos_escape2!$A698,Controle!$Z:$Z,"1")</f>
        <v>0</v>
      </c>
      <c r="G698" s="507">
        <f>SUMIFS(Controle!$R:$R,Controle!$H:$H,produtos_escape2!$A698,Controle!$Z:$Z,"2")</f>
        <v>0</v>
      </c>
      <c r="H698" s="507">
        <f>SUMIFS(Controle!$R:$R,Controle!$H:$H,produtos_escape2!$A698,Controle!$Z:$Z,"3")</f>
        <v>0</v>
      </c>
      <c r="I698" s="507">
        <f>SUMIFS(Controle!$R:$R,Controle!$H:$H,produtos_escape2!$A698,Controle!$Z:$Z,"4")</f>
        <v>0</v>
      </c>
      <c r="J698" s="507">
        <f>SUMIFS(Controle!$R:$R,Controle!$H:$H,produtos_escape2!$A698,Controle!$Z:$Z,"5")</f>
        <v>0</v>
      </c>
      <c r="K698" s="507">
        <f>SUMIFS(Controle!$R:$R,Controle!$H:$H,produtos_escape2!$A698,Controle!$Z:$Z,"6")</f>
        <v>0</v>
      </c>
      <c r="L698" s="507">
        <f t="shared" si="23"/>
        <v>0</v>
      </c>
      <c r="M698" s="381" t="s">
        <v>10323</v>
      </c>
      <c r="AF698" s="84"/>
    </row>
    <row r="699" spans="1:32" s="185" customFormat="1" ht="14.25" customHeight="1" thickBot="1">
      <c r="A699" s="353">
        <v>19110</v>
      </c>
      <c r="B699" s="194" t="s">
        <v>1262</v>
      </c>
      <c r="C699" s="339">
        <f t="shared" si="24"/>
        <v>50000</v>
      </c>
      <c r="D699" s="196" t="s">
        <v>1241</v>
      </c>
      <c r="E699" s="187" t="s">
        <v>3608</v>
      </c>
      <c r="F699" s="507">
        <f>SUMIFS(Controle!$R:$R,Controle!$H:$H,produtos_escape2!$A699,Controle!$Z:$Z,"1")</f>
        <v>0</v>
      </c>
      <c r="G699" s="507">
        <f>SUMIFS(Controle!$R:$R,Controle!$H:$H,produtos_escape2!$A699,Controle!$Z:$Z,"2")</f>
        <v>0</v>
      </c>
      <c r="H699" s="507">
        <f>SUMIFS(Controle!$R:$R,Controle!$H:$H,produtos_escape2!$A699,Controle!$Z:$Z,"3")</f>
        <v>0</v>
      </c>
      <c r="I699" s="507">
        <f>SUMIFS(Controle!$R:$R,Controle!$H:$H,produtos_escape2!$A699,Controle!$Z:$Z,"4")</f>
        <v>0</v>
      </c>
      <c r="J699" s="507">
        <f>SUMIFS(Controle!$R:$R,Controle!$H:$H,produtos_escape2!$A699,Controle!$Z:$Z,"5")</f>
        <v>0</v>
      </c>
      <c r="K699" s="507">
        <f>SUMIFS(Controle!$R:$R,Controle!$H:$H,produtos_escape2!$A699,Controle!$Z:$Z,"6")</f>
        <v>0</v>
      </c>
      <c r="L699" s="507">
        <f t="shared" si="23"/>
        <v>0</v>
      </c>
      <c r="M699" s="381" t="s">
        <v>4898</v>
      </c>
      <c r="AF699" s="84"/>
    </row>
    <row r="700" spans="1:32" s="185" customFormat="1" ht="14.25" customHeight="1" thickBot="1">
      <c r="A700" s="333">
        <v>19130</v>
      </c>
      <c r="B700" s="194" t="s">
        <v>340</v>
      </c>
      <c r="C700" s="339">
        <f t="shared" si="24"/>
        <v>50000</v>
      </c>
      <c r="D700" s="196"/>
      <c r="E700" s="187"/>
      <c r="F700" s="507">
        <f>SUMIFS(Controle!$R:$R,Controle!$H:$H,produtos_escape2!$A700,Controle!$Z:$Z,"1")</f>
        <v>0</v>
      </c>
      <c r="G700" s="507">
        <f>SUMIFS(Controle!$R:$R,Controle!$H:$H,produtos_escape2!$A700,Controle!$Z:$Z,"2")</f>
        <v>0</v>
      </c>
      <c r="H700" s="507">
        <f>SUMIFS(Controle!$R:$R,Controle!$H:$H,produtos_escape2!$A700,Controle!$Z:$Z,"3")</f>
        <v>0</v>
      </c>
      <c r="I700" s="507">
        <f>SUMIFS(Controle!$R:$R,Controle!$H:$H,produtos_escape2!$A700,Controle!$Z:$Z,"4")</f>
        <v>0</v>
      </c>
      <c r="J700" s="507">
        <f>SUMIFS(Controle!$R:$R,Controle!$H:$H,produtos_escape2!$A700,Controle!$Z:$Z,"5")</f>
        <v>0</v>
      </c>
      <c r="K700" s="507">
        <f>SUMIFS(Controle!$R:$R,Controle!$H:$H,produtos_escape2!$A700,Controle!$Z:$Z,"6")</f>
        <v>0</v>
      </c>
      <c r="L700" s="507">
        <f t="shared" si="23"/>
        <v>0</v>
      </c>
      <c r="M700" s="381" t="s">
        <v>4899</v>
      </c>
      <c r="AF700" s="84"/>
    </row>
    <row r="701" spans="1:32" s="185" customFormat="1" ht="14.25" customHeight="1" thickBot="1">
      <c r="A701" s="353">
        <v>19131</v>
      </c>
      <c r="B701" s="338" t="s">
        <v>339</v>
      </c>
      <c r="C701" s="339">
        <f t="shared" si="24"/>
        <v>50000</v>
      </c>
      <c r="D701" s="196"/>
      <c r="E701" s="187"/>
      <c r="F701" s="507">
        <f>SUMIFS(Controle!$R:$R,Controle!$H:$H,produtos_escape2!$A701,Controle!$Z:$Z,"1")</f>
        <v>0</v>
      </c>
      <c r="G701" s="507">
        <f>SUMIFS(Controle!$R:$R,Controle!$H:$H,produtos_escape2!$A701,Controle!$Z:$Z,"2")</f>
        <v>0</v>
      </c>
      <c r="H701" s="507">
        <f>SUMIFS(Controle!$R:$R,Controle!$H:$H,produtos_escape2!$A701,Controle!$Z:$Z,"3")</f>
        <v>0</v>
      </c>
      <c r="I701" s="507">
        <f>SUMIFS(Controle!$R:$R,Controle!$H:$H,produtos_escape2!$A701,Controle!$Z:$Z,"4")</f>
        <v>0</v>
      </c>
      <c r="J701" s="507">
        <f>SUMIFS(Controle!$R:$R,Controle!$H:$H,produtos_escape2!$A701,Controle!$Z:$Z,"5")</f>
        <v>0</v>
      </c>
      <c r="K701" s="507">
        <f>SUMIFS(Controle!$R:$R,Controle!$H:$H,produtos_escape2!$A701,Controle!$Z:$Z,"6")</f>
        <v>0</v>
      </c>
      <c r="L701" s="507">
        <f t="shared" si="23"/>
        <v>0</v>
      </c>
      <c r="M701" s="381" t="s">
        <v>339</v>
      </c>
      <c r="AF701" s="84"/>
    </row>
    <row r="702" spans="1:32" s="185" customFormat="1" ht="14.25" customHeight="1" thickBot="1">
      <c r="A702" s="353">
        <v>19132</v>
      </c>
      <c r="B702" s="194" t="s">
        <v>338</v>
      </c>
      <c r="C702" s="339">
        <f t="shared" si="24"/>
        <v>50000</v>
      </c>
      <c r="D702" s="196"/>
      <c r="E702" s="187"/>
      <c r="F702" s="507">
        <f>SUMIFS(Controle!$R:$R,Controle!$H:$H,produtos_escape2!$A702,Controle!$Z:$Z,"1")</f>
        <v>0</v>
      </c>
      <c r="G702" s="507">
        <f>SUMIFS(Controle!$R:$R,Controle!$H:$H,produtos_escape2!$A702,Controle!$Z:$Z,"2")</f>
        <v>0</v>
      </c>
      <c r="H702" s="507">
        <f>SUMIFS(Controle!$R:$R,Controle!$H:$H,produtos_escape2!$A702,Controle!$Z:$Z,"3")</f>
        <v>0</v>
      </c>
      <c r="I702" s="507">
        <f>SUMIFS(Controle!$R:$R,Controle!$H:$H,produtos_escape2!$A702,Controle!$Z:$Z,"4")</f>
        <v>0</v>
      </c>
      <c r="J702" s="507">
        <f>SUMIFS(Controle!$R:$R,Controle!$H:$H,produtos_escape2!$A702,Controle!$Z:$Z,"5")</f>
        <v>0</v>
      </c>
      <c r="K702" s="507">
        <f>SUMIFS(Controle!$R:$R,Controle!$H:$H,produtos_escape2!$A702,Controle!$Z:$Z,"6")</f>
        <v>0</v>
      </c>
      <c r="L702" s="507">
        <f t="shared" si="23"/>
        <v>0</v>
      </c>
      <c r="M702" s="381" t="s">
        <v>4900</v>
      </c>
      <c r="AF702" s="84"/>
    </row>
    <row r="703" spans="1:32" s="185" customFormat="1" ht="14.25" customHeight="1" thickBot="1">
      <c r="A703" s="353">
        <v>19133</v>
      </c>
      <c r="B703" s="194" t="s">
        <v>344</v>
      </c>
      <c r="C703" s="339">
        <f t="shared" si="24"/>
        <v>50000</v>
      </c>
      <c r="D703" s="196"/>
      <c r="E703" s="187"/>
      <c r="F703" s="507">
        <f>SUMIFS(Controle!$R:$R,Controle!$H:$H,produtos_escape2!$A703,Controle!$Z:$Z,"1")</f>
        <v>0</v>
      </c>
      <c r="G703" s="507">
        <f>SUMIFS(Controle!$R:$R,Controle!$H:$H,produtos_escape2!$A703,Controle!$Z:$Z,"2")</f>
        <v>0</v>
      </c>
      <c r="H703" s="507">
        <f>SUMIFS(Controle!$R:$R,Controle!$H:$H,produtos_escape2!$A703,Controle!$Z:$Z,"3")</f>
        <v>0</v>
      </c>
      <c r="I703" s="507">
        <f>SUMIFS(Controle!$R:$R,Controle!$H:$H,produtos_escape2!$A703,Controle!$Z:$Z,"4")</f>
        <v>0</v>
      </c>
      <c r="J703" s="507">
        <f>SUMIFS(Controle!$R:$R,Controle!$H:$H,produtos_escape2!$A703,Controle!$Z:$Z,"5")</f>
        <v>0</v>
      </c>
      <c r="K703" s="507">
        <f>SUMIFS(Controle!$R:$R,Controle!$H:$H,produtos_escape2!$A703,Controle!$Z:$Z,"6")</f>
        <v>0</v>
      </c>
      <c r="L703" s="507">
        <f t="shared" ref="L703:L766" si="25">SUM(F703:K703)</f>
        <v>0</v>
      </c>
      <c r="M703" s="381" t="s">
        <v>344</v>
      </c>
      <c r="AF703" s="84"/>
    </row>
    <row r="704" spans="1:32" s="185" customFormat="1" ht="14.25" customHeight="1" thickBot="1">
      <c r="A704" s="353">
        <v>19135</v>
      </c>
      <c r="B704" s="194" t="s">
        <v>341</v>
      </c>
      <c r="C704" s="339">
        <f t="shared" si="24"/>
        <v>50000</v>
      </c>
      <c r="D704" s="196"/>
      <c r="E704" s="187"/>
      <c r="F704" s="507">
        <f>SUMIFS(Controle!$R:$R,Controle!$H:$H,produtos_escape2!$A704,Controle!$Z:$Z,"1")</f>
        <v>0</v>
      </c>
      <c r="G704" s="507">
        <f>SUMIFS(Controle!$R:$R,Controle!$H:$H,produtos_escape2!$A704,Controle!$Z:$Z,"2")</f>
        <v>0</v>
      </c>
      <c r="H704" s="507">
        <f>SUMIFS(Controle!$R:$R,Controle!$H:$H,produtos_escape2!$A704,Controle!$Z:$Z,"3")</f>
        <v>0</v>
      </c>
      <c r="I704" s="507">
        <f>SUMIFS(Controle!$R:$R,Controle!$H:$H,produtos_escape2!$A704,Controle!$Z:$Z,"4")</f>
        <v>0</v>
      </c>
      <c r="J704" s="507">
        <f>SUMIFS(Controle!$R:$R,Controle!$H:$H,produtos_escape2!$A704,Controle!$Z:$Z,"5")</f>
        <v>0</v>
      </c>
      <c r="K704" s="507">
        <f>SUMIFS(Controle!$R:$R,Controle!$H:$H,produtos_escape2!$A704,Controle!$Z:$Z,"6")</f>
        <v>0</v>
      </c>
      <c r="L704" s="507">
        <f t="shared" si="25"/>
        <v>0</v>
      </c>
      <c r="M704" s="381" t="s">
        <v>341</v>
      </c>
      <c r="AF704" s="84"/>
    </row>
    <row r="705" spans="1:32" s="185" customFormat="1" ht="14.25" customHeight="1" thickBot="1">
      <c r="A705" s="353">
        <v>19136</v>
      </c>
      <c r="B705" s="194" t="s">
        <v>342</v>
      </c>
      <c r="C705" s="339">
        <f t="shared" si="24"/>
        <v>50000</v>
      </c>
      <c r="D705" s="196"/>
      <c r="E705" s="187"/>
      <c r="F705" s="507">
        <f>SUMIFS(Controle!$R:$R,Controle!$H:$H,produtos_escape2!$A705,Controle!$Z:$Z,"1")</f>
        <v>0</v>
      </c>
      <c r="G705" s="507">
        <f>SUMIFS(Controle!$R:$R,Controle!$H:$H,produtos_escape2!$A705,Controle!$Z:$Z,"2")</f>
        <v>0</v>
      </c>
      <c r="H705" s="507">
        <f>SUMIFS(Controle!$R:$R,Controle!$H:$H,produtos_escape2!$A705,Controle!$Z:$Z,"3")</f>
        <v>0</v>
      </c>
      <c r="I705" s="507">
        <f>SUMIFS(Controle!$R:$R,Controle!$H:$H,produtos_escape2!$A705,Controle!$Z:$Z,"4")</f>
        <v>0</v>
      </c>
      <c r="J705" s="507">
        <f>SUMIFS(Controle!$R:$R,Controle!$H:$H,produtos_escape2!$A705,Controle!$Z:$Z,"5")</f>
        <v>0</v>
      </c>
      <c r="K705" s="507">
        <f>SUMIFS(Controle!$R:$R,Controle!$H:$H,produtos_escape2!$A705,Controle!$Z:$Z,"6")</f>
        <v>0</v>
      </c>
      <c r="L705" s="507">
        <f t="shared" si="25"/>
        <v>0</v>
      </c>
      <c r="M705" s="381" t="s">
        <v>342</v>
      </c>
      <c r="AF705" s="84"/>
    </row>
    <row r="706" spans="1:32" s="185" customFormat="1" ht="14.25" customHeight="1" thickBot="1">
      <c r="A706" s="353">
        <v>19161</v>
      </c>
      <c r="B706" s="194" t="s">
        <v>3678</v>
      </c>
      <c r="C706" s="339">
        <f t="shared" si="24"/>
        <v>50000</v>
      </c>
      <c r="D706" s="196" t="s">
        <v>1157</v>
      </c>
      <c r="E706" s="187" t="s">
        <v>7207</v>
      </c>
      <c r="F706" s="507">
        <f>SUMIFS(Controle!$R:$R,Controle!$H:$H,produtos_escape2!$A706,Controle!$Z:$Z,"1")</f>
        <v>0</v>
      </c>
      <c r="G706" s="507">
        <f>SUMIFS(Controle!$R:$R,Controle!$H:$H,produtos_escape2!$A706,Controle!$Z:$Z,"2")</f>
        <v>0</v>
      </c>
      <c r="H706" s="507">
        <f>SUMIFS(Controle!$R:$R,Controle!$H:$H,produtos_escape2!$A706,Controle!$Z:$Z,"3")</f>
        <v>0</v>
      </c>
      <c r="I706" s="507">
        <f>SUMIFS(Controle!$R:$R,Controle!$H:$H,produtos_escape2!$A706,Controle!$Z:$Z,"4")</f>
        <v>0</v>
      </c>
      <c r="J706" s="507">
        <f>SUMIFS(Controle!$R:$R,Controle!$H:$H,produtos_escape2!$A706,Controle!$Z:$Z,"5")</f>
        <v>0</v>
      </c>
      <c r="K706" s="507">
        <f>SUMIFS(Controle!$R:$R,Controle!$H:$H,produtos_escape2!$A706,Controle!$Z:$Z,"6")</f>
        <v>0</v>
      </c>
      <c r="L706" s="507">
        <f t="shared" si="25"/>
        <v>0</v>
      </c>
      <c r="M706" s="381" t="s">
        <v>3678</v>
      </c>
      <c r="AF706" s="84"/>
    </row>
    <row r="707" spans="1:32" s="185" customFormat="1" ht="14.25" customHeight="1" thickBot="1">
      <c r="A707" s="353">
        <v>19178</v>
      </c>
      <c r="B707" s="194" t="s">
        <v>738</v>
      </c>
      <c r="C707" s="339">
        <f t="shared" si="24"/>
        <v>50000</v>
      </c>
      <c r="D707" s="196" t="s">
        <v>624</v>
      </c>
      <c r="E707" s="187" t="s">
        <v>1739</v>
      </c>
      <c r="F707" s="507">
        <f>SUMIFS(Controle!$R:$R,Controle!$H:$H,produtos_escape2!$A707,Controle!$Z:$Z,"1")</f>
        <v>0</v>
      </c>
      <c r="G707" s="507">
        <f>SUMIFS(Controle!$R:$R,Controle!$H:$H,produtos_escape2!$A707,Controle!$Z:$Z,"2")</f>
        <v>0</v>
      </c>
      <c r="H707" s="507">
        <f>SUMIFS(Controle!$R:$R,Controle!$H:$H,produtos_escape2!$A707,Controle!$Z:$Z,"3")</f>
        <v>0</v>
      </c>
      <c r="I707" s="507">
        <f>SUMIFS(Controle!$R:$R,Controle!$H:$H,produtos_escape2!$A707,Controle!$Z:$Z,"4")</f>
        <v>0</v>
      </c>
      <c r="J707" s="507">
        <f>SUMIFS(Controle!$R:$R,Controle!$H:$H,produtos_escape2!$A707,Controle!$Z:$Z,"5")</f>
        <v>0</v>
      </c>
      <c r="K707" s="507">
        <f>SUMIFS(Controle!$R:$R,Controle!$H:$H,produtos_escape2!$A707,Controle!$Z:$Z,"6")</f>
        <v>0</v>
      </c>
      <c r="L707" s="507">
        <f t="shared" si="25"/>
        <v>0</v>
      </c>
      <c r="M707" s="381" t="s">
        <v>4901</v>
      </c>
      <c r="AF707" s="84"/>
    </row>
    <row r="708" spans="1:32" s="185" customFormat="1" ht="14.25" customHeight="1" thickBot="1">
      <c r="A708" s="333">
        <v>19211</v>
      </c>
      <c r="B708" s="194" t="s">
        <v>7599</v>
      </c>
      <c r="C708" s="339">
        <f t="shared" si="24"/>
        <v>47334.5</v>
      </c>
      <c r="D708" s="196" t="s">
        <v>624</v>
      </c>
      <c r="E708" s="187" t="s">
        <v>3608</v>
      </c>
      <c r="F708" s="507">
        <f>SUMIFS(Controle!$R:$R,Controle!$H:$H,produtos_escape2!$A708,Controle!$Z:$Z,"1")</f>
        <v>0</v>
      </c>
      <c r="G708" s="507">
        <f>SUMIFS(Controle!$R:$R,Controle!$H:$H,produtos_escape2!$A708,Controle!$Z:$Z,"2")</f>
        <v>2665.5</v>
      </c>
      <c r="H708" s="507">
        <f>SUMIFS(Controle!$R:$R,Controle!$H:$H,produtos_escape2!$A708,Controle!$Z:$Z,"3")</f>
        <v>0</v>
      </c>
      <c r="I708" s="507">
        <f>SUMIFS(Controle!$R:$R,Controle!$H:$H,produtos_escape2!$A708,Controle!$Z:$Z,"4")</f>
        <v>0</v>
      </c>
      <c r="J708" s="507">
        <f>SUMIFS(Controle!$R:$R,Controle!$H:$H,produtos_escape2!$A708,Controle!$Z:$Z,"5")</f>
        <v>0</v>
      </c>
      <c r="K708" s="507">
        <f>SUMIFS(Controle!$R:$R,Controle!$H:$H,produtos_escape2!$A708,Controle!$Z:$Z,"6")</f>
        <v>0</v>
      </c>
      <c r="L708" s="507">
        <f t="shared" si="25"/>
        <v>2665.5</v>
      </c>
      <c r="M708" s="381" t="s">
        <v>7600</v>
      </c>
      <c r="AF708" s="84"/>
    </row>
    <row r="709" spans="1:32" s="185" customFormat="1" ht="14.25" customHeight="1" thickBot="1">
      <c r="A709" s="333">
        <v>19230</v>
      </c>
      <c r="B709" s="194" t="s">
        <v>475</v>
      </c>
      <c r="C709" s="339">
        <f t="shared" ref="C709:C772" si="26">50000-SUM(F709:K709)</f>
        <v>50000</v>
      </c>
      <c r="D709" s="196"/>
      <c r="E709" s="187"/>
      <c r="F709" s="507">
        <f>SUMIFS(Controle!$R:$R,Controle!$H:$H,produtos_escape2!$A709,Controle!$Z:$Z,"1")</f>
        <v>0</v>
      </c>
      <c r="G709" s="507">
        <f>SUMIFS(Controle!$R:$R,Controle!$H:$H,produtos_escape2!$A709,Controle!$Z:$Z,"2")</f>
        <v>0</v>
      </c>
      <c r="H709" s="507">
        <f>SUMIFS(Controle!$R:$R,Controle!$H:$H,produtos_escape2!$A709,Controle!$Z:$Z,"3")</f>
        <v>0</v>
      </c>
      <c r="I709" s="507">
        <f>SUMIFS(Controle!$R:$R,Controle!$H:$H,produtos_escape2!$A709,Controle!$Z:$Z,"4")</f>
        <v>0</v>
      </c>
      <c r="J709" s="507">
        <f>SUMIFS(Controle!$R:$R,Controle!$H:$H,produtos_escape2!$A709,Controle!$Z:$Z,"5")</f>
        <v>0</v>
      </c>
      <c r="K709" s="507">
        <f>SUMIFS(Controle!$R:$R,Controle!$H:$H,produtos_escape2!$A709,Controle!$Z:$Z,"6")</f>
        <v>0</v>
      </c>
      <c r="L709" s="507">
        <f t="shared" si="25"/>
        <v>0</v>
      </c>
      <c r="M709" s="381" t="s">
        <v>475</v>
      </c>
      <c r="AF709" s="84"/>
    </row>
    <row r="710" spans="1:32" s="185" customFormat="1" ht="14.25" customHeight="1" thickBot="1">
      <c r="A710" s="353">
        <v>19343</v>
      </c>
      <c r="B710" s="338" t="s">
        <v>7087</v>
      </c>
      <c r="C710" s="339">
        <f t="shared" si="26"/>
        <v>43110</v>
      </c>
      <c r="D710" s="196" t="s">
        <v>7088</v>
      </c>
      <c r="E710" s="187" t="s">
        <v>7207</v>
      </c>
      <c r="F710" s="507">
        <f>SUMIFS(Controle!$R:$R,Controle!$H:$H,produtos_escape2!$A710,Controle!$Z:$Z,"1")</f>
        <v>0</v>
      </c>
      <c r="G710" s="507">
        <f>SUMIFS(Controle!$R:$R,Controle!$H:$H,produtos_escape2!$A710,Controle!$Z:$Z,"2")</f>
        <v>0</v>
      </c>
      <c r="H710" s="507">
        <f>SUMIFS(Controle!$R:$R,Controle!$H:$H,produtos_escape2!$A710,Controle!$Z:$Z,"3")</f>
        <v>1697.5000000000002</v>
      </c>
      <c r="I710" s="507">
        <f>SUMIFS(Controle!$R:$R,Controle!$H:$H,produtos_escape2!$A710,Controle!$Z:$Z,"4")</f>
        <v>1747.5</v>
      </c>
      <c r="J710" s="507">
        <f>SUMIFS(Controle!$R:$R,Controle!$H:$H,produtos_escape2!$A710,Controle!$Z:$Z,"5")</f>
        <v>0</v>
      </c>
      <c r="K710" s="507">
        <f>SUMIFS(Controle!$R:$R,Controle!$H:$H,produtos_escape2!$A710,Controle!$Z:$Z,"6")</f>
        <v>3444.9999999999995</v>
      </c>
      <c r="L710" s="507">
        <f t="shared" si="25"/>
        <v>6890</v>
      </c>
      <c r="M710" s="381" t="s">
        <v>4863</v>
      </c>
      <c r="AF710" s="84"/>
    </row>
    <row r="711" spans="1:32" s="185" customFormat="1" ht="14.25" customHeight="1" thickBot="1">
      <c r="A711" s="353">
        <v>19366</v>
      </c>
      <c r="B711" s="338" t="s">
        <v>79</v>
      </c>
      <c r="C711" s="339">
        <f t="shared" si="26"/>
        <v>50000</v>
      </c>
      <c r="D711" s="196" t="s">
        <v>833</v>
      </c>
      <c r="E711" s="187"/>
      <c r="F711" s="507">
        <f>SUMIFS(Controle!$R:$R,Controle!$H:$H,produtos_escape2!$A711,Controle!$Z:$Z,"1")</f>
        <v>0</v>
      </c>
      <c r="G711" s="507">
        <f>SUMIFS(Controle!$R:$R,Controle!$H:$H,produtos_escape2!$A711,Controle!$Z:$Z,"2")</f>
        <v>0</v>
      </c>
      <c r="H711" s="507">
        <f>SUMIFS(Controle!$R:$R,Controle!$H:$H,produtos_escape2!$A711,Controle!$Z:$Z,"3")</f>
        <v>0</v>
      </c>
      <c r="I711" s="507">
        <f>SUMIFS(Controle!$R:$R,Controle!$H:$H,produtos_escape2!$A711,Controle!$Z:$Z,"4")</f>
        <v>0</v>
      </c>
      <c r="J711" s="507">
        <f>SUMIFS(Controle!$R:$R,Controle!$H:$H,produtos_escape2!$A711,Controle!$Z:$Z,"5")</f>
        <v>0</v>
      </c>
      <c r="K711" s="507">
        <f>SUMIFS(Controle!$R:$R,Controle!$H:$H,produtos_escape2!$A711,Controle!$Z:$Z,"6")</f>
        <v>0</v>
      </c>
      <c r="L711" s="507">
        <f t="shared" si="25"/>
        <v>0</v>
      </c>
      <c r="M711" s="381" t="s">
        <v>4874</v>
      </c>
      <c r="AF711" s="84"/>
    </row>
    <row r="712" spans="1:32" s="185" customFormat="1" ht="14.25" customHeight="1" thickBot="1">
      <c r="A712" s="353">
        <v>19367</v>
      </c>
      <c r="B712" s="338" t="s">
        <v>5837</v>
      </c>
      <c r="C712" s="339">
        <f t="shared" si="26"/>
        <v>50000</v>
      </c>
      <c r="D712" s="196" t="s">
        <v>833</v>
      </c>
      <c r="E712" s="187" t="s">
        <v>7207</v>
      </c>
      <c r="F712" s="507">
        <f>SUMIFS(Controle!$R:$R,Controle!$H:$H,produtos_escape2!$A712,Controle!$Z:$Z,"1")</f>
        <v>0</v>
      </c>
      <c r="G712" s="507">
        <f>SUMIFS(Controle!$R:$R,Controle!$H:$H,produtos_escape2!$A712,Controle!$Z:$Z,"2")</f>
        <v>0</v>
      </c>
      <c r="H712" s="507">
        <f>SUMIFS(Controle!$R:$R,Controle!$H:$H,produtos_escape2!$A712,Controle!$Z:$Z,"3")</f>
        <v>0</v>
      </c>
      <c r="I712" s="507">
        <f>SUMIFS(Controle!$R:$R,Controle!$H:$H,produtos_escape2!$A712,Controle!$Z:$Z,"4")</f>
        <v>0</v>
      </c>
      <c r="J712" s="507">
        <f>SUMIFS(Controle!$R:$R,Controle!$H:$H,produtos_escape2!$A712,Controle!$Z:$Z,"5")</f>
        <v>0</v>
      </c>
      <c r="K712" s="507">
        <f>SUMIFS(Controle!$R:$R,Controle!$H:$H,produtos_escape2!$A712,Controle!$Z:$Z,"6")</f>
        <v>0</v>
      </c>
      <c r="L712" s="507">
        <f t="shared" si="25"/>
        <v>0</v>
      </c>
      <c r="M712" s="381" t="s">
        <v>4550</v>
      </c>
      <c r="AF712" s="84"/>
    </row>
    <row r="713" spans="1:32" s="185" customFormat="1" ht="14.25" customHeight="1" thickBot="1">
      <c r="A713" s="353">
        <v>19399</v>
      </c>
      <c r="B713" s="194" t="s">
        <v>393</v>
      </c>
      <c r="C713" s="339">
        <f t="shared" si="26"/>
        <v>50000</v>
      </c>
      <c r="D713" s="196" t="s">
        <v>725</v>
      </c>
      <c r="E713" s="187" t="s">
        <v>3608</v>
      </c>
      <c r="F713" s="507">
        <f>SUMIFS(Controle!$R:$R,Controle!$H:$H,produtos_escape2!$A713,Controle!$Z:$Z,"1")</f>
        <v>0</v>
      </c>
      <c r="G713" s="507">
        <f>SUMIFS(Controle!$R:$R,Controle!$H:$H,produtos_escape2!$A713,Controle!$Z:$Z,"2")</f>
        <v>0</v>
      </c>
      <c r="H713" s="507">
        <f>SUMIFS(Controle!$R:$R,Controle!$H:$H,produtos_escape2!$A713,Controle!$Z:$Z,"3")</f>
        <v>0</v>
      </c>
      <c r="I713" s="507">
        <f>SUMIFS(Controle!$R:$R,Controle!$H:$H,produtos_escape2!$A713,Controle!$Z:$Z,"4")</f>
        <v>0</v>
      </c>
      <c r="J713" s="507">
        <f>SUMIFS(Controle!$R:$R,Controle!$H:$H,produtos_escape2!$A713,Controle!$Z:$Z,"5")</f>
        <v>0</v>
      </c>
      <c r="K713" s="507">
        <f>SUMIFS(Controle!$R:$R,Controle!$H:$H,produtos_escape2!$A713,Controle!$Z:$Z,"6")</f>
        <v>0</v>
      </c>
      <c r="L713" s="507">
        <f t="shared" si="25"/>
        <v>0</v>
      </c>
      <c r="M713" s="381" t="s">
        <v>4902</v>
      </c>
      <c r="AF713" s="84"/>
    </row>
    <row r="714" spans="1:32" s="185" customFormat="1" ht="14.25" customHeight="1" thickBot="1">
      <c r="A714" s="353">
        <v>19413</v>
      </c>
      <c r="B714" s="194" t="s">
        <v>6793</v>
      </c>
      <c r="C714" s="339">
        <f t="shared" si="26"/>
        <v>50000</v>
      </c>
      <c r="D714" s="196" t="s">
        <v>624</v>
      </c>
      <c r="E714" s="189" t="s">
        <v>7207</v>
      </c>
      <c r="F714" s="507">
        <f>SUMIFS(Controle!$R:$R,Controle!$H:$H,produtos_escape2!$A714,Controle!$Z:$Z,"1")</f>
        <v>0</v>
      </c>
      <c r="G714" s="507">
        <f>SUMIFS(Controle!$R:$R,Controle!$H:$H,produtos_escape2!$A714,Controle!$Z:$Z,"2")</f>
        <v>0</v>
      </c>
      <c r="H714" s="507">
        <f>SUMIFS(Controle!$R:$R,Controle!$H:$H,produtos_escape2!$A714,Controle!$Z:$Z,"3")</f>
        <v>0</v>
      </c>
      <c r="I714" s="507">
        <f>SUMIFS(Controle!$R:$R,Controle!$H:$H,produtos_escape2!$A714,Controle!$Z:$Z,"4")</f>
        <v>0</v>
      </c>
      <c r="J714" s="507">
        <f>SUMIFS(Controle!$R:$R,Controle!$H:$H,produtos_escape2!$A714,Controle!$Z:$Z,"5")</f>
        <v>0</v>
      </c>
      <c r="K714" s="507">
        <f>SUMIFS(Controle!$R:$R,Controle!$H:$H,produtos_escape2!$A714,Controle!$Z:$Z,"6")</f>
        <v>0</v>
      </c>
      <c r="L714" s="507">
        <f t="shared" si="25"/>
        <v>0</v>
      </c>
      <c r="M714" s="381" t="s">
        <v>4513</v>
      </c>
      <c r="AF714" s="84"/>
    </row>
    <row r="715" spans="1:32" s="185" customFormat="1" ht="14.25" customHeight="1" thickBot="1">
      <c r="A715" s="353">
        <v>19479</v>
      </c>
      <c r="B715" s="194" t="s">
        <v>450</v>
      </c>
      <c r="C715" s="339">
        <f t="shared" si="26"/>
        <v>50000</v>
      </c>
      <c r="D715" s="196"/>
      <c r="E715" s="187"/>
      <c r="F715" s="507">
        <f>SUMIFS(Controle!$R:$R,Controle!$H:$H,produtos_escape2!$A715,Controle!$Z:$Z,"1")</f>
        <v>0</v>
      </c>
      <c r="G715" s="507">
        <f>SUMIFS(Controle!$R:$R,Controle!$H:$H,produtos_escape2!$A715,Controle!$Z:$Z,"2")</f>
        <v>0</v>
      </c>
      <c r="H715" s="507">
        <f>SUMIFS(Controle!$R:$R,Controle!$H:$H,produtos_escape2!$A715,Controle!$Z:$Z,"3")</f>
        <v>0</v>
      </c>
      <c r="I715" s="507">
        <f>SUMIFS(Controle!$R:$R,Controle!$H:$H,produtos_escape2!$A715,Controle!$Z:$Z,"4")</f>
        <v>0</v>
      </c>
      <c r="J715" s="507">
        <f>SUMIFS(Controle!$R:$R,Controle!$H:$H,produtos_escape2!$A715,Controle!$Z:$Z,"5")</f>
        <v>0</v>
      </c>
      <c r="K715" s="507">
        <f>SUMIFS(Controle!$R:$R,Controle!$H:$H,produtos_escape2!$A715,Controle!$Z:$Z,"6")</f>
        <v>0</v>
      </c>
      <c r="L715" s="507">
        <f t="shared" si="25"/>
        <v>0</v>
      </c>
      <c r="M715" s="381" t="s">
        <v>4903</v>
      </c>
      <c r="AF715" s="84"/>
    </row>
    <row r="716" spans="1:32" s="185" customFormat="1" ht="14.25" customHeight="1" thickBot="1">
      <c r="A716" s="353">
        <v>19482</v>
      </c>
      <c r="B716" s="194" t="s">
        <v>23</v>
      </c>
      <c r="C716" s="339">
        <f t="shared" si="26"/>
        <v>50000</v>
      </c>
      <c r="D716" s="196" t="s">
        <v>624</v>
      </c>
      <c r="E716" s="187" t="s">
        <v>3608</v>
      </c>
      <c r="F716" s="507">
        <f>SUMIFS(Controle!$R:$R,Controle!$H:$H,produtos_escape2!$A716,Controle!$Z:$Z,"1")</f>
        <v>0</v>
      </c>
      <c r="G716" s="507">
        <f>SUMIFS(Controle!$R:$R,Controle!$H:$H,produtos_escape2!$A716,Controle!$Z:$Z,"2")</f>
        <v>0</v>
      </c>
      <c r="H716" s="507">
        <f>SUMIFS(Controle!$R:$R,Controle!$H:$H,produtos_escape2!$A716,Controle!$Z:$Z,"3")</f>
        <v>0</v>
      </c>
      <c r="I716" s="507">
        <f>SUMIFS(Controle!$R:$R,Controle!$H:$H,produtos_escape2!$A716,Controle!$Z:$Z,"4")</f>
        <v>0</v>
      </c>
      <c r="J716" s="507">
        <f>SUMIFS(Controle!$R:$R,Controle!$H:$H,produtos_escape2!$A716,Controle!$Z:$Z,"5")</f>
        <v>0</v>
      </c>
      <c r="K716" s="507">
        <f>SUMIFS(Controle!$R:$R,Controle!$H:$H,produtos_escape2!$A716,Controle!$Z:$Z,"6")</f>
        <v>0</v>
      </c>
      <c r="L716" s="507">
        <f t="shared" si="25"/>
        <v>0</v>
      </c>
      <c r="M716" s="381" t="s">
        <v>4904</v>
      </c>
      <c r="AF716" s="84"/>
    </row>
    <row r="717" spans="1:32" s="185" customFormat="1" ht="14.25" customHeight="1" thickBot="1">
      <c r="A717" s="353">
        <v>19513</v>
      </c>
      <c r="B717" s="194" t="s">
        <v>845</v>
      </c>
      <c r="C717" s="339">
        <f t="shared" si="26"/>
        <v>50000</v>
      </c>
      <c r="D717" s="196" t="s">
        <v>651</v>
      </c>
      <c r="E717" s="187" t="s">
        <v>1739</v>
      </c>
      <c r="F717" s="507">
        <f>SUMIFS(Controle!$R:$R,Controle!$H:$H,produtos_escape2!$A717,Controle!$Z:$Z,"1")</f>
        <v>0</v>
      </c>
      <c r="G717" s="507">
        <f>SUMIFS(Controle!$R:$R,Controle!$H:$H,produtos_escape2!$A717,Controle!$Z:$Z,"2")</f>
        <v>0</v>
      </c>
      <c r="H717" s="507">
        <f>SUMIFS(Controle!$R:$R,Controle!$H:$H,produtos_escape2!$A717,Controle!$Z:$Z,"3")</f>
        <v>0</v>
      </c>
      <c r="I717" s="507">
        <f>SUMIFS(Controle!$R:$R,Controle!$H:$H,produtos_escape2!$A717,Controle!$Z:$Z,"4")</f>
        <v>0</v>
      </c>
      <c r="J717" s="507">
        <f>SUMIFS(Controle!$R:$R,Controle!$H:$H,produtos_escape2!$A717,Controle!$Z:$Z,"5")</f>
        <v>0</v>
      </c>
      <c r="K717" s="507">
        <f>SUMIFS(Controle!$R:$R,Controle!$H:$H,produtos_escape2!$A717,Controle!$Z:$Z,"6")</f>
        <v>0</v>
      </c>
      <c r="L717" s="507">
        <f t="shared" si="25"/>
        <v>0</v>
      </c>
      <c r="M717" s="381" t="s">
        <v>4515</v>
      </c>
      <c r="AF717" s="84"/>
    </row>
    <row r="718" spans="1:32" s="185" customFormat="1" ht="14.25" customHeight="1" thickBot="1">
      <c r="A718" s="353">
        <v>19556</v>
      </c>
      <c r="B718" s="194" t="s">
        <v>5813</v>
      </c>
      <c r="C718" s="339">
        <f t="shared" si="26"/>
        <v>50000</v>
      </c>
      <c r="D718" s="196" t="s">
        <v>624</v>
      </c>
      <c r="E718" s="187" t="s">
        <v>7207</v>
      </c>
      <c r="F718" s="507">
        <f>SUMIFS(Controle!$R:$R,Controle!$H:$H,produtos_escape2!$A718,Controle!$Z:$Z,"1")</f>
        <v>0</v>
      </c>
      <c r="G718" s="507">
        <f>SUMIFS(Controle!$R:$R,Controle!$H:$H,produtos_escape2!$A718,Controle!$Z:$Z,"2")</f>
        <v>0</v>
      </c>
      <c r="H718" s="507">
        <f>SUMIFS(Controle!$R:$R,Controle!$H:$H,produtos_escape2!$A718,Controle!$Z:$Z,"3")</f>
        <v>0</v>
      </c>
      <c r="I718" s="507">
        <f>SUMIFS(Controle!$R:$R,Controle!$H:$H,produtos_escape2!$A718,Controle!$Z:$Z,"4")</f>
        <v>0</v>
      </c>
      <c r="J718" s="507">
        <f>SUMIFS(Controle!$R:$R,Controle!$H:$H,produtos_escape2!$A718,Controle!$Z:$Z,"5")</f>
        <v>0</v>
      </c>
      <c r="K718" s="507">
        <f>SUMIFS(Controle!$R:$R,Controle!$H:$H,produtos_escape2!$A718,Controle!$Z:$Z,"6")</f>
        <v>0</v>
      </c>
      <c r="L718" s="507">
        <f t="shared" si="25"/>
        <v>0</v>
      </c>
      <c r="M718" s="381" t="s">
        <v>5812</v>
      </c>
      <c r="AF718" s="84"/>
    </row>
    <row r="719" spans="1:32" s="185" customFormat="1" ht="14.25" customHeight="1" thickBot="1">
      <c r="A719" s="333">
        <v>19558</v>
      </c>
      <c r="B719" s="194" t="s">
        <v>523</v>
      </c>
      <c r="C719" s="339">
        <f t="shared" si="26"/>
        <v>50000</v>
      </c>
      <c r="D719" s="196"/>
      <c r="E719" s="187"/>
      <c r="F719" s="507">
        <f>SUMIFS(Controle!$R:$R,Controle!$H:$H,produtos_escape2!$A719,Controle!$Z:$Z,"1")</f>
        <v>0</v>
      </c>
      <c r="G719" s="507">
        <f>SUMIFS(Controle!$R:$R,Controle!$H:$H,produtos_escape2!$A719,Controle!$Z:$Z,"2")</f>
        <v>0</v>
      </c>
      <c r="H719" s="507">
        <f>SUMIFS(Controle!$R:$R,Controle!$H:$H,produtos_escape2!$A719,Controle!$Z:$Z,"3")</f>
        <v>0</v>
      </c>
      <c r="I719" s="507">
        <f>SUMIFS(Controle!$R:$R,Controle!$H:$H,produtos_escape2!$A719,Controle!$Z:$Z,"4")</f>
        <v>0</v>
      </c>
      <c r="J719" s="507">
        <f>SUMIFS(Controle!$R:$R,Controle!$H:$H,produtos_escape2!$A719,Controle!$Z:$Z,"5")</f>
        <v>0</v>
      </c>
      <c r="K719" s="507">
        <f>SUMIFS(Controle!$R:$R,Controle!$H:$H,produtos_escape2!$A719,Controle!$Z:$Z,"6")</f>
        <v>0</v>
      </c>
      <c r="L719" s="507">
        <f t="shared" si="25"/>
        <v>0</v>
      </c>
      <c r="M719" s="381" t="s">
        <v>523</v>
      </c>
      <c r="AF719" s="84"/>
    </row>
    <row r="720" spans="1:32" s="185" customFormat="1" ht="14.25" customHeight="1" thickBot="1">
      <c r="A720" s="353">
        <v>19575</v>
      </c>
      <c r="B720" s="194" t="s">
        <v>100</v>
      </c>
      <c r="C720" s="339">
        <f t="shared" si="26"/>
        <v>49802.92</v>
      </c>
      <c r="D720" s="196" t="s">
        <v>725</v>
      </c>
      <c r="E720" s="187" t="s">
        <v>3608</v>
      </c>
      <c r="F720" s="507">
        <f>SUMIFS(Controle!$R:$R,Controle!$H:$H,produtos_escape2!$A720,Controle!$Z:$Z,"1")</f>
        <v>0</v>
      </c>
      <c r="G720" s="507">
        <f>SUMIFS(Controle!$R:$R,Controle!$H:$H,produtos_escape2!$A720,Controle!$Z:$Z,"2")</f>
        <v>0</v>
      </c>
      <c r="H720" s="507">
        <f>SUMIFS(Controle!$R:$R,Controle!$H:$H,produtos_escape2!$A720,Controle!$Z:$Z,"3")</f>
        <v>0</v>
      </c>
      <c r="I720" s="507">
        <f>SUMIFS(Controle!$R:$R,Controle!$H:$H,produtos_escape2!$A720,Controle!$Z:$Z,"4")</f>
        <v>107.25000000000001</v>
      </c>
      <c r="J720" s="507">
        <f>SUMIFS(Controle!$R:$R,Controle!$H:$H,produtos_escape2!$A720,Controle!$Z:$Z,"5")</f>
        <v>0</v>
      </c>
      <c r="K720" s="507">
        <f>SUMIFS(Controle!$R:$R,Controle!$H:$H,produtos_escape2!$A720,Controle!$Z:$Z,"6")</f>
        <v>89.83</v>
      </c>
      <c r="L720" s="507">
        <f t="shared" si="25"/>
        <v>197.08</v>
      </c>
      <c r="M720" s="381" t="s">
        <v>100</v>
      </c>
      <c r="AF720" s="84"/>
    </row>
    <row r="721" spans="1:32" s="185" customFormat="1" ht="14.25" customHeight="1" thickBot="1">
      <c r="A721" s="353">
        <v>19581</v>
      </c>
      <c r="B721" s="194" t="s">
        <v>3358</v>
      </c>
      <c r="C721" s="339">
        <f t="shared" si="26"/>
        <v>50000</v>
      </c>
      <c r="D721" s="196" t="s">
        <v>624</v>
      </c>
      <c r="E721" s="189" t="s">
        <v>7207</v>
      </c>
      <c r="F721" s="507">
        <f>SUMIFS(Controle!$R:$R,Controle!$H:$H,produtos_escape2!$A721,Controle!$Z:$Z,"1")</f>
        <v>0</v>
      </c>
      <c r="G721" s="507">
        <f>SUMIFS(Controle!$R:$R,Controle!$H:$H,produtos_escape2!$A721,Controle!$Z:$Z,"2")</f>
        <v>0</v>
      </c>
      <c r="H721" s="507">
        <f>SUMIFS(Controle!$R:$R,Controle!$H:$H,produtos_escape2!$A721,Controle!$Z:$Z,"3")</f>
        <v>0</v>
      </c>
      <c r="I721" s="507">
        <f>SUMIFS(Controle!$R:$R,Controle!$H:$H,produtos_escape2!$A721,Controle!$Z:$Z,"4")</f>
        <v>0</v>
      </c>
      <c r="J721" s="507">
        <f>SUMIFS(Controle!$R:$R,Controle!$H:$H,produtos_escape2!$A721,Controle!$Z:$Z,"5")</f>
        <v>0</v>
      </c>
      <c r="K721" s="507">
        <f>SUMIFS(Controle!$R:$R,Controle!$H:$H,produtos_escape2!$A721,Controle!$Z:$Z,"6")</f>
        <v>0</v>
      </c>
      <c r="L721" s="507">
        <f t="shared" si="25"/>
        <v>0</v>
      </c>
      <c r="M721" s="381" t="s">
        <v>4905</v>
      </c>
      <c r="AF721" s="84"/>
    </row>
    <row r="722" spans="1:32" s="185" customFormat="1" ht="14.25" customHeight="1" thickBot="1">
      <c r="A722" s="353">
        <v>19588</v>
      </c>
      <c r="B722" s="338" t="s">
        <v>3361</v>
      </c>
      <c r="C722" s="339">
        <f t="shared" si="26"/>
        <v>50000</v>
      </c>
      <c r="D722" s="196" t="s">
        <v>624</v>
      </c>
      <c r="E722" s="189" t="s">
        <v>7207</v>
      </c>
      <c r="F722" s="507">
        <f>SUMIFS(Controle!$R:$R,Controle!$H:$H,produtos_escape2!$A722,Controle!$Z:$Z,"1")</f>
        <v>0</v>
      </c>
      <c r="G722" s="507">
        <f>SUMIFS(Controle!$R:$R,Controle!$H:$H,produtos_escape2!$A722,Controle!$Z:$Z,"2")</f>
        <v>0</v>
      </c>
      <c r="H722" s="507">
        <f>SUMIFS(Controle!$R:$R,Controle!$H:$H,produtos_escape2!$A722,Controle!$Z:$Z,"3")</f>
        <v>0</v>
      </c>
      <c r="I722" s="507">
        <f>SUMIFS(Controle!$R:$R,Controle!$H:$H,produtos_escape2!$A722,Controle!$Z:$Z,"4")</f>
        <v>0</v>
      </c>
      <c r="J722" s="507">
        <f>SUMIFS(Controle!$R:$R,Controle!$H:$H,produtos_escape2!$A722,Controle!$Z:$Z,"5")</f>
        <v>0</v>
      </c>
      <c r="K722" s="507">
        <f>SUMIFS(Controle!$R:$R,Controle!$H:$H,produtos_escape2!$A722,Controle!$Z:$Z,"6")</f>
        <v>0</v>
      </c>
      <c r="L722" s="507">
        <f t="shared" si="25"/>
        <v>0</v>
      </c>
      <c r="M722" s="381" t="s">
        <v>4906</v>
      </c>
      <c r="AF722" s="84"/>
    </row>
    <row r="723" spans="1:32" s="185" customFormat="1" ht="14.25" customHeight="1" thickBot="1">
      <c r="A723" s="353">
        <v>19595</v>
      </c>
      <c r="B723" s="194" t="s">
        <v>3359</v>
      </c>
      <c r="C723" s="339">
        <f t="shared" si="26"/>
        <v>50000</v>
      </c>
      <c r="D723" s="196" t="s">
        <v>624</v>
      </c>
      <c r="E723" s="189" t="s">
        <v>7207</v>
      </c>
      <c r="F723" s="507">
        <f>SUMIFS(Controle!$R:$R,Controle!$H:$H,produtos_escape2!$A723,Controle!$Z:$Z,"1")</f>
        <v>0</v>
      </c>
      <c r="G723" s="507">
        <f>SUMIFS(Controle!$R:$R,Controle!$H:$H,produtos_escape2!$A723,Controle!$Z:$Z,"2")</f>
        <v>0</v>
      </c>
      <c r="H723" s="507">
        <f>SUMIFS(Controle!$R:$R,Controle!$H:$H,produtos_escape2!$A723,Controle!$Z:$Z,"3")</f>
        <v>0</v>
      </c>
      <c r="I723" s="507">
        <f>SUMIFS(Controle!$R:$R,Controle!$H:$H,produtos_escape2!$A723,Controle!$Z:$Z,"4")</f>
        <v>0</v>
      </c>
      <c r="J723" s="507">
        <f>SUMIFS(Controle!$R:$R,Controle!$H:$H,produtos_escape2!$A723,Controle!$Z:$Z,"5")</f>
        <v>0</v>
      </c>
      <c r="K723" s="507">
        <f>SUMIFS(Controle!$R:$R,Controle!$H:$H,produtos_escape2!$A723,Controle!$Z:$Z,"6")</f>
        <v>0</v>
      </c>
      <c r="L723" s="507">
        <f t="shared" si="25"/>
        <v>0</v>
      </c>
      <c r="M723" s="381" t="s">
        <v>4907</v>
      </c>
      <c r="AF723" s="84"/>
    </row>
    <row r="724" spans="1:32" s="185" customFormat="1" ht="14.25" customHeight="1" thickBot="1">
      <c r="A724" s="353">
        <v>19600</v>
      </c>
      <c r="B724" s="194" t="s">
        <v>1656</v>
      </c>
      <c r="C724" s="339">
        <f t="shared" si="26"/>
        <v>50000</v>
      </c>
      <c r="D724" s="196" t="s">
        <v>624</v>
      </c>
      <c r="E724" s="187" t="s">
        <v>7207</v>
      </c>
      <c r="F724" s="507">
        <f>SUMIFS(Controle!$R:$R,Controle!$H:$H,produtos_escape2!$A724,Controle!$Z:$Z,"1")</f>
        <v>0</v>
      </c>
      <c r="G724" s="507">
        <f>SUMIFS(Controle!$R:$R,Controle!$H:$H,produtos_escape2!$A724,Controle!$Z:$Z,"2")</f>
        <v>0</v>
      </c>
      <c r="H724" s="507">
        <f>SUMIFS(Controle!$R:$R,Controle!$H:$H,produtos_escape2!$A724,Controle!$Z:$Z,"3")</f>
        <v>0</v>
      </c>
      <c r="I724" s="507">
        <f>SUMIFS(Controle!$R:$R,Controle!$H:$H,produtos_escape2!$A724,Controle!$Z:$Z,"4")</f>
        <v>0</v>
      </c>
      <c r="J724" s="507">
        <f>SUMIFS(Controle!$R:$R,Controle!$H:$H,produtos_escape2!$A724,Controle!$Z:$Z,"5")</f>
        <v>0</v>
      </c>
      <c r="K724" s="507">
        <f>SUMIFS(Controle!$R:$R,Controle!$H:$H,produtos_escape2!$A724,Controle!$Z:$Z,"6")</f>
        <v>0</v>
      </c>
      <c r="L724" s="507">
        <f t="shared" si="25"/>
        <v>0</v>
      </c>
      <c r="M724" s="381" t="s">
        <v>4908</v>
      </c>
      <c r="AF724" s="84"/>
    </row>
    <row r="725" spans="1:32" s="185" customFormat="1" ht="14.25" customHeight="1" thickBot="1">
      <c r="A725" s="353">
        <v>19605</v>
      </c>
      <c r="B725" s="194" t="s">
        <v>1376</v>
      </c>
      <c r="C725" s="339">
        <f t="shared" si="26"/>
        <v>50000</v>
      </c>
      <c r="D725" s="196" t="s">
        <v>624</v>
      </c>
      <c r="E725" s="187" t="s">
        <v>7207</v>
      </c>
      <c r="F725" s="507">
        <f>SUMIFS(Controle!$R:$R,Controle!$H:$H,produtos_escape2!$A725,Controle!$Z:$Z,"1")</f>
        <v>0</v>
      </c>
      <c r="G725" s="507">
        <f>SUMIFS(Controle!$R:$R,Controle!$H:$H,produtos_escape2!$A725,Controle!$Z:$Z,"2")</f>
        <v>0</v>
      </c>
      <c r="H725" s="507">
        <f>SUMIFS(Controle!$R:$R,Controle!$H:$H,produtos_escape2!$A725,Controle!$Z:$Z,"3")</f>
        <v>0</v>
      </c>
      <c r="I725" s="507">
        <f>SUMIFS(Controle!$R:$R,Controle!$H:$H,produtos_escape2!$A725,Controle!$Z:$Z,"4")</f>
        <v>0</v>
      </c>
      <c r="J725" s="507">
        <f>SUMIFS(Controle!$R:$R,Controle!$H:$H,produtos_escape2!$A725,Controle!$Z:$Z,"5")</f>
        <v>0</v>
      </c>
      <c r="K725" s="507">
        <f>SUMIFS(Controle!$R:$R,Controle!$H:$H,produtos_escape2!$A725,Controle!$Z:$Z,"6")</f>
        <v>0</v>
      </c>
      <c r="L725" s="507">
        <f t="shared" si="25"/>
        <v>0</v>
      </c>
      <c r="M725" s="381" t="s">
        <v>1376</v>
      </c>
      <c r="AF725" s="84"/>
    </row>
    <row r="726" spans="1:32" s="185" customFormat="1" ht="14.25" customHeight="1" thickBot="1">
      <c r="A726" s="353">
        <v>19627</v>
      </c>
      <c r="B726" s="194" t="s">
        <v>527</v>
      </c>
      <c r="C726" s="339">
        <f t="shared" si="26"/>
        <v>50000</v>
      </c>
      <c r="D726" s="196"/>
      <c r="E726" s="187"/>
      <c r="F726" s="507">
        <f>SUMIFS(Controle!$R:$R,Controle!$H:$H,produtos_escape2!$A726,Controle!$Z:$Z,"1")</f>
        <v>0</v>
      </c>
      <c r="G726" s="507">
        <f>SUMIFS(Controle!$R:$R,Controle!$H:$H,produtos_escape2!$A726,Controle!$Z:$Z,"2")</f>
        <v>0</v>
      </c>
      <c r="H726" s="507">
        <f>SUMIFS(Controle!$R:$R,Controle!$H:$H,produtos_escape2!$A726,Controle!$Z:$Z,"3")</f>
        <v>0</v>
      </c>
      <c r="I726" s="507">
        <f>SUMIFS(Controle!$R:$R,Controle!$H:$H,produtos_escape2!$A726,Controle!$Z:$Z,"4")</f>
        <v>0</v>
      </c>
      <c r="J726" s="507">
        <f>SUMIFS(Controle!$R:$R,Controle!$H:$H,produtos_escape2!$A726,Controle!$Z:$Z,"5")</f>
        <v>0</v>
      </c>
      <c r="K726" s="507">
        <f>SUMIFS(Controle!$R:$R,Controle!$H:$H,produtos_escape2!$A726,Controle!$Z:$Z,"6")</f>
        <v>0</v>
      </c>
      <c r="L726" s="507">
        <f t="shared" si="25"/>
        <v>0</v>
      </c>
      <c r="M726" s="381" t="s">
        <v>527</v>
      </c>
      <c r="AF726" s="84"/>
    </row>
    <row r="727" spans="1:32" s="185" customFormat="1" ht="14.25" customHeight="1" thickBot="1">
      <c r="A727" s="333">
        <v>19628</v>
      </c>
      <c r="B727" s="194" t="s">
        <v>526</v>
      </c>
      <c r="C727" s="339">
        <f t="shared" si="26"/>
        <v>50000</v>
      </c>
      <c r="D727" s="196"/>
      <c r="E727" s="187"/>
      <c r="F727" s="507">
        <f>SUMIFS(Controle!$R:$R,Controle!$H:$H,produtos_escape2!$A727,Controle!$Z:$Z,"1")</f>
        <v>0</v>
      </c>
      <c r="G727" s="507">
        <f>SUMIFS(Controle!$R:$R,Controle!$H:$H,produtos_escape2!$A727,Controle!$Z:$Z,"2")</f>
        <v>0</v>
      </c>
      <c r="H727" s="507">
        <f>SUMIFS(Controle!$R:$R,Controle!$H:$H,produtos_escape2!$A727,Controle!$Z:$Z,"3")</f>
        <v>0</v>
      </c>
      <c r="I727" s="507">
        <f>SUMIFS(Controle!$R:$R,Controle!$H:$H,produtos_escape2!$A727,Controle!$Z:$Z,"4")</f>
        <v>0</v>
      </c>
      <c r="J727" s="507">
        <f>SUMIFS(Controle!$R:$R,Controle!$H:$H,produtos_escape2!$A727,Controle!$Z:$Z,"5")</f>
        <v>0</v>
      </c>
      <c r="K727" s="507">
        <f>SUMIFS(Controle!$R:$R,Controle!$H:$H,produtos_escape2!$A727,Controle!$Z:$Z,"6")</f>
        <v>0</v>
      </c>
      <c r="L727" s="507">
        <f t="shared" si="25"/>
        <v>0</v>
      </c>
      <c r="M727" s="381" t="s">
        <v>526</v>
      </c>
      <c r="AF727" s="84"/>
    </row>
    <row r="728" spans="1:32" s="185" customFormat="1" ht="14.25" customHeight="1" thickBot="1">
      <c r="A728" s="353">
        <v>19648</v>
      </c>
      <c r="B728" s="194" t="s">
        <v>143</v>
      </c>
      <c r="C728" s="339">
        <f t="shared" si="26"/>
        <v>47021.96</v>
      </c>
      <c r="D728" s="196" t="s">
        <v>548</v>
      </c>
      <c r="E728" s="187" t="s">
        <v>3608</v>
      </c>
      <c r="F728" s="507">
        <f>SUMIFS(Controle!$R:$R,Controle!$H:$H,produtos_escape2!$A728,Controle!$Z:$Z,"1")</f>
        <v>0</v>
      </c>
      <c r="G728" s="507">
        <f>SUMIFS(Controle!$R:$R,Controle!$H:$H,produtos_escape2!$A728,Controle!$Z:$Z,"2")</f>
        <v>0</v>
      </c>
      <c r="H728" s="507">
        <f>SUMIFS(Controle!$R:$R,Controle!$H:$H,produtos_escape2!$A728,Controle!$Z:$Z,"3")</f>
        <v>0</v>
      </c>
      <c r="I728" s="507">
        <f>SUMIFS(Controle!$R:$R,Controle!$H:$H,produtos_escape2!$A728,Controle!$Z:$Z,"4")</f>
        <v>0</v>
      </c>
      <c r="J728" s="507">
        <f>SUMIFS(Controle!$R:$R,Controle!$H:$H,produtos_escape2!$A728,Controle!$Z:$Z,"5")</f>
        <v>0</v>
      </c>
      <c r="K728" s="507">
        <f>SUMIFS(Controle!$R:$R,Controle!$H:$H,produtos_escape2!$A728,Controle!$Z:$Z,"6")</f>
        <v>2978.0400000000004</v>
      </c>
      <c r="L728" s="507">
        <f t="shared" si="25"/>
        <v>2978.0400000000004</v>
      </c>
      <c r="M728" s="381" t="s">
        <v>143</v>
      </c>
      <c r="AF728" s="84"/>
    </row>
    <row r="729" spans="1:32" s="185" customFormat="1" ht="14.25" customHeight="1" thickBot="1">
      <c r="A729" s="353">
        <v>19650</v>
      </c>
      <c r="B729" s="194" t="s">
        <v>1137</v>
      </c>
      <c r="C729" s="339">
        <f t="shared" si="26"/>
        <v>50000</v>
      </c>
      <c r="D729" s="196" t="s">
        <v>624</v>
      </c>
      <c r="E729" s="187" t="s">
        <v>3608</v>
      </c>
      <c r="F729" s="507">
        <f>SUMIFS(Controle!$R:$R,Controle!$H:$H,produtos_escape2!$A729,Controle!$Z:$Z,"1")</f>
        <v>0</v>
      </c>
      <c r="G729" s="507">
        <f>SUMIFS(Controle!$R:$R,Controle!$H:$H,produtos_escape2!$A729,Controle!$Z:$Z,"2")</f>
        <v>0</v>
      </c>
      <c r="H729" s="507">
        <f>SUMIFS(Controle!$R:$R,Controle!$H:$H,produtos_escape2!$A729,Controle!$Z:$Z,"3")</f>
        <v>0</v>
      </c>
      <c r="I729" s="507">
        <f>SUMIFS(Controle!$R:$R,Controle!$H:$H,produtos_escape2!$A729,Controle!$Z:$Z,"4")</f>
        <v>0</v>
      </c>
      <c r="J729" s="507">
        <f>SUMIFS(Controle!$R:$R,Controle!$H:$H,produtos_escape2!$A729,Controle!$Z:$Z,"5")</f>
        <v>0</v>
      </c>
      <c r="K729" s="507">
        <f>SUMIFS(Controle!$R:$R,Controle!$H:$H,produtos_escape2!$A729,Controle!$Z:$Z,"6")</f>
        <v>0</v>
      </c>
      <c r="L729" s="507">
        <f t="shared" si="25"/>
        <v>0</v>
      </c>
      <c r="M729" s="381" t="s">
        <v>1137</v>
      </c>
      <c r="AF729" s="84"/>
    </row>
    <row r="730" spans="1:32" s="185" customFormat="1" ht="14.25" customHeight="1" thickBot="1">
      <c r="A730" s="353">
        <v>19672</v>
      </c>
      <c r="B730" s="338" t="s">
        <v>2609</v>
      </c>
      <c r="C730" s="339">
        <f t="shared" si="26"/>
        <v>50000</v>
      </c>
      <c r="D730" s="196" t="s">
        <v>651</v>
      </c>
      <c r="E730" s="187" t="s">
        <v>7207</v>
      </c>
      <c r="F730" s="507">
        <f>SUMIFS(Controle!$R:$R,Controle!$H:$H,produtos_escape2!$A730,Controle!$Z:$Z,"1")</f>
        <v>0</v>
      </c>
      <c r="G730" s="507">
        <f>SUMIFS(Controle!$R:$R,Controle!$H:$H,produtos_escape2!$A730,Controle!$Z:$Z,"2")</f>
        <v>0</v>
      </c>
      <c r="H730" s="507">
        <f>SUMIFS(Controle!$R:$R,Controle!$H:$H,produtos_escape2!$A730,Controle!$Z:$Z,"3")</f>
        <v>0</v>
      </c>
      <c r="I730" s="507">
        <f>SUMIFS(Controle!$R:$R,Controle!$H:$H,produtos_escape2!$A730,Controle!$Z:$Z,"4")</f>
        <v>0</v>
      </c>
      <c r="J730" s="507">
        <f>SUMIFS(Controle!$R:$R,Controle!$H:$H,produtos_escape2!$A730,Controle!$Z:$Z,"5")</f>
        <v>0</v>
      </c>
      <c r="K730" s="507">
        <f>SUMIFS(Controle!$R:$R,Controle!$H:$H,produtos_escape2!$A730,Controle!$Z:$Z,"6")</f>
        <v>0</v>
      </c>
      <c r="L730" s="507">
        <f t="shared" si="25"/>
        <v>0</v>
      </c>
      <c r="M730" s="381" t="s">
        <v>4515</v>
      </c>
      <c r="AF730" s="84"/>
    </row>
    <row r="731" spans="1:32" s="185" customFormat="1" ht="14.25" customHeight="1" thickBot="1">
      <c r="A731" s="353">
        <v>19731</v>
      </c>
      <c r="B731" s="194" t="s">
        <v>2610</v>
      </c>
      <c r="C731" s="339">
        <f t="shared" si="26"/>
        <v>50000</v>
      </c>
      <c r="D731" s="196"/>
      <c r="E731" s="187"/>
      <c r="F731" s="507">
        <f>SUMIFS(Controle!$R:$R,Controle!$H:$H,produtos_escape2!$A731,Controle!$Z:$Z,"1")</f>
        <v>0</v>
      </c>
      <c r="G731" s="507">
        <f>SUMIFS(Controle!$R:$R,Controle!$H:$H,produtos_escape2!$A731,Controle!$Z:$Z,"2")</f>
        <v>0</v>
      </c>
      <c r="H731" s="507">
        <f>SUMIFS(Controle!$R:$R,Controle!$H:$H,produtos_escape2!$A731,Controle!$Z:$Z,"3")</f>
        <v>0</v>
      </c>
      <c r="I731" s="507">
        <f>SUMIFS(Controle!$R:$R,Controle!$H:$H,produtos_escape2!$A731,Controle!$Z:$Z,"4")</f>
        <v>0</v>
      </c>
      <c r="J731" s="507">
        <f>SUMIFS(Controle!$R:$R,Controle!$H:$H,produtos_escape2!$A731,Controle!$Z:$Z,"5")</f>
        <v>0</v>
      </c>
      <c r="K731" s="507">
        <f>SUMIFS(Controle!$R:$R,Controle!$H:$H,produtos_escape2!$A731,Controle!$Z:$Z,"6")</f>
        <v>0</v>
      </c>
      <c r="L731" s="507">
        <f t="shared" si="25"/>
        <v>0</v>
      </c>
      <c r="M731" s="381" t="s">
        <v>4909</v>
      </c>
      <c r="AF731" s="84"/>
    </row>
    <row r="732" spans="1:32" s="185" customFormat="1" ht="14.25" customHeight="1" thickBot="1">
      <c r="A732" s="353">
        <v>19772</v>
      </c>
      <c r="B732" s="194" t="s">
        <v>1446</v>
      </c>
      <c r="C732" s="339">
        <f t="shared" si="26"/>
        <v>50000</v>
      </c>
      <c r="D732" s="196" t="s">
        <v>547</v>
      </c>
      <c r="E732" s="187" t="s">
        <v>3608</v>
      </c>
      <c r="F732" s="507">
        <f>SUMIFS(Controle!$R:$R,Controle!$H:$H,produtos_escape2!$A732,Controle!$Z:$Z,"1")</f>
        <v>0</v>
      </c>
      <c r="G732" s="507">
        <f>SUMIFS(Controle!$R:$R,Controle!$H:$H,produtos_escape2!$A732,Controle!$Z:$Z,"2")</f>
        <v>0</v>
      </c>
      <c r="H732" s="507">
        <f>SUMIFS(Controle!$R:$R,Controle!$H:$H,produtos_escape2!$A732,Controle!$Z:$Z,"3")</f>
        <v>0</v>
      </c>
      <c r="I732" s="507">
        <f>SUMIFS(Controle!$R:$R,Controle!$H:$H,produtos_escape2!$A732,Controle!$Z:$Z,"4")</f>
        <v>0</v>
      </c>
      <c r="J732" s="507">
        <f>SUMIFS(Controle!$R:$R,Controle!$H:$H,produtos_escape2!$A732,Controle!$Z:$Z,"5")</f>
        <v>0</v>
      </c>
      <c r="K732" s="507">
        <f>SUMIFS(Controle!$R:$R,Controle!$H:$H,produtos_escape2!$A732,Controle!$Z:$Z,"6")</f>
        <v>0</v>
      </c>
      <c r="L732" s="507">
        <f t="shared" si="25"/>
        <v>0</v>
      </c>
      <c r="M732" s="381" t="s">
        <v>4910</v>
      </c>
      <c r="AF732" s="84"/>
    </row>
    <row r="733" spans="1:32" s="185" customFormat="1" ht="14.25" customHeight="1" thickBot="1">
      <c r="A733" s="353">
        <v>19805</v>
      </c>
      <c r="B733" s="194" t="s">
        <v>2611</v>
      </c>
      <c r="C733" s="339">
        <f t="shared" si="26"/>
        <v>50000</v>
      </c>
      <c r="D733" s="196" t="s">
        <v>624</v>
      </c>
      <c r="E733" s="187" t="s">
        <v>7207</v>
      </c>
      <c r="F733" s="507">
        <f>SUMIFS(Controle!$R:$R,Controle!$H:$H,produtos_escape2!$A733,Controle!$Z:$Z,"1")</f>
        <v>0</v>
      </c>
      <c r="G733" s="507">
        <f>SUMIFS(Controle!$R:$R,Controle!$H:$H,produtos_escape2!$A733,Controle!$Z:$Z,"2")</f>
        <v>0</v>
      </c>
      <c r="H733" s="507">
        <f>SUMIFS(Controle!$R:$R,Controle!$H:$H,produtos_escape2!$A733,Controle!$Z:$Z,"3")</f>
        <v>0</v>
      </c>
      <c r="I733" s="507">
        <f>SUMIFS(Controle!$R:$R,Controle!$H:$H,produtos_escape2!$A733,Controle!$Z:$Z,"4")</f>
        <v>0</v>
      </c>
      <c r="J733" s="507">
        <f>SUMIFS(Controle!$R:$R,Controle!$H:$H,produtos_escape2!$A733,Controle!$Z:$Z,"5")</f>
        <v>0</v>
      </c>
      <c r="K733" s="507">
        <f>SUMIFS(Controle!$R:$R,Controle!$H:$H,produtos_escape2!$A733,Controle!$Z:$Z,"6")</f>
        <v>0</v>
      </c>
      <c r="L733" s="507">
        <f t="shared" si="25"/>
        <v>0</v>
      </c>
      <c r="M733" s="381" t="s">
        <v>2611</v>
      </c>
      <c r="AF733" s="84"/>
    </row>
    <row r="734" spans="1:32" s="185" customFormat="1" ht="14.25" customHeight="1" thickBot="1">
      <c r="A734" s="353">
        <v>19806</v>
      </c>
      <c r="B734" s="194" t="s">
        <v>1061</v>
      </c>
      <c r="C734" s="339">
        <f t="shared" si="26"/>
        <v>50000</v>
      </c>
      <c r="D734" s="196" t="s">
        <v>624</v>
      </c>
      <c r="E734" s="187" t="s">
        <v>7207</v>
      </c>
      <c r="F734" s="507">
        <f>SUMIFS(Controle!$R:$R,Controle!$H:$H,produtos_escape2!$A734,Controle!$Z:$Z,"1")</f>
        <v>0</v>
      </c>
      <c r="G734" s="507">
        <f>SUMIFS(Controle!$R:$R,Controle!$H:$H,produtos_escape2!$A734,Controle!$Z:$Z,"2")</f>
        <v>0</v>
      </c>
      <c r="H734" s="507">
        <f>SUMIFS(Controle!$R:$R,Controle!$H:$H,produtos_escape2!$A734,Controle!$Z:$Z,"3")</f>
        <v>0</v>
      </c>
      <c r="I734" s="507">
        <f>SUMIFS(Controle!$R:$R,Controle!$H:$H,produtos_escape2!$A734,Controle!$Z:$Z,"4")</f>
        <v>0</v>
      </c>
      <c r="J734" s="507">
        <f>SUMIFS(Controle!$R:$R,Controle!$H:$H,produtos_escape2!$A734,Controle!$Z:$Z,"5")</f>
        <v>0</v>
      </c>
      <c r="K734" s="507">
        <f>SUMIFS(Controle!$R:$R,Controle!$H:$H,produtos_escape2!$A734,Controle!$Z:$Z,"6")</f>
        <v>0</v>
      </c>
      <c r="L734" s="507">
        <f t="shared" si="25"/>
        <v>0</v>
      </c>
      <c r="M734" s="381" t="s">
        <v>4697</v>
      </c>
      <c r="AF734" s="84"/>
    </row>
    <row r="735" spans="1:32" s="185" customFormat="1" ht="14.25" customHeight="1" thickBot="1">
      <c r="A735" s="333">
        <v>19807</v>
      </c>
      <c r="B735" s="194" t="s">
        <v>322</v>
      </c>
      <c r="C735" s="339">
        <f t="shared" si="26"/>
        <v>50000</v>
      </c>
      <c r="D735" s="196"/>
      <c r="E735" s="187"/>
      <c r="F735" s="507">
        <f>SUMIFS(Controle!$R:$R,Controle!$H:$H,produtos_escape2!$A735,Controle!$Z:$Z,"1")</f>
        <v>0</v>
      </c>
      <c r="G735" s="507">
        <f>SUMIFS(Controle!$R:$R,Controle!$H:$H,produtos_escape2!$A735,Controle!$Z:$Z,"2")</f>
        <v>0</v>
      </c>
      <c r="H735" s="507">
        <f>SUMIFS(Controle!$R:$R,Controle!$H:$H,produtos_escape2!$A735,Controle!$Z:$Z,"3")</f>
        <v>0</v>
      </c>
      <c r="I735" s="507">
        <f>SUMIFS(Controle!$R:$R,Controle!$H:$H,produtos_escape2!$A735,Controle!$Z:$Z,"4")</f>
        <v>0</v>
      </c>
      <c r="J735" s="507">
        <f>SUMIFS(Controle!$R:$R,Controle!$H:$H,produtos_escape2!$A735,Controle!$Z:$Z,"5")</f>
        <v>0</v>
      </c>
      <c r="K735" s="507">
        <f>SUMIFS(Controle!$R:$R,Controle!$H:$H,produtos_escape2!$A735,Controle!$Z:$Z,"6")</f>
        <v>0</v>
      </c>
      <c r="L735" s="507">
        <f t="shared" si="25"/>
        <v>0</v>
      </c>
      <c r="M735" s="381" t="s">
        <v>322</v>
      </c>
      <c r="AF735" s="84"/>
    </row>
    <row r="736" spans="1:32" s="185" customFormat="1" ht="14.25" customHeight="1" thickBot="1">
      <c r="A736" s="353">
        <v>19840</v>
      </c>
      <c r="B736" s="194" t="s">
        <v>4005</v>
      </c>
      <c r="C736" s="339">
        <f t="shared" si="26"/>
        <v>48981.29</v>
      </c>
      <c r="D736" s="196" t="s">
        <v>624</v>
      </c>
      <c r="E736" s="187" t="s">
        <v>3608</v>
      </c>
      <c r="F736" s="507">
        <f>SUMIFS(Controle!$R:$R,Controle!$H:$H,produtos_escape2!$A736,Controle!$Z:$Z,"1")</f>
        <v>0</v>
      </c>
      <c r="G736" s="507">
        <f>SUMIFS(Controle!$R:$R,Controle!$H:$H,produtos_escape2!$A736,Controle!$Z:$Z,"2")</f>
        <v>1018.7099999999999</v>
      </c>
      <c r="H736" s="507">
        <f>SUMIFS(Controle!$R:$R,Controle!$H:$H,produtos_escape2!$A736,Controle!$Z:$Z,"3")</f>
        <v>0</v>
      </c>
      <c r="I736" s="507">
        <f>SUMIFS(Controle!$R:$R,Controle!$H:$H,produtos_escape2!$A736,Controle!$Z:$Z,"4")</f>
        <v>0</v>
      </c>
      <c r="J736" s="507">
        <f>SUMIFS(Controle!$R:$R,Controle!$H:$H,produtos_escape2!$A736,Controle!$Z:$Z,"5")</f>
        <v>0</v>
      </c>
      <c r="K736" s="507">
        <f>SUMIFS(Controle!$R:$R,Controle!$H:$H,produtos_escape2!$A736,Controle!$Z:$Z,"6")</f>
        <v>0</v>
      </c>
      <c r="L736" s="507">
        <f t="shared" si="25"/>
        <v>1018.7099999999999</v>
      </c>
      <c r="M736" s="381" t="s">
        <v>4911</v>
      </c>
      <c r="AF736" s="84"/>
    </row>
    <row r="737" spans="1:32" s="185" customFormat="1" ht="14.25" customHeight="1" thickBot="1">
      <c r="A737" s="353">
        <v>19841</v>
      </c>
      <c r="B737" s="194" t="s">
        <v>4006</v>
      </c>
      <c r="C737" s="339">
        <f t="shared" si="26"/>
        <v>48981.29</v>
      </c>
      <c r="D737" s="196" t="s">
        <v>624</v>
      </c>
      <c r="E737" s="187" t="s">
        <v>3608</v>
      </c>
      <c r="F737" s="507">
        <f>SUMIFS(Controle!$R:$R,Controle!$H:$H,produtos_escape2!$A737,Controle!$Z:$Z,"1")</f>
        <v>0</v>
      </c>
      <c r="G737" s="507">
        <f>SUMIFS(Controle!$R:$R,Controle!$H:$H,produtos_escape2!$A737,Controle!$Z:$Z,"2")</f>
        <v>1018.7099999999999</v>
      </c>
      <c r="H737" s="507">
        <f>SUMIFS(Controle!$R:$R,Controle!$H:$H,produtos_escape2!$A737,Controle!$Z:$Z,"3")</f>
        <v>0</v>
      </c>
      <c r="I737" s="507">
        <f>SUMIFS(Controle!$R:$R,Controle!$H:$H,produtos_escape2!$A737,Controle!$Z:$Z,"4")</f>
        <v>0</v>
      </c>
      <c r="J737" s="507">
        <f>SUMIFS(Controle!$R:$R,Controle!$H:$H,produtos_escape2!$A737,Controle!$Z:$Z,"5")</f>
        <v>0</v>
      </c>
      <c r="K737" s="507">
        <f>SUMIFS(Controle!$R:$R,Controle!$H:$H,produtos_escape2!$A737,Controle!$Z:$Z,"6")</f>
        <v>0</v>
      </c>
      <c r="L737" s="507">
        <f t="shared" si="25"/>
        <v>1018.7099999999999</v>
      </c>
      <c r="M737" s="381" t="s">
        <v>4912</v>
      </c>
      <c r="AF737" s="84"/>
    </row>
    <row r="738" spans="1:32" s="185" customFormat="1" ht="14.25" customHeight="1" thickBot="1">
      <c r="A738" s="353">
        <v>19847</v>
      </c>
      <c r="B738" s="338" t="s">
        <v>1248</v>
      </c>
      <c r="C738" s="339">
        <f t="shared" si="26"/>
        <v>50000</v>
      </c>
      <c r="D738" s="196" t="s">
        <v>725</v>
      </c>
      <c r="E738" s="187" t="s">
        <v>3608</v>
      </c>
      <c r="F738" s="507">
        <f>SUMIFS(Controle!$R:$R,Controle!$H:$H,produtos_escape2!$A738,Controle!$Z:$Z,"1")</f>
        <v>0</v>
      </c>
      <c r="G738" s="507">
        <f>SUMIFS(Controle!$R:$R,Controle!$H:$H,produtos_escape2!$A738,Controle!$Z:$Z,"2")</f>
        <v>0</v>
      </c>
      <c r="H738" s="507">
        <f>SUMIFS(Controle!$R:$R,Controle!$H:$H,produtos_escape2!$A738,Controle!$Z:$Z,"3")</f>
        <v>0</v>
      </c>
      <c r="I738" s="507">
        <f>SUMIFS(Controle!$R:$R,Controle!$H:$H,produtos_escape2!$A738,Controle!$Z:$Z,"4")</f>
        <v>0</v>
      </c>
      <c r="J738" s="507">
        <f>SUMIFS(Controle!$R:$R,Controle!$H:$H,produtos_escape2!$A738,Controle!$Z:$Z,"5")</f>
        <v>0</v>
      </c>
      <c r="K738" s="507">
        <f>SUMIFS(Controle!$R:$R,Controle!$H:$H,produtos_escape2!$A738,Controle!$Z:$Z,"6")</f>
        <v>0</v>
      </c>
      <c r="L738" s="507">
        <f t="shared" si="25"/>
        <v>0</v>
      </c>
      <c r="M738" s="381" t="s">
        <v>1248</v>
      </c>
      <c r="AF738" s="84"/>
    </row>
    <row r="739" spans="1:32" s="185" customFormat="1" ht="14.25" customHeight="1" thickBot="1">
      <c r="A739" s="353">
        <v>19848</v>
      </c>
      <c r="B739" s="194" t="s">
        <v>499</v>
      </c>
      <c r="C739" s="339">
        <f t="shared" si="26"/>
        <v>50000</v>
      </c>
      <c r="D739" s="196"/>
      <c r="E739" s="187"/>
      <c r="F739" s="507">
        <f>SUMIFS(Controle!$R:$R,Controle!$H:$H,produtos_escape2!$A739,Controle!$Z:$Z,"1")</f>
        <v>0</v>
      </c>
      <c r="G739" s="507">
        <f>SUMIFS(Controle!$R:$R,Controle!$H:$H,produtos_escape2!$A739,Controle!$Z:$Z,"2")</f>
        <v>0</v>
      </c>
      <c r="H739" s="507">
        <f>SUMIFS(Controle!$R:$R,Controle!$H:$H,produtos_escape2!$A739,Controle!$Z:$Z,"3")</f>
        <v>0</v>
      </c>
      <c r="I739" s="507">
        <f>SUMIFS(Controle!$R:$R,Controle!$H:$H,produtos_escape2!$A739,Controle!$Z:$Z,"4")</f>
        <v>0</v>
      </c>
      <c r="J739" s="507">
        <f>SUMIFS(Controle!$R:$R,Controle!$H:$H,produtos_escape2!$A739,Controle!$Z:$Z,"5")</f>
        <v>0</v>
      </c>
      <c r="K739" s="507">
        <f>SUMIFS(Controle!$R:$R,Controle!$H:$H,produtos_escape2!$A739,Controle!$Z:$Z,"6")</f>
        <v>0</v>
      </c>
      <c r="L739" s="507">
        <f t="shared" si="25"/>
        <v>0</v>
      </c>
      <c r="M739" s="381" t="s">
        <v>4913</v>
      </c>
      <c r="AF739" s="84"/>
    </row>
    <row r="740" spans="1:32" s="185" customFormat="1" ht="14.25" customHeight="1" thickBot="1">
      <c r="A740" s="353">
        <v>19849</v>
      </c>
      <c r="B740" s="194" t="s">
        <v>139</v>
      </c>
      <c r="C740" s="339">
        <f t="shared" si="26"/>
        <v>50000</v>
      </c>
      <c r="D740" s="196" t="s">
        <v>624</v>
      </c>
      <c r="E740" s="187" t="s">
        <v>1739</v>
      </c>
      <c r="F740" s="507">
        <f>SUMIFS(Controle!$R:$R,Controle!$H:$H,produtos_escape2!$A740,Controle!$Z:$Z,"1")</f>
        <v>0</v>
      </c>
      <c r="G740" s="507">
        <f>SUMIFS(Controle!$R:$R,Controle!$H:$H,produtos_escape2!$A740,Controle!$Z:$Z,"2")</f>
        <v>0</v>
      </c>
      <c r="H740" s="507">
        <f>SUMIFS(Controle!$R:$R,Controle!$H:$H,produtos_escape2!$A740,Controle!$Z:$Z,"3")</f>
        <v>0</v>
      </c>
      <c r="I740" s="507">
        <f>SUMIFS(Controle!$R:$R,Controle!$H:$H,produtos_escape2!$A740,Controle!$Z:$Z,"4")</f>
        <v>0</v>
      </c>
      <c r="J740" s="507">
        <f>SUMIFS(Controle!$R:$R,Controle!$H:$H,produtos_escape2!$A740,Controle!$Z:$Z,"5")</f>
        <v>0</v>
      </c>
      <c r="K740" s="507">
        <f>SUMIFS(Controle!$R:$R,Controle!$H:$H,produtos_escape2!$A740,Controle!$Z:$Z,"6")</f>
        <v>0</v>
      </c>
      <c r="L740" s="507">
        <f t="shared" si="25"/>
        <v>0</v>
      </c>
      <c r="M740" s="381" t="s">
        <v>139</v>
      </c>
      <c r="AF740" s="84"/>
    </row>
    <row r="741" spans="1:32" s="185" customFormat="1" ht="14.25" customHeight="1" thickBot="1">
      <c r="A741" s="353">
        <v>19850</v>
      </c>
      <c r="B741" s="194" t="s">
        <v>77</v>
      </c>
      <c r="C741" s="339">
        <f t="shared" si="26"/>
        <v>50000</v>
      </c>
      <c r="D741" s="196" t="s">
        <v>624</v>
      </c>
      <c r="E741" s="187" t="s">
        <v>1739</v>
      </c>
      <c r="F741" s="507">
        <f>SUMIFS(Controle!$R:$R,Controle!$H:$H,produtos_escape2!$A741,Controle!$Z:$Z,"1")</f>
        <v>0</v>
      </c>
      <c r="G741" s="507">
        <f>SUMIFS(Controle!$R:$R,Controle!$H:$H,produtos_escape2!$A741,Controle!$Z:$Z,"2")</f>
        <v>0</v>
      </c>
      <c r="H741" s="507">
        <f>SUMIFS(Controle!$R:$R,Controle!$H:$H,produtos_escape2!$A741,Controle!$Z:$Z,"3")</f>
        <v>0</v>
      </c>
      <c r="I741" s="507">
        <f>SUMIFS(Controle!$R:$R,Controle!$H:$H,produtos_escape2!$A741,Controle!$Z:$Z,"4")</f>
        <v>0</v>
      </c>
      <c r="J741" s="507">
        <f>SUMIFS(Controle!$R:$R,Controle!$H:$H,produtos_escape2!$A741,Controle!$Z:$Z,"5")</f>
        <v>0</v>
      </c>
      <c r="K741" s="507">
        <f>SUMIFS(Controle!$R:$R,Controle!$H:$H,produtos_escape2!$A741,Controle!$Z:$Z,"6")</f>
        <v>0</v>
      </c>
      <c r="L741" s="507">
        <f t="shared" si="25"/>
        <v>0</v>
      </c>
      <c r="M741" s="381" t="s">
        <v>4874</v>
      </c>
      <c r="AF741" s="84"/>
    </row>
    <row r="742" spans="1:32" s="185" customFormat="1" ht="14.25" customHeight="1" thickBot="1">
      <c r="A742" s="353">
        <v>19851</v>
      </c>
      <c r="B742" s="194" t="s">
        <v>138</v>
      </c>
      <c r="C742" s="339">
        <f t="shared" si="26"/>
        <v>50000</v>
      </c>
      <c r="D742" s="196" t="s">
        <v>624</v>
      </c>
      <c r="E742" s="187" t="s">
        <v>1739</v>
      </c>
      <c r="F742" s="507">
        <f>SUMIFS(Controle!$R:$R,Controle!$H:$H,produtos_escape2!$A742,Controle!$Z:$Z,"1")</f>
        <v>0</v>
      </c>
      <c r="G742" s="507">
        <f>SUMIFS(Controle!$R:$R,Controle!$H:$H,produtos_escape2!$A742,Controle!$Z:$Z,"2")</f>
        <v>0</v>
      </c>
      <c r="H742" s="507">
        <f>SUMIFS(Controle!$R:$R,Controle!$H:$H,produtos_escape2!$A742,Controle!$Z:$Z,"3")</f>
        <v>0</v>
      </c>
      <c r="I742" s="507">
        <f>SUMIFS(Controle!$R:$R,Controle!$H:$H,produtos_escape2!$A742,Controle!$Z:$Z,"4")</f>
        <v>0</v>
      </c>
      <c r="J742" s="507">
        <f>SUMIFS(Controle!$R:$R,Controle!$H:$H,produtos_escape2!$A742,Controle!$Z:$Z,"5")</f>
        <v>0</v>
      </c>
      <c r="K742" s="507">
        <f>SUMIFS(Controle!$R:$R,Controle!$H:$H,produtos_escape2!$A742,Controle!$Z:$Z,"6")</f>
        <v>0</v>
      </c>
      <c r="L742" s="507">
        <f t="shared" si="25"/>
        <v>0</v>
      </c>
      <c r="M742" s="381" t="s">
        <v>138</v>
      </c>
      <c r="AF742" s="84"/>
    </row>
    <row r="743" spans="1:32" s="185" customFormat="1" ht="14.25" customHeight="1" thickBot="1">
      <c r="A743" s="333">
        <v>19871</v>
      </c>
      <c r="B743" s="194" t="s">
        <v>3993</v>
      </c>
      <c r="C743" s="339">
        <f t="shared" si="26"/>
        <v>50000</v>
      </c>
      <c r="D743" s="196" t="s">
        <v>837</v>
      </c>
      <c r="E743" s="187" t="s">
        <v>7207</v>
      </c>
      <c r="F743" s="507">
        <f>SUMIFS(Controle!$R:$R,Controle!$H:$H,produtos_escape2!$A743,Controle!$Z:$Z,"1")</f>
        <v>0</v>
      </c>
      <c r="G743" s="507">
        <f>SUMIFS(Controle!$R:$R,Controle!$H:$H,produtos_escape2!$A743,Controle!$Z:$Z,"2")</f>
        <v>0</v>
      </c>
      <c r="H743" s="507">
        <f>SUMIFS(Controle!$R:$R,Controle!$H:$H,produtos_escape2!$A743,Controle!$Z:$Z,"3")</f>
        <v>0</v>
      </c>
      <c r="I743" s="507">
        <f>SUMIFS(Controle!$R:$R,Controle!$H:$H,produtos_escape2!$A743,Controle!$Z:$Z,"4")</f>
        <v>0</v>
      </c>
      <c r="J743" s="507">
        <f>SUMIFS(Controle!$R:$R,Controle!$H:$H,produtos_escape2!$A743,Controle!$Z:$Z,"5")</f>
        <v>0</v>
      </c>
      <c r="K743" s="507">
        <f>SUMIFS(Controle!$R:$R,Controle!$H:$H,produtos_escape2!$A743,Controle!$Z:$Z,"6")</f>
        <v>0</v>
      </c>
      <c r="L743" s="507">
        <f t="shared" si="25"/>
        <v>0</v>
      </c>
      <c r="M743" s="381" t="s">
        <v>4914</v>
      </c>
      <c r="AF743" s="84"/>
    </row>
    <row r="744" spans="1:32" s="185" customFormat="1" ht="14.25" customHeight="1" thickBot="1">
      <c r="A744" s="353">
        <v>19872</v>
      </c>
      <c r="B744" s="194" t="s">
        <v>4241</v>
      </c>
      <c r="C744" s="339">
        <f t="shared" si="26"/>
        <v>50000</v>
      </c>
      <c r="D744" s="196" t="s">
        <v>837</v>
      </c>
      <c r="E744" s="189" t="s">
        <v>7207</v>
      </c>
      <c r="F744" s="507">
        <f>SUMIFS(Controle!$R:$R,Controle!$H:$H,produtos_escape2!$A744,Controle!$Z:$Z,"1")</f>
        <v>0</v>
      </c>
      <c r="G744" s="507">
        <f>SUMIFS(Controle!$R:$R,Controle!$H:$H,produtos_escape2!$A744,Controle!$Z:$Z,"2")</f>
        <v>0</v>
      </c>
      <c r="H744" s="507">
        <f>SUMIFS(Controle!$R:$R,Controle!$H:$H,produtos_escape2!$A744,Controle!$Z:$Z,"3")</f>
        <v>0</v>
      </c>
      <c r="I744" s="507">
        <f>SUMIFS(Controle!$R:$R,Controle!$H:$H,produtos_escape2!$A744,Controle!$Z:$Z,"4")</f>
        <v>0</v>
      </c>
      <c r="J744" s="507">
        <f>SUMIFS(Controle!$R:$R,Controle!$H:$H,produtos_escape2!$A744,Controle!$Z:$Z,"5")</f>
        <v>0</v>
      </c>
      <c r="K744" s="507">
        <f>SUMIFS(Controle!$R:$R,Controle!$H:$H,produtos_escape2!$A744,Controle!$Z:$Z,"6")</f>
        <v>0</v>
      </c>
      <c r="L744" s="507">
        <f t="shared" si="25"/>
        <v>0</v>
      </c>
      <c r="M744" s="381" t="s">
        <v>4915</v>
      </c>
      <c r="AF744" s="84"/>
    </row>
    <row r="745" spans="1:32" s="185" customFormat="1" ht="14.25" customHeight="1" thickBot="1">
      <c r="A745" s="353">
        <v>19875</v>
      </c>
      <c r="B745" s="194" t="s">
        <v>3476</v>
      </c>
      <c r="C745" s="339">
        <f t="shared" si="26"/>
        <v>50000</v>
      </c>
      <c r="D745" s="196" t="s">
        <v>837</v>
      </c>
      <c r="E745" s="187" t="s">
        <v>7207</v>
      </c>
      <c r="F745" s="507">
        <f>SUMIFS(Controle!$R:$R,Controle!$H:$H,produtos_escape2!$A745,Controle!$Z:$Z,"1")</f>
        <v>0</v>
      </c>
      <c r="G745" s="507">
        <f>SUMIFS(Controle!$R:$R,Controle!$H:$H,produtos_escape2!$A745,Controle!$Z:$Z,"2")</f>
        <v>0</v>
      </c>
      <c r="H745" s="507">
        <f>SUMIFS(Controle!$R:$R,Controle!$H:$H,produtos_escape2!$A745,Controle!$Z:$Z,"3")</f>
        <v>0</v>
      </c>
      <c r="I745" s="507">
        <f>SUMIFS(Controle!$R:$R,Controle!$H:$H,produtos_escape2!$A745,Controle!$Z:$Z,"4")</f>
        <v>0</v>
      </c>
      <c r="J745" s="507">
        <f>SUMIFS(Controle!$R:$R,Controle!$H:$H,produtos_escape2!$A745,Controle!$Z:$Z,"5")</f>
        <v>0</v>
      </c>
      <c r="K745" s="507">
        <f>SUMIFS(Controle!$R:$R,Controle!$H:$H,produtos_escape2!$A745,Controle!$Z:$Z,"6")</f>
        <v>0</v>
      </c>
      <c r="L745" s="507">
        <f t="shared" si="25"/>
        <v>0</v>
      </c>
      <c r="M745" s="381" t="s">
        <v>4916</v>
      </c>
      <c r="AF745" s="84"/>
    </row>
    <row r="746" spans="1:32" s="185" customFormat="1" ht="14.25" customHeight="1" thickBot="1">
      <c r="A746" s="353">
        <v>19905</v>
      </c>
      <c r="B746" s="338" t="s">
        <v>477</v>
      </c>
      <c r="C746" s="339">
        <f t="shared" si="26"/>
        <v>50000</v>
      </c>
      <c r="D746" s="196"/>
      <c r="E746" s="187"/>
      <c r="F746" s="507">
        <f>SUMIFS(Controle!$R:$R,Controle!$H:$H,produtos_escape2!$A746,Controle!$Z:$Z,"1")</f>
        <v>0</v>
      </c>
      <c r="G746" s="507">
        <f>SUMIFS(Controle!$R:$R,Controle!$H:$H,produtos_escape2!$A746,Controle!$Z:$Z,"2")</f>
        <v>0</v>
      </c>
      <c r="H746" s="507">
        <f>SUMIFS(Controle!$R:$R,Controle!$H:$H,produtos_escape2!$A746,Controle!$Z:$Z,"3")</f>
        <v>0</v>
      </c>
      <c r="I746" s="507">
        <f>SUMIFS(Controle!$R:$R,Controle!$H:$H,produtos_escape2!$A746,Controle!$Z:$Z,"4")</f>
        <v>0</v>
      </c>
      <c r="J746" s="507">
        <f>SUMIFS(Controle!$R:$R,Controle!$H:$H,produtos_escape2!$A746,Controle!$Z:$Z,"5")</f>
        <v>0</v>
      </c>
      <c r="K746" s="507">
        <f>SUMIFS(Controle!$R:$R,Controle!$H:$H,produtos_escape2!$A746,Controle!$Z:$Z,"6")</f>
        <v>0</v>
      </c>
      <c r="L746" s="507">
        <f t="shared" si="25"/>
        <v>0</v>
      </c>
      <c r="M746" s="381" t="s">
        <v>4917</v>
      </c>
      <c r="AF746" s="84"/>
    </row>
    <row r="747" spans="1:32" s="185" customFormat="1" ht="14.25" customHeight="1" thickBot="1">
      <c r="A747" s="353">
        <v>19942</v>
      </c>
      <c r="B747" s="194" t="s">
        <v>4450</v>
      </c>
      <c r="C747" s="339">
        <f t="shared" si="26"/>
        <v>50000</v>
      </c>
      <c r="D747" s="196" t="s">
        <v>624</v>
      </c>
      <c r="E747" s="187" t="s">
        <v>3608</v>
      </c>
      <c r="F747" s="507">
        <f>SUMIFS(Controle!$R:$R,Controle!$H:$H,produtos_escape2!$A747,Controle!$Z:$Z,"1")</f>
        <v>0</v>
      </c>
      <c r="G747" s="507">
        <f>SUMIFS(Controle!$R:$R,Controle!$H:$H,produtos_escape2!$A747,Controle!$Z:$Z,"2")</f>
        <v>0</v>
      </c>
      <c r="H747" s="507">
        <f>SUMIFS(Controle!$R:$R,Controle!$H:$H,produtos_escape2!$A747,Controle!$Z:$Z,"3")</f>
        <v>0</v>
      </c>
      <c r="I747" s="507">
        <f>SUMIFS(Controle!$R:$R,Controle!$H:$H,produtos_escape2!$A747,Controle!$Z:$Z,"4")</f>
        <v>0</v>
      </c>
      <c r="J747" s="507">
        <f>SUMIFS(Controle!$R:$R,Controle!$H:$H,produtos_escape2!$A747,Controle!$Z:$Z,"5")</f>
        <v>0</v>
      </c>
      <c r="K747" s="507">
        <f>SUMIFS(Controle!$R:$R,Controle!$H:$H,produtos_escape2!$A747,Controle!$Z:$Z,"6")</f>
        <v>0</v>
      </c>
      <c r="L747" s="507">
        <f t="shared" si="25"/>
        <v>0</v>
      </c>
      <c r="M747" s="381" t="s">
        <v>5724</v>
      </c>
      <c r="AF747" s="84"/>
    </row>
    <row r="748" spans="1:32" s="185" customFormat="1" ht="14.25" customHeight="1" thickBot="1">
      <c r="A748" s="353">
        <v>19943</v>
      </c>
      <c r="B748" s="194" t="s">
        <v>4451</v>
      </c>
      <c r="C748" s="339">
        <f t="shared" si="26"/>
        <v>16288</v>
      </c>
      <c r="D748" s="196" t="s">
        <v>624</v>
      </c>
      <c r="E748" s="187" t="s">
        <v>3608</v>
      </c>
      <c r="F748" s="507">
        <f>SUMIFS(Controle!$R:$R,Controle!$H:$H,produtos_escape2!$A748,Controle!$Z:$Z,"1")</f>
        <v>0</v>
      </c>
      <c r="G748" s="507">
        <f>SUMIFS(Controle!$R:$R,Controle!$H:$H,produtos_escape2!$A748,Controle!$Z:$Z,"2")</f>
        <v>0</v>
      </c>
      <c r="H748" s="507">
        <f>SUMIFS(Controle!$R:$R,Controle!$H:$H,produtos_escape2!$A748,Controle!$Z:$Z,"3")</f>
        <v>0</v>
      </c>
      <c r="I748" s="507">
        <f>SUMIFS(Controle!$R:$R,Controle!$H:$H,produtos_escape2!$A748,Controle!$Z:$Z,"4")</f>
        <v>0</v>
      </c>
      <c r="J748" s="507">
        <f>SUMIFS(Controle!$R:$R,Controle!$H:$H,produtos_escape2!$A748,Controle!$Z:$Z,"5")</f>
        <v>0</v>
      </c>
      <c r="K748" s="507">
        <f>SUMIFS(Controle!$R:$R,Controle!$H:$H,produtos_escape2!$A748,Controle!$Z:$Z,"6")</f>
        <v>33712</v>
      </c>
      <c r="L748" s="507">
        <f t="shared" si="25"/>
        <v>33712</v>
      </c>
      <c r="M748" s="381" t="s">
        <v>5725</v>
      </c>
      <c r="AF748" s="84"/>
    </row>
    <row r="749" spans="1:32" s="185" customFormat="1" ht="14.25" customHeight="1" thickBot="1">
      <c r="A749" s="353">
        <v>19944</v>
      </c>
      <c r="B749" s="194" t="s">
        <v>4452</v>
      </c>
      <c r="C749" s="339">
        <f t="shared" si="26"/>
        <v>50</v>
      </c>
      <c r="D749" s="196" t="s">
        <v>624</v>
      </c>
      <c r="E749" s="187" t="s">
        <v>3608</v>
      </c>
      <c r="F749" s="507">
        <f>SUMIFS(Controle!$R:$R,Controle!$H:$H,produtos_escape2!$A749,Controle!$Z:$Z,"1")</f>
        <v>0</v>
      </c>
      <c r="G749" s="507">
        <f>SUMIFS(Controle!$R:$R,Controle!$H:$H,produtos_escape2!$A749,Controle!$Z:$Z,"2")</f>
        <v>0</v>
      </c>
      <c r="H749" s="507">
        <f>SUMIFS(Controle!$R:$R,Controle!$H:$H,produtos_escape2!$A749,Controle!$Z:$Z,"3")</f>
        <v>0</v>
      </c>
      <c r="I749" s="507">
        <f>SUMIFS(Controle!$R:$R,Controle!$H:$H,produtos_escape2!$A749,Controle!$Z:$Z,"4")</f>
        <v>0</v>
      </c>
      <c r="J749" s="507">
        <f>SUMIFS(Controle!$R:$R,Controle!$H:$H,produtos_escape2!$A749,Controle!$Z:$Z,"5")</f>
        <v>0</v>
      </c>
      <c r="K749" s="507">
        <f>SUMIFS(Controle!$R:$R,Controle!$H:$H,produtos_escape2!$A749,Controle!$Z:$Z,"6")</f>
        <v>49950</v>
      </c>
      <c r="L749" s="507">
        <f t="shared" si="25"/>
        <v>49950</v>
      </c>
      <c r="M749" s="381" t="s">
        <v>5726</v>
      </c>
      <c r="AF749" s="84"/>
    </row>
    <row r="750" spans="1:32" s="185" customFormat="1" ht="14.25" customHeight="1" thickBot="1">
      <c r="A750" s="353">
        <v>20012</v>
      </c>
      <c r="B750" s="194" t="s">
        <v>2612</v>
      </c>
      <c r="C750" s="339">
        <f t="shared" si="26"/>
        <v>50000</v>
      </c>
      <c r="D750" s="196" t="s">
        <v>624</v>
      </c>
      <c r="E750" s="187"/>
      <c r="F750" s="507">
        <f>SUMIFS(Controle!$R:$R,Controle!$H:$H,produtos_escape2!$A750,Controle!$Z:$Z,"1")</f>
        <v>0</v>
      </c>
      <c r="G750" s="507">
        <f>SUMIFS(Controle!$R:$R,Controle!$H:$H,produtos_escape2!$A750,Controle!$Z:$Z,"2")</f>
        <v>0</v>
      </c>
      <c r="H750" s="507">
        <f>SUMIFS(Controle!$R:$R,Controle!$H:$H,produtos_escape2!$A750,Controle!$Z:$Z,"3")</f>
        <v>0</v>
      </c>
      <c r="I750" s="507">
        <f>SUMIFS(Controle!$R:$R,Controle!$H:$H,produtos_escape2!$A750,Controle!$Z:$Z,"4")</f>
        <v>0</v>
      </c>
      <c r="J750" s="507">
        <f>SUMIFS(Controle!$R:$R,Controle!$H:$H,produtos_escape2!$A750,Controle!$Z:$Z,"5")</f>
        <v>0</v>
      </c>
      <c r="K750" s="507">
        <f>SUMIFS(Controle!$R:$R,Controle!$H:$H,produtos_escape2!$A750,Controle!$Z:$Z,"6")</f>
        <v>0</v>
      </c>
      <c r="L750" s="507">
        <f t="shared" si="25"/>
        <v>0</v>
      </c>
      <c r="M750" s="381" t="s">
        <v>4909</v>
      </c>
      <c r="AF750" s="84"/>
    </row>
    <row r="751" spans="1:32" s="185" customFormat="1" ht="14.25" customHeight="1" thickBot="1">
      <c r="A751" s="333">
        <v>20013</v>
      </c>
      <c r="B751" s="194" t="s">
        <v>2613</v>
      </c>
      <c r="C751" s="339">
        <f t="shared" si="26"/>
        <v>50000</v>
      </c>
      <c r="D751" s="196" t="s">
        <v>624</v>
      </c>
      <c r="E751" s="187" t="s">
        <v>7207</v>
      </c>
      <c r="F751" s="507">
        <f>SUMIFS(Controle!$R:$R,Controle!$H:$H,produtos_escape2!$A751,Controle!$Z:$Z,"1")</f>
        <v>0</v>
      </c>
      <c r="G751" s="507">
        <f>SUMIFS(Controle!$R:$R,Controle!$H:$H,produtos_escape2!$A751,Controle!$Z:$Z,"2")</f>
        <v>0</v>
      </c>
      <c r="H751" s="507">
        <f>SUMIFS(Controle!$R:$R,Controle!$H:$H,produtos_escape2!$A751,Controle!$Z:$Z,"3")</f>
        <v>0</v>
      </c>
      <c r="I751" s="507">
        <f>SUMIFS(Controle!$R:$R,Controle!$H:$H,produtos_escape2!$A751,Controle!$Z:$Z,"4")</f>
        <v>0</v>
      </c>
      <c r="J751" s="507">
        <f>SUMIFS(Controle!$R:$R,Controle!$H:$H,produtos_escape2!$A751,Controle!$Z:$Z,"5")</f>
        <v>0</v>
      </c>
      <c r="K751" s="507">
        <f>SUMIFS(Controle!$R:$R,Controle!$H:$H,produtos_escape2!$A751,Controle!$Z:$Z,"6")</f>
        <v>0</v>
      </c>
      <c r="L751" s="507">
        <f t="shared" si="25"/>
        <v>0</v>
      </c>
      <c r="M751" s="381" t="s">
        <v>4909</v>
      </c>
      <c r="AF751" s="84"/>
    </row>
    <row r="752" spans="1:32" s="185" customFormat="1" ht="14.25" customHeight="1" thickBot="1">
      <c r="A752" s="353">
        <v>20015</v>
      </c>
      <c r="B752" s="194" t="s">
        <v>251</v>
      </c>
      <c r="C752" s="339">
        <f t="shared" si="26"/>
        <v>50000</v>
      </c>
      <c r="D752" s="196"/>
      <c r="E752" s="187"/>
      <c r="F752" s="507">
        <f>SUMIFS(Controle!$R:$R,Controle!$H:$H,produtos_escape2!$A752,Controle!$Z:$Z,"1")</f>
        <v>0</v>
      </c>
      <c r="G752" s="507">
        <f>SUMIFS(Controle!$R:$R,Controle!$H:$H,produtos_escape2!$A752,Controle!$Z:$Z,"2")</f>
        <v>0</v>
      </c>
      <c r="H752" s="507">
        <f>SUMIFS(Controle!$R:$R,Controle!$H:$H,produtos_escape2!$A752,Controle!$Z:$Z,"3")</f>
        <v>0</v>
      </c>
      <c r="I752" s="507">
        <f>SUMIFS(Controle!$R:$R,Controle!$H:$H,produtos_escape2!$A752,Controle!$Z:$Z,"4")</f>
        <v>0</v>
      </c>
      <c r="J752" s="507">
        <f>SUMIFS(Controle!$R:$R,Controle!$H:$H,produtos_escape2!$A752,Controle!$Z:$Z,"5")</f>
        <v>0</v>
      </c>
      <c r="K752" s="507">
        <f>SUMIFS(Controle!$R:$R,Controle!$H:$H,produtos_escape2!$A752,Controle!$Z:$Z,"6")</f>
        <v>0</v>
      </c>
      <c r="L752" s="507">
        <f t="shared" si="25"/>
        <v>0</v>
      </c>
      <c r="M752" s="381" t="s">
        <v>251</v>
      </c>
      <c r="AF752" s="84"/>
    </row>
    <row r="753" spans="1:32" s="185" customFormat="1" ht="14.25" customHeight="1" thickBot="1">
      <c r="A753" s="353">
        <v>20060</v>
      </c>
      <c r="B753" s="194" t="s">
        <v>1459</v>
      </c>
      <c r="C753" s="339">
        <f t="shared" si="26"/>
        <v>50000</v>
      </c>
      <c r="D753" s="196" t="s">
        <v>725</v>
      </c>
      <c r="E753" s="187" t="s">
        <v>3608</v>
      </c>
      <c r="F753" s="507">
        <f>SUMIFS(Controle!$R:$R,Controle!$H:$H,produtos_escape2!$A753,Controle!$Z:$Z,"1")</f>
        <v>0</v>
      </c>
      <c r="G753" s="507">
        <f>SUMIFS(Controle!$R:$R,Controle!$H:$H,produtos_escape2!$A753,Controle!$Z:$Z,"2")</f>
        <v>0</v>
      </c>
      <c r="H753" s="507">
        <f>SUMIFS(Controle!$R:$R,Controle!$H:$H,produtos_escape2!$A753,Controle!$Z:$Z,"3")</f>
        <v>0</v>
      </c>
      <c r="I753" s="507">
        <f>SUMIFS(Controle!$R:$R,Controle!$H:$H,produtos_escape2!$A753,Controle!$Z:$Z,"4")</f>
        <v>0</v>
      </c>
      <c r="J753" s="507">
        <f>SUMIFS(Controle!$R:$R,Controle!$H:$H,produtos_escape2!$A753,Controle!$Z:$Z,"5")</f>
        <v>0</v>
      </c>
      <c r="K753" s="507">
        <f>SUMIFS(Controle!$R:$R,Controle!$H:$H,produtos_escape2!$A753,Controle!$Z:$Z,"6")</f>
        <v>0</v>
      </c>
      <c r="L753" s="507">
        <f t="shared" si="25"/>
        <v>0</v>
      </c>
      <c r="M753" s="381" t="s">
        <v>1459</v>
      </c>
      <c r="AF753" s="84"/>
    </row>
    <row r="754" spans="1:32" s="185" customFormat="1" ht="14.25" customHeight="1" thickBot="1">
      <c r="A754" s="353">
        <v>20064</v>
      </c>
      <c r="B754" s="338" t="s">
        <v>311</v>
      </c>
      <c r="C754" s="339">
        <f t="shared" si="26"/>
        <v>50000</v>
      </c>
      <c r="D754" s="196" t="s">
        <v>833</v>
      </c>
      <c r="E754" s="187" t="s">
        <v>1739</v>
      </c>
      <c r="F754" s="507">
        <f>SUMIFS(Controle!$R:$R,Controle!$H:$H,produtos_escape2!$A754,Controle!$Z:$Z,"1")</f>
        <v>0</v>
      </c>
      <c r="G754" s="507">
        <f>SUMIFS(Controle!$R:$R,Controle!$H:$H,produtos_escape2!$A754,Controle!$Z:$Z,"2")</f>
        <v>0</v>
      </c>
      <c r="H754" s="507">
        <f>SUMIFS(Controle!$R:$R,Controle!$H:$H,produtos_escape2!$A754,Controle!$Z:$Z,"3")</f>
        <v>0</v>
      </c>
      <c r="I754" s="507">
        <f>SUMIFS(Controle!$R:$R,Controle!$H:$H,produtos_escape2!$A754,Controle!$Z:$Z,"4")</f>
        <v>0</v>
      </c>
      <c r="J754" s="507">
        <f>SUMIFS(Controle!$R:$R,Controle!$H:$H,produtos_escape2!$A754,Controle!$Z:$Z,"5")</f>
        <v>0</v>
      </c>
      <c r="K754" s="507">
        <f>SUMIFS(Controle!$R:$R,Controle!$H:$H,produtos_escape2!$A754,Controle!$Z:$Z,"6")</f>
        <v>0</v>
      </c>
      <c r="L754" s="507">
        <f t="shared" si="25"/>
        <v>0</v>
      </c>
      <c r="M754" s="381" t="s">
        <v>4918</v>
      </c>
      <c r="AF754" s="84"/>
    </row>
    <row r="755" spans="1:32" s="185" customFormat="1" ht="14.25" customHeight="1" thickBot="1">
      <c r="A755" s="353">
        <v>20119</v>
      </c>
      <c r="B755" s="194" t="s">
        <v>72</v>
      </c>
      <c r="C755" s="339">
        <f t="shared" si="26"/>
        <v>50000</v>
      </c>
      <c r="D755" s="196"/>
      <c r="E755" s="187"/>
      <c r="F755" s="507">
        <f>SUMIFS(Controle!$R:$R,Controle!$H:$H,produtos_escape2!$A755,Controle!$Z:$Z,"1")</f>
        <v>0</v>
      </c>
      <c r="G755" s="507">
        <f>SUMIFS(Controle!$R:$R,Controle!$H:$H,produtos_escape2!$A755,Controle!$Z:$Z,"2")</f>
        <v>0</v>
      </c>
      <c r="H755" s="507">
        <f>SUMIFS(Controle!$R:$R,Controle!$H:$H,produtos_escape2!$A755,Controle!$Z:$Z,"3")</f>
        <v>0</v>
      </c>
      <c r="I755" s="507">
        <f>SUMIFS(Controle!$R:$R,Controle!$H:$H,produtos_escape2!$A755,Controle!$Z:$Z,"4")</f>
        <v>0</v>
      </c>
      <c r="J755" s="507">
        <f>SUMIFS(Controle!$R:$R,Controle!$H:$H,produtos_escape2!$A755,Controle!$Z:$Z,"5")</f>
        <v>0</v>
      </c>
      <c r="K755" s="507">
        <f>SUMIFS(Controle!$R:$R,Controle!$H:$H,produtos_escape2!$A755,Controle!$Z:$Z,"6")</f>
        <v>0</v>
      </c>
      <c r="L755" s="507">
        <f t="shared" si="25"/>
        <v>0</v>
      </c>
      <c r="M755" s="381" t="s">
        <v>72</v>
      </c>
      <c r="AF755" s="84"/>
    </row>
    <row r="756" spans="1:32" s="185" customFormat="1" ht="14.25" customHeight="1" thickBot="1">
      <c r="A756" s="353">
        <v>20120</v>
      </c>
      <c r="B756" s="194" t="s">
        <v>74</v>
      </c>
      <c r="C756" s="339">
        <f t="shared" si="26"/>
        <v>50000</v>
      </c>
      <c r="D756" s="196" t="s">
        <v>624</v>
      </c>
      <c r="E756" s="187" t="s">
        <v>1739</v>
      </c>
      <c r="F756" s="507">
        <f>SUMIFS(Controle!$R:$R,Controle!$H:$H,produtos_escape2!$A756,Controle!$Z:$Z,"1")</f>
        <v>0</v>
      </c>
      <c r="G756" s="507">
        <f>SUMIFS(Controle!$R:$R,Controle!$H:$H,produtos_escape2!$A756,Controle!$Z:$Z,"2")</f>
        <v>0</v>
      </c>
      <c r="H756" s="507">
        <f>SUMIFS(Controle!$R:$R,Controle!$H:$H,produtos_escape2!$A756,Controle!$Z:$Z,"3")</f>
        <v>0</v>
      </c>
      <c r="I756" s="507">
        <f>SUMIFS(Controle!$R:$R,Controle!$H:$H,produtos_escape2!$A756,Controle!$Z:$Z,"4")</f>
        <v>0</v>
      </c>
      <c r="J756" s="507">
        <f>SUMIFS(Controle!$R:$R,Controle!$H:$H,produtos_escape2!$A756,Controle!$Z:$Z,"5")</f>
        <v>0</v>
      </c>
      <c r="K756" s="507">
        <f>SUMIFS(Controle!$R:$R,Controle!$H:$H,produtos_escape2!$A756,Controle!$Z:$Z,"6")</f>
        <v>0</v>
      </c>
      <c r="L756" s="507">
        <f t="shared" si="25"/>
        <v>0</v>
      </c>
      <c r="M756" s="381" t="s">
        <v>4919</v>
      </c>
      <c r="AF756" s="84"/>
    </row>
    <row r="757" spans="1:32" s="185" customFormat="1" ht="14.25" customHeight="1" thickBot="1">
      <c r="A757" s="353">
        <v>20124</v>
      </c>
      <c r="B757" s="194" t="s">
        <v>587</v>
      </c>
      <c r="C757" s="339">
        <f t="shared" si="26"/>
        <v>50000</v>
      </c>
      <c r="D757" s="196" t="s">
        <v>624</v>
      </c>
      <c r="E757" s="187" t="s">
        <v>1739</v>
      </c>
      <c r="F757" s="507">
        <f>SUMIFS(Controle!$R:$R,Controle!$H:$H,produtos_escape2!$A757,Controle!$Z:$Z,"1")</f>
        <v>0</v>
      </c>
      <c r="G757" s="507">
        <f>SUMIFS(Controle!$R:$R,Controle!$H:$H,produtos_escape2!$A757,Controle!$Z:$Z,"2")</f>
        <v>0</v>
      </c>
      <c r="H757" s="507">
        <f>SUMIFS(Controle!$R:$R,Controle!$H:$H,produtos_escape2!$A757,Controle!$Z:$Z,"3")</f>
        <v>0</v>
      </c>
      <c r="I757" s="507">
        <f>SUMIFS(Controle!$R:$R,Controle!$H:$H,produtos_escape2!$A757,Controle!$Z:$Z,"4")</f>
        <v>0</v>
      </c>
      <c r="J757" s="507">
        <f>SUMIFS(Controle!$R:$R,Controle!$H:$H,produtos_escape2!$A757,Controle!$Z:$Z,"5")</f>
        <v>0</v>
      </c>
      <c r="K757" s="507">
        <f>SUMIFS(Controle!$R:$R,Controle!$H:$H,produtos_escape2!$A757,Controle!$Z:$Z,"6")</f>
        <v>0</v>
      </c>
      <c r="L757" s="507">
        <f t="shared" si="25"/>
        <v>0</v>
      </c>
      <c r="M757" s="381" t="s">
        <v>4920</v>
      </c>
      <c r="AF757" s="84"/>
    </row>
    <row r="758" spans="1:32" s="185" customFormat="1" ht="14.25" customHeight="1" thickBot="1">
      <c r="A758" s="353">
        <v>20127</v>
      </c>
      <c r="B758" s="194" t="s">
        <v>911</v>
      </c>
      <c r="C758" s="339">
        <f t="shared" si="26"/>
        <v>49610</v>
      </c>
      <c r="D758" s="196" t="s">
        <v>548</v>
      </c>
      <c r="E758" s="187" t="s">
        <v>3608</v>
      </c>
      <c r="F758" s="507">
        <f>SUMIFS(Controle!$R:$R,Controle!$H:$H,produtos_escape2!$A758,Controle!$Z:$Z,"1")</f>
        <v>0</v>
      </c>
      <c r="G758" s="507">
        <f>SUMIFS(Controle!$R:$R,Controle!$H:$H,produtos_escape2!$A758,Controle!$Z:$Z,"2")</f>
        <v>390</v>
      </c>
      <c r="H758" s="507">
        <f>SUMIFS(Controle!$R:$R,Controle!$H:$H,produtos_escape2!$A758,Controle!$Z:$Z,"3")</f>
        <v>0</v>
      </c>
      <c r="I758" s="507">
        <f>SUMIFS(Controle!$R:$R,Controle!$H:$H,produtos_escape2!$A758,Controle!$Z:$Z,"4")</f>
        <v>0</v>
      </c>
      <c r="J758" s="507">
        <f>SUMIFS(Controle!$R:$R,Controle!$H:$H,produtos_escape2!$A758,Controle!$Z:$Z,"5")</f>
        <v>0</v>
      </c>
      <c r="K758" s="507">
        <f>SUMIFS(Controle!$R:$R,Controle!$H:$H,produtos_escape2!$A758,Controle!$Z:$Z,"6")</f>
        <v>0</v>
      </c>
      <c r="L758" s="507">
        <f t="shared" si="25"/>
        <v>390</v>
      </c>
      <c r="M758" s="381" t="s">
        <v>4921</v>
      </c>
      <c r="AF758" s="84"/>
    </row>
    <row r="759" spans="1:32" s="185" customFormat="1" ht="14.25" customHeight="1" thickBot="1">
      <c r="A759" s="333">
        <v>20138</v>
      </c>
      <c r="B759" s="194" t="s">
        <v>327</v>
      </c>
      <c r="C759" s="339">
        <f t="shared" si="26"/>
        <v>50000</v>
      </c>
      <c r="D759" s="196"/>
      <c r="E759" s="187"/>
      <c r="F759" s="507">
        <f>SUMIFS(Controle!$R:$R,Controle!$H:$H,produtos_escape2!$A759,Controle!$Z:$Z,"1")</f>
        <v>0</v>
      </c>
      <c r="G759" s="507">
        <f>SUMIFS(Controle!$R:$R,Controle!$H:$H,produtos_escape2!$A759,Controle!$Z:$Z,"2")</f>
        <v>0</v>
      </c>
      <c r="H759" s="507">
        <f>SUMIFS(Controle!$R:$R,Controle!$H:$H,produtos_escape2!$A759,Controle!$Z:$Z,"3")</f>
        <v>0</v>
      </c>
      <c r="I759" s="507">
        <f>SUMIFS(Controle!$R:$R,Controle!$H:$H,produtos_escape2!$A759,Controle!$Z:$Z,"4")</f>
        <v>0</v>
      </c>
      <c r="J759" s="507">
        <f>SUMIFS(Controle!$R:$R,Controle!$H:$H,produtos_escape2!$A759,Controle!$Z:$Z,"5")</f>
        <v>0</v>
      </c>
      <c r="K759" s="507">
        <f>SUMIFS(Controle!$R:$R,Controle!$H:$H,produtos_escape2!$A759,Controle!$Z:$Z,"6")</f>
        <v>0</v>
      </c>
      <c r="L759" s="507">
        <f t="shared" si="25"/>
        <v>0</v>
      </c>
      <c r="M759" s="381" t="s">
        <v>4922</v>
      </c>
      <c r="AF759" s="84"/>
    </row>
    <row r="760" spans="1:32" s="185" customFormat="1" ht="14.25" customHeight="1" thickBot="1">
      <c r="A760" s="353">
        <v>20193</v>
      </c>
      <c r="B760" s="194" t="s">
        <v>1529</v>
      </c>
      <c r="C760" s="339">
        <f t="shared" si="26"/>
        <v>50000</v>
      </c>
      <c r="D760" s="196" t="s">
        <v>624</v>
      </c>
      <c r="E760" s="187" t="s">
        <v>1739</v>
      </c>
      <c r="F760" s="507">
        <f>SUMIFS(Controle!$R:$R,Controle!$H:$H,produtos_escape2!$A760,Controle!$Z:$Z,"1")</f>
        <v>0</v>
      </c>
      <c r="G760" s="507">
        <f>SUMIFS(Controle!$R:$R,Controle!$H:$H,produtos_escape2!$A760,Controle!$Z:$Z,"2")</f>
        <v>0</v>
      </c>
      <c r="H760" s="507">
        <f>SUMIFS(Controle!$R:$R,Controle!$H:$H,produtos_escape2!$A760,Controle!$Z:$Z,"3")</f>
        <v>0</v>
      </c>
      <c r="I760" s="507">
        <f>SUMIFS(Controle!$R:$R,Controle!$H:$H,produtos_escape2!$A760,Controle!$Z:$Z,"4")</f>
        <v>0</v>
      </c>
      <c r="J760" s="507">
        <f>SUMIFS(Controle!$R:$R,Controle!$H:$H,produtos_escape2!$A760,Controle!$Z:$Z,"5")</f>
        <v>0</v>
      </c>
      <c r="K760" s="507">
        <f>SUMIFS(Controle!$R:$R,Controle!$H:$H,produtos_escape2!$A760,Controle!$Z:$Z,"6")</f>
        <v>0</v>
      </c>
      <c r="L760" s="507">
        <f t="shared" si="25"/>
        <v>0</v>
      </c>
      <c r="M760" s="381" t="s">
        <v>4923</v>
      </c>
      <c r="AF760" s="84"/>
    </row>
    <row r="761" spans="1:32" s="185" customFormat="1" ht="14.25" customHeight="1" thickBot="1">
      <c r="A761" s="353">
        <v>20196</v>
      </c>
      <c r="B761" s="194" t="s">
        <v>1364</v>
      </c>
      <c r="C761" s="339">
        <f t="shared" si="26"/>
        <v>50000</v>
      </c>
      <c r="D761" s="196" t="s">
        <v>1365</v>
      </c>
      <c r="E761" s="187" t="s">
        <v>7207</v>
      </c>
      <c r="F761" s="507">
        <f>SUMIFS(Controle!$R:$R,Controle!$H:$H,produtos_escape2!$A761,Controle!$Z:$Z,"1")</f>
        <v>0</v>
      </c>
      <c r="G761" s="507">
        <f>SUMIFS(Controle!$R:$R,Controle!$H:$H,produtos_escape2!$A761,Controle!$Z:$Z,"2")</f>
        <v>0</v>
      </c>
      <c r="H761" s="507">
        <f>SUMIFS(Controle!$R:$R,Controle!$H:$H,produtos_escape2!$A761,Controle!$Z:$Z,"3")</f>
        <v>0</v>
      </c>
      <c r="I761" s="507">
        <f>SUMIFS(Controle!$R:$R,Controle!$H:$H,produtos_escape2!$A761,Controle!$Z:$Z,"4")</f>
        <v>0</v>
      </c>
      <c r="J761" s="507">
        <f>SUMIFS(Controle!$R:$R,Controle!$H:$H,produtos_escape2!$A761,Controle!$Z:$Z,"5")</f>
        <v>0</v>
      </c>
      <c r="K761" s="507">
        <f>SUMIFS(Controle!$R:$R,Controle!$H:$H,produtos_escape2!$A761,Controle!$Z:$Z,"6")</f>
        <v>0</v>
      </c>
      <c r="L761" s="507">
        <f t="shared" si="25"/>
        <v>0</v>
      </c>
      <c r="M761" s="381" t="s">
        <v>4924</v>
      </c>
      <c r="AF761" s="84"/>
    </row>
    <row r="762" spans="1:32" s="185" customFormat="1" ht="14.25" customHeight="1" thickBot="1">
      <c r="A762" s="353">
        <v>20197</v>
      </c>
      <c r="B762" s="338" t="s">
        <v>1366</v>
      </c>
      <c r="C762" s="339">
        <f t="shared" si="26"/>
        <v>50000</v>
      </c>
      <c r="D762" s="196" t="s">
        <v>1365</v>
      </c>
      <c r="E762" s="187" t="s">
        <v>7207</v>
      </c>
      <c r="F762" s="507">
        <f>SUMIFS(Controle!$R:$R,Controle!$H:$H,produtos_escape2!$A762,Controle!$Z:$Z,"1")</f>
        <v>0</v>
      </c>
      <c r="G762" s="507">
        <f>SUMIFS(Controle!$R:$R,Controle!$H:$H,produtos_escape2!$A762,Controle!$Z:$Z,"2")</f>
        <v>0</v>
      </c>
      <c r="H762" s="507">
        <f>SUMIFS(Controle!$R:$R,Controle!$H:$H,produtos_escape2!$A762,Controle!$Z:$Z,"3")</f>
        <v>0</v>
      </c>
      <c r="I762" s="507">
        <f>SUMIFS(Controle!$R:$R,Controle!$H:$H,produtos_escape2!$A762,Controle!$Z:$Z,"4")</f>
        <v>0</v>
      </c>
      <c r="J762" s="507">
        <f>SUMIFS(Controle!$R:$R,Controle!$H:$H,produtos_escape2!$A762,Controle!$Z:$Z,"5")</f>
        <v>0</v>
      </c>
      <c r="K762" s="507">
        <f>SUMIFS(Controle!$R:$R,Controle!$H:$H,produtos_escape2!$A762,Controle!$Z:$Z,"6")</f>
        <v>0</v>
      </c>
      <c r="L762" s="507">
        <f t="shared" si="25"/>
        <v>0</v>
      </c>
      <c r="M762" s="381" t="s">
        <v>4925</v>
      </c>
      <c r="AF762" s="84"/>
    </row>
    <row r="763" spans="1:32" s="185" customFormat="1" ht="14.25" customHeight="1" thickBot="1">
      <c r="A763" s="353">
        <v>20226</v>
      </c>
      <c r="B763" s="194" t="s">
        <v>1160</v>
      </c>
      <c r="C763" s="339">
        <f t="shared" si="26"/>
        <v>50000</v>
      </c>
      <c r="D763" s="196" t="s">
        <v>548</v>
      </c>
      <c r="E763" s="187" t="s">
        <v>3608</v>
      </c>
      <c r="F763" s="507">
        <f>SUMIFS(Controle!$R:$R,Controle!$H:$H,produtos_escape2!$A763,Controle!$Z:$Z,"1")</f>
        <v>0</v>
      </c>
      <c r="G763" s="507">
        <f>SUMIFS(Controle!$R:$R,Controle!$H:$H,produtos_escape2!$A763,Controle!$Z:$Z,"2")</f>
        <v>0</v>
      </c>
      <c r="H763" s="507">
        <f>SUMIFS(Controle!$R:$R,Controle!$H:$H,produtos_escape2!$A763,Controle!$Z:$Z,"3")</f>
        <v>0</v>
      </c>
      <c r="I763" s="507">
        <f>SUMIFS(Controle!$R:$R,Controle!$H:$H,produtos_escape2!$A763,Controle!$Z:$Z,"4")</f>
        <v>0</v>
      </c>
      <c r="J763" s="507">
        <f>SUMIFS(Controle!$R:$R,Controle!$H:$H,produtos_escape2!$A763,Controle!$Z:$Z,"5")</f>
        <v>0</v>
      </c>
      <c r="K763" s="507">
        <f>SUMIFS(Controle!$R:$R,Controle!$H:$H,produtos_escape2!$A763,Controle!$Z:$Z,"6")</f>
        <v>0</v>
      </c>
      <c r="L763" s="507">
        <f t="shared" si="25"/>
        <v>0</v>
      </c>
      <c r="M763" s="381" t="s">
        <v>4926</v>
      </c>
      <c r="AF763" s="84"/>
    </row>
    <row r="764" spans="1:32" s="185" customFormat="1" ht="14.25" customHeight="1" thickBot="1">
      <c r="A764" s="353">
        <v>20267</v>
      </c>
      <c r="B764" s="194" t="s">
        <v>1582</v>
      </c>
      <c r="C764" s="339">
        <f t="shared" si="26"/>
        <v>50000</v>
      </c>
      <c r="D764" s="196" t="s">
        <v>624</v>
      </c>
      <c r="E764" s="187" t="s">
        <v>7207</v>
      </c>
      <c r="F764" s="507">
        <f>SUMIFS(Controle!$R:$R,Controle!$H:$H,produtos_escape2!$A764,Controle!$Z:$Z,"1")</f>
        <v>0</v>
      </c>
      <c r="G764" s="507">
        <f>SUMIFS(Controle!$R:$R,Controle!$H:$H,produtos_escape2!$A764,Controle!$Z:$Z,"2")</f>
        <v>0</v>
      </c>
      <c r="H764" s="507">
        <f>SUMIFS(Controle!$R:$R,Controle!$H:$H,produtos_escape2!$A764,Controle!$Z:$Z,"3")</f>
        <v>0</v>
      </c>
      <c r="I764" s="507">
        <f>SUMIFS(Controle!$R:$R,Controle!$H:$H,produtos_escape2!$A764,Controle!$Z:$Z,"4")</f>
        <v>0</v>
      </c>
      <c r="J764" s="507">
        <f>SUMIFS(Controle!$R:$R,Controle!$H:$H,produtos_escape2!$A764,Controle!$Z:$Z,"5")</f>
        <v>0</v>
      </c>
      <c r="K764" s="507">
        <f>SUMIFS(Controle!$R:$R,Controle!$H:$H,produtos_escape2!$A764,Controle!$Z:$Z,"6")</f>
        <v>0</v>
      </c>
      <c r="L764" s="507">
        <f t="shared" si="25"/>
        <v>0</v>
      </c>
      <c r="M764" s="381" t="s">
        <v>4927</v>
      </c>
      <c r="AF764" s="84"/>
    </row>
    <row r="765" spans="1:32" s="185" customFormat="1" ht="14.25" customHeight="1" thickBot="1">
      <c r="A765" s="353">
        <v>20318</v>
      </c>
      <c r="B765" s="194" t="s">
        <v>1625</v>
      </c>
      <c r="C765" s="339">
        <f t="shared" si="26"/>
        <v>50000</v>
      </c>
      <c r="D765" s="196" t="s">
        <v>624</v>
      </c>
      <c r="E765" s="187" t="s">
        <v>7207</v>
      </c>
      <c r="F765" s="507">
        <f>SUMIFS(Controle!$R:$R,Controle!$H:$H,produtos_escape2!$A765,Controle!$Z:$Z,"1")</f>
        <v>0</v>
      </c>
      <c r="G765" s="507">
        <f>SUMIFS(Controle!$R:$R,Controle!$H:$H,produtos_escape2!$A765,Controle!$Z:$Z,"2")</f>
        <v>0</v>
      </c>
      <c r="H765" s="507">
        <f>SUMIFS(Controle!$R:$R,Controle!$H:$H,produtos_escape2!$A765,Controle!$Z:$Z,"3")</f>
        <v>0</v>
      </c>
      <c r="I765" s="507">
        <f>SUMIFS(Controle!$R:$R,Controle!$H:$H,produtos_escape2!$A765,Controle!$Z:$Z,"4")</f>
        <v>0</v>
      </c>
      <c r="J765" s="507">
        <f>SUMIFS(Controle!$R:$R,Controle!$H:$H,produtos_escape2!$A765,Controle!$Z:$Z,"5")</f>
        <v>0</v>
      </c>
      <c r="K765" s="507">
        <f>SUMIFS(Controle!$R:$R,Controle!$H:$H,produtos_escape2!$A765,Controle!$Z:$Z,"6")</f>
        <v>0</v>
      </c>
      <c r="L765" s="507">
        <f t="shared" si="25"/>
        <v>0</v>
      </c>
      <c r="M765" s="381" t="s">
        <v>4592</v>
      </c>
      <c r="AF765" s="84"/>
    </row>
    <row r="766" spans="1:32" s="185" customFormat="1" ht="14.25" customHeight="1" thickBot="1">
      <c r="A766" s="353">
        <v>20324</v>
      </c>
      <c r="B766" s="194" t="s">
        <v>2760</v>
      </c>
      <c r="C766" s="339">
        <f t="shared" si="26"/>
        <v>50000</v>
      </c>
      <c r="D766" s="196" t="s">
        <v>548</v>
      </c>
      <c r="E766" s="187" t="s">
        <v>3608</v>
      </c>
      <c r="F766" s="507">
        <f>SUMIFS(Controle!$R:$R,Controle!$H:$H,produtos_escape2!$A766,Controle!$Z:$Z,"1")</f>
        <v>0</v>
      </c>
      <c r="G766" s="507">
        <f>SUMIFS(Controle!$R:$R,Controle!$H:$H,produtos_escape2!$A766,Controle!$Z:$Z,"2")</f>
        <v>0</v>
      </c>
      <c r="H766" s="507">
        <f>SUMIFS(Controle!$R:$R,Controle!$H:$H,produtos_escape2!$A766,Controle!$Z:$Z,"3")</f>
        <v>0</v>
      </c>
      <c r="I766" s="507">
        <f>SUMIFS(Controle!$R:$R,Controle!$H:$H,produtos_escape2!$A766,Controle!$Z:$Z,"4")</f>
        <v>0</v>
      </c>
      <c r="J766" s="507">
        <f>SUMIFS(Controle!$R:$R,Controle!$H:$H,produtos_escape2!$A766,Controle!$Z:$Z,"5")</f>
        <v>0</v>
      </c>
      <c r="K766" s="507">
        <f>SUMIFS(Controle!$R:$R,Controle!$H:$H,produtos_escape2!$A766,Controle!$Z:$Z,"6")</f>
        <v>0</v>
      </c>
      <c r="L766" s="507">
        <f t="shared" si="25"/>
        <v>0</v>
      </c>
      <c r="M766" s="381" t="s">
        <v>2760</v>
      </c>
      <c r="AF766" s="84"/>
    </row>
    <row r="767" spans="1:32" s="185" customFormat="1" ht="15.75" customHeight="1" thickBot="1">
      <c r="A767" s="333">
        <v>20390</v>
      </c>
      <c r="B767" s="194" t="s">
        <v>4301</v>
      </c>
      <c r="C767" s="339">
        <f t="shared" si="26"/>
        <v>50000</v>
      </c>
      <c r="D767" s="196" t="s">
        <v>624</v>
      </c>
      <c r="E767" s="187" t="s">
        <v>7207</v>
      </c>
      <c r="F767" s="507">
        <f>SUMIFS(Controle!$R:$R,Controle!$H:$H,produtos_escape2!$A767,Controle!$Z:$Z,"1")</f>
        <v>0</v>
      </c>
      <c r="G767" s="507">
        <f>SUMIFS(Controle!$R:$R,Controle!$H:$H,produtos_escape2!$A767,Controle!$Z:$Z,"2")</f>
        <v>0</v>
      </c>
      <c r="H767" s="507">
        <f>SUMIFS(Controle!$R:$R,Controle!$H:$H,produtos_escape2!$A767,Controle!$Z:$Z,"3")</f>
        <v>0</v>
      </c>
      <c r="I767" s="507">
        <f>SUMIFS(Controle!$R:$R,Controle!$H:$H,produtos_escape2!$A767,Controle!$Z:$Z,"4")</f>
        <v>0</v>
      </c>
      <c r="J767" s="507">
        <f>SUMIFS(Controle!$R:$R,Controle!$H:$H,produtos_escape2!$A767,Controle!$Z:$Z,"5")</f>
        <v>0</v>
      </c>
      <c r="K767" s="507">
        <f>SUMIFS(Controle!$R:$R,Controle!$H:$H,produtos_escape2!$A767,Controle!$Z:$Z,"6")</f>
        <v>0</v>
      </c>
      <c r="L767" s="507">
        <f t="shared" ref="L767:L830" si="27">SUM(F767:K767)</f>
        <v>0</v>
      </c>
      <c r="M767" s="381" t="s">
        <v>4928</v>
      </c>
      <c r="AF767" s="84"/>
    </row>
    <row r="768" spans="1:32" s="185" customFormat="1" ht="14.25" customHeight="1" thickBot="1">
      <c r="A768" s="353">
        <v>20398</v>
      </c>
      <c r="B768" s="194" t="s">
        <v>859</v>
      </c>
      <c r="C768" s="339">
        <f t="shared" si="26"/>
        <v>50000</v>
      </c>
      <c r="D768" s="196" t="s">
        <v>624</v>
      </c>
      <c r="E768" s="187" t="s">
        <v>1739</v>
      </c>
      <c r="F768" s="507">
        <f>SUMIFS(Controle!$R:$R,Controle!$H:$H,produtos_escape2!$A768,Controle!$Z:$Z,"1")</f>
        <v>0</v>
      </c>
      <c r="G768" s="507">
        <f>SUMIFS(Controle!$R:$R,Controle!$H:$H,produtos_escape2!$A768,Controle!$Z:$Z,"2")</f>
        <v>0</v>
      </c>
      <c r="H768" s="507">
        <f>SUMIFS(Controle!$R:$R,Controle!$H:$H,produtos_escape2!$A768,Controle!$Z:$Z,"3")</f>
        <v>0</v>
      </c>
      <c r="I768" s="507">
        <f>SUMIFS(Controle!$R:$R,Controle!$H:$H,produtos_escape2!$A768,Controle!$Z:$Z,"4")</f>
        <v>0</v>
      </c>
      <c r="J768" s="507">
        <f>SUMIFS(Controle!$R:$R,Controle!$H:$H,produtos_escape2!$A768,Controle!$Z:$Z,"5")</f>
        <v>0</v>
      </c>
      <c r="K768" s="507">
        <f>SUMIFS(Controle!$R:$R,Controle!$H:$H,produtos_escape2!$A768,Controle!$Z:$Z,"6")</f>
        <v>0</v>
      </c>
      <c r="L768" s="507">
        <f t="shared" si="27"/>
        <v>0</v>
      </c>
      <c r="M768" s="381" t="s">
        <v>4929</v>
      </c>
      <c r="AF768" s="84"/>
    </row>
    <row r="769" spans="1:32" s="185" customFormat="1" ht="14.25" customHeight="1" thickBot="1">
      <c r="A769" s="353">
        <v>20410</v>
      </c>
      <c r="B769" s="194" t="s">
        <v>2614</v>
      </c>
      <c r="C769" s="339">
        <f t="shared" si="26"/>
        <v>50000</v>
      </c>
      <c r="D769" s="196" t="s">
        <v>624</v>
      </c>
      <c r="E769" s="187" t="s">
        <v>7207</v>
      </c>
      <c r="F769" s="507">
        <f>SUMIFS(Controle!$R:$R,Controle!$H:$H,produtos_escape2!$A769,Controle!$Z:$Z,"1")</f>
        <v>0</v>
      </c>
      <c r="G769" s="507">
        <f>SUMIFS(Controle!$R:$R,Controle!$H:$H,produtos_escape2!$A769,Controle!$Z:$Z,"2")</f>
        <v>0</v>
      </c>
      <c r="H769" s="507">
        <f>SUMIFS(Controle!$R:$R,Controle!$H:$H,produtos_escape2!$A769,Controle!$Z:$Z,"3")</f>
        <v>0</v>
      </c>
      <c r="I769" s="507">
        <f>SUMIFS(Controle!$R:$R,Controle!$H:$H,produtos_escape2!$A769,Controle!$Z:$Z,"4")</f>
        <v>0</v>
      </c>
      <c r="J769" s="507">
        <f>SUMIFS(Controle!$R:$R,Controle!$H:$H,produtos_escape2!$A769,Controle!$Z:$Z,"5")</f>
        <v>0</v>
      </c>
      <c r="K769" s="507">
        <f>SUMIFS(Controle!$R:$R,Controle!$H:$H,produtos_escape2!$A769,Controle!$Z:$Z,"6")</f>
        <v>0</v>
      </c>
      <c r="L769" s="507">
        <f t="shared" si="27"/>
        <v>0</v>
      </c>
      <c r="M769" s="381" t="s">
        <v>4930</v>
      </c>
      <c r="AF769" s="84"/>
    </row>
    <row r="770" spans="1:32" s="185" customFormat="1" ht="14.25" customHeight="1" thickBot="1">
      <c r="A770" s="353">
        <v>20436</v>
      </c>
      <c r="B770" s="338" t="s">
        <v>5802</v>
      </c>
      <c r="C770" s="339">
        <f t="shared" si="26"/>
        <v>50000</v>
      </c>
      <c r="D770" s="196" t="s">
        <v>1093</v>
      </c>
      <c r="E770" s="187" t="s">
        <v>7207</v>
      </c>
      <c r="F770" s="507">
        <f>SUMIFS(Controle!$R:$R,Controle!$H:$H,produtos_escape2!$A770,Controle!$Z:$Z,"1")</f>
        <v>0</v>
      </c>
      <c r="G770" s="507">
        <f>SUMIFS(Controle!$R:$R,Controle!$H:$H,produtos_escape2!$A770,Controle!$Z:$Z,"2")</f>
        <v>0</v>
      </c>
      <c r="H770" s="507">
        <f>SUMIFS(Controle!$R:$R,Controle!$H:$H,produtos_escape2!$A770,Controle!$Z:$Z,"3")</f>
        <v>0</v>
      </c>
      <c r="I770" s="507">
        <f>SUMIFS(Controle!$R:$R,Controle!$H:$H,produtos_escape2!$A770,Controle!$Z:$Z,"4")</f>
        <v>0</v>
      </c>
      <c r="J770" s="507">
        <f>SUMIFS(Controle!$R:$R,Controle!$H:$H,produtos_escape2!$A770,Controle!$Z:$Z,"5")</f>
        <v>0</v>
      </c>
      <c r="K770" s="507">
        <f>SUMIFS(Controle!$R:$R,Controle!$H:$H,produtos_escape2!$A770,Controle!$Z:$Z,"6")</f>
        <v>0</v>
      </c>
      <c r="L770" s="507">
        <f t="shared" si="27"/>
        <v>0</v>
      </c>
      <c r="M770" s="381" t="s">
        <v>5803</v>
      </c>
      <c r="AF770" s="84"/>
    </row>
    <row r="771" spans="1:32" s="185" customFormat="1" ht="14.25" customHeight="1" thickBot="1">
      <c r="A771" s="353">
        <v>20443</v>
      </c>
      <c r="B771" s="194" t="s">
        <v>860</v>
      </c>
      <c r="C771" s="339">
        <f t="shared" si="26"/>
        <v>50000</v>
      </c>
      <c r="D771" s="196"/>
      <c r="E771" s="187"/>
      <c r="F771" s="507">
        <f>SUMIFS(Controle!$R:$R,Controle!$H:$H,produtos_escape2!$A771,Controle!$Z:$Z,"1")</f>
        <v>0</v>
      </c>
      <c r="G771" s="507">
        <f>SUMIFS(Controle!$R:$R,Controle!$H:$H,produtos_escape2!$A771,Controle!$Z:$Z,"2")</f>
        <v>0</v>
      </c>
      <c r="H771" s="507">
        <f>SUMIFS(Controle!$R:$R,Controle!$H:$H,produtos_escape2!$A771,Controle!$Z:$Z,"3")</f>
        <v>0</v>
      </c>
      <c r="I771" s="507">
        <f>SUMIFS(Controle!$R:$R,Controle!$H:$H,produtos_escape2!$A771,Controle!$Z:$Z,"4")</f>
        <v>0</v>
      </c>
      <c r="J771" s="507">
        <f>SUMIFS(Controle!$R:$R,Controle!$H:$H,produtos_escape2!$A771,Controle!$Z:$Z,"5")</f>
        <v>0</v>
      </c>
      <c r="K771" s="507">
        <f>SUMIFS(Controle!$R:$R,Controle!$H:$H,produtos_escape2!$A771,Controle!$Z:$Z,"6")</f>
        <v>0</v>
      </c>
      <c r="L771" s="507">
        <f t="shared" si="27"/>
        <v>0</v>
      </c>
      <c r="M771" s="381" t="s">
        <v>4931</v>
      </c>
      <c r="AF771" s="84"/>
    </row>
    <row r="772" spans="1:32" s="185" customFormat="1" ht="14.25" customHeight="1" thickBot="1">
      <c r="A772" s="353">
        <v>20508</v>
      </c>
      <c r="B772" s="194" t="s">
        <v>1437</v>
      </c>
      <c r="C772" s="339">
        <f t="shared" si="26"/>
        <v>50000</v>
      </c>
      <c r="D772" s="196" t="s">
        <v>624</v>
      </c>
      <c r="E772" s="187" t="s">
        <v>7207</v>
      </c>
      <c r="F772" s="507">
        <f>SUMIFS(Controle!$R:$R,Controle!$H:$H,produtos_escape2!$A772,Controle!$Z:$Z,"1")</f>
        <v>0</v>
      </c>
      <c r="G772" s="507">
        <f>SUMIFS(Controle!$R:$R,Controle!$H:$H,produtos_escape2!$A772,Controle!$Z:$Z,"2")</f>
        <v>0</v>
      </c>
      <c r="H772" s="507">
        <f>SUMIFS(Controle!$R:$R,Controle!$H:$H,produtos_escape2!$A772,Controle!$Z:$Z,"3")</f>
        <v>0</v>
      </c>
      <c r="I772" s="507">
        <f>SUMIFS(Controle!$R:$R,Controle!$H:$H,produtos_escape2!$A772,Controle!$Z:$Z,"4")</f>
        <v>0</v>
      </c>
      <c r="J772" s="507">
        <f>SUMIFS(Controle!$R:$R,Controle!$H:$H,produtos_escape2!$A772,Controle!$Z:$Z,"5")</f>
        <v>0</v>
      </c>
      <c r="K772" s="507">
        <f>SUMIFS(Controle!$R:$R,Controle!$H:$H,produtos_escape2!$A772,Controle!$Z:$Z,"6")</f>
        <v>0</v>
      </c>
      <c r="L772" s="507">
        <f t="shared" si="27"/>
        <v>0</v>
      </c>
      <c r="M772" s="381" t="s">
        <v>4932</v>
      </c>
      <c r="AF772" s="84"/>
    </row>
    <row r="773" spans="1:32" s="185" customFormat="1" ht="14.25" customHeight="1" thickBot="1">
      <c r="A773" s="353">
        <v>20509</v>
      </c>
      <c r="B773" s="194" t="s">
        <v>307</v>
      </c>
      <c r="C773" s="339">
        <f t="shared" ref="C773:C836" si="28">50000-SUM(F773:K773)</f>
        <v>50000</v>
      </c>
      <c r="D773" s="196"/>
      <c r="E773" s="187"/>
      <c r="F773" s="507">
        <f>SUMIFS(Controle!$R:$R,Controle!$H:$H,produtos_escape2!$A773,Controle!$Z:$Z,"1")</f>
        <v>0</v>
      </c>
      <c r="G773" s="507">
        <f>SUMIFS(Controle!$R:$R,Controle!$H:$H,produtos_escape2!$A773,Controle!$Z:$Z,"2")</f>
        <v>0</v>
      </c>
      <c r="H773" s="507">
        <f>SUMIFS(Controle!$R:$R,Controle!$H:$H,produtos_escape2!$A773,Controle!$Z:$Z,"3")</f>
        <v>0</v>
      </c>
      <c r="I773" s="507">
        <f>SUMIFS(Controle!$R:$R,Controle!$H:$H,produtos_escape2!$A773,Controle!$Z:$Z,"4")</f>
        <v>0</v>
      </c>
      <c r="J773" s="507">
        <f>SUMIFS(Controle!$R:$R,Controle!$H:$H,produtos_escape2!$A773,Controle!$Z:$Z,"5")</f>
        <v>0</v>
      </c>
      <c r="K773" s="507">
        <f>SUMIFS(Controle!$R:$R,Controle!$H:$H,produtos_escape2!$A773,Controle!$Z:$Z,"6")</f>
        <v>0</v>
      </c>
      <c r="L773" s="507">
        <f t="shared" si="27"/>
        <v>0</v>
      </c>
      <c r="M773" s="381" t="s">
        <v>4933</v>
      </c>
      <c r="AF773" s="84"/>
    </row>
    <row r="774" spans="1:32" s="185" customFormat="1" ht="14.25" customHeight="1" thickBot="1">
      <c r="A774" s="353">
        <v>20516</v>
      </c>
      <c r="B774" s="194" t="s">
        <v>332</v>
      </c>
      <c r="C774" s="339">
        <f t="shared" si="28"/>
        <v>50000</v>
      </c>
      <c r="D774" s="196" t="s">
        <v>624</v>
      </c>
      <c r="E774" s="187" t="s">
        <v>1739</v>
      </c>
      <c r="F774" s="507">
        <f>SUMIFS(Controle!$R:$R,Controle!$H:$H,produtos_escape2!$A774,Controle!$Z:$Z,"1")</f>
        <v>0</v>
      </c>
      <c r="G774" s="507">
        <f>SUMIFS(Controle!$R:$R,Controle!$H:$H,produtos_escape2!$A774,Controle!$Z:$Z,"2")</f>
        <v>0</v>
      </c>
      <c r="H774" s="507">
        <f>SUMIFS(Controle!$R:$R,Controle!$H:$H,produtos_escape2!$A774,Controle!$Z:$Z,"3")</f>
        <v>0</v>
      </c>
      <c r="I774" s="507">
        <f>SUMIFS(Controle!$R:$R,Controle!$H:$H,produtos_escape2!$A774,Controle!$Z:$Z,"4")</f>
        <v>0</v>
      </c>
      <c r="J774" s="507">
        <f>SUMIFS(Controle!$R:$R,Controle!$H:$H,produtos_escape2!$A774,Controle!$Z:$Z,"5")</f>
        <v>0</v>
      </c>
      <c r="K774" s="507">
        <f>SUMIFS(Controle!$R:$R,Controle!$H:$H,produtos_escape2!$A774,Controle!$Z:$Z,"6")</f>
        <v>0</v>
      </c>
      <c r="L774" s="507">
        <f t="shared" si="27"/>
        <v>0</v>
      </c>
      <c r="M774" s="381" t="s">
        <v>4550</v>
      </c>
      <c r="AF774" s="84"/>
    </row>
    <row r="775" spans="1:32" s="185" customFormat="1" ht="14.25" customHeight="1" thickBot="1">
      <c r="A775" s="333">
        <v>20540</v>
      </c>
      <c r="B775" s="194" t="s">
        <v>52</v>
      </c>
      <c r="C775" s="339">
        <f t="shared" si="28"/>
        <v>50000</v>
      </c>
      <c r="D775" s="196"/>
      <c r="E775" s="187"/>
      <c r="F775" s="507">
        <f>SUMIFS(Controle!$R:$R,Controle!$H:$H,produtos_escape2!$A775,Controle!$Z:$Z,"1")</f>
        <v>0</v>
      </c>
      <c r="G775" s="507">
        <f>SUMIFS(Controle!$R:$R,Controle!$H:$H,produtos_escape2!$A775,Controle!$Z:$Z,"2")</f>
        <v>0</v>
      </c>
      <c r="H775" s="507">
        <f>SUMIFS(Controle!$R:$R,Controle!$H:$H,produtos_escape2!$A775,Controle!$Z:$Z,"3")</f>
        <v>0</v>
      </c>
      <c r="I775" s="507">
        <f>SUMIFS(Controle!$R:$R,Controle!$H:$H,produtos_escape2!$A775,Controle!$Z:$Z,"4")</f>
        <v>0</v>
      </c>
      <c r="J775" s="507">
        <f>SUMIFS(Controle!$R:$R,Controle!$H:$H,produtos_escape2!$A775,Controle!$Z:$Z,"5")</f>
        <v>0</v>
      </c>
      <c r="K775" s="507">
        <f>SUMIFS(Controle!$R:$R,Controle!$H:$H,produtos_escape2!$A775,Controle!$Z:$Z,"6")</f>
        <v>0</v>
      </c>
      <c r="L775" s="507">
        <f t="shared" si="27"/>
        <v>0</v>
      </c>
      <c r="M775" s="381" t="s">
        <v>4934</v>
      </c>
      <c r="AF775" s="84"/>
    </row>
    <row r="776" spans="1:32" s="185" customFormat="1" ht="14.25" customHeight="1" thickBot="1">
      <c r="A776" s="353">
        <v>20626</v>
      </c>
      <c r="B776" s="402" t="s">
        <v>7122</v>
      </c>
      <c r="C776" s="339">
        <f t="shared" si="28"/>
        <v>50000</v>
      </c>
      <c r="D776" s="196" t="s">
        <v>549</v>
      </c>
      <c r="E776" s="187" t="s">
        <v>3608</v>
      </c>
      <c r="F776" s="507">
        <f>SUMIFS(Controle!$R:$R,Controle!$H:$H,produtos_escape2!$A776,Controle!$Z:$Z,"1")</f>
        <v>0</v>
      </c>
      <c r="G776" s="507">
        <f>SUMIFS(Controle!$R:$R,Controle!$H:$H,produtos_escape2!$A776,Controle!$Z:$Z,"2")</f>
        <v>0</v>
      </c>
      <c r="H776" s="507">
        <f>SUMIFS(Controle!$R:$R,Controle!$H:$H,produtos_escape2!$A776,Controle!$Z:$Z,"3")</f>
        <v>0</v>
      </c>
      <c r="I776" s="507">
        <f>SUMIFS(Controle!$R:$R,Controle!$H:$H,produtos_escape2!$A776,Controle!$Z:$Z,"4")</f>
        <v>0</v>
      </c>
      <c r="J776" s="507">
        <f>SUMIFS(Controle!$R:$R,Controle!$H:$H,produtos_escape2!$A776,Controle!$Z:$Z,"5")</f>
        <v>0</v>
      </c>
      <c r="K776" s="507">
        <f>SUMIFS(Controle!$R:$R,Controle!$H:$H,produtos_escape2!$A776,Controle!$Z:$Z,"6")</f>
        <v>0</v>
      </c>
      <c r="L776" s="507">
        <f t="shared" si="27"/>
        <v>0</v>
      </c>
      <c r="M776" s="381" t="s">
        <v>7121</v>
      </c>
      <c r="AF776" s="84"/>
    </row>
    <row r="777" spans="1:32" s="185" customFormat="1" ht="14.25" customHeight="1" thickBot="1">
      <c r="A777" s="353">
        <v>20651</v>
      </c>
      <c r="B777" s="194" t="s">
        <v>3346</v>
      </c>
      <c r="C777" s="339">
        <f t="shared" si="28"/>
        <v>50000</v>
      </c>
      <c r="D777" s="196" t="s">
        <v>624</v>
      </c>
      <c r="E777" s="187" t="s">
        <v>3608</v>
      </c>
      <c r="F777" s="507">
        <f>SUMIFS(Controle!$R:$R,Controle!$H:$H,produtos_escape2!$A777,Controle!$Z:$Z,"1")</f>
        <v>0</v>
      </c>
      <c r="G777" s="507">
        <f>SUMIFS(Controle!$R:$R,Controle!$H:$H,produtos_escape2!$A777,Controle!$Z:$Z,"2")</f>
        <v>0</v>
      </c>
      <c r="H777" s="507">
        <f>SUMIFS(Controle!$R:$R,Controle!$H:$H,produtos_escape2!$A777,Controle!$Z:$Z,"3")</f>
        <v>0</v>
      </c>
      <c r="I777" s="507">
        <f>SUMIFS(Controle!$R:$R,Controle!$H:$H,produtos_escape2!$A777,Controle!$Z:$Z,"4")</f>
        <v>0</v>
      </c>
      <c r="J777" s="507">
        <f>SUMIFS(Controle!$R:$R,Controle!$H:$H,produtos_escape2!$A777,Controle!$Z:$Z,"5")</f>
        <v>0</v>
      </c>
      <c r="K777" s="507">
        <f>SUMIFS(Controle!$R:$R,Controle!$H:$H,produtos_escape2!$A777,Controle!$Z:$Z,"6")</f>
        <v>0</v>
      </c>
      <c r="L777" s="507">
        <f t="shared" si="27"/>
        <v>0</v>
      </c>
      <c r="M777" s="381" t="s">
        <v>4935</v>
      </c>
      <c r="AF777" s="84"/>
    </row>
    <row r="778" spans="1:32" s="185" customFormat="1" ht="14.25" customHeight="1" thickBot="1">
      <c r="A778" s="353">
        <v>20708</v>
      </c>
      <c r="B778" s="194" t="s">
        <v>232</v>
      </c>
      <c r="C778" s="339">
        <f t="shared" si="28"/>
        <v>50000</v>
      </c>
      <c r="D778" s="196"/>
      <c r="E778" s="187"/>
      <c r="F778" s="507">
        <f>SUMIFS(Controle!$R:$R,Controle!$H:$H,produtos_escape2!$A778,Controle!$Z:$Z,"1")</f>
        <v>0</v>
      </c>
      <c r="G778" s="507">
        <f>SUMIFS(Controle!$R:$R,Controle!$H:$H,produtos_escape2!$A778,Controle!$Z:$Z,"2")</f>
        <v>0</v>
      </c>
      <c r="H778" s="507">
        <f>SUMIFS(Controle!$R:$R,Controle!$H:$H,produtos_escape2!$A778,Controle!$Z:$Z,"3")</f>
        <v>0</v>
      </c>
      <c r="I778" s="507">
        <f>SUMIFS(Controle!$R:$R,Controle!$H:$H,produtos_escape2!$A778,Controle!$Z:$Z,"4")</f>
        <v>0</v>
      </c>
      <c r="J778" s="507">
        <f>SUMIFS(Controle!$R:$R,Controle!$H:$H,produtos_escape2!$A778,Controle!$Z:$Z,"5")</f>
        <v>0</v>
      </c>
      <c r="K778" s="507">
        <f>SUMIFS(Controle!$R:$R,Controle!$H:$H,produtos_escape2!$A778,Controle!$Z:$Z,"6")</f>
        <v>0</v>
      </c>
      <c r="L778" s="507">
        <f t="shared" si="27"/>
        <v>0</v>
      </c>
      <c r="M778" s="381" t="s">
        <v>4936</v>
      </c>
      <c r="AF778" s="84"/>
    </row>
    <row r="779" spans="1:32" s="185" customFormat="1" ht="14.25" customHeight="1" thickBot="1">
      <c r="A779" s="353">
        <v>20740</v>
      </c>
      <c r="B779" s="338" t="s">
        <v>1138</v>
      </c>
      <c r="C779" s="339">
        <f t="shared" si="28"/>
        <v>50000</v>
      </c>
      <c r="D779" s="196" t="s">
        <v>624</v>
      </c>
      <c r="E779" s="187" t="s">
        <v>3608</v>
      </c>
      <c r="F779" s="507">
        <f>SUMIFS(Controle!$R:$R,Controle!$H:$H,produtos_escape2!$A779,Controle!$Z:$Z,"1")</f>
        <v>0</v>
      </c>
      <c r="G779" s="507">
        <f>SUMIFS(Controle!$R:$R,Controle!$H:$H,produtos_escape2!$A779,Controle!$Z:$Z,"2")</f>
        <v>0</v>
      </c>
      <c r="H779" s="507">
        <f>SUMIFS(Controle!$R:$R,Controle!$H:$H,produtos_escape2!$A779,Controle!$Z:$Z,"3")</f>
        <v>0</v>
      </c>
      <c r="I779" s="507">
        <f>SUMIFS(Controle!$R:$R,Controle!$H:$H,produtos_escape2!$A779,Controle!$Z:$Z,"4")</f>
        <v>0</v>
      </c>
      <c r="J779" s="507">
        <f>SUMIFS(Controle!$R:$R,Controle!$H:$H,produtos_escape2!$A779,Controle!$Z:$Z,"5")</f>
        <v>0</v>
      </c>
      <c r="K779" s="507">
        <f>SUMIFS(Controle!$R:$R,Controle!$H:$H,produtos_escape2!$A779,Controle!$Z:$Z,"6")</f>
        <v>0</v>
      </c>
      <c r="L779" s="507">
        <f t="shared" si="27"/>
        <v>0</v>
      </c>
      <c r="M779" s="381" t="s">
        <v>4937</v>
      </c>
      <c r="AF779" s="84"/>
    </row>
    <row r="780" spans="1:32" s="185" customFormat="1" ht="14.25" customHeight="1" thickBot="1">
      <c r="A780" s="353">
        <v>20774</v>
      </c>
      <c r="B780" s="194" t="s">
        <v>1089</v>
      </c>
      <c r="C780" s="339">
        <f t="shared" si="28"/>
        <v>50000</v>
      </c>
      <c r="D780" s="196" t="s">
        <v>624</v>
      </c>
      <c r="E780" s="187" t="s">
        <v>3608</v>
      </c>
      <c r="F780" s="507">
        <f>SUMIFS(Controle!$R:$R,Controle!$H:$H,produtos_escape2!$A780,Controle!$Z:$Z,"1")</f>
        <v>0</v>
      </c>
      <c r="G780" s="507">
        <f>SUMIFS(Controle!$R:$R,Controle!$H:$H,produtos_escape2!$A780,Controle!$Z:$Z,"2")</f>
        <v>0</v>
      </c>
      <c r="H780" s="507">
        <f>SUMIFS(Controle!$R:$R,Controle!$H:$H,produtos_escape2!$A780,Controle!$Z:$Z,"3")</f>
        <v>0</v>
      </c>
      <c r="I780" s="507">
        <f>SUMIFS(Controle!$R:$R,Controle!$H:$H,produtos_escape2!$A780,Controle!$Z:$Z,"4")</f>
        <v>0</v>
      </c>
      <c r="J780" s="507">
        <f>SUMIFS(Controle!$R:$R,Controle!$H:$H,produtos_escape2!$A780,Controle!$Z:$Z,"5")</f>
        <v>0</v>
      </c>
      <c r="K780" s="507">
        <f>SUMIFS(Controle!$R:$R,Controle!$H:$H,produtos_escape2!$A780,Controle!$Z:$Z,"6")</f>
        <v>0</v>
      </c>
      <c r="L780" s="507">
        <f t="shared" si="27"/>
        <v>0</v>
      </c>
      <c r="M780" s="381" t="s">
        <v>1089</v>
      </c>
      <c r="AF780" s="84"/>
    </row>
    <row r="781" spans="1:32" s="185" customFormat="1" ht="14.25" customHeight="1" thickBot="1">
      <c r="A781" s="353">
        <v>20779</v>
      </c>
      <c r="B781" s="194" t="s">
        <v>374</v>
      </c>
      <c r="C781" s="339">
        <f t="shared" si="28"/>
        <v>50000</v>
      </c>
      <c r="D781" s="196"/>
      <c r="E781" s="187"/>
      <c r="F781" s="507">
        <f>SUMIFS(Controle!$R:$R,Controle!$H:$H,produtos_escape2!$A781,Controle!$Z:$Z,"1")</f>
        <v>0</v>
      </c>
      <c r="G781" s="507">
        <f>SUMIFS(Controle!$R:$R,Controle!$H:$H,produtos_escape2!$A781,Controle!$Z:$Z,"2")</f>
        <v>0</v>
      </c>
      <c r="H781" s="507">
        <f>SUMIFS(Controle!$R:$R,Controle!$H:$H,produtos_escape2!$A781,Controle!$Z:$Z,"3")</f>
        <v>0</v>
      </c>
      <c r="I781" s="507">
        <f>SUMIFS(Controle!$R:$R,Controle!$H:$H,produtos_escape2!$A781,Controle!$Z:$Z,"4")</f>
        <v>0</v>
      </c>
      <c r="J781" s="507">
        <f>SUMIFS(Controle!$R:$R,Controle!$H:$H,produtos_escape2!$A781,Controle!$Z:$Z,"5")</f>
        <v>0</v>
      </c>
      <c r="K781" s="507">
        <f>SUMIFS(Controle!$R:$R,Controle!$H:$H,produtos_escape2!$A781,Controle!$Z:$Z,"6")</f>
        <v>0</v>
      </c>
      <c r="L781" s="507">
        <f t="shared" si="27"/>
        <v>0</v>
      </c>
      <c r="M781" s="381" t="s">
        <v>374</v>
      </c>
      <c r="AF781" s="84"/>
    </row>
    <row r="782" spans="1:32" s="185" customFormat="1" ht="14.25" customHeight="1" thickBot="1">
      <c r="A782" s="353">
        <v>20833</v>
      </c>
      <c r="B782" s="194" t="s">
        <v>3012</v>
      </c>
      <c r="C782" s="339">
        <f t="shared" si="28"/>
        <v>48905</v>
      </c>
      <c r="D782" s="196" t="s">
        <v>894</v>
      </c>
      <c r="E782" s="187" t="s">
        <v>3608</v>
      </c>
      <c r="F782" s="507">
        <f>SUMIFS(Controle!$R:$R,Controle!$H:$H,produtos_escape2!$A782,Controle!$Z:$Z,"1")</f>
        <v>0</v>
      </c>
      <c r="G782" s="507">
        <f>SUMIFS(Controle!$R:$R,Controle!$H:$H,produtos_escape2!$A782,Controle!$Z:$Z,"2")</f>
        <v>180</v>
      </c>
      <c r="H782" s="507">
        <f>SUMIFS(Controle!$R:$R,Controle!$H:$H,produtos_escape2!$A782,Controle!$Z:$Z,"3")</f>
        <v>0</v>
      </c>
      <c r="I782" s="507">
        <f>SUMIFS(Controle!$R:$R,Controle!$H:$H,produtos_escape2!$A782,Controle!$Z:$Z,"4")</f>
        <v>610</v>
      </c>
      <c r="J782" s="507">
        <f>SUMIFS(Controle!$R:$R,Controle!$H:$H,produtos_escape2!$A782,Controle!$Z:$Z,"5")</f>
        <v>0</v>
      </c>
      <c r="K782" s="507">
        <f>SUMIFS(Controle!$R:$R,Controle!$H:$H,produtos_escape2!$A782,Controle!$Z:$Z,"6")</f>
        <v>305</v>
      </c>
      <c r="L782" s="507">
        <f t="shared" si="27"/>
        <v>1095</v>
      </c>
      <c r="M782" s="381" t="s">
        <v>4938</v>
      </c>
      <c r="AF782" s="84"/>
    </row>
    <row r="783" spans="1:32" s="185" customFormat="1" ht="14.25" customHeight="1" thickBot="1">
      <c r="A783" s="353">
        <v>20847</v>
      </c>
      <c r="B783" s="194" t="s">
        <v>7842</v>
      </c>
      <c r="C783" s="339">
        <f t="shared" si="28"/>
        <v>49916</v>
      </c>
      <c r="D783" s="196" t="s">
        <v>624</v>
      </c>
      <c r="E783" s="187" t="s">
        <v>3608</v>
      </c>
      <c r="F783" s="507">
        <f>SUMIFS(Controle!$R:$R,Controle!$H:$H,produtos_escape2!$A783,Controle!$Z:$Z,"1")</f>
        <v>0</v>
      </c>
      <c r="G783" s="507">
        <f>SUMIFS(Controle!$R:$R,Controle!$H:$H,produtos_escape2!$A783,Controle!$Z:$Z,"2")</f>
        <v>84</v>
      </c>
      <c r="H783" s="507">
        <f>SUMIFS(Controle!$R:$R,Controle!$H:$H,produtos_escape2!$A783,Controle!$Z:$Z,"3")</f>
        <v>0</v>
      </c>
      <c r="I783" s="507">
        <f>SUMIFS(Controle!$R:$R,Controle!$H:$H,produtos_escape2!$A783,Controle!$Z:$Z,"4")</f>
        <v>0</v>
      </c>
      <c r="J783" s="507">
        <f>SUMIFS(Controle!$R:$R,Controle!$H:$H,produtos_escape2!$A783,Controle!$Z:$Z,"5")</f>
        <v>0</v>
      </c>
      <c r="K783" s="507">
        <f>SUMIFS(Controle!$R:$R,Controle!$H:$H,produtos_escape2!$A783,Controle!$Z:$Z,"6")</f>
        <v>0</v>
      </c>
      <c r="L783" s="507">
        <f t="shared" si="27"/>
        <v>84</v>
      </c>
      <c r="M783" s="381" t="s">
        <v>7843</v>
      </c>
      <c r="AF783" s="84"/>
    </row>
    <row r="784" spans="1:32" s="185" customFormat="1" ht="14.25" customHeight="1" thickBot="1">
      <c r="A784" s="353">
        <v>20879</v>
      </c>
      <c r="B784" s="194" t="s">
        <v>3682</v>
      </c>
      <c r="C784" s="339">
        <f t="shared" si="28"/>
        <v>40708.76</v>
      </c>
      <c r="D784" s="196" t="s">
        <v>853</v>
      </c>
      <c r="E784" s="187" t="s">
        <v>7207</v>
      </c>
      <c r="F784" s="507">
        <f>SUMIFS(Controle!$R:$R,Controle!$H:$H,produtos_escape2!$A784,Controle!$Z:$Z,"1")</f>
        <v>0</v>
      </c>
      <c r="G784" s="507">
        <f>SUMIFS(Controle!$R:$R,Controle!$H:$H,produtos_escape2!$A784,Controle!$Z:$Z,"2")</f>
        <v>1019.9999999999999</v>
      </c>
      <c r="H784" s="507">
        <f>SUMIFS(Controle!$R:$R,Controle!$H:$H,produtos_escape2!$A784,Controle!$Z:$Z,"3")</f>
        <v>2010</v>
      </c>
      <c r="I784" s="507">
        <f>SUMIFS(Controle!$R:$R,Controle!$H:$H,produtos_escape2!$A784,Controle!$Z:$Z,"4")</f>
        <v>1260</v>
      </c>
      <c r="J784" s="507">
        <f>SUMIFS(Controle!$R:$R,Controle!$H:$H,produtos_escape2!$A784,Controle!$Z:$Z,"5")</f>
        <v>0</v>
      </c>
      <c r="K784" s="507">
        <f>SUMIFS(Controle!$R:$R,Controle!$H:$H,produtos_escape2!$A784,Controle!$Z:$Z,"6")</f>
        <v>5001.24</v>
      </c>
      <c r="L784" s="507">
        <f t="shared" si="27"/>
        <v>9291.24</v>
      </c>
      <c r="M784" s="381" t="s">
        <v>4939</v>
      </c>
      <c r="AF784" s="84"/>
    </row>
    <row r="785" spans="1:32" s="185" customFormat="1" ht="14.25" customHeight="1" thickBot="1">
      <c r="A785" s="333">
        <v>20882</v>
      </c>
      <c r="B785" s="194" t="s">
        <v>5811</v>
      </c>
      <c r="C785" s="339">
        <f t="shared" si="28"/>
        <v>50000</v>
      </c>
      <c r="D785" s="196" t="s">
        <v>624</v>
      </c>
      <c r="E785" s="187" t="s">
        <v>7207</v>
      </c>
      <c r="F785" s="507">
        <f>SUMIFS(Controle!$R:$R,Controle!$H:$H,produtos_escape2!$A785,Controle!$Z:$Z,"1")</f>
        <v>0</v>
      </c>
      <c r="G785" s="507">
        <f>SUMIFS(Controle!$R:$R,Controle!$H:$H,produtos_escape2!$A785,Controle!$Z:$Z,"2")</f>
        <v>0</v>
      </c>
      <c r="H785" s="507">
        <f>SUMIFS(Controle!$R:$R,Controle!$H:$H,produtos_escape2!$A785,Controle!$Z:$Z,"3")</f>
        <v>0</v>
      </c>
      <c r="I785" s="507">
        <f>SUMIFS(Controle!$R:$R,Controle!$H:$H,produtos_escape2!$A785,Controle!$Z:$Z,"4")</f>
        <v>0</v>
      </c>
      <c r="J785" s="507">
        <f>SUMIFS(Controle!$R:$R,Controle!$H:$H,produtos_escape2!$A785,Controle!$Z:$Z,"5")</f>
        <v>0</v>
      </c>
      <c r="K785" s="507">
        <f>SUMIFS(Controle!$R:$R,Controle!$H:$H,produtos_escape2!$A785,Controle!$Z:$Z,"6")</f>
        <v>0</v>
      </c>
      <c r="L785" s="507">
        <f t="shared" si="27"/>
        <v>0</v>
      </c>
      <c r="M785" s="381" t="s">
        <v>5810</v>
      </c>
      <c r="AF785" s="84"/>
    </row>
    <row r="786" spans="1:32" s="185" customFormat="1" ht="14.25" customHeight="1" thickBot="1">
      <c r="A786" s="333">
        <v>20888</v>
      </c>
      <c r="B786" s="194" t="s">
        <v>7838</v>
      </c>
      <c r="C786" s="339">
        <f t="shared" si="28"/>
        <v>49831.34</v>
      </c>
      <c r="D786" s="196" t="s">
        <v>624</v>
      </c>
      <c r="E786" s="187" t="s">
        <v>3608</v>
      </c>
      <c r="F786" s="507">
        <f>SUMIFS(Controle!$R:$R,Controle!$H:$H,produtos_escape2!$A786,Controle!$Z:$Z,"1")</f>
        <v>0</v>
      </c>
      <c r="G786" s="507">
        <f>SUMIFS(Controle!$R:$R,Controle!$H:$H,produtos_escape2!$A786,Controle!$Z:$Z,"2")</f>
        <v>168.66</v>
      </c>
      <c r="H786" s="507">
        <f>SUMIFS(Controle!$R:$R,Controle!$H:$H,produtos_escape2!$A786,Controle!$Z:$Z,"3")</f>
        <v>0</v>
      </c>
      <c r="I786" s="507">
        <f>SUMIFS(Controle!$R:$R,Controle!$H:$H,produtos_escape2!$A786,Controle!$Z:$Z,"4")</f>
        <v>0</v>
      </c>
      <c r="J786" s="507">
        <f>SUMIFS(Controle!$R:$R,Controle!$H:$H,produtos_escape2!$A786,Controle!$Z:$Z,"5")</f>
        <v>0</v>
      </c>
      <c r="K786" s="507">
        <f>SUMIFS(Controle!$R:$R,Controle!$H:$H,produtos_escape2!$A786,Controle!$Z:$Z,"6")</f>
        <v>0</v>
      </c>
      <c r="L786" s="507">
        <f t="shared" si="27"/>
        <v>168.66</v>
      </c>
      <c r="M786" s="381" t="s">
        <v>7839</v>
      </c>
      <c r="AF786" s="84"/>
    </row>
    <row r="787" spans="1:32" s="185" customFormat="1" ht="14.25" customHeight="1" thickBot="1">
      <c r="A787" s="353">
        <v>20918</v>
      </c>
      <c r="B787" s="194" t="s">
        <v>1465</v>
      </c>
      <c r="C787" s="339">
        <f t="shared" si="28"/>
        <v>50000</v>
      </c>
      <c r="D787" s="196" t="s">
        <v>624</v>
      </c>
      <c r="E787" s="187" t="s">
        <v>7207</v>
      </c>
      <c r="F787" s="507">
        <f>SUMIFS(Controle!$R:$R,Controle!$H:$H,produtos_escape2!$A787,Controle!$Z:$Z,"1")</f>
        <v>0</v>
      </c>
      <c r="G787" s="507">
        <f>SUMIFS(Controle!$R:$R,Controle!$H:$H,produtos_escape2!$A787,Controle!$Z:$Z,"2")</f>
        <v>0</v>
      </c>
      <c r="H787" s="507">
        <f>SUMIFS(Controle!$R:$R,Controle!$H:$H,produtos_escape2!$A787,Controle!$Z:$Z,"3")</f>
        <v>0</v>
      </c>
      <c r="I787" s="507">
        <f>SUMIFS(Controle!$R:$R,Controle!$H:$H,produtos_escape2!$A787,Controle!$Z:$Z,"4")</f>
        <v>0</v>
      </c>
      <c r="J787" s="507">
        <f>SUMIFS(Controle!$R:$R,Controle!$H:$H,produtos_escape2!$A787,Controle!$Z:$Z,"5")</f>
        <v>0</v>
      </c>
      <c r="K787" s="507">
        <f>SUMIFS(Controle!$R:$R,Controle!$H:$H,produtos_escape2!$A787,Controle!$Z:$Z,"6")</f>
        <v>0</v>
      </c>
      <c r="L787" s="507">
        <f t="shared" si="27"/>
        <v>0</v>
      </c>
      <c r="M787" s="381" t="s">
        <v>4940</v>
      </c>
      <c r="AF787" s="84"/>
    </row>
    <row r="788" spans="1:32" s="185" customFormat="1" ht="14.25" customHeight="1" thickBot="1">
      <c r="A788" s="353">
        <v>20931</v>
      </c>
      <c r="B788" s="194" t="s">
        <v>2872</v>
      </c>
      <c r="C788" s="339">
        <f t="shared" si="28"/>
        <v>50000</v>
      </c>
      <c r="D788" s="196" t="s">
        <v>624</v>
      </c>
      <c r="E788" s="187" t="s">
        <v>2871</v>
      </c>
      <c r="F788" s="507">
        <f>SUMIFS(Controle!$R:$R,Controle!$H:$H,produtos_escape2!$A788,Controle!$Z:$Z,"1")</f>
        <v>0</v>
      </c>
      <c r="G788" s="507">
        <f>SUMIFS(Controle!$R:$R,Controle!$H:$H,produtos_escape2!$A788,Controle!$Z:$Z,"2")</f>
        <v>0</v>
      </c>
      <c r="H788" s="507">
        <f>SUMIFS(Controle!$R:$R,Controle!$H:$H,produtos_escape2!$A788,Controle!$Z:$Z,"3")</f>
        <v>0</v>
      </c>
      <c r="I788" s="507">
        <f>SUMIFS(Controle!$R:$R,Controle!$H:$H,produtos_escape2!$A788,Controle!$Z:$Z,"4")</f>
        <v>0</v>
      </c>
      <c r="J788" s="507">
        <f>SUMIFS(Controle!$R:$R,Controle!$H:$H,produtos_escape2!$A788,Controle!$Z:$Z,"5")</f>
        <v>0</v>
      </c>
      <c r="K788" s="507">
        <f>SUMIFS(Controle!$R:$R,Controle!$H:$H,produtos_escape2!$A788,Controle!$Z:$Z,"6")</f>
        <v>0</v>
      </c>
      <c r="L788" s="507">
        <f t="shared" si="27"/>
        <v>0</v>
      </c>
      <c r="M788" s="381" t="s">
        <v>4941</v>
      </c>
      <c r="AF788" s="84"/>
    </row>
    <row r="789" spans="1:32" s="185" customFormat="1" ht="14.25" customHeight="1" thickBot="1">
      <c r="A789" s="353">
        <v>20959</v>
      </c>
      <c r="B789" s="403" t="s">
        <v>829</v>
      </c>
      <c r="C789" s="339">
        <f t="shared" si="28"/>
        <v>48335.5</v>
      </c>
      <c r="D789" s="196" t="s">
        <v>624</v>
      </c>
      <c r="E789" s="187" t="s">
        <v>7207</v>
      </c>
      <c r="F789" s="507">
        <f>SUMIFS(Controle!$R:$R,Controle!$H:$H,produtos_escape2!$A789,Controle!$Z:$Z,"1")</f>
        <v>0</v>
      </c>
      <c r="G789" s="507">
        <f>SUMIFS(Controle!$R:$R,Controle!$H:$H,produtos_escape2!$A789,Controle!$Z:$Z,"2")</f>
        <v>0</v>
      </c>
      <c r="H789" s="507">
        <f>SUMIFS(Controle!$R:$R,Controle!$H:$H,produtos_escape2!$A789,Controle!$Z:$Z,"3")</f>
        <v>1664.5</v>
      </c>
      <c r="I789" s="507">
        <f>SUMIFS(Controle!$R:$R,Controle!$H:$H,produtos_escape2!$A789,Controle!$Z:$Z,"4")</f>
        <v>0</v>
      </c>
      <c r="J789" s="507">
        <f>SUMIFS(Controle!$R:$R,Controle!$H:$H,produtos_escape2!$A789,Controle!$Z:$Z,"5")</f>
        <v>0</v>
      </c>
      <c r="K789" s="507">
        <f>SUMIFS(Controle!$R:$R,Controle!$H:$H,produtos_escape2!$A789,Controle!$Z:$Z,"6")</f>
        <v>0</v>
      </c>
      <c r="L789" s="507">
        <f t="shared" si="27"/>
        <v>1664.5</v>
      </c>
      <c r="M789" s="381" t="s">
        <v>4942</v>
      </c>
      <c r="AF789" s="84"/>
    </row>
    <row r="790" spans="1:32" s="185" customFormat="1" ht="14.25" customHeight="1" thickBot="1">
      <c r="A790" s="353">
        <v>21019</v>
      </c>
      <c r="B790" s="338" t="s">
        <v>116</v>
      </c>
      <c r="C790" s="339">
        <f t="shared" si="28"/>
        <v>50000</v>
      </c>
      <c r="D790" s="196"/>
      <c r="E790" s="187"/>
      <c r="F790" s="507">
        <f>SUMIFS(Controle!$R:$R,Controle!$H:$H,produtos_escape2!$A790,Controle!$Z:$Z,"1")</f>
        <v>0</v>
      </c>
      <c r="G790" s="507">
        <f>SUMIFS(Controle!$R:$R,Controle!$H:$H,produtos_escape2!$A790,Controle!$Z:$Z,"2")</f>
        <v>0</v>
      </c>
      <c r="H790" s="507">
        <f>SUMIFS(Controle!$R:$R,Controle!$H:$H,produtos_escape2!$A790,Controle!$Z:$Z,"3")</f>
        <v>0</v>
      </c>
      <c r="I790" s="507">
        <f>SUMIFS(Controle!$R:$R,Controle!$H:$H,produtos_escape2!$A790,Controle!$Z:$Z,"4")</f>
        <v>0</v>
      </c>
      <c r="J790" s="507">
        <f>SUMIFS(Controle!$R:$R,Controle!$H:$H,produtos_escape2!$A790,Controle!$Z:$Z,"5")</f>
        <v>0</v>
      </c>
      <c r="K790" s="507">
        <f>SUMIFS(Controle!$R:$R,Controle!$H:$H,produtos_escape2!$A790,Controle!$Z:$Z,"6")</f>
        <v>0</v>
      </c>
      <c r="L790" s="507">
        <f t="shared" si="27"/>
        <v>0</v>
      </c>
      <c r="M790" s="381" t="s">
        <v>116</v>
      </c>
      <c r="AF790" s="84"/>
    </row>
    <row r="791" spans="1:32" s="185" customFormat="1" ht="14.25" customHeight="1" thickBot="1">
      <c r="A791" s="353">
        <v>21024</v>
      </c>
      <c r="B791" s="194" t="s">
        <v>3363</v>
      </c>
      <c r="C791" s="339">
        <f t="shared" si="28"/>
        <v>50000</v>
      </c>
      <c r="D791" s="196" t="s">
        <v>624</v>
      </c>
      <c r="E791" s="189" t="s">
        <v>7207</v>
      </c>
      <c r="F791" s="507">
        <f>SUMIFS(Controle!$R:$R,Controle!$H:$H,produtos_escape2!$A791,Controle!$Z:$Z,"1")</f>
        <v>0</v>
      </c>
      <c r="G791" s="507">
        <f>SUMIFS(Controle!$R:$R,Controle!$H:$H,produtos_escape2!$A791,Controle!$Z:$Z,"2")</f>
        <v>0</v>
      </c>
      <c r="H791" s="507">
        <f>SUMIFS(Controle!$R:$R,Controle!$H:$H,produtos_escape2!$A791,Controle!$Z:$Z,"3")</f>
        <v>0</v>
      </c>
      <c r="I791" s="507">
        <f>SUMIFS(Controle!$R:$R,Controle!$H:$H,produtos_escape2!$A791,Controle!$Z:$Z,"4")</f>
        <v>0</v>
      </c>
      <c r="J791" s="507">
        <f>SUMIFS(Controle!$R:$R,Controle!$H:$H,produtos_escape2!$A791,Controle!$Z:$Z,"5")</f>
        <v>0</v>
      </c>
      <c r="K791" s="507">
        <f>SUMIFS(Controle!$R:$R,Controle!$H:$H,produtos_escape2!$A791,Controle!$Z:$Z,"6")</f>
        <v>0</v>
      </c>
      <c r="L791" s="507">
        <f t="shared" si="27"/>
        <v>0</v>
      </c>
      <c r="M791" s="381" t="s">
        <v>4943</v>
      </c>
      <c r="AF791" s="84"/>
    </row>
    <row r="792" spans="1:32" s="185" customFormat="1" ht="14.25" customHeight="1" thickBot="1">
      <c r="A792" s="353">
        <v>21025</v>
      </c>
      <c r="B792" s="194" t="s">
        <v>3364</v>
      </c>
      <c r="C792" s="339">
        <f t="shared" si="28"/>
        <v>50000</v>
      </c>
      <c r="D792" s="196" t="s">
        <v>624</v>
      </c>
      <c r="E792" s="189" t="s">
        <v>7207</v>
      </c>
      <c r="F792" s="507">
        <f>SUMIFS(Controle!$R:$R,Controle!$H:$H,produtos_escape2!$A792,Controle!$Z:$Z,"1")</f>
        <v>0</v>
      </c>
      <c r="G792" s="507">
        <f>SUMIFS(Controle!$R:$R,Controle!$H:$H,produtos_escape2!$A792,Controle!$Z:$Z,"2")</f>
        <v>0</v>
      </c>
      <c r="H792" s="507">
        <f>SUMIFS(Controle!$R:$R,Controle!$H:$H,produtos_escape2!$A792,Controle!$Z:$Z,"3")</f>
        <v>0</v>
      </c>
      <c r="I792" s="507">
        <f>SUMIFS(Controle!$R:$R,Controle!$H:$H,produtos_escape2!$A792,Controle!$Z:$Z,"4")</f>
        <v>0</v>
      </c>
      <c r="J792" s="507">
        <f>SUMIFS(Controle!$R:$R,Controle!$H:$H,produtos_escape2!$A792,Controle!$Z:$Z,"5")</f>
        <v>0</v>
      </c>
      <c r="K792" s="507">
        <f>SUMIFS(Controle!$R:$R,Controle!$H:$H,produtos_escape2!$A792,Controle!$Z:$Z,"6")</f>
        <v>0</v>
      </c>
      <c r="L792" s="507">
        <f t="shared" si="27"/>
        <v>0</v>
      </c>
      <c r="M792" s="381" t="s">
        <v>4943</v>
      </c>
      <c r="AF792" s="84"/>
    </row>
    <row r="793" spans="1:32" s="185" customFormat="1" ht="14.25" customHeight="1" thickBot="1">
      <c r="A793" s="353">
        <v>21026</v>
      </c>
      <c r="B793" s="194" t="s">
        <v>3365</v>
      </c>
      <c r="C793" s="339">
        <f t="shared" si="28"/>
        <v>50000</v>
      </c>
      <c r="D793" s="196" t="s">
        <v>624</v>
      </c>
      <c r="E793" s="189" t="s">
        <v>7207</v>
      </c>
      <c r="F793" s="507">
        <f>SUMIFS(Controle!$R:$R,Controle!$H:$H,produtos_escape2!$A793,Controle!$Z:$Z,"1")</f>
        <v>0</v>
      </c>
      <c r="G793" s="507">
        <f>SUMIFS(Controle!$R:$R,Controle!$H:$H,produtos_escape2!$A793,Controle!$Z:$Z,"2")</f>
        <v>0</v>
      </c>
      <c r="H793" s="507">
        <f>SUMIFS(Controle!$R:$R,Controle!$H:$H,produtos_escape2!$A793,Controle!$Z:$Z,"3")</f>
        <v>0</v>
      </c>
      <c r="I793" s="507">
        <f>SUMIFS(Controle!$R:$R,Controle!$H:$H,produtos_escape2!$A793,Controle!$Z:$Z,"4")</f>
        <v>0</v>
      </c>
      <c r="J793" s="507">
        <f>SUMIFS(Controle!$R:$R,Controle!$H:$H,produtos_escape2!$A793,Controle!$Z:$Z,"5")</f>
        <v>0</v>
      </c>
      <c r="K793" s="507">
        <f>SUMIFS(Controle!$R:$R,Controle!$H:$H,produtos_escape2!$A793,Controle!$Z:$Z,"6")</f>
        <v>0</v>
      </c>
      <c r="L793" s="507">
        <f t="shared" si="27"/>
        <v>0</v>
      </c>
      <c r="M793" s="381" t="s">
        <v>4943</v>
      </c>
      <c r="AF793" s="84"/>
    </row>
    <row r="794" spans="1:32" s="185" customFormat="1" ht="14.25" customHeight="1" thickBot="1">
      <c r="A794" s="333">
        <v>21029</v>
      </c>
      <c r="B794" s="194" t="s">
        <v>3362</v>
      </c>
      <c r="C794" s="339">
        <f t="shared" si="28"/>
        <v>50000</v>
      </c>
      <c r="D794" s="196" t="s">
        <v>624</v>
      </c>
      <c r="E794" s="189" t="s">
        <v>7207</v>
      </c>
      <c r="F794" s="507">
        <f>SUMIFS(Controle!$R:$R,Controle!$H:$H,produtos_escape2!$A794,Controle!$Z:$Z,"1")</f>
        <v>0</v>
      </c>
      <c r="G794" s="507">
        <f>SUMIFS(Controle!$R:$R,Controle!$H:$H,produtos_escape2!$A794,Controle!$Z:$Z,"2")</f>
        <v>0</v>
      </c>
      <c r="H794" s="507">
        <f>SUMIFS(Controle!$R:$R,Controle!$H:$H,produtos_escape2!$A794,Controle!$Z:$Z,"3")</f>
        <v>0</v>
      </c>
      <c r="I794" s="507">
        <f>SUMIFS(Controle!$R:$R,Controle!$H:$H,produtos_escape2!$A794,Controle!$Z:$Z,"4")</f>
        <v>0</v>
      </c>
      <c r="J794" s="507">
        <f>SUMIFS(Controle!$R:$R,Controle!$H:$H,produtos_escape2!$A794,Controle!$Z:$Z,"5")</f>
        <v>0</v>
      </c>
      <c r="K794" s="507">
        <f>SUMIFS(Controle!$R:$R,Controle!$H:$H,produtos_escape2!$A794,Controle!$Z:$Z,"6")</f>
        <v>0</v>
      </c>
      <c r="L794" s="507">
        <f t="shared" si="27"/>
        <v>0</v>
      </c>
      <c r="M794" s="381" t="s">
        <v>4944</v>
      </c>
      <c r="AF794" s="84"/>
    </row>
    <row r="795" spans="1:32" s="185" customFormat="1" ht="14.25" customHeight="1" thickBot="1">
      <c r="A795" s="353">
        <v>21041</v>
      </c>
      <c r="B795" s="194" t="s">
        <v>223</v>
      </c>
      <c r="C795" s="339">
        <f t="shared" si="28"/>
        <v>50000</v>
      </c>
      <c r="D795" s="196"/>
      <c r="E795" s="187" t="s">
        <v>3608</v>
      </c>
      <c r="F795" s="507">
        <f>SUMIFS(Controle!$R:$R,Controle!$H:$H,produtos_escape2!$A795,Controle!$Z:$Z,"1")</f>
        <v>0</v>
      </c>
      <c r="G795" s="507">
        <f>SUMIFS(Controle!$R:$R,Controle!$H:$H,produtos_escape2!$A795,Controle!$Z:$Z,"2")</f>
        <v>0</v>
      </c>
      <c r="H795" s="507">
        <f>SUMIFS(Controle!$R:$R,Controle!$H:$H,produtos_escape2!$A795,Controle!$Z:$Z,"3")</f>
        <v>0</v>
      </c>
      <c r="I795" s="507">
        <f>SUMIFS(Controle!$R:$R,Controle!$H:$H,produtos_escape2!$A795,Controle!$Z:$Z,"4")</f>
        <v>0</v>
      </c>
      <c r="J795" s="507">
        <f>SUMIFS(Controle!$R:$R,Controle!$H:$H,produtos_escape2!$A795,Controle!$Z:$Z,"5")</f>
        <v>0</v>
      </c>
      <c r="K795" s="507">
        <f>SUMIFS(Controle!$R:$R,Controle!$H:$H,produtos_escape2!$A795,Controle!$Z:$Z,"6")</f>
        <v>0</v>
      </c>
      <c r="L795" s="507">
        <f t="shared" si="27"/>
        <v>0</v>
      </c>
      <c r="M795" s="381" t="s">
        <v>223</v>
      </c>
      <c r="AF795" s="84"/>
    </row>
    <row r="796" spans="1:32" s="185" customFormat="1" ht="14.25" customHeight="1" thickBot="1">
      <c r="A796" s="353">
        <v>21072</v>
      </c>
      <c r="B796" s="194" t="s">
        <v>7560</v>
      </c>
      <c r="C796" s="339">
        <f t="shared" si="28"/>
        <v>49200</v>
      </c>
      <c r="D796" s="196" t="s">
        <v>848</v>
      </c>
      <c r="E796" s="187" t="s">
        <v>7207</v>
      </c>
      <c r="F796" s="507">
        <f>SUMIFS(Controle!$R:$R,Controle!$H:$H,produtos_escape2!$A796,Controle!$Z:$Z,"1")</f>
        <v>0</v>
      </c>
      <c r="G796" s="507">
        <f>SUMIFS(Controle!$R:$R,Controle!$H:$H,produtos_escape2!$A796,Controle!$Z:$Z,"2")</f>
        <v>800</v>
      </c>
      <c r="H796" s="507">
        <f>SUMIFS(Controle!$R:$R,Controle!$H:$H,produtos_escape2!$A796,Controle!$Z:$Z,"3")</f>
        <v>0</v>
      </c>
      <c r="I796" s="507">
        <f>SUMIFS(Controle!$R:$R,Controle!$H:$H,produtos_escape2!$A796,Controle!$Z:$Z,"4")</f>
        <v>0</v>
      </c>
      <c r="J796" s="507">
        <f>SUMIFS(Controle!$R:$R,Controle!$H:$H,produtos_escape2!$A796,Controle!$Z:$Z,"5")</f>
        <v>0</v>
      </c>
      <c r="K796" s="507">
        <f>SUMIFS(Controle!$R:$R,Controle!$H:$H,produtos_escape2!$A796,Controle!$Z:$Z,"6")</f>
        <v>0</v>
      </c>
      <c r="L796" s="507">
        <f t="shared" si="27"/>
        <v>800</v>
      </c>
      <c r="M796" s="381" t="s">
        <v>7561</v>
      </c>
      <c r="AF796" s="84"/>
    </row>
    <row r="797" spans="1:32" s="185" customFormat="1" ht="14.25" customHeight="1" thickBot="1">
      <c r="A797" s="353">
        <v>21073</v>
      </c>
      <c r="B797" s="194" t="s">
        <v>7170</v>
      </c>
      <c r="C797" s="339">
        <f t="shared" si="28"/>
        <v>49906</v>
      </c>
      <c r="D797" s="196" t="s">
        <v>624</v>
      </c>
      <c r="E797" s="187" t="s">
        <v>7207</v>
      </c>
      <c r="F797" s="507">
        <f>SUMIFS(Controle!$R:$R,Controle!$H:$H,produtos_escape2!$A797,Controle!$Z:$Z,"1")</f>
        <v>0</v>
      </c>
      <c r="G797" s="507">
        <f>SUMIFS(Controle!$R:$R,Controle!$H:$H,produtos_escape2!$A797,Controle!$Z:$Z,"2")</f>
        <v>76</v>
      </c>
      <c r="H797" s="507">
        <f>SUMIFS(Controle!$R:$R,Controle!$H:$H,produtos_escape2!$A797,Controle!$Z:$Z,"3")</f>
        <v>18</v>
      </c>
      <c r="I797" s="507">
        <f>SUMIFS(Controle!$R:$R,Controle!$H:$H,produtos_escape2!$A797,Controle!$Z:$Z,"4")</f>
        <v>0</v>
      </c>
      <c r="J797" s="507">
        <f>SUMIFS(Controle!$R:$R,Controle!$H:$H,produtos_escape2!$A797,Controle!$Z:$Z,"5")</f>
        <v>0</v>
      </c>
      <c r="K797" s="507">
        <f>SUMIFS(Controle!$R:$R,Controle!$H:$H,produtos_escape2!$A797,Controle!$Z:$Z,"6")</f>
        <v>0</v>
      </c>
      <c r="L797" s="507">
        <f t="shared" si="27"/>
        <v>94</v>
      </c>
      <c r="M797" s="381" t="s">
        <v>7169</v>
      </c>
      <c r="AF797" s="84"/>
    </row>
    <row r="798" spans="1:32" s="185" customFormat="1" ht="14.25" customHeight="1" thickBot="1">
      <c r="A798" s="353">
        <v>21114</v>
      </c>
      <c r="B798" s="194" t="s">
        <v>7037</v>
      </c>
      <c r="C798" s="339">
        <f t="shared" si="28"/>
        <v>50000</v>
      </c>
      <c r="D798" s="196" t="s">
        <v>624</v>
      </c>
      <c r="E798" s="187" t="s">
        <v>7207</v>
      </c>
      <c r="F798" s="507">
        <f>SUMIFS(Controle!$R:$R,Controle!$H:$H,produtos_escape2!$A798,Controle!$Z:$Z,"1")</f>
        <v>0</v>
      </c>
      <c r="G798" s="507">
        <f>SUMIFS(Controle!$R:$R,Controle!$H:$H,produtos_escape2!$A798,Controle!$Z:$Z,"2")</f>
        <v>0</v>
      </c>
      <c r="H798" s="507">
        <f>SUMIFS(Controle!$R:$R,Controle!$H:$H,produtos_escape2!$A798,Controle!$Z:$Z,"3")</f>
        <v>0</v>
      </c>
      <c r="I798" s="507">
        <f>SUMIFS(Controle!$R:$R,Controle!$H:$H,produtos_escape2!$A798,Controle!$Z:$Z,"4")</f>
        <v>0</v>
      </c>
      <c r="J798" s="507">
        <f>SUMIFS(Controle!$R:$R,Controle!$H:$H,produtos_escape2!$A798,Controle!$Z:$Z,"5")</f>
        <v>0</v>
      </c>
      <c r="K798" s="507">
        <f>SUMIFS(Controle!$R:$R,Controle!$H:$H,produtos_escape2!$A798,Controle!$Z:$Z,"6")</f>
        <v>0</v>
      </c>
      <c r="L798" s="507">
        <f t="shared" si="27"/>
        <v>0</v>
      </c>
      <c r="M798" s="381" t="s">
        <v>7038</v>
      </c>
      <c r="AF798" s="84"/>
    </row>
    <row r="799" spans="1:32" s="185" customFormat="1" ht="14.25" customHeight="1" thickBot="1">
      <c r="A799" s="353">
        <v>21190</v>
      </c>
      <c r="B799" s="194" t="s">
        <v>249</v>
      </c>
      <c r="C799" s="339">
        <f t="shared" si="28"/>
        <v>50000</v>
      </c>
      <c r="D799" s="196"/>
      <c r="E799" s="187"/>
      <c r="F799" s="507">
        <f>SUMIFS(Controle!$R:$R,Controle!$H:$H,produtos_escape2!$A799,Controle!$Z:$Z,"1")</f>
        <v>0</v>
      </c>
      <c r="G799" s="507">
        <f>SUMIFS(Controle!$R:$R,Controle!$H:$H,produtos_escape2!$A799,Controle!$Z:$Z,"2")</f>
        <v>0</v>
      </c>
      <c r="H799" s="507">
        <f>SUMIFS(Controle!$R:$R,Controle!$H:$H,produtos_escape2!$A799,Controle!$Z:$Z,"3")</f>
        <v>0</v>
      </c>
      <c r="I799" s="507">
        <f>SUMIFS(Controle!$R:$R,Controle!$H:$H,produtos_escape2!$A799,Controle!$Z:$Z,"4")</f>
        <v>0</v>
      </c>
      <c r="J799" s="507">
        <f>SUMIFS(Controle!$R:$R,Controle!$H:$H,produtos_escape2!$A799,Controle!$Z:$Z,"5")</f>
        <v>0</v>
      </c>
      <c r="K799" s="507">
        <f>SUMIFS(Controle!$R:$R,Controle!$H:$H,produtos_escape2!$A799,Controle!$Z:$Z,"6")</f>
        <v>0</v>
      </c>
      <c r="L799" s="507">
        <f t="shared" si="27"/>
        <v>0</v>
      </c>
      <c r="M799" s="381" t="s">
        <v>249</v>
      </c>
      <c r="AF799" s="84"/>
    </row>
    <row r="800" spans="1:32" s="185" customFormat="1" ht="14.25" customHeight="1" thickBot="1">
      <c r="A800" s="353">
        <v>21196</v>
      </c>
      <c r="B800" s="194" t="s">
        <v>1194</v>
      </c>
      <c r="C800" s="339">
        <f t="shared" si="28"/>
        <v>50000</v>
      </c>
      <c r="D800" s="196" t="s">
        <v>624</v>
      </c>
      <c r="E800" s="187" t="s">
        <v>1739</v>
      </c>
      <c r="F800" s="507">
        <f>SUMIFS(Controle!$R:$R,Controle!$H:$H,produtos_escape2!$A800,Controle!$Z:$Z,"1")</f>
        <v>0</v>
      </c>
      <c r="G800" s="507">
        <f>SUMIFS(Controle!$R:$R,Controle!$H:$H,produtos_escape2!$A800,Controle!$Z:$Z,"2")</f>
        <v>0</v>
      </c>
      <c r="H800" s="507">
        <f>SUMIFS(Controle!$R:$R,Controle!$H:$H,produtos_escape2!$A800,Controle!$Z:$Z,"3")</f>
        <v>0</v>
      </c>
      <c r="I800" s="507">
        <f>SUMIFS(Controle!$R:$R,Controle!$H:$H,produtos_escape2!$A800,Controle!$Z:$Z,"4")</f>
        <v>0</v>
      </c>
      <c r="J800" s="507">
        <f>SUMIFS(Controle!$R:$R,Controle!$H:$H,produtos_escape2!$A800,Controle!$Z:$Z,"5")</f>
        <v>0</v>
      </c>
      <c r="K800" s="507">
        <f>SUMIFS(Controle!$R:$R,Controle!$H:$H,produtos_escape2!$A800,Controle!$Z:$Z,"6")</f>
        <v>0</v>
      </c>
      <c r="L800" s="507">
        <f t="shared" si="27"/>
        <v>0</v>
      </c>
      <c r="M800" s="381" t="s">
        <v>4945</v>
      </c>
      <c r="AF800" s="84"/>
    </row>
    <row r="801" spans="1:32" s="185" customFormat="1" ht="14.25" customHeight="1" thickBot="1">
      <c r="A801" s="353">
        <v>21222</v>
      </c>
      <c r="B801" s="338" t="s">
        <v>1676</v>
      </c>
      <c r="C801" s="339">
        <f t="shared" si="28"/>
        <v>43352.5</v>
      </c>
      <c r="D801" s="196" t="s">
        <v>624</v>
      </c>
      <c r="E801" s="187" t="s">
        <v>7207</v>
      </c>
      <c r="F801" s="507">
        <f>SUMIFS(Controle!$R:$R,Controle!$H:$H,produtos_escape2!$A801,Controle!$Z:$Z,"1")</f>
        <v>0</v>
      </c>
      <c r="G801" s="507">
        <f>SUMIFS(Controle!$R:$R,Controle!$H:$H,produtos_escape2!$A801,Controle!$Z:$Z,"2")</f>
        <v>747.5</v>
      </c>
      <c r="H801" s="507">
        <f>SUMIFS(Controle!$R:$R,Controle!$H:$H,produtos_escape2!$A801,Controle!$Z:$Z,"3")</f>
        <v>0</v>
      </c>
      <c r="I801" s="507">
        <f>SUMIFS(Controle!$R:$R,Controle!$H:$H,produtos_escape2!$A801,Controle!$Z:$Z,"4")</f>
        <v>5900</v>
      </c>
      <c r="J801" s="507">
        <f>SUMIFS(Controle!$R:$R,Controle!$H:$H,produtos_escape2!$A801,Controle!$Z:$Z,"5")</f>
        <v>0</v>
      </c>
      <c r="K801" s="507">
        <f>SUMIFS(Controle!$R:$R,Controle!$H:$H,produtos_escape2!$A801,Controle!$Z:$Z,"6")</f>
        <v>0</v>
      </c>
      <c r="L801" s="507">
        <f t="shared" si="27"/>
        <v>6647.5</v>
      </c>
      <c r="M801" s="381" t="s">
        <v>4946</v>
      </c>
      <c r="AF801" s="84"/>
    </row>
    <row r="802" spans="1:32" s="185" customFormat="1" ht="14.25" customHeight="1" thickBot="1">
      <c r="A802" s="353">
        <v>21228</v>
      </c>
      <c r="B802" s="338" t="s">
        <v>8190</v>
      </c>
      <c r="C802" s="339">
        <f t="shared" si="28"/>
        <v>49145</v>
      </c>
      <c r="D802" s="196" t="s">
        <v>624</v>
      </c>
      <c r="E802" s="187" t="s">
        <v>7207</v>
      </c>
      <c r="F802" s="507">
        <f>SUMIFS(Controle!$R:$R,Controle!$H:$H,produtos_escape2!$A802,Controle!$Z:$Z,"1")</f>
        <v>0</v>
      </c>
      <c r="G802" s="507">
        <f>SUMIFS(Controle!$R:$R,Controle!$H:$H,produtos_escape2!$A802,Controle!$Z:$Z,"2")</f>
        <v>0</v>
      </c>
      <c r="H802" s="507">
        <f>SUMIFS(Controle!$R:$R,Controle!$H:$H,produtos_escape2!$A802,Controle!$Z:$Z,"3")</f>
        <v>475</v>
      </c>
      <c r="I802" s="507">
        <f>SUMIFS(Controle!$R:$R,Controle!$H:$H,produtos_escape2!$A802,Controle!$Z:$Z,"4")</f>
        <v>380</v>
      </c>
      <c r="J802" s="507">
        <f>SUMIFS(Controle!$R:$R,Controle!$H:$H,produtos_escape2!$A802,Controle!$Z:$Z,"5")</f>
        <v>0</v>
      </c>
      <c r="K802" s="507">
        <f>SUMIFS(Controle!$R:$R,Controle!$H:$H,produtos_escape2!$A802,Controle!$Z:$Z,"6")</f>
        <v>0</v>
      </c>
      <c r="L802" s="507">
        <f t="shared" si="27"/>
        <v>855</v>
      </c>
      <c r="M802" s="381" t="s">
        <v>8191</v>
      </c>
      <c r="AF802" s="84"/>
    </row>
    <row r="803" spans="1:32" s="185" customFormat="1" ht="14.25" customHeight="1" thickBot="1">
      <c r="A803" s="353">
        <v>21243</v>
      </c>
      <c r="B803" s="194" t="s">
        <v>3473</v>
      </c>
      <c r="C803" s="339">
        <f t="shared" si="28"/>
        <v>50000</v>
      </c>
      <c r="D803" s="196" t="s">
        <v>624</v>
      </c>
      <c r="E803" s="187" t="s">
        <v>7207</v>
      </c>
      <c r="F803" s="507">
        <f>SUMIFS(Controle!$R:$R,Controle!$H:$H,produtos_escape2!$A803,Controle!$Z:$Z,"1")</f>
        <v>0</v>
      </c>
      <c r="G803" s="507">
        <f>SUMIFS(Controle!$R:$R,Controle!$H:$H,produtos_escape2!$A803,Controle!$Z:$Z,"2")</f>
        <v>0</v>
      </c>
      <c r="H803" s="507">
        <f>SUMIFS(Controle!$R:$R,Controle!$H:$H,produtos_escape2!$A803,Controle!$Z:$Z,"3")</f>
        <v>0</v>
      </c>
      <c r="I803" s="507">
        <f>SUMIFS(Controle!$R:$R,Controle!$H:$H,produtos_escape2!$A803,Controle!$Z:$Z,"4")</f>
        <v>0</v>
      </c>
      <c r="J803" s="507">
        <f>SUMIFS(Controle!$R:$R,Controle!$H:$H,produtos_escape2!$A803,Controle!$Z:$Z,"5")</f>
        <v>0</v>
      </c>
      <c r="K803" s="507">
        <f>SUMIFS(Controle!$R:$R,Controle!$H:$H,produtos_escape2!$A803,Controle!$Z:$Z,"6")</f>
        <v>0</v>
      </c>
      <c r="L803" s="507">
        <f t="shared" si="27"/>
        <v>0</v>
      </c>
      <c r="M803" s="381" t="s">
        <v>4947</v>
      </c>
      <c r="AF803" s="84"/>
    </row>
    <row r="804" spans="1:32" s="185" customFormat="1" ht="14.25" customHeight="1" thickBot="1">
      <c r="A804" s="353">
        <v>21338</v>
      </c>
      <c r="B804" s="194" t="s">
        <v>37</v>
      </c>
      <c r="C804" s="339">
        <f t="shared" si="28"/>
        <v>50000</v>
      </c>
      <c r="D804" s="196"/>
      <c r="E804" s="187"/>
      <c r="F804" s="507">
        <f>SUMIFS(Controle!$R:$R,Controle!$H:$H,produtos_escape2!$A804,Controle!$Z:$Z,"1")</f>
        <v>0</v>
      </c>
      <c r="G804" s="507">
        <f>SUMIFS(Controle!$R:$R,Controle!$H:$H,produtos_escape2!$A804,Controle!$Z:$Z,"2")</f>
        <v>0</v>
      </c>
      <c r="H804" s="507">
        <f>SUMIFS(Controle!$R:$R,Controle!$H:$H,produtos_escape2!$A804,Controle!$Z:$Z,"3")</f>
        <v>0</v>
      </c>
      <c r="I804" s="507">
        <f>SUMIFS(Controle!$R:$R,Controle!$H:$H,produtos_escape2!$A804,Controle!$Z:$Z,"4")</f>
        <v>0</v>
      </c>
      <c r="J804" s="507">
        <f>SUMIFS(Controle!$R:$R,Controle!$H:$H,produtos_escape2!$A804,Controle!$Z:$Z,"5")</f>
        <v>0</v>
      </c>
      <c r="K804" s="507">
        <f>SUMIFS(Controle!$R:$R,Controle!$H:$H,produtos_escape2!$A804,Controle!$Z:$Z,"6")</f>
        <v>0</v>
      </c>
      <c r="L804" s="507">
        <f t="shared" si="27"/>
        <v>0</v>
      </c>
      <c r="M804" s="381" t="s">
        <v>37</v>
      </c>
      <c r="AF804" s="84"/>
    </row>
    <row r="805" spans="1:32" s="185" customFormat="1" ht="16.5" customHeight="1" thickBot="1">
      <c r="A805" s="353">
        <v>21387</v>
      </c>
      <c r="B805" s="194" t="s">
        <v>977</v>
      </c>
      <c r="C805" s="339">
        <f t="shared" si="28"/>
        <v>50000</v>
      </c>
      <c r="D805" s="196" t="s">
        <v>624</v>
      </c>
      <c r="E805" s="187" t="s">
        <v>3608</v>
      </c>
      <c r="F805" s="507">
        <f>SUMIFS(Controle!$R:$R,Controle!$H:$H,produtos_escape2!$A805,Controle!$Z:$Z,"1")</f>
        <v>0</v>
      </c>
      <c r="G805" s="507">
        <f>SUMIFS(Controle!$R:$R,Controle!$H:$H,produtos_escape2!$A805,Controle!$Z:$Z,"2")</f>
        <v>0</v>
      </c>
      <c r="H805" s="507">
        <f>SUMIFS(Controle!$R:$R,Controle!$H:$H,produtos_escape2!$A805,Controle!$Z:$Z,"3")</f>
        <v>0</v>
      </c>
      <c r="I805" s="507">
        <f>SUMIFS(Controle!$R:$R,Controle!$H:$H,produtos_escape2!$A805,Controle!$Z:$Z,"4")</f>
        <v>0</v>
      </c>
      <c r="J805" s="507">
        <f>SUMIFS(Controle!$R:$R,Controle!$H:$H,produtos_escape2!$A805,Controle!$Z:$Z,"5")</f>
        <v>0</v>
      </c>
      <c r="K805" s="507">
        <f>SUMIFS(Controle!$R:$R,Controle!$H:$H,produtos_escape2!$A805,Controle!$Z:$Z,"6")</f>
        <v>0</v>
      </c>
      <c r="L805" s="507">
        <f t="shared" si="27"/>
        <v>0</v>
      </c>
      <c r="M805" s="381" t="s">
        <v>4948</v>
      </c>
      <c r="AF805" s="84"/>
    </row>
    <row r="806" spans="1:32" s="185" customFormat="1" ht="16.5" customHeight="1" thickBot="1">
      <c r="A806" s="333">
        <v>21408</v>
      </c>
      <c r="B806" s="194" t="s">
        <v>1276</v>
      </c>
      <c r="C806" s="339">
        <f t="shared" si="28"/>
        <v>50000</v>
      </c>
      <c r="D806" s="196" t="s">
        <v>725</v>
      </c>
      <c r="E806" s="187" t="s">
        <v>3608</v>
      </c>
      <c r="F806" s="507">
        <f>SUMIFS(Controle!$R:$R,Controle!$H:$H,produtos_escape2!$A806,Controle!$Z:$Z,"1")</f>
        <v>0</v>
      </c>
      <c r="G806" s="507">
        <f>SUMIFS(Controle!$R:$R,Controle!$H:$H,produtos_escape2!$A806,Controle!$Z:$Z,"2")</f>
        <v>0</v>
      </c>
      <c r="H806" s="507">
        <f>SUMIFS(Controle!$R:$R,Controle!$H:$H,produtos_escape2!$A806,Controle!$Z:$Z,"3")</f>
        <v>0</v>
      </c>
      <c r="I806" s="507">
        <f>SUMIFS(Controle!$R:$R,Controle!$H:$H,produtos_escape2!$A806,Controle!$Z:$Z,"4")</f>
        <v>0</v>
      </c>
      <c r="J806" s="507">
        <f>SUMIFS(Controle!$R:$R,Controle!$H:$H,produtos_escape2!$A806,Controle!$Z:$Z,"5")</f>
        <v>0</v>
      </c>
      <c r="K806" s="507">
        <f>SUMIFS(Controle!$R:$R,Controle!$H:$H,produtos_escape2!$A806,Controle!$Z:$Z,"6")</f>
        <v>0</v>
      </c>
      <c r="L806" s="507">
        <f t="shared" si="27"/>
        <v>0</v>
      </c>
      <c r="M806" s="381" t="s">
        <v>1276</v>
      </c>
      <c r="AF806" s="84"/>
    </row>
    <row r="807" spans="1:32" s="185" customFormat="1" ht="16.5" customHeight="1" thickBot="1">
      <c r="A807" s="353">
        <v>21413</v>
      </c>
      <c r="B807" s="194" t="s">
        <v>564</v>
      </c>
      <c r="C807" s="339">
        <f t="shared" si="28"/>
        <v>49580</v>
      </c>
      <c r="D807" s="196" t="s">
        <v>624</v>
      </c>
      <c r="E807" s="187" t="s">
        <v>3608</v>
      </c>
      <c r="F807" s="507">
        <f>SUMIFS(Controle!$R:$R,Controle!$H:$H,produtos_escape2!$A807,Controle!$Z:$Z,"1")</f>
        <v>0</v>
      </c>
      <c r="G807" s="507">
        <f>SUMIFS(Controle!$R:$R,Controle!$H:$H,produtos_escape2!$A807,Controle!$Z:$Z,"2")</f>
        <v>0</v>
      </c>
      <c r="H807" s="507">
        <f>SUMIFS(Controle!$R:$R,Controle!$H:$H,produtos_escape2!$A807,Controle!$Z:$Z,"3")</f>
        <v>0</v>
      </c>
      <c r="I807" s="507">
        <f>SUMIFS(Controle!$R:$R,Controle!$H:$H,produtos_escape2!$A807,Controle!$Z:$Z,"4")</f>
        <v>0</v>
      </c>
      <c r="J807" s="507">
        <f>SUMIFS(Controle!$R:$R,Controle!$H:$H,produtos_escape2!$A807,Controle!$Z:$Z,"5")</f>
        <v>0</v>
      </c>
      <c r="K807" s="507">
        <f>SUMIFS(Controle!$R:$R,Controle!$H:$H,produtos_escape2!$A807,Controle!$Z:$Z,"6")</f>
        <v>420</v>
      </c>
      <c r="L807" s="507">
        <f t="shared" si="27"/>
        <v>420</v>
      </c>
      <c r="M807" s="381" t="s">
        <v>564</v>
      </c>
      <c r="AF807" s="84"/>
    </row>
    <row r="808" spans="1:32" s="185" customFormat="1" ht="14.25" customHeight="1" thickBot="1">
      <c r="A808" s="353">
        <v>21473</v>
      </c>
      <c r="B808" s="194" t="s">
        <v>2779</v>
      </c>
      <c r="C808" s="339">
        <f t="shared" si="28"/>
        <v>50000</v>
      </c>
      <c r="D808" s="191" t="s">
        <v>624</v>
      </c>
      <c r="E808" s="189" t="s">
        <v>3608</v>
      </c>
      <c r="F808" s="507">
        <f>SUMIFS(Controle!$R:$R,Controle!$H:$H,produtos_escape2!$A808,Controle!$Z:$Z,"1")</f>
        <v>0</v>
      </c>
      <c r="G808" s="507">
        <f>SUMIFS(Controle!$R:$R,Controle!$H:$H,produtos_escape2!$A808,Controle!$Z:$Z,"2")</f>
        <v>0</v>
      </c>
      <c r="H808" s="507">
        <f>SUMIFS(Controle!$R:$R,Controle!$H:$H,produtos_escape2!$A808,Controle!$Z:$Z,"3")</f>
        <v>0</v>
      </c>
      <c r="I808" s="507">
        <f>SUMIFS(Controle!$R:$R,Controle!$H:$H,produtos_escape2!$A808,Controle!$Z:$Z,"4")</f>
        <v>0</v>
      </c>
      <c r="J808" s="507">
        <f>SUMIFS(Controle!$R:$R,Controle!$H:$H,produtos_escape2!$A808,Controle!$Z:$Z,"5")</f>
        <v>0</v>
      </c>
      <c r="K808" s="507">
        <f>SUMIFS(Controle!$R:$R,Controle!$H:$H,produtos_escape2!$A808,Controle!$Z:$Z,"6")</f>
        <v>0</v>
      </c>
      <c r="L808" s="507">
        <f t="shared" si="27"/>
        <v>0</v>
      </c>
      <c r="M808" s="381" t="s">
        <v>4949</v>
      </c>
      <c r="AF808" s="84"/>
    </row>
    <row r="809" spans="1:32" s="185" customFormat="1" ht="14.25" customHeight="1" thickBot="1">
      <c r="A809" s="353">
        <v>21552</v>
      </c>
      <c r="B809" s="194" t="s">
        <v>828</v>
      </c>
      <c r="C809" s="339">
        <f t="shared" si="28"/>
        <v>50000</v>
      </c>
      <c r="D809" s="196" t="s">
        <v>819</v>
      </c>
      <c r="E809" s="187" t="s">
        <v>3608</v>
      </c>
      <c r="F809" s="507">
        <f>SUMIFS(Controle!$R:$R,Controle!$H:$H,produtos_escape2!$A809,Controle!$Z:$Z,"1")</f>
        <v>0</v>
      </c>
      <c r="G809" s="507">
        <f>SUMIFS(Controle!$R:$R,Controle!$H:$H,produtos_escape2!$A809,Controle!$Z:$Z,"2")</f>
        <v>0</v>
      </c>
      <c r="H809" s="507">
        <f>SUMIFS(Controle!$R:$R,Controle!$H:$H,produtos_escape2!$A809,Controle!$Z:$Z,"3")</f>
        <v>0</v>
      </c>
      <c r="I809" s="507">
        <f>SUMIFS(Controle!$R:$R,Controle!$H:$H,produtos_escape2!$A809,Controle!$Z:$Z,"4")</f>
        <v>0</v>
      </c>
      <c r="J809" s="507">
        <f>SUMIFS(Controle!$R:$R,Controle!$H:$H,produtos_escape2!$A809,Controle!$Z:$Z,"5")</f>
        <v>0</v>
      </c>
      <c r="K809" s="507">
        <f>SUMIFS(Controle!$R:$R,Controle!$H:$H,produtos_escape2!$A809,Controle!$Z:$Z,"6")</f>
        <v>0</v>
      </c>
      <c r="L809" s="507">
        <f t="shared" si="27"/>
        <v>0</v>
      </c>
      <c r="M809" s="381" t="s">
        <v>4950</v>
      </c>
      <c r="AF809" s="84"/>
    </row>
    <row r="810" spans="1:32" s="185" customFormat="1" ht="14.25" customHeight="1" thickBot="1">
      <c r="A810" s="353">
        <v>21593</v>
      </c>
      <c r="B810" s="338" t="s">
        <v>7399</v>
      </c>
      <c r="C810" s="339">
        <f t="shared" si="28"/>
        <v>44085.635600000001</v>
      </c>
      <c r="D810" s="196" t="s">
        <v>725</v>
      </c>
      <c r="E810" s="189" t="s">
        <v>3608</v>
      </c>
      <c r="F810" s="507">
        <f>SUMIFS(Controle!$R:$R,Controle!$H:$H,produtos_escape2!$A810,Controle!$Z:$Z,"1")</f>
        <v>0</v>
      </c>
      <c r="G810" s="507">
        <f>SUMIFS(Controle!$R:$R,Controle!$H:$H,produtos_escape2!$A810,Controle!$Z:$Z,"2")</f>
        <v>2446.8444</v>
      </c>
      <c r="H810" s="507">
        <f>SUMIFS(Controle!$R:$R,Controle!$H:$H,produtos_escape2!$A810,Controle!$Z:$Z,"3")</f>
        <v>0</v>
      </c>
      <c r="I810" s="507">
        <f>SUMIFS(Controle!$R:$R,Controle!$H:$H,produtos_escape2!$A810,Controle!$Z:$Z,"4")</f>
        <v>0</v>
      </c>
      <c r="J810" s="507">
        <f>SUMIFS(Controle!$R:$R,Controle!$H:$H,produtos_escape2!$A810,Controle!$Z:$Z,"5")</f>
        <v>0</v>
      </c>
      <c r="K810" s="507">
        <f>SUMIFS(Controle!$R:$R,Controle!$H:$H,produtos_escape2!$A810,Controle!$Z:$Z,"6")</f>
        <v>3467.5199999999995</v>
      </c>
      <c r="L810" s="507">
        <f t="shared" si="27"/>
        <v>5914.3643999999995</v>
      </c>
      <c r="M810" s="381" t="s">
        <v>7400</v>
      </c>
      <c r="AF810" s="84"/>
    </row>
    <row r="811" spans="1:32" s="185" customFormat="1" ht="14.25" customHeight="1" thickBot="1">
      <c r="A811" s="353">
        <v>21605</v>
      </c>
      <c r="B811" s="338" t="s">
        <v>2900</v>
      </c>
      <c r="C811" s="339">
        <f t="shared" si="28"/>
        <v>50000</v>
      </c>
      <c r="D811" s="196" t="s">
        <v>624</v>
      </c>
      <c r="E811" s="187" t="s">
        <v>3608</v>
      </c>
      <c r="F811" s="507">
        <f>SUMIFS(Controle!$R:$R,Controle!$H:$H,produtos_escape2!$A811,Controle!$Z:$Z,"1")</f>
        <v>0</v>
      </c>
      <c r="G811" s="507">
        <f>SUMIFS(Controle!$R:$R,Controle!$H:$H,produtos_escape2!$A811,Controle!$Z:$Z,"2")</f>
        <v>0</v>
      </c>
      <c r="H811" s="507">
        <f>SUMIFS(Controle!$R:$R,Controle!$H:$H,produtos_escape2!$A811,Controle!$Z:$Z,"3")</f>
        <v>0</v>
      </c>
      <c r="I811" s="507">
        <f>SUMIFS(Controle!$R:$R,Controle!$H:$H,produtos_escape2!$A811,Controle!$Z:$Z,"4")</f>
        <v>0</v>
      </c>
      <c r="J811" s="507">
        <f>SUMIFS(Controle!$R:$R,Controle!$H:$H,produtos_escape2!$A811,Controle!$Z:$Z,"5")</f>
        <v>0</v>
      </c>
      <c r="K811" s="507">
        <f>SUMIFS(Controle!$R:$R,Controle!$H:$H,produtos_escape2!$A811,Controle!$Z:$Z,"6")</f>
        <v>0</v>
      </c>
      <c r="L811" s="507">
        <f t="shared" si="27"/>
        <v>0</v>
      </c>
      <c r="M811" s="381" t="s">
        <v>4951</v>
      </c>
      <c r="AF811" s="84"/>
    </row>
    <row r="812" spans="1:32" s="185" customFormat="1" ht="14.25" customHeight="1" thickBot="1">
      <c r="A812" s="353">
        <v>21620</v>
      </c>
      <c r="B812" s="194" t="s">
        <v>2715</v>
      </c>
      <c r="C812" s="339">
        <f t="shared" si="28"/>
        <v>50000</v>
      </c>
      <c r="D812" s="196" t="s">
        <v>624</v>
      </c>
      <c r="E812" s="187" t="s">
        <v>3608</v>
      </c>
      <c r="F812" s="507">
        <f>SUMIFS(Controle!$R:$R,Controle!$H:$H,produtos_escape2!$A812,Controle!$Z:$Z,"1")</f>
        <v>0</v>
      </c>
      <c r="G812" s="507">
        <f>SUMIFS(Controle!$R:$R,Controle!$H:$H,produtos_escape2!$A812,Controle!$Z:$Z,"2")</f>
        <v>0</v>
      </c>
      <c r="H812" s="507">
        <f>SUMIFS(Controle!$R:$R,Controle!$H:$H,produtos_escape2!$A812,Controle!$Z:$Z,"3")</f>
        <v>0</v>
      </c>
      <c r="I812" s="507">
        <f>SUMIFS(Controle!$R:$R,Controle!$H:$H,produtos_escape2!$A812,Controle!$Z:$Z,"4")</f>
        <v>0</v>
      </c>
      <c r="J812" s="507">
        <f>SUMIFS(Controle!$R:$R,Controle!$H:$H,produtos_escape2!$A812,Controle!$Z:$Z,"5")</f>
        <v>0</v>
      </c>
      <c r="K812" s="507">
        <f>SUMIFS(Controle!$R:$R,Controle!$H:$H,produtos_escape2!$A812,Controle!$Z:$Z,"6")</f>
        <v>0</v>
      </c>
      <c r="L812" s="507">
        <f t="shared" si="27"/>
        <v>0</v>
      </c>
      <c r="M812" s="381" t="s">
        <v>4952</v>
      </c>
      <c r="AF812" s="84"/>
    </row>
    <row r="813" spans="1:32" s="185" customFormat="1" ht="14.25" customHeight="1" thickBot="1">
      <c r="A813" s="353">
        <v>21634</v>
      </c>
      <c r="B813" s="194" t="s">
        <v>14</v>
      </c>
      <c r="C813" s="339">
        <f t="shared" si="28"/>
        <v>50000</v>
      </c>
      <c r="D813" s="196" t="s">
        <v>624</v>
      </c>
      <c r="E813" s="187" t="s">
        <v>3608</v>
      </c>
      <c r="F813" s="507">
        <f>SUMIFS(Controle!$R:$R,Controle!$H:$H,produtos_escape2!$A813,Controle!$Z:$Z,"1")</f>
        <v>0</v>
      </c>
      <c r="G813" s="507">
        <f>SUMIFS(Controle!$R:$R,Controle!$H:$H,produtos_escape2!$A813,Controle!$Z:$Z,"2")</f>
        <v>0</v>
      </c>
      <c r="H813" s="507">
        <f>SUMIFS(Controle!$R:$R,Controle!$H:$H,produtos_escape2!$A813,Controle!$Z:$Z,"3")</f>
        <v>0</v>
      </c>
      <c r="I813" s="507">
        <f>SUMIFS(Controle!$R:$R,Controle!$H:$H,produtos_escape2!$A813,Controle!$Z:$Z,"4")</f>
        <v>0</v>
      </c>
      <c r="J813" s="507">
        <f>SUMIFS(Controle!$R:$R,Controle!$H:$H,produtos_escape2!$A813,Controle!$Z:$Z,"5")</f>
        <v>0</v>
      </c>
      <c r="K813" s="507">
        <f>SUMIFS(Controle!$R:$R,Controle!$H:$H,produtos_escape2!$A813,Controle!$Z:$Z,"6")</f>
        <v>0</v>
      </c>
      <c r="L813" s="507">
        <f t="shared" si="27"/>
        <v>0</v>
      </c>
      <c r="M813" s="381" t="s">
        <v>4953</v>
      </c>
      <c r="AF813" s="84"/>
    </row>
    <row r="814" spans="1:32" s="185" customFormat="1" ht="14.25" customHeight="1" thickBot="1">
      <c r="A814" s="353">
        <v>21635</v>
      </c>
      <c r="B814" s="194" t="s">
        <v>228</v>
      </c>
      <c r="C814" s="339">
        <f t="shared" si="28"/>
        <v>48310</v>
      </c>
      <c r="D814" s="196" t="s">
        <v>837</v>
      </c>
      <c r="E814" s="187" t="s">
        <v>7207</v>
      </c>
      <c r="F814" s="507">
        <f>SUMIFS(Controle!$R:$R,Controle!$H:$H,produtos_escape2!$A814,Controle!$Z:$Z,"1")</f>
        <v>0</v>
      </c>
      <c r="G814" s="507">
        <f>SUMIFS(Controle!$R:$R,Controle!$H:$H,produtos_escape2!$A814,Controle!$Z:$Z,"2")</f>
        <v>0</v>
      </c>
      <c r="H814" s="507">
        <f>SUMIFS(Controle!$R:$R,Controle!$H:$H,produtos_escape2!$A814,Controle!$Z:$Z,"3")</f>
        <v>1689.9999999999998</v>
      </c>
      <c r="I814" s="507">
        <f>SUMIFS(Controle!$R:$R,Controle!$H:$H,produtos_escape2!$A814,Controle!$Z:$Z,"4")</f>
        <v>0</v>
      </c>
      <c r="J814" s="507">
        <f>SUMIFS(Controle!$R:$R,Controle!$H:$H,produtos_escape2!$A814,Controle!$Z:$Z,"5")</f>
        <v>0</v>
      </c>
      <c r="K814" s="507">
        <f>SUMIFS(Controle!$R:$R,Controle!$H:$H,produtos_escape2!$A814,Controle!$Z:$Z,"6")</f>
        <v>0</v>
      </c>
      <c r="L814" s="507">
        <f t="shared" si="27"/>
        <v>1689.9999999999998</v>
      </c>
      <c r="M814" s="381" t="s">
        <v>4731</v>
      </c>
      <c r="AF814" s="84"/>
    </row>
    <row r="815" spans="1:32" s="185" customFormat="1" ht="14.25" customHeight="1" thickBot="1">
      <c r="A815" s="333">
        <v>21636</v>
      </c>
      <c r="B815" s="194" t="s">
        <v>418</v>
      </c>
      <c r="C815" s="339">
        <f t="shared" si="28"/>
        <v>50000</v>
      </c>
      <c r="D815" s="196" t="s">
        <v>624</v>
      </c>
      <c r="E815" s="187" t="s">
        <v>3608</v>
      </c>
      <c r="F815" s="507">
        <f>SUMIFS(Controle!$R:$R,Controle!$H:$H,produtos_escape2!$A815,Controle!$Z:$Z,"1")</f>
        <v>0</v>
      </c>
      <c r="G815" s="507">
        <f>SUMIFS(Controle!$R:$R,Controle!$H:$H,produtos_escape2!$A815,Controle!$Z:$Z,"2")</f>
        <v>0</v>
      </c>
      <c r="H815" s="507">
        <f>SUMIFS(Controle!$R:$R,Controle!$H:$H,produtos_escape2!$A815,Controle!$Z:$Z,"3")</f>
        <v>0</v>
      </c>
      <c r="I815" s="507">
        <f>SUMIFS(Controle!$R:$R,Controle!$H:$H,produtos_escape2!$A815,Controle!$Z:$Z,"4")</f>
        <v>0</v>
      </c>
      <c r="J815" s="507">
        <f>SUMIFS(Controle!$R:$R,Controle!$H:$H,produtos_escape2!$A815,Controle!$Z:$Z,"5")</f>
        <v>0</v>
      </c>
      <c r="K815" s="507">
        <f>SUMIFS(Controle!$R:$R,Controle!$H:$H,produtos_escape2!$A815,Controle!$Z:$Z,"6")</f>
        <v>0</v>
      </c>
      <c r="L815" s="507">
        <f t="shared" si="27"/>
        <v>0</v>
      </c>
      <c r="M815" s="381" t="s">
        <v>4954</v>
      </c>
      <c r="AF815" s="84"/>
    </row>
    <row r="816" spans="1:32" s="185" customFormat="1" ht="14.25" customHeight="1" thickBot="1">
      <c r="A816" s="353">
        <v>21638</v>
      </c>
      <c r="B816" s="194" t="s">
        <v>1808</v>
      </c>
      <c r="C816" s="339">
        <f t="shared" si="28"/>
        <v>50000</v>
      </c>
      <c r="D816" s="191" t="s">
        <v>624</v>
      </c>
      <c r="E816" s="189" t="s">
        <v>3608</v>
      </c>
      <c r="F816" s="507">
        <f>SUMIFS(Controle!$R:$R,Controle!$H:$H,produtos_escape2!$A816,Controle!$Z:$Z,"1")</f>
        <v>0</v>
      </c>
      <c r="G816" s="507">
        <f>SUMIFS(Controle!$R:$R,Controle!$H:$H,produtos_escape2!$A816,Controle!$Z:$Z,"2")</f>
        <v>0</v>
      </c>
      <c r="H816" s="507">
        <f>SUMIFS(Controle!$R:$R,Controle!$H:$H,produtos_escape2!$A816,Controle!$Z:$Z,"3")</f>
        <v>0</v>
      </c>
      <c r="I816" s="507">
        <f>SUMIFS(Controle!$R:$R,Controle!$H:$H,produtos_escape2!$A816,Controle!$Z:$Z,"4")</f>
        <v>0</v>
      </c>
      <c r="J816" s="507">
        <f>SUMIFS(Controle!$R:$R,Controle!$H:$H,produtos_escape2!$A816,Controle!$Z:$Z,"5")</f>
        <v>0</v>
      </c>
      <c r="K816" s="507">
        <f>SUMIFS(Controle!$R:$R,Controle!$H:$H,produtos_escape2!$A816,Controle!$Z:$Z,"6")</f>
        <v>0</v>
      </c>
      <c r="L816" s="507">
        <f t="shared" si="27"/>
        <v>0</v>
      </c>
      <c r="M816" s="381" t="s">
        <v>4955</v>
      </c>
      <c r="AF816" s="84"/>
    </row>
    <row r="817" spans="1:32" s="185" customFormat="1" ht="14.25" customHeight="1" thickBot="1">
      <c r="A817" s="353">
        <v>21673</v>
      </c>
      <c r="B817" s="194" t="s">
        <v>1235</v>
      </c>
      <c r="C817" s="339">
        <f t="shared" si="28"/>
        <v>50000</v>
      </c>
      <c r="D817" s="196" t="s">
        <v>725</v>
      </c>
      <c r="E817" s="187" t="s">
        <v>3608</v>
      </c>
      <c r="F817" s="507">
        <f>SUMIFS(Controle!$R:$R,Controle!$H:$H,produtos_escape2!$A817,Controle!$Z:$Z,"1")</f>
        <v>0</v>
      </c>
      <c r="G817" s="507">
        <f>SUMIFS(Controle!$R:$R,Controle!$H:$H,produtos_escape2!$A817,Controle!$Z:$Z,"2")</f>
        <v>0</v>
      </c>
      <c r="H817" s="507">
        <f>SUMIFS(Controle!$R:$R,Controle!$H:$H,produtos_escape2!$A817,Controle!$Z:$Z,"3")</f>
        <v>0</v>
      </c>
      <c r="I817" s="507">
        <f>SUMIFS(Controle!$R:$R,Controle!$H:$H,produtos_escape2!$A817,Controle!$Z:$Z,"4")</f>
        <v>0</v>
      </c>
      <c r="J817" s="507">
        <f>SUMIFS(Controle!$R:$R,Controle!$H:$H,produtos_escape2!$A817,Controle!$Z:$Z,"5")</f>
        <v>0</v>
      </c>
      <c r="K817" s="507">
        <f>SUMIFS(Controle!$R:$R,Controle!$H:$H,produtos_escape2!$A817,Controle!$Z:$Z,"6")</f>
        <v>0</v>
      </c>
      <c r="L817" s="507">
        <f t="shared" si="27"/>
        <v>0</v>
      </c>
      <c r="M817" s="381" t="s">
        <v>1235</v>
      </c>
      <c r="AF817" s="84"/>
    </row>
    <row r="818" spans="1:32" s="185" customFormat="1" ht="14.25" customHeight="1" thickBot="1">
      <c r="A818" s="353">
        <v>21684</v>
      </c>
      <c r="B818" s="194" t="s">
        <v>221</v>
      </c>
      <c r="C818" s="339">
        <f t="shared" si="28"/>
        <v>50000</v>
      </c>
      <c r="D818" s="196"/>
      <c r="E818" s="187"/>
      <c r="F818" s="507">
        <f>SUMIFS(Controle!$R:$R,Controle!$H:$H,produtos_escape2!$A818,Controle!$Z:$Z,"1")</f>
        <v>0</v>
      </c>
      <c r="G818" s="507">
        <f>SUMIFS(Controle!$R:$R,Controle!$H:$H,produtos_escape2!$A818,Controle!$Z:$Z,"2")</f>
        <v>0</v>
      </c>
      <c r="H818" s="507">
        <f>SUMIFS(Controle!$R:$R,Controle!$H:$H,produtos_escape2!$A818,Controle!$Z:$Z,"3")</f>
        <v>0</v>
      </c>
      <c r="I818" s="507">
        <f>SUMIFS(Controle!$R:$R,Controle!$H:$H,produtos_escape2!$A818,Controle!$Z:$Z,"4")</f>
        <v>0</v>
      </c>
      <c r="J818" s="507">
        <f>SUMIFS(Controle!$R:$R,Controle!$H:$H,produtos_escape2!$A818,Controle!$Z:$Z,"5")</f>
        <v>0</v>
      </c>
      <c r="K818" s="507">
        <f>SUMIFS(Controle!$R:$R,Controle!$H:$H,produtos_escape2!$A818,Controle!$Z:$Z,"6")</f>
        <v>0</v>
      </c>
      <c r="L818" s="507">
        <f t="shared" si="27"/>
        <v>0</v>
      </c>
      <c r="M818" s="381" t="s">
        <v>4956</v>
      </c>
      <c r="AF818" s="84"/>
    </row>
    <row r="819" spans="1:32" s="185" customFormat="1" ht="14.25" customHeight="1" thickBot="1">
      <c r="A819" s="353">
        <v>21685</v>
      </c>
      <c r="B819" s="194" t="s">
        <v>7449</v>
      </c>
      <c r="C819" s="339">
        <f t="shared" si="28"/>
        <v>50000</v>
      </c>
      <c r="D819" s="196" t="s">
        <v>549</v>
      </c>
      <c r="E819" s="187" t="s">
        <v>3608</v>
      </c>
      <c r="F819" s="507">
        <f>SUMIFS(Controle!$R:$R,Controle!$H:$H,produtos_escape2!$A819,Controle!$Z:$Z,"1")</f>
        <v>0</v>
      </c>
      <c r="G819" s="507">
        <f>SUMIFS(Controle!$R:$R,Controle!$H:$H,produtos_escape2!$A819,Controle!$Z:$Z,"2")</f>
        <v>0</v>
      </c>
      <c r="H819" s="507">
        <f>SUMIFS(Controle!$R:$R,Controle!$H:$H,produtos_escape2!$A819,Controle!$Z:$Z,"3")</f>
        <v>0</v>
      </c>
      <c r="I819" s="507">
        <f>SUMIFS(Controle!$R:$R,Controle!$H:$H,produtos_escape2!$A819,Controle!$Z:$Z,"4")</f>
        <v>0</v>
      </c>
      <c r="J819" s="507">
        <f>SUMIFS(Controle!$R:$R,Controle!$H:$H,produtos_escape2!$A819,Controle!$Z:$Z,"5")</f>
        <v>0</v>
      </c>
      <c r="K819" s="507">
        <f>SUMIFS(Controle!$R:$R,Controle!$H:$H,produtos_escape2!$A819,Controle!$Z:$Z,"6")</f>
        <v>0</v>
      </c>
      <c r="L819" s="507">
        <f t="shared" si="27"/>
        <v>0</v>
      </c>
      <c r="M819" s="381" t="s">
        <v>7450</v>
      </c>
      <c r="AF819" s="84"/>
    </row>
    <row r="820" spans="1:32" s="185" customFormat="1" ht="14.25" customHeight="1" thickBot="1">
      <c r="A820" s="353">
        <v>21719</v>
      </c>
      <c r="B820" s="338" t="s">
        <v>530</v>
      </c>
      <c r="C820" s="339">
        <f t="shared" si="28"/>
        <v>50000</v>
      </c>
      <c r="D820" s="196"/>
      <c r="E820" s="187"/>
      <c r="F820" s="507">
        <f>SUMIFS(Controle!$R:$R,Controle!$H:$H,produtos_escape2!$A820,Controle!$Z:$Z,"1")</f>
        <v>0</v>
      </c>
      <c r="G820" s="507">
        <f>SUMIFS(Controle!$R:$R,Controle!$H:$H,produtos_escape2!$A820,Controle!$Z:$Z,"2")</f>
        <v>0</v>
      </c>
      <c r="H820" s="507">
        <f>SUMIFS(Controle!$R:$R,Controle!$H:$H,produtos_escape2!$A820,Controle!$Z:$Z,"3")</f>
        <v>0</v>
      </c>
      <c r="I820" s="507">
        <f>SUMIFS(Controle!$R:$R,Controle!$H:$H,produtos_escape2!$A820,Controle!$Z:$Z,"4")</f>
        <v>0</v>
      </c>
      <c r="J820" s="507">
        <f>SUMIFS(Controle!$R:$R,Controle!$H:$H,produtos_escape2!$A820,Controle!$Z:$Z,"5")</f>
        <v>0</v>
      </c>
      <c r="K820" s="507">
        <f>SUMIFS(Controle!$R:$R,Controle!$H:$H,produtos_escape2!$A820,Controle!$Z:$Z,"6")</f>
        <v>0</v>
      </c>
      <c r="L820" s="507">
        <f t="shared" si="27"/>
        <v>0</v>
      </c>
      <c r="M820" s="381" t="s">
        <v>4957</v>
      </c>
      <c r="AF820" s="84"/>
    </row>
    <row r="821" spans="1:32" s="185" customFormat="1" ht="14.25" customHeight="1" thickBot="1">
      <c r="A821" s="353">
        <v>21720</v>
      </c>
      <c r="B821" s="194" t="s">
        <v>372</v>
      </c>
      <c r="C821" s="339">
        <f t="shared" si="28"/>
        <v>50000</v>
      </c>
      <c r="D821" s="196" t="s">
        <v>624</v>
      </c>
      <c r="E821" s="187" t="s">
        <v>1739</v>
      </c>
      <c r="F821" s="507">
        <f>SUMIFS(Controle!$R:$R,Controle!$H:$H,produtos_escape2!$A821,Controle!$Z:$Z,"1")</f>
        <v>0</v>
      </c>
      <c r="G821" s="507">
        <f>SUMIFS(Controle!$R:$R,Controle!$H:$H,produtos_escape2!$A821,Controle!$Z:$Z,"2")</f>
        <v>0</v>
      </c>
      <c r="H821" s="507">
        <f>SUMIFS(Controle!$R:$R,Controle!$H:$H,produtos_escape2!$A821,Controle!$Z:$Z,"3")</f>
        <v>0</v>
      </c>
      <c r="I821" s="507">
        <f>SUMIFS(Controle!$R:$R,Controle!$H:$H,produtos_escape2!$A821,Controle!$Z:$Z,"4")</f>
        <v>0</v>
      </c>
      <c r="J821" s="507">
        <f>SUMIFS(Controle!$R:$R,Controle!$H:$H,produtos_escape2!$A821,Controle!$Z:$Z,"5")</f>
        <v>0</v>
      </c>
      <c r="K821" s="507">
        <f>SUMIFS(Controle!$R:$R,Controle!$H:$H,produtos_escape2!$A821,Controle!$Z:$Z,"6")</f>
        <v>0</v>
      </c>
      <c r="L821" s="507">
        <f t="shared" si="27"/>
        <v>0</v>
      </c>
      <c r="M821" s="381" t="s">
        <v>4957</v>
      </c>
      <c r="AF821" s="84"/>
    </row>
    <row r="822" spans="1:32" s="185" customFormat="1" ht="14.25" customHeight="1" thickBot="1">
      <c r="A822" s="353">
        <v>21721</v>
      </c>
      <c r="B822" s="194" t="s">
        <v>622</v>
      </c>
      <c r="C822" s="339">
        <f t="shared" si="28"/>
        <v>50000</v>
      </c>
      <c r="D822" s="196" t="s">
        <v>624</v>
      </c>
      <c r="E822" s="187" t="s">
        <v>1739</v>
      </c>
      <c r="F822" s="507">
        <f>SUMIFS(Controle!$R:$R,Controle!$H:$H,produtos_escape2!$A822,Controle!$Z:$Z,"1")</f>
        <v>0</v>
      </c>
      <c r="G822" s="507">
        <f>SUMIFS(Controle!$R:$R,Controle!$H:$H,produtos_escape2!$A822,Controle!$Z:$Z,"2")</f>
        <v>0</v>
      </c>
      <c r="H822" s="507">
        <f>SUMIFS(Controle!$R:$R,Controle!$H:$H,produtos_escape2!$A822,Controle!$Z:$Z,"3")</f>
        <v>0</v>
      </c>
      <c r="I822" s="507">
        <f>SUMIFS(Controle!$R:$R,Controle!$H:$H,produtos_escape2!$A822,Controle!$Z:$Z,"4")</f>
        <v>0</v>
      </c>
      <c r="J822" s="507">
        <f>SUMIFS(Controle!$R:$R,Controle!$H:$H,produtos_escape2!$A822,Controle!$Z:$Z,"5")</f>
        <v>0</v>
      </c>
      <c r="K822" s="507">
        <f>SUMIFS(Controle!$R:$R,Controle!$H:$H,produtos_escape2!$A822,Controle!$Z:$Z,"6")</f>
        <v>0</v>
      </c>
      <c r="L822" s="507">
        <f t="shared" si="27"/>
        <v>0</v>
      </c>
      <c r="M822" s="381" t="s">
        <v>4957</v>
      </c>
      <c r="AF822" s="84"/>
    </row>
    <row r="823" spans="1:32" s="185" customFormat="1" ht="14.25" customHeight="1" thickBot="1">
      <c r="A823" s="353">
        <v>21726</v>
      </c>
      <c r="B823" s="194" t="s">
        <v>41</v>
      </c>
      <c r="C823" s="339">
        <f t="shared" si="28"/>
        <v>50000</v>
      </c>
      <c r="D823" s="196" t="s">
        <v>624</v>
      </c>
      <c r="E823" s="187" t="s">
        <v>1739</v>
      </c>
      <c r="F823" s="507">
        <f>SUMIFS(Controle!$R:$R,Controle!$H:$H,produtos_escape2!$A823,Controle!$Z:$Z,"1")</f>
        <v>0</v>
      </c>
      <c r="G823" s="507">
        <f>SUMIFS(Controle!$R:$R,Controle!$H:$H,produtos_escape2!$A823,Controle!$Z:$Z,"2")</f>
        <v>0</v>
      </c>
      <c r="H823" s="507">
        <f>SUMIFS(Controle!$R:$R,Controle!$H:$H,produtos_escape2!$A823,Controle!$Z:$Z,"3")</f>
        <v>0</v>
      </c>
      <c r="I823" s="507">
        <f>SUMIFS(Controle!$R:$R,Controle!$H:$H,produtos_escape2!$A823,Controle!$Z:$Z,"4")</f>
        <v>0</v>
      </c>
      <c r="J823" s="507">
        <f>SUMIFS(Controle!$R:$R,Controle!$H:$H,produtos_escape2!$A823,Controle!$Z:$Z,"5")</f>
        <v>0</v>
      </c>
      <c r="K823" s="507">
        <f>SUMIFS(Controle!$R:$R,Controle!$H:$H,produtos_escape2!$A823,Controle!$Z:$Z,"6")</f>
        <v>0</v>
      </c>
      <c r="L823" s="507">
        <f t="shared" si="27"/>
        <v>0</v>
      </c>
      <c r="M823" s="381" t="s">
        <v>4958</v>
      </c>
      <c r="AF823" s="84"/>
    </row>
    <row r="824" spans="1:32" s="185" customFormat="1" ht="14.25" customHeight="1" thickBot="1">
      <c r="A824" s="333">
        <v>21735</v>
      </c>
      <c r="B824" s="194" t="s">
        <v>2615</v>
      </c>
      <c r="C824" s="339">
        <f t="shared" si="28"/>
        <v>50000</v>
      </c>
      <c r="D824" s="196" t="s">
        <v>624</v>
      </c>
      <c r="E824" s="187" t="s">
        <v>1739</v>
      </c>
      <c r="F824" s="507">
        <f>SUMIFS(Controle!$R:$R,Controle!$H:$H,produtos_escape2!$A824,Controle!$Z:$Z,"1")</f>
        <v>0</v>
      </c>
      <c r="G824" s="507">
        <f>SUMIFS(Controle!$R:$R,Controle!$H:$H,produtos_escape2!$A824,Controle!$Z:$Z,"2")</f>
        <v>0</v>
      </c>
      <c r="H824" s="507">
        <f>SUMIFS(Controle!$R:$R,Controle!$H:$H,produtos_escape2!$A824,Controle!$Z:$Z,"3")</f>
        <v>0</v>
      </c>
      <c r="I824" s="507">
        <f>SUMIFS(Controle!$R:$R,Controle!$H:$H,produtos_escape2!$A824,Controle!$Z:$Z,"4")</f>
        <v>0</v>
      </c>
      <c r="J824" s="507">
        <f>SUMIFS(Controle!$R:$R,Controle!$H:$H,produtos_escape2!$A824,Controle!$Z:$Z,"5")</f>
        <v>0</v>
      </c>
      <c r="K824" s="507">
        <f>SUMIFS(Controle!$R:$R,Controle!$H:$H,produtos_escape2!$A824,Controle!$Z:$Z,"6")</f>
        <v>0</v>
      </c>
      <c r="L824" s="507">
        <f t="shared" si="27"/>
        <v>0</v>
      </c>
      <c r="M824" s="381" t="s">
        <v>4959</v>
      </c>
      <c r="AF824" s="84"/>
    </row>
    <row r="825" spans="1:32" s="185" customFormat="1" ht="14.25" customHeight="1" thickBot="1">
      <c r="A825" s="353">
        <v>21746</v>
      </c>
      <c r="B825" s="194" t="s">
        <v>1732</v>
      </c>
      <c r="C825" s="339">
        <f t="shared" si="28"/>
        <v>50000</v>
      </c>
      <c r="D825" s="191" t="s">
        <v>624</v>
      </c>
      <c r="E825" s="189" t="s">
        <v>3608</v>
      </c>
      <c r="F825" s="507">
        <f>SUMIFS(Controle!$R:$R,Controle!$H:$H,produtos_escape2!$A825,Controle!$Z:$Z,"1")</f>
        <v>0</v>
      </c>
      <c r="G825" s="507">
        <f>SUMIFS(Controle!$R:$R,Controle!$H:$H,produtos_escape2!$A825,Controle!$Z:$Z,"2")</f>
        <v>0</v>
      </c>
      <c r="H825" s="507">
        <f>SUMIFS(Controle!$R:$R,Controle!$H:$H,produtos_escape2!$A825,Controle!$Z:$Z,"3")</f>
        <v>0</v>
      </c>
      <c r="I825" s="507">
        <f>SUMIFS(Controle!$R:$R,Controle!$H:$H,produtos_escape2!$A825,Controle!$Z:$Z,"4")</f>
        <v>0</v>
      </c>
      <c r="J825" s="507">
        <f>SUMIFS(Controle!$R:$R,Controle!$H:$H,produtos_escape2!$A825,Controle!$Z:$Z,"5")</f>
        <v>0</v>
      </c>
      <c r="K825" s="507">
        <f>SUMIFS(Controle!$R:$R,Controle!$H:$H,produtos_escape2!$A825,Controle!$Z:$Z,"6")</f>
        <v>0</v>
      </c>
      <c r="L825" s="507">
        <f t="shared" si="27"/>
        <v>0</v>
      </c>
      <c r="M825" s="381" t="s">
        <v>4637</v>
      </c>
      <c r="AF825" s="84"/>
    </row>
    <row r="826" spans="1:32" s="185" customFormat="1" ht="14.25" customHeight="1" thickBot="1">
      <c r="A826" s="353">
        <v>21753</v>
      </c>
      <c r="B826" s="194" t="s">
        <v>2853</v>
      </c>
      <c r="C826" s="339">
        <f t="shared" si="28"/>
        <v>50000</v>
      </c>
      <c r="D826" s="196" t="s">
        <v>624</v>
      </c>
      <c r="E826" s="187" t="s">
        <v>3608</v>
      </c>
      <c r="F826" s="507">
        <f>SUMIFS(Controle!$R:$R,Controle!$H:$H,produtos_escape2!$A826,Controle!$Z:$Z,"1")</f>
        <v>0</v>
      </c>
      <c r="G826" s="507">
        <f>SUMIFS(Controle!$R:$R,Controle!$H:$H,produtos_escape2!$A826,Controle!$Z:$Z,"2")</f>
        <v>0</v>
      </c>
      <c r="H826" s="507">
        <f>SUMIFS(Controle!$R:$R,Controle!$H:$H,produtos_escape2!$A826,Controle!$Z:$Z,"3")</f>
        <v>0</v>
      </c>
      <c r="I826" s="507">
        <f>SUMIFS(Controle!$R:$R,Controle!$H:$H,produtos_escape2!$A826,Controle!$Z:$Z,"4")</f>
        <v>0</v>
      </c>
      <c r="J826" s="507">
        <f>SUMIFS(Controle!$R:$R,Controle!$H:$H,produtos_escape2!$A826,Controle!$Z:$Z,"5")</f>
        <v>0</v>
      </c>
      <c r="K826" s="507">
        <f>SUMIFS(Controle!$R:$R,Controle!$H:$H,produtos_escape2!$A826,Controle!$Z:$Z,"6")</f>
        <v>0</v>
      </c>
      <c r="L826" s="507">
        <f t="shared" si="27"/>
        <v>0</v>
      </c>
      <c r="M826" s="381" t="s">
        <v>4960</v>
      </c>
      <c r="AF826" s="84"/>
    </row>
    <row r="827" spans="1:32" s="185" customFormat="1" ht="14.25" customHeight="1" thickBot="1">
      <c r="A827" s="353">
        <v>21754</v>
      </c>
      <c r="B827" s="194" t="s">
        <v>3347</v>
      </c>
      <c r="C827" s="339">
        <f t="shared" si="28"/>
        <v>50000</v>
      </c>
      <c r="D827" s="196" t="s">
        <v>624</v>
      </c>
      <c r="E827" s="187" t="s">
        <v>3608</v>
      </c>
      <c r="F827" s="507">
        <f>SUMIFS(Controle!$R:$R,Controle!$H:$H,produtos_escape2!$A827,Controle!$Z:$Z,"1")</f>
        <v>0</v>
      </c>
      <c r="G827" s="507">
        <f>SUMIFS(Controle!$R:$R,Controle!$H:$H,produtos_escape2!$A827,Controle!$Z:$Z,"2")</f>
        <v>0</v>
      </c>
      <c r="H827" s="507">
        <f>SUMIFS(Controle!$R:$R,Controle!$H:$H,produtos_escape2!$A827,Controle!$Z:$Z,"3")</f>
        <v>0</v>
      </c>
      <c r="I827" s="507">
        <f>SUMIFS(Controle!$R:$R,Controle!$H:$H,produtos_escape2!$A827,Controle!$Z:$Z,"4")</f>
        <v>0</v>
      </c>
      <c r="J827" s="507">
        <f>SUMIFS(Controle!$R:$R,Controle!$H:$H,produtos_escape2!$A827,Controle!$Z:$Z,"5")</f>
        <v>0</v>
      </c>
      <c r="K827" s="507">
        <f>SUMIFS(Controle!$R:$R,Controle!$H:$H,produtos_escape2!$A827,Controle!$Z:$Z,"6")</f>
        <v>0</v>
      </c>
      <c r="L827" s="507">
        <f t="shared" si="27"/>
        <v>0</v>
      </c>
      <c r="M827" s="381" t="s">
        <v>4960</v>
      </c>
      <c r="AF827" s="84"/>
    </row>
    <row r="828" spans="1:32" s="185" customFormat="1" ht="14.25" customHeight="1" thickBot="1">
      <c r="A828" s="353">
        <v>21796</v>
      </c>
      <c r="B828" s="338" t="s">
        <v>1602</v>
      </c>
      <c r="C828" s="339">
        <f t="shared" si="28"/>
        <v>50000</v>
      </c>
      <c r="D828" s="196" t="s">
        <v>819</v>
      </c>
      <c r="E828" s="187" t="s">
        <v>3608</v>
      </c>
      <c r="F828" s="507">
        <f>SUMIFS(Controle!$R:$R,Controle!$H:$H,produtos_escape2!$A828,Controle!$Z:$Z,"1")</f>
        <v>0</v>
      </c>
      <c r="G828" s="507">
        <f>SUMIFS(Controle!$R:$R,Controle!$H:$H,produtos_escape2!$A828,Controle!$Z:$Z,"2")</f>
        <v>0</v>
      </c>
      <c r="H828" s="507">
        <f>SUMIFS(Controle!$R:$R,Controle!$H:$H,produtos_escape2!$A828,Controle!$Z:$Z,"3")</f>
        <v>0</v>
      </c>
      <c r="I828" s="507">
        <f>SUMIFS(Controle!$R:$R,Controle!$H:$H,produtos_escape2!$A828,Controle!$Z:$Z,"4")</f>
        <v>0</v>
      </c>
      <c r="J828" s="507">
        <f>SUMIFS(Controle!$R:$R,Controle!$H:$H,produtos_escape2!$A828,Controle!$Z:$Z,"5")</f>
        <v>0</v>
      </c>
      <c r="K828" s="507">
        <f>SUMIFS(Controle!$R:$R,Controle!$H:$H,produtos_escape2!$A828,Controle!$Z:$Z,"6")</f>
        <v>0</v>
      </c>
      <c r="L828" s="507">
        <f t="shared" si="27"/>
        <v>0</v>
      </c>
      <c r="M828" s="381" t="s">
        <v>4961</v>
      </c>
      <c r="AF828" s="84"/>
    </row>
    <row r="829" spans="1:32" s="185" customFormat="1" ht="14.25" customHeight="1" thickBot="1">
      <c r="A829" s="353">
        <v>21798</v>
      </c>
      <c r="B829" s="194" t="s">
        <v>1062</v>
      </c>
      <c r="C829" s="339">
        <f t="shared" si="28"/>
        <v>50000</v>
      </c>
      <c r="D829" s="196" t="s">
        <v>624</v>
      </c>
      <c r="E829" s="187" t="s">
        <v>7207</v>
      </c>
      <c r="F829" s="507">
        <f>SUMIFS(Controle!$R:$R,Controle!$H:$H,produtos_escape2!$A829,Controle!$Z:$Z,"1")</f>
        <v>0</v>
      </c>
      <c r="G829" s="507">
        <f>SUMIFS(Controle!$R:$R,Controle!$H:$H,produtos_escape2!$A829,Controle!$Z:$Z,"2")</f>
        <v>0</v>
      </c>
      <c r="H829" s="507">
        <f>SUMIFS(Controle!$R:$R,Controle!$H:$H,produtos_escape2!$A829,Controle!$Z:$Z,"3")</f>
        <v>0</v>
      </c>
      <c r="I829" s="507">
        <f>SUMIFS(Controle!$R:$R,Controle!$H:$H,produtos_escape2!$A829,Controle!$Z:$Z,"4")</f>
        <v>0</v>
      </c>
      <c r="J829" s="507">
        <f>SUMIFS(Controle!$R:$R,Controle!$H:$H,produtos_escape2!$A829,Controle!$Z:$Z,"5")</f>
        <v>0</v>
      </c>
      <c r="K829" s="507">
        <f>SUMIFS(Controle!$R:$R,Controle!$H:$H,produtos_escape2!$A829,Controle!$Z:$Z,"6")</f>
        <v>0</v>
      </c>
      <c r="L829" s="507">
        <f t="shared" si="27"/>
        <v>0</v>
      </c>
      <c r="M829" s="381" t="s">
        <v>4897</v>
      </c>
      <c r="AF829" s="84"/>
    </row>
    <row r="830" spans="1:32" s="185" customFormat="1" ht="14.25" customHeight="1" thickBot="1">
      <c r="A830" s="353">
        <v>21814</v>
      </c>
      <c r="B830" s="194" t="s">
        <v>638</v>
      </c>
      <c r="C830" s="339">
        <f t="shared" si="28"/>
        <v>50000</v>
      </c>
      <c r="D830" s="196" t="s">
        <v>624</v>
      </c>
      <c r="E830" s="187" t="s">
        <v>1739</v>
      </c>
      <c r="F830" s="507">
        <f>SUMIFS(Controle!$R:$R,Controle!$H:$H,produtos_escape2!$A830,Controle!$Z:$Z,"1")</f>
        <v>0</v>
      </c>
      <c r="G830" s="507">
        <f>SUMIFS(Controle!$R:$R,Controle!$H:$H,produtos_escape2!$A830,Controle!$Z:$Z,"2")</f>
        <v>0</v>
      </c>
      <c r="H830" s="507">
        <f>SUMIFS(Controle!$R:$R,Controle!$H:$H,produtos_escape2!$A830,Controle!$Z:$Z,"3")</f>
        <v>0</v>
      </c>
      <c r="I830" s="507">
        <f>SUMIFS(Controle!$R:$R,Controle!$H:$H,produtos_escape2!$A830,Controle!$Z:$Z,"4")</f>
        <v>0</v>
      </c>
      <c r="J830" s="507">
        <f>SUMIFS(Controle!$R:$R,Controle!$H:$H,produtos_escape2!$A830,Controle!$Z:$Z,"5")</f>
        <v>0</v>
      </c>
      <c r="K830" s="507">
        <f>SUMIFS(Controle!$R:$R,Controle!$H:$H,produtos_escape2!$A830,Controle!$Z:$Z,"6")</f>
        <v>0</v>
      </c>
      <c r="L830" s="507">
        <f t="shared" si="27"/>
        <v>0</v>
      </c>
      <c r="M830" s="381" t="s">
        <v>4962</v>
      </c>
      <c r="AF830" s="84"/>
    </row>
    <row r="831" spans="1:32" s="185" customFormat="1" ht="14.25" customHeight="1" thickBot="1">
      <c r="A831" s="353">
        <v>21815</v>
      </c>
      <c r="B831" s="194" t="s">
        <v>268</v>
      </c>
      <c r="C831" s="339">
        <f t="shared" si="28"/>
        <v>50000</v>
      </c>
      <c r="D831" s="196" t="s">
        <v>624</v>
      </c>
      <c r="E831" s="187"/>
      <c r="F831" s="507">
        <f>SUMIFS(Controle!$R:$R,Controle!$H:$H,produtos_escape2!$A831,Controle!$Z:$Z,"1")</f>
        <v>0</v>
      </c>
      <c r="G831" s="507">
        <f>SUMIFS(Controle!$R:$R,Controle!$H:$H,produtos_escape2!$A831,Controle!$Z:$Z,"2")</f>
        <v>0</v>
      </c>
      <c r="H831" s="507">
        <f>SUMIFS(Controle!$R:$R,Controle!$H:$H,produtos_escape2!$A831,Controle!$Z:$Z,"3")</f>
        <v>0</v>
      </c>
      <c r="I831" s="507">
        <f>SUMIFS(Controle!$R:$R,Controle!$H:$H,produtos_escape2!$A831,Controle!$Z:$Z,"4")</f>
        <v>0</v>
      </c>
      <c r="J831" s="507">
        <f>SUMIFS(Controle!$R:$R,Controle!$H:$H,produtos_escape2!$A831,Controle!$Z:$Z,"5")</f>
        <v>0</v>
      </c>
      <c r="K831" s="507">
        <f>SUMIFS(Controle!$R:$R,Controle!$H:$H,produtos_escape2!$A831,Controle!$Z:$Z,"6")</f>
        <v>0</v>
      </c>
      <c r="L831" s="507">
        <f t="shared" ref="L831:L894" si="29">SUM(F831:K831)</f>
        <v>0</v>
      </c>
      <c r="M831" s="381" t="s">
        <v>4962</v>
      </c>
      <c r="AF831" s="84"/>
    </row>
    <row r="832" spans="1:32" s="185" customFormat="1" ht="14.25" customHeight="1" thickBot="1">
      <c r="A832" s="333">
        <v>21834</v>
      </c>
      <c r="B832" s="194" t="s">
        <v>471</v>
      </c>
      <c r="C832" s="339">
        <f t="shared" si="28"/>
        <v>50000</v>
      </c>
      <c r="D832" s="196" t="s">
        <v>624</v>
      </c>
      <c r="E832" s="187" t="s">
        <v>3608</v>
      </c>
      <c r="F832" s="507">
        <f>SUMIFS(Controle!$R:$R,Controle!$H:$H,produtos_escape2!$A832,Controle!$Z:$Z,"1")</f>
        <v>0</v>
      </c>
      <c r="G832" s="507">
        <f>SUMIFS(Controle!$R:$R,Controle!$H:$H,produtos_escape2!$A832,Controle!$Z:$Z,"2")</f>
        <v>0</v>
      </c>
      <c r="H832" s="507">
        <f>SUMIFS(Controle!$R:$R,Controle!$H:$H,produtos_escape2!$A832,Controle!$Z:$Z,"3")</f>
        <v>0</v>
      </c>
      <c r="I832" s="507">
        <f>SUMIFS(Controle!$R:$R,Controle!$H:$H,produtos_escape2!$A832,Controle!$Z:$Z,"4")</f>
        <v>0</v>
      </c>
      <c r="J832" s="507">
        <f>SUMIFS(Controle!$R:$R,Controle!$H:$H,produtos_escape2!$A832,Controle!$Z:$Z,"5")</f>
        <v>0</v>
      </c>
      <c r="K832" s="507">
        <f>SUMIFS(Controle!$R:$R,Controle!$H:$H,produtos_escape2!$A832,Controle!$Z:$Z,"6")</f>
        <v>0</v>
      </c>
      <c r="L832" s="507">
        <f t="shared" si="29"/>
        <v>0</v>
      </c>
      <c r="M832" s="381" t="s">
        <v>4963</v>
      </c>
      <c r="AF832" s="84"/>
    </row>
    <row r="833" spans="1:32" s="185" customFormat="1" ht="14.25" customHeight="1" thickBot="1">
      <c r="A833" s="353">
        <v>21860</v>
      </c>
      <c r="B833" s="194" t="s">
        <v>2893</v>
      </c>
      <c r="C833" s="339">
        <f t="shared" si="28"/>
        <v>50000</v>
      </c>
      <c r="D833" s="196" t="s">
        <v>624</v>
      </c>
      <c r="E833" s="187" t="s">
        <v>7207</v>
      </c>
      <c r="F833" s="507">
        <f>SUMIFS(Controle!$R:$R,Controle!$H:$H,produtos_escape2!$A833,Controle!$Z:$Z,"1")</f>
        <v>0</v>
      </c>
      <c r="G833" s="507">
        <f>SUMIFS(Controle!$R:$R,Controle!$H:$H,produtos_escape2!$A833,Controle!$Z:$Z,"2")</f>
        <v>0</v>
      </c>
      <c r="H833" s="507">
        <f>SUMIFS(Controle!$R:$R,Controle!$H:$H,produtos_escape2!$A833,Controle!$Z:$Z,"3")</f>
        <v>0</v>
      </c>
      <c r="I833" s="507">
        <f>SUMIFS(Controle!$R:$R,Controle!$H:$H,produtos_escape2!$A833,Controle!$Z:$Z,"4")</f>
        <v>0</v>
      </c>
      <c r="J833" s="507">
        <f>SUMIFS(Controle!$R:$R,Controle!$H:$H,produtos_escape2!$A833,Controle!$Z:$Z,"5")</f>
        <v>0</v>
      </c>
      <c r="K833" s="507">
        <f>SUMIFS(Controle!$R:$R,Controle!$H:$H,produtos_escape2!$A833,Controle!$Z:$Z,"6")</f>
        <v>0</v>
      </c>
      <c r="L833" s="507">
        <f t="shared" si="29"/>
        <v>0</v>
      </c>
      <c r="M833" s="381" t="s">
        <v>4964</v>
      </c>
      <c r="AF833" s="84"/>
    </row>
    <row r="834" spans="1:32" s="185" customFormat="1" ht="14.25" customHeight="1" thickBot="1">
      <c r="A834" s="353">
        <v>21871</v>
      </c>
      <c r="B834" s="194" t="s">
        <v>4219</v>
      </c>
      <c r="C834" s="339">
        <f t="shared" si="28"/>
        <v>50000</v>
      </c>
      <c r="D834" s="196" t="s">
        <v>624</v>
      </c>
      <c r="E834" s="189" t="s">
        <v>7207</v>
      </c>
      <c r="F834" s="507">
        <f>SUMIFS(Controle!$R:$R,Controle!$H:$H,produtos_escape2!$A834,Controle!$Z:$Z,"1")</f>
        <v>0</v>
      </c>
      <c r="G834" s="507">
        <f>SUMIFS(Controle!$R:$R,Controle!$H:$H,produtos_escape2!$A834,Controle!$Z:$Z,"2")</f>
        <v>0</v>
      </c>
      <c r="H834" s="507">
        <f>SUMIFS(Controle!$R:$R,Controle!$H:$H,produtos_escape2!$A834,Controle!$Z:$Z,"3")</f>
        <v>0</v>
      </c>
      <c r="I834" s="507">
        <f>SUMIFS(Controle!$R:$R,Controle!$H:$H,produtos_escape2!$A834,Controle!$Z:$Z,"4")</f>
        <v>0</v>
      </c>
      <c r="J834" s="507">
        <f>SUMIFS(Controle!$R:$R,Controle!$H:$H,produtos_escape2!$A834,Controle!$Z:$Z,"5")</f>
        <v>0</v>
      </c>
      <c r="K834" s="507">
        <f>SUMIFS(Controle!$R:$R,Controle!$H:$H,produtos_escape2!$A834,Controle!$Z:$Z,"6")</f>
        <v>0</v>
      </c>
      <c r="L834" s="507">
        <f t="shared" si="29"/>
        <v>0</v>
      </c>
      <c r="M834" s="381" t="s">
        <v>4965</v>
      </c>
      <c r="AF834" s="84"/>
    </row>
    <row r="835" spans="1:32" s="185" customFormat="1" ht="14.25" customHeight="1" thickBot="1">
      <c r="A835" s="353">
        <v>21892</v>
      </c>
      <c r="B835" s="194" t="s">
        <v>4233</v>
      </c>
      <c r="C835" s="339">
        <f t="shared" si="28"/>
        <v>50000</v>
      </c>
      <c r="D835" s="196" t="s">
        <v>624</v>
      </c>
      <c r="E835" s="189" t="s">
        <v>7207</v>
      </c>
      <c r="F835" s="507">
        <f>SUMIFS(Controle!$R:$R,Controle!$H:$H,produtos_escape2!$A835,Controle!$Z:$Z,"1")</f>
        <v>0</v>
      </c>
      <c r="G835" s="507">
        <f>SUMIFS(Controle!$R:$R,Controle!$H:$H,produtos_escape2!$A835,Controle!$Z:$Z,"2")</f>
        <v>0</v>
      </c>
      <c r="H835" s="507">
        <f>SUMIFS(Controle!$R:$R,Controle!$H:$H,produtos_escape2!$A835,Controle!$Z:$Z,"3")</f>
        <v>0</v>
      </c>
      <c r="I835" s="507">
        <f>SUMIFS(Controle!$R:$R,Controle!$H:$H,produtos_escape2!$A835,Controle!$Z:$Z,"4")</f>
        <v>0</v>
      </c>
      <c r="J835" s="507">
        <f>SUMIFS(Controle!$R:$R,Controle!$H:$H,produtos_escape2!$A835,Controle!$Z:$Z,"5")</f>
        <v>0</v>
      </c>
      <c r="K835" s="507">
        <f>SUMIFS(Controle!$R:$R,Controle!$H:$H,produtos_escape2!$A835,Controle!$Z:$Z,"6")</f>
        <v>0</v>
      </c>
      <c r="L835" s="507">
        <f t="shared" si="29"/>
        <v>0</v>
      </c>
      <c r="M835" s="381" t="s">
        <v>4966</v>
      </c>
      <c r="AF835" s="84"/>
    </row>
    <row r="836" spans="1:32" s="185" customFormat="1" ht="14.25" customHeight="1" thickBot="1">
      <c r="A836" s="353">
        <v>21894</v>
      </c>
      <c r="B836" s="338" t="s">
        <v>1332</v>
      </c>
      <c r="C836" s="339">
        <f t="shared" si="28"/>
        <v>50000</v>
      </c>
      <c r="D836" s="196" t="s">
        <v>624</v>
      </c>
      <c r="E836" s="187" t="s">
        <v>1739</v>
      </c>
      <c r="F836" s="507">
        <f>SUMIFS(Controle!$R:$R,Controle!$H:$H,produtos_escape2!$A836,Controle!$Z:$Z,"1")</f>
        <v>0</v>
      </c>
      <c r="G836" s="507">
        <f>SUMIFS(Controle!$R:$R,Controle!$H:$H,produtos_escape2!$A836,Controle!$Z:$Z,"2")</f>
        <v>0</v>
      </c>
      <c r="H836" s="507">
        <f>SUMIFS(Controle!$R:$R,Controle!$H:$H,produtos_escape2!$A836,Controle!$Z:$Z,"3")</f>
        <v>0</v>
      </c>
      <c r="I836" s="507">
        <f>SUMIFS(Controle!$R:$R,Controle!$H:$H,produtos_escape2!$A836,Controle!$Z:$Z,"4")</f>
        <v>0</v>
      </c>
      <c r="J836" s="507">
        <f>SUMIFS(Controle!$R:$R,Controle!$H:$H,produtos_escape2!$A836,Controle!$Z:$Z,"5")</f>
        <v>0</v>
      </c>
      <c r="K836" s="507">
        <f>SUMIFS(Controle!$R:$R,Controle!$H:$H,produtos_escape2!$A836,Controle!$Z:$Z,"6")</f>
        <v>0</v>
      </c>
      <c r="L836" s="507">
        <f t="shared" si="29"/>
        <v>0</v>
      </c>
      <c r="M836" s="381" t="s">
        <v>4967</v>
      </c>
      <c r="AF836" s="84"/>
    </row>
    <row r="837" spans="1:32" s="185" customFormat="1" ht="14.25" customHeight="1" thickBot="1">
      <c r="A837" s="353">
        <v>22062</v>
      </c>
      <c r="B837" s="194" t="s">
        <v>136</v>
      </c>
      <c r="C837" s="339">
        <f t="shared" ref="C837:C900" si="30">50000-SUM(F837:K837)</f>
        <v>50000</v>
      </c>
      <c r="D837" s="196" t="s">
        <v>729</v>
      </c>
      <c r="E837" s="187" t="s">
        <v>1739</v>
      </c>
      <c r="F837" s="507">
        <f>SUMIFS(Controle!$R:$R,Controle!$H:$H,produtos_escape2!$A837,Controle!$Z:$Z,"1")</f>
        <v>0</v>
      </c>
      <c r="G837" s="507">
        <f>SUMIFS(Controle!$R:$R,Controle!$H:$H,produtos_escape2!$A837,Controle!$Z:$Z,"2")</f>
        <v>0</v>
      </c>
      <c r="H837" s="507">
        <f>SUMIFS(Controle!$R:$R,Controle!$H:$H,produtos_escape2!$A837,Controle!$Z:$Z,"3")</f>
        <v>0</v>
      </c>
      <c r="I837" s="507">
        <f>SUMIFS(Controle!$R:$R,Controle!$H:$H,produtos_escape2!$A837,Controle!$Z:$Z,"4")</f>
        <v>0</v>
      </c>
      <c r="J837" s="507">
        <f>SUMIFS(Controle!$R:$R,Controle!$H:$H,produtos_escape2!$A837,Controle!$Z:$Z,"5")</f>
        <v>0</v>
      </c>
      <c r="K837" s="507">
        <f>SUMIFS(Controle!$R:$R,Controle!$H:$H,produtos_escape2!$A837,Controle!$Z:$Z,"6")</f>
        <v>0</v>
      </c>
      <c r="L837" s="507">
        <f t="shared" si="29"/>
        <v>0</v>
      </c>
      <c r="M837" s="381" t="s">
        <v>4515</v>
      </c>
      <c r="AF837" s="84"/>
    </row>
    <row r="838" spans="1:32" s="185" customFormat="1" ht="14.25" customHeight="1" thickBot="1">
      <c r="A838" s="353">
        <v>22065</v>
      </c>
      <c r="B838" s="194" t="s">
        <v>841</v>
      </c>
      <c r="C838" s="339">
        <f t="shared" si="30"/>
        <v>50000</v>
      </c>
      <c r="D838" s="196" t="s">
        <v>833</v>
      </c>
      <c r="E838" s="187" t="s">
        <v>1739</v>
      </c>
      <c r="F838" s="507">
        <f>SUMIFS(Controle!$R:$R,Controle!$H:$H,produtos_escape2!$A838,Controle!$Z:$Z,"1")</f>
        <v>0</v>
      </c>
      <c r="G838" s="507">
        <f>SUMIFS(Controle!$R:$R,Controle!$H:$H,produtos_escape2!$A838,Controle!$Z:$Z,"2")</f>
        <v>0</v>
      </c>
      <c r="H838" s="507">
        <f>SUMIFS(Controle!$R:$R,Controle!$H:$H,produtos_escape2!$A838,Controle!$Z:$Z,"3")</f>
        <v>0</v>
      </c>
      <c r="I838" s="507">
        <f>SUMIFS(Controle!$R:$R,Controle!$H:$H,produtos_escape2!$A838,Controle!$Z:$Z,"4")</f>
        <v>0</v>
      </c>
      <c r="J838" s="507">
        <f>SUMIFS(Controle!$R:$R,Controle!$H:$H,produtos_escape2!$A838,Controle!$Z:$Z,"5")</f>
        <v>0</v>
      </c>
      <c r="K838" s="507">
        <f>SUMIFS(Controle!$R:$R,Controle!$H:$H,produtos_escape2!$A838,Controle!$Z:$Z,"6")</f>
        <v>0</v>
      </c>
      <c r="L838" s="507">
        <f t="shared" si="29"/>
        <v>0</v>
      </c>
      <c r="M838" s="381" t="s">
        <v>4968</v>
      </c>
      <c r="AF838" s="84"/>
    </row>
    <row r="839" spans="1:32" s="185" customFormat="1" ht="14.25" customHeight="1" thickBot="1">
      <c r="A839" s="353">
        <v>22069</v>
      </c>
      <c r="B839" s="194" t="s">
        <v>2616</v>
      </c>
      <c r="C839" s="339">
        <f t="shared" si="30"/>
        <v>50000</v>
      </c>
      <c r="D839" s="196" t="s">
        <v>729</v>
      </c>
      <c r="E839" s="187" t="s">
        <v>1739</v>
      </c>
      <c r="F839" s="507">
        <f>SUMIFS(Controle!$R:$R,Controle!$H:$H,produtos_escape2!$A839,Controle!$Z:$Z,"1")</f>
        <v>0</v>
      </c>
      <c r="G839" s="507">
        <f>SUMIFS(Controle!$R:$R,Controle!$H:$H,produtos_escape2!$A839,Controle!$Z:$Z,"2")</f>
        <v>0</v>
      </c>
      <c r="H839" s="507">
        <f>SUMIFS(Controle!$R:$R,Controle!$H:$H,produtos_escape2!$A839,Controle!$Z:$Z,"3")</f>
        <v>0</v>
      </c>
      <c r="I839" s="507">
        <f>SUMIFS(Controle!$R:$R,Controle!$H:$H,produtos_escape2!$A839,Controle!$Z:$Z,"4")</f>
        <v>0</v>
      </c>
      <c r="J839" s="507">
        <f>SUMIFS(Controle!$R:$R,Controle!$H:$H,produtos_escape2!$A839,Controle!$Z:$Z,"5")</f>
        <v>0</v>
      </c>
      <c r="K839" s="507">
        <f>SUMIFS(Controle!$R:$R,Controle!$H:$H,produtos_escape2!$A839,Controle!$Z:$Z,"6")</f>
        <v>0</v>
      </c>
      <c r="L839" s="507">
        <f t="shared" si="29"/>
        <v>0</v>
      </c>
      <c r="M839" s="381" t="s">
        <v>4515</v>
      </c>
      <c r="AF839" s="84"/>
    </row>
    <row r="840" spans="1:32" s="185" customFormat="1" ht="14.25" customHeight="1" thickBot="1">
      <c r="A840" s="333">
        <v>22075</v>
      </c>
      <c r="B840" s="194" t="s">
        <v>328</v>
      </c>
      <c r="C840" s="339">
        <f t="shared" si="30"/>
        <v>50000</v>
      </c>
      <c r="D840" s="196" t="s">
        <v>624</v>
      </c>
      <c r="E840" s="187" t="s">
        <v>1739</v>
      </c>
      <c r="F840" s="507">
        <f>SUMIFS(Controle!$R:$R,Controle!$H:$H,produtos_escape2!$A840,Controle!$Z:$Z,"1")</f>
        <v>0</v>
      </c>
      <c r="G840" s="507">
        <f>SUMIFS(Controle!$R:$R,Controle!$H:$H,produtos_escape2!$A840,Controle!$Z:$Z,"2")</f>
        <v>0</v>
      </c>
      <c r="H840" s="507">
        <f>SUMIFS(Controle!$R:$R,Controle!$H:$H,produtos_escape2!$A840,Controle!$Z:$Z,"3")</f>
        <v>0</v>
      </c>
      <c r="I840" s="507">
        <f>SUMIFS(Controle!$R:$R,Controle!$H:$H,produtos_escape2!$A840,Controle!$Z:$Z,"4")</f>
        <v>0</v>
      </c>
      <c r="J840" s="507">
        <f>SUMIFS(Controle!$R:$R,Controle!$H:$H,produtos_escape2!$A840,Controle!$Z:$Z,"5")</f>
        <v>0</v>
      </c>
      <c r="K840" s="507">
        <f>SUMIFS(Controle!$R:$R,Controle!$H:$H,produtos_escape2!$A840,Controle!$Z:$Z,"6")</f>
        <v>0</v>
      </c>
      <c r="L840" s="507">
        <f t="shared" si="29"/>
        <v>0</v>
      </c>
      <c r="M840" s="381" t="s">
        <v>4505</v>
      </c>
      <c r="AF840" s="84"/>
    </row>
    <row r="841" spans="1:32" s="185" customFormat="1" ht="14.25" customHeight="1" thickBot="1">
      <c r="A841" s="353">
        <v>22108</v>
      </c>
      <c r="B841" s="194" t="s">
        <v>336</v>
      </c>
      <c r="C841" s="339">
        <f t="shared" si="30"/>
        <v>50000</v>
      </c>
      <c r="D841" s="196"/>
      <c r="E841" s="187"/>
      <c r="F841" s="507">
        <f>SUMIFS(Controle!$R:$R,Controle!$H:$H,produtos_escape2!$A841,Controle!$Z:$Z,"1")</f>
        <v>0</v>
      </c>
      <c r="G841" s="507">
        <f>SUMIFS(Controle!$R:$R,Controle!$H:$H,produtos_escape2!$A841,Controle!$Z:$Z,"2")</f>
        <v>0</v>
      </c>
      <c r="H841" s="507">
        <f>SUMIFS(Controle!$R:$R,Controle!$H:$H,produtos_escape2!$A841,Controle!$Z:$Z,"3")</f>
        <v>0</v>
      </c>
      <c r="I841" s="507">
        <f>SUMIFS(Controle!$R:$R,Controle!$H:$H,produtos_escape2!$A841,Controle!$Z:$Z,"4")</f>
        <v>0</v>
      </c>
      <c r="J841" s="507">
        <f>SUMIFS(Controle!$R:$R,Controle!$H:$H,produtos_escape2!$A841,Controle!$Z:$Z,"5")</f>
        <v>0</v>
      </c>
      <c r="K841" s="507">
        <f>SUMIFS(Controle!$R:$R,Controle!$H:$H,produtos_escape2!$A841,Controle!$Z:$Z,"6")</f>
        <v>0</v>
      </c>
      <c r="L841" s="507">
        <f t="shared" si="29"/>
        <v>0</v>
      </c>
      <c r="M841" s="381" t="s">
        <v>336</v>
      </c>
      <c r="AF841" s="84"/>
    </row>
    <row r="842" spans="1:32" s="185" customFormat="1" ht="14.25" customHeight="1" thickBot="1">
      <c r="A842" s="353">
        <v>22109</v>
      </c>
      <c r="B842" s="194" t="s">
        <v>337</v>
      </c>
      <c r="C842" s="339">
        <f t="shared" si="30"/>
        <v>50000</v>
      </c>
      <c r="D842" s="196"/>
      <c r="E842" s="187"/>
      <c r="F842" s="507">
        <f>SUMIFS(Controle!$R:$R,Controle!$H:$H,produtos_escape2!$A842,Controle!$Z:$Z,"1")</f>
        <v>0</v>
      </c>
      <c r="G842" s="507">
        <f>SUMIFS(Controle!$R:$R,Controle!$H:$H,produtos_escape2!$A842,Controle!$Z:$Z,"2")</f>
        <v>0</v>
      </c>
      <c r="H842" s="507">
        <f>SUMIFS(Controle!$R:$R,Controle!$H:$H,produtos_escape2!$A842,Controle!$Z:$Z,"3")</f>
        <v>0</v>
      </c>
      <c r="I842" s="507">
        <f>SUMIFS(Controle!$R:$R,Controle!$H:$H,produtos_escape2!$A842,Controle!$Z:$Z,"4")</f>
        <v>0</v>
      </c>
      <c r="J842" s="507">
        <f>SUMIFS(Controle!$R:$R,Controle!$H:$H,produtos_escape2!$A842,Controle!$Z:$Z,"5")</f>
        <v>0</v>
      </c>
      <c r="K842" s="507">
        <f>SUMIFS(Controle!$R:$R,Controle!$H:$H,produtos_escape2!$A842,Controle!$Z:$Z,"6")</f>
        <v>0</v>
      </c>
      <c r="L842" s="507">
        <f t="shared" si="29"/>
        <v>0</v>
      </c>
      <c r="M842" s="381" t="s">
        <v>4969</v>
      </c>
      <c r="AF842" s="84"/>
    </row>
    <row r="843" spans="1:32" s="185" customFormat="1" ht="14.25" customHeight="1" thickBot="1">
      <c r="A843" s="353">
        <v>22132</v>
      </c>
      <c r="B843" s="194" t="s">
        <v>3989</v>
      </c>
      <c r="C843" s="339">
        <f t="shared" si="30"/>
        <v>50000</v>
      </c>
      <c r="D843" s="196" t="s">
        <v>837</v>
      </c>
      <c r="E843" s="187" t="s">
        <v>7207</v>
      </c>
      <c r="F843" s="507">
        <f>SUMIFS(Controle!$R:$R,Controle!$H:$H,produtos_escape2!$A843,Controle!$Z:$Z,"1")</f>
        <v>0</v>
      </c>
      <c r="G843" s="507">
        <f>SUMIFS(Controle!$R:$R,Controle!$H:$H,produtos_escape2!$A843,Controle!$Z:$Z,"2")</f>
        <v>0</v>
      </c>
      <c r="H843" s="507">
        <f>SUMIFS(Controle!$R:$R,Controle!$H:$H,produtos_escape2!$A843,Controle!$Z:$Z,"3")</f>
        <v>0</v>
      </c>
      <c r="I843" s="507">
        <f>SUMIFS(Controle!$R:$R,Controle!$H:$H,produtos_escape2!$A843,Controle!$Z:$Z,"4")</f>
        <v>0</v>
      </c>
      <c r="J843" s="507">
        <f>SUMIFS(Controle!$R:$R,Controle!$H:$H,produtos_escape2!$A843,Controle!$Z:$Z,"5")</f>
        <v>0</v>
      </c>
      <c r="K843" s="507">
        <f>SUMIFS(Controle!$R:$R,Controle!$H:$H,produtos_escape2!$A843,Controle!$Z:$Z,"6")</f>
        <v>0</v>
      </c>
      <c r="L843" s="507">
        <f t="shared" si="29"/>
        <v>0</v>
      </c>
      <c r="M843" s="381" t="s">
        <v>4970</v>
      </c>
      <c r="AF843" s="84"/>
    </row>
    <row r="844" spans="1:32" s="185" customFormat="1" ht="14.25" customHeight="1" thickBot="1">
      <c r="A844" s="353">
        <v>22133</v>
      </c>
      <c r="B844" s="338" t="s">
        <v>2617</v>
      </c>
      <c r="C844" s="339">
        <f t="shared" si="30"/>
        <v>50000</v>
      </c>
      <c r="D844" s="196" t="s">
        <v>837</v>
      </c>
      <c r="E844" s="187" t="s">
        <v>7207</v>
      </c>
      <c r="F844" s="507">
        <f>SUMIFS(Controle!$R:$R,Controle!$H:$H,produtos_escape2!$A844,Controle!$Z:$Z,"1")</f>
        <v>0</v>
      </c>
      <c r="G844" s="507">
        <f>SUMIFS(Controle!$R:$R,Controle!$H:$H,produtos_escape2!$A844,Controle!$Z:$Z,"2")</f>
        <v>0</v>
      </c>
      <c r="H844" s="507">
        <f>SUMIFS(Controle!$R:$R,Controle!$H:$H,produtos_escape2!$A844,Controle!$Z:$Z,"3")</f>
        <v>0</v>
      </c>
      <c r="I844" s="507">
        <f>SUMIFS(Controle!$R:$R,Controle!$H:$H,produtos_escape2!$A844,Controle!$Z:$Z,"4")</f>
        <v>0</v>
      </c>
      <c r="J844" s="507">
        <f>SUMIFS(Controle!$R:$R,Controle!$H:$H,produtos_escape2!$A844,Controle!$Z:$Z,"5")</f>
        <v>0</v>
      </c>
      <c r="K844" s="507">
        <f>SUMIFS(Controle!$R:$R,Controle!$H:$H,produtos_escape2!$A844,Controle!$Z:$Z,"6")</f>
        <v>0</v>
      </c>
      <c r="L844" s="507">
        <f t="shared" si="29"/>
        <v>0</v>
      </c>
      <c r="M844" s="381" t="s">
        <v>4970</v>
      </c>
      <c r="AF844" s="84"/>
    </row>
    <row r="845" spans="1:32" s="185" customFormat="1" ht="14.25" customHeight="1" thickBot="1">
      <c r="A845" s="353">
        <v>22134</v>
      </c>
      <c r="B845" s="194" t="s">
        <v>2618</v>
      </c>
      <c r="C845" s="339">
        <f t="shared" si="30"/>
        <v>50000</v>
      </c>
      <c r="D845" s="196" t="s">
        <v>837</v>
      </c>
      <c r="E845" s="187" t="s">
        <v>7207</v>
      </c>
      <c r="F845" s="507">
        <f>SUMIFS(Controle!$R:$R,Controle!$H:$H,produtos_escape2!$A845,Controle!$Z:$Z,"1")</f>
        <v>0</v>
      </c>
      <c r="G845" s="507">
        <f>SUMIFS(Controle!$R:$R,Controle!$H:$H,produtos_escape2!$A845,Controle!$Z:$Z,"2")</f>
        <v>0</v>
      </c>
      <c r="H845" s="507">
        <f>SUMIFS(Controle!$R:$R,Controle!$H:$H,produtos_escape2!$A845,Controle!$Z:$Z,"3")</f>
        <v>0</v>
      </c>
      <c r="I845" s="507">
        <f>SUMIFS(Controle!$R:$R,Controle!$H:$H,produtos_escape2!$A845,Controle!$Z:$Z,"4")</f>
        <v>0</v>
      </c>
      <c r="J845" s="507">
        <f>SUMIFS(Controle!$R:$R,Controle!$H:$H,produtos_escape2!$A845,Controle!$Z:$Z,"5")</f>
        <v>0</v>
      </c>
      <c r="K845" s="507">
        <f>SUMIFS(Controle!$R:$R,Controle!$H:$H,produtos_escape2!$A845,Controle!$Z:$Z,"6")</f>
        <v>0</v>
      </c>
      <c r="L845" s="507">
        <f t="shared" si="29"/>
        <v>0</v>
      </c>
      <c r="M845" s="381" t="s">
        <v>4970</v>
      </c>
      <c r="AF845" s="84"/>
    </row>
    <row r="846" spans="1:32" s="185" customFormat="1" ht="14.25" customHeight="1" thickBot="1">
      <c r="A846" s="353">
        <v>22248</v>
      </c>
      <c r="B846" s="194" t="s">
        <v>80</v>
      </c>
      <c r="C846" s="339">
        <f t="shared" si="30"/>
        <v>50000</v>
      </c>
      <c r="D846" s="196" t="s">
        <v>833</v>
      </c>
      <c r="E846" s="187"/>
      <c r="F846" s="507">
        <f>SUMIFS(Controle!$R:$R,Controle!$H:$H,produtos_escape2!$A846,Controle!$Z:$Z,"1")</f>
        <v>0</v>
      </c>
      <c r="G846" s="507">
        <f>SUMIFS(Controle!$R:$R,Controle!$H:$H,produtos_escape2!$A846,Controle!$Z:$Z,"2")</f>
        <v>0</v>
      </c>
      <c r="H846" s="507">
        <f>SUMIFS(Controle!$R:$R,Controle!$H:$H,produtos_escape2!$A846,Controle!$Z:$Z,"3")</f>
        <v>0</v>
      </c>
      <c r="I846" s="507">
        <f>SUMIFS(Controle!$R:$R,Controle!$H:$H,produtos_escape2!$A846,Controle!$Z:$Z,"4")</f>
        <v>0</v>
      </c>
      <c r="J846" s="507">
        <f>SUMIFS(Controle!$R:$R,Controle!$H:$H,produtos_escape2!$A846,Controle!$Z:$Z,"5")</f>
        <v>0</v>
      </c>
      <c r="K846" s="507">
        <f>SUMIFS(Controle!$R:$R,Controle!$H:$H,produtos_escape2!$A846,Controle!$Z:$Z,"6")</f>
        <v>0</v>
      </c>
      <c r="L846" s="507">
        <f t="shared" si="29"/>
        <v>0</v>
      </c>
      <c r="M846" s="381" t="s">
        <v>4971</v>
      </c>
      <c r="AF846" s="84"/>
    </row>
    <row r="847" spans="1:32" s="185" customFormat="1" ht="14.25" customHeight="1" thickBot="1">
      <c r="A847" s="353">
        <v>22256</v>
      </c>
      <c r="B847" s="194" t="s">
        <v>5786</v>
      </c>
      <c r="C847" s="339">
        <f t="shared" si="30"/>
        <v>50000</v>
      </c>
      <c r="D847" s="196" t="s">
        <v>624</v>
      </c>
      <c r="E847" s="187" t="s">
        <v>7207</v>
      </c>
      <c r="F847" s="507">
        <f>SUMIFS(Controle!$R:$R,Controle!$H:$H,produtos_escape2!$A847,Controle!$Z:$Z,"1")</f>
        <v>0</v>
      </c>
      <c r="G847" s="507">
        <f>SUMIFS(Controle!$R:$R,Controle!$H:$H,produtos_escape2!$A847,Controle!$Z:$Z,"2")</f>
        <v>0</v>
      </c>
      <c r="H847" s="507">
        <f>SUMIFS(Controle!$R:$R,Controle!$H:$H,produtos_escape2!$A847,Controle!$Z:$Z,"3")</f>
        <v>0</v>
      </c>
      <c r="I847" s="507">
        <f>SUMIFS(Controle!$R:$R,Controle!$H:$H,produtos_escape2!$A847,Controle!$Z:$Z,"4")</f>
        <v>0</v>
      </c>
      <c r="J847" s="507">
        <f>SUMIFS(Controle!$R:$R,Controle!$H:$H,produtos_escape2!$A847,Controle!$Z:$Z,"5")</f>
        <v>0</v>
      </c>
      <c r="K847" s="507">
        <f>SUMIFS(Controle!$R:$R,Controle!$H:$H,produtos_escape2!$A847,Controle!$Z:$Z,"6")</f>
        <v>0</v>
      </c>
      <c r="L847" s="507">
        <f t="shared" si="29"/>
        <v>0</v>
      </c>
      <c r="M847" s="381" t="s">
        <v>5786</v>
      </c>
      <c r="AF847" s="84"/>
    </row>
    <row r="848" spans="1:32" s="185" customFormat="1" ht="14.25" customHeight="1" thickBot="1">
      <c r="A848" s="333">
        <v>22258</v>
      </c>
      <c r="B848" s="194" t="s">
        <v>5839</v>
      </c>
      <c r="C848" s="339">
        <f t="shared" si="30"/>
        <v>50000</v>
      </c>
      <c r="D848" s="196" t="s">
        <v>624</v>
      </c>
      <c r="E848" s="187" t="s">
        <v>7207</v>
      </c>
      <c r="F848" s="507">
        <f>SUMIFS(Controle!$R:$R,Controle!$H:$H,produtos_escape2!$A848,Controle!$Z:$Z,"1")</f>
        <v>0</v>
      </c>
      <c r="G848" s="507">
        <f>SUMIFS(Controle!$R:$R,Controle!$H:$H,produtos_escape2!$A848,Controle!$Z:$Z,"2")</f>
        <v>0</v>
      </c>
      <c r="H848" s="507">
        <f>SUMIFS(Controle!$R:$R,Controle!$H:$H,produtos_escape2!$A848,Controle!$Z:$Z,"3")</f>
        <v>0</v>
      </c>
      <c r="I848" s="507">
        <f>SUMIFS(Controle!$R:$R,Controle!$H:$H,produtos_escape2!$A848,Controle!$Z:$Z,"4")</f>
        <v>0</v>
      </c>
      <c r="J848" s="507">
        <f>SUMIFS(Controle!$R:$R,Controle!$H:$H,produtos_escape2!$A848,Controle!$Z:$Z,"5")</f>
        <v>0</v>
      </c>
      <c r="K848" s="507">
        <f>SUMIFS(Controle!$R:$R,Controle!$H:$H,produtos_escape2!$A848,Controle!$Z:$Z,"6")</f>
        <v>0</v>
      </c>
      <c r="L848" s="507">
        <f t="shared" si="29"/>
        <v>0</v>
      </c>
      <c r="M848" s="381" t="s">
        <v>5838</v>
      </c>
      <c r="AF848" s="84"/>
    </row>
    <row r="849" spans="1:32" s="185" customFormat="1" ht="14.25" customHeight="1" thickBot="1">
      <c r="A849" s="353">
        <v>22266</v>
      </c>
      <c r="B849" s="194" t="s">
        <v>141</v>
      </c>
      <c r="C849" s="339">
        <f t="shared" si="30"/>
        <v>50000</v>
      </c>
      <c r="D849" s="196" t="s">
        <v>624</v>
      </c>
      <c r="E849" s="187" t="s">
        <v>1739</v>
      </c>
      <c r="F849" s="507">
        <f>SUMIFS(Controle!$R:$R,Controle!$H:$H,produtos_escape2!$A849,Controle!$Z:$Z,"1")</f>
        <v>0</v>
      </c>
      <c r="G849" s="507">
        <f>SUMIFS(Controle!$R:$R,Controle!$H:$H,produtos_escape2!$A849,Controle!$Z:$Z,"2")</f>
        <v>0</v>
      </c>
      <c r="H849" s="507">
        <f>SUMIFS(Controle!$R:$R,Controle!$H:$H,produtos_escape2!$A849,Controle!$Z:$Z,"3")</f>
        <v>0</v>
      </c>
      <c r="I849" s="507">
        <f>SUMIFS(Controle!$R:$R,Controle!$H:$H,produtos_escape2!$A849,Controle!$Z:$Z,"4")</f>
        <v>0</v>
      </c>
      <c r="J849" s="507">
        <f>SUMIFS(Controle!$R:$R,Controle!$H:$H,produtos_escape2!$A849,Controle!$Z:$Z,"5")</f>
        <v>0</v>
      </c>
      <c r="K849" s="507">
        <f>SUMIFS(Controle!$R:$R,Controle!$H:$H,produtos_escape2!$A849,Controle!$Z:$Z,"6")</f>
        <v>0</v>
      </c>
      <c r="L849" s="507">
        <f t="shared" si="29"/>
        <v>0</v>
      </c>
      <c r="M849" s="381" t="s">
        <v>4972</v>
      </c>
      <c r="AF849" s="84"/>
    </row>
    <row r="850" spans="1:32" s="185" customFormat="1" ht="14.25" customHeight="1" thickBot="1">
      <c r="A850" s="353">
        <v>22273</v>
      </c>
      <c r="B850" s="194" t="s">
        <v>146</v>
      </c>
      <c r="C850" s="339">
        <f t="shared" si="30"/>
        <v>50000</v>
      </c>
      <c r="D850" s="196" t="s">
        <v>624</v>
      </c>
      <c r="E850" s="187" t="s">
        <v>1739</v>
      </c>
      <c r="F850" s="507">
        <f>SUMIFS(Controle!$R:$R,Controle!$H:$H,produtos_escape2!$A850,Controle!$Z:$Z,"1")</f>
        <v>0</v>
      </c>
      <c r="G850" s="507">
        <f>SUMIFS(Controle!$R:$R,Controle!$H:$H,produtos_escape2!$A850,Controle!$Z:$Z,"2")</f>
        <v>0</v>
      </c>
      <c r="H850" s="507">
        <f>SUMIFS(Controle!$R:$R,Controle!$H:$H,produtos_escape2!$A850,Controle!$Z:$Z,"3")</f>
        <v>0</v>
      </c>
      <c r="I850" s="507">
        <f>SUMIFS(Controle!$R:$R,Controle!$H:$H,produtos_escape2!$A850,Controle!$Z:$Z,"4")</f>
        <v>0</v>
      </c>
      <c r="J850" s="507">
        <f>SUMIFS(Controle!$R:$R,Controle!$H:$H,produtos_escape2!$A850,Controle!$Z:$Z,"5")</f>
        <v>0</v>
      </c>
      <c r="K850" s="507">
        <f>SUMIFS(Controle!$R:$R,Controle!$H:$H,produtos_escape2!$A850,Controle!$Z:$Z,"6")</f>
        <v>0</v>
      </c>
      <c r="L850" s="507">
        <f t="shared" si="29"/>
        <v>0</v>
      </c>
      <c r="M850" s="381" t="s">
        <v>4973</v>
      </c>
      <c r="AF850" s="84"/>
    </row>
    <row r="851" spans="1:32" s="185" customFormat="1" ht="14.25" customHeight="1" thickBot="1">
      <c r="A851" s="353">
        <v>22379</v>
      </c>
      <c r="B851" s="194" t="s">
        <v>2716</v>
      </c>
      <c r="C851" s="339">
        <f t="shared" si="30"/>
        <v>50000</v>
      </c>
      <c r="D851" s="196" t="s">
        <v>639</v>
      </c>
      <c r="E851" s="187" t="s">
        <v>3608</v>
      </c>
      <c r="F851" s="507">
        <f>SUMIFS(Controle!$R:$R,Controle!$H:$H,produtos_escape2!$A851,Controle!$Z:$Z,"1")</f>
        <v>0</v>
      </c>
      <c r="G851" s="507">
        <f>SUMIFS(Controle!$R:$R,Controle!$H:$H,produtos_escape2!$A851,Controle!$Z:$Z,"2")</f>
        <v>0</v>
      </c>
      <c r="H851" s="507">
        <f>SUMIFS(Controle!$R:$R,Controle!$H:$H,produtos_escape2!$A851,Controle!$Z:$Z,"3")</f>
        <v>0</v>
      </c>
      <c r="I851" s="507">
        <f>SUMIFS(Controle!$R:$R,Controle!$H:$H,produtos_escape2!$A851,Controle!$Z:$Z,"4")</f>
        <v>0</v>
      </c>
      <c r="J851" s="507">
        <f>SUMIFS(Controle!$R:$R,Controle!$H:$H,produtos_escape2!$A851,Controle!$Z:$Z,"5")</f>
        <v>0</v>
      </c>
      <c r="K851" s="507">
        <f>SUMIFS(Controle!$R:$R,Controle!$H:$H,produtos_escape2!$A851,Controle!$Z:$Z,"6")</f>
        <v>0</v>
      </c>
      <c r="L851" s="507">
        <f t="shared" si="29"/>
        <v>0</v>
      </c>
      <c r="M851" s="381" t="s">
        <v>4974</v>
      </c>
      <c r="AF851" s="84"/>
    </row>
    <row r="852" spans="1:32" s="185" customFormat="1" ht="14.25" customHeight="1" thickBot="1">
      <c r="A852" s="353">
        <v>22425</v>
      </c>
      <c r="B852" s="194" t="s">
        <v>267</v>
      </c>
      <c r="C852" s="339">
        <f t="shared" si="30"/>
        <v>50000</v>
      </c>
      <c r="D852" s="196" t="s">
        <v>624</v>
      </c>
      <c r="E852" s="187"/>
      <c r="F852" s="507">
        <f>SUMIFS(Controle!$R:$R,Controle!$H:$H,produtos_escape2!$A852,Controle!$Z:$Z,"1")</f>
        <v>0</v>
      </c>
      <c r="G852" s="507">
        <f>SUMIFS(Controle!$R:$R,Controle!$H:$H,produtos_escape2!$A852,Controle!$Z:$Z,"2")</f>
        <v>0</v>
      </c>
      <c r="H852" s="507">
        <f>SUMIFS(Controle!$R:$R,Controle!$H:$H,produtos_escape2!$A852,Controle!$Z:$Z,"3")</f>
        <v>0</v>
      </c>
      <c r="I852" s="507">
        <f>SUMIFS(Controle!$R:$R,Controle!$H:$H,produtos_escape2!$A852,Controle!$Z:$Z,"4")</f>
        <v>0</v>
      </c>
      <c r="J852" s="507">
        <f>SUMIFS(Controle!$R:$R,Controle!$H:$H,produtos_escape2!$A852,Controle!$Z:$Z,"5")</f>
        <v>0</v>
      </c>
      <c r="K852" s="507">
        <f>SUMIFS(Controle!$R:$R,Controle!$H:$H,produtos_escape2!$A852,Controle!$Z:$Z,"6")</f>
        <v>0</v>
      </c>
      <c r="L852" s="507">
        <f t="shared" si="29"/>
        <v>0</v>
      </c>
      <c r="M852" s="381" t="s">
        <v>4506</v>
      </c>
      <c r="AF852" s="84"/>
    </row>
    <row r="853" spans="1:32" s="185" customFormat="1" ht="14.25" customHeight="1" thickBot="1">
      <c r="A853" s="353">
        <v>22426</v>
      </c>
      <c r="B853" s="338" t="s">
        <v>3472</v>
      </c>
      <c r="C853" s="339">
        <f t="shared" si="30"/>
        <v>50000</v>
      </c>
      <c r="D853" s="196" t="s">
        <v>624</v>
      </c>
      <c r="E853" s="187"/>
      <c r="F853" s="507">
        <f>SUMIFS(Controle!$R:$R,Controle!$H:$H,produtos_escape2!$A853,Controle!$Z:$Z,"1")</f>
        <v>0</v>
      </c>
      <c r="G853" s="507">
        <f>SUMIFS(Controle!$R:$R,Controle!$H:$H,produtos_escape2!$A853,Controle!$Z:$Z,"2")</f>
        <v>0</v>
      </c>
      <c r="H853" s="507">
        <f>SUMIFS(Controle!$R:$R,Controle!$H:$H,produtos_escape2!$A853,Controle!$Z:$Z,"3")</f>
        <v>0</v>
      </c>
      <c r="I853" s="507">
        <f>SUMIFS(Controle!$R:$R,Controle!$H:$H,produtos_escape2!$A853,Controle!$Z:$Z,"4")</f>
        <v>0</v>
      </c>
      <c r="J853" s="507">
        <f>SUMIFS(Controle!$R:$R,Controle!$H:$H,produtos_escape2!$A853,Controle!$Z:$Z,"5")</f>
        <v>0</v>
      </c>
      <c r="K853" s="507">
        <f>SUMIFS(Controle!$R:$R,Controle!$H:$H,produtos_escape2!$A853,Controle!$Z:$Z,"6")</f>
        <v>0</v>
      </c>
      <c r="L853" s="507">
        <f t="shared" si="29"/>
        <v>0</v>
      </c>
      <c r="M853" s="381" t="s">
        <v>4975</v>
      </c>
      <c r="AF853" s="84"/>
    </row>
    <row r="854" spans="1:32" s="185" customFormat="1" ht="14.25" customHeight="1" thickBot="1">
      <c r="A854" s="353">
        <v>22429</v>
      </c>
      <c r="B854" s="194" t="s">
        <v>3478</v>
      </c>
      <c r="C854" s="339">
        <f t="shared" si="30"/>
        <v>50000</v>
      </c>
      <c r="D854" s="196" t="s">
        <v>729</v>
      </c>
      <c r="E854" s="187"/>
      <c r="F854" s="507">
        <f>SUMIFS(Controle!$R:$R,Controle!$H:$H,produtos_escape2!$A854,Controle!$Z:$Z,"1")</f>
        <v>0</v>
      </c>
      <c r="G854" s="507">
        <f>SUMIFS(Controle!$R:$R,Controle!$H:$H,produtos_escape2!$A854,Controle!$Z:$Z,"2")</f>
        <v>0</v>
      </c>
      <c r="H854" s="507">
        <f>SUMIFS(Controle!$R:$R,Controle!$H:$H,produtos_escape2!$A854,Controle!$Z:$Z,"3")</f>
        <v>0</v>
      </c>
      <c r="I854" s="507">
        <f>SUMIFS(Controle!$R:$R,Controle!$H:$H,produtos_escape2!$A854,Controle!$Z:$Z,"4")</f>
        <v>0</v>
      </c>
      <c r="J854" s="507">
        <f>SUMIFS(Controle!$R:$R,Controle!$H:$H,produtos_escape2!$A854,Controle!$Z:$Z,"5")</f>
        <v>0</v>
      </c>
      <c r="K854" s="507">
        <f>SUMIFS(Controle!$R:$R,Controle!$H:$H,produtos_escape2!$A854,Controle!$Z:$Z,"6")</f>
        <v>0</v>
      </c>
      <c r="L854" s="507">
        <f t="shared" si="29"/>
        <v>0</v>
      </c>
      <c r="M854" s="381" t="s">
        <v>4877</v>
      </c>
      <c r="AF854" s="84"/>
    </row>
    <row r="855" spans="1:32" s="185" customFormat="1" ht="14.25" customHeight="1" thickBot="1">
      <c r="A855" s="353">
        <v>22448</v>
      </c>
      <c r="B855" s="194" t="s">
        <v>3479</v>
      </c>
      <c r="C855" s="339">
        <f t="shared" si="30"/>
        <v>50000</v>
      </c>
      <c r="D855" s="191" t="s">
        <v>624</v>
      </c>
      <c r="E855" s="189" t="s">
        <v>7207</v>
      </c>
      <c r="F855" s="507">
        <f>SUMIFS(Controle!$R:$R,Controle!$H:$H,produtos_escape2!$A855,Controle!$Z:$Z,"1")</f>
        <v>0</v>
      </c>
      <c r="G855" s="507">
        <f>SUMIFS(Controle!$R:$R,Controle!$H:$H,produtos_escape2!$A855,Controle!$Z:$Z,"2")</f>
        <v>0</v>
      </c>
      <c r="H855" s="507">
        <f>SUMIFS(Controle!$R:$R,Controle!$H:$H,produtos_escape2!$A855,Controle!$Z:$Z,"3")</f>
        <v>0</v>
      </c>
      <c r="I855" s="507">
        <f>SUMIFS(Controle!$R:$R,Controle!$H:$H,produtos_escape2!$A855,Controle!$Z:$Z,"4")</f>
        <v>0</v>
      </c>
      <c r="J855" s="507">
        <f>SUMIFS(Controle!$R:$R,Controle!$H:$H,produtos_escape2!$A855,Controle!$Z:$Z,"5")</f>
        <v>0</v>
      </c>
      <c r="K855" s="507">
        <f>SUMIFS(Controle!$R:$R,Controle!$H:$H,produtos_escape2!$A855,Controle!$Z:$Z,"6")</f>
        <v>0</v>
      </c>
      <c r="L855" s="507">
        <f t="shared" si="29"/>
        <v>0</v>
      </c>
      <c r="M855" s="381" t="s">
        <v>4976</v>
      </c>
      <c r="AF855" s="84"/>
    </row>
    <row r="856" spans="1:32" s="185" customFormat="1" ht="14.25" customHeight="1" thickBot="1">
      <c r="A856" s="333">
        <v>22469</v>
      </c>
      <c r="B856" s="194" t="s">
        <v>137</v>
      </c>
      <c r="C856" s="339">
        <f t="shared" si="30"/>
        <v>50000</v>
      </c>
      <c r="D856" s="196" t="s">
        <v>624</v>
      </c>
      <c r="E856" s="187" t="s">
        <v>1739</v>
      </c>
      <c r="F856" s="507">
        <f>SUMIFS(Controle!$R:$R,Controle!$H:$H,produtos_escape2!$A856,Controle!$Z:$Z,"1")</f>
        <v>0</v>
      </c>
      <c r="G856" s="507">
        <f>SUMIFS(Controle!$R:$R,Controle!$H:$H,produtos_escape2!$A856,Controle!$Z:$Z,"2")</f>
        <v>0</v>
      </c>
      <c r="H856" s="507">
        <f>SUMIFS(Controle!$R:$R,Controle!$H:$H,produtos_escape2!$A856,Controle!$Z:$Z,"3")</f>
        <v>0</v>
      </c>
      <c r="I856" s="507">
        <f>SUMIFS(Controle!$R:$R,Controle!$H:$H,produtos_escape2!$A856,Controle!$Z:$Z,"4")</f>
        <v>0</v>
      </c>
      <c r="J856" s="507">
        <f>SUMIFS(Controle!$R:$R,Controle!$H:$H,produtos_escape2!$A856,Controle!$Z:$Z,"5")</f>
        <v>0</v>
      </c>
      <c r="K856" s="507">
        <f>SUMIFS(Controle!$R:$R,Controle!$H:$H,produtos_escape2!$A856,Controle!$Z:$Z,"6")</f>
        <v>0</v>
      </c>
      <c r="L856" s="507">
        <f t="shared" si="29"/>
        <v>0</v>
      </c>
      <c r="M856" s="381" t="s">
        <v>4977</v>
      </c>
      <c r="AF856" s="84"/>
    </row>
    <row r="857" spans="1:32" s="185" customFormat="1" ht="14.25" customHeight="1" thickBot="1">
      <c r="A857" s="353">
        <v>22555</v>
      </c>
      <c r="B857" s="194" t="s">
        <v>946</v>
      </c>
      <c r="C857" s="339">
        <f t="shared" si="30"/>
        <v>50000</v>
      </c>
      <c r="D857" s="196" t="s">
        <v>837</v>
      </c>
      <c r="E857" s="187" t="s">
        <v>1739</v>
      </c>
      <c r="F857" s="507">
        <f>SUMIFS(Controle!$R:$R,Controle!$H:$H,produtos_escape2!$A857,Controle!$Z:$Z,"1")</f>
        <v>0</v>
      </c>
      <c r="G857" s="507">
        <f>SUMIFS(Controle!$R:$R,Controle!$H:$H,produtos_escape2!$A857,Controle!$Z:$Z,"2")</f>
        <v>0</v>
      </c>
      <c r="H857" s="507">
        <f>SUMIFS(Controle!$R:$R,Controle!$H:$H,produtos_escape2!$A857,Controle!$Z:$Z,"3")</f>
        <v>0</v>
      </c>
      <c r="I857" s="507">
        <f>SUMIFS(Controle!$R:$R,Controle!$H:$H,produtos_escape2!$A857,Controle!$Z:$Z,"4")</f>
        <v>0</v>
      </c>
      <c r="J857" s="507">
        <f>SUMIFS(Controle!$R:$R,Controle!$H:$H,produtos_escape2!$A857,Controle!$Z:$Z,"5")</f>
        <v>0</v>
      </c>
      <c r="K857" s="507">
        <f>SUMIFS(Controle!$R:$R,Controle!$H:$H,produtos_escape2!$A857,Controle!$Z:$Z,"6")</f>
        <v>0</v>
      </c>
      <c r="L857" s="507">
        <f t="shared" si="29"/>
        <v>0</v>
      </c>
      <c r="M857" s="381" t="s">
        <v>4978</v>
      </c>
      <c r="AF857" s="84"/>
    </row>
    <row r="858" spans="1:32" s="185" customFormat="1" ht="14.25" customHeight="1" thickBot="1">
      <c r="A858" s="353">
        <v>22557</v>
      </c>
      <c r="B858" s="194" t="s">
        <v>371</v>
      </c>
      <c r="C858" s="339">
        <f t="shared" si="30"/>
        <v>50000</v>
      </c>
      <c r="D858" s="196"/>
      <c r="E858" s="187"/>
      <c r="F858" s="507">
        <f>SUMIFS(Controle!$R:$R,Controle!$H:$H,produtos_escape2!$A858,Controle!$Z:$Z,"1")</f>
        <v>0</v>
      </c>
      <c r="G858" s="507">
        <f>SUMIFS(Controle!$R:$R,Controle!$H:$H,produtos_escape2!$A858,Controle!$Z:$Z,"2")</f>
        <v>0</v>
      </c>
      <c r="H858" s="507">
        <f>SUMIFS(Controle!$R:$R,Controle!$H:$H,produtos_escape2!$A858,Controle!$Z:$Z,"3")</f>
        <v>0</v>
      </c>
      <c r="I858" s="507">
        <f>SUMIFS(Controle!$R:$R,Controle!$H:$H,produtos_escape2!$A858,Controle!$Z:$Z,"4")</f>
        <v>0</v>
      </c>
      <c r="J858" s="507">
        <f>SUMIFS(Controle!$R:$R,Controle!$H:$H,produtos_escape2!$A858,Controle!$Z:$Z,"5")</f>
        <v>0</v>
      </c>
      <c r="K858" s="507">
        <f>SUMIFS(Controle!$R:$R,Controle!$H:$H,produtos_escape2!$A858,Controle!$Z:$Z,"6")</f>
        <v>0</v>
      </c>
      <c r="L858" s="507">
        <f t="shared" si="29"/>
        <v>0</v>
      </c>
      <c r="M858" s="381" t="s">
        <v>4979</v>
      </c>
      <c r="AF858" s="84"/>
    </row>
    <row r="859" spans="1:32" s="185" customFormat="1" ht="14.25" customHeight="1" thickBot="1">
      <c r="A859" s="353">
        <v>22580</v>
      </c>
      <c r="B859" s="194" t="s">
        <v>7176</v>
      </c>
      <c r="C859" s="339">
        <f t="shared" si="30"/>
        <v>49756</v>
      </c>
      <c r="D859" s="196" t="s">
        <v>1365</v>
      </c>
      <c r="E859" s="187" t="s">
        <v>7207</v>
      </c>
      <c r="F859" s="507">
        <f>SUMIFS(Controle!$R:$R,Controle!$H:$H,produtos_escape2!$A859,Controle!$Z:$Z,"1")</f>
        <v>0</v>
      </c>
      <c r="G859" s="507">
        <f>SUMIFS(Controle!$R:$R,Controle!$H:$H,produtos_escape2!$A859,Controle!$Z:$Z,"2")</f>
        <v>244</v>
      </c>
      <c r="H859" s="507">
        <f>SUMIFS(Controle!$R:$R,Controle!$H:$H,produtos_escape2!$A859,Controle!$Z:$Z,"3")</f>
        <v>0</v>
      </c>
      <c r="I859" s="507">
        <f>SUMIFS(Controle!$R:$R,Controle!$H:$H,produtos_escape2!$A859,Controle!$Z:$Z,"4")</f>
        <v>0</v>
      </c>
      <c r="J859" s="507">
        <f>SUMIFS(Controle!$R:$R,Controle!$H:$H,produtos_escape2!$A859,Controle!$Z:$Z,"5")</f>
        <v>0</v>
      </c>
      <c r="K859" s="507">
        <f>SUMIFS(Controle!$R:$R,Controle!$H:$H,produtos_escape2!$A859,Controle!$Z:$Z,"6")</f>
        <v>0</v>
      </c>
      <c r="L859" s="507">
        <f t="shared" si="29"/>
        <v>244</v>
      </c>
      <c r="M859" s="381" t="s">
        <v>7175</v>
      </c>
      <c r="AF859" s="84"/>
    </row>
    <row r="860" spans="1:32" s="185" customFormat="1" ht="14.25" customHeight="1" thickBot="1">
      <c r="A860" s="353">
        <v>22605</v>
      </c>
      <c r="B860" s="194" t="s">
        <v>8324</v>
      </c>
      <c r="C860" s="339">
        <f t="shared" si="30"/>
        <v>50000</v>
      </c>
      <c r="D860" s="196" t="s">
        <v>624</v>
      </c>
      <c r="E860" s="187" t="s">
        <v>7207</v>
      </c>
      <c r="F860" s="507">
        <f>SUMIFS(Controle!$R:$R,Controle!$H:$H,produtos_escape2!$A860,Controle!$Z:$Z,"1")</f>
        <v>0</v>
      </c>
      <c r="G860" s="507">
        <f>SUMIFS(Controle!$R:$R,Controle!$H:$H,produtos_escape2!$A860,Controle!$Z:$Z,"2")</f>
        <v>0</v>
      </c>
      <c r="H860" s="507">
        <f>SUMIFS(Controle!$R:$R,Controle!$H:$H,produtos_escape2!$A860,Controle!$Z:$Z,"3")</f>
        <v>0</v>
      </c>
      <c r="I860" s="507">
        <f>SUMIFS(Controle!$R:$R,Controle!$H:$H,produtos_escape2!$A860,Controle!$Z:$Z,"4")</f>
        <v>0</v>
      </c>
      <c r="J860" s="507">
        <f>SUMIFS(Controle!$R:$R,Controle!$H:$H,produtos_escape2!$A860,Controle!$Z:$Z,"5")</f>
        <v>0</v>
      </c>
      <c r="K860" s="507">
        <f>SUMIFS(Controle!$R:$R,Controle!$H:$H,produtos_escape2!$A860,Controle!$Z:$Z,"6")</f>
        <v>0</v>
      </c>
      <c r="L860" s="507">
        <f t="shared" si="29"/>
        <v>0</v>
      </c>
      <c r="M860" s="381" t="s">
        <v>8325</v>
      </c>
      <c r="AF860" s="84"/>
    </row>
    <row r="861" spans="1:32" s="185" customFormat="1" ht="14.25" customHeight="1" thickBot="1">
      <c r="A861" s="353">
        <v>22606</v>
      </c>
      <c r="B861" s="194" t="s">
        <v>202</v>
      </c>
      <c r="C861" s="339">
        <f t="shared" si="30"/>
        <v>50000</v>
      </c>
      <c r="D861" s="196" t="s">
        <v>624</v>
      </c>
      <c r="E861" s="187" t="s">
        <v>7207</v>
      </c>
      <c r="F861" s="507">
        <f>SUMIFS(Controle!$R:$R,Controle!$H:$H,produtos_escape2!$A861,Controle!$Z:$Z,"1")</f>
        <v>0</v>
      </c>
      <c r="G861" s="507">
        <f>SUMIFS(Controle!$R:$R,Controle!$H:$H,produtos_escape2!$A861,Controle!$Z:$Z,"2")</f>
        <v>0</v>
      </c>
      <c r="H861" s="507">
        <f>SUMIFS(Controle!$R:$R,Controle!$H:$H,produtos_escape2!$A861,Controle!$Z:$Z,"3")</f>
        <v>0</v>
      </c>
      <c r="I861" s="507">
        <f>SUMIFS(Controle!$R:$R,Controle!$H:$H,produtos_escape2!$A861,Controle!$Z:$Z,"4")</f>
        <v>0</v>
      </c>
      <c r="J861" s="507">
        <f>SUMIFS(Controle!$R:$R,Controle!$H:$H,produtos_escape2!$A861,Controle!$Z:$Z,"5")</f>
        <v>0</v>
      </c>
      <c r="K861" s="507">
        <f>SUMIFS(Controle!$R:$R,Controle!$H:$H,produtos_escape2!$A861,Controle!$Z:$Z,"6")</f>
        <v>0</v>
      </c>
      <c r="L861" s="507">
        <f t="shared" si="29"/>
        <v>0</v>
      </c>
      <c r="M861" s="381" t="s">
        <v>4980</v>
      </c>
      <c r="AF861" s="84"/>
    </row>
    <row r="862" spans="1:32" s="185" customFormat="1" ht="14.25" customHeight="1" thickBot="1">
      <c r="A862" s="353">
        <v>22607</v>
      </c>
      <c r="B862" s="194" t="s">
        <v>9653</v>
      </c>
      <c r="C862" s="339">
        <f t="shared" si="30"/>
        <v>47240</v>
      </c>
      <c r="D862" s="196" t="s">
        <v>639</v>
      </c>
      <c r="E862" s="187" t="s">
        <v>3608</v>
      </c>
      <c r="F862" s="507">
        <f>SUMIFS(Controle!$R:$R,Controle!$H:$H,produtos_escape2!$A862,Controle!$Z:$Z,"1")</f>
        <v>0</v>
      </c>
      <c r="G862" s="507">
        <f>SUMIFS(Controle!$R:$R,Controle!$H:$H,produtos_escape2!$A862,Controle!$Z:$Z,"2")</f>
        <v>2760</v>
      </c>
      <c r="H862" s="507">
        <f>SUMIFS(Controle!$R:$R,Controle!$H:$H,produtos_escape2!$A862,Controle!$Z:$Z,"3")</f>
        <v>0</v>
      </c>
      <c r="I862" s="507">
        <f>SUMIFS(Controle!$R:$R,Controle!$H:$H,produtos_escape2!$A862,Controle!$Z:$Z,"4")</f>
        <v>0</v>
      </c>
      <c r="J862" s="507">
        <f>SUMIFS(Controle!$R:$R,Controle!$H:$H,produtos_escape2!$A862,Controle!$Z:$Z,"5")</f>
        <v>0</v>
      </c>
      <c r="K862" s="507">
        <f>SUMIFS(Controle!$R:$R,Controle!$H:$H,produtos_escape2!$A862,Controle!$Z:$Z,"6")</f>
        <v>0</v>
      </c>
      <c r="L862" s="507">
        <f t="shared" si="29"/>
        <v>2760</v>
      </c>
      <c r="M862" s="381" t="s">
        <v>4981</v>
      </c>
      <c r="AF862" s="84"/>
    </row>
    <row r="863" spans="1:32" s="185" customFormat="1" ht="14.25" customHeight="1" thickBot="1">
      <c r="A863" s="353">
        <v>22934</v>
      </c>
      <c r="B863" s="338" t="s">
        <v>2619</v>
      </c>
      <c r="C863" s="339">
        <f t="shared" si="30"/>
        <v>50000</v>
      </c>
      <c r="D863" s="196" t="s">
        <v>624</v>
      </c>
      <c r="E863" s="187" t="s">
        <v>3608</v>
      </c>
      <c r="F863" s="507">
        <f>SUMIFS(Controle!$R:$R,Controle!$H:$H,produtos_escape2!$A863,Controle!$Z:$Z,"1")</f>
        <v>0</v>
      </c>
      <c r="G863" s="507">
        <f>SUMIFS(Controle!$R:$R,Controle!$H:$H,produtos_escape2!$A863,Controle!$Z:$Z,"2")</f>
        <v>0</v>
      </c>
      <c r="H863" s="507">
        <f>SUMIFS(Controle!$R:$R,Controle!$H:$H,produtos_escape2!$A863,Controle!$Z:$Z,"3")</f>
        <v>0</v>
      </c>
      <c r="I863" s="507">
        <f>SUMIFS(Controle!$R:$R,Controle!$H:$H,produtos_escape2!$A863,Controle!$Z:$Z,"4")</f>
        <v>0</v>
      </c>
      <c r="J863" s="507">
        <f>SUMIFS(Controle!$R:$R,Controle!$H:$H,produtos_escape2!$A863,Controle!$Z:$Z,"5")</f>
        <v>0</v>
      </c>
      <c r="K863" s="507">
        <f>SUMIFS(Controle!$R:$R,Controle!$H:$H,produtos_escape2!$A863,Controle!$Z:$Z,"6")</f>
        <v>0</v>
      </c>
      <c r="L863" s="507">
        <f t="shared" si="29"/>
        <v>0</v>
      </c>
      <c r="M863" s="381" t="s">
        <v>4982</v>
      </c>
      <c r="AF863" s="84"/>
    </row>
    <row r="864" spans="1:32" s="185" customFormat="1" ht="14.25" customHeight="1" thickBot="1">
      <c r="A864" s="353">
        <v>22937</v>
      </c>
      <c r="B864" s="194" t="s">
        <v>1578</v>
      </c>
      <c r="C864" s="339">
        <f t="shared" si="30"/>
        <v>50000</v>
      </c>
      <c r="D864" s="196" t="s">
        <v>624</v>
      </c>
      <c r="E864" s="187" t="s">
        <v>3608</v>
      </c>
      <c r="F864" s="507">
        <f>SUMIFS(Controle!$R:$R,Controle!$H:$H,produtos_escape2!$A864,Controle!$Z:$Z,"1")</f>
        <v>0</v>
      </c>
      <c r="G864" s="507">
        <f>SUMIFS(Controle!$R:$R,Controle!$H:$H,produtos_escape2!$A864,Controle!$Z:$Z,"2")</f>
        <v>0</v>
      </c>
      <c r="H864" s="507">
        <f>SUMIFS(Controle!$R:$R,Controle!$H:$H,produtos_escape2!$A864,Controle!$Z:$Z,"3")</f>
        <v>0</v>
      </c>
      <c r="I864" s="507">
        <f>SUMIFS(Controle!$R:$R,Controle!$H:$H,produtos_escape2!$A864,Controle!$Z:$Z,"4")</f>
        <v>0</v>
      </c>
      <c r="J864" s="507">
        <f>SUMIFS(Controle!$R:$R,Controle!$H:$H,produtos_escape2!$A864,Controle!$Z:$Z,"5")</f>
        <v>0</v>
      </c>
      <c r="K864" s="507">
        <f>SUMIFS(Controle!$R:$R,Controle!$H:$H,produtos_escape2!$A864,Controle!$Z:$Z,"6")</f>
        <v>0</v>
      </c>
      <c r="L864" s="507">
        <f t="shared" si="29"/>
        <v>0</v>
      </c>
      <c r="M864" s="381" t="s">
        <v>4983</v>
      </c>
      <c r="AF864" s="84"/>
    </row>
    <row r="865" spans="1:32" s="185" customFormat="1" ht="14.25" customHeight="1" thickBot="1">
      <c r="A865" s="353">
        <v>22964</v>
      </c>
      <c r="B865" s="194" t="s">
        <v>485</v>
      </c>
      <c r="C865" s="339">
        <f t="shared" si="30"/>
        <v>50000</v>
      </c>
      <c r="D865" s="196"/>
      <c r="E865" s="187"/>
      <c r="F865" s="507">
        <f>SUMIFS(Controle!$R:$R,Controle!$H:$H,produtos_escape2!$A865,Controle!$Z:$Z,"1")</f>
        <v>0</v>
      </c>
      <c r="G865" s="507">
        <f>SUMIFS(Controle!$R:$R,Controle!$H:$H,produtos_escape2!$A865,Controle!$Z:$Z,"2")</f>
        <v>0</v>
      </c>
      <c r="H865" s="507">
        <f>SUMIFS(Controle!$R:$R,Controle!$H:$H,produtos_escape2!$A865,Controle!$Z:$Z,"3")</f>
        <v>0</v>
      </c>
      <c r="I865" s="507">
        <f>SUMIFS(Controle!$R:$R,Controle!$H:$H,produtos_escape2!$A865,Controle!$Z:$Z,"4")</f>
        <v>0</v>
      </c>
      <c r="J865" s="507">
        <f>SUMIFS(Controle!$R:$R,Controle!$H:$H,produtos_escape2!$A865,Controle!$Z:$Z,"5")</f>
        <v>0</v>
      </c>
      <c r="K865" s="507">
        <f>SUMIFS(Controle!$R:$R,Controle!$H:$H,produtos_escape2!$A865,Controle!$Z:$Z,"6")</f>
        <v>0</v>
      </c>
      <c r="L865" s="507">
        <f t="shared" si="29"/>
        <v>0</v>
      </c>
      <c r="M865" s="381" t="s">
        <v>4984</v>
      </c>
      <c r="AF865" s="84"/>
    </row>
    <row r="866" spans="1:32" s="185" customFormat="1" ht="14.25" customHeight="1" thickBot="1">
      <c r="A866" s="333">
        <v>22966</v>
      </c>
      <c r="B866" s="194" t="s">
        <v>2554</v>
      </c>
      <c r="C866" s="339">
        <f t="shared" si="30"/>
        <v>50000</v>
      </c>
      <c r="D866" s="191"/>
      <c r="E866" s="189"/>
      <c r="F866" s="507">
        <f>SUMIFS(Controle!$R:$R,Controle!$H:$H,produtos_escape2!$A866,Controle!$Z:$Z,"1")</f>
        <v>0</v>
      </c>
      <c r="G866" s="507">
        <f>SUMIFS(Controle!$R:$R,Controle!$H:$H,produtos_escape2!$A866,Controle!$Z:$Z,"2")</f>
        <v>0</v>
      </c>
      <c r="H866" s="507">
        <f>SUMIFS(Controle!$R:$R,Controle!$H:$H,produtos_escape2!$A866,Controle!$Z:$Z,"3")</f>
        <v>0</v>
      </c>
      <c r="I866" s="507">
        <f>SUMIFS(Controle!$R:$R,Controle!$H:$H,produtos_escape2!$A866,Controle!$Z:$Z,"4")</f>
        <v>0</v>
      </c>
      <c r="J866" s="507">
        <f>SUMIFS(Controle!$R:$R,Controle!$H:$H,produtos_escape2!$A866,Controle!$Z:$Z,"5")</f>
        <v>0</v>
      </c>
      <c r="K866" s="507">
        <f>SUMIFS(Controle!$R:$R,Controle!$H:$H,produtos_escape2!$A866,Controle!$Z:$Z,"6")</f>
        <v>0</v>
      </c>
      <c r="L866" s="507">
        <f t="shared" si="29"/>
        <v>0</v>
      </c>
      <c r="M866" s="381" t="s">
        <v>4985</v>
      </c>
      <c r="AF866" s="84"/>
    </row>
    <row r="867" spans="1:32" s="185" customFormat="1" ht="14.25" customHeight="1" thickBot="1">
      <c r="A867" s="353">
        <v>22967</v>
      </c>
      <c r="B867" s="194" t="s">
        <v>2620</v>
      </c>
      <c r="C867" s="339">
        <f t="shared" si="30"/>
        <v>50000</v>
      </c>
      <c r="D867" s="196"/>
      <c r="E867" s="187"/>
      <c r="F867" s="507">
        <f>SUMIFS(Controle!$R:$R,Controle!$H:$H,produtos_escape2!$A867,Controle!$Z:$Z,"1")</f>
        <v>0</v>
      </c>
      <c r="G867" s="507">
        <f>SUMIFS(Controle!$R:$R,Controle!$H:$H,produtos_escape2!$A867,Controle!$Z:$Z,"2")</f>
        <v>0</v>
      </c>
      <c r="H867" s="507">
        <f>SUMIFS(Controle!$R:$R,Controle!$H:$H,produtos_escape2!$A867,Controle!$Z:$Z,"3")</f>
        <v>0</v>
      </c>
      <c r="I867" s="507">
        <f>SUMIFS(Controle!$R:$R,Controle!$H:$H,produtos_escape2!$A867,Controle!$Z:$Z,"4")</f>
        <v>0</v>
      </c>
      <c r="J867" s="507">
        <f>SUMIFS(Controle!$R:$R,Controle!$H:$H,produtos_escape2!$A867,Controle!$Z:$Z,"5")</f>
        <v>0</v>
      </c>
      <c r="K867" s="507">
        <f>SUMIFS(Controle!$R:$R,Controle!$H:$H,produtos_escape2!$A867,Controle!$Z:$Z,"6")</f>
        <v>0</v>
      </c>
      <c r="L867" s="507">
        <f t="shared" si="29"/>
        <v>0</v>
      </c>
      <c r="M867" s="381" t="s">
        <v>4985</v>
      </c>
      <c r="AF867" s="84"/>
    </row>
    <row r="868" spans="1:32" s="185" customFormat="1" ht="14.25" customHeight="1" thickBot="1">
      <c r="A868" s="353">
        <v>23021</v>
      </c>
      <c r="B868" s="194" t="s">
        <v>1869</v>
      </c>
      <c r="C868" s="339">
        <f t="shared" si="30"/>
        <v>50000</v>
      </c>
      <c r="D868" s="191" t="s">
        <v>624</v>
      </c>
      <c r="E868" s="189" t="s">
        <v>3608</v>
      </c>
      <c r="F868" s="507">
        <f>SUMIFS(Controle!$R:$R,Controle!$H:$H,produtos_escape2!$A868,Controle!$Z:$Z,"1")</f>
        <v>0</v>
      </c>
      <c r="G868" s="507">
        <f>SUMIFS(Controle!$R:$R,Controle!$H:$H,produtos_escape2!$A868,Controle!$Z:$Z,"2")</f>
        <v>0</v>
      </c>
      <c r="H868" s="507">
        <f>SUMIFS(Controle!$R:$R,Controle!$H:$H,produtos_escape2!$A868,Controle!$Z:$Z,"3")</f>
        <v>0</v>
      </c>
      <c r="I868" s="507">
        <f>SUMIFS(Controle!$R:$R,Controle!$H:$H,produtos_escape2!$A868,Controle!$Z:$Z,"4")</f>
        <v>0</v>
      </c>
      <c r="J868" s="507">
        <f>SUMIFS(Controle!$R:$R,Controle!$H:$H,produtos_escape2!$A868,Controle!$Z:$Z,"5")</f>
        <v>0</v>
      </c>
      <c r="K868" s="507">
        <f>SUMIFS(Controle!$R:$R,Controle!$H:$H,produtos_escape2!$A868,Controle!$Z:$Z,"6")</f>
        <v>0</v>
      </c>
      <c r="L868" s="507">
        <f t="shared" si="29"/>
        <v>0</v>
      </c>
      <c r="M868" s="381" t="s">
        <v>4986</v>
      </c>
      <c r="AF868" s="84"/>
    </row>
    <row r="869" spans="1:32" s="185" customFormat="1" ht="14.25" customHeight="1" thickBot="1">
      <c r="A869" s="353">
        <v>23027</v>
      </c>
      <c r="B869" s="194" t="s">
        <v>2843</v>
      </c>
      <c r="C869" s="339">
        <f t="shared" si="30"/>
        <v>42720</v>
      </c>
      <c r="D869" s="196" t="s">
        <v>624</v>
      </c>
      <c r="E869" s="187" t="s">
        <v>3608</v>
      </c>
      <c r="F869" s="507">
        <f>SUMIFS(Controle!$R:$R,Controle!$H:$H,produtos_escape2!$A869,Controle!$Z:$Z,"1")</f>
        <v>0</v>
      </c>
      <c r="G869" s="507">
        <f>SUMIFS(Controle!$R:$R,Controle!$H:$H,produtos_escape2!$A869,Controle!$Z:$Z,"2")</f>
        <v>0</v>
      </c>
      <c r="H869" s="507">
        <f>SUMIFS(Controle!$R:$R,Controle!$H:$H,produtos_escape2!$A869,Controle!$Z:$Z,"3")</f>
        <v>3920</v>
      </c>
      <c r="I869" s="507">
        <f>SUMIFS(Controle!$R:$R,Controle!$H:$H,produtos_escape2!$A869,Controle!$Z:$Z,"4")</f>
        <v>0</v>
      </c>
      <c r="J869" s="507">
        <f>SUMIFS(Controle!$R:$R,Controle!$H:$H,produtos_escape2!$A869,Controle!$Z:$Z,"5")</f>
        <v>0</v>
      </c>
      <c r="K869" s="507">
        <f>SUMIFS(Controle!$R:$R,Controle!$H:$H,produtos_escape2!$A869,Controle!$Z:$Z,"6")</f>
        <v>3360</v>
      </c>
      <c r="L869" s="507">
        <f t="shared" si="29"/>
        <v>7280</v>
      </c>
      <c r="M869" s="381" t="s">
        <v>4987</v>
      </c>
      <c r="AF869" s="84"/>
    </row>
    <row r="870" spans="1:32" s="185" customFormat="1" ht="14.25" customHeight="1" thickBot="1">
      <c r="A870" s="353">
        <v>23032</v>
      </c>
      <c r="B870" s="194" t="s">
        <v>277</v>
      </c>
      <c r="C870" s="339">
        <f t="shared" si="30"/>
        <v>50000</v>
      </c>
      <c r="D870" s="196" t="s">
        <v>549</v>
      </c>
      <c r="E870" s="187" t="s">
        <v>3608</v>
      </c>
      <c r="F870" s="507">
        <f>SUMIFS(Controle!$R:$R,Controle!$H:$H,produtos_escape2!$A870,Controle!$Z:$Z,"1")</f>
        <v>0</v>
      </c>
      <c r="G870" s="507">
        <f>SUMIFS(Controle!$R:$R,Controle!$H:$H,produtos_escape2!$A870,Controle!$Z:$Z,"2")</f>
        <v>0</v>
      </c>
      <c r="H870" s="507">
        <f>SUMIFS(Controle!$R:$R,Controle!$H:$H,produtos_escape2!$A870,Controle!$Z:$Z,"3")</f>
        <v>0</v>
      </c>
      <c r="I870" s="507">
        <f>SUMIFS(Controle!$R:$R,Controle!$H:$H,produtos_escape2!$A870,Controle!$Z:$Z,"4")</f>
        <v>0</v>
      </c>
      <c r="J870" s="507">
        <f>SUMIFS(Controle!$R:$R,Controle!$H:$H,produtos_escape2!$A870,Controle!$Z:$Z,"5")</f>
        <v>0</v>
      </c>
      <c r="K870" s="507">
        <f>SUMIFS(Controle!$R:$R,Controle!$H:$H,produtos_escape2!$A870,Controle!$Z:$Z,"6")</f>
        <v>0</v>
      </c>
      <c r="L870" s="507">
        <f t="shared" si="29"/>
        <v>0</v>
      </c>
      <c r="M870" s="381" t="s">
        <v>277</v>
      </c>
      <c r="AF870" s="84"/>
    </row>
    <row r="871" spans="1:32" s="185" customFormat="1" ht="14.25" customHeight="1" thickBot="1">
      <c r="A871" s="353">
        <v>23033</v>
      </c>
      <c r="B871" s="338" t="s">
        <v>1665</v>
      </c>
      <c r="C871" s="339">
        <f t="shared" si="30"/>
        <v>50000</v>
      </c>
      <c r="D871" s="196" t="s">
        <v>624</v>
      </c>
      <c r="E871" s="187" t="s">
        <v>3608</v>
      </c>
      <c r="F871" s="507">
        <f>SUMIFS(Controle!$R:$R,Controle!$H:$H,produtos_escape2!$A871,Controle!$Z:$Z,"1")</f>
        <v>0</v>
      </c>
      <c r="G871" s="507">
        <f>SUMIFS(Controle!$R:$R,Controle!$H:$H,produtos_escape2!$A871,Controle!$Z:$Z,"2")</f>
        <v>0</v>
      </c>
      <c r="H871" s="507">
        <f>SUMIFS(Controle!$R:$R,Controle!$H:$H,produtos_escape2!$A871,Controle!$Z:$Z,"3")</f>
        <v>0</v>
      </c>
      <c r="I871" s="507">
        <f>SUMIFS(Controle!$R:$R,Controle!$H:$H,produtos_escape2!$A871,Controle!$Z:$Z,"4")</f>
        <v>0</v>
      </c>
      <c r="J871" s="507">
        <f>SUMIFS(Controle!$R:$R,Controle!$H:$H,produtos_escape2!$A871,Controle!$Z:$Z,"5")</f>
        <v>0</v>
      </c>
      <c r="K871" s="507">
        <f>SUMIFS(Controle!$R:$R,Controle!$H:$H,produtos_escape2!$A871,Controle!$Z:$Z,"6")</f>
        <v>0</v>
      </c>
      <c r="L871" s="507">
        <f t="shared" si="29"/>
        <v>0</v>
      </c>
      <c r="M871" s="381" t="s">
        <v>4988</v>
      </c>
      <c r="AF871" s="84"/>
    </row>
    <row r="872" spans="1:32" s="185" customFormat="1" ht="14.25" customHeight="1" thickBot="1">
      <c r="A872" s="353">
        <v>23038</v>
      </c>
      <c r="B872" s="194" t="s">
        <v>5783</v>
      </c>
      <c r="C872" s="339">
        <f t="shared" si="30"/>
        <v>50000</v>
      </c>
      <c r="D872" s="196" t="s">
        <v>624</v>
      </c>
      <c r="E872" s="187" t="s">
        <v>3608</v>
      </c>
      <c r="F872" s="507">
        <f>SUMIFS(Controle!$R:$R,Controle!$H:$H,produtos_escape2!$A872,Controle!$Z:$Z,"1")</f>
        <v>0</v>
      </c>
      <c r="G872" s="507">
        <f>SUMIFS(Controle!$R:$R,Controle!$H:$H,produtos_escape2!$A872,Controle!$Z:$Z,"2")</f>
        <v>0</v>
      </c>
      <c r="H872" s="507">
        <f>SUMIFS(Controle!$R:$R,Controle!$H:$H,produtos_escape2!$A872,Controle!$Z:$Z,"3")</f>
        <v>0</v>
      </c>
      <c r="I872" s="507">
        <f>SUMIFS(Controle!$R:$R,Controle!$H:$H,produtos_escape2!$A872,Controle!$Z:$Z,"4")</f>
        <v>0</v>
      </c>
      <c r="J872" s="507">
        <f>SUMIFS(Controle!$R:$R,Controle!$H:$H,produtos_escape2!$A872,Controle!$Z:$Z,"5")</f>
        <v>0</v>
      </c>
      <c r="K872" s="507">
        <f>SUMIFS(Controle!$R:$R,Controle!$H:$H,produtos_escape2!$A872,Controle!$Z:$Z,"6")</f>
        <v>0</v>
      </c>
      <c r="L872" s="507">
        <f t="shared" si="29"/>
        <v>0</v>
      </c>
      <c r="M872" s="381" t="s">
        <v>5164</v>
      </c>
      <c r="AF872" s="84"/>
    </row>
    <row r="873" spans="1:32" s="185" customFormat="1" ht="14.25" customHeight="1" thickBot="1">
      <c r="A873" s="353">
        <v>23063</v>
      </c>
      <c r="B873" s="194" t="s">
        <v>6804</v>
      </c>
      <c r="C873" s="339">
        <f t="shared" si="30"/>
        <v>48194</v>
      </c>
      <c r="D873" s="196" t="s">
        <v>624</v>
      </c>
      <c r="E873" s="187" t="s">
        <v>3608</v>
      </c>
      <c r="F873" s="507">
        <f>SUMIFS(Controle!$R:$R,Controle!$H:$H,produtos_escape2!$A873,Controle!$Z:$Z,"1")</f>
        <v>0</v>
      </c>
      <c r="G873" s="507">
        <f>SUMIFS(Controle!$R:$R,Controle!$H:$H,produtos_escape2!$A873,Controle!$Z:$Z,"2")</f>
        <v>0</v>
      </c>
      <c r="H873" s="507">
        <f>SUMIFS(Controle!$R:$R,Controle!$H:$H,produtos_escape2!$A873,Controle!$Z:$Z,"3")</f>
        <v>0</v>
      </c>
      <c r="I873" s="507">
        <f>SUMIFS(Controle!$R:$R,Controle!$H:$H,produtos_escape2!$A873,Controle!$Z:$Z,"4")</f>
        <v>0</v>
      </c>
      <c r="J873" s="507">
        <f>SUMIFS(Controle!$R:$R,Controle!$H:$H,produtos_escape2!$A873,Controle!$Z:$Z,"5")</f>
        <v>0</v>
      </c>
      <c r="K873" s="507">
        <f>SUMIFS(Controle!$R:$R,Controle!$H:$H,produtos_escape2!$A873,Controle!$Z:$Z,"6")</f>
        <v>1806</v>
      </c>
      <c r="L873" s="507">
        <f t="shared" si="29"/>
        <v>1806</v>
      </c>
      <c r="M873" s="381" t="s">
        <v>1090</v>
      </c>
      <c r="AF873" s="84"/>
    </row>
    <row r="874" spans="1:32" s="185" customFormat="1" ht="14.25" customHeight="1" thickBot="1">
      <c r="A874" s="333">
        <v>23075</v>
      </c>
      <c r="B874" s="194" t="s">
        <v>1784</v>
      </c>
      <c r="C874" s="339">
        <f t="shared" si="30"/>
        <v>50000</v>
      </c>
      <c r="D874" s="196" t="s">
        <v>624</v>
      </c>
      <c r="E874" s="187" t="s">
        <v>3608</v>
      </c>
      <c r="F874" s="507">
        <f>SUMIFS(Controle!$R:$R,Controle!$H:$H,produtos_escape2!$A874,Controle!$Z:$Z,"1")</f>
        <v>0</v>
      </c>
      <c r="G874" s="507">
        <f>SUMIFS(Controle!$R:$R,Controle!$H:$H,produtos_escape2!$A874,Controle!$Z:$Z,"2")</f>
        <v>0</v>
      </c>
      <c r="H874" s="507">
        <f>SUMIFS(Controle!$R:$R,Controle!$H:$H,produtos_escape2!$A874,Controle!$Z:$Z,"3")</f>
        <v>0</v>
      </c>
      <c r="I874" s="507">
        <f>SUMIFS(Controle!$R:$R,Controle!$H:$H,produtos_escape2!$A874,Controle!$Z:$Z,"4")</f>
        <v>0</v>
      </c>
      <c r="J874" s="507">
        <f>SUMIFS(Controle!$R:$R,Controle!$H:$H,produtos_escape2!$A874,Controle!$Z:$Z,"5")</f>
        <v>0</v>
      </c>
      <c r="K874" s="507">
        <f>SUMIFS(Controle!$R:$R,Controle!$H:$H,produtos_escape2!$A874,Controle!$Z:$Z,"6")</f>
        <v>0</v>
      </c>
      <c r="L874" s="507">
        <f t="shared" si="29"/>
        <v>0</v>
      </c>
      <c r="M874" s="381" t="s">
        <v>4989</v>
      </c>
      <c r="AF874" s="84"/>
    </row>
    <row r="875" spans="1:32" s="185" customFormat="1" ht="14.25" customHeight="1" thickBot="1">
      <c r="A875" s="353">
        <v>23150</v>
      </c>
      <c r="B875" s="194" t="s">
        <v>10197</v>
      </c>
      <c r="C875" s="339">
        <f t="shared" si="30"/>
        <v>49667.5</v>
      </c>
      <c r="D875" s="196" t="s">
        <v>624</v>
      </c>
      <c r="E875" s="189" t="s">
        <v>7207</v>
      </c>
      <c r="F875" s="507">
        <f>SUMIFS(Controle!$R:$R,Controle!$H:$H,produtos_escape2!$A875,Controle!$Z:$Z,"1")</f>
        <v>0</v>
      </c>
      <c r="G875" s="507">
        <f>SUMIFS(Controle!$R:$R,Controle!$H:$H,produtos_escape2!$A875,Controle!$Z:$Z,"2")</f>
        <v>0</v>
      </c>
      <c r="H875" s="507">
        <f>SUMIFS(Controle!$R:$R,Controle!$H:$H,produtos_escape2!$A875,Controle!$Z:$Z,"3")</f>
        <v>0</v>
      </c>
      <c r="I875" s="507">
        <f>SUMIFS(Controle!$R:$R,Controle!$H:$H,produtos_escape2!$A875,Controle!$Z:$Z,"4")</f>
        <v>0</v>
      </c>
      <c r="J875" s="507">
        <f>SUMIFS(Controle!$R:$R,Controle!$H:$H,produtos_escape2!$A875,Controle!$Z:$Z,"5")</f>
        <v>0</v>
      </c>
      <c r="K875" s="507">
        <f>SUMIFS(Controle!$R:$R,Controle!$H:$H,produtos_escape2!$A875,Controle!$Z:$Z,"6")</f>
        <v>332.5</v>
      </c>
      <c r="L875" s="507">
        <f t="shared" si="29"/>
        <v>332.5</v>
      </c>
      <c r="M875" s="381" t="s">
        <v>10198</v>
      </c>
      <c r="AF875" s="84"/>
    </row>
    <row r="876" spans="1:32" s="185" customFormat="1" ht="14.25" customHeight="1" thickBot="1">
      <c r="A876" s="353">
        <v>23156</v>
      </c>
      <c r="B876" s="194" t="s">
        <v>7063</v>
      </c>
      <c r="C876" s="339">
        <f t="shared" si="30"/>
        <v>50000</v>
      </c>
      <c r="D876" s="196" t="s">
        <v>624</v>
      </c>
      <c r="E876" s="189" t="s">
        <v>7207</v>
      </c>
      <c r="F876" s="507">
        <f>SUMIFS(Controle!$R:$R,Controle!$H:$H,produtos_escape2!$A876,Controle!$Z:$Z,"1")</f>
        <v>0</v>
      </c>
      <c r="G876" s="507">
        <f>SUMIFS(Controle!$R:$R,Controle!$H:$H,produtos_escape2!$A876,Controle!$Z:$Z,"2")</f>
        <v>0</v>
      </c>
      <c r="H876" s="507">
        <f>SUMIFS(Controle!$R:$R,Controle!$H:$H,produtos_escape2!$A876,Controle!$Z:$Z,"3")</f>
        <v>0</v>
      </c>
      <c r="I876" s="507">
        <f>SUMIFS(Controle!$R:$R,Controle!$H:$H,produtos_escape2!$A876,Controle!$Z:$Z,"4")</f>
        <v>0</v>
      </c>
      <c r="J876" s="507">
        <f>SUMIFS(Controle!$R:$R,Controle!$H:$H,produtos_escape2!$A876,Controle!$Z:$Z,"5")</f>
        <v>0</v>
      </c>
      <c r="K876" s="507">
        <f>SUMIFS(Controle!$R:$R,Controle!$H:$H,produtos_escape2!$A876,Controle!$Z:$Z,"6")</f>
        <v>0</v>
      </c>
      <c r="L876" s="507">
        <f t="shared" si="29"/>
        <v>0</v>
      </c>
      <c r="M876" s="381" t="s">
        <v>7065</v>
      </c>
      <c r="AF876" s="84"/>
    </row>
    <row r="877" spans="1:32" s="185" customFormat="1" ht="14.25" customHeight="1" thickBot="1">
      <c r="A877" s="353">
        <v>23172</v>
      </c>
      <c r="B877" s="194" t="s">
        <v>419</v>
      </c>
      <c r="C877" s="339">
        <f t="shared" si="30"/>
        <v>50000</v>
      </c>
      <c r="D877" s="196"/>
      <c r="E877" s="187"/>
      <c r="F877" s="507">
        <f>SUMIFS(Controle!$R:$R,Controle!$H:$H,produtos_escape2!$A877,Controle!$Z:$Z,"1")</f>
        <v>0</v>
      </c>
      <c r="G877" s="507">
        <f>SUMIFS(Controle!$R:$R,Controle!$H:$H,produtos_escape2!$A877,Controle!$Z:$Z,"2")</f>
        <v>0</v>
      </c>
      <c r="H877" s="507">
        <f>SUMIFS(Controle!$R:$R,Controle!$H:$H,produtos_escape2!$A877,Controle!$Z:$Z,"3")</f>
        <v>0</v>
      </c>
      <c r="I877" s="507">
        <f>SUMIFS(Controle!$R:$R,Controle!$H:$H,produtos_escape2!$A877,Controle!$Z:$Z,"4")</f>
        <v>0</v>
      </c>
      <c r="J877" s="507">
        <f>SUMIFS(Controle!$R:$R,Controle!$H:$H,produtos_escape2!$A877,Controle!$Z:$Z,"5")</f>
        <v>0</v>
      </c>
      <c r="K877" s="507">
        <f>SUMIFS(Controle!$R:$R,Controle!$H:$H,produtos_escape2!$A877,Controle!$Z:$Z,"6")</f>
        <v>0</v>
      </c>
      <c r="L877" s="507">
        <f t="shared" si="29"/>
        <v>0</v>
      </c>
      <c r="M877" s="381" t="s">
        <v>4990</v>
      </c>
      <c r="AF877" s="84"/>
    </row>
    <row r="878" spans="1:32" s="185" customFormat="1" ht="14.25" customHeight="1" thickBot="1">
      <c r="A878" s="353">
        <v>23211</v>
      </c>
      <c r="B878" s="194" t="s">
        <v>10617</v>
      </c>
      <c r="C878" s="339">
        <f t="shared" si="30"/>
        <v>49872.1</v>
      </c>
      <c r="D878" s="196" t="s">
        <v>624</v>
      </c>
      <c r="E878" s="187" t="s">
        <v>7207</v>
      </c>
      <c r="F878" s="507">
        <f>SUMIFS(Controle!$R:$R,Controle!$H:$H,produtos_escape2!$A878,Controle!$Z:$Z,"1")</f>
        <v>0</v>
      </c>
      <c r="G878" s="507">
        <f>SUMIFS(Controle!$R:$R,Controle!$H:$H,produtos_escape2!$A878,Controle!$Z:$Z,"2")</f>
        <v>0</v>
      </c>
      <c r="H878" s="507">
        <f>SUMIFS(Controle!$R:$R,Controle!$H:$H,produtos_escape2!$A878,Controle!$Z:$Z,"3")</f>
        <v>0</v>
      </c>
      <c r="I878" s="507">
        <f>SUMIFS(Controle!$R:$R,Controle!$H:$H,produtos_escape2!$A878,Controle!$Z:$Z,"4")</f>
        <v>0</v>
      </c>
      <c r="J878" s="507">
        <f>SUMIFS(Controle!$R:$R,Controle!$H:$H,produtos_escape2!$A878,Controle!$Z:$Z,"5")</f>
        <v>0</v>
      </c>
      <c r="K878" s="507">
        <f>SUMIFS(Controle!$R:$R,Controle!$H:$H,produtos_escape2!$A878,Controle!$Z:$Z,"6")</f>
        <v>127.89999999999999</v>
      </c>
      <c r="L878" s="507">
        <f t="shared" si="29"/>
        <v>127.89999999999999</v>
      </c>
      <c r="M878" s="381" t="s">
        <v>2621</v>
      </c>
      <c r="AF878" s="84"/>
    </row>
    <row r="879" spans="1:32" s="185" customFormat="1" ht="14.25" customHeight="1" thickBot="1">
      <c r="A879" s="353">
        <v>23213</v>
      </c>
      <c r="B879" s="194" t="s">
        <v>10618</v>
      </c>
      <c r="C879" s="339">
        <f t="shared" si="30"/>
        <v>49881.1</v>
      </c>
      <c r="D879" s="196" t="s">
        <v>624</v>
      </c>
      <c r="E879" s="187" t="s">
        <v>7207</v>
      </c>
      <c r="F879" s="507">
        <f>SUMIFS(Controle!$R:$R,Controle!$H:$H,produtos_escape2!$A879,Controle!$Z:$Z,"1")</f>
        <v>0</v>
      </c>
      <c r="G879" s="507">
        <f>SUMIFS(Controle!$R:$R,Controle!$H:$H,produtos_escape2!$A879,Controle!$Z:$Z,"2")</f>
        <v>0</v>
      </c>
      <c r="H879" s="507">
        <f>SUMIFS(Controle!$R:$R,Controle!$H:$H,produtos_escape2!$A879,Controle!$Z:$Z,"3")</f>
        <v>0</v>
      </c>
      <c r="I879" s="507">
        <f>SUMIFS(Controle!$R:$R,Controle!$H:$H,produtos_escape2!$A879,Controle!$Z:$Z,"4")</f>
        <v>0</v>
      </c>
      <c r="J879" s="507">
        <f>SUMIFS(Controle!$R:$R,Controle!$H:$H,produtos_escape2!$A879,Controle!$Z:$Z,"5")</f>
        <v>0</v>
      </c>
      <c r="K879" s="507">
        <f>SUMIFS(Controle!$R:$R,Controle!$H:$H,produtos_escape2!$A879,Controle!$Z:$Z,"6")</f>
        <v>118.9</v>
      </c>
      <c r="L879" s="507">
        <f t="shared" si="29"/>
        <v>118.9</v>
      </c>
      <c r="M879" s="381" t="s">
        <v>2622</v>
      </c>
      <c r="AF879" s="84"/>
    </row>
    <row r="880" spans="1:32" s="185" customFormat="1" ht="14.25" customHeight="1" thickBot="1">
      <c r="A880" s="353">
        <v>23214</v>
      </c>
      <c r="B880" s="194" t="s">
        <v>388</v>
      </c>
      <c r="C880" s="339">
        <f t="shared" si="30"/>
        <v>50000</v>
      </c>
      <c r="D880" s="196"/>
      <c r="E880" s="187"/>
      <c r="F880" s="507">
        <f>SUMIFS(Controle!$R:$R,Controle!$H:$H,produtos_escape2!$A880,Controle!$Z:$Z,"1")</f>
        <v>0</v>
      </c>
      <c r="G880" s="507">
        <f>SUMIFS(Controle!$R:$R,Controle!$H:$H,produtos_escape2!$A880,Controle!$Z:$Z,"2")</f>
        <v>0</v>
      </c>
      <c r="H880" s="507">
        <f>SUMIFS(Controle!$R:$R,Controle!$H:$H,produtos_escape2!$A880,Controle!$Z:$Z,"3")</f>
        <v>0</v>
      </c>
      <c r="I880" s="507">
        <f>SUMIFS(Controle!$R:$R,Controle!$H:$H,produtos_escape2!$A880,Controle!$Z:$Z,"4")</f>
        <v>0</v>
      </c>
      <c r="J880" s="507">
        <f>SUMIFS(Controle!$R:$R,Controle!$H:$H,produtos_escape2!$A880,Controle!$Z:$Z,"5")</f>
        <v>0</v>
      </c>
      <c r="K880" s="507">
        <f>SUMIFS(Controle!$R:$R,Controle!$H:$H,produtos_escape2!$A880,Controle!$Z:$Z,"6")</f>
        <v>0</v>
      </c>
      <c r="L880" s="507">
        <f t="shared" si="29"/>
        <v>0</v>
      </c>
      <c r="M880" s="381" t="s">
        <v>4991</v>
      </c>
      <c r="AF880" s="84"/>
    </row>
    <row r="881" spans="1:32" s="185" customFormat="1" ht="14.25" customHeight="1" thickBot="1">
      <c r="A881" s="353">
        <v>23306</v>
      </c>
      <c r="B881" s="338" t="s">
        <v>3494</v>
      </c>
      <c r="C881" s="339">
        <f t="shared" si="30"/>
        <v>50000</v>
      </c>
      <c r="D881" s="196" t="s">
        <v>624</v>
      </c>
      <c r="E881" s="187" t="s">
        <v>3608</v>
      </c>
      <c r="F881" s="507">
        <f>SUMIFS(Controle!$R:$R,Controle!$H:$H,produtos_escape2!$A881,Controle!$Z:$Z,"1")</f>
        <v>0</v>
      </c>
      <c r="G881" s="507">
        <f>SUMIFS(Controle!$R:$R,Controle!$H:$H,produtos_escape2!$A881,Controle!$Z:$Z,"2")</f>
        <v>0</v>
      </c>
      <c r="H881" s="507">
        <f>SUMIFS(Controle!$R:$R,Controle!$H:$H,produtos_escape2!$A881,Controle!$Z:$Z,"3")</f>
        <v>0</v>
      </c>
      <c r="I881" s="507">
        <f>SUMIFS(Controle!$R:$R,Controle!$H:$H,produtos_escape2!$A881,Controle!$Z:$Z,"4")</f>
        <v>0</v>
      </c>
      <c r="J881" s="507">
        <f>SUMIFS(Controle!$R:$R,Controle!$H:$H,produtos_escape2!$A881,Controle!$Z:$Z,"5")</f>
        <v>0</v>
      </c>
      <c r="K881" s="507">
        <f>SUMIFS(Controle!$R:$R,Controle!$H:$H,produtos_escape2!$A881,Controle!$Z:$Z,"6")</f>
        <v>0</v>
      </c>
      <c r="L881" s="507">
        <f t="shared" si="29"/>
        <v>0</v>
      </c>
      <c r="M881" s="381" t="s">
        <v>4992</v>
      </c>
      <c r="AF881" s="84"/>
    </row>
    <row r="882" spans="1:32" s="185" customFormat="1" ht="14.25" customHeight="1" thickBot="1">
      <c r="A882" s="353">
        <v>23309</v>
      </c>
      <c r="B882" s="194" t="s">
        <v>7079</v>
      </c>
      <c r="C882" s="339">
        <f t="shared" si="30"/>
        <v>50000</v>
      </c>
      <c r="D882" s="196" t="s">
        <v>624</v>
      </c>
      <c r="E882" s="187" t="s">
        <v>3608</v>
      </c>
      <c r="F882" s="507">
        <f>SUMIFS(Controle!$R:$R,Controle!$H:$H,produtos_escape2!$A882,Controle!$Z:$Z,"1")</f>
        <v>0</v>
      </c>
      <c r="G882" s="507">
        <f>SUMIFS(Controle!$R:$R,Controle!$H:$H,produtos_escape2!$A882,Controle!$Z:$Z,"2")</f>
        <v>0</v>
      </c>
      <c r="H882" s="507">
        <f>SUMIFS(Controle!$R:$R,Controle!$H:$H,produtos_escape2!$A882,Controle!$Z:$Z,"3")</f>
        <v>0</v>
      </c>
      <c r="I882" s="507">
        <f>SUMIFS(Controle!$R:$R,Controle!$H:$H,produtos_escape2!$A882,Controle!$Z:$Z,"4")</f>
        <v>0</v>
      </c>
      <c r="J882" s="507">
        <f>SUMIFS(Controle!$R:$R,Controle!$H:$H,produtos_escape2!$A882,Controle!$Z:$Z,"5")</f>
        <v>0</v>
      </c>
      <c r="K882" s="507">
        <f>SUMIFS(Controle!$R:$R,Controle!$H:$H,produtos_escape2!$A882,Controle!$Z:$Z,"6")</f>
        <v>0</v>
      </c>
      <c r="L882" s="507">
        <f t="shared" si="29"/>
        <v>0</v>
      </c>
      <c r="M882" s="381" t="s">
        <v>7078</v>
      </c>
      <c r="AF882" s="84"/>
    </row>
    <row r="883" spans="1:32" s="185" customFormat="1" ht="14.25" customHeight="1" thickBot="1">
      <c r="A883" s="353">
        <v>23310</v>
      </c>
      <c r="B883" s="194" t="s">
        <v>4470</v>
      </c>
      <c r="C883" s="339">
        <f t="shared" si="30"/>
        <v>50000</v>
      </c>
      <c r="D883" s="196" t="s">
        <v>624</v>
      </c>
      <c r="E883" s="187" t="s">
        <v>3608</v>
      </c>
      <c r="F883" s="507">
        <f>SUMIFS(Controle!$R:$R,Controle!$H:$H,produtos_escape2!$A883,Controle!$Z:$Z,"1")</f>
        <v>0</v>
      </c>
      <c r="G883" s="507">
        <f>SUMIFS(Controle!$R:$R,Controle!$H:$H,produtos_escape2!$A883,Controle!$Z:$Z,"2")</f>
        <v>0</v>
      </c>
      <c r="H883" s="507">
        <f>SUMIFS(Controle!$R:$R,Controle!$H:$H,produtos_escape2!$A883,Controle!$Z:$Z,"3")</f>
        <v>0</v>
      </c>
      <c r="I883" s="507">
        <f>SUMIFS(Controle!$R:$R,Controle!$H:$H,produtos_escape2!$A883,Controle!$Z:$Z,"4")</f>
        <v>0</v>
      </c>
      <c r="J883" s="507">
        <f>SUMIFS(Controle!$R:$R,Controle!$H:$H,produtos_escape2!$A883,Controle!$Z:$Z,"5")</f>
        <v>0</v>
      </c>
      <c r="K883" s="507">
        <f>SUMIFS(Controle!$R:$R,Controle!$H:$H,produtos_escape2!$A883,Controle!$Z:$Z,"6")</f>
        <v>0</v>
      </c>
      <c r="L883" s="507">
        <f t="shared" si="29"/>
        <v>0</v>
      </c>
      <c r="M883" s="381" t="s">
        <v>4993</v>
      </c>
      <c r="AF883" s="84"/>
    </row>
    <row r="884" spans="1:32" s="185" customFormat="1" ht="14.25" customHeight="1" thickBot="1">
      <c r="A884" s="353">
        <v>23311</v>
      </c>
      <c r="B884" s="194" t="s">
        <v>4471</v>
      </c>
      <c r="C884" s="339">
        <f t="shared" si="30"/>
        <v>50000</v>
      </c>
      <c r="D884" s="196" t="s">
        <v>624</v>
      </c>
      <c r="E884" s="187" t="s">
        <v>3608</v>
      </c>
      <c r="F884" s="507">
        <f>SUMIFS(Controle!$R:$R,Controle!$H:$H,produtos_escape2!$A884,Controle!$Z:$Z,"1")</f>
        <v>0</v>
      </c>
      <c r="G884" s="507">
        <f>SUMIFS(Controle!$R:$R,Controle!$H:$H,produtos_escape2!$A884,Controle!$Z:$Z,"2")</f>
        <v>0</v>
      </c>
      <c r="H884" s="507">
        <f>SUMIFS(Controle!$R:$R,Controle!$H:$H,produtos_escape2!$A884,Controle!$Z:$Z,"3")</f>
        <v>0</v>
      </c>
      <c r="I884" s="507">
        <f>SUMIFS(Controle!$R:$R,Controle!$H:$H,produtos_escape2!$A884,Controle!$Z:$Z,"4")</f>
        <v>0</v>
      </c>
      <c r="J884" s="507">
        <f>SUMIFS(Controle!$R:$R,Controle!$H:$H,produtos_escape2!$A884,Controle!$Z:$Z,"5")</f>
        <v>0</v>
      </c>
      <c r="K884" s="507">
        <f>SUMIFS(Controle!$R:$R,Controle!$H:$H,produtos_escape2!$A884,Controle!$Z:$Z,"6")</f>
        <v>0</v>
      </c>
      <c r="L884" s="507">
        <f t="shared" si="29"/>
        <v>0</v>
      </c>
      <c r="M884" s="381" t="s">
        <v>4994</v>
      </c>
      <c r="AF884" s="84"/>
    </row>
    <row r="885" spans="1:32" s="185" customFormat="1" ht="14.25" customHeight="1" thickBot="1">
      <c r="A885" s="333">
        <v>23326</v>
      </c>
      <c r="B885" s="194" t="s">
        <v>1720</v>
      </c>
      <c r="C885" s="339">
        <f t="shared" si="30"/>
        <v>50000</v>
      </c>
      <c r="D885" s="196" t="s">
        <v>624</v>
      </c>
      <c r="E885" s="187" t="s">
        <v>3608</v>
      </c>
      <c r="F885" s="507">
        <f>SUMIFS(Controle!$R:$R,Controle!$H:$H,produtos_escape2!$A885,Controle!$Z:$Z,"1")</f>
        <v>0</v>
      </c>
      <c r="G885" s="507">
        <f>SUMIFS(Controle!$R:$R,Controle!$H:$H,produtos_escape2!$A885,Controle!$Z:$Z,"2")</f>
        <v>0</v>
      </c>
      <c r="H885" s="507">
        <f>SUMIFS(Controle!$R:$R,Controle!$H:$H,produtos_escape2!$A885,Controle!$Z:$Z,"3")</f>
        <v>0</v>
      </c>
      <c r="I885" s="507">
        <f>SUMIFS(Controle!$R:$R,Controle!$H:$H,produtos_escape2!$A885,Controle!$Z:$Z,"4")</f>
        <v>0</v>
      </c>
      <c r="J885" s="507">
        <f>SUMIFS(Controle!$R:$R,Controle!$H:$H,produtos_escape2!$A885,Controle!$Z:$Z,"5")</f>
        <v>0</v>
      </c>
      <c r="K885" s="507">
        <f>SUMIFS(Controle!$R:$R,Controle!$H:$H,produtos_escape2!$A885,Controle!$Z:$Z,"6")</f>
        <v>0</v>
      </c>
      <c r="L885" s="507">
        <f t="shared" si="29"/>
        <v>0</v>
      </c>
      <c r="M885" s="381" t="s">
        <v>4995</v>
      </c>
      <c r="AF885" s="84"/>
    </row>
    <row r="886" spans="1:32" s="185" customFormat="1" ht="14.25" customHeight="1" thickBot="1">
      <c r="A886" s="353">
        <v>23327</v>
      </c>
      <c r="B886" s="194" t="s">
        <v>1804</v>
      </c>
      <c r="C886" s="339">
        <f t="shared" si="30"/>
        <v>50000</v>
      </c>
      <c r="D886" s="191" t="s">
        <v>624</v>
      </c>
      <c r="E886" s="189" t="s">
        <v>3608</v>
      </c>
      <c r="F886" s="507">
        <f>SUMIFS(Controle!$R:$R,Controle!$H:$H,produtos_escape2!$A886,Controle!$Z:$Z,"1")</f>
        <v>0</v>
      </c>
      <c r="G886" s="507">
        <f>SUMIFS(Controle!$R:$R,Controle!$H:$H,produtos_escape2!$A886,Controle!$Z:$Z,"2")</f>
        <v>0</v>
      </c>
      <c r="H886" s="507">
        <f>SUMIFS(Controle!$R:$R,Controle!$H:$H,produtos_escape2!$A886,Controle!$Z:$Z,"3")</f>
        <v>0</v>
      </c>
      <c r="I886" s="507">
        <f>SUMIFS(Controle!$R:$R,Controle!$H:$H,produtos_escape2!$A886,Controle!$Z:$Z,"4")</f>
        <v>0</v>
      </c>
      <c r="J886" s="507">
        <f>SUMIFS(Controle!$R:$R,Controle!$H:$H,produtos_escape2!$A886,Controle!$Z:$Z,"5")</f>
        <v>0</v>
      </c>
      <c r="K886" s="507">
        <f>SUMIFS(Controle!$R:$R,Controle!$H:$H,produtos_escape2!$A886,Controle!$Z:$Z,"6")</f>
        <v>0</v>
      </c>
      <c r="L886" s="507">
        <f t="shared" si="29"/>
        <v>0</v>
      </c>
      <c r="M886" s="381" t="s">
        <v>4996</v>
      </c>
      <c r="AF886" s="84"/>
    </row>
    <row r="887" spans="1:32" s="185" customFormat="1" ht="14.25" customHeight="1" thickBot="1">
      <c r="A887" s="353">
        <v>23337</v>
      </c>
      <c r="B887" s="194" t="s">
        <v>3412</v>
      </c>
      <c r="C887" s="339">
        <f t="shared" si="30"/>
        <v>50000</v>
      </c>
      <c r="D887" s="196" t="s">
        <v>624</v>
      </c>
      <c r="E887" s="187" t="s">
        <v>3608</v>
      </c>
      <c r="F887" s="507">
        <f>SUMIFS(Controle!$R:$R,Controle!$H:$H,produtos_escape2!$A887,Controle!$Z:$Z,"1")</f>
        <v>0</v>
      </c>
      <c r="G887" s="507">
        <f>SUMIFS(Controle!$R:$R,Controle!$H:$H,produtos_escape2!$A887,Controle!$Z:$Z,"2")</f>
        <v>0</v>
      </c>
      <c r="H887" s="507">
        <f>SUMIFS(Controle!$R:$R,Controle!$H:$H,produtos_escape2!$A887,Controle!$Z:$Z,"3")</f>
        <v>0</v>
      </c>
      <c r="I887" s="507">
        <f>SUMIFS(Controle!$R:$R,Controle!$H:$H,produtos_escape2!$A887,Controle!$Z:$Z,"4")</f>
        <v>0</v>
      </c>
      <c r="J887" s="507">
        <f>SUMIFS(Controle!$R:$R,Controle!$H:$H,produtos_escape2!$A887,Controle!$Z:$Z,"5")</f>
        <v>0</v>
      </c>
      <c r="K887" s="507">
        <f>SUMIFS(Controle!$R:$R,Controle!$H:$H,produtos_escape2!$A887,Controle!$Z:$Z,"6")</f>
        <v>0</v>
      </c>
      <c r="L887" s="507">
        <f t="shared" si="29"/>
        <v>0</v>
      </c>
      <c r="M887" s="381" t="s">
        <v>4997</v>
      </c>
      <c r="AF887" s="84"/>
    </row>
    <row r="888" spans="1:32" s="185" customFormat="1" ht="14.25" customHeight="1" thickBot="1">
      <c r="A888" s="353">
        <v>23353</v>
      </c>
      <c r="B888" s="194" t="s">
        <v>1567</v>
      </c>
      <c r="C888" s="339">
        <f t="shared" si="30"/>
        <v>50000</v>
      </c>
      <c r="D888" s="196" t="s">
        <v>624</v>
      </c>
      <c r="E888" s="187" t="s">
        <v>3608</v>
      </c>
      <c r="F888" s="507">
        <f>SUMIFS(Controle!$R:$R,Controle!$H:$H,produtos_escape2!$A888,Controle!$Z:$Z,"1")</f>
        <v>0</v>
      </c>
      <c r="G888" s="507">
        <f>SUMIFS(Controle!$R:$R,Controle!$H:$H,produtos_escape2!$A888,Controle!$Z:$Z,"2")</f>
        <v>0</v>
      </c>
      <c r="H888" s="507">
        <f>SUMIFS(Controle!$R:$R,Controle!$H:$H,produtos_escape2!$A888,Controle!$Z:$Z,"3")</f>
        <v>0</v>
      </c>
      <c r="I888" s="507">
        <f>SUMIFS(Controle!$R:$R,Controle!$H:$H,produtos_escape2!$A888,Controle!$Z:$Z,"4")</f>
        <v>0</v>
      </c>
      <c r="J888" s="507">
        <f>SUMIFS(Controle!$R:$R,Controle!$H:$H,produtos_escape2!$A888,Controle!$Z:$Z,"5")</f>
        <v>0</v>
      </c>
      <c r="K888" s="507">
        <f>SUMIFS(Controle!$R:$R,Controle!$H:$H,produtos_escape2!$A888,Controle!$Z:$Z,"6")</f>
        <v>0</v>
      </c>
      <c r="L888" s="507">
        <f t="shared" si="29"/>
        <v>0</v>
      </c>
      <c r="M888" s="381" t="s">
        <v>4998</v>
      </c>
      <c r="AF888" s="84"/>
    </row>
    <row r="889" spans="1:32" s="185" customFormat="1" ht="14.25" customHeight="1" thickBot="1">
      <c r="A889" s="353">
        <v>23357</v>
      </c>
      <c r="B889" s="194" t="s">
        <v>43</v>
      </c>
      <c r="C889" s="339">
        <f t="shared" si="30"/>
        <v>50000</v>
      </c>
      <c r="D889" s="196"/>
      <c r="E889" s="187"/>
      <c r="F889" s="507">
        <f>SUMIFS(Controle!$R:$R,Controle!$H:$H,produtos_escape2!$A889,Controle!$Z:$Z,"1")</f>
        <v>0</v>
      </c>
      <c r="G889" s="507">
        <f>SUMIFS(Controle!$R:$R,Controle!$H:$H,produtos_escape2!$A889,Controle!$Z:$Z,"2")</f>
        <v>0</v>
      </c>
      <c r="H889" s="507">
        <f>SUMIFS(Controle!$R:$R,Controle!$H:$H,produtos_escape2!$A889,Controle!$Z:$Z,"3")</f>
        <v>0</v>
      </c>
      <c r="I889" s="507">
        <f>SUMIFS(Controle!$R:$R,Controle!$H:$H,produtos_escape2!$A889,Controle!$Z:$Z,"4")</f>
        <v>0</v>
      </c>
      <c r="J889" s="507">
        <f>SUMIFS(Controle!$R:$R,Controle!$H:$H,produtos_escape2!$A889,Controle!$Z:$Z,"5")</f>
        <v>0</v>
      </c>
      <c r="K889" s="507">
        <f>SUMIFS(Controle!$R:$R,Controle!$H:$H,produtos_escape2!$A889,Controle!$Z:$Z,"6")</f>
        <v>0</v>
      </c>
      <c r="L889" s="507">
        <f t="shared" si="29"/>
        <v>0</v>
      </c>
      <c r="M889" s="381" t="s">
        <v>4999</v>
      </c>
      <c r="AF889" s="84"/>
    </row>
    <row r="890" spans="1:32" s="185" customFormat="1" ht="14.25" customHeight="1" thickBot="1">
      <c r="A890" s="353">
        <v>23381</v>
      </c>
      <c r="B890" s="338" t="s">
        <v>4208</v>
      </c>
      <c r="C890" s="339">
        <f t="shared" si="30"/>
        <v>50000</v>
      </c>
      <c r="D890" s="196" t="s">
        <v>624</v>
      </c>
      <c r="E890" s="189" t="s">
        <v>7207</v>
      </c>
      <c r="F890" s="507">
        <f>SUMIFS(Controle!$R:$R,Controle!$H:$H,produtos_escape2!$A890,Controle!$Z:$Z,"1")</f>
        <v>0</v>
      </c>
      <c r="G890" s="507">
        <f>SUMIFS(Controle!$R:$R,Controle!$H:$H,produtos_escape2!$A890,Controle!$Z:$Z,"2")</f>
        <v>0</v>
      </c>
      <c r="H890" s="507">
        <f>SUMIFS(Controle!$R:$R,Controle!$H:$H,produtos_escape2!$A890,Controle!$Z:$Z,"3")</f>
        <v>0</v>
      </c>
      <c r="I890" s="507">
        <f>SUMIFS(Controle!$R:$R,Controle!$H:$H,produtos_escape2!$A890,Controle!$Z:$Z,"4")</f>
        <v>0</v>
      </c>
      <c r="J890" s="507">
        <f>SUMIFS(Controle!$R:$R,Controle!$H:$H,produtos_escape2!$A890,Controle!$Z:$Z,"5")</f>
        <v>0</v>
      </c>
      <c r="K890" s="507">
        <f>SUMIFS(Controle!$R:$R,Controle!$H:$H,produtos_escape2!$A890,Controle!$Z:$Z,"6")</f>
        <v>0</v>
      </c>
      <c r="L890" s="507">
        <f t="shared" si="29"/>
        <v>0</v>
      </c>
      <c r="M890" s="381" t="s">
        <v>5000</v>
      </c>
      <c r="AF890" s="84"/>
    </row>
    <row r="891" spans="1:32" s="185" customFormat="1" ht="14.25" customHeight="1" thickBot="1">
      <c r="A891" s="353">
        <v>23382</v>
      </c>
      <c r="B891" s="194" t="s">
        <v>4214</v>
      </c>
      <c r="C891" s="339">
        <f t="shared" si="30"/>
        <v>48789.599999999999</v>
      </c>
      <c r="D891" s="196" t="s">
        <v>624</v>
      </c>
      <c r="E891" s="189" t="s">
        <v>7207</v>
      </c>
      <c r="F891" s="507">
        <f>SUMIFS(Controle!$R:$R,Controle!$H:$H,produtos_escape2!$A891,Controle!$Z:$Z,"1")</f>
        <v>0</v>
      </c>
      <c r="G891" s="507">
        <f>SUMIFS(Controle!$R:$R,Controle!$H:$H,produtos_escape2!$A891,Controle!$Z:$Z,"2")</f>
        <v>0</v>
      </c>
      <c r="H891" s="507">
        <f>SUMIFS(Controle!$R:$R,Controle!$H:$H,produtos_escape2!$A891,Controle!$Z:$Z,"3")</f>
        <v>0</v>
      </c>
      <c r="I891" s="507">
        <f>SUMIFS(Controle!$R:$R,Controle!$H:$H,produtos_escape2!$A891,Controle!$Z:$Z,"4")</f>
        <v>1210.4000000000001</v>
      </c>
      <c r="J891" s="507">
        <f>SUMIFS(Controle!$R:$R,Controle!$H:$H,produtos_escape2!$A891,Controle!$Z:$Z,"5")</f>
        <v>0</v>
      </c>
      <c r="K891" s="507">
        <f>SUMIFS(Controle!$R:$R,Controle!$H:$H,produtos_escape2!$A891,Controle!$Z:$Z,"6")</f>
        <v>0</v>
      </c>
      <c r="L891" s="507">
        <f t="shared" si="29"/>
        <v>1210.4000000000001</v>
      </c>
      <c r="M891" s="381" t="s">
        <v>5001</v>
      </c>
      <c r="AF891" s="84"/>
    </row>
    <row r="892" spans="1:32" s="185" customFormat="1" ht="14.25" customHeight="1" thickBot="1">
      <c r="A892" s="353">
        <v>23383</v>
      </c>
      <c r="B892" s="194" t="s">
        <v>4207</v>
      </c>
      <c r="C892" s="339">
        <f t="shared" si="30"/>
        <v>47654</v>
      </c>
      <c r="D892" s="196" t="s">
        <v>624</v>
      </c>
      <c r="E892" s="189" t="s">
        <v>7207</v>
      </c>
      <c r="F892" s="507">
        <f>SUMIFS(Controle!$R:$R,Controle!$H:$H,produtos_escape2!$A892,Controle!$Z:$Z,"1")</f>
        <v>0</v>
      </c>
      <c r="G892" s="507">
        <f>SUMIFS(Controle!$R:$R,Controle!$H:$H,produtos_escape2!$A892,Controle!$Z:$Z,"2")</f>
        <v>0</v>
      </c>
      <c r="H892" s="507">
        <f>SUMIFS(Controle!$R:$R,Controle!$H:$H,produtos_escape2!$A892,Controle!$Z:$Z,"3")</f>
        <v>0</v>
      </c>
      <c r="I892" s="507">
        <f>SUMIFS(Controle!$R:$R,Controle!$H:$H,produtos_escape2!$A892,Controle!$Z:$Z,"4")</f>
        <v>0</v>
      </c>
      <c r="J892" s="507">
        <f>SUMIFS(Controle!$R:$R,Controle!$H:$H,produtos_escape2!$A892,Controle!$Z:$Z,"5")</f>
        <v>0</v>
      </c>
      <c r="K892" s="507">
        <f>SUMIFS(Controle!$R:$R,Controle!$H:$H,produtos_escape2!$A892,Controle!$Z:$Z,"6")</f>
        <v>2346</v>
      </c>
      <c r="L892" s="507">
        <f t="shared" si="29"/>
        <v>2346</v>
      </c>
      <c r="M892" s="381" t="s">
        <v>5002</v>
      </c>
      <c r="AF892" s="84"/>
    </row>
    <row r="893" spans="1:32" s="185" customFormat="1" ht="14.25" customHeight="1" thickBot="1">
      <c r="A893" s="333">
        <v>23384</v>
      </c>
      <c r="B893" s="194" t="s">
        <v>915</v>
      </c>
      <c r="C893" s="339">
        <f t="shared" si="30"/>
        <v>49632.5</v>
      </c>
      <c r="D893" s="196" t="s">
        <v>548</v>
      </c>
      <c r="E893" s="187" t="s">
        <v>3608</v>
      </c>
      <c r="F893" s="507">
        <f>SUMIFS(Controle!$R:$R,Controle!$H:$H,produtos_escape2!$A893,Controle!$Z:$Z,"1")</f>
        <v>0</v>
      </c>
      <c r="G893" s="507">
        <f>SUMIFS(Controle!$R:$R,Controle!$H:$H,produtos_escape2!$A893,Controle!$Z:$Z,"2")</f>
        <v>0</v>
      </c>
      <c r="H893" s="507">
        <f>SUMIFS(Controle!$R:$R,Controle!$H:$H,produtos_escape2!$A893,Controle!$Z:$Z,"3")</f>
        <v>0</v>
      </c>
      <c r="I893" s="507">
        <f>SUMIFS(Controle!$R:$R,Controle!$H:$H,produtos_escape2!$A893,Controle!$Z:$Z,"4")</f>
        <v>367.5</v>
      </c>
      <c r="J893" s="507">
        <f>SUMIFS(Controle!$R:$R,Controle!$H:$H,produtos_escape2!$A893,Controle!$Z:$Z,"5")</f>
        <v>0</v>
      </c>
      <c r="K893" s="507">
        <f>SUMIFS(Controle!$R:$R,Controle!$H:$H,produtos_escape2!$A893,Controle!$Z:$Z,"6")</f>
        <v>0</v>
      </c>
      <c r="L893" s="507">
        <f t="shared" si="29"/>
        <v>367.5</v>
      </c>
      <c r="M893" s="381" t="s">
        <v>915</v>
      </c>
      <c r="AF893" s="84"/>
    </row>
    <row r="894" spans="1:32" s="185" customFormat="1" ht="14.25" customHeight="1" thickBot="1">
      <c r="A894" s="353">
        <v>23386</v>
      </c>
      <c r="B894" s="194" t="s">
        <v>9257</v>
      </c>
      <c r="C894" s="339">
        <f t="shared" si="30"/>
        <v>50000</v>
      </c>
      <c r="D894" s="196" t="s">
        <v>624</v>
      </c>
      <c r="E894" s="189" t="s">
        <v>7207</v>
      </c>
      <c r="F894" s="507">
        <f>SUMIFS(Controle!$R:$R,Controle!$H:$H,produtos_escape2!$A894,Controle!$Z:$Z,"1")</f>
        <v>0</v>
      </c>
      <c r="G894" s="507">
        <f>SUMIFS(Controle!$R:$R,Controle!$H:$H,produtos_escape2!$A894,Controle!$Z:$Z,"2")</f>
        <v>0</v>
      </c>
      <c r="H894" s="507">
        <f>SUMIFS(Controle!$R:$R,Controle!$H:$H,produtos_escape2!$A894,Controle!$Z:$Z,"3")</f>
        <v>0</v>
      </c>
      <c r="I894" s="507">
        <f>SUMIFS(Controle!$R:$R,Controle!$H:$H,produtos_escape2!$A894,Controle!$Z:$Z,"4")</f>
        <v>0</v>
      </c>
      <c r="J894" s="507">
        <f>SUMIFS(Controle!$R:$R,Controle!$H:$H,produtos_escape2!$A894,Controle!$Z:$Z,"5")</f>
        <v>0</v>
      </c>
      <c r="K894" s="507">
        <f>SUMIFS(Controle!$R:$R,Controle!$H:$H,produtos_escape2!$A894,Controle!$Z:$Z,"6")</f>
        <v>0</v>
      </c>
      <c r="L894" s="507">
        <f t="shared" si="29"/>
        <v>0</v>
      </c>
      <c r="M894" s="84"/>
      <c r="AF894" s="84"/>
    </row>
    <row r="895" spans="1:32" s="185" customFormat="1" ht="14.25" customHeight="1" thickBot="1">
      <c r="A895" s="333">
        <v>23391</v>
      </c>
      <c r="B895" s="194" t="s">
        <v>9107</v>
      </c>
      <c r="C895" s="339">
        <f t="shared" si="30"/>
        <v>50000</v>
      </c>
      <c r="D895" s="196" t="s">
        <v>624</v>
      </c>
      <c r="E895" s="187" t="s">
        <v>7207</v>
      </c>
      <c r="F895" s="507">
        <f>SUMIFS(Controle!$R:$R,Controle!$H:$H,produtos_escape2!$A895,Controle!$Z:$Z,"1")</f>
        <v>0</v>
      </c>
      <c r="G895" s="507">
        <f>SUMIFS(Controle!$R:$R,Controle!$H:$H,produtos_escape2!$A895,Controle!$Z:$Z,"2")</f>
        <v>0</v>
      </c>
      <c r="H895" s="507">
        <f>SUMIFS(Controle!$R:$R,Controle!$H:$H,produtos_escape2!$A895,Controle!$Z:$Z,"3")</f>
        <v>0</v>
      </c>
      <c r="I895" s="507">
        <f>SUMIFS(Controle!$R:$R,Controle!$H:$H,produtos_escape2!$A895,Controle!$Z:$Z,"4")</f>
        <v>0</v>
      </c>
      <c r="J895" s="507">
        <f>SUMIFS(Controle!$R:$R,Controle!$H:$H,produtos_escape2!$A895,Controle!$Z:$Z,"5")</f>
        <v>0</v>
      </c>
      <c r="K895" s="507">
        <f>SUMIFS(Controle!$R:$R,Controle!$H:$H,produtos_escape2!$A895,Controle!$Z:$Z,"6")</f>
        <v>0</v>
      </c>
      <c r="L895" s="507">
        <f t="shared" ref="L895:L958" si="31">SUM(F895:K895)</f>
        <v>0</v>
      </c>
      <c r="M895" s="381" t="s">
        <v>9106</v>
      </c>
      <c r="AF895" s="84"/>
    </row>
    <row r="896" spans="1:32" s="185" customFormat="1" ht="14.25" customHeight="1" thickBot="1">
      <c r="A896" s="353">
        <v>23400</v>
      </c>
      <c r="B896" s="194" t="s">
        <v>9258</v>
      </c>
      <c r="C896" s="339">
        <f t="shared" si="30"/>
        <v>49062.5</v>
      </c>
      <c r="D896" s="196" t="s">
        <v>624</v>
      </c>
      <c r="E896" s="189" t="s">
        <v>7207</v>
      </c>
      <c r="F896" s="507">
        <f>SUMIFS(Controle!$R:$R,Controle!$H:$H,produtos_escape2!$A896,Controle!$Z:$Z,"1")</f>
        <v>0</v>
      </c>
      <c r="G896" s="507">
        <f>SUMIFS(Controle!$R:$R,Controle!$H:$H,produtos_escape2!$A896,Controle!$Z:$Z,"2")</f>
        <v>0</v>
      </c>
      <c r="H896" s="507">
        <f>SUMIFS(Controle!$R:$R,Controle!$H:$H,produtos_escape2!$A896,Controle!$Z:$Z,"3")</f>
        <v>0</v>
      </c>
      <c r="I896" s="507">
        <f>SUMIFS(Controle!$R:$R,Controle!$H:$H,produtos_escape2!$A896,Controle!$Z:$Z,"4")</f>
        <v>0</v>
      </c>
      <c r="J896" s="507">
        <f>SUMIFS(Controle!$R:$R,Controle!$H:$H,produtos_escape2!$A896,Controle!$Z:$Z,"5")</f>
        <v>0</v>
      </c>
      <c r="K896" s="507">
        <f>SUMIFS(Controle!$R:$R,Controle!$H:$H,produtos_escape2!$A896,Controle!$Z:$Z,"6")</f>
        <v>937.5</v>
      </c>
      <c r="L896" s="507">
        <f t="shared" si="31"/>
        <v>937.5</v>
      </c>
      <c r="M896" s="84"/>
      <c r="AF896" s="84"/>
    </row>
    <row r="897" spans="1:32" s="185" customFormat="1" ht="14.25" customHeight="1" thickBot="1">
      <c r="A897" s="353">
        <v>23405</v>
      </c>
      <c r="B897" s="194" t="s">
        <v>9259</v>
      </c>
      <c r="C897" s="339">
        <f t="shared" si="30"/>
        <v>49805</v>
      </c>
      <c r="D897" s="196" t="s">
        <v>624</v>
      </c>
      <c r="E897" s="189" t="s">
        <v>7207</v>
      </c>
      <c r="F897" s="507">
        <f>SUMIFS(Controle!$R:$R,Controle!$H:$H,produtos_escape2!$A897,Controle!$Z:$Z,"1")</f>
        <v>0</v>
      </c>
      <c r="G897" s="507">
        <f>SUMIFS(Controle!$R:$R,Controle!$H:$H,produtos_escape2!$A897,Controle!$Z:$Z,"2")</f>
        <v>0</v>
      </c>
      <c r="H897" s="507">
        <f>SUMIFS(Controle!$R:$R,Controle!$H:$H,produtos_escape2!$A897,Controle!$Z:$Z,"3")</f>
        <v>0</v>
      </c>
      <c r="I897" s="507">
        <f>SUMIFS(Controle!$R:$R,Controle!$H:$H,produtos_escape2!$A897,Controle!$Z:$Z,"4")</f>
        <v>0</v>
      </c>
      <c r="J897" s="507">
        <f>SUMIFS(Controle!$R:$R,Controle!$H:$H,produtos_escape2!$A897,Controle!$Z:$Z,"5")</f>
        <v>0</v>
      </c>
      <c r="K897" s="507">
        <f>SUMIFS(Controle!$R:$R,Controle!$H:$H,produtos_escape2!$A897,Controle!$Z:$Z,"6")</f>
        <v>195</v>
      </c>
      <c r="L897" s="507">
        <f t="shared" si="31"/>
        <v>195</v>
      </c>
      <c r="M897" s="84"/>
      <c r="AF897" s="84"/>
    </row>
    <row r="898" spans="1:32" s="185" customFormat="1" ht="14.25" customHeight="1" thickBot="1">
      <c r="A898" s="353">
        <v>23407</v>
      </c>
      <c r="B898" s="194" t="s">
        <v>4209</v>
      </c>
      <c r="C898" s="339">
        <f t="shared" si="30"/>
        <v>50000</v>
      </c>
      <c r="D898" s="196" t="s">
        <v>624</v>
      </c>
      <c r="E898" s="189" t="s">
        <v>7207</v>
      </c>
      <c r="F898" s="507">
        <f>SUMIFS(Controle!$R:$R,Controle!$H:$H,produtos_escape2!$A898,Controle!$Z:$Z,"1")</f>
        <v>0</v>
      </c>
      <c r="G898" s="507">
        <f>SUMIFS(Controle!$R:$R,Controle!$H:$H,produtos_escape2!$A898,Controle!$Z:$Z,"2")</f>
        <v>0</v>
      </c>
      <c r="H898" s="507">
        <f>SUMIFS(Controle!$R:$R,Controle!$H:$H,produtos_escape2!$A898,Controle!$Z:$Z,"3")</f>
        <v>0</v>
      </c>
      <c r="I898" s="507">
        <f>SUMIFS(Controle!$R:$R,Controle!$H:$H,produtos_escape2!$A898,Controle!$Z:$Z,"4")</f>
        <v>0</v>
      </c>
      <c r="J898" s="507">
        <f>SUMIFS(Controle!$R:$R,Controle!$H:$H,produtos_escape2!$A898,Controle!$Z:$Z,"5")</f>
        <v>0</v>
      </c>
      <c r="K898" s="507">
        <f>SUMIFS(Controle!$R:$R,Controle!$H:$H,produtos_escape2!$A898,Controle!$Z:$Z,"6")</f>
        <v>0</v>
      </c>
      <c r="L898" s="507">
        <f t="shared" si="31"/>
        <v>0</v>
      </c>
      <c r="M898" s="381" t="s">
        <v>5003</v>
      </c>
      <c r="AF898" s="84"/>
    </row>
    <row r="899" spans="1:32" s="185" customFormat="1" ht="14.25" customHeight="1" thickBot="1">
      <c r="A899" s="353">
        <v>23408</v>
      </c>
      <c r="B899" s="194" t="s">
        <v>9260</v>
      </c>
      <c r="C899" s="339">
        <f t="shared" si="30"/>
        <v>50000</v>
      </c>
      <c r="D899" s="196" t="s">
        <v>624</v>
      </c>
      <c r="E899" s="189" t="s">
        <v>7207</v>
      </c>
      <c r="F899" s="507">
        <f>SUMIFS(Controle!$R:$R,Controle!$H:$H,produtos_escape2!$A899,Controle!$Z:$Z,"1")</f>
        <v>0</v>
      </c>
      <c r="G899" s="507">
        <f>SUMIFS(Controle!$R:$R,Controle!$H:$H,produtos_escape2!$A899,Controle!$Z:$Z,"2")</f>
        <v>0</v>
      </c>
      <c r="H899" s="507">
        <f>SUMIFS(Controle!$R:$R,Controle!$H:$H,produtos_escape2!$A899,Controle!$Z:$Z,"3")</f>
        <v>0</v>
      </c>
      <c r="I899" s="507">
        <f>SUMIFS(Controle!$R:$R,Controle!$H:$H,produtos_escape2!$A899,Controle!$Z:$Z,"4")</f>
        <v>0</v>
      </c>
      <c r="J899" s="507">
        <f>SUMIFS(Controle!$R:$R,Controle!$H:$H,produtos_escape2!$A899,Controle!$Z:$Z,"5")</f>
        <v>0</v>
      </c>
      <c r="K899" s="507">
        <f>SUMIFS(Controle!$R:$R,Controle!$H:$H,produtos_escape2!$A899,Controle!$Z:$Z,"6")</f>
        <v>0</v>
      </c>
      <c r="L899" s="507">
        <f t="shared" si="31"/>
        <v>0</v>
      </c>
      <c r="M899" s="84"/>
      <c r="AF899" s="84"/>
    </row>
    <row r="900" spans="1:32" s="185" customFormat="1" ht="14.25" customHeight="1" thickBot="1">
      <c r="A900" s="353">
        <v>23410</v>
      </c>
      <c r="B900" s="194" t="s">
        <v>4210</v>
      </c>
      <c r="C900" s="339">
        <f t="shared" si="30"/>
        <v>50000</v>
      </c>
      <c r="D900" s="196" t="s">
        <v>624</v>
      </c>
      <c r="E900" s="189" t="s">
        <v>7207</v>
      </c>
      <c r="F900" s="507">
        <f>SUMIFS(Controle!$R:$R,Controle!$H:$H,produtos_escape2!$A900,Controle!$Z:$Z,"1")</f>
        <v>0</v>
      </c>
      <c r="G900" s="507">
        <f>SUMIFS(Controle!$R:$R,Controle!$H:$H,produtos_escape2!$A900,Controle!$Z:$Z,"2")</f>
        <v>0</v>
      </c>
      <c r="H900" s="507">
        <f>SUMIFS(Controle!$R:$R,Controle!$H:$H,produtos_escape2!$A900,Controle!$Z:$Z,"3")</f>
        <v>0</v>
      </c>
      <c r="I900" s="507">
        <f>SUMIFS(Controle!$R:$R,Controle!$H:$H,produtos_escape2!$A900,Controle!$Z:$Z,"4")</f>
        <v>0</v>
      </c>
      <c r="J900" s="507">
        <f>SUMIFS(Controle!$R:$R,Controle!$H:$H,produtos_escape2!$A900,Controle!$Z:$Z,"5")</f>
        <v>0</v>
      </c>
      <c r="K900" s="507">
        <f>SUMIFS(Controle!$R:$R,Controle!$H:$H,produtos_escape2!$A900,Controle!$Z:$Z,"6")</f>
        <v>0</v>
      </c>
      <c r="L900" s="507">
        <f t="shared" si="31"/>
        <v>0</v>
      </c>
      <c r="M900" s="381" t="s">
        <v>5004</v>
      </c>
      <c r="AF900" s="84"/>
    </row>
    <row r="901" spans="1:32" s="185" customFormat="1" ht="14.25" customHeight="1" thickBot="1">
      <c r="A901" s="353">
        <v>23411</v>
      </c>
      <c r="B901" s="194" t="s">
        <v>4215</v>
      </c>
      <c r="C901" s="339">
        <f t="shared" ref="C901:C964" si="32">50000-SUM(F901:K901)</f>
        <v>48280</v>
      </c>
      <c r="D901" s="196" t="s">
        <v>624</v>
      </c>
      <c r="E901" s="189" t="s">
        <v>7207</v>
      </c>
      <c r="F901" s="507">
        <f>SUMIFS(Controle!$R:$R,Controle!$H:$H,produtos_escape2!$A901,Controle!$Z:$Z,"1")</f>
        <v>0</v>
      </c>
      <c r="G901" s="507">
        <f>SUMIFS(Controle!$R:$R,Controle!$H:$H,produtos_escape2!$A901,Controle!$Z:$Z,"2")</f>
        <v>0</v>
      </c>
      <c r="H901" s="507">
        <f>SUMIFS(Controle!$R:$R,Controle!$H:$H,produtos_escape2!$A901,Controle!$Z:$Z,"3")</f>
        <v>0</v>
      </c>
      <c r="I901" s="507">
        <f>SUMIFS(Controle!$R:$R,Controle!$H:$H,produtos_escape2!$A901,Controle!$Z:$Z,"4")</f>
        <v>1720</v>
      </c>
      <c r="J901" s="507">
        <f>SUMIFS(Controle!$R:$R,Controle!$H:$H,produtos_escape2!$A901,Controle!$Z:$Z,"5")</f>
        <v>0</v>
      </c>
      <c r="K901" s="507">
        <f>SUMIFS(Controle!$R:$R,Controle!$H:$H,produtos_escape2!$A901,Controle!$Z:$Z,"6")</f>
        <v>0</v>
      </c>
      <c r="L901" s="507">
        <f t="shared" si="31"/>
        <v>1720</v>
      </c>
      <c r="M901" s="381" t="s">
        <v>5005</v>
      </c>
      <c r="AF901" s="84"/>
    </row>
    <row r="902" spans="1:32" s="185" customFormat="1" ht="15.75" customHeight="1" thickBot="1">
      <c r="A902" s="353">
        <v>23433</v>
      </c>
      <c r="B902" s="194" t="s">
        <v>9428</v>
      </c>
      <c r="C902" s="339">
        <f t="shared" si="32"/>
        <v>48892.4</v>
      </c>
      <c r="D902" s="196" t="s">
        <v>624</v>
      </c>
      <c r="E902" s="189" t="s">
        <v>7207</v>
      </c>
      <c r="F902" s="507">
        <f>SUMIFS(Controle!$R:$R,Controle!$H:$H,produtos_escape2!$A902,Controle!$Z:$Z,"1")</f>
        <v>0</v>
      </c>
      <c r="G902" s="507">
        <f>SUMIFS(Controle!$R:$R,Controle!$H:$H,produtos_escape2!$A902,Controle!$Z:$Z,"2")</f>
        <v>0</v>
      </c>
      <c r="H902" s="507">
        <f>SUMIFS(Controle!$R:$R,Controle!$H:$H,produtos_escape2!$A902,Controle!$Z:$Z,"3")</f>
        <v>0</v>
      </c>
      <c r="I902" s="507">
        <f>SUMIFS(Controle!$R:$R,Controle!$H:$H,produtos_escape2!$A902,Controle!$Z:$Z,"4")</f>
        <v>0</v>
      </c>
      <c r="J902" s="507">
        <f>SUMIFS(Controle!$R:$R,Controle!$H:$H,produtos_escape2!$A902,Controle!$Z:$Z,"5")</f>
        <v>0</v>
      </c>
      <c r="K902" s="507">
        <f>SUMIFS(Controle!$R:$R,Controle!$H:$H,produtos_escape2!$A902,Controle!$Z:$Z,"6")</f>
        <v>1107.5999999999999</v>
      </c>
      <c r="L902" s="507">
        <f t="shared" si="31"/>
        <v>1107.5999999999999</v>
      </c>
      <c r="M902" s="381" t="s">
        <v>9429</v>
      </c>
      <c r="AF902" s="84"/>
    </row>
    <row r="903" spans="1:32" s="185" customFormat="1" ht="14.25" customHeight="1" thickBot="1">
      <c r="A903" s="353">
        <v>23434</v>
      </c>
      <c r="B903" s="194" t="s">
        <v>9430</v>
      </c>
      <c r="C903" s="339">
        <f t="shared" si="32"/>
        <v>48892.4</v>
      </c>
      <c r="D903" s="196" t="s">
        <v>624</v>
      </c>
      <c r="E903" s="189" t="s">
        <v>7207</v>
      </c>
      <c r="F903" s="507">
        <f>SUMIFS(Controle!$R:$R,Controle!$H:$H,produtos_escape2!$A903,Controle!$Z:$Z,"1")</f>
        <v>0</v>
      </c>
      <c r="G903" s="507">
        <f>SUMIFS(Controle!$R:$R,Controle!$H:$H,produtos_escape2!$A903,Controle!$Z:$Z,"2")</f>
        <v>0</v>
      </c>
      <c r="H903" s="507">
        <f>SUMIFS(Controle!$R:$R,Controle!$H:$H,produtos_escape2!$A903,Controle!$Z:$Z,"3")</f>
        <v>0</v>
      </c>
      <c r="I903" s="507">
        <f>SUMIFS(Controle!$R:$R,Controle!$H:$H,produtos_escape2!$A903,Controle!$Z:$Z,"4")</f>
        <v>0</v>
      </c>
      <c r="J903" s="507">
        <f>SUMIFS(Controle!$R:$R,Controle!$H:$H,produtos_escape2!$A903,Controle!$Z:$Z,"5")</f>
        <v>0</v>
      </c>
      <c r="K903" s="507">
        <f>SUMIFS(Controle!$R:$R,Controle!$H:$H,produtos_escape2!$A903,Controle!$Z:$Z,"6")</f>
        <v>1107.5999999999999</v>
      </c>
      <c r="L903" s="507">
        <f t="shared" si="31"/>
        <v>1107.5999999999999</v>
      </c>
      <c r="M903" s="381" t="s">
        <v>9431</v>
      </c>
      <c r="AF903" s="84"/>
    </row>
    <row r="904" spans="1:32" s="185" customFormat="1" ht="15.75" customHeight="1" thickBot="1">
      <c r="A904" s="353">
        <v>23476</v>
      </c>
      <c r="B904" s="194" t="s">
        <v>447</v>
      </c>
      <c r="C904" s="339">
        <f t="shared" si="32"/>
        <v>50000</v>
      </c>
      <c r="D904" s="196" t="s">
        <v>548</v>
      </c>
      <c r="E904" s="187" t="s">
        <v>3608</v>
      </c>
      <c r="F904" s="507">
        <f>SUMIFS(Controle!$R:$R,Controle!$H:$H,produtos_escape2!$A904,Controle!$Z:$Z,"1")</f>
        <v>0</v>
      </c>
      <c r="G904" s="507">
        <f>SUMIFS(Controle!$R:$R,Controle!$H:$H,produtos_escape2!$A904,Controle!$Z:$Z,"2")</f>
        <v>0</v>
      </c>
      <c r="H904" s="507">
        <f>SUMIFS(Controle!$R:$R,Controle!$H:$H,produtos_escape2!$A904,Controle!$Z:$Z,"3")</f>
        <v>0</v>
      </c>
      <c r="I904" s="507">
        <f>SUMIFS(Controle!$R:$R,Controle!$H:$H,produtos_escape2!$A904,Controle!$Z:$Z,"4")</f>
        <v>0</v>
      </c>
      <c r="J904" s="507">
        <f>SUMIFS(Controle!$R:$R,Controle!$H:$H,produtos_escape2!$A904,Controle!$Z:$Z,"5")</f>
        <v>0</v>
      </c>
      <c r="K904" s="507">
        <f>SUMIFS(Controle!$R:$R,Controle!$H:$H,produtos_escape2!$A904,Controle!$Z:$Z,"6")</f>
        <v>0</v>
      </c>
      <c r="L904" s="507">
        <f t="shared" si="31"/>
        <v>0</v>
      </c>
      <c r="M904" s="381" t="s">
        <v>5006</v>
      </c>
      <c r="AF904" s="84"/>
    </row>
    <row r="905" spans="1:32" s="185" customFormat="1" ht="14.25" customHeight="1" thickBot="1">
      <c r="A905" s="353">
        <v>23480</v>
      </c>
      <c r="B905" s="338" t="s">
        <v>365</v>
      </c>
      <c r="C905" s="339">
        <f t="shared" si="32"/>
        <v>50000</v>
      </c>
      <c r="D905" s="196"/>
      <c r="E905" s="187"/>
      <c r="F905" s="507">
        <f>SUMIFS(Controle!$R:$R,Controle!$H:$H,produtos_escape2!$A905,Controle!$Z:$Z,"1")</f>
        <v>0</v>
      </c>
      <c r="G905" s="507">
        <f>SUMIFS(Controle!$R:$R,Controle!$H:$H,produtos_escape2!$A905,Controle!$Z:$Z,"2")</f>
        <v>0</v>
      </c>
      <c r="H905" s="507">
        <f>SUMIFS(Controle!$R:$R,Controle!$H:$H,produtos_escape2!$A905,Controle!$Z:$Z,"3")</f>
        <v>0</v>
      </c>
      <c r="I905" s="507">
        <f>SUMIFS(Controle!$R:$R,Controle!$H:$H,produtos_escape2!$A905,Controle!$Z:$Z,"4")</f>
        <v>0</v>
      </c>
      <c r="J905" s="507">
        <f>SUMIFS(Controle!$R:$R,Controle!$H:$H,produtos_escape2!$A905,Controle!$Z:$Z,"5")</f>
        <v>0</v>
      </c>
      <c r="K905" s="507">
        <f>SUMIFS(Controle!$R:$R,Controle!$H:$H,produtos_escape2!$A905,Controle!$Z:$Z,"6")</f>
        <v>0</v>
      </c>
      <c r="L905" s="507">
        <f t="shared" si="31"/>
        <v>0</v>
      </c>
      <c r="M905" s="381" t="s">
        <v>5007</v>
      </c>
      <c r="AF905" s="84"/>
    </row>
    <row r="906" spans="1:32" s="185" customFormat="1" ht="14.25" customHeight="1" thickBot="1">
      <c r="A906" s="353">
        <v>23481</v>
      </c>
      <c r="B906" s="194" t="s">
        <v>506</v>
      </c>
      <c r="C906" s="339">
        <f t="shared" si="32"/>
        <v>50000</v>
      </c>
      <c r="D906" s="196"/>
      <c r="E906" s="187"/>
      <c r="F906" s="507">
        <f>SUMIFS(Controle!$R:$R,Controle!$H:$H,produtos_escape2!$A906,Controle!$Z:$Z,"1")</f>
        <v>0</v>
      </c>
      <c r="G906" s="507">
        <f>SUMIFS(Controle!$R:$R,Controle!$H:$H,produtos_escape2!$A906,Controle!$Z:$Z,"2")</f>
        <v>0</v>
      </c>
      <c r="H906" s="507">
        <f>SUMIFS(Controle!$R:$R,Controle!$H:$H,produtos_escape2!$A906,Controle!$Z:$Z,"3")</f>
        <v>0</v>
      </c>
      <c r="I906" s="507">
        <f>SUMIFS(Controle!$R:$R,Controle!$H:$H,produtos_escape2!$A906,Controle!$Z:$Z,"4")</f>
        <v>0</v>
      </c>
      <c r="J906" s="507">
        <f>SUMIFS(Controle!$R:$R,Controle!$H:$H,produtos_escape2!$A906,Controle!$Z:$Z,"5")</f>
        <v>0</v>
      </c>
      <c r="K906" s="507">
        <f>SUMIFS(Controle!$R:$R,Controle!$H:$H,produtos_escape2!$A906,Controle!$Z:$Z,"6")</f>
        <v>0</v>
      </c>
      <c r="L906" s="507">
        <f t="shared" si="31"/>
        <v>0</v>
      </c>
      <c r="M906" s="381" t="s">
        <v>5008</v>
      </c>
      <c r="AF906" s="84"/>
    </row>
    <row r="907" spans="1:32" s="185" customFormat="1" ht="14.25" customHeight="1" thickBot="1">
      <c r="A907" s="353">
        <v>23482</v>
      </c>
      <c r="B907" s="194" t="s">
        <v>345</v>
      </c>
      <c r="C907" s="339">
        <f t="shared" si="32"/>
        <v>50000</v>
      </c>
      <c r="D907" s="196"/>
      <c r="E907" s="187"/>
      <c r="F907" s="507">
        <f>SUMIFS(Controle!$R:$R,Controle!$H:$H,produtos_escape2!$A907,Controle!$Z:$Z,"1")</f>
        <v>0</v>
      </c>
      <c r="G907" s="507">
        <f>SUMIFS(Controle!$R:$R,Controle!$H:$H,produtos_escape2!$A907,Controle!$Z:$Z,"2")</f>
        <v>0</v>
      </c>
      <c r="H907" s="507">
        <f>SUMIFS(Controle!$R:$R,Controle!$H:$H,produtos_escape2!$A907,Controle!$Z:$Z,"3")</f>
        <v>0</v>
      </c>
      <c r="I907" s="507">
        <f>SUMIFS(Controle!$R:$R,Controle!$H:$H,produtos_escape2!$A907,Controle!$Z:$Z,"4")</f>
        <v>0</v>
      </c>
      <c r="J907" s="507">
        <f>SUMIFS(Controle!$R:$R,Controle!$H:$H,produtos_escape2!$A907,Controle!$Z:$Z,"5")</f>
        <v>0</v>
      </c>
      <c r="K907" s="507">
        <f>SUMIFS(Controle!$R:$R,Controle!$H:$H,produtos_escape2!$A907,Controle!$Z:$Z,"6")</f>
        <v>0</v>
      </c>
      <c r="L907" s="507">
        <f t="shared" si="31"/>
        <v>0</v>
      </c>
      <c r="M907" s="381" t="s">
        <v>345</v>
      </c>
      <c r="AF907" s="84"/>
    </row>
    <row r="908" spans="1:32" s="185" customFormat="1" ht="14.25" customHeight="1" thickBot="1">
      <c r="A908" s="333">
        <v>23495</v>
      </c>
      <c r="B908" s="194" t="s">
        <v>34</v>
      </c>
      <c r="C908" s="339">
        <f t="shared" si="32"/>
        <v>50000</v>
      </c>
      <c r="D908" s="196" t="s">
        <v>547</v>
      </c>
      <c r="E908" s="187" t="s">
        <v>3608</v>
      </c>
      <c r="F908" s="507">
        <f>SUMIFS(Controle!$R:$R,Controle!$H:$H,produtos_escape2!$A908,Controle!$Z:$Z,"1")</f>
        <v>0</v>
      </c>
      <c r="G908" s="507">
        <f>SUMIFS(Controle!$R:$R,Controle!$H:$H,produtos_escape2!$A908,Controle!$Z:$Z,"2")</f>
        <v>0</v>
      </c>
      <c r="H908" s="507">
        <f>SUMIFS(Controle!$R:$R,Controle!$H:$H,produtos_escape2!$A908,Controle!$Z:$Z,"3")</f>
        <v>0</v>
      </c>
      <c r="I908" s="507">
        <f>SUMIFS(Controle!$R:$R,Controle!$H:$H,produtos_escape2!$A908,Controle!$Z:$Z,"4")</f>
        <v>0</v>
      </c>
      <c r="J908" s="507">
        <f>SUMIFS(Controle!$R:$R,Controle!$H:$H,produtos_escape2!$A908,Controle!$Z:$Z,"5")</f>
        <v>0</v>
      </c>
      <c r="K908" s="507">
        <f>SUMIFS(Controle!$R:$R,Controle!$H:$H,produtos_escape2!$A908,Controle!$Z:$Z,"6")</f>
        <v>0</v>
      </c>
      <c r="L908" s="507">
        <f t="shared" si="31"/>
        <v>0</v>
      </c>
      <c r="M908" s="381" t="s">
        <v>34</v>
      </c>
      <c r="AF908" s="84"/>
    </row>
    <row r="909" spans="1:32" s="185" customFormat="1" ht="14.25" customHeight="1" thickBot="1">
      <c r="A909" s="353">
        <v>23526</v>
      </c>
      <c r="B909" s="194" t="s">
        <v>4252</v>
      </c>
      <c r="C909" s="339">
        <f t="shared" si="32"/>
        <v>50000</v>
      </c>
      <c r="D909" s="196" t="s">
        <v>624</v>
      </c>
      <c r="E909" s="189" t="s">
        <v>7207</v>
      </c>
      <c r="F909" s="507">
        <f>SUMIFS(Controle!$R:$R,Controle!$H:$H,produtos_escape2!$A909,Controle!$Z:$Z,"1")</f>
        <v>0</v>
      </c>
      <c r="G909" s="507">
        <f>SUMIFS(Controle!$R:$R,Controle!$H:$H,produtos_escape2!$A909,Controle!$Z:$Z,"2")</f>
        <v>0</v>
      </c>
      <c r="H909" s="507">
        <f>SUMIFS(Controle!$R:$R,Controle!$H:$H,produtos_escape2!$A909,Controle!$Z:$Z,"3")</f>
        <v>0</v>
      </c>
      <c r="I909" s="507">
        <f>SUMIFS(Controle!$R:$R,Controle!$H:$H,produtos_escape2!$A909,Controle!$Z:$Z,"4")</f>
        <v>0</v>
      </c>
      <c r="J909" s="507">
        <f>SUMIFS(Controle!$R:$R,Controle!$H:$H,produtos_escape2!$A909,Controle!$Z:$Z,"5")</f>
        <v>0</v>
      </c>
      <c r="K909" s="507">
        <f>SUMIFS(Controle!$R:$R,Controle!$H:$H,produtos_escape2!$A909,Controle!$Z:$Z,"6")</f>
        <v>0</v>
      </c>
      <c r="L909" s="507">
        <f t="shared" si="31"/>
        <v>0</v>
      </c>
      <c r="M909" s="381" t="s">
        <v>5009</v>
      </c>
      <c r="AF909" s="84"/>
    </row>
    <row r="910" spans="1:32" s="185" customFormat="1" ht="14.25" customHeight="1" thickBot="1">
      <c r="A910" s="353">
        <v>23585</v>
      </c>
      <c r="B910" s="194" t="s">
        <v>522</v>
      </c>
      <c r="C910" s="339">
        <f t="shared" si="32"/>
        <v>50000</v>
      </c>
      <c r="D910" s="191" t="s">
        <v>624</v>
      </c>
      <c r="E910" s="189"/>
      <c r="F910" s="507">
        <f>SUMIFS(Controle!$R:$R,Controle!$H:$H,produtos_escape2!$A910,Controle!$Z:$Z,"1")</f>
        <v>0</v>
      </c>
      <c r="G910" s="507">
        <f>SUMIFS(Controle!$R:$R,Controle!$H:$H,produtos_escape2!$A910,Controle!$Z:$Z,"2")</f>
        <v>0</v>
      </c>
      <c r="H910" s="507">
        <f>SUMIFS(Controle!$R:$R,Controle!$H:$H,produtos_escape2!$A910,Controle!$Z:$Z,"3")</f>
        <v>0</v>
      </c>
      <c r="I910" s="507">
        <f>SUMIFS(Controle!$R:$R,Controle!$H:$H,produtos_escape2!$A910,Controle!$Z:$Z,"4")</f>
        <v>0</v>
      </c>
      <c r="J910" s="507">
        <f>SUMIFS(Controle!$R:$R,Controle!$H:$H,produtos_escape2!$A910,Controle!$Z:$Z,"5")</f>
        <v>0</v>
      </c>
      <c r="K910" s="507">
        <f>SUMIFS(Controle!$R:$R,Controle!$H:$H,produtos_escape2!$A910,Controle!$Z:$Z,"6")</f>
        <v>0</v>
      </c>
      <c r="L910" s="507">
        <f t="shared" si="31"/>
        <v>0</v>
      </c>
      <c r="M910" s="381" t="s">
        <v>5010</v>
      </c>
      <c r="AF910" s="84"/>
    </row>
    <row r="911" spans="1:32" s="185" customFormat="1" ht="14.25" customHeight="1" thickBot="1">
      <c r="A911" s="353">
        <v>23642</v>
      </c>
      <c r="B911" s="194" t="s">
        <v>1278</v>
      </c>
      <c r="C911" s="339">
        <f t="shared" si="32"/>
        <v>50000</v>
      </c>
      <c r="D911" s="196" t="s">
        <v>624</v>
      </c>
      <c r="E911" s="187" t="s">
        <v>3608</v>
      </c>
      <c r="F911" s="507">
        <f>SUMIFS(Controle!$R:$R,Controle!$H:$H,produtos_escape2!$A911,Controle!$Z:$Z,"1")</f>
        <v>0</v>
      </c>
      <c r="G911" s="507">
        <f>SUMIFS(Controle!$R:$R,Controle!$H:$H,produtos_escape2!$A911,Controle!$Z:$Z,"2")</f>
        <v>0</v>
      </c>
      <c r="H911" s="507">
        <f>SUMIFS(Controle!$R:$R,Controle!$H:$H,produtos_escape2!$A911,Controle!$Z:$Z,"3")</f>
        <v>0</v>
      </c>
      <c r="I911" s="507">
        <f>SUMIFS(Controle!$R:$R,Controle!$H:$H,produtos_escape2!$A911,Controle!$Z:$Z,"4")</f>
        <v>0</v>
      </c>
      <c r="J911" s="507">
        <f>SUMIFS(Controle!$R:$R,Controle!$H:$H,produtos_escape2!$A911,Controle!$Z:$Z,"5")</f>
        <v>0</v>
      </c>
      <c r="K911" s="507">
        <f>SUMIFS(Controle!$R:$R,Controle!$H:$H,produtos_escape2!$A911,Controle!$Z:$Z,"6")</f>
        <v>0</v>
      </c>
      <c r="L911" s="507">
        <f t="shared" si="31"/>
        <v>0</v>
      </c>
      <c r="M911" s="381" t="s">
        <v>5011</v>
      </c>
      <c r="AF911" s="84"/>
    </row>
    <row r="912" spans="1:32" s="185" customFormat="1" ht="14.25" customHeight="1" thickBot="1">
      <c r="A912" s="353">
        <v>23653</v>
      </c>
      <c r="B912" s="194" t="s">
        <v>183</v>
      </c>
      <c r="C912" s="339">
        <f t="shared" si="32"/>
        <v>50000</v>
      </c>
      <c r="D912" s="196"/>
      <c r="E912" s="187"/>
      <c r="F912" s="507">
        <f>SUMIFS(Controle!$R:$R,Controle!$H:$H,produtos_escape2!$A912,Controle!$Z:$Z,"1")</f>
        <v>0</v>
      </c>
      <c r="G912" s="507">
        <f>SUMIFS(Controle!$R:$R,Controle!$H:$H,produtos_escape2!$A912,Controle!$Z:$Z,"2")</f>
        <v>0</v>
      </c>
      <c r="H912" s="507">
        <f>SUMIFS(Controle!$R:$R,Controle!$H:$H,produtos_escape2!$A912,Controle!$Z:$Z,"3")</f>
        <v>0</v>
      </c>
      <c r="I912" s="507">
        <f>SUMIFS(Controle!$R:$R,Controle!$H:$H,produtos_escape2!$A912,Controle!$Z:$Z,"4")</f>
        <v>0</v>
      </c>
      <c r="J912" s="507">
        <f>SUMIFS(Controle!$R:$R,Controle!$H:$H,produtos_escape2!$A912,Controle!$Z:$Z,"5")</f>
        <v>0</v>
      </c>
      <c r="K912" s="507">
        <f>SUMIFS(Controle!$R:$R,Controle!$H:$H,produtos_escape2!$A912,Controle!$Z:$Z,"6")</f>
        <v>0</v>
      </c>
      <c r="L912" s="507">
        <f t="shared" si="31"/>
        <v>0</v>
      </c>
      <c r="M912" s="381" t="s">
        <v>5012</v>
      </c>
      <c r="AF912" s="84"/>
    </row>
    <row r="913" spans="1:32" s="185" customFormat="1" ht="14.25" customHeight="1" thickBot="1">
      <c r="A913" s="353">
        <v>23667</v>
      </c>
      <c r="B913" s="338" t="s">
        <v>509</v>
      </c>
      <c r="C913" s="339">
        <f t="shared" si="32"/>
        <v>50000</v>
      </c>
      <c r="D913" s="196" t="s">
        <v>624</v>
      </c>
      <c r="E913" s="187" t="s">
        <v>3608</v>
      </c>
      <c r="F913" s="507">
        <f>SUMIFS(Controle!$R:$R,Controle!$H:$H,produtos_escape2!$A913,Controle!$Z:$Z,"1")</f>
        <v>0</v>
      </c>
      <c r="G913" s="507">
        <f>SUMIFS(Controle!$R:$R,Controle!$H:$H,produtos_escape2!$A913,Controle!$Z:$Z,"2")</f>
        <v>0</v>
      </c>
      <c r="H913" s="507">
        <f>SUMIFS(Controle!$R:$R,Controle!$H:$H,produtos_escape2!$A913,Controle!$Z:$Z,"3")</f>
        <v>0</v>
      </c>
      <c r="I913" s="507">
        <f>SUMIFS(Controle!$R:$R,Controle!$H:$H,produtos_escape2!$A913,Controle!$Z:$Z,"4")</f>
        <v>0</v>
      </c>
      <c r="J913" s="507">
        <f>SUMIFS(Controle!$R:$R,Controle!$H:$H,produtos_escape2!$A913,Controle!$Z:$Z,"5")</f>
        <v>0</v>
      </c>
      <c r="K913" s="507">
        <f>SUMIFS(Controle!$R:$R,Controle!$H:$H,produtos_escape2!$A913,Controle!$Z:$Z,"6")</f>
        <v>0</v>
      </c>
      <c r="L913" s="507">
        <f t="shared" si="31"/>
        <v>0</v>
      </c>
      <c r="M913" s="381" t="s">
        <v>5013</v>
      </c>
      <c r="AF913" s="84"/>
    </row>
    <row r="914" spans="1:32" s="185" customFormat="1" ht="14.25" customHeight="1" thickBot="1">
      <c r="A914" s="353">
        <v>23815</v>
      </c>
      <c r="B914" s="194" t="s">
        <v>1403</v>
      </c>
      <c r="C914" s="339">
        <f t="shared" si="32"/>
        <v>50000</v>
      </c>
      <c r="D914" s="196" t="s">
        <v>624</v>
      </c>
      <c r="E914" s="187" t="s">
        <v>7207</v>
      </c>
      <c r="F914" s="507">
        <f>SUMIFS(Controle!$R:$R,Controle!$H:$H,produtos_escape2!$A914,Controle!$Z:$Z,"1")</f>
        <v>0</v>
      </c>
      <c r="G914" s="507">
        <f>SUMIFS(Controle!$R:$R,Controle!$H:$H,produtos_escape2!$A914,Controle!$Z:$Z,"2")</f>
        <v>0</v>
      </c>
      <c r="H914" s="507">
        <f>SUMIFS(Controle!$R:$R,Controle!$H:$H,produtos_escape2!$A914,Controle!$Z:$Z,"3")</f>
        <v>0</v>
      </c>
      <c r="I914" s="507">
        <f>SUMIFS(Controle!$R:$R,Controle!$H:$H,produtos_escape2!$A914,Controle!$Z:$Z,"4")</f>
        <v>0</v>
      </c>
      <c r="J914" s="507">
        <f>SUMIFS(Controle!$R:$R,Controle!$H:$H,produtos_escape2!$A914,Controle!$Z:$Z,"5")</f>
        <v>0</v>
      </c>
      <c r="K914" s="507">
        <f>SUMIFS(Controle!$R:$R,Controle!$H:$H,produtos_escape2!$A914,Controle!$Z:$Z,"6")</f>
        <v>0</v>
      </c>
      <c r="L914" s="507">
        <f t="shared" si="31"/>
        <v>0</v>
      </c>
      <c r="M914" s="381" t="s">
        <v>5014</v>
      </c>
      <c r="AF914" s="84"/>
    </row>
    <row r="915" spans="1:32" s="185" customFormat="1" ht="14.25" customHeight="1" thickBot="1">
      <c r="A915" s="353">
        <v>23896</v>
      </c>
      <c r="B915" s="194" t="s">
        <v>3093</v>
      </c>
      <c r="C915" s="339">
        <f t="shared" si="32"/>
        <v>50000</v>
      </c>
      <c r="D915" s="191" t="s">
        <v>624</v>
      </c>
      <c r="E915" s="189" t="s">
        <v>7207</v>
      </c>
      <c r="F915" s="507">
        <f>SUMIFS(Controle!$R:$R,Controle!$H:$H,produtos_escape2!$A915,Controle!$Z:$Z,"1")</f>
        <v>0</v>
      </c>
      <c r="G915" s="507">
        <f>SUMIFS(Controle!$R:$R,Controle!$H:$H,produtos_escape2!$A915,Controle!$Z:$Z,"2")</f>
        <v>0</v>
      </c>
      <c r="H915" s="507">
        <f>SUMIFS(Controle!$R:$R,Controle!$H:$H,produtos_escape2!$A915,Controle!$Z:$Z,"3")</f>
        <v>0</v>
      </c>
      <c r="I915" s="507">
        <f>SUMIFS(Controle!$R:$R,Controle!$H:$H,produtos_escape2!$A915,Controle!$Z:$Z,"4")</f>
        <v>0</v>
      </c>
      <c r="J915" s="507">
        <f>SUMIFS(Controle!$R:$R,Controle!$H:$H,produtos_escape2!$A915,Controle!$Z:$Z,"5")</f>
        <v>0</v>
      </c>
      <c r="K915" s="507">
        <f>SUMIFS(Controle!$R:$R,Controle!$H:$H,produtos_escape2!$A915,Controle!$Z:$Z,"6")</f>
        <v>0</v>
      </c>
      <c r="L915" s="507">
        <f t="shared" si="31"/>
        <v>0</v>
      </c>
      <c r="M915" s="381" t="s">
        <v>5015</v>
      </c>
      <c r="AF915" s="84"/>
    </row>
    <row r="916" spans="1:32" s="185" customFormat="1" ht="14.25" customHeight="1" thickBot="1">
      <c r="A916" s="333">
        <v>23904</v>
      </c>
      <c r="B916" s="194" t="s">
        <v>1792</v>
      </c>
      <c r="C916" s="339">
        <f t="shared" si="32"/>
        <v>50000</v>
      </c>
      <c r="D916" s="191" t="s">
        <v>624</v>
      </c>
      <c r="E916" s="189" t="s">
        <v>7207</v>
      </c>
      <c r="F916" s="507">
        <f>SUMIFS(Controle!$R:$R,Controle!$H:$H,produtos_escape2!$A916,Controle!$Z:$Z,"1")</f>
        <v>0</v>
      </c>
      <c r="G916" s="507">
        <f>SUMIFS(Controle!$R:$R,Controle!$H:$H,produtos_escape2!$A916,Controle!$Z:$Z,"2")</f>
        <v>0</v>
      </c>
      <c r="H916" s="507">
        <f>SUMIFS(Controle!$R:$R,Controle!$H:$H,produtos_escape2!$A916,Controle!$Z:$Z,"3")</f>
        <v>0</v>
      </c>
      <c r="I916" s="507">
        <f>SUMIFS(Controle!$R:$R,Controle!$H:$H,produtos_escape2!$A916,Controle!$Z:$Z,"4")</f>
        <v>0</v>
      </c>
      <c r="J916" s="507">
        <f>SUMIFS(Controle!$R:$R,Controle!$H:$H,produtos_escape2!$A916,Controle!$Z:$Z,"5")</f>
        <v>0</v>
      </c>
      <c r="K916" s="507">
        <f>SUMIFS(Controle!$R:$R,Controle!$H:$H,produtos_escape2!$A916,Controle!$Z:$Z,"6")</f>
        <v>0</v>
      </c>
      <c r="L916" s="507">
        <f t="shared" si="31"/>
        <v>0</v>
      </c>
      <c r="M916" s="381" t="s">
        <v>5016</v>
      </c>
      <c r="AF916" s="84"/>
    </row>
    <row r="917" spans="1:32" s="185" customFormat="1" ht="14.25" customHeight="1" thickBot="1">
      <c r="A917" s="353">
        <v>23907</v>
      </c>
      <c r="B917" s="194" t="s">
        <v>1051</v>
      </c>
      <c r="C917" s="339">
        <f t="shared" si="32"/>
        <v>50000</v>
      </c>
      <c r="D917" s="196" t="s">
        <v>853</v>
      </c>
      <c r="E917" s="187" t="s">
        <v>7207</v>
      </c>
      <c r="F917" s="507">
        <f>SUMIFS(Controle!$R:$R,Controle!$H:$H,produtos_escape2!$A917,Controle!$Z:$Z,"1")</f>
        <v>0</v>
      </c>
      <c r="G917" s="507">
        <f>SUMIFS(Controle!$R:$R,Controle!$H:$H,produtos_escape2!$A917,Controle!$Z:$Z,"2")</f>
        <v>0</v>
      </c>
      <c r="H917" s="507">
        <f>SUMIFS(Controle!$R:$R,Controle!$H:$H,produtos_escape2!$A917,Controle!$Z:$Z,"3")</f>
        <v>0</v>
      </c>
      <c r="I917" s="507">
        <f>SUMIFS(Controle!$R:$R,Controle!$H:$H,produtos_escape2!$A917,Controle!$Z:$Z,"4")</f>
        <v>0</v>
      </c>
      <c r="J917" s="507">
        <f>SUMIFS(Controle!$R:$R,Controle!$H:$H,produtos_escape2!$A917,Controle!$Z:$Z,"5")</f>
        <v>0</v>
      </c>
      <c r="K917" s="507">
        <f>SUMIFS(Controle!$R:$R,Controle!$H:$H,produtos_escape2!$A917,Controle!$Z:$Z,"6")</f>
        <v>0</v>
      </c>
      <c r="L917" s="507">
        <f t="shared" si="31"/>
        <v>0</v>
      </c>
      <c r="M917" s="381" t="s">
        <v>5017</v>
      </c>
      <c r="AF917" s="84"/>
    </row>
    <row r="918" spans="1:32" s="185" customFormat="1" ht="14.25" customHeight="1" thickBot="1">
      <c r="A918" s="353">
        <v>23932</v>
      </c>
      <c r="B918" s="194" t="s">
        <v>1448</v>
      </c>
      <c r="C918" s="339">
        <f t="shared" si="32"/>
        <v>50000</v>
      </c>
      <c r="D918" s="196" t="s">
        <v>624</v>
      </c>
      <c r="E918" s="187" t="s">
        <v>7207</v>
      </c>
      <c r="F918" s="507">
        <f>SUMIFS(Controle!$R:$R,Controle!$H:$H,produtos_escape2!$A918,Controle!$Z:$Z,"1")</f>
        <v>0</v>
      </c>
      <c r="G918" s="507">
        <f>SUMIFS(Controle!$R:$R,Controle!$H:$H,produtos_escape2!$A918,Controle!$Z:$Z,"2")</f>
        <v>0</v>
      </c>
      <c r="H918" s="507">
        <f>SUMIFS(Controle!$R:$R,Controle!$H:$H,produtos_escape2!$A918,Controle!$Z:$Z,"3")</f>
        <v>0</v>
      </c>
      <c r="I918" s="507">
        <f>SUMIFS(Controle!$R:$R,Controle!$H:$H,produtos_escape2!$A918,Controle!$Z:$Z,"4")</f>
        <v>0</v>
      </c>
      <c r="J918" s="507">
        <f>SUMIFS(Controle!$R:$R,Controle!$H:$H,produtos_escape2!$A918,Controle!$Z:$Z,"5")</f>
        <v>0</v>
      </c>
      <c r="K918" s="507">
        <f>SUMIFS(Controle!$R:$R,Controle!$H:$H,produtos_escape2!$A918,Controle!$Z:$Z,"6")</f>
        <v>0</v>
      </c>
      <c r="L918" s="507">
        <f t="shared" si="31"/>
        <v>0</v>
      </c>
      <c r="M918" s="381" t="s">
        <v>5018</v>
      </c>
      <c r="AF918" s="84"/>
    </row>
    <row r="919" spans="1:32" s="185" customFormat="1" ht="14.25" customHeight="1" thickBot="1">
      <c r="A919" s="353">
        <v>24004</v>
      </c>
      <c r="B919" s="194" t="s">
        <v>1494</v>
      </c>
      <c r="C919" s="339">
        <f t="shared" si="32"/>
        <v>50000</v>
      </c>
      <c r="D919" s="196" t="s">
        <v>624</v>
      </c>
      <c r="E919" s="187" t="s">
        <v>7207</v>
      </c>
      <c r="F919" s="507">
        <f>SUMIFS(Controle!$R:$R,Controle!$H:$H,produtos_escape2!$A919,Controle!$Z:$Z,"1")</f>
        <v>0</v>
      </c>
      <c r="G919" s="507">
        <f>SUMIFS(Controle!$R:$R,Controle!$H:$H,produtos_escape2!$A919,Controle!$Z:$Z,"2")</f>
        <v>0</v>
      </c>
      <c r="H919" s="507">
        <f>SUMIFS(Controle!$R:$R,Controle!$H:$H,produtos_escape2!$A919,Controle!$Z:$Z,"3")</f>
        <v>0</v>
      </c>
      <c r="I919" s="507">
        <f>SUMIFS(Controle!$R:$R,Controle!$H:$H,produtos_escape2!$A919,Controle!$Z:$Z,"4")</f>
        <v>0</v>
      </c>
      <c r="J919" s="507">
        <f>SUMIFS(Controle!$R:$R,Controle!$H:$H,produtos_escape2!$A919,Controle!$Z:$Z,"5")</f>
        <v>0</v>
      </c>
      <c r="K919" s="507">
        <f>SUMIFS(Controle!$R:$R,Controle!$H:$H,produtos_escape2!$A919,Controle!$Z:$Z,"6")</f>
        <v>0</v>
      </c>
      <c r="L919" s="507">
        <f t="shared" si="31"/>
        <v>0</v>
      </c>
      <c r="M919" s="381" t="s">
        <v>5019</v>
      </c>
      <c r="AF919" s="84"/>
    </row>
    <row r="920" spans="1:32" s="185" customFormat="1" ht="14.25" customHeight="1" thickBot="1">
      <c r="A920" s="353">
        <v>24013</v>
      </c>
      <c r="B920" s="194" t="s">
        <v>2623</v>
      </c>
      <c r="C920" s="339">
        <f t="shared" si="32"/>
        <v>50000</v>
      </c>
      <c r="D920" s="196" t="s">
        <v>848</v>
      </c>
      <c r="E920" s="187" t="s">
        <v>7207</v>
      </c>
      <c r="F920" s="507">
        <f>SUMIFS(Controle!$R:$R,Controle!$H:$H,produtos_escape2!$A920,Controle!$Z:$Z,"1")</f>
        <v>0</v>
      </c>
      <c r="G920" s="507">
        <f>SUMIFS(Controle!$R:$R,Controle!$H:$H,produtos_escape2!$A920,Controle!$Z:$Z,"2")</f>
        <v>0</v>
      </c>
      <c r="H920" s="507">
        <f>SUMIFS(Controle!$R:$R,Controle!$H:$H,produtos_escape2!$A920,Controle!$Z:$Z,"3")</f>
        <v>0</v>
      </c>
      <c r="I920" s="507">
        <f>SUMIFS(Controle!$R:$R,Controle!$H:$H,produtos_escape2!$A920,Controle!$Z:$Z,"4")</f>
        <v>0</v>
      </c>
      <c r="J920" s="507">
        <f>SUMIFS(Controle!$R:$R,Controle!$H:$H,produtos_escape2!$A920,Controle!$Z:$Z,"5")</f>
        <v>0</v>
      </c>
      <c r="K920" s="507">
        <f>SUMIFS(Controle!$R:$R,Controle!$H:$H,produtos_escape2!$A920,Controle!$Z:$Z,"6")</f>
        <v>0</v>
      </c>
      <c r="L920" s="507">
        <f t="shared" si="31"/>
        <v>0</v>
      </c>
      <c r="M920" s="381" t="s">
        <v>5020</v>
      </c>
      <c r="AF920" s="84"/>
    </row>
    <row r="921" spans="1:32" s="185" customFormat="1" ht="14.25" customHeight="1" thickBot="1">
      <c r="A921" s="353">
        <v>24014</v>
      </c>
      <c r="B921" s="338" t="s">
        <v>2624</v>
      </c>
      <c r="C921" s="339">
        <f t="shared" si="32"/>
        <v>50000</v>
      </c>
      <c r="D921" s="196" t="s">
        <v>848</v>
      </c>
      <c r="E921" s="187" t="s">
        <v>7207</v>
      </c>
      <c r="F921" s="507">
        <f>SUMIFS(Controle!$R:$R,Controle!$H:$H,produtos_escape2!$A921,Controle!$Z:$Z,"1")</f>
        <v>0</v>
      </c>
      <c r="G921" s="507">
        <f>SUMIFS(Controle!$R:$R,Controle!$H:$H,produtos_escape2!$A921,Controle!$Z:$Z,"2")</f>
        <v>0</v>
      </c>
      <c r="H921" s="507">
        <f>SUMIFS(Controle!$R:$R,Controle!$H:$H,produtos_escape2!$A921,Controle!$Z:$Z,"3")</f>
        <v>0</v>
      </c>
      <c r="I921" s="507">
        <f>SUMIFS(Controle!$R:$R,Controle!$H:$H,produtos_escape2!$A921,Controle!$Z:$Z,"4")</f>
        <v>0</v>
      </c>
      <c r="J921" s="507">
        <f>SUMIFS(Controle!$R:$R,Controle!$H:$H,produtos_escape2!$A921,Controle!$Z:$Z,"5")</f>
        <v>0</v>
      </c>
      <c r="K921" s="507">
        <f>SUMIFS(Controle!$R:$R,Controle!$H:$H,produtos_escape2!$A921,Controle!$Z:$Z,"6")</f>
        <v>0</v>
      </c>
      <c r="L921" s="507">
        <f t="shared" si="31"/>
        <v>0</v>
      </c>
      <c r="M921" s="381" t="s">
        <v>5020</v>
      </c>
      <c r="AF921" s="84"/>
    </row>
    <row r="922" spans="1:32" s="185" customFormat="1" ht="14.25" customHeight="1" thickBot="1">
      <c r="A922" s="353">
        <v>24015</v>
      </c>
      <c r="B922" s="194" t="s">
        <v>2625</v>
      </c>
      <c r="C922" s="339">
        <f t="shared" si="32"/>
        <v>50000</v>
      </c>
      <c r="D922" s="196" t="s">
        <v>848</v>
      </c>
      <c r="E922" s="187" t="s">
        <v>7207</v>
      </c>
      <c r="F922" s="507">
        <f>SUMIFS(Controle!$R:$R,Controle!$H:$H,produtos_escape2!$A922,Controle!$Z:$Z,"1")</f>
        <v>0</v>
      </c>
      <c r="G922" s="507">
        <f>SUMIFS(Controle!$R:$R,Controle!$H:$H,produtos_escape2!$A922,Controle!$Z:$Z,"2")</f>
        <v>0</v>
      </c>
      <c r="H922" s="507">
        <f>SUMIFS(Controle!$R:$R,Controle!$H:$H,produtos_escape2!$A922,Controle!$Z:$Z,"3")</f>
        <v>0</v>
      </c>
      <c r="I922" s="507">
        <f>SUMIFS(Controle!$R:$R,Controle!$H:$H,produtos_escape2!$A922,Controle!$Z:$Z,"4")</f>
        <v>0</v>
      </c>
      <c r="J922" s="507">
        <f>SUMIFS(Controle!$R:$R,Controle!$H:$H,produtos_escape2!$A922,Controle!$Z:$Z,"5")</f>
        <v>0</v>
      </c>
      <c r="K922" s="507">
        <f>SUMIFS(Controle!$R:$R,Controle!$H:$H,produtos_escape2!$A922,Controle!$Z:$Z,"6")</f>
        <v>0</v>
      </c>
      <c r="L922" s="507">
        <f t="shared" si="31"/>
        <v>0</v>
      </c>
      <c r="M922" s="381" t="s">
        <v>5020</v>
      </c>
      <c r="AF922" s="84"/>
    </row>
    <row r="923" spans="1:32" s="185" customFormat="1" ht="14.25" customHeight="1" thickBot="1">
      <c r="A923" s="353">
        <v>24258</v>
      </c>
      <c r="B923" s="194" t="s">
        <v>6903</v>
      </c>
      <c r="C923" s="339">
        <f t="shared" si="32"/>
        <v>50000</v>
      </c>
      <c r="D923" s="196" t="s">
        <v>624</v>
      </c>
      <c r="E923" s="187" t="s">
        <v>7207</v>
      </c>
      <c r="F923" s="507">
        <f>SUMIFS(Controle!$R:$R,Controle!$H:$H,produtos_escape2!$A923,Controle!$Z:$Z,"1")</f>
        <v>0</v>
      </c>
      <c r="G923" s="507">
        <f>SUMIFS(Controle!$R:$R,Controle!$H:$H,produtos_escape2!$A923,Controle!$Z:$Z,"2")</f>
        <v>0</v>
      </c>
      <c r="H923" s="507">
        <f>SUMIFS(Controle!$R:$R,Controle!$H:$H,produtos_escape2!$A923,Controle!$Z:$Z,"3")</f>
        <v>0</v>
      </c>
      <c r="I923" s="507">
        <f>SUMIFS(Controle!$R:$R,Controle!$H:$H,produtos_escape2!$A923,Controle!$Z:$Z,"4")</f>
        <v>0</v>
      </c>
      <c r="J923" s="507">
        <f>SUMIFS(Controle!$R:$R,Controle!$H:$H,produtos_escape2!$A923,Controle!$Z:$Z,"5")</f>
        <v>0</v>
      </c>
      <c r="K923" s="507">
        <f>SUMIFS(Controle!$R:$R,Controle!$H:$H,produtos_escape2!$A923,Controle!$Z:$Z,"6")</f>
        <v>0</v>
      </c>
      <c r="L923" s="507">
        <f t="shared" si="31"/>
        <v>0</v>
      </c>
      <c r="M923" s="381" t="s">
        <v>7367</v>
      </c>
      <c r="AF923" s="84"/>
    </row>
    <row r="924" spans="1:32" s="185" customFormat="1" ht="14.25" customHeight="1" thickBot="1">
      <c r="A924" s="353">
        <v>24303</v>
      </c>
      <c r="B924" s="194" t="s">
        <v>118</v>
      </c>
      <c r="C924" s="339">
        <f t="shared" si="32"/>
        <v>50000</v>
      </c>
      <c r="D924" s="196"/>
      <c r="E924" s="187"/>
      <c r="F924" s="507">
        <f>SUMIFS(Controle!$R:$R,Controle!$H:$H,produtos_escape2!$A924,Controle!$Z:$Z,"1")</f>
        <v>0</v>
      </c>
      <c r="G924" s="507">
        <f>SUMIFS(Controle!$R:$R,Controle!$H:$H,produtos_escape2!$A924,Controle!$Z:$Z,"2")</f>
        <v>0</v>
      </c>
      <c r="H924" s="507">
        <f>SUMIFS(Controle!$R:$R,Controle!$H:$H,produtos_escape2!$A924,Controle!$Z:$Z,"3")</f>
        <v>0</v>
      </c>
      <c r="I924" s="507">
        <f>SUMIFS(Controle!$R:$R,Controle!$H:$H,produtos_escape2!$A924,Controle!$Z:$Z,"4")</f>
        <v>0</v>
      </c>
      <c r="J924" s="507">
        <f>SUMIFS(Controle!$R:$R,Controle!$H:$H,produtos_escape2!$A924,Controle!$Z:$Z,"5")</f>
        <v>0</v>
      </c>
      <c r="K924" s="507">
        <f>SUMIFS(Controle!$R:$R,Controle!$H:$H,produtos_escape2!$A924,Controle!$Z:$Z,"6")</f>
        <v>0</v>
      </c>
      <c r="L924" s="507">
        <f t="shared" si="31"/>
        <v>0</v>
      </c>
      <c r="M924" s="381" t="s">
        <v>118</v>
      </c>
      <c r="AF924" s="84"/>
    </row>
    <row r="925" spans="1:32" s="185" customFormat="1" ht="14.25" customHeight="1" thickBot="1">
      <c r="A925" s="333">
        <v>24309</v>
      </c>
      <c r="B925" s="194" t="s">
        <v>119</v>
      </c>
      <c r="C925" s="339">
        <f t="shared" si="32"/>
        <v>50000</v>
      </c>
      <c r="D925" s="196"/>
      <c r="E925" s="187"/>
      <c r="F925" s="507">
        <f>SUMIFS(Controle!$R:$R,Controle!$H:$H,produtos_escape2!$A925,Controle!$Z:$Z,"1")</f>
        <v>0</v>
      </c>
      <c r="G925" s="507">
        <f>SUMIFS(Controle!$R:$R,Controle!$H:$H,produtos_escape2!$A925,Controle!$Z:$Z,"2")</f>
        <v>0</v>
      </c>
      <c r="H925" s="507">
        <f>SUMIFS(Controle!$R:$R,Controle!$H:$H,produtos_escape2!$A925,Controle!$Z:$Z,"3")</f>
        <v>0</v>
      </c>
      <c r="I925" s="507">
        <f>SUMIFS(Controle!$R:$R,Controle!$H:$H,produtos_escape2!$A925,Controle!$Z:$Z,"4")</f>
        <v>0</v>
      </c>
      <c r="J925" s="507">
        <f>SUMIFS(Controle!$R:$R,Controle!$H:$H,produtos_escape2!$A925,Controle!$Z:$Z,"5")</f>
        <v>0</v>
      </c>
      <c r="K925" s="507">
        <f>SUMIFS(Controle!$R:$R,Controle!$H:$H,produtos_escape2!$A925,Controle!$Z:$Z,"6")</f>
        <v>0</v>
      </c>
      <c r="L925" s="507">
        <f t="shared" si="31"/>
        <v>0</v>
      </c>
      <c r="M925" s="381" t="s">
        <v>119</v>
      </c>
      <c r="AF925" s="84"/>
    </row>
    <row r="926" spans="1:32" s="185" customFormat="1" ht="14.25" customHeight="1" thickBot="1">
      <c r="A926" s="353">
        <v>24311</v>
      </c>
      <c r="B926" s="194" t="s">
        <v>895</v>
      </c>
      <c r="C926" s="339">
        <f t="shared" si="32"/>
        <v>50000</v>
      </c>
      <c r="D926" s="196" t="s">
        <v>624</v>
      </c>
      <c r="E926" s="187"/>
      <c r="F926" s="507">
        <f>SUMIFS(Controle!$R:$R,Controle!$H:$H,produtos_escape2!$A926,Controle!$Z:$Z,"1")</f>
        <v>0</v>
      </c>
      <c r="G926" s="507">
        <f>SUMIFS(Controle!$R:$R,Controle!$H:$H,produtos_escape2!$A926,Controle!$Z:$Z,"2")</f>
        <v>0</v>
      </c>
      <c r="H926" s="507">
        <f>SUMIFS(Controle!$R:$R,Controle!$H:$H,produtos_escape2!$A926,Controle!$Z:$Z,"3")</f>
        <v>0</v>
      </c>
      <c r="I926" s="507">
        <f>SUMIFS(Controle!$R:$R,Controle!$H:$H,produtos_escape2!$A926,Controle!$Z:$Z,"4")</f>
        <v>0</v>
      </c>
      <c r="J926" s="507">
        <f>SUMIFS(Controle!$R:$R,Controle!$H:$H,produtos_escape2!$A926,Controle!$Z:$Z,"5")</f>
        <v>0</v>
      </c>
      <c r="K926" s="507">
        <f>SUMIFS(Controle!$R:$R,Controle!$H:$H,produtos_escape2!$A926,Controle!$Z:$Z,"6")</f>
        <v>0</v>
      </c>
      <c r="L926" s="507">
        <f t="shared" si="31"/>
        <v>0</v>
      </c>
      <c r="M926" s="381" t="s">
        <v>4850</v>
      </c>
      <c r="AF926" s="84"/>
    </row>
    <row r="927" spans="1:32" s="185" customFormat="1" ht="14.25" customHeight="1" thickBot="1">
      <c r="A927" s="353">
        <v>24326</v>
      </c>
      <c r="B927" s="194" t="s">
        <v>9392</v>
      </c>
      <c r="C927" s="339">
        <f t="shared" si="32"/>
        <v>47840</v>
      </c>
      <c r="D927" s="196" t="s">
        <v>624</v>
      </c>
      <c r="E927" s="187" t="s">
        <v>1687</v>
      </c>
      <c r="F927" s="507">
        <f>SUMIFS(Controle!$R:$R,Controle!$H:$H,produtos_escape2!$A927,Controle!$Z:$Z,"1")</f>
        <v>0</v>
      </c>
      <c r="G927" s="507">
        <f>SUMIFS(Controle!$R:$R,Controle!$H:$H,produtos_escape2!$A927,Controle!$Z:$Z,"2")</f>
        <v>0</v>
      </c>
      <c r="H927" s="507">
        <f>SUMIFS(Controle!$R:$R,Controle!$H:$H,produtos_escape2!$A927,Controle!$Z:$Z,"3")</f>
        <v>0</v>
      </c>
      <c r="I927" s="507">
        <f>SUMIFS(Controle!$R:$R,Controle!$H:$H,produtos_escape2!$A927,Controle!$Z:$Z,"4")</f>
        <v>2160</v>
      </c>
      <c r="J927" s="507">
        <f>SUMIFS(Controle!$R:$R,Controle!$H:$H,produtos_escape2!$A927,Controle!$Z:$Z,"5")</f>
        <v>0</v>
      </c>
      <c r="K927" s="507">
        <f>SUMIFS(Controle!$R:$R,Controle!$H:$H,produtos_escape2!$A927,Controle!$Z:$Z,"6")</f>
        <v>0</v>
      </c>
      <c r="L927" s="507">
        <f t="shared" si="31"/>
        <v>2160</v>
      </c>
      <c r="M927" s="381" t="s">
        <v>9393</v>
      </c>
      <c r="AF927" s="84"/>
    </row>
    <row r="928" spans="1:32" s="185" customFormat="1" ht="14.25" customHeight="1" thickBot="1">
      <c r="A928" s="353">
        <v>24362</v>
      </c>
      <c r="B928" s="194" t="s">
        <v>313</v>
      </c>
      <c r="C928" s="339">
        <f t="shared" si="32"/>
        <v>50000</v>
      </c>
      <c r="D928" s="196"/>
      <c r="E928" s="187"/>
      <c r="F928" s="507">
        <f>SUMIFS(Controle!$R:$R,Controle!$H:$H,produtos_escape2!$A928,Controle!$Z:$Z,"1")</f>
        <v>0</v>
      </c>
      <c r="G928" s="507">
        <f>SUMIFS(Controle!$R:$R,Controle!$H:$H,produtos_escape2!$A928,Controle!$Z:$Z,"2")</f>
        <v>0</v>
      </c>
      <c r="H928" s="507">
        <f>SUMIFS(Controle!$R:$R,Controle!$H:$H,produtos_escape2!$A928,Controle!$Z:$Z,"3")</f>
        <v>0</v>
      </c>
      <c r="I928" s="507">
        <f>SUMIFS(Controle!$R:$R,Controle!$H:$H,produtos_escape2!$A928,Controle!$Z:$Z,"4")</f>
        <v>0</v>
      </c>
      <c r="J928" s="507">
        <f>SUMIFS(Controle!$R:$R,Controle!$H:$H,produtos_escape2!$A928,Controle!$Z:$Z,"5")</f>
        <v>0</v>
      </c>
      <c r="K928" s="507">
        <f>SUMIFS(Controle!$R:$R,Controle!$H:$H,produtos_escape2!$A928,Controle!$Z:$Z,"6")</f>
        <v>0</v>
      </c>
      <c r="L928" s="507">
        <f t="shared" si="31"/>
        <v>0</v>
      </c>
      <c r="M928" s="381" t="s">
        <v>4918</v>
      </c>
      <c r="AF928" s="84"/>
    </row>
    <row r="929" spans="1:32" s="185" customFormat="1" ht="14.25" customHeight="1" thickBot="1">
      <c r="A929" s="353">
        <v>24398</v>
      </c>
      <c r="B929" s="194" t="s">
        <v>2626</v>
      </c>
      <c r="C929" s="339">
        <f t="shared" si="32"/>
        <v>50000</v>
      </c>
      <c r="D929" s="196" t="s">
        <v>624</v>
      </c>
      <c r="E929" s="187" t="s">
        <v>7207</v>
      </c>
      <c r="F929" s="507">
        <f>SUMIFS(Controle!$R:$R,Controle!$H:$H,produtos_escape2!$A929,Controle!$Z:$Z,"1")</f>
        <v>0</v>
      </c>
      <c r="G929" s="507">
        <f>SUMIFS(Controle!$R:$R,Controle!$H:$H,produtos_escape2!$A929,Controle!$Z:$Z,"2")</f>
        <v>0</v>
      </c>
      <c r="H929" s="507">
        <f>SUMIFS(Controle!$R:$R,Controle!$H:$H,produtos_escape2!$A929,Controle!$Z:$Z,"3")</f>
        <v>0</v>
      </c>
      <c r="I929" s="507">
        <f>SUMIFS(Controle!$R:$R,Controle!$H:$H,produtos_escape2!$A929,Controle!$Z:$Z,"4")</f>
        <v>0</v>
      </c>
      <c r="J929" s="507">
        <f>SUMIFS(Controle!$R:$R,Controle!$H:$H,produtos_escape2!$A929,Controle!$Z:$Z,"5")</f>
        <v>0</v>
      </c>
      <c r="K929" s="507">
        <f>SUMIFS(Controle!$R:$R,Controle!$H:$H,produtos_escape2!$A929,Controle!$Z:$Z,"6")</f>
        <v>0</v>
      </c>
      <c r="L929" s="507">
        <f t="shared" si="31"/>
        <v>0</v>
      </c>
      <c r="M929" s="381" t="s">
        <v>4909</v>
      </c>
      <c r="AF929" s="84"/>
    </row>
    <row r="930" spans="1:32" s="185" customFormat="1" ht="14.25" customHeight="1" thickBot="1">
      <c r="A930" s="353">
        <v>24445</v>
      </c>
      <c r="B930" s="194" t="s">
        <v>7060</v>
      </c>
      <c r="C930" s="339">
        <f t="shared" si="32"/>
        <v>50000</v>
      </c>
      <c r="D930" s="196" t="s">
        <v>7061</v>
      </c>
      <c r="E930" s="189" t="s">
        <v>7207</v>
      </c>
      <c r="F930" s="507">
        <f>SUMIFS(Controle!$R:$R,Controle!$H:$H,produtos_escape2!$A930,Controle!$Z:$Z,"1")</f>
        <v>0</v>
      </c>
      <c r="G930" s="507">
        <f>SUMIFS(Controle!$R:$R,Controle!$H:$H,produtos_escape2!$A930,Controle!$Z:$Z,"2")</f>
        <v>0</v>
      </c>
      <c r="H930" s="507">
        <f>SUMIFS(Controle!$R:$R,Controle!$H:$H,produtos_escape2!$A930,Controle!$Z:$Z,"3")</f>
        <v>0</v>
      </c>
      <c r="I930" s="507">
        <f>SUMIFS(Controle!$R:$R,Controle!$H:$H,produtos_escape2!$A930,Controle!$Z:$Z,"4")</f>
        <v>0</v>
      </c>
      <c r="J930" s="507">
        <f>SUMIFS(Controle!$R:$R,Controle!$H:$H,produtos_escape2!$A930,Controle!$Z:$Z,"5")</f>
        <v>0</v>
      </c>
      <c r="K930" s="507">
        <f>SUMIFS(Controle!$R:$R,Controle!$H:$H,produtos_escape2!$A930,Controle!$Z:$Z,"6")</f>
        <v>0</v>
      </c>
      <c r="L930" s="507">
        <f t="shared" si="31"/>
        <v>0</v>
      </c>
      <c r="M930" s="381" t="s">
        <v>7064</v>
      </c>
      <c r="AF930" s="84"/>
    </row>
    <row r="931" spans="1:32" s="185" customFormat="1" ht="14.25" customHeight="1" thickBot="1">
      <c r="A931" s="353">
        <v>24456</v>
      </c>
      <c r="B931" s="194" t="s">
        <v>320</v>
      </c>
      <c r="C931" s="339">
        <f t="shared" si="32"/>
        <v>50000</v>
      </c>
      <c r="D931" s="196" t="s">
        <v>624</v>
      </c>
      <c r="E931" s="187" t="s">
        <v>1739</v>
      </c>
      <c r="F931" s="507">
        <f>SUMIFS(Controle!$R:$R,Controle!$H:$H,produtos_escape2!$A931,Controle!$Z:$Z,"1")</f>
        <v>0</v>
      </c>
      <c r="G931" s="507">
        <f>SUMIFS(Controle!$R:$R,Controle!$H:$H,produtos_escape2!$A931,Controle!$Z:$Z,"2")</f>
        <v>0</v>
      </c>
      <c r="H931" s="507">
        <f>SUMIFS(Controle!$R:$R,Controle!$H:$H,produtos_escape2!$A931,Controle!$Z:$Z,"3")</f>
        <v>0</v>
      </c>
      <c r="I931" s="507">
        <f>SUMIFS(Controle!$R:$R,Controle!$H:$H,produtos_escape2!$A931,Controle!$Z:$Z,"4")</f>
        <v>0</v>
      </c>
      <c r="J931" s="507">
        <f>SUMIFS(Controle!$R:$R,Controle!$H:$H,produtos_escape2!$A931,Controle!$Z:$Z,"5")</f>
        <v>0</v>
      </c>
      <c r="K931" s="507">
        <f>SUMIFS(Controle!$R:$R,Controle!$H:$H,produtos_escape2!$A931,Controle!$Z:$Z,"6")</f>
        <v>0</v>
      </c>
      <c r="L931" s="507">
        <f t="shared" si="31"/>
        <v>0</v>
      </c>
      <c r="M931" s="381" t="s">
        <v>5021</v>
      </c>
      <c r="AF931" s="84"/>
    </row>
    <row r="932" spans="1:32" s="185" customFormat="1" ht="14.25" customHeight="1" thickBot="1">
      <c r="A932" s="353">
        <v>24490</v>
      </c>
      <c r="B932" s="338" t="s">
        <v>2717</v>
      </c>
      <c r="C932" s="339">
        <f t="shared" si="32"/>
        <v>50000</v>
      </c>
      <c r="D932" s="196" t="s">
        <v>624</v>
      </c>
      <c r="E932" s="187" t="s">
        <v>7207</v>
      </c>
      <c r="F932" s="507">
        <f>SUMIFS(Controle!$R:$R,Controle!$H:$H,produtos_escape2!$A932,Controle!$Z:$Z,"1")</f>
        <v>0</v>
      </c>
      <c r="G932" s="507">
        <f>SUMIFS(Controle!$R:$R,Controle!$H:$H,produtos_escape2!$A932,Controle!$Z:$Z,"2")</f>
        <v>0</v>
      </c>
      <c r="H932" s="507">
        <f>SUMIFS(Controle!$R:$R,Controle!$H:$H,produtos_escape2!$A932,Controle!$Z:$Z,"3")</f>
        <v>0</v>
      </c>
      <c r="I932" s="507">
        <f>SUMIFS(Controle!$R:$R,Controle!$H:$H,produtos_escape2!$A932,Controle!$Z:$Z,"4")</f>
        <v>0</v>
      </c>
      <c r="J932" s="507">
        <f>SUMIFS(Controle!$R:$R,Controle!$H:$H,produtos_escape2!$A932,Controle!$Z:$Z,"5")</f>
        <v>0</v>
      </c>
      <c r="K932" s="507">
        <f>SUMIFS(Controle!$R:$R,Controle!$H:$H,produtos_escape2!$A932,Controle!$Z:$Z,"6")</f>
        <v>0</v>
      </c>
      <c r="L932" s="507">
        <f t="shared" si="31"/>
        <v>0</v>
      </c>
      <c r="M932" s="381" t="s">
        <v>5022</v>
      </c>
      <c r="AF932" s="84"/>
    </row>
    <row r="933" spans="1:32" s="185" customFormat="1" ht="14.25" customHeight="1" thickBot="1">
      <c r="A933" s="353">
        <v>24503</v>
      </c>
      <c r="B933" s="194" t="s">
        <v>108</v>
      </c>
      <c r="C933" s="339">
        <f t="shared" si="32"/>
        <v>50000</v>
      </c>
      <c r="D933" s="196" t="s">
        <v>548</v>
      </c>
      <c r="E933" s="187"/>
      <c r="F933" s="507">
        <f>SUMIFS(Controle!$R:$R,Controle!$H:$H,produtos_escape2!$A933,Controle!$Z:$Z,"1")</f>
        <v>0</v>
      </c>
      <c r="G933" s="507">
        <f>SUMIFS(Controle!$R:$R,Controle!$H:$H,produtos_escape2!$A933,Controle!$Z:$Z,"2")</f>
        <v>0</v>
      </c>
      <c r="H933" s="507">
        <f>SUMIFS(Controle!$R:$R,Controle!$H:$H,produtos_escape2!$A933,Controle!$Z:$Z,"3")</f>
        <v>0</v>
      </c>
      <c r="I933" s="507">
        <f>SUMIFS(Controle!$R:$R,Controle!$H:$H,produtos_escape2!$A933,Controle!$Z:$Z,"4")</f>
        <v>0</v>
      </c>
      <c r="J933" s="507">
        <f>SUMIFS(Controle!$R:$R,Controle!$H:$H,produtos_escape2!$A933,Controle!$Z:$Z,"5")</f>
        <v>0</v>
      </c>
      <c r="K933" s="507">
        <f>SUMIFS(Controle!$R:$R,Controle!$H:$H,produtos_escape2!$A933,Controle!$Z:$Z,"6")</f>
        <v>0</v>
      </c>
      <c r="L933" s="507">
        <f t="shared" si="31"/>
        <v>0</v>
      </c>
      <c r="M933" s="381" t="s">
        <v>108</v>
      </c>
      <c r="AF933" s="84"/>
    </row>
    <row r="934" spans="1:32" s="185" customFormat="1" ht="14.25" customHeight="1" thickBot="1">
      <c r="A934" s="353">
        <v>24504</v>
      </c>
      <c r="B934" s="194" t="s">
        <v>1733</v>
      </c>
      <c r="C934" s="339">
        <f t="shared" si="32"/>
        <v>50000</v>
      </c>
      <c r="D934" s="191" t="s">
        <v>548</v>
      </c>
      <c r="E934" s="189" t="s">
        <v>3608</v>
      </c>
      <c r="F934" s="507">
        <f>SUMIFS(Controle!$R:$R,Controle!$H:$H,produtos_escape2!$A934,Controle!$Z:$Z,"1")</f>
        <v>0</v>
      </c>
      <c r="G934" s="507">
        <f>SUMIFS(Controle!$R:$R,Controle!$H:$H,produtos_escape2!$A934,Controle!$Z:$Z,"2")</f>
        <v>0</v>
      </c>
      <c r="H934" s="507">
        <f>SUMIFS(Controle!$R:$R,Controle!$H:$H,produtos_escape2!$A934,Controle!$Z:$Z,"3")</f>
        <v>0</v>
      </c>
      <c r="I934" s="507">
        <f>SUMIFS(Controle!$R:$R,Controle!$H:$H,produtos_escape2!$A934,Controle!$Z:$Z,"4")</f>
        <v>0</v>
      </c>
      <c r="J934" s="507">
        <f>SUMIFS(Controle!$R:$R,Controle!$H:$H,produtos_escape2!$A934,Controle!$Z:$Z,"5")</f>
        <v>0</v>
      </c>
      <c r="K934" s="507">
        <f>SUMIFS(Controle!$R:$R,Controle!$H:$H,produtos_escape2!$A934,Controle!$Z:$Z,"6")</f>
        <v>0</v>
      </c>
      <c r="L934" s="507">
        <f t="shared" si="31"/>
        <v>0</v>
      </c>
      <c r="M934" s="381" t="s">
        <v>1733</v>
      </c>
      <c r="AF934" s="84"/>
    </row>
    <row r="935" spans="1:32" s="185" customFormat="1" ht="14.25" customHeight="1" thickBot="1">
      <c r="A935" s="333">
        <v>24512</v>
      </c>
      <c r="B935" s="194" t="s">
        <v>814</v>
      </c>
      <c r="C935" s="339">
        <f t="shared" si="32"/>
        <v>50000</v>
      </c>
      <c r="D935" s="196" t="s">
        <v>549</v>
      </c>
      <c r="E935" s="187"/>
      <c r="F935" s="507">
        <f>SUMIFS(Controle!$R:$R,Controle!$H:$H,produtos_escape2!$A935,Controle!$Z:$Z,"1")</f>
        <v>0</v>
      </c>
      <c r="G935" s="507">
        <f>SUMIFS(Controle!$R:$R,Controle!$H:$H,produtos_escape2!$A935,Controle!$Z:$Z,"2")</f>
        <v>0</v>
      </c>
      <c r="H935" s="507">
        <f>SUMIFS(Controle!$R:$R,Controle!$H:$H,produtos_escape2!$A935,Controle!$Z:$Z,"3")</f>
        <v>0</v>
      </c>
      <c r="I935" s="507">
        <f>SUMIFS(Controle!$R:$R,Controle!$H:$H,produtos_escape2!$A935,Controle!$Z:$Z,"4")</f>
        <v>0</v>
      </c>
      <c r="J935" s="507">
        <f>SUMIFS(Controle!$R:$R,Controle!$H:$H,produtos_escape2!$A935,Controle!$Z:$Z,"5")</f>
        <v>0</v>
      </c>
      <c r="K935" s="507">
        <f>SUMIFS(Controle!$R:$R,Controle!$H:$H,produtos_escape2!$A935,Controle!$Z:$Z,"6")</f>
        <v>0</v>
      </c>
      <c r="L935" s="507">
        <f t="shared" si="31"/>
        <v>0</v>
      </c>
      <c r="M935" s="381" t="s">
        <v>814</v>
      </c>
      <c r="AF935" s="84"/>
    </row>
    <row r="936" spans="1:32" s="185" customFormat="1" ht="15" customHeight="1" thickBot="1">
      <c r="A936" s="353">
        <v>24543</v>
      </c>
      <c r="B936" s="194" t="s">
        <v>4454</v>
      </c>
      <c r="C936" s="339">
        <f t="shared" si="32"/>
        <v>48875</v>
      </c>
      <c r="D936" s="196" t="s">
        <v>624</v>
      </c>
      <c r="E936" s="187" t="s">
        <v>7207</v>
      </c>
      <c r="F936" s="507">
        <f>SUMIFS(Controle!$R:$R,Controle!$H:$H,produtos_escape2!$A936,Controle!$Z:$Z,"1")</f>
        <v>0</v>
      </c>
      <c r="G936" s="507">
        <f>SUMIFS(Controle!$R:$R,Controle!$H:$H,produtos_escape2!$A936,Controle!$Z:$Z,"2")</f>
        <v>0</v>
      </c>
      <c r="H936" s="507">
        <f>SUMIFS(Controle!$R:$R,Controle!$H:$H,produtos_escape2!$A936,Controle!$Z:$Z,"3")</f>
        <v>1125</v>
      </c>
      <c r="I936" s="507">
        <f>SUMIFS(Controle!$R:$R,Controle!$H:$H,produtos_escape2!$A936,Controle!$Z:$Z,"4")</f>
        <v>0</v>
      </c>
      <c r="J936" s="507">
        <f>SUMIFS(Controle!$R:$R,Controle!$H:$H,produtos_escape2!$A936,Controle!$Z:$Z,"5")</f>
        <v>0</v>
      </c>
      <c r="K936" s="507">
        <f>SUMIFS(Controle!$R:$R,Controle!$H:$H,produtos_escape2!$A936,Controle!$Z:$Z,"6")</f>
        <v>0</v>
      </c>
      <c r="L936" s="507">
        <f t="shared" si="31"/>
        <v>1125</v>
      </c>
      <c r="M936" s="381" t="s">
        <v>5023</v>
      </c>
      <c r="AF936" s="84"/>
    </row>
    <row r="937" spans="1:32" s="185" customFormat="1" ht="14.25" customHeight="1" thickBot="1">
      <c r="A937" s="353">
        <v>24544</v>
      </c>
      <c r="B937" s="194" t="s">
        <v>1353</v>
      </c>
      <c r="C937" s="339">
        <f t="shared" si="32"/>
        <v>50000</v>
      </c>
      <c r="D937" s="196" t="s">
        <v>848</v>
      </c>
      <c r="E937" s="187" t="s">
        <v>7207</v>
      </c>
      <c r="F937" s="507">
        <f>SUMIFS(Controle!$R:$R,Controle!$H:$H,produtos_escape2!$A937,Controle!$Z:$Z,"1")</f>
        <v>0</v>
      </c>
      <c r="G937" s="507">
        <f>SUMIFS(Controle!$R:$R,Controle!$H:$H,produtos_escape2!$A937,Controle!$Z:$Z,"2")</f>
        <v>0</v>
      </c>
      <c r="H937" s="507">
        <f>SUMIFS(Controle!$R:$R,Controle!$H:$H,produtos_escape2!$A937,Controle!$Z:$Z,"3")</f>
        <v>0</v>
      </c>
      <c r="I937" s="507">
        <f>SUMIFS(Controle!$R:$R,Controle!$H:$H,produtos_escape2!$A937,Controle!$Z:$Z,"4")</f>
        <v>0</v>
      </c>
      <c r="J937" s="507">
        <f>SUMIFS(Controle!$R:$R,Controle!$H:$H,produtos_escape2!$A937,Controle!$Z:$Z,"5")</f>
        <v>0</v>
      </c>
      <c r="K937" s="507">
        <f>SUMIFS(Controle!$R:$R,Controle!$H:$H,produtos_escape2!$A937,Controle!$Z:$Z,"6")</f>
        <v>0</v>
      </c>
      <c r="L937" s="507">
        <f t="shared" si="31"/>
        <v>0</v>
      </c>
      <c r="M937" s="381" t="s">
        <v>5024</v>
      </c>
      <c r="AF937" s="84"/>
    </row>
    <row r="938" spans="1:32" s="185" customFormat="1" ht="14.25" customHeight="1" thickBot="1">
      <c r="A938" s="353">
        <v>24547</v>
      </c>
      <c r="B938" s="194" t="s">
        <v>4378</v>
      </c>
      <c r="C938" s="339">
        <f t="shared" si="32"/>
        <v>49220</v>
      </c>
      <c r="D938" s="196" t="s">
        <v>624</v>
      </c>
      <c r="E938" s="189" t="s">
        <v>7207</v>
      </c>
      <c r="F938" s="507">
        <f>SUMIFS(Controle!$R:$R,Controle!$H:$H,produtos_escape2!$A938,Controle!$Z:$Z,"1")</f>
        <v>0</v>
      </c>
      <c r="G938" s="507">
        <f>SUMIFS(Controle!$R:$R,Controle!$H:$H,produtos_escape2!$A938,Controle!$Z:$Z,"2")</f>
        <v>780</v>
      </c>
      <c r="H938" s="507">
        <f>SUMIFS(Controle!$R:$R,Controle!$H:$H,produtos_escape2!$A938,Controle!$Z:$Z,"3")</f>
        <v>0</v>
      </c>
      <c r="I938" s="507">
        <f>SUMIFS(Controle!$R:$R,Controle!$H:$H,produtos_escape2!$A938,Controle!$Z:$Z,"4")</f>
        <v>0</v>
      </c>
      <c r="J938" s="507">
        <f>SUMIFS(Controle!$R:$R,Controle!$H:$H,produtos_escape2!$A938,Controle!$Z:$Z,"5")</f>
        <v>0</v>
      </c>
      <c r="K938" s="507">
        <f>SUMIFS(Controle!$R:$R,Controle!$H:$H,produtos_escape2!$A938,Controle!$Z:$Z,"6")</f>
        <v>0</v>
      </c>
      <c r="L938" s="507">
        <f t="shared" si="31"/>
        <v>780</v>
      </c>
      <c r="M938" s="381" t="s">
        <v>5025</v>
      </c>
      <c r="AF938" s="84"/>
    </row>
    <row r="939" spans="1:32" s="185" customFormat="1" ht="14.25" customHeight="1" thickBot="1">
      <c r="A939" s="353">
        <v>24558</v>
      </c>
      <c r="B939" s="194" t="s">
        <v>1183</v>
      </c>
      <c r="C939" s="339">
        <f t="shared" si="32"/>
        <v>46974</v>
      </c>
      <c r="D939" s="196" t="s">
        <v>624</v>
      </c>
      <c r="E939" s="187" t="s">
        <v>3608</v>
      </c>
      <c r="F939" s="507">
        <f>SUMIFS(Controle!$R:$R,Controle!$H:$H,produtos_escape2!$A939,Controle!$Z:$Z,"1")</f>
        <v>0</v>
      </c>
      <c r="G939" s="507">
        <f>SUMIFS(Controle!$R:$R,Controle!$H:$H,produtos_escape2!$A939,Controle!$Z:$Z,"2")</f>
        <v>0</v>
      </c>
      <c r="H939" s="507">
        <f>SUMIFS(Controle!$R:$R,Controle!$H:$H,produtos_escape2!$A939,Controle!$Z:$Z,"3")</f>
        <v>0</v>
      </c>
      <c r="I939" s="507">
        <f>SUMIFS(Controle!$R:$R,Controle!$H:$H,produtos_escape2!$A939,Controle!$Z:$Z,"4")</f>
        <v>1160</v>
      </c>
      <c r="J939" s="507">
        <f>SUMIFS(Controle!$R:$R,Controle!$H:$H,produtos_escape2!$A939,Controle!$Z:$Z,"5")</f>
        <v>1866</v>
      </c>
      <c r="K939" s="507">
        <f>SUMIFS(Controle!$R:$R,Controle!$H:$H,produtos_escape2!$A939,Controle!$Z:$Z,"6")</f>
        <v>0</v>
      </c>
      <c r="L939" s="507">
        <f t="shared" si="31"/>
        <v>3026</v>
      </c>
      <c r="M939" s="381" t="s">
        <v>1183</v>
      </c>
      <c r="AF939" s="84"/>
    </row>
    <row r="940" spans="1:32" s="185" customFormat="1" ht="14.25" customHeight="1" thickBot="1">
      <c r="A940" s="353">
        <v>24559</v>
      </c>
      <c r="B940" s="338" t="s">
        <v>1579</v>
      </c>
      <c r="C940" s="339">
        <f t="shared" si="32"/>
        <v>50000</v>
      </c>
      <c r="D940" s="196" t="s">
        <v>729</v>
      </c>
      <c r="E940" s="187" t="s">
        <v>3608</v>
      </c>
      <c r="F940" s="507">
        <f>SUMIFS(Controle!$R:$R,Controle!$H:$H,produtos_escape2!$A940,Controle!$Z:$Z,"1")</f>
        <v>0</v>
      </c>
      <c r="G940" s="507">
        <f>SUMIFS(Controle!$R:$R,Controle!$H:$H,produtos_escape2!$A940,Controle!$Z:$Z,"2")</f>
        <v>0</v>
      </c>
      <c r="H940" s="507">
        <f>SUMIFS(Controle!$R:$R,Controle!$H:$H,produtos_escape2!$A940,Controle!$Z:$Z,"3")</f>
        <v>0</v>
      </c>
      <c r="I940" s="507">
        <f>SUMIFS(Controle!$R:$R,Controle!$H:$H,produtos_escape2!$A940,Controle!$Z:$Z,"4")</f>
        <v>0</v>
      </c>
      <c r="J940" s="507">
        <f>SUMIFS(Controle!$R:$R,Controle!$H:$H,produtos_escape2!$A940,Controle!$Z:$Z,"5")</f>
        <v>0</v>
      </c>
      <c r="K940" s="507">
        <f>SUMIFS(Controle!$R:$R,Controle!$H:$H,produtos_escape2!$A940,Controle!$Z:$Z,"6")</f>
        <v>0</v>
      </c>
      <c r="L940" s="507">
        <f t="shared" si="31"/>
        <v>0</v>
      </c>
      <c r="M940" s="381" t="s">
        <v>5026</v>
      </c>
      <c r="AF940" s="84"/>
    </row>
    <row r="941" spans="1:32" s="185" customFormat="1" ht="14.25" customHeight="1" thickBot="1">
      <c r="A941" s="353">
        <v>24560</v>
      </c>
      <c r="B941" s="194" t="s">
        <v>1584</v>
      </c>
      <c r="C941" s="339">
        <f t="shared" si="32"/>
        <v>50000</v>
      </c>
      <c r="D941" s="196" t="s">
        <v>624</v>
      </c>
      <c r="E941" s="187" t="s">
        <v>3608</v>
      </c>
      <c r="F941" s="507">
        <f>SUMIFS(Controle!$R:$R,Controle!$H:$H,produtos_escape2!$A941,Controle!$Z:$Z,"1")</f>
        <v>0</v>
      </c>
      <c r="G941" s="507">
        <f>SUMIFS(Controle!$R:$R,Controle!$H:$H,produtos_escape2!$A941,Controle!$Z:$Z,"2")</f>
        <v>0</v>
      </c>
      <c r="H941" s="507">
        <f>SUMIFS(Controle!$R:$R,Controle!$H:$H,produtos_escape2!$A941,Controle!$Z:$Z,"3")</f>
        <v>0</v>
      </c>
      <c r="I941" s="507">
        <f>SUMIFS(Controle!$R:$R,Controle!$H:$H,produtos_escape2!$A941,Controle!$Z:$Z,"4")</f>
        <v>0</v>
      </c>
      <c r="J941" s="507">
        <f>SUMIFS(Controle!$R:$R,Controle!$H:$H,produtos_escape2!$A941,Controle!$Z:$Z,"5")</f>
        <v>0</v>
      </c>
      <c r="K941" s="507">
        <f>SUMIFS(Controle!$R:$R,Controle!$H:$H,produtos_escape2!$A941,Controle!$Z:$Z,"6")</f>
        <v>0</v>
      </c>
      <c r="L941" s="507">
        <f t="shared" si="31"/>
        <v>0</v>
      </c>
      <c r="M941" s="381" t="s">
        <v>5027</v>
      </c>
      <c r="AF941" s="84"/>
    </row>
    <row r="942" spans="1:32" s="185" customFormat="1" ht="14.25" customHeight="1" thickBot="1">
      <c r="A942" s="353">
        <v>24561</v>
      </c>
      <c r="B942" s="194" t="s">
        <v>2733</v>
      </c>
      <c r="C942" s="339">
        <f t="shared" si="32"/>
        <v>50000</v>
      </c>
      <c r="D942" s="191" t="s">
        <v>624</v>
      </c>
      <c r="E942" s="189" t="s">
        <v>3608</v>
      </c>
      <c r="F942" s="507">
        <f>SUMIFS(Controle!$R:$R,Controle!$H:$H,produtos_escape2!$A942,Controle!$Z:$Z,"1")</f>
        <v>0</v>
      </c>
      <c r="G942" s="507">
        <f>SUMIFS(Controle!$R:$R,Controle!$H:$H,produtos_escape2!$A942,Controle!$Z:$Z,"2")</f>
        <v>0</v>
      </c>
      <c r="H942" s="507">
        <f>SUMIFS(Controle!$R:$R,Controle!$H:$H,produtos_escape2!$A942,Controle!$Z:$Z,"3")</f>
        <v>0</v>
      </c>
      <c r="I942" s="507">
        <f>SUMIFS(Controle!$R:$R,Controle!$H:$H,produtos_escape2!$A942,Controle!$Z:$Z,"4")</f>
        <v>0</v>
      </c>
      <c r="J942" s="507">
        <f>SUMIFS(Controle!$R:$R,Controle!$H:$H,produtos_escape2!$A942,Controle!$Z:$Z,"5")</f>
        <v>0</v>
      </c>
      <c r="K942" s="507">
        <f>SUMIFS(Controle!$R:$R,Controle!$H:$H,produtos_escape2!$A942,Controle!$Z:$Z,"6")</f>
        <v>0</v>
      </c>
      <c r="L942" s="507">
        <f t="shared" si="31"/>
        <v>0</v>
      </c>
      <c r="M942" s="381" t="s">
        <v>5028</v>
      </c>
      <c r="AF942" s="84"/>
    </row>
    <row r="943" spans="1:32" s="185" customFormat="1" ht="14.25" customHeight="1" thickBot="1">
      <c r="A943" s="333">
        <v>24572</v>
      </c>
      <c r="B943" s="194" t="s">
        <v>1036</v>
      </c>
      <c r="C943" s="339">
        <f t="shared" si="32"/>
        <v>50000</v>
      </c>
      <c r="D943" s="196" t="s">
        <v>624</v>
      </c>
      <c r="E943" s="187" t="s">
        <v>7207</v>
      </c>
      <c r="F943" s="507">
        <f>SUMIFS(Controle!$R:$R,Controle!$H:$H,produtos_escape2!$A943,Controle!$Z:$Z,"1")</f>
        <v>0</v>
      </c>
      <c r="G943" s="507">
        <f>SUMIFS(Controle!$R:$R,Controle!$H:$H,produtos_escape2!$A943,Controle!$Z:$Z,"2")</f>
        <v>0</v>
      </c>
      <c r="H943" s="507">
        <f>SUMIFS(Controle!$R:$R,Controle!$H:$H,produtos_escape2!$A943,Controle!$Z:$Z,"3")</f>
        <v>0</v>
      </c>
      <c r="I943" s="507">
        <f>SUMIFS(Controle!$R:$R,Controle!$H:$H,produtos_escape2!$A943,Controle!$Z:$Z,"4")</f>
        <v>0</v>
      </c>
      <c r="J943" s="507">
        <f>SUMIFS(Controle!$R:$R,Controle!$H:$H,produtos_escape2!$A943,Controle!$Z:$Z,"5")</f>
        <v>0</v>
      </c>
      <c r="K943" s="507">
        <f>SUMIFS(Controle!$R:$R,Controle!$H:$H,produtos_escape2!$A943,Controle!$Z:$Z,"6")</f>
        <v>0</v>
      </c>
      <c r="L943" s="507">
        <f t="shared" si="31"/>
        <v>0</v>
      </c>
      <c r="M943" s="381" t="s">
        <v>5029</v>
      </c>
      <c r="AF943" s="84"/>
    </row>
    <row r="944" spans="1:32" s="185" customFormat="1" ht="14.25" customHeight="1" thickBot="1">
      <c r="A944" s="353">
        <v>24622</v>
      </c>
      <c r="B944" s="194" t="s">
        <v>2960</v>
      </c>
      <c r="C944" s="339">
        <f t="shared" si="32"/>
        <v>50000</v>
      </c>
      <c r="D944" s="196" t="s">
        <v>548</v>
      </c>
      <c r="E944" s="187" t="s">
        <v>7207</v>
      </c>
      <c r="F944" s="507">
        <f>SUMIFS(Controle!$R:$R,Controle!$H:$H,produtos_escape2!$A944,Controle!$Z:$Z,"1")</f>
        <v>0</v>
      </c>
      <c r="G944" s="507">
        <f>SUMIFS(Controle!$R:$R,Controle!$H:$H,produtos_escape2!$A944,Controle!$Z:$Z,"2")</f>
        <v>0</v>
      </c>
      <c r="H944" s="507">
        <f>SUMIFS(Controle!$R:$R,Controle!$H:$H,produtos_escape2!$A944,Controle!$Z:$Z,"3")</f>
        <v>0</v>
      </c>
      <c r="I944" s="507">
        <f>SUMIFS(Controle!$R:$R,Controle!$H:$H,produtos_escape2!$A944,Controle!$Z:$Z,"4")</f>
        <v>0</v>
      </c>
      <c r="J944" s="507">
        <f>SUMIFS(Controle!$R:$R,Controle!$H:$H,produtos_escape2!$A944,Controle!$Z:$Z,"5")</f>
        <v>0</v>
      </c>
      <c r="K944" s="507">
        <f>SUMIFS(Controle!$R:$R,Controle!$H:$H,produtos_escape2!$A944,Controle!$Z:$Z,"6")</f>
        <v>0</v>
      </c>
      <c r="L944" s="507">
        <f t="shared" si="31"/>
        <v>0</v>
      </c>
      <c r="M944" s="381" t="s">
        <v>5030</v>
      </c>
      <c r="AF944" s="84"/>
    </row>
    <row r="945" spans="1:32" s="185" customFormat="1" ht="14.25" customHeight="1" thickBot="1">
      <c r="A945" s="353">
        <v>24668</v>
      </c>
      <c r="B945" s="194" t="s">
        <v>1471</v>
      </c>
      <c r="C945" s="339">
        <f t="shared" si="32"/>
        <v>41450</v>
      </c>
      <c r="D945" s="196" t="s">
        <v>549</v>
      </c>
      <c r="E945" s="187" t="s">
        <v>3608</v>
      </c>
      <c r="F945" s="507">
        <f>SUMIFS(Controle!$R:$R,Controle!$H:$H,produtos_escape2!$A945,Controle!$Z:$Z,"1")</f>
        <v>0</v>
      </c>
      <c r="G945" s="507">
        <f>SUMIFS(Controle!$R:$R,Controle!$H:$H,produtos_escape2!$A945,Controle!$Z:$Z,"2")</f>
        <v>8550</v>
      </c>
      <c r="H945" s="507">
        <f>SUMIFS(Controle!$R:$R,Controle!$H:$H,produtos_escape2!$A945,Controle!$Z:$Z,"3")</f>
        <v>0</v>
      </c>
      <c r="I945" s="507">
        <f>SUMIFS(Controle!$R:$R,Controle!$H:$H,produtos_escape2!$A945,Controle!$Z:$Z,"4")</f>
        <v>0</v>
      </c>
      <c r="J945" s="507">
        <f>SUMIFS(Controle!$R:$R,Controle!$H:$H,produtos_escape2!$A945,Controle!$Z:$Z,"5")</f>
        <v>0</v>
      </c>
      <c r="K945" s="507">
        <f>SUMIFS(Controle!$R:$R,Controle!$H:$H,produtos_escape2!$A945,Controle!$Z:$Z,"6")</f>
        <v>0</v>
      </c>
      <c r="L945" s="507">
        <f t="shared" si="31"/>
        <v>8550</v>
      </c>
      <c r="M945" s="381" t="s">
        <v>1471</v>
      </c>
      <c r="AF945" s="84"/>
    </row>
    <row r="946" spans="1:32" s="185" customFormat="1" ht="14.25" customHeight="1" thickBot="1">
      <c r="A946" s="353">
        <v>24874</v>
      </c>
      <c r="B946" s="194" t="s">
        <v>1806</v>
      </c>
      <c r="C946" s="339">
        <f t="shared" si="32"/>
        <v>50000</v>
      </c>
      <c r="D946" s="196" t="s">
        <v>624</v>
      </c>
      <c r="E946" s="187"/>
      <c r="F946" s="507">
        <f>SUMIFS(Controle!$R:$R,Controle!$H:$H,produtos_escape2!$A946,Controle!$Z:$Z,"1")</f>
        <v>0</v>
      </c>
      <c r="G946" s="507">
        <f>SUMIFS(Controle!$R:$R,Controle!$H:$H,produtos_escape2!$A946,Controle!$Z:$Z,"2")</f>
        <v>0</v>
      </c>
      <c r="H946" s="507">
        <f>SUMIFS(Controle!$R:$R,Controle!$H:$H,produtos_escape2!$A946,Controle!$Z:$Z,"3")</f>
        <v>0</v>
      </c>
      <c r="I946" s="507">
        <f>SUMIFS(Controle!$R:$R,Controle!$H:$H,produtos_escape2!$A946,Controle!$Z:$Z,"4")</f>
        <v>0</v>
      </c>
      <c r="J946" s="507">
        <f>SUMIFS(Controle!$R:$R,Controle!$H:$H,produtos_escape2!$A946,Controle!$Z:$Z,"5")</f>
        <v>0</v>
      </c>
      <c r="K946" s="507">
        <f>SUMIFS(Controle!$R:$R,Controle!$H:$H,produtos_escape2!$A946,Controle!$Z:$Z,"6")</f>
        <v>0</v>
      </c>
      <c r="L946" s="507">
        <f t="shared" si="31"/>
        <v>0</v>
      </c>
      <c r="M946" s="381" t="s">
        <v>5031</v>
      </c>
      <c r="AF946" s="84"/>
    </row>
    <row r="947" spans="1:32" s="185" customFormat="1" ht="14.25" customHeight="1" thickBot="1">
      <c r="A947" s="353">
        <v>24879</v>
      </c>
      <c r="B947" s="194" t="s">
        <v>51</v>
      </c>
      <c r="C947" s="339">
        <f t="shared" si="32"/>
        <v>50000</v>
      </c>
      <c r="D947" s="196"/>
      <c r="E947" s="187"/>
      <c r="F947" s="507">
        <f>SUMIFS(Controle!$R:$R,Controle!$H:$H,produtos_escape2!$A947,Controle!$Z:$Z,"1")</f>
        <v>0</v>
      </c>
      <c r="G947" s="507">
        <f>SUMIFS(Controle!$R:$R,Controle!$H:$H,produtos_escape2!$A947,Controle!$Z:$Z,"2")</f>
        <v>0</v>
      </c>
      <c r="H947" s="507">
        <f>SUMIFS(Controle!$R:$R,Controle!$H:$H,produtos_escape2!$A947,Controle!$Z:$Z,"3")</f>
        <v>0</v>
      </c>
      <c r="I947" s="507">
        <f>SUMIFS(Controle!$R:$R,Controle!$H:$H,produtos_escape2!$A947,Controle!$Z:$Z,"4")</f>
        <v>0</v>
      </c>
      <c r="J947" s="507">
        <f>SUMIFS(Controle!$R:$R,Controle!$H:$H,produtos_escape2!$A947,Controle!$Z:$Z,"5")</f>
        <v>0</v>
      </c>
      <c r="K947" s="507">
        <f>SUMIFS(Controle!$R:$R,Controle!$H:$H,produtos_escape2!$A947,Controle!$Z:$Z,"6")</f>
        <v>0</v>
      </c>
      <c r="L947" s="507">
        <f t="shared" si="31"/>
        <v>0</v>
      </c>
      <c r="M947" s="381" t="s">
        <v>4622</v>
      </c>
      <c r="AF947" s="84"/>
    </row>
    <row r="948" spans="1:32" s="185" customFormat="1" ht="14.25" customHeight="1" thickBot="1">
      <c r="A948" s="353">
        <v>24899</v>
      </c>
      <c r="B948" s="338" t="s">
        <v>2627</v>
      </c>
      <c r="C948" s="339">
        <f t="shared" si="32"/>
        <v>50000</v>
      </c>
      <c r="D948" s="196" t="s">
        <v>624</v>
      </c>
      <c r="E948" s="187" t="s">
        <v>3608</v>
      </c>
      <c r="F948" s="507">
        <f>SUMIFS(Controle!$R:$R,Controle!$H:$H,produtos_escape2!$A948,Controle!$Z:$Z,"1")</f>
        <v>0</v>
      </c>
      <c r="G948" s="507">
        <f>SUMIFS(Controle!$R:$R,Controle!$H:$H,produtos_escape2!$A948,Controle!$Z:$Z,"2")</f>
        <v>0</v>
      </c>
      <c r="H948" s="507">
        <f>SUMIFS(Controle!$R:$R,Controle!$H:$H,produtos_escape2!$A948,Controle!$Z:$Z,"3")</f>
        <v>0</v>
      </c>
      <c r="I948" s="507">
        <f>SUMIFS(Controle!$R:$R,Controle!$H:$H,produtos_escape2!$A948,Controle!$Z:$Z,"4")</f>
        <v>0</v>
      </c>
      <c r="J948" s="507">
        <f>SUMIFS(Controle!$R:$R,Controle!$H:$H,produtos_escape2!$A948,Controle!$Z:$Z,"5")</f>
        <v>0</v>
      </c>
      <c r="K948" s="507">
        <f>SUMIFS(Controle!$R:$R,Controle!$H:$H,produtos_escape2!$A948,Controle!$Z:$Z,"6")</f>
        <v>0</v>
      </c>
      <c r="L948" s="507">
        <f t="shared" si="31"/>
        <v>0</v>
      </c>
      <c r="M948" s="381" t="s">
        <v>5032</v>
      </c>
      <c r="AF948" s="84"/>
    </row>
    <row r="949" spans="1:32" s="185" customFormat="1" ht="14.25" customHeight="1" thickBot="1">
      <c r="A949" s="353">
        <v>24924</v>
      </c>
      <c r="B949" s="194" t="s">
        <v>3954</v>
      </c>
      <c r="C949" s="339">
        <f t="shared" si="32"/>
        <v>50000</v>
      </c>
      <c r="D949" s="196" t="s">
        <v>628</v>
      </c>
      <c r="E949" s="187" t="s">
        <v>3608</v>
      </c>
      <c r="F949" s="507">
        <f>SUMIFS(Controle!$R:$R,Controle!$H:$H,produtos_escape2!$A949,Controle!$Z:$Z,"1")</f>
        <v>0</v>
      </c>
      <c r="G949" s="507">
        <f>SUMIFS(Controle!$R:$R,Controle!$H:$H,produtos_escape2!$A949,Controle!$Z:$Z,"2")</f>
        <v>0</v>
      </c>
      <c r="H949" s="507">
        <f>SUMIFS(Controle!$R:$R,Controle!$H:$H,produtos_escape2!$A949,Controle!$Z:$Z,"3")</f>
        <v>0</v>
      </c>
      <c r="I949" s="507">
        <f>SUMIFS(Controle!$R:$R,Controle!$H:$H,produtos_escape2!$A949,Controle!$Z:$Z,"4")</f>
        <v>0</v>
      </c>
      <c r="J949" s="507">
        <f>SUMIFS(Controle!$R:$R,Controle!$H:$H,produtos_escape2!$A949,Controle!$Z:$Z,"5")</f>
        <v>0</v>
      </c>
      <c r="K949" s="507">
        <f>SUMIFS(Controle!$R:$R,Controle!$H:$H,produtos_escape2!$A949,Controle!$Z:$Z,"6")</f>
        <v>0</v>
      </c>
      <c r="L949" s="507">
        <f t="shared" si="31"/>
        <v>0</v>
      </c>
      <c r="M949" s="381" t="s">
        <v>5033</v>
      </c>
      <c r="AF949" s="84"/>
    </row>
    <row r="950" spans="1:32" s="185" customFormat="1" ht="14.25" customHeight="1" thickBot="1">
      <c r="A950" s="353">
        <v>24925</v>
      </c>
      <c r="B950" s="194" t="s">
        <v>3507</v>
      </c>
      <c r="C950" s="339">
        <f t="shared" si="32"/>
        <v>50000</v>
      </c>
      <c r="D950" s="196" t="s">
        <v>628</v>
      </c>
      <c r="E950" s="187" t="s">
        <v>3608</v>
      </c>
      <c r="F950" s="507">
        <f>SUMIFS(Controle!$R:$R,Controle!$H:$H,produtos_escape2!$A950,Controle!$Z:$Z,"1")</f>
        <v>0</v>
      </c>
      <c r="G950" s="507">
        <f>SUMIFS(Controle!$R:$R,Controle!$H:$H,produtos_escape2!$A950,Controle!$Z:$Z,"2")</f>
        <v>0</v>
      </c>
      <c r="H950" s="507">
        <f>SUMIFS(Controle!$R:$R,Controle!$H:$H,produtos_escape2!$A950,Controle!$Z:$Z,"3")</f>
        <v>0</v>
      </c>
      <c r="I950" s="507">
        <f>SUMIFS(Controle!$R:$R,Controle!$H:$H,produtos_escape2!$A950,Controle!$Z:$Z,"4")</f>
        <v>0</v>
      </c>
      <c r="J950" s="507">
        <f>SUMIFS(Controle!$R:$R,Controle!$H:$H,produtos_escape2!$A950,Controle!$Z:$Z,"5")</f>
        <v>0</v>
      </c>
      <c r="K950" s="507">
        <f>SUMIFS(Controle!$R:$R,Controle!$H:$H,produtos_escape2!$A950,Controle!$Z:$Z,"6")</f>
        <v>0</v>
      </c>
      <c r="L950" s="507">
        <f t="shared" si="31"/>
        <v>0</v>
      </c>
      <c r="M950" s="381" t="s">
        <v>5034</v>
      </c>
      <c r="AF950" s="84"/>
    </row>
    <row r="951" spans="1:32" s="185" customFormat="1" ht="14.25" customHeight="1" thickBot="1">
      <c r="A951" s="333">
        <v>24926</v>
      </c>
      <c r="B951" s="194" t="s">
        <v>3992</v>
      </c>
      <c r="C951" s="339">
        <f t="shared" si="32"/>
        <v>50000</v>
      </c>
      <c r="D951" s="196" t="s">
        <v>628</v>
      </c>
      <c r="E951" s="187" t="s">
        <v>3608</v>
      </c>
      <c r="F951" s="507">
        <f>SUMIFS(Controle!$R:$R,Controle!$H:$H,produtos_escape2!$A951,Controle!$Z:$Z,"1")</f>
        <v>0</v>
      </c>
      <c r="G951" s="507">
        <f>SUMIFS(Controle!$R:$R,Controle!$H:$H,produtos_escape2!$A951,Controle!$Z:$Z,"2")</f>
        <v>0</v>
      </c>
      <c r="H951" s="507">
        <f>SUMIFS(Controle!$R:$R,Controle!$H:$H,produtos_escape2!$A951,Controle!$Z:$Z,"3")</f>
        <v>0</v>
      </c>
      <c r="I951" s="507">
        <f>SUMIFS(Controle!$R:$R,Controle!$H:$H,produtos_escape2!$A951,Controle!$Z:$Z,"4")</f>
        <v>0</v>
      </c>
      <c r="J951" s="507">
        <f>SUMIFS(Controle!$R:$R,Controle!$H:$H,produtos_escape2!$A951,Controle!$Z:$Z,"5")</f>
        <v>0</v>
      </c>
      <c r="K951" s="507">
        <f>SUMIFS(Controle!$R:$R,Controle!$H:$H,produtos_escape2!$A951,Controle!$Z:$Z,"6")</f>
        <v>0</v>
      </c>
      <c r="L951" s="507">
        <f t="shared" si="31"/>
        <v>0</v>
      </c>
      <c r="M951" s="381" t="s">
        <v>5035</v>
      </c>
      <c r="AF951" s="84"/>
    </row>
    <row r="952" spans="1:32" s="185" customFormat="1" ht="14.25" customHeight="1" thickBot="1">
      <c r="A952" s="353">
        <v>24927</v>
      </c>
      <c r="B952" s="194" t="s">
        <v>2628</v>
      </c>
      <c r="C952" s="339">
        <f t="shared" si="32"/>
        <v>50000</v>
      </c>
      <c r="D952" s="196" t="s">
        <v>628</v>
      </c>
      <c r="E952" s="187" t="s">
        <v>3608</v>
      </c>
      <c r="F952" s="507">
        <f>SUMIFS(Controle!$R:$R,Controle!$H:$H,produtos_escape2!$A952,Controle!$Z:$Z,"1")</f>
        <v>0</v>
      </c>
      <c r="G952" s="507">
        <f>SUMIFS(Controle!$R:$R,Controle!$H:$H,produtos_escape2!$A952,Controle!$Z:$Z,"2")</f>
        <v>0</v>
      </c>
      <c r="H952" s="507">
        <f>SUMIFS(Controle!$R:$R,Controle!$H:$H,produtos_escape2!$A952,Controle!$Z:$Z,"3")</f>
        <v>0</v>
      </c>
      <c r="I952" s="507">
        <f>SUMIFS(Controle!$R:$R,Controle!$H:$H,produtos_escape2!$A952,Controle!$Z:$Z,"4")</f>
        <v>0</v>
      </c>
      <c r="J952" s="507">
        <f>SUMIFS(Controle!$R:$R,Controle!$H:$H,produtos_escape2!$A952,Controle!$Z:$Z,"5")</f>
        <v>0</v>
      </c>
      <c r="K952" s="507">
        <f>SUMIFS(Controle!$R:$R,Controle!$H:$H,produtos_escape2!$A952,Controle!$Z:$Z,"6")</f>
        <v>0</v>
      </c>
      <c r="L952" s="507">
        <f t="shared" si="31"/>
        <v>0</v>
      </c>
      <c r="M952" s="381" t="s">
        <v>5036</v>
      </c>
      <c r="AF952" s="84"/>
    </row>
    <row r="953" spans="1:32" s="185" customFormat="1" ht="14.25" customHeight="1" thickBot="1">
      <c r="A953" s="353">
        <v>24933</v>
      </c>
      <c r="B953" s="194" t="s">
        <v>8887</v>
      </c>
      <c r="C953" s="339">
        <f t="shared" si="32"/>
        <v>49110</v>
      </c>
      <c r="D953" s="196" t="s">
        <v>624</v>
      </c>
      <c r="E953" s="187" t="s">
        <v>7207</v>
      </c>
      <c r="F953" s="507">
        <f>SUMIFS(Controle!$R:$R,Controle!$H:$H,produtos_escape2!$A953,Controle!$Z:$Z,"1")</f>
        <v>0</v>
      </c>
      <c r="G953" s="507">
        <f>SUMIFS(Controle!$R:$R,Controle!$H:$H,produtos_escape2!$A953,Controle!$Z:$Z,"2")</f>
        <v>0</v>
      </c>
      <c r="H953" s="507">
        <f>SUMIFS(Controle!$R:$R,Controle!$H:$H,produtos_escape2!$A953,Controle!$Z:$Z,"3")</f>
        <v>0</v>
      </c>
      <c r="I953" s="507">
        <f>SUMIFS(Controle!$R:$R,Controle!$H:$H,produtos_escape2!$A953,Controle!$Z:$Z,"4")</f>
        <v>890</v>
      </c>
      <c r="J953" s="507">
        <f>SUMIFS(Controle!$R:$R,Controle!$H:$H,produtos_escape2!$A953,Controle!$Z:$Z,"5")</f>
        <v>0</v>
      </c>
      <c r="K953" s="507">
        <f>SUMIFS(Controle!$R:$R,Controle!$H:$H,produtos_escape2!$A953,Controle!$Z:$Z,"6")</f>
        <v>0</v>
      </c>
      <c r="L953" s="507">
        <f t="shared" si="31"/>
        <v>890</v>
      </c>
      <c r="M953" s="381" t="s">
        <v>5200</v>
      </c>
      <c r="AF953" s="84"/>
    </row>
    <row r="954" spans="1:32" s="185" customFormat="1" ht="14.25" customHeight="1" thickBot="1">
      <c r="A954" s="353">
        <v>24934</v>
      </c>
      <c r="B954" s="194" t="s">
        <v>8494</v>
      </c>
      <c r="C954" s="339">
        <f t="shared" si="32"/>
        <v>49212.5</v>
      </c>
      <c r="D954" s="196" t="s">
        <v>1093</v>
      </c>
      <c r="E954" s="187" t="s">
        <v>7207</v>
      </c>
      <c r="F954" s="507">
        <f>SUMIFS(Controle!$R:$R,Controle!$H:$H,produtos_escape2!$A954,Controle!$Z:$Z,"1")</f>
        <v>0</v>
      </c>
      <c r="G954" s="507">
        <f>SUMIFS(Controle!$R:$R,Controle!$H:$H,produtos_escape2!$A954,Controle!$Z:$Z,"2")</f>
        <v>0</v>
      </c>
      <c r="H954" s="507">
        <f>SUMIFS(Controle!$R:$R,Controle!$H:$H,produtos_escape2!$A954,Controle!$Z:$Z,"3")</f>
        <v>337.5</v>
      </c>
      <c r="I954" s="507">
        <f>SUMIFS(Controle!$R:$R,Controle!$H:$H,produtos_escape2!$A954,Controle!$Z:$Z,"4")</f>
        <v>450</v>
      </c>
      <c r="J954" s="507">
        <f>SUMIFS(Controle!$R:$R,Controle!$H:$H,produtos_escape2!$A954,Controle!$Z:$Z,"5")</f>
        <v>0</v>
      </c>
      <c r="K954" s="507">
        <f>SUMIFS(Controle!$R:$R,Controle!$H:$H,produtos_escape2!$A954,Controle!$Z:$Z,"6")</f>
        <v>0</v>
      </c>
      <c r="L954" s="507">
        <f t="shared" si="31"/>
        <v>787.5</v>
      </c>
      <c r="M954" s="381" t="s">
        <v>8495</v>
      </c>
      <c r="AF954" s="84"/>
    </row>
    <row r="955" spans="1:32" s="185" customFormat="1" ht="14.25" customHeight="1" thickBot="1">
      <c r="A955" s="353">
        <v>24968</v>
      </c>
      <c r="B955" s="194" t="s">
        <v>6807</v>
      </c>
      <c r="C955" s="339">
        <f t="shared" si="32"/>
        <v>40200</v>
      </c>
      <c r="D955" s="196" t="s">
        <v>624</v>
      </c>
      <c r="E955" s="187" t="s">
        <v>3608</v>
      </c>
      <c r="F955" s="507">
        <f>SUMIFS(Controle!$R:$R,Controle!$H:$H,produtos_escape2!$A955,Controle!$Z:$Z,"1")</f>
        <v>4200</v>
      </c>
      <c r="G955" s="507">
        <f>SUMIFS(Controle!$R:$R,Controle!$H:$H,produtos_escape2!$A955,Controle!$Z:$Z,"2")</f>
        <v>5600</v>
      </c>
      <c r="H955" s="507">
        <f>SUMIFS(Controle!$R:$R,Controle!$H:$H,produtos_escape2!$A955,Controle!$Z:$Z,"3")</f>
        <v>0</v>
      </c>
      <c r="I955" s="507">
        <f>SUMIFS(Controle!$R:$R,Controle!$H:$H,produtos_escape2!$A955,Controle!$Z:$Z,"4")</f>
        <v>0</v>
      </c>
      <c r="J955" s="507">
        <f>SUMIFS(Controle!$R:$R,Controle!$H:$H,produtos_escape2!$A955,Controle!$Z:$Z,"5")</f>
        <v>0</v>
      </c>
      <c r="K955" s="507">
        <f>SUMIFS(Controle!$R:$R,Controle!$H:$H,produtos_escape2!$A955,Controle!$Z:$Z,"6")</f>
        <v>0</v>
      </c>
      <c r="L955" s="507">
        <f t="shared" si="31"/>
        <v>9800</v>
      </c>
      <c r="M955" s="381" t="s">
        <v>7370</v>
      </c>
      <c r="AF955" s="84"/>
    </row>
    <row r="956" spans="1:32" s="185" customFormat="1" ht="14.25" customHeight="1" thickBot="1">
      <c r="A956" s="353">
        <v>24969</v>
      </c>
      <c r="B956" s="194" t="s">
        <v>242</v>
      </c>
      <c r="C956" s="339">
        <f t="shared" si="32"/>
        <v>50000</v>
      </c>
      <c r="D956" s="196" t="s">
        <v>628</v>
      </c>
      <c r="E956" s="187" t="s">
        <v>3608</v>
      </c>
      <c r="F956" s="507">
        <f>SUMIFS(Controle!$R:$R,Controle!$H:$H,produtos_escape2!$A956,Controle!$Z:$Z,"1")</f>
        <v>0</v>
      </c>
      <c r="G956" s="507">
        <f>SUMIFS(Controle!$R:$R,Controle!$H:$H,produtos_escape2!$A956,Controle!$Z:$Z,"2")</f>
        <v>0</v>
      </c>
      <c r="H956" s="507">
        <f>SUMIFS(Controle!$R:$R,Controle!$H:$H,produtos_escape2!$A956,Controle!$Z:$Z,"3")</f>
        <v>0</v>
      </c>
      <c r="I956" s="507">
        <f>SUMIFS(Controle!$R:$R,Controle!$H:$H,produtos_escape2!$A956,Controle!$Z:$Z,"4")</f>
        <v>0</v>
      </c>
      <c r="J956" s="507">
        <f>SUMIFS(Controle!$R:$R,Controle!$H:$H,produtos_escape2!$A956,Controle!$Z:$Z,"5")</f>
        <v>0</v>
      </c>
      <c r="K956" s="507">
        <f>SUMIFS(Controle!$R:$R,Controle!$H:$H,produtos_escape2!$A956,Controle!$Z:$Z,"6")</f>
        <v>0</v>
      </c>
      <c r="L956" s="507">
        <f t="shared" si="31"/>
        <v>0</v>
      </c>
      <c r="M956" s="381" t="s">
        <v>5037</v>
      </c>
      <c r="AF956" s="84"/>
    </row>
    <row r="957" spans="1:32" s="185" customFormat="1" ht="14.25" customHeight="1" thickBot="1">
      <c r="A957" s="353">
        <v>24970</v>
      </c>
      <c r="B957" s="194" t="s">
        <v>248</v>
      </c>
      <c r="C957" s="339">
        <f t="shared" si="32"/>
        <v>50000</v>
      </c>
      <c r="D957" s="196"/>
      <c r="E957" s="187"/>
      <c r="F957" s="507">
        <f>SUMIFS(Controle!$R:$R,Controle!$H:$H,produtos_escape2!$A957,Controle!$Z:$Z,"1")</f>
        <v>0</v>
      </c>
      <c r="G957" s="507">
        <f>SUMIFS(Controle!$R:$R,Controle!$H:$H,produtos_escape2!$A957,Controle!$Z:$Z,"2")</f>
        <v>0</v>
      </c>
      <c r="H957" s="507">
        <f>SUMIFS(Controle!$R:$R,Controle!$H:$H,produtos_escape2!$A957,Controle!$Z:$Z,"3")</f>
        <v>0</v>
      </c>
      <c r="I957" s="507">
        <f>SUMIFS(Controle!$R:$R,Controle!$H:$H,produtos_escape2!$A957,Controle!$Z:$Z,"4")</f>
        <v>0</v>
      </c>
      <c r="J957" s="507">
        <f>SUMIFS(Controle!$R:$R,Controle!$H:$H,produtos_escape2!$A957,Controle!$Z:$Z,"5")</f>
        <v>0</v>
      </c>
      <c r="K957" s="507">
        <f>SUMIFS(Controle!$R:$R,Controle!$H:$H,produtos_escape2!$A957,Controle!$Z:$Z,"6")</f>
        <v>0</v>
      </c>
      <c r="L957" s="507">
        <f t="shared" si="31"/>
        <v>0</v>
      </c>
      <c r="M957" s="381" t="s">
        <v>5038</v>
      </c>
      <c r="AF957" s="84"/>
    </row>
    <row r="958" spans="1:32" s="185" customFormat="1" ht="14.25" customHeight="1" thickBot="1">
      <c r="A958" s="353">
        <v>24972</v>
      </c>
      <c r="B958" s="338" t="s">
        <v>497</v>
      </c>
      <c r="C958" s="339">
        <f t="shared" si="32"/>
        <v>50000</v>
      </c>
      <c r="D958" s="196" t="s">
        <v>628</v>
      </c>
      <c r="E958" s="187" t="s">
        <v>3608</v>
      </c>
      <c r="F958" s="507">
        <f>SUMIFS(Controle!$R:$R,Controle!$H:$H,produtos_escape2!$A958,Controle!$Z:$Z,"1")</f>
        <v>0</v>
      </c>
      <c r="G958" s="507">
        <f>SUMIFS(Controle!$R:$R,Controle!$H:$H,produtos_escape2!$A958,Controle!$Z:$Z,"2")</f>
        <v>0</v>
      </c>
      <c r="H958" s="507">
        <f>SUMIFS(Controle!$R:$R,Controle!$H:$H,produtos_escape2!$A958,Controle!$Z:$Z,"3")</f>
        <v>0</v>
      </c>
      <c r="I958" s="507">
        <f>SUMIFS(Controle!$R:$R,Controle!$H:$H,produtos_escape2!$A958,Controle!$Z:$Z,"4")</f>
        <v>0</v>
      </c>
      <c r="J958" s="507">
        <f>SUMIFS(Controle!$R:$R,Controle!$H:$H,produtos_escape2!$A958,Controle!$Z:$Z,"5")</f>
        <v>0</v>
      </c>
      <c r="K958" s="507">
        <f>SUMIFS(Controle!$R:$R,Controle!$H:$H,produtos_escape2!$A958,Controle!$Z:$Z,"6")</f>
        <v>0</v>
      </c>
      <c r="L958" s="507">
        <f t="shared" si="31"/>
        <v>0</v>
      </c>
      <c r="M958" s="381" t="s">
        <v>497</v>
      </c>
      <c r="AF958" s="84"/>
    </row>
    <row r="959" spans="1:32" s="185" customFormat="1" ht="14.25" customHeight="1" thickBot="1">
      <c r="A959" s="353">
        <v>24973</v>
      </c>
      <c r="B959" s="194" t="s">
        <v>121</v>
      </c>
      <c r="C959" s="339">
        <f t="shared" si="32"/>
        <v>50000</v>
      </c>
      <c r="D959" s="196" t="s">
        <v>896</v>
      </c>
      <c r="E959" s="187" t="s">
        <v>3608</v>
      </c>
      <c r="F959" s="507">
        <f>SUMIFS(Controle!$R:$R,Controle!$H:$H,produtos_escape2!$A959,Controle!$Z:$Z,"1")</f>
        <v>0</v>
      </c>
      <c r="G959" s="507">
        <f>SUMIFS(Controle!$R:$R,Controle!$H:$H,produtos_escape2!$A959,Controle!$Z:$Z,"2")</f>
        <v>0</v>
      </c>
      <c r="H959" s="507">
        <f>SUMIFS(Controle!$R:$R,Controle!$H:$H,produtos_escape2!$A959,Controle!$Z:$Z,"3")</f>
        <v>0</v>
      </c>
      <c r="I959" s="507">
        <f>SUMIFS(Controle!$R:$R,Controle!$H:$H,produtos_escape2!$A959,Controle!$Z:$Z,"4")</f>
        <v>0</v>
      </c>
      <c r="J959" s="507">
        <f>SUMIFS(Controle!$R:$R,Controle!$H:$H,produtos_escape2!$A959,Controle!$Z:$Z,"5")</f>
        <v>0</v>
      </c>
      <c r="K959" s="507">
        <f>SUMIFS(Controle!$R:$R,Controle!$H:$H,produtos_escape2!$A959,Controle!$Z:$Z,"6")</f>
        <v>0</v>
      </c>
      <c r="L959" s="507">
        <f t="shared" ref="L959:L1022" si="33">SUM(F959:K959)</f>
        <v>0</v>
      </c>
      <c r="M959" s="381" t="s">
        <v>121</v>
      </c>
      <c r="AF959" s="84"/>
    </row>
    <row r="960" spans="1:32" s="185" customFormat="1" ht="14.25" customHeight="1" thickBot="1">
      <c r="A960" s="353">
        <v>24981</v>
      </c>
      <c r="B960" s="194" t="s">
        <v>4475</v>
      </c>
      <c r="C960" s="339">
        <f t="shared" si="32"/>
        <v>50000</v>
      </c>
      <c r="D960" s="196" t="s">
        <v>1093</v>
      </c>
      <c r="E960" s="187" t="s">
        <v>7207</v>
      </c>
      <c r="F960" s="507">
        <f>SUMIFS(Controle!$R:$R,Controle!$H:$H,produtos_escape2!$A960,Controle!$Z:$Z,"1")</f>
        <v>0</v>
      </c>
      <c r="G960" s="507">
        <f>SUMIFS(Controle!$R:$R,Controle!$H:$H,produtos_escape2!$A960,Controle!$Z:$Z,"2")</f>
        <v>0</v>
      </c>
      <c r="H960" s="507">
        <f>SUMIFS(Controle!$R:$R,Controle!$H:$H,produtos_escape2!$A960,Controle!$Z:$Z,"3")</f>
        <v>0</v>
      </c>
      <c r="I960" s="507">
        <f>SUMIFS(Controle!$R:$R,Controle!$H:$H,produtos_escape2!$A960,Controle!$Z:$Z,"4")</f>
        <v>0</v>
      </c>
      <c r="J960" s="507">
        <f>SUMIFS(Controle!$R:$R,Controle!$H:$H,produtos_escape2!$A960,Controle!$Z:$Z,"5")</f>
        <v>0</v>
      </c>
      <c r="K960" s="507">
        <f>SUMIFS(Controle!$R:$R,Controle!$H:$H,produtos_escape2!$A960,Controle!$Z:$Z,"6")</f>
        <v>0</v>
      </c>
      <c r="L960" s="507">
        <f t="shared" si="33"/>
        <v>0</v>
      </c>
      <c r="M960" s="381" t="s">
        <v>5039</v>
      </c>
      <c r="AF960" s="84"/>
    </row>
    <row r="961" spans="1:32" s="185" customFormat="1" ht="14.25" customHeight="1" thickBot="1">
      <c r="A961" s="333">
        <v>24982</v>
      </c>
      <c r="B961" s="194" t="s">
        <v>4476</v>
      </c>
      <c r="C961" s="339">
        <f t="shared" si="32"/>
        <v>50000</v>
      </c>
      <c r="D961" s="196" t="s">
        <v>1093</v>
      </c>
      <c r="E961" s="187" t="s">
        <v>7207</v>
      </c>
      <c r="F961" s="507">
        <f>SUMIFS(Controle!$R:$R,Controle!$H:$H,produtos_escape2!$A961,Controle!$Z:$Z,"1")</f>
        <v>0</v>
      </c>
      <c r="G961" s="507">
        <f>SUMIFS(Controle!$R:$R,Controle!$H:$H,produtos_escape2!$A961,Controle!$Z:$Z,"2")</f>
        <v>0</v>
      </c>
      <c r="H961" s="507">
        <f>SUMIFS(Controle!$R:$R,Controle!$H:$H,produtos_escape2!$A961,Controle!$Z:$Z,"3")</f>
        <v>0</v>
      </c>
      <c r="I961" s="507">
        <f>SUMIFS(Controle!$R:$R,Controle!$H:$H,produtos_escape2!$A961,Controle!$Z:$Z,"4")</f>
        <v>0</v>
      </c>
      <c r="J961" s="507">
        <f>SUMIFS(Controle!$R:$R,Controle!$H:$H,produtos_escape2!$A961,Controle!$Z:$Z,"5")</f>
        <v>0</v>
      </c>
      <c r="K961" s="507">
        <f>SUMIFS(Controle!$R:$R,Controle!$H:$H,produtos_escape2!$A961,Controle!$Z:$Z,"6")</f>
        <v>0</v>
      </c>
      <c r="L961" s="507">
        <f t="shared" si="33"/>
        <v>0</v>
      </c>
      <c r="M961" s="381" t="s">
        <v>5039</v>
      </c>
      <c r="AF961" s="84"/>
    </row>
    <row r="962" spans="1:32" s="185" customFormat="1" ht="14.25" customHeight="1" thickBot="1">
      <c r="A962" s="353">
        <v>24983</v>
      </c>
      <c r="B962" s="194" t="s">
        <v>4477</v>
      </c>
      <c r="C962" s="339">
        <f t="shared" si="32"/>
        <v>50000</v>
      </c>
      <c r="D962" s="196" t="s">
        <v>1093</v>
      </c>
      <c r="E962" s="187" t="s">
        <v>7207</v>
      </c>
      <c r="F962" s="507">
        <f>SUMIFS(Controle!$R:$R,Controle!$H:$H,produtos_escape2!$A962,Controle!$Z:$Z,"1")</f>
        <v>0</v>
      </c>
      <c r="G962" s="507">
        <f>SUMIFS(Controle!$R:$R,Controle!$H:$H,produtos_escape2!$A962,Controle!$Z:$Z,"2")</f>
        <v>0</v>
      </c>
      <c r="H962" s="507">
        <f>SUMIFS(Controle!$R:$R,Controle!$H:$H,produtos_escape2!$A962,Controle!$Z:$Z,"3")</f>
        <v>0</v>
      </c>
      <c r="I962" s="507">
        <f>SUMIFS(Controle!$R:$R,Controle!$H:$H,produtos_escape2!$A962,Controle!$Z:$Z,"4")</f>
        <v>0</v>
      </c>
      <c r="J962" s="507">
        <f>SUMIFS(Controle!$R:$R,Controle!$H:$H,produtos_escape2!$A962,Controle!$Z:$Z,"5")</f>
        <v>0</v>
      </c>
      <c r="K962" s="507">
        <f>SUMIFS(Controle!$R:$R,Controle!$H:$H,produtos_escape2!$A962,Controle!$Z:$Z,"6")</f>
        <v>0</v>
      </c>
      <c r="L962" s="507">
        <f t="shared" si="33"/>
        <v>0</v>
      </c>
      <c r="M962" s="381" t="s">
        <v>5039</v>
      </c>
      <c r="AF962" s="84"/>
    </row>
    <row r="963" spans="1:32" s="185" customFormat="1" ht="14.25" customHeight="1" thickBot="1">
      <c r="A963" s="353">
        <v>24984</v>
      </c>
      <c r="B963" s="194" t="s">
        <v>4478</v>
      </c>
      <c r="C963" s="339">
        <f t="shared" si="32"/>
        <v>50000</v>
      </c>
      <c r="D963" s="196" t="s">
        <v>1093</v>
      </c>
      <c r="E963" s="187" t="s">
        <v>7207</v>
      </c>
      <c r="F963" s="507">
        <f>SUMIFS(Controle!$R:$R,Controle!$H:$H,produtos_escape2!$A963,Controle!$Z:$Z,"1")</f>
        <v>0</v>
      </c>
      <c r="G963" s="507">
        <f>SUMIFS(Controle!$R:$R,Controle!$H:$H,produtos_escape2!$A963,Controle!$Z:$Z,"2")</f>
        <v>0</v>
      </c>
      <c r="H963" s="507">
        <f>SUMIFS(Controle!$R:$R,Controle!$H:$H,produtos_escape2!$A963,Controle!$Z:$Z,"3")</f>
        <v>0</v>
      </c>
      <c r="I963" s="507">
        <f>SUMIFS(Controle!$R:$R,Controle!$H:$H,produtos_escape2!$A963,Controle!$Z:$Z,"4")</f>
        <v>0</v>
      </c>
      <c r="J963" s="507">
        <f>SUMIFS(Controle!$R:$R,Controle!$H:$H,produtos_escape2!$A963,Controle!$Z:$Z,"5")</f>
        <v>0</v>
      </c>
      <c r="K963" s="507">
        <f>SUMIFS(Controle!$R:$R,Controle!$H:$H,produtos_escape2!$A963,Controle!$Z:$Z,"6")</f>
        <v>0</v>
      </c>
      <c r="L963" s="507">
        <f t="shared" si="33"/>
        <v>0</v>
      </c>
      <c r="M963" s="381" t="s">
        <v>5039</v>
      </c>
      <c r="AF963" s="84"/>
    </row>
    <row r="964" spans="1:32" s="185" customFormat="1" ht="14.25" customHeight="1" thickBot="1">
      <c r="A964" s="353">
        <v>24985</v>
      </c>
      <c r="B964" s="194" t="s">
        <v>4479</v>
      </c>
      <c r="C964" s="339">
        <f t="shared" si="32"/>
        <v>50000</v>
      </c>
      <c r="D964" s="196" t="s">
        <v>1093</v>
      </c>
      <c r="E964" s="187" t="s">
        <v>7207</v>
      </c>
      <c r="F964" s="507">
        <f>SUMIFS(Controle!$R:$R,Controle!$H:$H,produtos_escape2!$A964,Controle!$Z:$Z,"1")</f>
        <v>0</v>
      </c>
      <c r="G964" s="507">
        <f>SUMIFS(Controle!$R:$R,Controle!$H:$H,produtos_escape2!$A964,Controle!$Z:$Z,"2")</f>
        <v>0</v>
      </c>
      <c r="H964" s="507">
        <f>SUMIFS(Controle!$R:$R,Controle!$H:$H,produtos_escape2!$A964,Controle!$Z:$Z,"3")</f>
        <v>0</v>
      </c>
      <c r="I964" s="507">
        <f>SUMIFS(Controle!$R:$R,Controle!$H:$H,produtos_escape2!$A964,Controle!$Z:$Z,"4")</f>
        <v>0</v>
      </c>
      <c r="J964" s="507">
        <f>SUMIFS(Controle!$R:$R,Controle!$H:$H,produtos_escape2!$A964,Controle!$Z:$Z,"5")</f>
        <v>0</v>
      </c>
      <c r="K964" s="507">
        <f>SUMIFS(Controle!$R:$R,Controle!$H:$H,produtos_escape2!$A964,Controle!$Z:$Z,"6")</f>
        <v>0</v>
      </c>
      <c r="L964" s="507">
        <f t="shared" si="33"/>
        <v>0</v>
      </c>
      <c r="M964" s="381" t="s">
        <v>5039</v>
      </c>
      <c r="AF964" s="84"/>
    </row>
    <row r="965" spans="1:32" s="185" customFormat="1" ht="14.25" customHeight="1" thickBot="1">
      <c r="A965" s="353">
        <v>24986</v>
      </c>
      <c r="B965" s="194" t="s">
        <v>4480</v>
      </c>
      <c r="C965" s="339">
        <f t="shared" ref="C965:C1028" si="34">50000-SUM(F965:K965)</f>
        <v>50000</v>
      </c>
      <c r="D965" s="196" t="s">
        <v>1093</v>
      </c>
      <c r="E965" s="187" t="s">
        <v>7207</v>
      </c>
      <c r="F965" s="507">
        <f>SUMIFS(Controle!$R:$R,Controle!$H:$H,produtos_escape2!$A965,Controle!$Z:$Z,"1")</f>
        <v>0</v>
      </c>
      <c r="G965" s="507">
        <f>SUMIFS(Controle!$R:$R,Controle!$H:$H,produtos_escape2!$A965,Controle!$Z:$Z,"2")</f>
        <v>0</v>
      </c>
      <c r="H965" s="507">
        <f>SUMIFS(Controle!$R:$R,Controle!$H:$H,produtos_escape2!$A965,Controle!$Z:$Z,"3")</f>
        <v>0</v>
      </c>
      <c r="I965" s="507">
        <f>SUMIFS(Controle!$R:$R,Controle!$H:$H,produtos_escape2!$A965,Controle!$Z:$Z,"4")</f>
        <v>0</v>
      </c>
      <c r="J965" s="507">
        <f>SUMIFS(Controle!$R:$R,Controle!$H:$H,produtos_escape2!$A965,Controle!$Z:$Z,"5")</f>
        <v>0</v>
      </c>
      <c r="K965" s="507">
        <f>SUMIFS(Controle!$R:$R,Controle!$H:$H,produtos_escape2!$A965,Controle!$Z:$Z,"6")</f>
        <v>0</v>
      </c>
      <c r="L965" s="507">
        <f t="shared" si="33"/>
        <v>0</v>
      </c>
      <c r="M965" s="381" t="s">
        <v>5039</v>
      </c>
      <c r="AF965" s="84"/>
    </row>
    <row r="966" spans="1:32" s="185" customFormat="1" ht="14.25" customHeight="1" thickBot="1">
      <c r="A966" s="353">
        <v>24987</v>
      </c>
      <c r="B966" s="338" t="s">
        <v>4481</v>
      </c>
      <c r="C966" s="339">
        <f t="shared" si="34"/>
        <v>50000</v>
      </c>
      <c r="D966" s="196" t="s">
        <v>1093</v>
      </c>
      <c r="E966" s="187" t="s">
        <v>7207</v>
      </c>
      <c r="F966" s="507">
        <f>SUMIFS(Controle!$R:$R,Controle!$H:$H,produtos_escape2!$A966,Controle!$Z:$Z,"1")</f>
        <v>0</v>
      </c>
      <c r="G966" s="507">
        <f>SUMIFS(Controle!$R:$R,Controle!$H:$H,produtos_escape2!$A966,Controle!$Z:$Z,"2")</f>
        <v>0</v>
      </c>
      <c r="H966" s="507">
        <f>SUMIFS(Controle!$R:$R,Controle!$H:$H,produtos_escape2!$A966,Controle!$Z:$Z,"3")</f>
        <v>0</v>
      </c>
      <c r="I966" s="507">
        <f>SUMIFS(Controle!$R:$R,Controle!$H:$H,produtos_escape2!$A966,Controle!$Z:$Z,"4")</f>
        <v>0</v>
      </c>
      <c r="J966" s="507">
        <f>SUMIFS(Controle!$R:$R,Controle!$H:$H,produtos_escape2!$A966,Controle!$Z:$Z,"5")</f>
        <v>0</v>
      </c>
      <c r="K966" s="507">
        <f>SUMIFS(Controle!$R:$R,Controle!$H:$H,produtos_escape2!$A966,Controle!$Z:$Z,"6")</f>
        <v>0</v>
      </c>
      <c r="L966" s="507">
        <f t="shared" si="33"/>
        <v>0</v>
      </c>
      <c r="M966" s="381" t="s">
        <v>5039</v>
      </c>
      <c r="AF966" s="84"/>
    </row>
    <row r="967" spans="1:32" s="185" customFormat="1" ht="14.25" customHeight="1" thickBot="1">
      <c r="A967" s="353">
        <v>24988</v>
      </c>
      <c r="B967" s="194" t="s">
        <v>4482</v>
      </c>
      <c r="C967" s="339">
        <f t="shared" si="34"/>
        <v>50000</v>
      </c>
      <c r="D967" s="196" t="s">
        <v>1093</v>
      </c>
      <c r="E967" s="187" t="s">
        <v>7207</v>
      </c>
      <c r="F967" s="507">
        <f>SUMIFS(Controle!$R:$R,Controle!$H:$H,produtos_escape2!$A967,Controle!$Z:$Z,"1")</f>
        <v>0</v>
      </c>
      <c r="G967" s="507">
        <f>SUMIFS(Controle!$R:$R,Controle!$H:$H,produtos_escape2!$A967,Controle!$Z:$Z,"2")</f>
        <v>0</v>
      </c>
      <c r="H967" s="507">
        <f>SUMIFS(Controle!$R:$R,Controle!$H:$H,produtos_escape2!$A967,Controle!$Z:$Z,"3")</f>
        <v>0</v>
      </c>
      <c r="I967" s="507">
        <f>SUMIFS(Controle!$R:$R,Controle!$H:$H,produtos_escape2!$A967,Controle!$Z:$Z,"4")</f>
        <v>0</v>
      </c>
      <c r="J967" s="507">
        <f>SUMIFS(Controle!$R:$R,Controle!$H:$H,produtos_escape2!$A967,Controle!$Z:$Z,"5")</f>
        <v>0</v>
      </c>
      <c r="K967" s="507">
        <f>SUMIFS(Controle!$R:$R,Controle!$H:$H,produtos_escape2!$A967,Controle!$Z:$Z,"6")</f>
        <v>0</v>
      </c>
      <c r="L967" s="507">
        <f t="shared" si="33"/>
        <v>0</v>
      </c>
      <c r="M967" s="381" t="s">
        <v>5039</v>
      </c>
      <c r="AF967" s="84"/>
    </row>
    <row r="968" spans="1:32" s="185" customFormat="1" ht="14.25" customHeight="1" thickBot="1">
      <c r="A968" s="353">
        <v>24989</v>
      </c>
      <c r="B968" s="194" t="s">
        <v>4483</v>
      </c>
      <c r="C968" s="339">
        <f t="shared" si="34"/>
        <v>50000</v>
      </c>
      <c r="D968" s="196" t="s">
        <v>1093</v>
      </c>
      <c r="E968" s="187" t="s">
        <v>7207</v>
      </c>
      <c r="F968" s="507">
        <f>SUMIFS(Controle!$R:$R,Controle!$H:$H,produtos_escape2!$A968,Controle!$Z:$Z,"1")</f>
        <v>0</v>
      </c>
      <c r="G968" s="507">
        <f>SUMIFS(Controle!$R:$R,Controle!$H:$H,produtos_escape2!$A968,Controle!$Z:$Z,"2")</f>
        <v>0</v>
      </c>
      <c r="H968" s="507">
        <f>SUMIFS(Controle!$R:$R,Controle!$H:$H,produtos_escape2!$A968,Controle!$Z:$Z,"3")</f>
        <v>0</v>
      </c>
      <c r="I968" s="507">
        <f>SUMIFS(Controle!$R:$R,Controle!$H:$H,produtos_escape2!$A968,Controle!$Z:$Z,"4")</f>
        <v>0</v>
      </c>
      <c r="J968" s="507">
        <f>SUMIFS(Controle!$R:$R,Controle!$H:$H,produtos_escape2!$A968,Controle!$Z:$Z,"5")</f>
        <v>0</v>
      </c>
      <c r="K968" s="507">
        <f>SUMIFS(Controle!$R:$R,Controle!$H:$H,produtos_escape2!$A968,Controle!$Z:$Z,"6")</f>
        <v>0</v>
      </c>
      <c r="L968" s="507">
        <f t="shared" si="33"/>
        <v>0</v>
      </c>
      <c r="M968" s="381" t="s">
        <v>5039</v>
      </c>
      <c r="AF968" s="84"/>
    </row>
    <row r="969" spans="1:32" s="185" customFormat="1" ht="14.25" customHeight="1" thickBot="1">
      <c r="A969" s="333">
        <v>24995</v>
      </c>
      <c r="B969" s="194" t="s">
        <v>2996</v>
      </c>
      <c r="C969" s="339">
        <f t="shared" si="34"/>
        <v>50000</v>
      </c>
      <c r="D969" s="196" t="s">
        <v>624</v>
      </c>
      <c r="E969" s="187" t="s">
        <v>7207</v>
      </c>
      <c r="F969" s="507">
        <f>SUMIFS(Controle!$R:$R,Controle!$H:$H,produtos_escape2!$A969,Controle!$Z:$Z,"1")</f>
        <v>0</v>
      </c>
      <c r="G969" s="507">
        <f>SUMIFS(Controle!$R:$R,Controle!$H:$H,produtos_escape2!$A969,Controle!$Z:$Z,"2")</f>
        <v>0</v>
      </c>
      <c r="H969" s="507">
        <f>SUMIFS(Controle!$R:$R,Controle!$H:$H,produtos_escape2!$A969,Controle!$Z:$Z,"3")</f>
        <v>0</v>
      </c>
      <c r="I969" s="507">
        <f>SUMIFS(Controle!$R:$R,Controle!$H:$H,produtos_escape2!$A969,Controle!$Z:$Z,"4")</f>
        <v>0</v>
      </c>
      <c r="J969" s="507">
        <f>SUMIFS(Controle!$R:$R,Controle!$H:$H,produtos_escape2!$A969,Controle!$Z:$Z,"5")</f>
        <v>0</v>
      </c>
      <c r="K969" s="507">
        <f>SUMIFS(Controle!$R:$R,Controle!$H:$H,produtos_escape2!$A969,Controle!$Z:$Z,"6")</f>
        <v>0</v>
      </c>
      <c r="L969" s="507">
        <f t="shared" si="33"/>
        <v>0</v>
      </c>
      <c r="M969" s="381" t="s">
        <v>4758</v>
      </c>
      <c r="AF969" s="84"/>
    </row>
    <row r="970" spans="1:32" s="185" customFormat="1" ht="14.25" customHeight="1" thickBot="1">
      <c r="A970" s="353">
        <v>24996</v>
      </c>
      <c r="B970" s="194" t="s">
        <v>2997</v>
      </c>
      <c r="C970" s="339">
        <f t="shared" si="34"/>
        <v>50000</v>
      </c>
      <c r="D970" s="196" t="s">
        <v>624</v>
      </c>
      <c r="E970" s="187" t="s">
        <v>7207</v>
      </c>
      <c r="F970" s="507">
        <f>SUMIFS(Controle!$R:$R,Controle!$H:$H,produtos_escape2!$A970,Controle!$Z:$Z,"1")</f>
        <v>0</v>
      </c>
      <c r="G970" s="507">
        <f>SUMIFS(Controle!$R:$R,Controle!$H:$H,produtos_escape2!$A970,Controle!$Z:$Z,"2")</f>
        <v>0</v>
      </c>
      <c r="H970" s="507">
        <f>SUMIFS(Controle!$R:$R,Controle!$H:$H,produtos_escape2!$A970,Controle!$Z:$Z,"3")</f>
        <v>0</v>
      </c>
      <c r="I970" s="507">
        <f>SUMIFS(Controle!$R:$R,Controle!$H:$H,produtos_escape2!$A970,Controle!$Z:$Z,"4")</f>
        <v>0</v>
      </c>
      <c r="J970" s="507">
        <f>SUMIFS(Controle!$R:$R,Controle!$H:$H,produtos_escape2!$A970,Controle!$Z:$Z,"5")</f>
        <v>0</v>
      </c>
      <c r="K970" s="507">
        <f>SUMIFS(Controle!$R:$R,Controle!$H:$H,produtos_escape2!$A970,Controle!$Z:$Z,"6")</f>
        <v>0</v>
      </c>
      <c r="L970" s="507">
        <f t="shared" si="33"/>
        <v>0</v>
      </c>
      <c r="M970" s="381" t="s">
        <v>5040</v>
      </c>
      <c r="AF970" s="84"/>
    </row>
    <row r="971" spans="1:32" s="185" customFormat="1" ht="14.25" customHeight="1" thickBot="1">
      <c r="A971" s="353">
        <v>25003</v>
      </c>
      <c r="B971" s="194" t="s">
        <v>4484</v>
      </c>
      <c r="C971" s="339">
        <f t="shared" si="34"/>
        <v>50000</v>
      </c>
      <c r="D971" s="196" t="s">
        <v>1093</v>
      </c>
      <c r="E971" s="187" t="s">
        <v>7207</v>
      </c>
      <c r="F971" s="507">
        <f>SUMIFS(Controle!$R:$R,Controle!$H:$H,produtos_escape2!$A971,Controle!$Z:$Z,"1")</f>
        <v>0</v>
      </c>
      <c r="G971" s="507">
        <f>SUMIFS(Controle!$R:$R,Controle!$H:$H,produtos_escape2!$A971,Controle!$Z:$Z,"2")</f>
        <v>0</v>
      </c>
      <c r="H971" s="507">
        <f>SUMIFS(Controle!$R:$R,Controle!$H:$H,produtos_escape2!$A971,Controle!$Z:$Z,"3")</f>
        <v>0</v>
      </c>
      <c r="I971" s="507">
        <f>SUMIFS(Controle!$R:$R,Controle!$H:$H,produtos_escape2!$A971,Controle!$Z:$Z,"4")</f>
        <v>0</v>
      </c>
      <c r="J971" s="507">
        <f>SUMIFS(Controle!$R:$R,Controle!$H:$H,produtos_escape2!$A971,Controle!$Z:$Z,"5")</f>
        <v>0</v>
      </c>
      <c r="K971" s="507">
        <f>SUMIFS(Controle!$R:$R,Controle!$H:$H,produtos_escape2!$A971,Controle!$Z:$Z,"6")</f>
        <v>0</v>
      </c>
      <c r="L971" s="507">
        <f t="shared" si="33"/>
        <v>0</v>
      </c>
      <c r="M971" s="381" t="s">
        <v>5041</v>
      </c>
      <c r="AF971" s="84"/>
    </row>
    <row r="972" spans="1:32" s="185" customFormat="1" ht="14.25" customHeight="1" thickBot="1">
      <c r="A972" s="353">
        <v>25004</v>
      </c>
      <c r="B972" s="194" t="s">
        <v>4485</v>
      </c>
      <c r="C972" s="339">
        <f t="shared" si="34"/>
        <v>50000</v>
      </c>
      <c r="D972" s="196" t="s">
        <v>1093</v>
      </c>
      <c r="E972" s="187" t="s">
        <v>7207</v>
      </c>
      <c r="F972" s="507">
        <f>SUMIFS(Controle!$R:$R,Controle!$H:$H,produtos_escape2!$A972,Controle!$Z:$Z,"1")</f>
        <v>0</v>
      </c>
      <c r="G972" s="507">
        <f>SUMIFS(Controle!$R:$R,Controle!$H:$H,produtos_escape2!$A972,Controle!$Z:$Z,"2")</f>
        <v>0</v>
      </c>
      <c r="H972" s="507">
        <f>SUMIFS(Controle!$R:$R,Controle!$H:$H,produtos_escape2!$A972,Controle!$Z:$Z,"3")</f>
        <v>0</v>
      </c>
      <c r="I972" s="507">
        <f>SUMIFS(Controle!$R:$R,Controle!$H:$H,produtos_escape2!$A972,Controle!$Z:$Z,"4")</f>
        <v>0</v>
      </c>
      <c r="J972" s="507">
        <f>SUMIFS(Controle!$R:$R,Controle!$H:$H,produtos_escape2!$A972,Controle!$Z:$Z,"5")</f>
        <v>0</v>
      </c>
      <c r="K972" s="507">
        <f>SUMIFS(Controle!$R:$R,Controle!$H:$H,produtos_escape2!$A972,Controle!$Z:$Z,"6")</f>
        <v>0</v>
      </c>
      <c r="L972" s="507">
        <f t="shared" si="33"/>
        <v>0</v>
      </c>
      <c r="M972" s="381" t="s">
        <v>5041</v>
      </c>
      <c r="AF972" s="84"/>
    </row>
    <row r="973" spans="1:32" s="185" customFormat="1" ht="14.25" customHeight="1" thickBot="1">
      <c r="A973" s="353">
        <v>25005</v>
      </c>
      <c r="B973" s="194" t="s">
        <v>4486</v>
      </c>
      <c r="C973" s="339">
        <f t="shared" si="34"/>
        <v>50000</v>
      </c>
      <c r="D973" s="196" t="s">
        <v>1093</v>
      </c>
      <c r="E973" s="187" t="s">
        <v>7207</v>
      </c>
      <c r="F973" s="507">
        <f>SUMIFS(Controle!$R:$R,Controle!$H:$H,produtos_escape2!$A973,Controle!$Z:$Z,"1")</f>
        <v>0</v>
      </c>
      <c r="G973" s="507">
        <f>SUMIFS(Controle!$R:$R,Controle!$H:$H,produtos_escape2!$A973,Controle!$Z:$Z,"2")</f>
        <v>0</v>
      </c>
      <c r="H973" s="507">
        <f>SUMIFS(Controle!$R:$R,Controle!$H:$H,produtos_escape2!$A973,Controle!$Z:$Z,"3")</f>
        <v>0</v>
      </c>
      <c r="I973" s="507">
        <f>SUMIFS(Controle!$R:$R,Controle!$H:$H,produtos_escape2!$A973,Controle!$Z:$Z,"4")</f>
        <v>0</v>
      </c>
      <c r="J973" s="507">
        <f>SUMIFS(Controle!$R:$R,Controle!$H:$H,produtos_escape2!$A973,Controle!$Z:$Z,"5")</f>
        <v>0</v>
      </c>
      <c r="K973" s="507">
        <f>SUMIFS(Controle!$R:$R,Controle!$H:$H,produtos_escape2!$A973,Controle!$Z:$Z,"6")</f>
        <v>0</v>
      </c>
      <c r="L973" s="507">
        <f t="shared" si="33"/>
        <v>0</v>
      </c>
      <c r="M973" s="381" t="s">
        <v>5041</v>
      </c>
      <c r="AF973" s="84"/>
    </row>
    <row r="974" spans="1:32" s="185" customFormat="1" ht="14.25" customHeight="1" thickBot="1">
      <c r="A974" s="353">
        <v>25006</v>
      </c>
      <c r="B974" s="338" t="s">
        <v>4487</v>
      </c>
      <c r="C974" s="339">
        <f t="shared" si="34"/>
        <v>50000</v>
      </c>
      <c r="D974" s="196" t="s">
        <v>1093</v>
      </c>
      <c r="E974" s="187" t="s">
        <v>7207</v>
      </c>
      <c r="F974" s="507">
        <f>SUMIFS(Controle!$R:$R,Controle!$H:$H,produtos_escape2!$A974,Controle!$Z:$Z,"1")</f>
        <v>0</v>
      </c>
      <c r="G974" s="507">
        <f>SUMIFS(Controle!$R:$R,Controle!$H:$H,produtos_escape2!$A974,Controle!$Z:$Z,"2")</f>
        <v>0</v>
      </c>
      <c r="H974" s="507">
        <f>SUMIFS(Controle!$R:$R,Controle!$H:$H,produtos_escape2!$A974,Controle!$Z:$Z,"3")</f>
        <v>0</v>
      </c>
      <c r="I974" s="507">
        <f>SUMIFS(Controle!$R:$R,Controle!$H:$H,produtos_escape2!$A974,Controle!$Z:$Z,"4")</f>
        <v>0</v>
      </c>
      <c r="J974" s="507">
        <f>SUMIFS(Controle!$R:$R,Controle!$H:$H,produtos_escape2!$A974,Controle!$Z:$Z,"5")</f>
        <v>0</v>
      </c>
      <c r="K974" s="507">
        <f>SUMIFS(Controle!$R:$R,Controle!$H:$H,produtos_escape2!$A974,Controle!$Z:$Z,"6")</f>
        <v>0</v>
      </c>
      <c r="L974" s="507">
        <f t="shared" si="33"/>
        <v>0</v>
      </c>
      <c r="M974" s="381" t="s">
        <v>5041</v>
      </c>
      <c r="AF974" s="84"/>
    </row>
    <row r="975" spans="1:32" s="185" customFormat="1" ht="14.25" customHeight="1" thickBot="1">
      <c r="A975" s="353">
        <v>25007</v>
      </c>
      <c r="B975" s="194" t="s">
        <v>4488</v>
      </c>
      <c r="C975" s="339">
        <f t="shared" si="34"/>
        <v>50000</v>
      </c>
      <c r="D975" s="196" t="s">
        <v>1093</v>
      </c>
      <c r="E975" s="187" t="s">
        <v>7207</v>
      </c>
      <c r="F975" s="507">
        <f>SUMIFS(Controle!$R:$R,Controle!$H:$H,produtos_escape2!$A975,Controle!$Z:$Z,"1")</f>
        <v>0</v>
      </c>
      <c r="G975" s="507">
        <f>SUMIFS(Controle!$R:$R,Controle!$H:$H,produtos_escape2!$A975,Controle!$Z:$Z,"2")</f>
        <v>0</v>
      </c>
      <c r="H975" s="507">
        <f>SUMIFS(Controle!$R:$R,Controle!$H:$H,produtos_escape2!$A975,Controle!$Z:$Z,"3")</f>
        <v>0</v>
      </c>
      <c r="I975" s="507">
        <f>SUMIFS(Controle!$R:$R,Controle!$H:$H,produtos_escape2!$A975,Controle!$Z:$Z,"4")</f>
        <v>0</v>
      </c>
      <c r="J975" s="507">
        <f>SUMIFS(Controle!$R:$R,Controle!$H:$H,produtos_escape2!$A975,Controle!$Z:$Z,"5")</f>
        <v>0</v>
      </c>
      <c r="K975" s="507">
        <f>SUMIFS(Controle!$R:$R,Controle!$H:$H,produtos_escape2!$A975,Controle!$Z:$Z,"6")</f>
        <v>0</v>
      </c>
      <c r="L975" s="507">
        <f t="shared" si="33"/>
        <v>0</v>
      </c>
      <c r="M975" s="381" t="s">
        <v>5041</v>
      </c>
      <c r="AF975" s="84"/>
    </row>
    <row r="976" spans="1:32" s="185" customFormat="1" ht="14.25" customHeight="1" thickBot="1">
      <c r="A976" s="353">
        <v>25008</v>
      </c>
      <c r="B976" s="194" t="s">
        <v>4489</v>
      </c>
      <c r="C976" s="339">
        <f t="shared" si="34"/>
        <v>50000</v>
      </c>
      <c r="D976" s="196" t="s">
        <v>1093</v>
      </c>
      <c r="E976" s="187" t="s">
        <v>7207</v>
      </c>
      <c r="F976" s="507">
        <f>SUMIFS(Controle!$R:$R,Controle!$H:$H,produtos_escape2!$A976,Controle!$Z:$Z,"1")</f>
        <v>0</v>
      </c>
      <c r="G976" s="507">
        <f>SUMIFS(Controle!$R:$R,Controle!$H:$H,produtos_escape2!$A976,Controle!$Z:$Z,"2")</f>
        <v>0</v>
      </c>
      <c r="H976" s="507">
        <f>SUMIFS(Controle!$R:$R,Controle!$H:$H,produtos_escape2!$A976,Controle!$Z:$Z,"3")</f>
        <v>0</v>
      </c>
      <c r="I976" s="507">
        <f>SUMIFS(Controle!$R:$R,Controle!$H:$H,produtos_escape2!$A976,Controle!$Z:$Z,"4")</f>
        <v>0</v>
      </c>
      <c r="J976" s="507">
        <f>SUMIFS(Controle!$R:$R,Controle!$H:$H,produtos_escape2!$A976,Controle!$Z:$Z,"5")</f>
        <v>0</v>
      </c>
      <c r="K976" s="507">
        <f>SUMIFS(Controle!$R:$R,Controle!$H:$H,produtos_escape2!$A976,Controle!$Z:$Z,"6")</f>
        <v>0</v>
      </c>
      <c r="L976" s="507">
        <f t="shared" si="33"/>
        <v>0</v>
      </c>
      <c r="M976" s="381" t="s">
        <v>5041</v>
      </c>
      <c r="AF976" s="84"/>
    </row>
    <row r="977" spans="1:32" s="185" customFormat="1" ht="14.25" customHeight="1" thickBot="1">
      <c r="A977" s="333">
        <v>25009</v>
      </c>
      <c r="B977" s="194" t="s">
        <v>4490</v>
      </c>
      <c r="C977" s="339">
        <f t="shared" si="34"/>
        <v>50000</v>
      </c>
      <c r="D977" s="196" t="s">
        <v>1093</v>
      </c>
      <c r="E977" s="187" t="s">
        <v>7207</v>
      </c>
      <c r="F977" s="507">
        <f>SUMIFS(Controle!$R:$R,Controle!$H:$H,produtos_escape2!$A977,Controle!$Z:$Z,"1")</f>
        <v>0</v>
      </c>
      <c r="G977" s="507">
        <f>SUMIFS(Controle!$R:$R,Controle!$H:$H,produtos_escape2!$A977,Controle!$Z:$Z,"2")</f>
        <v>0</v>
      </c>
      <c r="H977" s="507">
        <f>SUMIFS(Controle!$R:$R,Controle!$H:$H,produtos_escape2!$A977,Controle!$Z:$Z,"3")</f>
        <v>0</v>
      </c>
      <c r="I977" s="507">
        <f>SUMIFS(Controle!$R:$R,Controle!$H:$H,produtos_escape2!$A977,Controle!$Z:$Z,"4")</f>
        <v>0</v>
      </c>
      <c r="J977" s="507">
        <f>SUMIFS(Controle!$R:$R,Controle!$H:$H,produtos_escape2!$A977,Controle!$Z:$Z,"5")</f>
        <v>0</v>
      </c>
      <c r="K977" s="507">
        <f>SUMIFS(Controle!$R:$R,Controle!$H:$H,produtos_escape2!$A977,Controle!$Z:$Z,"6")</f>
        <v>0</v>
      </c>
      <c r="L977" s="507">
        <f t="shared" si="33"/>
        <v>0</v>
      </c>
      <c r="M977" s="381" t="s">
        <v>5041</v>
      </c>
      <c r="AF977" s="84"/>
    </row>
    <row r="978" spans="1:32" s="185" customFormat="1" ht="14.25" customHeight="1" thickBot="1">
      <c r="A978" s="353">
        <v>25010</v>
      </c>
      <c r="B978" s="194" t="s">
        <v>4491</v>
      </c>
      <c r="C978" s="339">
        <f t="shared" si="34"/>
        <v>50000</v>
      </c>
      <c r="D978" s="196" t="s">
        <v>1093</v>
      </c>
      <c r="E978" s="187" t="s">
        <v>7207</v>
      </c>
      <c r="F978" s="507">
        <f>SUMIFS(Controle!$R:$R,Controle!$H:$H,produtos_escape2!$A978,Controle!$Z:$Z,"1")</f>
        <v>0</v>
      </c>
      <c r="G978" s="507">
        <f>SUMIFS(Controle!$R:$R,Controle!$H:$H,produtos_escape2!$A978,Controle!$Z:$Z,"2")</f>
        <v>0</v>
      </c>
      <c r="H978" s="507">
        <f>SUMIFS(Controle!$R:$R,Controle!$H:$H,produtos_escape2!$A978,Controle!$Z:$Z,"3")</f>
        <v>0</v>
      </c>
      <c r="I978" s="507">
        <f>SUMIFS(Controle!$R:$R,Controle!$H:$H,produtos_escape2!$A978,Controle!$Z:$Z,"4")</f>
        <v>0</v>
      </c>
      <c r="J978" s="507">
        <f>SUMIFS(Controle!$R:$R,Controle!$H:$H,produtos_escape2!$A978,Controle!$Z:$Z,"5")</f>
        <v>0</v>
      </c>
      <c r="K978" s="507">
        <f>SUMIFS(Controle!$R:$R,Controle!$H:$H,produtos_escape2!$A978,Controle!$Z:$Z,"6")</f>
        <v>0</v>
      </c>
      <c r="L978" s="507">
        <f t="shared" si="33"/>
        <v>0</v>
      </c>
      <c r="M978" s="381" t="s">
        <v>5041</v>
      </c>
      <c r="AF978" s="84"/>
    </row>
    <row r="979" spans="1:32" s="185" customFormat="1" ht="14.25" customHeight="1" thickBot="1">
      <c r="A979" s="353">
        <v>25011</v>
      </c>
      <c r="B979" s="194" t="s">
        <v>4492</v>
      </c>
      <c r="C979" s="339">
        <f t="shared" si="34"/>
        <v>50000</v>
      </c>
      <c r="D979" s="196" t="s">
        <v>1093</v>
      </c>
      <c r="E979" s="187" t="s">
        <v>7207</v>
      </c>
      <c r="F979" s="507">
        <f>SUMIFS(Controle!$R:$R,Controle!$H:$H,produtos_escape2!$A979,Controle!$Z:$Z,"1")</f>
        <v>0</v>
      </c>
      <c r="G979" s="507">
        <f>SUMIFS(Controle!$R:$R,Controle!$H:$H,produtos_escape2!$A979,Controle!$Z:$Z,"2")</f>
        <v>0</v>
      </c>
      <c r="H979" s="507">
        <f>SUMIFS(Controle!$R:$R,Controle!$H:$H,produtos_escape2!$A979,Controle!$Z:$Z,"3")</f>
        <v>0</v>
      </c>
      <c r="I979" s="507">
        <f>SUMIFS(Controle!$R:$R,Controle!$H:$H,produtos_escape2!$A979,Controle!$Z:$Z,"4")</f>
        <v>0</v>
      </c>
      <c r="J979" s="507">
        <f>SUMIFS(Controle!$R:$R,Controle!$H:$H,produtos_escape2!$A979,Controle!$Z:$Z,"5")</f>
        <v>0</v>
      </c>
      <c r="K979" s="507">
        <f>SUMIFS(Controle!$R:$R,Controle!$H:$H,produtos_escape2!$A979,Controle!$Z:$Z,"6")</f>
        <v>0</v>
      </c>
      <c r="L979" s="507">
        <f t="shared" si="33"/>
        <v>0</v>
      </c>
      <c r="M979" s="381" t="s">
        <v>5041</v>
      </c>
      <c r="AF979" s="84"/>
    </row>
    <row r="980" spans="1:32" s="185" customFormat="1" ht="14.25" customHeight="1" thickBot="1">
      <c r="A980" s="353">
        <v>25056</v>
      </c>
      <c r="B980" s="194" t="s">
        <v>2866</v>
      </c>
      <c r="C980" s="339">
        <f t="shared" si="34"/>
        <v>48539.974999999999</v>
      </c>
      <c r="D980" s="196" t="s">
        <v>624</v>
      </c>
      <c r="E980" s="187" t="s">
        <v>3608</v>
      </c>
      <c r="F980" s="507">
        <f>SUMIFS(Controle!$R:$R,Controle!$H:$H,produtos_escape2!$A980,Controle!$Z:$Z,"1")</f>
        <v>0</v>
      </c>
      <c r="G980" s="507">
        <f>SUMIFS(Controle!$R:$R,Controle!$H:$H,produtos_escape2!$A980,Controle!$Z:$Z,"2")</f>
        <v>1460.0249999999999</v>
      </c>
      <c r="H980" s="507">
        <f>SUMIFS(Controle!$R:$R,Controle!$H:$H,produtos_escape2!$A980,Controle!$Z:$Z,"3")</f>
        <v>0</v>
      </c>
      <c r="I980" s="507">
        <f>SUMIFS(Controle!$R:$R,Controle!$H:$H,produtos_escape2!$A980,Controle!$Z:$Z,"4")</f>
        <v>0</v>
      </c>
      <c r="J980" s="507">
        <f>SUMIFS(Controle!$R:$R,Controle!$H:$H,produtos_escape2!$A980,Controle!$Z:$Z,"5")</f>
        <v>0</v>
      </c>
      <c r="K980" s="507">
        <f>SUMIFS(Controle!$R:$R,Controle!$H:$H,produtos_escape2!$A980,Controle!$Z:$Z,"6")</f>
        <v>0</v>
      </c>
      <c r="L980" s="507">
        <f t="shared" si="33"/>
        <v>1460.0249999999999</v>
      </c>
      <c r="M980" s="381" t="s">
        <v>5042</v>
      </c>
      <c r="AF980" s="84"/>
    </row>
    <row r="981" spans="1:32" s="185" customFormat="1" ht="14.25" customHeight="1" thickBot="1">
      <c r="A981" s="353">
        <v>25057</v>
      </c>
      <c r="B981" s="194" t="s">
        <v>2629</v>
      </c>
      <c r="C981" s="339">
        <f t="shared" si="34"/>
        <v>50000</v>
      </c>
      <c r="D981" s="196" t="s">
        <v>624</v>
      </c>
      <c r="E981" s="187" t="s">
        <v>3608</v>
      </c>
      <c r="F981" s="507">
        <f>SUMIFS(Controle!$R:$R,Controle!$H:$H,produtos_escape2!$A981,Controle!$Z:$Z,"1")</f>
        <v>0</v>
      </c>
      <c r="G981" s="507">
        <f>SUMIFS(Controle!$R:$R,Controle!$H:$H,produtos_escape2!$A981,Controle!$Z:$Z,"2")</f>
        <v>0</v>
      </c>
      <c r="H981" s="507">
        <f>SUMIFS(Controle!$R:$R,Controle!$H:$H,produtos_escape2!$A981,Controle!$Z:$Z,"3")</f>
        <v>0</v>
      </c>
      <c r="I981" s="507">
        <f>SUMIFS(Controle!$R:$R,Controle!$H:$H,produtos_escape2!$A981,Controle!$Z:$Z,"4")</f>
        <v>0</v>
      </c>
      <c r="J981" s="507">
        <f>SUMIFS(Controle!$R:$R,Controle!$H:$H,produtos_escape2!$A981,Controle!$Z:$Z,"5")</f>
        <v>0</v>
      </c>
      <c r="K981" s="507">
        <f>SUMIFS(Controle!$R:$R,Controle!$H:$H,produtos_escape2!$A981,Controle!$Z:$Z,"6")</f>
        <v>0</v>
      </c>
      <c r="L981" s="507">
        <f t="shared" si="33"/>
        <v>0</v>
      </c>
      <c r="M981" s="381" t="s">
        <v>5043</v>
      </c>
      <c r="AF981" s="84"/>
    </row>
    <row r="982" spans="1:32" s="185" customFormat="1" ht="14.25" customHeight="1" thickBot="1">
      <c r="A982" s="353">
        <v>25058</v>
      </c>
      <c r="B982" s="338" t="s">
        <v>494</v>
      </c>
      <c r="C982" s="339">
        <f t="shared" si="34"/>
        <v>50000</v>
      </c>
      <c r="D982" s="196" t="s">
        <v>624</v>
      </c>
      <c r="E982" s="187" t="s">
        <v>3608</v>
      </c>
      <c r="F982" s="507">
        <f>SUMIFS(Controle!$R:$R,Controle!$H:$H,produtos_escape2!$A982,Controle!$Z:$Z,"1")</f>
        <v>0</v>
      </c>
      <c r="G982" s="507">
        <f>SUMIFS(Controle!$R:$R,Controle!$H:$H,produtos_escape2!$A982,Controle!$Z:$Z,"2")</f>
        <v>0</v>
      </c>
      <c r="H982" s="507">
        <f>SUMIFS(Controle!$R:$R,Controle!$H:$H,produtos_escape2!$A982,Controle!$Z:$Z,"3")</f>
        <v>0</v>
      </c>
      <c r="I982" s="507">
        <f>SUMIFS(Controle!$R:$R,Controle!$H:$H,produtos_escape2!$A982,Controle!$Z:$Z,"4")</f>
        <v>0</v>
      </c>
      <c r="J982" s="507">
        <f>SUMIFS(Controle!$R:$R,Controle!$H:$H,produtos_escape2!$A982,Controle!$Z:$Z,"5")</f>
        <v>0</v>
      </c>
      <c r="K982" s="507">
        <f>SUMIFS(Controle!$R:$R,Controle!$H:$H,produtos_escape2!$A982,Controle!$Z:$Z,"6")</f>
        <v>0</v>
      </c>
      <c r="L982" s="507">
        <f t="shared" si="33"/>
        <v>0</v>
      </c>
      <c r="M982" s="381" t="s">
        <v>5044</v>
      </c>
      <c r="AF982" s="84"/>
    </row>
    <row r="983" spans="1:32" s="185" customFormat="1" ht="14.25" customHeight="1" thickBot="1">
      <c r="A983" s="353">
        <v>25060</v>
      </c>
      <c r="B983" s="194" t="s">
        <v>1153</v>
      </c>
      <c r="C983" s="339">
        <f t="shared" si="34"/>
        <v>50000</v>
      </c>
      <c r="D983" s="196" t="s">
        <v>624</v>
      </c>
      <c r="E983" s="187" t="s">
        <v>3608</v>
      </c>
      <c r="F983" s="507">
        <f>SUMIFS(Controle!$R:$R,Controle!$H:$H,produtos_escape2!$A983,Controle!$Z:$Z,"1")</f>
        <v>0</v>
      </c>
      <c r="G983" s="507">
        <f>SUMIFS(Controle!$R:$R,Controle!$H:$H,produtos_escape2!$A983,Controle!$Z:$Z,"2")</f>
        <v>0</v>
      </c>
      <c r="H983" s="507">
        <f>SUMIFS(Controle!$R:$R,Controle!$H:$H,produtos_escape2!$A983,Controle!$Z:$Z,"3")</f>
        <v>0</v>
      </c>
      <c r="I983" s="507">
        <f>SUMIFS(Controle!$R:$R,Controle!$H:$H,produtos_escape2!$A983,Controle!$Z:$Z,"4")</f>
        <v>0</v>
      </c>
      <c r="J983" s="507">
        <f>SUMIFS(Controle!$R:$R,Controle!$H:$H,produtos_escape2!$A983,Controle!$Z:$Z,"5")</f>
        <v>0</v>
      </c>
      <c r="K983" s="507">
        <f>SUMIFS(Controle!$R:$R,Controle!$H:$H,produtos_escape2!$A983,Controle!$Z:$Z,"6")</f>
        <v>0</v>
      </c>
      <c r="L983" s="507">
        <f t="shared" si="33"/>
        <v>0</v>
      </c>
      <c r="M983" s="381" t="s">
        <v>5045</v>
      </c>
      <c r="AF983" s="84"/>
    </row>
    <row r="984" spans="1:32" s="185" customFormat="1" ht="14.25" customHeight="1" thickBot="1">
      <c r="A984" s="353">
        <v>25066</v>
      </c>
      <c r="B984" s="194" t="s">
        <v>5851</v>
      </c>
      <c r="C984" s="339">
        <f t="shared" si="34"/>
        <v>46634</v>
      </c>
      <c r="D984" s="191" t="s">
        <v>1255</v>
      </c>
      <c r="E984" s="189" t="s">
        <v>3608</v>
      </c>
      <c r="F984" s="507">
        <f>SUMIFS(Controle!$R:$R,Controle!$H:$H,produtos_escape2!$A984,Controle!$Z:$Z,"1")</f>
        <v>0</v>
      </c>
      <c r="G984" s="507">
        <f>SUMIFS(Controle!$R:$R,Controle!$H:$H,produtos_escape2!$A984,Controle!$Z:$Z,"2")</f>
        <v>3365.9999999999995</v>
      </c>
      <c r="H984" s="507">
        <f>SUMIFS(Controle!$R:$R,Controle!$H:$H,produtos_escape2!$A984,Controle!$Z:$Z,"3")</f>
        <v>0</v>
      </c>
      <c r="I984" s="507">
        <f>SUMIFS(Controle!$R:$R,Controle!$H:$H,produtos_escape2!$A984,Controle!$Z:$Z,"4")</f>
        <v>0</v>
      </c>
      <c r="J984" s="507">
        <f>SUMIFS(Controle!$R:$R,Controle!$H:$H,produtos_escape2!$A984,Controle!$Z:$Z,"5")</f>
        <v>0</v>
      </c>
      <c r="K984" s="507">
        <f>SUMIFS(Controle!$R:$R,Controle!$H:$H,produtos_escape2!$A984,Controle!$Z:$Z,"6")</f>
        <v>0</v>
      </c>
      <c r="L984" s="507">
        <f t="shared" si="33"/>
        <v>3365.9999999999995</v>
      </c>
      <c r="M984" s="381" t="s">
        <v>5046</v>
      </c>
      <c r="AF984" s="84"/>
    </row>
    <row r="985" spans="1:32" s="185" customFormat="1" ht="14.25" customHeight="1" thickBot="1">
      <c r="A985" s="333">
        <v>25069</v>
      </c>
      <c r="B985" s="194" t="s">
        <v>2630</v>
      </c>
      <c r="C985" s="339">
        <f t="shared" si="34"/>
        <v>50000</v>
      </c>
      <c r="D985" s="196" t="s">
        <v>628</v>
      </c>
      <c r="E985" s="187" t="s">
        <v>3608</v>
      </c>
      <c r="F985" s="507">
        <f>SUMIFS(Controle!$R:$R,Controle!$H:$H,produtos_escape2!$A985,Controle!$Z:$Z,"1")</f>
        <v>0</v>
      </c>
      <c r="G985" s="507">
        <f>SUMIFS(Controle!$R:$R,Controle!$H:$H,produtos_escape2!$A985,Controle!$Z:$Z,"2")</f>
        <v>0</v>
      </c>
      <c r="H985" s="507">
        <f>SUMIFS(Controle!$R:$R,Controle!$H:$H,produtos_escape2!$A985,Controle!$Z:$Z,"3")</f>
        <v>0</v>
      </c>
      <c r="I985" s="507">
        <f>SUMIFS(Controle!$R:$R,Controle!$H:$H,produtos_escape2!$A985,Controle!$Z:$Z,"4")</f>
        <v>0</v>
      </c>
      <c r="J985" s="507">
        <f>SUMIFS(Controle!$R:$R,Controle!$H:$H,produtos_escape2!$A985,Controle!$Z:$Z,"5")</f>
        <v>0</v>
      </c>
      <c r="K985" s="507">
        <f>SUMIFS(Controle!$R:$R,Controle!$H:$H,produtos_escape2!$A985,Controle!$Z:$Z,"6")</f>
        <v>0</v>
      </c>
      <c r="L985" s="507">
        <f t="shared" si="33"/>
        <v>0</v>
      </c>
      <c r="M985" s="381" t="s">
        <v>60</v>
      </c>
      <c r="AF985" s="84"/>
    </row>
    <row r="986" spans="1:32" s="185" customFormat="1" ht="14.25" customHeight="1" thickBot="1">
      <c r="A986" s="353">
        <v>25125</v>
      </c>
      <c r="B986" s="194" t="s">
        <v>2958</v>
      </c>
      <c r="C986" s="339">
        <f t="shared" si="34"/>
        <v>50000</v>
      </c>
      <c r="D986" s="196" t="s">
        <v>548</v>
      </c>
      <c r="E986" s="187" t="s">
        <v>7207</v>
      </c>
      <c r="F986" s="507">
        <f>SUMIFS(Controle!$R:$R,Controle!$H:$H,produtos_escape2!$A986,Controle!$Z:$Z,"1")</f>
        <v>0</v>
      </c>
      <c r="G986" s="507">
        <f>SUMIFS(Controle!$R:$R,Controle!$H:$H,produtos_escape2!$A986,Controle!$Z:$Z,"2")</f>
        <v>0</v>
      </c>
      <c r="H986" s="507">
        <f>SUMIFS(Controle!$R:$R,Controle!$H:$H,produtos_escape2!$A986,Controle!$Z:$Z,"3")</f>
        <v>0</v>
      </c>
      <c r="I986" s="507">
        <f>SUMIFS(Controle!$R:$R,Controle!$H:$H,produtos_escape2!$A986,Controle!$Z:$Z,"4")</f>
        <v>0</v>
      </c>
      <c r="J986" s="507">
        <f>SUMIFS(Controle!$R:$R,Controle!$H:$H,produtos_escape2!$A986,Controle!$Z:$Z,"5")</f>
        <v>0</v>
      </c>
      <c r="K986" s="507">
        <f>SUMIFS(Controle!$R:$R,Controle!$H:$H,produtos_escape2!$A986,Controle!$Z:$Z,"6")</f>
        <v>0</v>
      </c>
      <c r="L986" s="507">
        <f t="shared" si="33"/>
        <v>0</v>
      </c>
      <c r="M986" s="381" t="s">
        <v>5047</v>
      </c>
      <c r="AF986" s="84"/>
    </row>
    <row r="987" spans="1:32" s="185" customFormat="1" ht="14.25" customHeight="1" thickBot="1">
      <c r="A987" s="353">
        <v>25128</v>
      </c>
      <c r="B987" s="194" t="s">
        <v>9595</v>
      </c>
      <c r="C987" s="339">
        <f t="shared" si="34"/>
        <v>50000</v>
      </c>
      <c r="D987" s="196" t="s">
        <v>624</v>
      </c>
      <c r="E987" s="187" t="s">
        <v>7207</v>
      </c>
      <c r="F987" s="507">
        <f>SUMIFS(Controle!$R:$R,Controle!$H:$H,produtos_escape2!$A987,Controle!$Z:$Z,"1")</f>
        <v>0</v>
      </c>
      <c r="G987" s="507">
        <f>SUMIFS(Controle!$R:$R,Controle!$H:$H,produtos_escape2!$A987,Controle!$Z:$Z,"2")</f>
        <v>0</v>
      </c>
      <c r="H987" s="507">
        <f>SUMIFS(Controle!$R:$R,Controle!$H:$H,produtos_escape2!$A987,Controle!$Z:$Z,"3")</f>
        <v>0</v>
      </c>
      <c r="I987" s="507">
        <f>SUMIFS(Controle!$R:$R,Controle!$H:$H,produtos_escape2!$A987,Controle!$Z:$Z,"4")</f>
        <v>0</v>
      </c>
      <c r="J987" s="507">
        <f>SUMIFS(Controle!$R:$R,Controle!$H:$H,produtos_escape2!$A987,Controle!$Z:$Z,"5")</f>
        <v>0</v>
      </c>
      <c r="K987" s="507">
        <f>SUMIFS(Controle!$R:$R,Controle!$H:$H,produtos_escape2!$A987,Controle!$Z:$Z,"6")</f>
        <v>0</v>
      </c>
      <c r="L987" s="507">
        <f t="shared" si="33"/>
        <v>0</v>
      </c>
      <c r="M987" s="381" t="s">
        <v>9596</v>
      </c>
      <c r="AF987" s="84"/>
    </row>
    <row r="988" spans="1:32" s="185" customFormat="1" ht="14.25" customHeight="1" thickBot="1">
      <c r="A988" s="353">
        <v>25129</v>
      </c>
      <c r="B988" s="194" t="s">
        <v>9597</v>
      </c>
      <c r="C988" s="339">
        <f t="shared" si="34"/>
        <v>50000</v>
      </c>
      <c r="D988" s="196" t="s">
        <v>624</v>
      </c>
      <c r="E988" s="187" t="s">
        <v>7207</v>
      </c>
      <c r="F988" s="507">
        <f>SUMIFS(Controle!$R:$R,Controle!$H:$H,produtos_escape2!$A988,Controle!$Z:$Z,"1")</f>
        <v>0</v>
      </c>
      <c r="G988" s="507">
        <f>SUMIFS(Controle!$R:$R,Controle!$H:$H,produtos_escape2!$A988,Controle!$Z:$Z,"2")</f>
        <v>0</v>
      </c>
      <c r="H988" s="507">
        <f>SUMIFS(Controle!$R:$R,Controle!$H:$H,produtos_escape2!$A988,Controle!$Z:$Z,"3")</f>
        <v>0</v>
      </c>
      <c r="I988" s="507">
        <f>SUMIFS(Controle!$R:$R,Controle!$H:$H,produtos_escape2!$A988,Controle!$Z:$Z,"4")</f>
        <v>0</v>
      </c>
      <c r="J988" s="507">
        <f>SUMIFS(Controle!$R:$R,Controle!$H:$H,produtos_escape2!$A988,Controle!$Z:$Z,"5")</f>
        <v>0</v>
      </c>
      <c r="K988" s="507">
        <f>SUMIFS(Controle!$R:$R,Controle!$H:$H,produtos_escape2!$A988,Controle!$Z:$Z,"6")</f>
        <v>0</v>
      </c>
      <c r="L988" s="507">
        <f t="shared" si="33"/>
        <v>0</v>
      </c>
      <c r="M988" s="381" t="s">
        <v>9598</v>
      </c>
      <c r="AF988" s="84"/>
    </row>
    <row r="989" spans="1:32" s="185" customFormat="1" ht="14.25" customHeight="1" thickBot="1">
      <c r="A989" s="353">
        <v>25130</v>
      </c>
      <c r="B989" s="194" t="s">
        <v>9599</v>
      </c>
      <c r="C989" s="339">
        <f t="shared" si="34"/>
        <v>50000</v>
      </c>
      <c r="D989" s="196" t="s">
        <v>624</v>
      </c>
      <c r="E989" s="187" t="s">
        <v>7207</v>
      </c>
      <c r="F989" s="507">
        <f>SUMIFS(Controle!$R:$R,Controle!$H:$H,produtos_escape2!$A989,Controle!$Z:$Z,"1")</f>
        <v>0</v>
      </c>
      <c r="G989" s="507">
        <f>SUMIFS(Controle!$R:$R,Controle!$H:$H,produtos_escape2!$A989,Controle!$Z:$Z,"2")</f>
        <v>0</v>
      </c>
      <c r="H989" s="507">
        <f>SUMIFS(Controle!$R:$R,Controle!$H:$H,produtos_escape2!$A989,Controle!$Z:$Z,"3")</f>
        <v>0</v>
      </c>
      <c r="I989" s="507">
        <f>SUMIFS(Controle!$R:$R,Controle!$H:$H,produtos_escape2!$A989,Controle!$Z:$Z,"4")</f>
        <v>0</v>
      </c>
      <c r="J989" s="507">
        <f>SUMIFS(Controle!$R:$R,Controle!$H:$H,produtos_escape2!$A989,Controle!$Z:$Z,"5")</f>
        <v>0</v>
      </c>
      <c r="K989" s="507">
        <f>SUMIFS(Controle!$R:$R,Controle!$H:$H,produtos_escape2!$A989,Controle!$Z:$Z,"6")</f>
        <v>0</v>
      </c>
      <c r="L989" s="507">
        <f t="shared" si="33"/>
        <v>0</v>
      </c>
      <c r="M989" s="381" t="s">
        <v>5048</v>
      </c>
      <c r="AF989" s="84"/>
    </row>
    <row r="990" spans="1:32" s="185" customFormat="1" ht="14.25" customHeight="1" thickBot="1">
      <c r="A990" s="353">
        <v>25138</v>
      </c>
      <c r="B990" s="194" t="s">
        <v>3660</v>
      </c>
      <c r="C990" s="339">
        <f t="shared" si="34"/>
        <v>50000</v>
      </c>
      <c r="D990" s="196" t="s">
        <v>624</v>
      </c>
      <c r="E990" s="187" t="s">
        <v>1739</v>
      </c>
      <c r="F990" s="507">
        <f>SUMIFS(Controle!$R:$R,Controle!$H:$H,produtos_escape2!$A990,Controle!$Z:$Z,"1")</f>
        <v>0</v>
      </c>
      <c r="G990" s="507">
        <f>SUMIFS(Controle!$R:$R,Controle!$H:$H,produtos_escape2!$A990,Controle!$Z:$Z,"2")</f>
        <v>0</v>
      </c>
      <c r="H990" s="507">
        <f>SUMIFS(Controle!$R:$R,Controle!$H:$H,produtos_escape2!$A990,Controle!$Z:$Z,"3")</f>
        <v>0</v>
      </c>
      <c r="I990" s="507">
        <f>SUMIFS(Controle!$R:$R,Controle!$H:$H,produtos_escape2!$A990,Controle!$Z:$Z,"4")</f>
        <v>0</v>
      </c>
      <c r="J990" s="507">
        <f>SUMIFS(Controle!$R:$R,Controle!$H:$H,produtos_escape2!$A990,Controle!$Z:$Z,"5")</f>
        <v>0</v>
      </c>
      <c r="K990" s="507">
        <f>SUMIFS(Controle!$R:$R,Controle!$H:$H,produtos_escape2!$A990,Controle!$Z:$Z,"6")</f>
        <v>0</v>
      </c>
      <c r="L990" s="507">
        <f t="shared" si="33"/>
        <v>0</v>
      </c>
      <c r="M990" s="381" t="s">
        <v>5049</v>
      </c>
      <c r="AF990" s="84"/>
    </row>
    <row r="991" spans="1:32" s="185" customFormat="1" ht="14.25" customHeight="1" thickBot="1">
      <c r="A991" s="353">
        <v>25170</v>
      </c>
      <c r="B991" s="194" t="s">
        <v>1490</v>
      </c>
      <c r="C991" s="339">
        <f t="shared" si="34"/>
        <v>50000</v>
      </c>
      <c r="D991" s="196" t="s">
        <v>548</v>
      </c>
      <c r="E991" s="187" t="s">
        <v>3608</v>
      </c>
      <c r="F991" s="507">
        <f>SUMIFS(Controle!$R:$R,Controle!$H:$H,produtos_escape2!$A991,Controle!$Z:$Z,"1")</f>
        <v>0</v>
      </c>
      <c r="G991" s="507">
        <f>SUMIFS(Controle!$R:$R,Controle!$H:$H,produtos_escape2!$A991,Controle!$Z:$Z,"2")</f>
        <v>0</v>
      </c>
      <c r="H991" s="507">
        <f>SUMIFS(Controle!$R:$R,Controle!$H:$H,produtos_escape2!$A991,Controle!$Z:$Z,"3")</f>
        <v>0</v>
      </c>
      <c r="I991" s="507">
        <f>SUMIFS(Controle!$R:$R,Controle!$H:$H,produtos_escape2!$A991,Controle!$Z:$Z,"4")</f>
        <v>0</v>
      </c>
      <c r="J991" s="507">
        <f>SUMIFS(Controle!$R:$R,Controle!$H:$H,produtos_escape2!$A991,Controle!$Z:$Z,"5")</f>
        <v>0</v>
      </c>
      <c r="K991" s="507">
        <f>SUMIFS(Controle!$R:$R,Controle!$H:$H,produtos_escape2!$A991,Controle!$Z:$Z,"6")</f>
        <v>0</v>
      </c>
      <c r="L991" s="507">
        <f t="shared" si="33"/>
        <v>0</v>
      </c>
      <c r="M991" s="381" t="s">
        <v>1490</v>
      </c>
      <c r="AF991" s="84"/>
    </row>
    <row r="992" spans="1:32" s="185" customFormat="1" ht="14.25" customHeight="1" thickBot="1">
      <c r="A992" s="353">
        <v>25174</v>
      </c>
      <c r="B992" s="338" t="s">
        <v>220</v>
      </c>
      <c r="C992" s="339">
        <f t="shared" si="34"/>
        <v>49610.3</v>
      </c>
      <c r="D992" s="196" t="s">
        <v>624</v>
      </c>
      <c r="E992" s="187" t="s">
        <v>3608</v>
      </c>
      <c r="F992" s="507">
        <f>SUMIFS(Controle!$R:$R,Controle!$H:$H,produtos_escape2!$A992,Controle!$Z:$Z,"1")</f>
        <v>0</v>
      </c>
      <c r="G992" s="507">
        <f>SUMIFS(Controle!$R:$R,Controle!$H:$H,produtos_escape2!$A992,Controle!$Z:$Z,"2")</f>
        <v>0</v>
      </c>
      <c r="H992" s="507">
        <f>SUMIFS(Controle!$R:$R,Controle!$H:$H,produtos_escape2!$A992,Controle!$Z:$Z,"3")</f>
        <v>0</v>
      </c>
      <c r="I992" s="507">
        <f>SUMIFS(Controle!$R:$R,Controle!$H:$H,produtos_escape2!$A992,Controle!$Z:$Z,"4")</f>
        <v>389.7</v>
      </c>
      <c r="J992" s="507">
        <f>SUMIFS(Controle!$R:$R,Controle!$H:$H,produtos_escape2!$A992,Controle!$Z:$Z,"5")</f>
        <v>0</v>
      </c>
      <c r="K992" s="507">
        <f>SUMIFS(Controle!$R:$R,Controle!$H:$H,produtos_escape2!$A992,Controle!$Z:$Z,"6")</f>
        <v>0</v>
      </c>
      <c r="L992" s="507">
        <f t="shared" si="33"/>
        <v>389.7</v>
      </c>
      <c r="M992" s="381" t="s">
        <v>220</v>
      </c>
      <c r="AF992" s="84"/>
    </row>
    <row r="993" spans="1:32" s="185" customFormat="1" ht="14.25" customHeight="1" thickBot="1">
      <c r="A993" s="353">
        <v>25177</v>
      </c>
      <c r="B993" s="194" t="s">
        <v>424</v>
      </c>
      <c r="C993" s="339">
        <f t="shared" si="34"/>
        <v>50000</v>
      </c>
      <c r="D993" s="196" t="s">
        <v>624</v>
      </c>
      <c r="E993" s="187" t="s">
        <v>3608</v>
      </c>
      <c r="F993" s="507">
        <f>SUMIFS(Controle!$R:$R,Controle!$H:$H,produtos_escape2!$A993,Controle!$Z:$Z,"1")</f>
        <v>0</v>
      </c>
      <c r="G993" s="507">
        <f>SUMIFS(Controle!$R:$R,Controle!$H:$H,produtos_escape2!$A993,Controle!$Z:$Z,"2")</f>
        <v>0</v>
      </c>
      <c r="H993" s="507">
        <f>SUMIFS(Controle!$R:$R,Controle!$H:$H,produtos_escape2!$A993,Controle!$Z:$Z,"3")</f>
        <v>0</v>
      </c>
      <c r="I993" s="507">
        <f>SUMIFS(Controle!$R:$R,Controle!$H:$H,produtos_escape2!$A993,Controle!$Z:$Z,"4")</f>
        <v>0</v>
      </c>
      <c r="J993" s="507">
        <f>SUMIFS(Controle!$R:$R,Controle!$H:$H,produtos_escape2!$A993,Controle!$Z:$Z,"5")</f>
        <v>0</v>
      </c>
      <c r="K993" s="507">
        <f>SUMIFS(Controle!$R:$R,Controle!$H:$H,produtos_escape2!$A993,Controle!$Z:$Z,"6")</f>
        <v>0</v>
      </c>
      <c r="L993" s="507">
        <f t="shared" si="33"/>
        <v>0</v>
      </c>
      <c r="M993" s="381" t="s">
        <v>5050</v>
      </c>
      <c r="AF993" s="84"/>
    </row>
    <row r="994" spans="1:32" s="185" customFormat="1" ht="14.25" customHeight="1" thickBot="1">
      <c r="A994" s="353">
        <v>25178</v>
      </c>
      <c r="B994" s="194" t="s">
        <v>425</v>
      </c>
      <c r="C994" s="339">
        <f t="shared" si="34"/>
        <v>50000</v>
      </c>
      <c r="D994" s="196" t="s">
        <v>624</v>
      </c>
      <c r="E994" s="187" t="s">
        <v>3608</v>
      </c>
      <c r="F994" s="507">
        <f>SUMIFS(Controle!$R:$R,Controle!$H:$H,produtos_escape2!$A994,Controle!$Z:$Z,"1")</f>
        <v>0</v>
      </c>
      <c r="G994" s="507">
        <f>SUMIFS(Controle!$R:$R,Controle!$H:$H,produtos_escape2!$A994,Controle!$Z:$Z,"2")</f>
        <v>0</v>
      </c>
      <c r="H994" s="507">
        <f>SUMIFS(Controle!$R:$R,Controle!$H:$H,produtos_escape2!$A994,Controle!$Z:$Z,"3")</f>
        <v>0</v>
      </c>
      <c r="I994" s="507">
        <f>SUMIFS(Controle!$R:$R,Controle!$H:$H,produtos_escape2!$A994,Controle!$Z:$Z,"4")</f>
        <v>0</v>
      </c>
      <c r="J994" s="507">
        <f>SUMIFS(Controle!$R:$R,Controle!$H:$H,produtos_escape2!$A994,Controle!$Z:$Z,"5")</f>
        <v>0</v>
      </c>
      <c r="K994" s="507">
        <f>SUMIFS(Controle!$R:$R,Controle!$H:$H,produtos_escape2!$A994,Controle!$Z:$Z,"6")</f>
        <v>0</v>
      </c>
      <c r="L994" s="507">
        <f t="shared" si="33"/>
        <v>0</v>
      </c>
      <c r="M994" s="381" t="s">
        <v>5051</v>
      </c>
      <c r="AF994" s="84"/>
    </row>
    <row r="995" spans="1:32" s="185" customFormat="1" ht="14.25" customHeight="1" thickBot="1">
      <c r="A995" s="333">
        <v>25179</v>
      </c>
      <c r="B995" s="194" t="s">
        <v>7444</v>
      </c>
      <c r="C995" s="339">
        <f t="shared" si="34"/>
        <v>49403</v>
      </c>
      <c r="D995" s="196" t="s">
        <v>624</v>
      </c>
      <c r="E995" s="187" t="s">
        <v>3608</v>
      </c>
      <c r="F995" s="507">
        <f>SUMIFS(Controle!$R:$R,Controle!$H:$H,produtos_escape2!$A995,Controle!$Z:$Z,"1")</f>
        <v>0</v>
      </c>
      <c r="G995" s="507">
        <f>SUMIFS(Controle!$R:$R,Controle!$H:$H,produtos_escape2!$A995,Controle!$Z:$Z,"2")</f>
        <v>597</v>
      </c>
      <c r="H995" s="507">
        <f>SUMIFS(Controle!$R:$R,Controle!$H:$H,produtos_escape2!$A995,Controle!$Z:$Z,"3")</f>
        <v>0</v>
      </c>
      <c r="I995" s="507">
        <f>SUMIFS(Controle!$R:$R,Controle!$H:$H,produtos_escape2!$A995,Controle!$Z:$Z,"4")</f>
        <v>0</v>
      </c>
      <c r="J995" s="507">
        <f>SUMIFS(Controle!$R:$R,Controle!$H:$H,produtos_escape2!$A995,Controle!$Z:$Z,"5")</f>
        <v>0</v>
      </c>
      <c r="K995" s="507">
        <f>SUMIFS(Controle!$R:$R,Controle!$H:$H,produtos_escape2!$A995,Controle!$Z:$Z,"6")</f>
        <v>0</v>
      </c>
      <c r="L995" s="507">
        <f t="shared" si="33"/>
        <v>597</v>
      </c>
      <c r="M995" s="381" t="s">
        <v>5052</v>
      </c>
      <c r="AF995" s="84"/>
    </row>
    <row r="996" spans="1:32" s="185" customFormat="1" ht="14.25" customHeight="1" thickBot="1">
      <c r="A996" s="353">
        <v>25180</v>
      </c>
      <c r="B996" s="514" t="s">
        <v>8727</v>
      </c>
      <c r="C996" s="339">
        <f t="shared" si="34"/>
        <v>48548.9</v>
      </c>
      <c r="D996" s="196" t="s">
        <v>624</v>
      </c>
      <c r="E996" s="187" t="s">
        <v>3608</v>
      </c>
      <c r="F996" s="507">
        <f>SUMIFS(Controle!$R:$R,Controle!$H:$H,produtos_escape2!$A996,Controle!$Z:$Z,"1")</f>
        <v>0</v>
      </c>
      <c r="G996" s="507">
        <f>SUMIFS(Controle!$R:$R,Controle!$H:$H,produtos_escape2!$A996,Controle!$Z:$Z,"2")</f>
        <v>597</v>
      </c>
      <c r="H996" s="507">
        <f>SUMIFS(Controle!$R:$R,Controle!$H:$H,produtos_escape2!$A996,Controle!$Z:$Z,"3")</f>
        <v>854.09999999999991</v>
      </c>
      <c r="I996" s="507">
        <f>SUMIFS(Controle!$R:$R,Controle!$H:$H,produtos_escape2!$A996,Controle!$Z:$Z,"4")</f>
        <v>0</v>
      </c>
      <c r="J996" s="507">
        <f>SUMIFS(Controle!$R:$R,Controle!$H:$H,produtos_escape2!$A996,Controle!$Z:$Z,"5")</f>
        <v>0</v>
      </c>
      <c r="K996" s="507">
        <f>SUMIFS(Controle!$R:$R,Controle!$H:$H,produtos_escape2!$A996,Controle!$Z:$Z,"6")</f>
        <v>0</v>
      </c>
      <c r="L996" s="507">
        <f t="shared" si="33"/>
        <v>1451.1</v>
      </c>
      <c r="M996" s="381" t="s">
        <v>5053</v>
      </c>
      <c r="AF996" s="84"/>
    </row>
    <row r="997" spans="1:32" s="185" customFormat="1" ht="14.25" customHeight="1" thickBot="1">
      <c r="A997" s="353">
        <v>25181</v>
      </c>
      <c r="B997" s="491" t="s">
        <v>9111</v>
      </c>
      <c r="C997" s="339">
        <f t="shared" si="34"/>
        <v>49610.3</v>
      </c>
      <c r="D997" s="196" t="s">
        <v>624</v>
      </c>
      <c r="E997" s="187" t="s">
        <v>3608</v>
      </c>
      <c r="F997" s="507">
        <f>SUMIFS(Controle!$R:$R,Controle!$H:$H,produtos_escape2!$A997,Controle!$Z:$Z,"1")</f>
        <v>0</v>
      </c>
      <c r="G997" s="507">
        <f>SUMIFS(Controle!$R:$R,Controle!$H:$H,produtos_escape2!$A997,Controle!$Z:$Z,"2")</f>
        <v>0</v>
      </c>
      <c r="H997" s="507">
        <f>SUMIFS(Controle!$R:$R,Controle!$H:$H,produtos_escape2!$A997,Controle!$Z:$Z,"3")</f>
        <v>0</v>
      </c>
      <c r="I997" s="507">
        <f>SUMIFS(Controle!$R:$R,Controle!$H:$H,produtos_escape2!$A997,Controle!$Z:$Z,"4")</f>
        <v>389.7</v>
      </c>
      <c r="J997" s="507">
        <f>SUMIFS(Controle!$R:$R,Controle!$H:$H,produtos_escape2!$A997,Controle!$Z:$Z,"5")</f>
        <v>0</v>
      </c>
      <c r="K997" s="507">
        <f>SUMIFS(Controle!$R:$R,Controle!$H:$H,produtos_escape2!$A997,Controle!$Z:$Z,"6")</f>
        <v>0</v>
      </c>
      <c r="L997" s="507">
        <f t="shared" si="33"/>
        <v>389.7</v>
      </c>
      <c r="M997" s="381" t="s">
        <v>9112</v>
      </c>
      <c r="AF997" s="84"/>
    </row>
    <row r="998" spans="1:32" s="185" customFormat="1" ht="14.25" customHeight="1" thickBot="1">
      <c r="A998" s="353">
        <v>25185</v>
      </c>
      <c r="B998" s="194" t="s">
        <v>168</v>
      </c>
      <c r="C998" s="339">
        <f t="shared" si="34"/>
        <v>50000</v>
      </c>
      <c r="D998" s="196"/>
      <c r="E998" s="187"/>
      <c r="F998" s="507">
        <f>SUMIFS(Controle!$R:$R,Controle!$H:$H,produtos_escape2!$A998,Controle!$Z:$Z,"1")</f>
        <v>0</v>
      </c>
      <c r="G998" s="507">
        <f>SUMIFS(Controle!$R:$R,Controle!$H:$H,produtos_escape2!$A998,Controle!$Z:$Z,"2")</f>
        <v>0</v>
      </c>
      <c r="H998" s="507">
        <f>SUMIFS(Controle!$R:$R,Controle!$H:$H,produtos_escape2!$A998,Controle!$Z:$Z,"3")</f>
        <v>0</v>
      </c>
      <c r="I998" s="507">
        <f>SUMIFS(Controle!$R:$R,Controle!$H:$H,produtos_escape2!$A998,Controle!$Z:$Z,"4")</f>
        <v>0</v>
      </c>
      <c r="J998" s="507">
        <f>SUMIFS(Controle!$R:$R,Controle!$H:$H,produtos_escape2!$A998,Controle!$Z:$Z,"5")</f>
        <v>0</v>
      </c>
      <c r="K998" s="507">
        <f>SUMIFS(Controle!$R:$R,Controle!$H:$H,produtos_escape2!$A998,Controle!$Z:$Z,"6")</f>
        <v>0</v>
      </c>
      <c r="L998" s="507">
        <f t="shared" si="33"/>
        <v>0</v>
      </c>
      <c r="M998" s="381" t="s">
        <v>5054</v>
      </c>
      <c r="AF998" s="84"/>
    </row>
    <row r="999" spans="1:32" s="185" customFormat="1" ht="14.25" customHeight="1" thickBot="1">
      <c r="A999" s="353">
        <v>25186</v>
      </c>
      <c r="B999" s="194" t="s">
        <v>124</v>
      </c>
      <c r="C999" s="339">
        <f t="shared" si="34"/>
        <v>50000</v>
      </c>
      <c r="D999" s="196"/>
      <c r="E999" s="187"/>
      <c r="F999" s="507">
        <f>SUMIFS(Controle!$R:$R,Controle!$H:$H,produtos_escape2!$A999,Controle!$Z:$Z,"1")</f>
        <v>0</v>
      </c>
      <c r="G999" s="507">
        <f>SUMIFS(Controle!$R:$R,Controle!$H:$H,produtos_escape2!$A999,Controle!$Z:$Z,"2")</f>
        <v>0</v>
      </c>
      <c r="H999" s="507">
        <f>SUMIFS(Controle!$R:$R,Controle!$H:$H,produtos_escape2!$A999,Controle!$Z:$Z,"3")</f>
        <v>0</v>
      </c>
      <c r="I999" s="507">
        <f>SUMIFS(Controle!$R:$R,Controle!$H:$H,produtos_escape2!$A999,Controle!$Z:$Z,"4")</f>
        <v>0</v>
      </c>
      <c r="J999" s="507">
        <f>SUMIFS(Controle!$R:$R,Controle!$H:$H,produtos_escape2!$A999,Controle!$Z:$Z,"5")</f>
        <v>0</v>
      </c>
      <c r="K999" s="507">
        <f>SUMIFS(Controle!$R:$R,Controle!$H:$H,produtos_escape2!$A999,Controle!$Z:$Z,"6")</f>
        <v>0</v>
      </c>
      <c r="L999" s="507">
        <f t="shared" si="33"/>
        <v>0</v>
      </c>
      <c r="M999" s="381" t="s">
        <v>5055</v>
      </c>
      <c r="AF999" s="84"/>
    </row>
    <row r="1000" spans="1:32" s="185" customFormat="1" ht="14.25" customHeight="1" thickBot="1">
      <c r="A1000" s="353">
        <v>25188</v>
      </c>
      <c r="B1000" s="194" t="s">
        <v>407</v>
      </c>
      <c r="C1000" s="339">
        <f t="shared" si="34"/>
        <v>50000</v>
      </c>
      <c r="D1000" s="196"/>
      <c r="E1000" s="187"/>
      <c r="F1000" s="507">
        <f>SUMIFS(Controle!$R:$R,Controle!$H:$H,produtos_escape2!$A1000,Controle!$Z:$Z,"1")</f>
        <v>0</v>
      </c>
      <c r="G1000" s="507">
        <f>SUMIFS(Controle!$R:$R,Controle!$H:$H,produtos_escape2!$A1000,Controle!$Z:$Z,"2")</f>
        <v>0</v>
      </c>
      <c r="H1000" s="507">
        <f>SUMIFS(Controle!$R:$R,Controle!$H:$H,produtos_escape2!$A1000,Controle!$Z:$Z,"3")</f>
        <v>0</v>
      </c>
      <c r="I1000" s="507">
        <f>SUMIFS(Controle!$R:$R,Controle!$H:$H,produtos_escape2!$A1000,Controle!$Z:$Z,"4")</f>
        <v>0</v>
      </c>
      <c r="J1000" s="507">
        <f>SUMIFS(Controle!$R:$R,Controle!$H:$H,produtos_escape2!$A1000,Controle!$Z:$Z,"5")</f>
        <v>0</v>
      </c>
      <c r="K1000" s="507">
        <f>SUMIFS(Controle!$R:$R,Controle!$H:$H,produtos_escape2!$A1000,Controle!$Z:$Z,"6")</f>
        <v>0</v>
      </c>
      <c r="L1000" s="507">
        <f t="shared" si="33"/>
        <v>0</v>
      </c>
      <c r="M1000" s="381" t="s">
        <v>4522</v>
      </c>
      <c r="AF1000" s="84"/>
    </row>
    <row r="1001" spans="1:32" s="185" customFormat="1" ht="14.25" customHeight="1" thickBot="1">
      <c r="A1001" s="353">
        <v>25189</v>
      </c>
      <c r="B1001" s="338" t="s">
        <v>504</v>
      </c>
      <c r="C1001" s="339">
        <f t="shared" si="34"/>
        <v>50000</v>
      </c>
      <c r="D1001" s="196"/>
      <c r="E1001" s="187"/>
      <c r="F1001" s="507">
        <f>SUMIFS(Controle!$R:$R,Controle!$H:$H,produtos_escape2!$A1001,Controle!$Z:$Z,"1")</f>
        <v>0</v>
      </c>
      <c r="G1001" s="507">
        <f>SUMIFS(Controle!$R:$R,Controle!$H:$H,produtos_escape2!$A1001,Controle!$Z:$Z,"2")</f>
        <v>0</v>
      </c>
      <c r="H1001" s="507">
        <f>SUMIFS(Controle!$R:$R,Controle!$H:$H,produtos_escape2!$A1001,Controle!$Z:$Z,"3")</f>
        <v>0</v>
      </c>
      <c r="I1001" s="507">
        <f>SUMIFS(Controle!$R:$R,Controle!$H:$H,produtos_escape2!$A1001,Controle!$Z:$Z,"4")</f>
        <v>0</v>
      </c>
      <c r="J1001" s="507">
        <f>SUMIFS(Controle!$R:$R,Controle!$H:$H,produtos_escape2!$A1001,Controle!$Z:$Z,"5")</f>
        <v>0</v>
      </c>
      <c r="K1001" s="507">
        <f>SUMIFS(Controle!$R:$R,Controle!$H:$H,produtos_escape2!$A1001,Controle!$Z:$Z,"6")</f>
        <v>0</v>
      </c>
      <c r="L1001" s="507">
        <f t="shared" si="33"/>
        <v>0</v>
      </c>
      <c r="M1001" s="381" t="s">
        <v>5056</v>
      </c>
      <c r="AF1001" s="84"/>
    </row>
    <row r="1002" spans="1:32" s="185" customFormat="1" ht="14.25" customHeight="1" thickBot="1">
      <c r="A1002" s="353">
        <v>25199</v>
      </c>
      <c r="B1002" s="561" t="s">
        <v>5809</v>
      </c>
      <c r="C1002" s="339">
        <f t="shared" si="34"/>
        <v>50000</v>
      </c>
      <c r="D1002" s="196" t="s">
        <v>550</v>
      </c>
      <c r="E1002" s="187" t="s">
        <v>7207</v>
      </c>
      <c r="F1002" s="507">
        <f>SUMIFS(Controle!$R:$R,Controle!$H:$H,produtos_escape2!$A1002,Controle!$Z:$Z,"1")</f>
        <v>0</v>
      </c>
      <c r="G1002" s="507">
        <f>SUMIFS(Controle!$R:$R,Controle!$H:$H,produtos_escape2!$A1002,Controle!$Z:$Z,"2")</f>
        <v>0</v>
      </c>
      <c r="H1002" s="507">
        <f>SUMIFS(Controle!$R:$R,Controle!$H:$H,produtos_escape2!$A1002,Controle!$Z:$Z,"3")</f>
        <v>0</v>
      </c>
      <c r="I1002" s="507">
        <f>SUMIFS(Controle!$R:$R,Controle!$H:$H,produtos_escape2!$A1002,Controle!$Z:$Z,"4")</f>
        <v>0</v>
      </c>
      <c r="J1002" s="507">
        <f>SUMIFS(Controle!$R:$R,Controle!$H:$H,produtos_escape2!$A1002,Controle!$Z:$Z,"5")</f>
        <v>0</v>
      </c>
      <c r="K1002" s="507">
        <f>SUMIFS(Controle!$R:$R,Controle!$H:$H,produtos_escape2!$A1002,Controle!$Z:$Z,"6")</f>
        <v>0</v>
      </c>
      <c r="L1002" s="507">
        <f t="shared" si="33"/>
        <v>0</v>
      </c>
      <c r="M1002" s="381" t="s">
        <v>5808</v>
      </c>
      <c r="AF1002" s="84"/>
    </row>
    <row r="1003" spans="1:32" s="185" customFormat="1" ht="14.25" customHeight="1" thickBot="1">
      <c r="A1003" s="353">
        <v>25238</v>
      </c>
      <c r="B1003" s="194" t="s">
        <v>1696</v>
      </c>
      <c r="C1003" s="339">
        <f t="shared" si="34"/>
        <v>50000</v>
      </c>
      <c r="D1003" s="196" t="s">
        <v>550</v>
      </c>
      <c r="E1003" s="187" t="s">
        <v>3608</v>
      </c>
      <c r="F1003" s="507">
        <f>SUMIFS(Controle!$R:$R,Controle!$H:$H,produtos_escape2!$A1003,Controle!$Z:$Z,"1")</f>
        <v>0</v>
      </c>
      <c r="G1003" s="507">
        <f>SUMIFS(Controle!$R:$R,Controle!$H:$H,produtos_escape2!$A1003,Controle!$Z:$Z,"2")</f>
        <v>0</v>
      </c>
      <c r="H1003" s="507">
        <f>SUMIFS(Controle!$R:$R,Controle!$H:$H,produtos_escape2!$A1003,Controle!$Z:$Z,"3")</f>
        <v>0</v>
      </c>
      <c r="I1003" s="507">
        <f>SUMIFS(Controle!$R:$R,Controle!$H:$H,produtos_escape2!$A1003,Controle!$Z:$Z,"4")</f>
        <v>0</v>
      </c>
      <c r="J1003" s="507">
        <f>SUMIFS(Controle!$R:$R,Controle!$H:$H,produtos_escape2!$A1003,Controle!$Z:$Z,"5")</f>
        <v>0</v>
      </c>
      <c r="K1003" s="507">
        <f>SUMIFS(Controle!$R:$R,Controle!$H:$H,produtos_escape2!$A1003,Controle!$Z:$Z,"6")</f>
        <v>0</v>
      </c>
      <c r="L1003" s="507">
        <f t="shared" si="33"/>
        <v>0</v>
      </c>
      <c r="M1003" s="381" t="s">
        <v>5057</v>
      </c>
      <c r="AF1003" s="84"/>
    </row>
    <row r="1004" spans="1:32" s="185" customFormat="1" ht="14.25" customHeight="1" thickBot="1">
      <c r="A1004" s="333">
        <v>25239</v>
      </c>
      <c r="B1004" s="194" t="s">
        <v>1697</v>
      </c>
      <c r="C1004" s="339">
        <f t="shared" si="34"/>
        <v>50000</v>
      </c>
      <c r="D1004" s="196" t="s">
        <v>624</v>
      </c>
      <c r="E1004" s="187" t="s">
        <v>3608</v>
      </c>
      <c r="F1004" s="507">
        <f>SUMIFS(Controle!$R:$R,Controle!$H:$H,produtos_escape2!$A1004,Controle!$Z:$Z,"1")</f>
        <v>0</v>
      </c>
      <c r="G1004" s="507">
        <f>SUMIFS(Controle!$R:$R,Controle!$H:$H,produtos_escape2!$A1004,Controle!$Z:$Z,"2")</f>
        <v>0</v>
      </c>
      <c r="H1004" s="507">
        <f>SUMIFS(Controle!$R:$R,Controle!$H:$H,produtos_escape2!$A1004,Controle!$Z:$Z,"3")</f>
        <v>0</v>
      </c>
      <c r="I1004" s="507">
        <f>SUMIFS(Controle!$R:$R,Controle!$H:$H,produtos_escape2!$A1004,Controle!$Z:$Z,"4")</f>
        <v>0</v>
      </c>
      <c r="J1004" s="507">
        <f>SUMIFS(Controle!$R:$R,Controle!$H:$H,produtos_escape2!$A1004,Controle!$Z:$Z,"5")</f>
        <v>0</v>
      </c>
      <c r="K1004" s="507">
        <f>SUMIFS(Controle!$R:$R,Controle!$H:$H,produtos_escape2!$A1004,Controle!$Z:$Z,"6")</f>
        <v>0</v>
      </c>
      <c r="L1004" s="507">
        <f t="shared" si="33"/>
        <v>0</v>
      </c>
      <c r="M1004" s="381" t="s">
        <v>5058</v>
      </c>
      <c r="AF1004" s="84"/>
    </row>
    <row r="1005" spans="1:32" s="185" customFormat="1" ht="14.25" customHeight="1" thickBot="1">
      <c r="A1005" s="353">
        <v>25240</v>
      </c>
      <c r="B1005" s="194" t="s">
        <v>2631</v>
      </c>
      <c r="C1005" s="339">
        <f t="shared" si="34"/>
        <v>50000</v>
      </c>
      <c r="D1005" s="196" t="s">
        <v>624</v>
      </c>
      <c r="E1005" s="187" t="s">
        <v>3608</v>
      </c>
      <c r="F1005" s="507">
        <f>SUMIFS(Controle!$R:$R,Controle!$H:$H,produtos_escape2!$A1005,Controle!$Z:$Z,"1")</f>
        <v>0</v>
      </c>
      <c r="G1005" s="507">
        <f>SUMIFS(Controle!$R:$R,Controle!$H:$H,produtos_escape2!$A1005,Controle!$Z:$Z,"2")</f>
        <v>0</v>
      </c>
      <c r="H1005" s="507">
        <f>SUMIFS(Controle!$R:$R,Controle!$H:$H,produtos_escape2!$A1005,Controle!$Z:$Z,"3")</f>
        <v>0</v>
      </c>
      <c r="I1005" s="507">
        <f>SUMIFS(Controle!$R:$R,Controle!$H:$H,produtos_escape2!$A1005,Controle!$Z:$Z,"4")</f>
        <v>0</v>
      </c>
      <c r="J1005" s="507">
        <f>SUMIFS(Controle!$R:$R,Controle!$H:$H,produtos_escape2!$A1005,Controle!$Z:$Z,"5")</f>
        <v>0</v>
      </c>
      <c r="K1005" s="507">
        <f>SUMIFS(Controle!$R:$R,Controle!$H:$H,produtos_escape2!$A1005,Controle!$Z:$Z,"6")</f>
        <v>0</v>
      </c>
      <c r="L1005" s="507">
        <f t="shared" si="33"/>
        <v>0</v>
      </c>
      <c r="M1005" s="381" t="s">
        <v>5059</v>
      </c>
      <c r="AF1005" s="84"/>
    </row>
    <row r="1006" spans="1:32" s="185" customFormat="1" ht="14.25" customHeight="1" thickBot="1">
      <c r="A1006" s="353">
        <v>25241</v>
      </c>
      <c r="B1006" s="194" t="s">
        <v>1088</v>
      </c>
      <c r="C1006" s="339">
        <f t="shared" si="34"/>
        <v>50000</v>
      </c>
      <c r="D1006" s="196" t="s">
        <v>624</v>
      </c>
      <c r="E1006" s="187" t="s">
        <v>3608</v>
      </c>
      <c r="F1006" s="507">
        <f>SUMIFS(Controle!$R:$R,Controle!$H:$H,produtos_escape2!$A1006,Controle!$Z:$Z,"1")</f>
        <v>0</v>
      </c>
      <c r="G1006" s="507">
        <f>SUMIFS(Controle!$R:$R,Controle!$H:$H,produtos_escape2!$A1006,Controle!$Z:$Z,"2")</f>
        <v>0</v>
      </c>
      <c r="H1006" s="507">
        <f>SUMIFS(Controle!$R:$R,Controle!$H:$H,produtos_escape2!$A1006,Controle!$Z:$Z,"3")</f>
        <v>0</v>
      </c>
      <c r="I1006" s="507">
        <f>SUMIFS(Controle!$R:$R,Controle!$H:$H,produtos_escape2!$A1006,Controle!$Z:$Z,"4")</f>
        <v>0</v>
      </c>
      <c r="J1006" s="507">
        <f>SUMIFS(Controle!$R:$R,Controle!$H:$H,produtos_escape2!$A1006,Controle!$Z:$Z,"5")</f>
        <v>0</v>
      </c>
      <c r="K1006" s="507">
        <f>SUMIFS(Controle!$R:$R,Controle!$H:$H,produtos_escape2!$A1006,Controle!$Z:$Z,"6")</f>
        <v>0</v>
      </c>
      <c r="L1006" s="507">
        <f t="shared" si="33"/>
        <v>0</v>
      </c>
      <c r="M1006" s="381" t="s">
        <v>5060</v>
      </c>
      <c r="AF1006" s="84"/>
    </row>
    <row r="1007" spans="1:32" s="185" customFormat="1" ht="14.25" customHeight="1" thickBot="1">
      <c r="A1007" s="353">
        <v>25242</v>
      </c>
      <c r="B1007" s="194" t="s">
        <v>1452</v>
      </c>
      <c r="C1007" s="339">
        <f t="shared" si="34"/>
        <v>50000</v>
      </c>
      <c r="D1007" s="191" t="s">
        <v>624</v>
      </c>
      <c r="E1007" s="189" t="s">
        <v>3608</v>
      </c>
      <c r="F1007" s="507">
        <f>SUMIFS(Controle!$R:$R,Controle!$H:$H,produtos_escape2!$A1007,Controle!$Z:$Z,"1")</f>
        <v>0</v>
      </c>
      <c r="G1007" s="507">
        <f>SUMIFS(Controle!$R:$R,Controle!$H:$H,produtos_escape2!$A1007,Controle!$Z:$Z,"2")</f>
        <v>0</v>
      </c>
      <c r="H1007" s="507">
        <f>SUMIFS(Controle!$R:$R,Controle!$H:$H,produtos_escape2!$A1007,Controle!$Z:$Z,"3")</f>
        <v>0</v>
      </c>
      <c r="I1007" s="507">
        <f>SUMIFS(Controle!$R:$R,Controle!$H:$H,produtos_escape2!$A1007,Controle!$Z:$Z,"4")</f>
        <v>0</v>
      </c>
      <c r="J1007" s="507">
        <f>SUMIFS(Controle!$R:$R,Controle!$H:$H,produtos_escape2!$A1007,Controle!$Z:$Z,"5")</f>
        <v>0</v>
      </c>
      <c r="K1007" s="507">
        <f>SUMIFS(Controle!$R:$R,Controle!$H:$H,produtos_escape2!$A1007,Controle!$Z:$Z,"6")</f>
        <v>0</v>
      </c>
      <c r="L1007" s="507">
        <f t="shared" si="33"/>
        <v>0</v>
      </c>
      <c r="M1007" s="381" t="s">
        <v>5061</v>
      </c>
      <c r="AF1007" s="84"/>
    </row>
    <row r="1008" spans="1:32" s="186" customFormat="1" ht="14.25" customHeight="1" thickBot="1">
      <c r="A1008" s="353">
        <v>25243</v>
      </c>
      <c r="B1008" s="194" t="s">
        <v>1399</v>
      </c>
      <c r="C1008" s="339">
        <f t="shared" si="34"/>
        <v>50000</v>
      </c>
      <c r="D1008" s="191" t="s">
        <v>624</v>
      </c>
      <c r="E1008" s="189" t="s">
        <v>3608</v>
      </c>
      <c r="F1008" s="507">
        <f>SUMIFS(Controle!$R:$R,Controle!$H:$H,produtos_escape2!$A1008,Controle!$Z:$Z,"1")</f>
        <v>0</v>
      </c>
      <c r="G1008" s="507">
        <f>SUMIFS(Controle!$R:$R,Controle!$H:$H,produtos_escape2!$A1008,Controle!$Z:$Z,"2")</f>
        <v>0</v>
      </c>
      <c r="H1008" s="507">
        <f>SUMIFS(Controle!$R:$R,Controle!$H:$H,produtos_escape2!$A1008,Controle!$Z:$Z,"3")</f>
        <v>0</v>
      </c>
      <c r="I1008" s="507">
        <f>SUMIFS(Controle!$R:$R,Controle!$H:$H,produtos_escape2!$A1008,Controle!$Z:$Z,"4")</f>
        <v>0</v>
      </c>
      <c r="J1008" s="507">
        <f>SUMIFS(Controle!$R:$R,Controle!$H:$H,produtos_escape2!$A1008,Controle!$Z:$Z,"5")</f>
        <v>0</v>
      </c>
      <c r="K1008" s="507">
        <f>SUMIFS(Controle!$R:$R,Controle!$H:$H,produtos_escape2!$A1008,Controle!$Z:$Z,"6")</f>
        <v>0</v>
      </c>
      <c r="L1008" s="507">
        <f t="shared" si="33"/>
        <v>0</v>
      </c>
      <c r="M1008" s="381" t="s">
        <v>5062</v>
      </c>
      <c r="AF1008" s="84"/>
    </row>
    <row r="1009" spans="1:32" s="185" customFormat="1" ht="14.25" customHeight="1" thickBot="1">
      <c r="A1009" s="353">
        <v>25244</v>
      </c>
      <c r="B1009" s="194" t="s">
        <v>1400</v>
      </c>
      <c r="C1009" s="339">
        <f t="shared" si="34"/>
        <v>50000</v>
      </c>
      <c r="D1009" s="196" t="s">
        <v>624</v>
      </c>
      <c r="E1009" s="187" t="s">
        <v>3608</v>
      </c>
      <c r="F1009" s="507">
        <f>SUMIFS(Controle!$R:$R,Controle!$H:$H,produtos_escape2!$A1009,Controle!$Z:$Z,"1")</f>
        <v>0</v>
      </c>
      <c r="G1009" s="507">
        <f>SUMIFS(Controle!$R:$R,Controle!$H:$H,produtos_escape2!$A1009,Controle!$Z:$Z,"2")</f>
        <v>0</v>
      </c>
      <c r="H1009" s="507">
        <f>SUMIFS(Controle!$R:$R,Controle!$H:$H,produtos_escape2!$A1009,Controle!$Z:$Z,"3")</f>
        <v>0</v>
      </c>
      <c r="I1009" s="507">
        <f>SUMIFS(Controle!$R:$R,Controle!$H:$H,produtos_escape2!$A1009,Controle!$Z:$Z,"4")</f>
        <v>0</v>
      </c>
      <c r="J1009" s="507">
        <f>SUMIFS(Controle!$R:$R,Controle!$H:$H,produtos_escape2!$A1009,Controle!$Z:$Z,"5")</f>
        <v>0</v>
      </c>
      <c r="K1009" s="507">
        <f>SUMIFS(Controle!$R:$R,Controle!$H:$H,produtos_escape2!$A1009,Controle!$Z:$Z,"6")</f>
        <v>0</v>
      </c>
      <c r="L1009" s="507">
        <f t="shared" si="33"/>
        <v>0</v>
      </c>
      <c r="M1009" s="381" t="s">
        <v>5063</v>
      </c>
      <c r="AF1009" s="84"/>
    </row>
    <row r="1010" spans="1:32" s="185" customFormat="1" ht="14.25" customHeight="1" thickBot="1">
      <c r="A1010" s="353">
        <v>25245</v>
      </c>
      <c r="B1010" s="338" t="s">
        <v>1401</v>
      </c>
      <c r="C1010" s="339">
        <f t="shared" si="34"/>
        <v>50000</v>
      </c>
      <c r="D1010" s="191" t="s">
        <v>624</v>
      </c>
      <c r="E1010" s="189" t="s">
        <v>3608</v>
      </c>
      <c r="F1010" s="507">
        <f>SUMIFS(Controle!$R:$R,Controle!$H:$H,produtos_escape2!$A1010,Controle!$Z:$Z,"1")</f>
        <v>0</v>
      </c>
      <c r="G1010" s="507">
        <f>SUMIFS(Controle!$R:$R,Controle!$H:$H,produtos_escape2!$A1010,Controle!$Z:$Z,"2")</f>
        <v>0</v>
      </c>
      <c r="H1010" s="507">
        <f>SUMIFS(Controle!$R:$R,Controle!$H:$H,produtos_escape2!$A1010,Controle!$Z:$Z,"3")</f>
        <v>0</v>
      </c>
      <c r="I1010" s="507">
        <f>SUMIFS(Controle!$R:$R,Controle!$H:$H,produtos_escape2!$A1010,Controle!$Z:$Z,"4")</f>
        <v>0</v>
      </c>
      <c r="J1010" s="507">
        <f>SUMIFS(Controle!$R:$R,Controle!$H:$H,produtos_escape2!$A1010,Controle!$Z:$Z,"5")</f>
        <v>0</v>
      </c>
      <c r="K1010" s="507">
        <f>SUMIFS(Controle!$R:$R,Controle!$H:$H,produtos_escape2!$A1010,Controle!$Z:$Z,"6")</f>
        <v>0</v>
      </c>
      <c r="L1010" s="507">
        <f t="shared" si="33"/>
        <v>0</v>
      </c>
      <c r="M1010" s="381" t="s">
        <v>5064</v>
      </c>
      <c r="AF1010" s="84"/>
    </row>
    <row r="1011" spans="1:32" s="185" customFormat="1" ht="14.25" customHeight="1" thickBot="1">
      <c r="A1011" s="353">
        <v>25246</v>
      </c>
      <c r="B1011" s="194" t="s">
        <v>4466</v>
      </c>
      <c r="C1011" s="339">
        <f t="shared" si="34"/>
        <v>50000</v>
      </c>
      <c r="D1011" s="191" t="s">
        <v>624</v>
      </c>
      <c r="E1011" s="189" t="s">
        <v>3608</v>
      </c>
      <c r="F1011" s="507">
        <f>SUMIFS(Controle!$R:$R,Controle!$H:$H,produtos_escape2!$A1011,Controle!$Z:$Z,"1")</f>
        <v>0</v>
      </c>
      <c r="G1011" s="507">
        <f>SUMIFS(Controle!$R:$R,Controle!$H:$H,produtos_escape2!$A1011,Controle!$Z:$Z,"2")</f>
        <v>0</v>
      </c>
      <c r="H1011" s="507">
        <f>SUMIFS(Controle!$R:$R,Controle!$H:$H,produtos_escape2!$A1011,Controle!$Z:$Z,"3")</f>
        <v>0</v>
      </c>
      <c r="I1011" s="507">
        <f>SUMIFS(Controle!$R:$R,Controle!$H:$H,produtos_escape2!$A1011,Controle!$Z:$Z,"4")</f>
        <v>0</v>
      </c>
      <c r="J1011" s="507">
        <f>SUMIFS(Controle!$R:$R,Controle!$H:$H,produtos_escape2!$A1011,Controle!$Z:$Z,"5")</f>
        <v>0</v>
      </c>
      <c r="K1011" s="507">
        <f>SUMIFS(Controle!$R:$R,Controle!$H:$H,produtos_escape2!$A1011,Controle!$Z:$Z,"6")</f>
        <v>0</v>
      </c>
      <c r="L1011" s="507">
        <f t="shared" si="33"/>
        <v>0</v>
      </c>
      <c r="M1011" s="381" t="s">
        <v>5065</v>
      </c>
      <c r="AF1011" s="84"/>
    </row>
    <row r="1012" spans="1:32" s="185" customFormat="1" ht="14.25" customHeight="1" thickBot="1">
      <c r="A1012" s="333">
        <v>25247</v>
      </c>
      <c r="B1012" s="194" t="s">
        <v>1420</v>
      </c>
      <c r="C1012" s="339">
        <f t="shared" si="34"/>
        <v>50000</v>
      </c>
      <c r="D1012" s="196" t="s">
        <v>624</v>
      </c>
      <c r="E1012" s="187" t="s">
        <v>3608</v>
      </c>
      <c r="F1012" s="507">
        <f>SUMIFS(Controle!$R:$R,Controle!$H:$H,produtos_escape2!$A1012,Controle!$Z:$Z,"1")</f>
        <v>0</v>
      </c>
      <c r="G1012" s="507">
        <f>SUMIFS(Controle!$R:$R,Controle!$H:$H,produtos_escape2!$A1012,Controle!$Z:$Z,"2")</f>
        <v>0</v>
      </c>
      <c r="H1012" s="507">
        <f>SUMIFS(Controle!$R:$R,Controle!$H:$H,produtos_escape2!$A1012,Controle!$Z:$Z,"3")</f>
        <v>0</v>
      </c>
      <c r="I1012" s="507">
        <f>SUMIFS(Controle!$R:$R,Controle!$H:$H,produtos_escape2!$A1012,Controle!$Z:$Z,"4")</f>
        <v>0</v>
      </c>
      <c r="J1012" s="507">
        <f>SUMIFS(Controle!$R:$R,Controle!$H:$H,produtos_escape2!$A1012,Controle!$Z:$Z,"5")</f>
        <v>0</v>
      </c>
      <c r="K1012" s="507">
        <f>SUMIFS(Controle!$R:$R,Controle!$H:$H,produtos_escape2!$A1012,Controle!$Z:$Z,"6")</f>
        <v>0</v>
      </c>
      <c r="L1012" s="507">
        <f t="shared" si="33"/>
        <v>0</v>
      </c>
      <c r="M1012" s="381" t="s">
        <v>5066</v>
      </c>
      <c r="AF1012" s="84"/>
    </row>
    <row r="1013" spans="1:32" s="185" customFormat="1" ht="14.25" customHeight="1" thickBot="1">
      <c r="A1013" s="353">
        <v>25248</v>
      </c>
      <c r="B1013" s="194" t="s">
        <v>1421</v>
      </c>
      <c r="C1013" s="339">
        <f t="shared" si="34"/>
        <v>50000</v>
      </c>
      <c r="D1013" s="196" t="s">
        <v>624</v>
      </c>
      <c r="E1013" s="187" t="s">
        <v>3608</v>
      </c>
      <c r="F1013" s="507">
        <f>SUMIFS(Controle!$R:$R,Controle!$H:$H,produtos_escape2!$A1013,Controle!$Z:$Z,"1")</f>
        <v>0</v>
      </c>
      <c r="G1013" s="507">
        <f>SUMIFS(Controle!$R:$R,Controle!$H:$H,produtos_escape2!$A1013,Controle!$Z:$Z,"2")</f>
        <v>0</v>
      </c>
      <c r="H1013" s="507">
        <f>SUMIFS(Controle!$R:$R,Controle!$H:$H,produtos_escape2!$A1013,Controle!$Z:$Z,"3")</f>
        <v>0</v>
      </c>
      <c r="I1013" s="507">
        <f>SUMIFS(Controle!$R:$R,Controle!$H:$H,produtos_escape2!$A1013,Controle!$Z:$Z,"4")</f>
        <v>0</v>
      </c>
      <c r="J1013" s="507">
        <f>SUMIFS(Controle!$R:$R,Controle!$H:$H,produtos_escape2!$A1013,Controle!$Z:$Z,"5")</f>
        <v>0</v>
      </c>
      <c r="K1013" s="507">
        <f>SUMIFS(Controle!$R:$R,Controle!$H:$H,produtos_escape2!$A1013,Controle!$Z:$Z,"6")</f>
        <v>0</v>
      </c>
      <c r="L1013" s="507">
        <f t="shared" si="33"/>
        <v>0</v>
      </c>
      <c r="M1013" s="381" t="s">
        <v>5067</v>
      </c>
      <c r="AF1013" s="84"/>
    </row>
    <row r="1014" spans="1:32" s="185" customFormat="1" ht="14.25" customHeight="1" thickBot="1">
      <c r="A1014" s="353">
        <v>25249</v>
      </c>
      <c r="B1014" s="194" t="s">
        <v>1422</v>
      </c>
      <c r="C1014" s="339">
        <f t="shared" si="34"/>
        <v>50000</v>
      </c>
      <c r="D1014" s="196" t="s">
        <v>624</v>
      </c>
      <c r="E1014" s="187" t="s">
        <v>3608</v>
      </c>
      <c r="F1014" s="507">
        <f>SUMIFS(Controle!$R:$R,Controle!$H:$H,produtos_escape2!$A1014,Controle!$Z:$Z,"1")</f>
        <v>0</v>
      </c>
      <c r="G1014" s="507">
        <f>SUMIFS(Controle!$R:$R,Controle!$H:$H,produtos_escape2!$A1014,Controle!$Z:$Z,"2")</f>
        <v>0</v>
      </c>
      <c r="H1014" s="507">
        <f>SUMIFS(Controle!$R:$R,Controle!$H:$H,produtos_escape2!$A1014,Controle!$Z:$Z,"3")</f>
        <v>0</v>
      </c>
      <c r="I1014" s="507">
        <f>SUMIFS(Controle!$R:$R,Controle!$H:$H,produtos_escape2!$A1014,Controle!$Z:$Z,"4")</f>
        <v>0</v>
      </c>
      <c r="J1014" s="507">
        <f>SUMIFS(Controle!$R:$R,Controle!$H:$H,produtos_escape2!$A1014,Controle!$Z:$Z,"5")</f>
        <v>0</v>
      </c>
      <c r="K1014" s="507">
        <f>SUMIFS(Controle!$R:$R,Controle!$H:$H,produtos_escape2!$A1014,Controle!$Z:$Z,"6")</f>
        <v>0</v>
      </c>
      <c r="L1014" s="507">
        <f t="shared" si="33"/>
        <v>0</v>
      </c>
      <c r="M1014" s="381" t="s">
        <v>5068</v>
      </c>
      <c r="AF1014" s="84"/>
    </row>
    <row r="1015" spans="1:32" s="185" customFormat="1" ht="14.25" customHeight="1" thickBot="1">
      <c r="A1015" s="353">
        <v>25251</v>
      </c>
      <c r="B1015" s="194" t="s">
        <v>3917</v>
      </c>
      <c r="C1015" s="339">
        <f t="shared" si="34"/>
        <v>50000</v>
      </c>
      <c r="D1015" s="196" t="s">
        <v>624</v>
      </c>
      <c r="E1015" s="189" t="s">
        <v>1739</v>
      </c>
      <c r="F1015" s="507">
        <f>SUMIFS(Controle!$R:$R,Controle!$H:$H,produtos_escape2!$A1015,Controle!$Z:$Z,"1")</f>
        <v>0</v>
      </c>
      <c r="G1015" s="507">
        <f>SUMIFS(Controle!$R:$R,Controle!$H:$H,produtos_escape2!$A1015,Controle!$Z:$Z,"2")</f>
        <v>0</v>
      </c>
      <c r="H1015" s="507">
        <f>SUMIFS(Controle!$R:$R,Controle!$H:$H,produtos_escape2!$A1015,Controle!$Z:$Z,"3")</f>
        <v>0</v>
      </c>
      <c r="I1015" s="507">
        <f>SUMIFS(Controle!$R:$R,Controle!$H:$H,produtos_escape2!$A1015,Controle!$Z:$Z,"4")</f>
        <v>0</v>
      </c>
      <c r="J1015" s="507">
        <f>SUMIFS(Controle!$R:$R,Controle!$H:$H,produtos_escape2!$A1015,Controle!$Z:$Z,"5")</f>
        <v>0</v>
      </c>
      <c r="K1015" s="507">
        <f>SUMIFS(Controle!$R:$R,Controle!$H:$H,produtos_escape2!$A1015,Controle!$Z:$Z,"6")</f>
        <v>0</v>
      </c>
      <c r="L1015" s="507">
        <f t="shared" si="33"/>
        <v>0</v>
      </c>
      <c r="M1015" s="381" t="s">
        <v>5069</v>
      </c>
      <c r="AF1015" s="84"/>
    </row>
    <row r="1016" spans="1:32" s="185" customFormat="1" ht="14.25" customHeight="1" thickBot="1">
      <c r="A1016" s="353">
        <v>25252</v>
      </c>
      <c r="B1016" s="194" t="s">
        <v>1826</v>
      </c>
      <c r="C1016" s="339">
        <f t="shared" si="34"/>
        <v>50000</v>
      </c>
      <c r="D1016" s="196" t="s">
        <v>624</v>
      </c>
      <c r="E1016" s="187" t="s">
        <v>3608</v>
      </c>
      <c r="F1016" s="507">
        <f>SUMIFS(Controle!$R:$R,Controle!$H:$H,produtos_escape2!$A1016,Controle!$Z:$Z,"1")</f>
        <v>0</v>
      </c>
      <c r="G1016" s="507">
        <f>SUMIFS(Controle!$R:$R,Controle!$H:$H,produtos_escape2!$A1016,Controle!$Z:$Z,"2")</f>
        <v>0</v>
      </c>
      <c r="H1016" s="507">
        <f>SUMIFS(Controle!$R:$R,Controle!$H:$H,produtos_escape2!$A1016,Controle!$Z:$Z,"3")</f>
        <v>0</v>
      </c>
      <c r="I1016" s="507">
        <f>SUMIFS(Controle!$R:$R,Controle!$H:$H,produtos_escape2!$A1016,Controle!$Z:$Z,"4")</f>
        <v>0</v>
      </c>
      <c r="J1016" s="507">
        <f>SUMIFS(Controle!$R:$R,Controle!$H:$H,produtos_escape2!$A1016,Controle!$Z:$Z,"5")</f>
        <v>0</v>
      </c>
      <c r="K1016" s="507">
        <f>SUMIFS(Controle!$R:$R,Controle!$H:$H,produtos_escape2!$A1016,Controle!$Z:$Z,"6")</f>
        <v>0</v>
      </c>
      <c r="L1016" s="507">
        <f t="shared" si="33"/>
        <v>0</v>
      </c>
      <c r="M1016" s="381" t="s">
        <v>5070</v>
      </c>
      <c r="AF1016" s="84"/>
    </row>
    <row r="1017" spans="1:32" s="185" customFormat="1" ht="14.25" customHeight="1" thickBot="1">
      <c r="A1017" s="353">
        <v>25253</v>
      </c>
      <c r="B1017" s="194" t="s">
        <v>3852</v>
      </c>
      <c r="C1017" s="339">
        <f t="shared" si="34"/>
        <v>50000</v>
      </c>
      <c r="D1017" s="196" t="s">
        <v>624</v>
      </c>
      <c r="E1017" s="187" t="s">
        <v>3608</v>
      </c>
      <c r="F1017" s="507">
        <f>SUMIFS(Controle!$R:$R,Controle!$H:$H,produtos_escape2!$A1017,Controle!$Z:$Z,"1")</f>
        <v>0</v>
      </c>
      <c r="G1017" s="507">
        <f>SUMIFS(Controle!$R:$R,Controle!$H:$H,produtos_escape2!$A1017,Controle!$Z:$Z,"2")</f>
        <v>0</v>
      </c>
      <c r="H1017" s="507">
        <f>SUMIFS(Controle!$R:$R,Controle!$H:$H,produtos_escape2!$A1017,Controle!$Z:$Z,"3")</f>
        <v>0</v>
      </c>
      <c r="I1017" s="507">
        <f>SUMIFS(Controle!$R:$R,Controle!$H:$H,produtos_escape2!$A1017,Controle!$Z:$Z,"4")</f>
        <v>0</v>
      </c>
      <c r="J1017" s="507">
        <f>SUMIFS(Controle!$R:$R,Controle!$H:$H,produtos_escape2!$A1017,Controle!$Z:$Z,"5")</f>
        <v>0</v>
      </c>
      <c r="K1017" s="507">
        <f>SUMIFS(Controle!$R:$R,Controle!$H:$H,produtos_escape2!$A1017,Controle!$Z:$Z,"6")</f>
        <v>0</v>
      </c>
      <c r="L1017" s="507">
        <f t="shared" si="33"/>
        <v>0</v>
      </c>
      <c r="M1017" s="381" t="s">
        <v>5071</v>
      </c>
      <c r="AF1017" s="84"/>
    </row>
    <row r="1018" spans="1:32" s="185" customFormat="1" ht="14.25" customHeight="1" thickBot="1">
      <c r="A1018" s="353">
        <v>25254</v>
      </c>
      <c r="B1018" s="338" t="s">
        <v>1391</v>
      </c>
      <c r="C1018" s="339">
        <f t="shared" si="34"/>
        <v>50000</v>
      </c>
      <c r="D1018" s="196" t="s">
        <v>624</v>
      </c>
      <c r="E1018" s="187" t="s">
        <v>3608</v>
      </c>
      <c r="F1018" s="507">
        <f>SUMIFS(Controle!$R:$R,Controle!$H:$H,produtos_escape2!$A1018,Controle!$Z:$Z,"1")</f>
        <v>0</v>
      </c>
      <c r="G1018" s="507">
        <f>SUMIFS(Controle!$R:$R,Controle!$H:$H,produtos_escape2!$A1018,Controle!$Z:$Z,"2")</f>
        <v>0</v>
      </c>
      <c r="H1018" s="507">
        <f>SUMIFS(Controle!$R:$R,Controle!$H:$H,produtos_escape2!$A1018,Controle!$Z:$Z,"3")</f>
        <v>0</v>
      </c>
      <c r="I1018" s="507">
        <f>SUMIFS(Controle!$R:$R,Controle!$H:$H,produtos_escape2!$A1018,Controle!$Z:$Z,"4")</f>
        <v>0</v>
      </c>
      <c r="J1018" s="507">
        <f>SUMIFS(Controle!$R:$R,Controle!$H:$H,produtos_escape2!$A1018,Controle!$Z:$Z,"5")</f>
        <v>0</v>
      </c>
      <c r="K1018" s="507">
        <f>SUMIFS(Controle!$R:$R,Controle!$H:$H,produtos_escape2!$A1018,Controle!$Z:$Z,"6")</f>
        <v>0</v>
      </c>
      <c r="L1018" s="507">
        <f t="shared" si="33"/>
        <v>0</v>
      </c>
      <c r="M1018" s="381" t="s">
        <v>5072</v>
      </c>
      <c r="AF1018" s="84"/>
    </row>
    <row r="1019" spans="1:32" s="185" customFormat="1" ht="14.25" customHeight="1" thickBot="1">
      <c r="A1019" s="353">
        <v>25256</v>
      </c>
      <c r="B1019" s="194" t="s">
        <v>1374</v>
      </c>
      <c r="C1019" s="339">
        <f t="shared" si="34"/>
        <v>50000</v>
      </c>
      <c r="D1019" s="196" t="s">
        <v>624</v>
      </c>
      <c r="E1019" s="187" t="s">
        <v>3608</v>
      </c>
      <c r="F1019" s="507">
        <f>SUMIFS(Controle!$R:$R,Controle!$H:$H,produtos_escape2!$A1019,Controle!$Z:$Z,"1")</f>
        <v>0</v>
      </c>
      <c r="G1019" s="507">
        <f>SUMIFS(Controle!$R:$R,Controle!$H:$H,produtos_escape2!$A1019,Controle!$Z:$Z,"2")</f>
        <v>0</v>
      </c>
      <c r="H1019" s="507">
        <f>SUMIFS(Controle!$R:$R,Controle!$H:$H,produtos_escape2!$A1019,Controle!$Z:$Z,"3")</f>
        <v>0</v>
      </c>
      <c r="I1019" s="507">
        <f>SUMIFS(Controle!$R:$R,Controle!$H:$H,produtos_escape2!$A1019,Controle!$Z:$Z,"4")</f>
        <v>0</v>
      </c>
      <c r="J1019" s="507">
        <f>SUMIFS(Controle!$R:$R,Controle!$H:$H,produtos_escape2!$A1019,Controle!$Z:$Z,"5")</f>
        <v>0</v>
      </c>
      <c r="K1019" s="507">
        <f>SUMIFS(Controle!$R:$R,Controle!$H:$H,produtos_escape2!$A1019,Controle!$Z:$Z,"6")</f>
        <v>0</v>
      </c>
      <c r="L1019" s="507">
        <f t="shared" si="33"/>
        <v>0</v>
      </c>
      <c r="M1019" s="381" t="s">
        <v>5073</v>
      </c>
      <c r="AF1019" s="84"/>
    </row>
    <row r="1020" spans="1:32" s="185" customFormat="1" ht="14.25" customHeight="1" thickBot="1">
      <c r="A1020" s="333">
        <v>25257</v>
      </c>
      <c r="B1020" s="194" t="s">
        <v>1502</v>
      </c>
      <c r="C1020" s="339">
        <f t="shared" si="34"/>
        <v>50000</v>
      </c>
      <c r="D1020" s="196" t="s">
        <v>624</v>
      </c>
      <c r="E1020" s="187" t="s">
        <v>3608</v>
      </c>
      <c r="F1020" s="507">
        <f>SUMIFS(Controle!$R:$R,Controle!$H:$H,produtos_escape2!$A1020,Controle!$Z:$Z,"1")</f>
        <v>0</v>
      </c>
      <c r="G1020" s="507">
        <f>SUMIFS(Controle!$R:$R,Controle!$H:$H,produtos_escape2!$A1020,Controle!$Z:$Z,"2")</f>
        <v>0</v>
      </c>
      <c r="H1020" s="507">
        <f>SUMIFS(Controle!$R:$R,Controle!$H:$H,produtos_escape2!$A1020,Controle!$Z:$Z,"3")</f>
        <v>0</v>
      </c>
      <c r="I1020" s="507">
        <f>SUMIFS(Controle!$R:$R,Controle!$H:$H,produtos_escape2!$A1020,Controle!$Z:$Z,"4")</f>
        <v>0</v>
      </c>
      <c r="J1020" s="507">
        <f>SUMIFS(Controle!$R:$R,Controle!$H:$H,produtos_escape2!$A1020,Controle!$Z:$Z,"5")</f>
        <v>0</v>
      </c>
      <c r="K1020" s="507">
        <f>SUMIFS(Controle!$R:$R,Controle!$H:$H,produtos_escape2!$A1020,Controle!$Z:$Z,"6")</f>
        <v>0</v>
      </c>
      <c r="L1020" s="507">
        <f t="shared" si="33"/>
        <v>0</v>
      </c>
      <c r="M1020" s="381" t="s">
        <v>5074</v>
      </c>
      <c r="AF1020" s="84"/>
    </row>
    <row r="1021" spans="1:32" s="185" customFormat="1" ht="14.25" customHeight="1" thickBot="1">
      <c r="A1021" s="353">
        <v>25259</v>
      </c>
      <c r="B1021" s="194" t="s">
        <v>2632</v>
      </c>
      <c r="C1021" s="339">
        <f t="shared" si="34"/>
        <v>50000</v>
      </c>
      <c r="D1021" s="196" t="s">
        <v>548</v>
      </c>
      <c r="E1021" s="187" t="s">
        <v>3608</v>
      </c>
      <c r="F1021" s="507">
        <f>SUMIFS(Controle!$R:$R,Controle!$H:$H,produtos_escape2!$A1021,Controle!$Z:$Z,"1")</f>
        <v>0</v>
      </c>
      <c r="G1021" s="507">
        <f>SUMIFS(Controle!$R:$R,Controle!$H:$H,produtos_escape2!$A1021,Controle!$Z:$Z,"2")</f>
        <v>0</v>
      </c>
      <c r="H1021" s="507">
        <f>SUMIFS(Controle!$R:$R,Controle!$H:$H,produtos_escape2!$A1021,Controle!$Z:$Z,"3")</f>
        <v>0</v>
      </c>
      <c r="I1021" s="507">
        <f>SUMIFS(Controle!$R:$R,Controle!$H:$H,produtos_escape2!$A1021,Controle!$Z:$Z,"4")</f>
        <v>0</v>
      </c>
      <c r="J1021" s="507">
        <f>SUMIFS(Controle!$R:$R,Controle!$H:$H,produtos_escape2!$A1021,Controle!$Z:$Z,"5")</f>
        <v>0</v>
      </c>
      <c r="K1021" s="507">
        <f>SUMIFS(Controle!$R:$R,Controle!$H:$H,produtos_escape2!$A1021,Controle!$Z:$Z,"6")</f>
        <v>0</v>
      </c>
      <c r="L1021" s="507">
        <f t="shared" si="33"/>
        <v>0</v>
      </c>
      <c r="M1021" s="381" t="s">
        <v>5075</v>
      </c>
      <c r="AF1021" s="84"/>
    </row>
    <row r="1022" spans="1:32" s="185" customFormat="1" ht="14.25" customHeight="1" thickBot="1">
      <c r="A1022" s="353">
        <v>25260</v>
      </c>
      <c r="B1022" s="194" t="s">
        <v>939</v>
      </c>
      <c r="C1022" s="339">
        <f t="shared" si="34"/>
        <v>50000</v>
      </c>
      <c r="D1022" s="196" t="s">
        <v>624</v>
      </c>
      <c r="E1022" s="187" t="s">
        <v>3608</v>
      </c>
      <c r="F1022" s="507">
        <f>SUMIFS(Controle!$R:$R,Controle!$H:$H,produtos_escape2!$A1022,Controle!$Z:$Z,"1")</f>
        <v>0</v>
      </c>
      <c r="G1022" s="507">
        <f>SUMIFS(Controle!$R:$R,Controle!$H:$H,produtos_escape2!$A1022,Controle!$Z:$Z,"2")</f>
        <v>0</v>
      </c>
      <c r="H1022" s="507">
        <f>SUMIFS(Controle!$R:$R,Controle!$H:$H,produtos_escape2!$A1022,Controle!$Z:$Z,"3")</f>
        <v>0</v>
      </c>
      <c r="I1022" s="507">
        <f>SUMIFS(Controle!$R:$R,Controle!$H:$H,produtos_escape2!$A1022,Controle!$Z:$Z,"4")</f>
        <v>0</v>
      </c>
      <c r="J1022" s="507">
        <f>SUMIFS(Controle!$R:$R,Controle!$H:$H,produtos_escape2!$A1022,Controle!$Z:$Z,"5")</f>
        <v>0</v>
      </c>
      <c r="K1022" s="507">
        <f>SUMIFS(Controle!$R:$R,Controle!$H:$H,produtos_escape2!$A1022,Controle!$Z:$Z,"6")</f>
        <v>0</v>
      </c>
      <c r="L1022" s="507">
        <f t="shared" si="33"/>
        <v>0</v>
      </c>
      <c r="M1022" s="381" t="s">
        <v>5076</v>
      </c>
      <c r="AF1022" s="84"/>
    </row>
    <row r="1023" spans="1:32" s="185" customFormat="1" ht="14.25" customHeight="1" thickBot="1">
      <c r="A1023" s="353">
        <v>25261</v>
      </c>
      <c r="B1023" s="194" t="s">
        <v>1825</v>
      </c>
      <c r="C1023" s="339">
        <f t="shared" si="34"/>
        <v>50000</v>
      </c>
      <c r="D1023" s="191" t="s">
        <v>624</v>
      </c>
      <c r="E1023" s="189" t="s">
        <v>3608</v>
      </c>
      <c r="F1023" s="507">
        <f>SUMIFS(Controle!$R:$R,Controle!$H:$H,produtos_escape2!$A1023,Controle!$Z:$Z,"1")</f>
        <v>0</v>
      </c>
      <c r="G1023" s="507">
        <f>SUMIFS(Controle!$R:$R,Controle!$H:$H,produtos_escape2!$A1023,Controle!$Z:$Z,"2")</f>
        <v>0</v>
      </c>
      <c r="H1023" s="507">
        <f>SUMIFS(Controle!$R:$R,Controle!$H:$H,produtos_escape2!$A1023,Controle!$Z:$Z,"3")</f>
        <v>0</v>
      </c>
      <c r="I1023" s="507">
        <f>SUMIFS(Controle!$R:$R,Controle!$H:$H,produtos_escape2!$A1023,Controle!$Z:$Z,"4")</f>
        <v>0</v>
      </c>
      <c r="J1023" s="507">
        <f>SUMIFS(Controle!$R:$R,Controle!$H:$H,produtos_escape2!$A1023,Controle!$Z:$Z,"5")</f>
        <v>0</v>
      </c>
      <c r="K1023" s="507">
        <f>SUMIFS(Controle!$R:$R,Controle!$H:$H,produtos_escape2!$A1023,Controle!$Z:$Z,"6")</f>
        <v>0</v>
      </c>
      <c r="L1023" s="507">
        <f t="shared" ref="L1023:L1086" si="35">SUM(F1023:K1023)</f>
        <v>0</v>
      </c>
      <c r="M1023" s="381" t="s">
        <v>5077</v>
      </c>
      <c r="AF1023" s="84"/>
    </row>
    <row r="1024" spans="1:32" s="185" customFormat="1" ht="14.25" customHeight="1" thickBot="1">
      <c r="A1024" s="353">
        <v>25262</v>
      </c>
      <c r="B1024" s="194" t="s">
        <v>604</v>
      </c>
      <c r="C1024" s="339">
        <f t="shared" si="34"/>
        <v>50000</v>
      </c>
      <c r="D1024" s="196" t="s">
        <v>624</v>
      </c>
      <c r="E1024" s="187" t="s">
        <v>3608</v>
      </c>
      <c r="F1024" s="507">
        <f>SUMIFS(Controle!$R:$R,Controle!$H:$H,produtos_escape2!$A1024,Controle!$Z:$Z,"1")</f>
        <v>0</v>
      </c>
      <c r="G1024" s="507">
        <f>SUMIFS(Controle!$R:$R,Controle!$H:$H,produtos_escape2!$A1024,Controle!$Z:$Z,"2")</f>
        <v>0</v>
      </c>
      <c r="H1024" s="507">
        <f>SUMIFS(Controle!$R:$R,Controle!$H:$H,produtos_escape2!$A1024,Controle!$Z:$Z,"3")</f>
        <v>0</v>
      </c>
      <c r="I1024" s="507">
        <f>SUMIFS(Controle!$R:$R,Controle!$H:$H,produtos_escape2!$A1024,Controle!$Z:$Z,"4")</f>
        <v>0</v>
      </c>
      <c r="J1024" s="507">
        <f>SUMIFS(Controle!$R:$R,Controle!$H:$H,produtos_escape2!$A1024,Controle!$Z:$Z,"5")</f>
        <v>0</v>
      </c>
      <c r="K1024" s="507">
        <f>SUMIFS(Controle!$R:$R,Controle!$H:$H,produtos_escape2!$A1024,Controle!$Z:$Z,"6")</f>
        <v>0</v>
      </c>
      <c r="L1024" s="507">
        <f t="shared" si="35"/>
        <v>0</v>
      </c>
      <c r="M1024" s="381" t="s">
        <v>5078</v>
      </c>
      <c r="AF1024" s="84"/>
    </row>
    <row r="1025" spans="1:32" s="185" customFormat="1" ht="14.25" customHeight="1" thickBot="1">
      <c r="A1025" s="353">
        <v>25266</v>
      </c>
      <c r="B1025" s="194" t="s">
        <v>1426</v>
      </c>
      <c r="C1025" s="339">
        <f t="shared" si="34"/>
        <v>50000</v>
      </c>
      <c r="D1025" s="196" t="s">
        <v>624</v>
      </c>
      <c r="E1025" s="187" t="s">
        <v>7207</v>
      </c>
      <c r="F1025" s="507">
        <f>SUMIFS(Controle!$R:$R,Controle!$H:$H,produtos_escape2!$A1025,Controle!$Z:$Z,"1")</f>
        <v>0</v>
      </c>
      <c r="G1025" s="507">
        <f>SUMIFS(Controle!$R:$R,Controle!$H:$H,produtos_escape2!$A1025,Controle!$Z:$Z,"2")</f>
        <v>0</v>
      </c>
      <c r="H1025" s="507">
        <f>SUMIFS(Controle!$R:$R,Controle!$H:$H,produtos_escape2!$A1025,Controle!$Z:$Z,"3")</f>
        <v>0</v>
      </c>
      <c r="I1025" s="507">
        <f>SUMIFS(Controle!$R:$R,Controle!$H:$H,produtos_escape2!$A1025,Controle!$Z:$Z,"4")</f>
        <v>0</v>
      </c>
      <c r="J1025" s="507">
        <f>SUMIFS(Controle!$R:$R,Controle!$H:$H,produtos_escape2!$A1025,Controle!$Z:$Z,"5")</f>
        <v>0</v>
      </c>
      <c r="K1025" s="507">
        <f>SUMIFS(Controle!$R:$R,Controle!$H:$H,produtos_escape2!$A1025,Controle!$Z:$Z,"6")</f>
        <v>0</v>
      </c>
      <c r="L1025" s="507">
        <f t="shared" si="35"/>
        <v>0</v>
      </c>
      <c r="M1025" s="381" t="s">
        <v>4712</v>
      </c>
      <c r="AF1025" s="84"/>
    </row>
    <row r="1026" spans="1:32" s="185" customFormat="1" ht="14.25" customHeight="1" thickBot="1">
      <c r="A1026" s="353">
        <v>25269</v>
      </c>
      <c r="B1026" s="338" t="s">
        <v>1796</v>
      </c>
      <c r="C1026" s="339">
        <f t="shared" si="34"/>
        <v>50000</v>
      </c>
      <c r="D1026" s="191" t="s">
        <v>636</v>
      </c>
      <c r="E1026" s="189" t="s">
        <v>7207</v>
      </c>
      <c r="F1026" s="507">
        <f>SUMIFS(Controle!$R:$R,Controle!$H:$H,produtos_escape2!$A1026,Controle!$Z:$Z,"1")</f>
        <v>0</v>
      </c>
      <c r="G1026" s="507">
        <f>SUMIFS(Controle!$R:$R,Controle!$H:$H,produtos_escape2!$A1026,Controle!$Z:$Z,"2")</f>
        <v>0</v>
      </c>
      <c r="H1026" s="507">
        <f>SUMIFS(Controle!$R:$R,Controle!$H:$H,produtos_escape2!$A1026,Controle!$Z:$Z,"3")</f>
        <v>0</v>
      </c>
      <c r="I1026" s="507">
        <f>SUMIFS(Controle!$R:$R,Controle!$H:$H,produtos_escape2!$A1026,Controle!$Z:$Z,"4")</f>
        <v>0</v>
      </c>
      <c r="J1026" s="507">
        <f>SUMIFS(Controle!$R:$R,Controle!$H:$H,produtos_escape2!$A1026,Controle!$Z:$Z,"5")</f>
        <v>0</v>
      </c>
      <c r="K1026" s="507">
        <f>SUMIFS(Controle!$R:$R,Controle!$H:$H,produtos_escape2!$A1026,Controle!$Z:$Z,"6")</f>
        <v>0</v>
      </c>
      <c r="L1026" s="507">
        <f t="shared" si="35"/>
        <v>0</v>
      </c>
      <c r="M1026" s="381" t="s">
        <v>5079</v>
      </c>
      <c r="AF1026" s="84"/>
    </row>
    <row r="1027" spans="1:32" s="185" customFormat="1" ht="14.25" customHeight="1" thickBot="1">
      <c r="A1027" s="353">
        <v>25271</v>
      </c>
      <c r="B1027" s="194" t="s">
        <v>2633</v>
      </c>
      <c r="C1027" s="339">
        <f t="shared" si="34"/>
        <v>50000</v>
      </c>
      <c r="D1027" s="196" t="s">
        <v>624</v>
      </c>
      <c r="E1027" s="187" t="s">
        <v>7207</v>
      </c>
      <c r="F1027" s="507">
        <f>SUMIFS(Controle!$R:$R,Controle!$H:$H,produtos_escape2!$A1027,Controle!$Z:$Z,"1")</f>
        <v>0</v>
      </c>
      <c r="G1027" s="507">
        <f>SUMIFS(Controle!$R:$R,Controle!$H:$H,produtos_escape2!$A1027,Controle!$Z:$Z,"2")</f>
        <v>0</v>
      </c>
      <c r="H1027" s="507">
        <f>SUMIFS(Controle!$R:$R,Controle!$H:$H,produtos_escape2!$A1027,Controle!$Z:$Z,"3")</f>
        <v>0</v>
      </c>
      <c r="I1027" s="507">
        <f>SUMIFS(Controle!$R:$R,Controle!$H:$H,produtos_escape2!$A1027,Controle!$Z:$Z,"4")</f>
        <v>0</v>
      </c>
      <c r="J1027" s="507">
        <f>SUMIFS(Controle!$R:$R,Controle!$H:$H,produtos_escape2!$A1027,Controle!$Z:$Z,"5")</f>
        <v>0</v>
      </c>
      <c r="K1027" s="507">
        <f>SUMIFS(Controle!$R:$R,Controle!$H:$H,produtos_escape2!$A1027,Controle!$Z:$Z,"6")</f>
        <v>0</v>
      </c>
      <c r="L1027" s="507">
        <f t="shared" si="35"/>
        <v>0</v>
      </c>
      <c r="M1027" s="381" t="s">
        <v>5080</v>
      </c>
      <c r="AF1027" s="84"/>
    </row>
    <row r="1028" spans="1:32" s="185" customFormat="1" ht="14.25" customHeight="1" thickBot="1">
      <c r="A1028" s="333">
        <v>25272</v>
      </c>
      <c r="B1028" s="194" t="s">
        <v>2634</v>
      </c>
      <c r="C1028" s="339">
        <f t="shared" si="34"/>
        <v>50000</v>
      </c>
      <c r="D1028" s="196" t="s">
        <v>624</v>
      </c>
      <c r="E1028" s="187" t="s">
        <v>7207</v>
      </c>
      <c r="F1028" s="507">
        <f>SUMIFS(Controle!$R:$R,Controle!$H:$H,produtos_escape2!$A1028,Controle!$Z:$Z,"1")</f>
        <v>0</v>
      </c>
      <c r="G1028" s="507">
        <f>SUMIFS(Controle!$R:$R,Controle!$H:$H,produtos_escape2!$A1028,Controle!$Z:$Z,"2")</f>
        <v>0</v>
      </c>
      <c r="H1028" s="507">
        <f>SUMIFS(Controle!$R:$R,Controle!$H:$H,produtos_escape2!$A1028,Controle!$Z:$Z,"3")</f>
        <v>0</v>
      </c>
      <c r="I1028" s="507">
        <f>SUMIFS(Controle!$R:$R,Controle!$H:$H,produtos_escape2!$A1028,Controle!$Z:$Z,"4")</f>
        <v>0</v>
      </c>
      <c r="J1028" s="507">
        <f>SUMIFS(Controle!$R:$R,Controle!$H:$H,produtos_escape2!$A1028,Controle!$Z:$Z,"5")</f>
        <v>0</v>
      </c>
      <c r="K1028" s="507">
        <f>SUMIFS(Controle!$R:$R,Controle!$H:$H,produtos_escape2!$A1028,Controle!$Z:$Z,"6")</f>
        <v>0</v>
      </c>
      <c r="L1028" s="507">
        <f t="shared" si="35"/>
        <v>0</v>
      </c>
      <c r="M1028" s="381" t="s">
        <v>5080</v>
      </c>
      <c r="AF1028" s="84"/>
    </row>
    <row r="1029" spans="1:32" s="185" customFormat="1" ht="14.25" customHeight="1" thickBot="1">
      <c r="A1029" s="353">
        <v>25273</v>
      </c>
      <c r="B1029" s="194" t="s">
        <v>2635</v>
      </c>
      <c r="C1029" s="339">
        <f t="shared" ref="C1029:C1092" si="36">50000-SUM(F1029:K1029)</f>
        <v>50000</v>
      </c>
      <c r="D1029" s="196" t="s">
        <v>624</v>
      </c>
      <c r="E1029" s="187" t="s">
        <v>7207</v>
      </c>
      <c r="F1029" s="507">
        <f>SUMIFS(Controle!$R:$R,Controle!$H:$H,produtos_escape2!$A1029,Controle!$Z:$Z,"1")</f>
        <v>0</v>
      </c>
      <c r="G1029" s="507">
        <f>SUMIFS(Controle!$R:$R,Controle!$H:$H,produtos_escape2!$A1029,Controle!$Z:$Z,"2")</f>
        <v>0</v>
      </c>
      <c r="H1029" s="507">
        <f>SUMIFS(Controle!$R:$R,Controle!$H:$H,produtos_escape2!$A1029,Controle!$Z:$Z,"3")</f>
        <v>0</v>
      </c>
      <c r="I1029" s="507">
        <f>SUMIFS(Controle!$R:$R,Controle!$H:$H,produtos_escape2!$A1029,Controle!$Z:$Z,"4")</f>
        <v>0</v>
      </c>
      <c r="J1029" s="507">
        <f>SUMIFS(Controle!$R:$R,Controle!$H:$H,produtos_escape2!$A1029,Controle!$Z:$Z,"5")</f>
        <v>0</v>
      </c>
      <c r="K1029" s="507">
        <f>SUMIFS(Controle!$R:$R,Controle!$H:$H,produtos_escape2!$A1029,Controle!$Z:$Z,"6")</f>
        <v>0</v>
      </c>
      <c r="L1029" s="507">
        <f t="shared" si="35"/>
        <v>0</v>
      </c>
      <c r="M1029" s="381" t="s">
        <v>5080</v>
      </c>
      <c r="AF1029" s="84"/>
    </row>
    <row r="1030" spans="1:32" s="185" customFormat="1" ht="14.25" customHeight="1" thickBot="1">
      <c r="A1030" s="353">
        <v>25280</v>
      </c>
      <c r="B1030" s="194" t="s">
        <v>3491</v>
      </c>
      <c r="C1030" s="339">
        <f t="shared" si="36"/>
        <v>50000</v>
      </c>
      <c r="D1030" s="196" t="s">
        <v>624</v>
      </c>
      <c r="E1030" s="187" t="s">
        <v>3608</v>
      </c>
      <c r="F1030" s="507">
        <f>SUMIFS(Controle!$R:$R,Controle!$H:$H,produtos_escape2!$A1030,Controle!$Z:$Z,"1")</f>
        <v>0</v>
      </c>
      <c r="G1030" s="507">
        <f>SUMIFS(Controle!$R:$R,Controle!$H:$H,produtos_escape2!$A1030,Controle!$Z:$Z,"2")</f>
        <v>0</v>
      </c>
      <c r="H1030" s="507">
        <f>SUMIFS(Controle!$R:$R,Controle!$H:$H,produtos_escape2!$A1030,Controle!$Z:$Z,"3")</f>
        <v>0</v>
      </c>
      <c r="I1030" s="507">
        <f>SUMIFS(Controle!$R:$R,Controle!$H:$H,produtos_escape2!$A1030,Controle!$Z:$Z,"4")</f>
        <v>0</v>
      </c>
      <c r="J1030" s="507">
        <f>SUMIFS(Controle!$R:$R,Controle!$H:$H,produtos_escape2!$A1030,Controle!$Z:$Z,"5")</f>
        <v>0</v>
      </c>
      <c r="K1030" s="507">
        <f>SUMIFS(Controle!$R:$R,Controle!$H:$H,produtos_escape2!$A1030,Controle!$Z:$Z,"6")</f>
        <v>0</v>
      </c>
      <c r="L1030" s="507">
        <f t="shared" si="35"/>
        <v>0</v>
      </c>
      <c r="M1030" s="381" t="s">
        <v>5081</v>
      </c>
      <c r="AF1030" s="84"/>
    </row>
    <row r="1031" spans="1:32" s="185" customFormat="1" ht="14.25" customHeight="1" thickBot="1">
      <c r="A1031" s="353">
        <v>25282</v>
      </c>
      <c r="B1031" s="194" t="s">
        <v>3540</v>
      </c>
      <c r="C1031" s="339">
        <f t="shared" si="36"/>
        <v>50000</v>
      </c>
      <c r="D1031" s="196" t="s">
        <v>624</v>
      </c>
      <c r="E1031" s="187" t="s">
        <v>3608</v>
      </c>
      <c r="F1031" s="507">
        <f>SUMIFS(Controle!$R:$R,Controle!$H:$H,produtos_escape2!$A1031,Controle!$Z:$Z,"1")</f>
        <v>0</v>
      </c>
      <c r="G1031" s="507">
        <f>SUMIFS(Controle!$R:$R,Controle!$H:$H,produtos_escape2!$A1031,Controle!$Z:$Z,"2")</f>
        <v>0</v>
      </c>
      <c r="H1031" s="507">
        <f>SUMIFS(Controle!$R:$R,Controle!$H:$H,produtos_escape2!$A1031,Controle!$Z:$Z,"3")</f>
        <v>0</v>
      </c>
      <c r="I1031" s="507">
        <f>SUMIFS(Controle!$R:$R,Controle!$H:$H,produtos_escape2!$A1031,Controle!$Z:$Z,"4")</f>
        <v>0</v>
      </c>
      <c r="J1031" s="507">
        <f>SUMIFS(Controle!$R:$R,Controle!$H:$H,produtos_escape2!$A1031,Controle!$Z:$Z,"5")</f>
        <v>0</v>
      </c>
      <c r="K1031" s="507">
        <f>SUMIFS(Controle!$R:$R,Controle!$H:$H,produtos_escape2!$A1031,Controle!$Z:$Z,"6")</f>
        <v>0</v>
      </c>
      <c r="L1031" s="507">
        <f t="shared" si="35"/>
        <v>0</v>
      </c>
      <c r="M1031" s="381" t="s">
        <v>5081</v>
      </c>
      <c r="AF1031" s="84"/>
    </row>
    <row r="1032" spans="1:32" s="185" customFormat="1" ht="14.25" customHeight="1" thickBot="1">
      <c r="A1032" s="353">
        <v>25283</v>
      </c>
      <c r="B1032" s="194" t="s">
        <v>3492</v>
      </c>
      <c r="C1032" s="339">
        <f t="shared" si="36"/>
        <v>50000</v>
      </c>
      <c r="D1032" s="196" t="s">
        <v>624</v>
      </c>
      <c r="E1032" s="187" t="s">
        <v>3608</v>
      </c>
      <c r="F1032" s="507">
        <f>SUMIFS(Controle!$R:$R,Controle!$H:$H,produtos_escape2!$A1032,Controle!$Z:$Z,"1")</f>
        <v>0</v>
      </c>
      <c r="G1032" s="507">
        <f>SUMIFS(Controle!$R:$R,Controle!$H:$H,produtos_escape2!$A1032,Controle!$Z:$Z,"2")</f>
        <v>0</v>
      </c>
      <c r="H1032" s="507">
        <f>SUMIFS(Controle!$R:$R,Controle!$H:$H,produtos_escape2!$A1032,Controle!$Z:$Z,"3")</f>
        <v>0</v>
      </c>
      <c r="I1032" s="507">
        <f>SUMIFS(Controle!$R:$R,Controle!$H:$H,produtos_escape2!$A1032,Controle!$Z:$Z,"4")</f>
        <v>0</v>
      </c>
      <c r="J1032" s="507">
        <f>SUMIFS(Controle!$R:$R,Controle!$H:$H,produtos_escape2!$A1032,Controle!$Z:$Z,"5")</f>
        <v>0</v>
      </c>
      <c r="K1032" s="507">
        <f>SUMIFS(Controle!$R:$R,Controle!$H:$H,produtos_escape2!$A1032,Controle!$Z:$Z,"6")</f>
        <v>0</v>
      </c>
      <c r="L1032" s="507">
        <f t="shared" si="35"/>
        <v>0</v>
      </c>
      <c r="M1032" s="381" t="s">
        <v>5082</v>
      </c>
      <c r="AF1032" s="84"/>
    </row>
    <row r="1033" spans="1:32" s="185" customFormat="1" ht="14.25" customHeight="1" thickBot="1">
      <c r="A1033" s="353">
        <v>25284</v>
      </c>
      <c r="B1033" s="194" t="s">
        <v>2775</v>
      </c>
      <c r="C1033" s="339">
        <f t="shared" si="36"/>
        <v>50000</v>
      </c>
      <c r="D1033" s="191" t="s">
        <v>624</v>
      </c>
      <c r="E1033" s="189" t="s">
        <v>3608</v>
      </c>
      <c r="F1033" s="507">
        <f>SUMIFS(Controle!$R:$R,Controle!$H:$H,produtos_escape2!$A1033,Controle!$Z:$Z,"1")</f>
        <v>0</v>
      </c>
      <c r="G1033" s="507">
        <f>SUMIFS(Controle!$R:$R,Controle!$H:$H,produtos_escape2!$A1033,Controle!$Z:$Z,"2")</f>
        <v>0</v>
      </c>
      <c r="H1033" s="507">
        <f>SUMIFS(Controle!$R:$R,Controle!$H:$H,produtos_escape2!$A1033,Controle!$Z:$Z,"3")</f>
        <v>0</v>
      </c>
      <c r="I1033" s="507">
        <f>SUMIFS(Controle!$R:$R,Controle!$H:$H,produtos_escape2!$A1033,Controle!$Z:$Z,"4")</f>
        <v>0</v>
      </c>
      <c r="J1033" s="507">
        <f>SUMIFS(Controle!$R:$R,Controle!$H:$H,produtos_escape2!$A1033,Controle!$Z:$Z,"5")</f>
        <v>0</v>
      </c>
      <c r="K1033" s="507">
        <f>SUMIFS(Controle!$R:$R,Controle!$H:$H,produtos_escape2!$A1033,Controle!$Z:$Z,"6")</f>
        <v>0</v>
      </c>
      <c r="L1033" s="507">
        <f t="shared" si="35"/>
        <v>0</v>
      </c>
      <c r="M1033" s="381" t="s">
        <v>4590</v>
      </c>
      <c r="AF1033" s="84"/>
    </row>
    <row r="1034" spans="1:32" s="185" customFormat="1" ht="14.25" customHeight="1" thickBot="1">
      <c r="A1034" s="353">
        <v>25285</v>
      </c>
      <c r="B1034" s="338" t="s">
        <v>2776</v>
      </c>
      <c r="C1034" s="339">
        <f t="shared" si="36"/>
        <v>50000</v>
      </c>
      <c r="D1034" s="196" t="s">
        <v>624</v>
      </c>
      <c r="E1034" s="187" t="s">
        <v>3608</v>
      </c>
      <c r="F1034" s="507">
        <f>SUMIFS(Controle!$R:$R,Controle!$H:$H,produtos_escape2!$A1034,Controle!$Z:$Z,"1")</f>
        <v>0</v>
      </c>
      <c r="G1034" s="507">
        <f>SUMIFS(Controle!$R:$R,Controle!$H:$H,produtos_escape2!$A1034,Controle!$Z:$Z,"2")</f>
        <v>0</v>
      </c>
      <c r="H1034" s="507">
        <f>SUMIFS(Controle!$R:$R,Controle!$H:$H,produtos_escape2!$A1034,Controle!$Z:$Z,"3")</f>
        <v>0</v>
      </c>
      <c r="I1034" s="507">
        <f>SUMIFS(Controle!$R:$R,Controle!$H:$H,produtos_escape2!$A1034,Controle!$Z:$Z,"4")</f>
        <v>0</v>
      </c>
      <c r="J1034" s="507">
        <f>SUMIFS(Controle!$R:$R,Controle!$H:$H,produtos_escape2!$A1034,Controle!$Z:$Z,"5")</f>
        <v>0</v>
      </c>
      <c r="K1034" s="507">
        <f>SUMIFS(Controle!$R:$R,Controle!$H:$H,produtos_escape2!$A1034,Controle!$Z:$Z,"6")</f>
        <v>0</v>
      </c>
      <c r="L1034" s="507">
        <f t="shared" si="35"/>
        <v>0</v>
      </c>
      <c r="M1034" s="381" t="s">
        <v>4590</v>
      </c>
      <c r="AF1034" s="84"/>
    </row>
    <row r="1035" spans="1:32" s="185" customFormat="1" ht="14.25" customHeight="1" thickBot="1">
      <c r="A1035" s="353">
        <v>25289</v>
      </c>
      <c r="B1035" s="194" t="s">
        <v>641</v>
      </c>
      <c r="C1035" s="339">
        <f t="shared" si="36"/>
        <v>50000</v>
      </c>
      <c r="D1035" s="196" t="s">
        <v>624</v>
      </c>
      <c r="E1035" s="187" t="s">
        <v>3608</v>
      </c>
      <c r="F1035" s="507">
        <f>SUMIFS(Controle!$R:$R,Controle!$H:$H,produtos_escape2!$A1035,Controle!$Z:$Z,"1")</f>
        <v>0</v>
      </c>
      <c r="G1035" s="507">
        <f>SUMIFS(Controle!$R:$R,Controle!$H:$H,produtos_escape2!$A1035,Controle!$Z:$Z,"2")</f>
        <v>0</v>
      </c>
      <c r="H1035" s="507">
        <f>SUMIFS(Controle!$R:$R,Controle!$H:$H,produtos_escape2!$A1035,Controle!$Z:$Z,"3")</f>
        <v>0</v>
      </c>
      <c r="I1035" s="507">
        <f>SUMIFS(Controle!$R:$R,Controle!$H:$H,produtos_escape2!$A1035,Controle!$Z:$Z,"4")</f>
        <v>0</v>
      </c>
      <c r="J1035" s="507">
        <f>SUMIFS(Controle!$R:$R,Controle!$H:$H,produtos_escape2!$A1035,Controle!$Z:$Z,"5")</f>
        <v>0</v>
      </c>
      <c r="K1035" s="507">
        <f>SUMIFS(Controle!$R:$R,Controle!$H:$H,produtos_escape2!$A1035,Controle!$Z:$Z,"6")</f>
        <v>0</v>
      </c>
      <c r="L1035" s="507">
        <f t="shared" si="35"/>
        <v>0</v>
      </c>
      <c r="M1035" s="381" t="s">
        <v>5083</v>
      </c>
      <c r="AF1035" s="84"/>
    </row>
    <row r="1036" spans="1:32" s="185" customFormat="1" ht="14.25" customHeight="1" thickBot="1">
      <c r="A1036" s="333">
        <v>25290</v>
      </c>
      <c r="B1036" s="194" t="s">
        <v>938</v>
      </c>
      <c r="C1036" s="339">
        <f t="shared" si="36"/>
        <v>50000</v>
      </c>
      <c r="D1036" s="196" t="s">
        <v>624</v>
      </c>
      <c r="E1036" s="187" t="s">
        <v>3608</v>
      </c>
      <c r="F1036" s="507">
        <f>SUMIFS(Controle!$R:$R,Controle!$H:$H,produtos_escape2!$A1036,Controle!$Z:$Z,"1")</f>
        <v>0</v>
      </c>
      <c r="G1036" s="507">
        <f>SUMIFS(Controle!$R:$R,Controle!$H:$H,produtos_escape2!$A1036,Controle!$Z:$Z,"2")</f>
        <v>0</v>
      </c>
      <c r="H1036" s="507">
        <f>SUMIFS(Controle!$R:$R,Controle!$H:$H,produtos_escape2!$A1036,Controle!$Z:$Z,"3")</f>
        <v>0</v>
      </c>
      <c r="I1036" s="507">
        <f>SUMIFS(Controle!$R:$R,Controle!$H:$H,produtos_escape2!$A1036,Controle!$Z:$Z,"4")</f>
        <v>0</v>
      </c>
      <c r="J1036" s="507">
        <f>SUMIFS(Controle!$R:$R,Controle!$H:$H,produtos_escape2!$A1036,Controle!$Z:$Z,"5")</f>
        <v>0</v>
      </c>
      <c r="K1036" s="507">
        <f>SUMIFS(Controle!$R:$R,Controle!$H:$H,produtos_escape2!$A1036,Controle!$Z:$Z,"6")</f>
        <v>0</v>
      </c>
      <c r="L1036" s="507">
        <f t="shared" si="35"/>
        <v>0</v>
      </c>
      <c r="M1036" s="381" t="s">
        <v>5084</v>
      </c>
      <c r="AF1036" s="84"/>
    </row>
    <row r="1037" spans="1:32" s="185" customFormat="1" ht="14.25" customHeight="1" thickBot="1">
      <c r="A1037" s="353">
        <v>25353</v>
      </c>
      <c r="B1037" s="194" t="s">
        <v>7396</v>
      </c>
      <c r="C1037" s="339">
        <f t="shared" si="36"/>
        <v>44500</v>
      </c>
      <c r="D1037" s="196" t="s">
        <v>624</v>
      </c>
      <c r="E1037" s="187" t="s">
        <v>3608</v>
      </c>
      <c r="F1037" s="507">
        <f>SUMIFS(Controle!$R:$R,Controle!$H:$H,produtos_escape2!$A1037,Controle!$Z:$Z,"1")</f>
        <v>0</v>
      </c>
      <c r="G1037" s="507">
        <f>SUMIFS(Controle!$R:$R,Controle!$H:$H,produtos_escape2!$A1037,Controle!$Z:$Z,"2")</f>
        <v>5500</v>
      </c>
      <c r="H1037" s="507">
        <f>SUMIFS(Controle!$R:$R,Controle!$H:$H,produtos_escape2!$A1037,Controle!$Z:$Z,"3")</f>
        <v>0</v>
      </c>
      <c r="I1037" s="507">
        <f>SUMIFS(Controle!$R:$R,Controle!$H:$H,produtos_escape2!$A1037,Controle!$Z:$Z,"4")</f>
        <v>0</v>
      </c>
      <c r="J1037" s="507">
        <f>SUMIFS(Controle!$R:$R,Controle!$H:$H,produtos_escape2!$A1037,Controle!$Z:$Z,"5")</f>
        <v>0</v>
      </c>
      <c r="K1037" s="507">
        <f>SUMIFS(Controle!$R:$R,Controle!$H:$H,produtos_escape2!$A1037,Controle!$Z:$Z,"6")</f>
        <v>0</v>
      </c>
      <c r="L1037" s="507">
        <f t="shared" si="35"/>
        <v>5500</v>
      </c>
      <c r="M1037" s="381" t="s">
        <v>5085</v>
      </c>
      <c r="AF1037" s="84"/>
    </row>
    <row r="1038" spans="1:32" s="185" customFormat="1" ht="14.25" customHeight="1" thickBot="1">
      <c r="A1038" s="353">
        <v>25363</v>
      </c>
      <c r="B1038" s="194" t="s">
        <v>70</v>
      </c>
      <c r="C1038" s="339">
        <f t="shared" si="36"/>
        <v>50000</v>
      </c>
      <c r="D1038" s="196"/>
      <c r="E1038" s="187"/>
      <c r="F1038" s="507">
        <f>SUMIFS(Controle!$R:$R,Controle!$H:$H,produtos_escape2!$A1038,Controle!$Z:$Z,"1")</f>
        <v>0</v>
      </c>
      <c r="G1038" s="507">
        <f>SUMIFS(Controle!$R:$R,Controle!$H:$H,produtos_escape2!$A1038,Controle!$Z:$Z,"2")</f>
        <v>0</v>
      </c>
      <c r="H1038" s="507">
        <f>SUMIFS(Controle!$R:$R,Controle!$H:$H,produtos_escape2!$A1038,Controle!$Z:$Z,"3")</f>
        <v>0</v>
      </c>
      <c r="I1038" s="507">
        <f>SUMIFS(Controle!$R:$R,Controle!$H:$H,produtos_escape2!$A1038,Controle!$Z:$Z,"4")</f>
        <v>0</v>
      </c>
      <c r="J1038" s="507">
        <f>SUMIFS(Controle!$R:$R,Controle!$H:$H,produtos_escape2!$A1038,Controle!$Z:$Z,"5")</f>
        <v>0</v>
      </c>
      <c r="K1038" s="507">
        <f>SUMIFS(Controle!$R:$R,Controle!$H:$H,produtos_escape2!$A1038,Controle!$Z:$Z,"6")</f>
        <v>0</v>
      </c>
      <c r="L1038" s="507">
        <f t="shared" si="35"/>
        <v>0</v>
      </c>
      <c r="M1038" s="381" t="s">
        <v>5086</v>
      </c>
      <c r="AF1038" s="84"/>
    </row>
    <row r="1039" spans="1:32" s="185" customFormat="1" ht="14.25" customHeight="1" thickBot="1">
      <c r="A1039" s="353">
        <v>25367</v>
      </c>
      <c r="B1039" s="194" t="s">
        <v>73</v>
      </c>
      <c r="C1039" s="339">
        <f t="shared" si="36"/>
        <v>50000</v>
      </c>
      <c r="D1039" s="196" t="s">
        <v>624</v>
      </c>
      <c r="E1039" s="187" t="s">
        <v>1739</v>
      </c>
      <c r="F1039" s="507">
        <f>SUMIFS(Controle!$R:$R,Controle!$H:$H,produtos_escape2!$A1039,Controle!$Z:$Z,"1")</f>
        <v>0</v>
      </c>
      <c r="G1039" s="507">
        <f>SUMIFS(Controle!$R:$R,Controle!$H:$H,produtos_escape2!$A1039,Controle!$Z:$Z,"2")</f>
        <v>0</v>
      </c>
      <c r="H1039" s="507">
        <f>SUMIFS(Controle!$R:$R,Controle!$H:$H,produtos_escape2!$A1039,Controle!$Z:$Z,"3")</f>
        <v>0</v>
      </c>
      <c r="I1039" s="507">
        <f>SUMIFS(Controle!$R:$R,Controle!$H:$H,produtos_escape2!$A1039,Controle!$Z:$Z,"4")</f>
        <v>0</v>
      </c>
      <c r="J1039" s="507">
        <f>SUMIFS(Controle!$R:$R,Controle!$H:$H,produtos_escape2!$A1039,Controle!$Z:$Z,"5")</f>
        <v>0</v>
      </c>
      <c r="K1039" s="507">
        <f>SUMIFS(Controle!$R:$R,Controle!$H:$H,produtos_escape2!$A1039,Controle!$Z:$Z,"6")</f>
        <v>0</v>
      </c>
      <c r="L1039" s="507">
        <f t="shared" si="35"/>
        <v>0</v>
      </c>
      <c r="M1039" s="381" t="s">
        <v>5086</v>
      </c>
      <c r="AF1039" s="84"/>
    </row>
    <row r="1040" spans="1:32" s="185" customFormat="1" ht="14.25" customHeight="1" thickBot="1">
      <c r="A1040" s="353">
        <v>25425</v>
      </c>
      <c r="B1040" s="194" t="s">
        <v>287</v>
      </c>
      <c r="C1040" s="339">
        <f t="shared" si="36"/>
        <v>50000</v>
      </c>
      <c r="D1040" s="196"/>
      <c r="E1040" s="187"/>
      <c r="F1040" s="507">
        <f>SUMIFS(Controle!$R:$R,Controle!$H:$H,produtos_escape2!$A1040,Controle!$Z:$Z,"1")</f>
        <v>0</v>
      </c>
      <c r="G1040" s="507">
        <f>SUMIFS(Controle!$R:$R,Controle!$H:$H,produtos_escape2!$A1040,Controle!$Z:$Z,"2")</f>
        <v>0</v>
      </c>
      <c r="H1040" s="507">
        <f>SUMIFS(Controle!$R:$R,Controle!$H:$H,produtos_escape2!$A1040,Controle!$Z:$Z,"3")</f>
        <v>0</v>
      </c>
      <c r="I1040" s="507">
        <f>SUMIFS(Controle!$R:$R,Controle!$H:$H,produtos_escape2!$A1040,Controle!$Z:$Z,"4")</f>
        <v>0</v>
      </c>
      <c r="J1040" s="507">
        <f>SUMIFS(Controle!$R:$R,Controle!$H:$H,produtos_escape2!$A1040,Controle!$Z:$Z,"5")</f>
        <v>0</v>
      </c>
      <c r="K1040" s="507">
        <f>SUMIFS(Controle!$R:$R,Controle!$H:$H,produtos_escape2!$A1040,Controle!$Z:$Z,"6")</f>
        <v>0</v>
      </c>
      <c r="L1040" s="507">
        <f t="shared" si="35"/>
        <v>0</v>
      </c>
      <c r="M1040" s="381" t="s">
        <v>5087</v>
      </c>
      <c r="AF1040" s="84"/>
    </row>
    <row r="1041" spans="1:32" s="185" customFormat="1" ht="14.25" customHeight="1" thickBot="1">
      <c r="A1041" s="353">
        <v>25511</v>
      </c>
      <c r="B1041" s="194" t="s">
        <v>433</v>
      </c>
      <c r="C1041" s="339">
        <f t="shared" si="36"/>
        <v>50000</v>
      </c>
      <c r="D1041" s="196"/>
      <c r="E1041" s="187"/>
      <c r="F1041" s="507">
        <f>SUMIFS(Controle!$R:$R,Controle!$H:$H,produtos_escape2!$A1041,Controle!$Z:$Z,"1")</f>
        <v>0</v>
      </c>
      <c r="G1041" s="507">
        <f>SUMIFS(Controle!$R:$R,Controle!$H:$H,produtos_escape2!$A1041,Controle!$Z:$Z,"2")</f>
        <v>0</v>
      </c>
      <c r="H1041" s="507">
        <f>SUMIFS(Controle!$R:$R,Controle!$H:$H,produtos_escape2!$A1041,Controle!$Z:$Z,"3")</f>
        <v>0</v>
      </c>
      <c r="I1041" s="507">
        <f>SUMIFS(Controle!$R:$R,Controle!$H:$H,produtos_escape2!$A1041,Controle!$Z:$Z,"4")</f>
        <v>0</v>
      </c>
      <c r="J1041" s="507">
        <f>SUMIFS(Controle!$R:$R,Controle!$H:$H,produtos_escape2!$A1041,Controle!$Z:$Z,"5")</f>
        <v>0</v>
      </c>
      <c r="K1041" s="507">
        <f>SUMIFS(Controle!$R:$R,Controle!$H:$H,produtos_escape2!$A1041,Controle!$Z:$Z,"6")</f>
        <v>0</v>
      </c>
      <c r="L1041" s="507">
        <f t="shared" si="35"/>
        <v>0</v>
      </c>
      <c r="M1041" s="381" t="s">
        <v>4751</v>
      </c>
      <c r="AF1041" s="84"/>
    </row>
    <row r="1042" spans="1:32" s="185" customFormat="1" ht="14.25" customHeight="1" thickBot="1">
      <c r="A1042" s="353">
        <v>25604</v>
      </c>
      <c r="B1042" s="338" t="s">
        <v>838</v>
      </c>
      <c r="C1042" s="339">
        <f t="shared" si="36"/>
        <v>50000</v>
      </c>
      <c r="D1042" s="196" t="s">
        <v>729</v>
      </c>
      <c r="E1042" s="187" t="s">
        <v>1739</v>
      </c>
      <c r="F1042" s="507">
        <f>SUMIFS(Controle!$R:$R,Controle!$H:$H,produtos_escape2!$A1042,Controle!$Z:$Z,"1")</f>
        <v>0</v>
      </c>
      <c r="G1042" s="507">
        <f>SUMIFS(Controle!$R:$R,Controle!$H:$H,produtos_escape2!$A1042,Controle!$Z:$Z,"2")</f>
        <v>0</v>
      </c>
      <c r="H1042" s="507">
        <f>SUMIFS(Controle!$R:$R,Controle!$H:$H,produtos_escape2!$A1042,Controle!$Z:$Z,"3")</f>
        <v>0</v>
      </c>
      <c r="I1042" s="507">
        <f>SUMIFS(Controle!$R:$R,Controle!$H:$H,produtos_escape2!$A1042,Controle!$Z:$Z,"4")</f>
        <v>0</v>
      </c>
      <c r="J1042" s="507">
        <f>SUMIFS(Controle!$R:$R,Controle!$H:$H,produtos_escape2!$A1042,Controle!$Z:$Z,"5")</f>
        <v>0</v>
      </c>
      <c r="K1042" s="507">
        <f>SUMIFS(Controle!$R:$R,Controle!$H:$H,produtos_escape2!$A1042,Controle!$Z:$Z,"6")</f>
        <v>0</v>
      </c>
      <c r="L1042" s="507">
        <f t="shared" si="35"/>
        <v>0</v>
      </c>
      <c r="M1042" s="381" t="s">
        <v>5088</v>
      </c>
      <c r="AF1042" s="84"/>
    </row>
    <row r="1043" spans="1:32" s="185" customFormat="1" ht="14.25" customHeight="1" thickBot="1">
      <c r="A1043" s="353">
        <v>25759</v>
      </c>
      <c r="B1043" s="194" t="s">
        <v>379</v>
      </c>
      <c r="C1043" s="339">
        <f t="shared" si="36"/>
        <v>50000</v>
      </c>
      <c r="D1043" s="196" t="s">
        <v>624</v>
      </c>
      <c r="E1043" s="187" t="s">
        <v>3608</v>
      </c>
      <c r="F1043" s="507">
        <f>SUMIFS(Controle!$R:$R,Controle!$H:$H,produtos_escape2!$A1043,Controle!$Z:$Z,"1")</f>
        <v>0</v>
      </c>
      <c r="G1043" s="507">
        <f>SUMIFS(Controle!$R:$R,Controle!$H:$H,produtos_escape2!$A1043,Controle!$Z:$Z,"2")</f>
        <v>0</v>
      </c>
      <c r="H1043" s="507">
        <f>SUMIFS(Controle!$R:$R,Controle!$H:$H,produtos_escape2!$A1043,Controle!$Z:$Z,"3")</f>
        <v>0</v>
      </c>
      <c r="I1043" s="507">
        <f>SUMIFS(Controle!$R:$R,Controle!$H:$H,produtos_escape2!$A1043,Controle!$Z:$Z,"4")</f>
        <v>0</v>
      </c>
      <c r="J1043" s="507">
        <f>SUMIFS(Controle!$R:$R,Controle!$H:$H,produtos_escape2!$A1043,Controle!$Z:$Z,"5")</f>
        <v>0</v>
      </c>
      <c r="K1043" s="507">
        <f>SUMIFS(Controle!$R:$R,Controle!$H:$H,produtos_escape2!$A1043,Controle!$Z:$Z,"6")</f>
        <v>0</v>
      </c>
      <c r="L1043" s="507">
        <f t="shared" si="35"/>
        <v>0</v>
      </c>
      <c r="M1043" s="381" t="s">
        <v>5089</v>
      </c>
      <c r="AF1043" s="84"/>
    </row>
    <row r="1044" spans="1:32" s="185" customFormat="1" ht="14.25" customHeight="1" thickBot="1">
      <c r="A1044" s="333">
        <v>25760</v>
      </c>
      <c r="B1044" s="194" t="s">
        <v>5785</v>
      </c>
      <c r="C1044" s="339">
        <f t="shared" si="36"/>
        <v>50000</v>
      </c>
      <c r="D1044" s="196" t="s">
        <v>624</v>
      </c>
      <c r="E1044" s="187" t="s">
        <v>7207</v>
      </c>
      <c r="F1044" s="507">
        <f>SUMIFS(Controle!$R:$R,Controle!$H:$H,produtos_escape2!$A1044,Controle!$Z:$Z,"1")</f>
        <v>0</v>
      </c>
      <c r="G1044" s="507">
        <f>SUMIFS(Controle!$R:$R,Controle!$H:$H,produtos_escape2!$A1044,Controle!$Z:$Z,"2")</f>
        <v>0</v>
      </c>
      <c r="H1044" s="507">
        <f>SUMIFS(Controle!$R:$R,Controle!$H:$H,produtos_escape2!$A1044,Controle!$Z:$Z,"3")</f>
        <v>0</v>
      </c>
      <c r="I1044" s="507">
        <f>SUMIFS(Controle!$R:$R,Controle!$H:$H,produtos_escape2!$A1044,Controle!$Z:$Z,"4")</f>
        <v>0</v>
      </c>
      <c r="J1044" s="507">
        <f>SUMIFS(Controle!$R:$R,Controle!$H:$H,produtos_escape2!$A1044,Controle!$Z:$Z,"5")</f>
        <v>0</v>
      </c>
      <c r="K1044" s="507">
        <f>SUMIFS(Controle!$R:$R,Controle!$H:$H,produtos_escape2!$A1044,Controle!$Z:$Z,"6")</f>
        <v>0</v>
      </c>
      <c r="L1044" s="507">
        <f t="shared" si="35"/>
        <v>0</v>
      </c>
      <c r="M1044" s="381" t="s">
        <v>5784</v>
      </c>
      <c r="AF1044" s="84"/>
    </row>
    <row r="1045" spans="1:32" s="185" customFormat="1" ht="14.25" customHeight="1" thickBot="1">
      <c r="A1045" s="353">
        <v>25781</v>
      </c>
      <c r="B1045" s="194" t="s">
        <v>1287</v>
      </c>
      <c r="C1045" s="339">
        <f t="shared" si="36"/>
        <v>50000</v>
      </c>
      <c r="D1045" s="196" t="s">
        <v>548</v>
      </c>
      <c r="E1045" s="187"/>
      <c r="F1045" s="507">
        <f>SUMIFS(Controle!$R:$R,Controle!$H:$H,produtos_escape2!$A1045,Controle!$Z:$Z,"1")</f>
        <v>0</v>
      </c>
      <c r="G1045" s="507">
        <f>SUMIFS(Controle!$R:$R,Controle!$H:$H,produtos_escape2!$A1045,Controle!$Z:$Z,"2")</f>
        <v>0</v>
      </c>
      <c r="H1045" s="507">
        <f>SUMIFS(Controle!$R:$R,Controle!$H:$H,produtos_escape2!$A1045,Controle!$Z:$Z,"3")</f>
        <v>0</v>
      </c>
      <c r="I1045" s="507">
        <f>SUMIFS(Controle!$R:$R,Controle!$H:$H,produtos_escape2!$A1045,Controle!$Z:$Z,"4")</f>
        <v>0</v>
      </c>
      <c r="J1045" s="507">
        <f>SUMIFS(Controle!$R:$R,Controle!$H:$H,produtos_escape2!$A1045,Controle!$Z:$Z,"5")</f>
        <v>0</v>
      </c>
      <c r="K1045" s="507">
        <f>SUMIFS(Controle!$R:$R,Controle!$H:$H,produtos_escape2!$A1045,Controle!$Z:$Z,"6")</f>
        <v>0</v>
      </c>
      <c r="L1045" s="507">
        <f t="shared" si="35"/>
        <v>0</v>
      </c>
      <c r="M1045" s="381" t="s">
        <v>1287</v>
      </c>
      <c r="AF1045" s="84"/>
    </row>
    <row r="1046" spans="1:32" s="185" customFormat="1" ht="14.25" customHeight="1" thickBot="1">
      <c r="A1046" s="353">
        <v>25829</v>
      </c>
      <c r="B1046" s="194" t="s">
        <v>131</v>
      </c>
      <c r="C1046" s="339">
        <f t="shared" si="36"/>
        <v>50000</v>
      </c>
      <c r="D1046" s="196" t="s">
        <v>624</v>
      </c>
      <c r="E1046" s="187" t="s">
        <v>7207</v>
      </c>
      <c r="F1046" s="507">
        <f>SUMIFS(Controle!$R:$R,Controle!$H:$H,produtos_escape2!$A1046,Controle!$Z:$Z,"1")</f>
        <v>0</v>
      </c>
      <c r="G1046" s="507">
        <f>SUMIFS(Controle!$R:$R,Controle!$H:$H,produtos_escape2!$A1046,Controle!$Z:$Z,"2")</f>
        <v>0</v>
      </c>
      <c r="H1046" s="507">
        <f>SUMIFS(Controle!$R:$R,Controle!$H:$H,produtos_escape2!$A1046,Controle!$Z:$Z,"3")</f>
        <v>0</v>
      </c>
      <c r="I1046" s="507">
        <f>SUMIFS(Controle!$R:$R,Controle!$H:$H,produtos_escape2!$A1046,Controle!$Z:$Z,"4")</f>
        <v>0</v>
      </c>
      <c r="J1046" s="507">
        <f>SUMIFS(Controle!$R:$R,Controle!$H:$H,produtos_escape2!$A1046,Controle!$Z:$Z,"5")</f>
        <v>0</v>
      </c>
      <c r="K1046" s="507">
        <f>SUMIFS(Controle!$R:$R,Controle!$H:$H,produtos_escape2!$A1046,Controle!$Z:$Z,"6")</f>
        <v>0</v>
      </c>
      <c r="L1046" s="507">
        <f t="shared" si="35"/>
        <v>0</v>
      </c>
      <c r="M1046" s="381" t="s">
        <v>5090</v>
      </c>
      <c r="AF1046" s="84"/>
    </row>
    <row r="1047" spans="1:32" s="185" customFormat="1" ht="14.25" customHeight="1" thickBot="1">
      <c r="A1047" s="353">
        <v>25852</v>
      </c>
      <c r="B1047" s="194" t="s">
        <v>3506</v>
      </c>
      <c r="C1047" s="339">
        <f t="shared" si="36"/>
        <v>50000</v>
      </c>
      <c r="D1047" s="196" t="s">
        <v>548</v>
      </c>
      <c r="E1047" s="187" t="s">
        <v>7207</v>
      </c>
      <c r="F1047" s="507">
        <f>SUMIFS(Controle!$R:$R,Controle!$H:$H,produtos_escape2!$A1047,Controle!$Z:$Z,"1")</f>
        <v>0</v>
      </c>
      <c r="G1047" s="507">
        <f>SUMIFS(Controle!$R:$R,Controle!$H:$H,produtos_escape2!$A1047,Controle!$Z:$Z,"2")</f>
        <v>0</v>
      </c>
      <c r="H1047" s="507">
        <f>SUMIFS(Controle!$R:$R,Controle!$H:$H,produtos_escape2!$A1047,Controle!$Z:$Z,"3")</f>
        <v>0</v>
      </c>
      <c r="I1047" s="507">
        <f>SUMIFS(Controle!$R:$R,Controle!$H:$H,produtos_escape2!$A1047,Controle!$Z:$Z,"4")</f>
        <v>0</v>
      </c>
      <c r="J1047" s="507">
        <f>SUMIFS(Controle!$R:$R,Controle!$H:$H,produtos_escape2!$A1047,Controle!$Z:$Z,"5")</f>
        <v>0</v>
      </c>
      <c r="K1047" s="507">
        <f>SUMIFS(Controle!$R:$R,Controle!$H:$H,produtos_escape2!$A1047,Controle!$Z:$Z,"6")</f>
        <v>0</v>
      </c>
      <c r="L1047" s="507">
        <f t="shared" si="35"/>
        <v>0</v>
      </c>
      <c r="M1047" s="381" t="s">
        <v>5091</v>
      </c>
      <c r="AF1047" s="84"/>
    </row>
    <row r="1048" spans="1:32" s="185" customFormat="1" ht="14.25" customHeight="1" thickBot="1">
      <c r="A1048" s="353">
        <v>25861</v>
      </c>
      <c r="B1048" s="194" t="s">
        <v>861</v>
      </c>
      <c r="C1048" s="339">
        <f t="shared" si="36"/>
        <v>50000</v>
      </c>
      <c r="D1048" s="196" t="s">
        <v>624</v>
      </c>
      <c r="E1048" s="187" t="s">
        <v>1739</v>
      </c>
      <c r="F1048" s="507">
        <f>SUMIFS(Controle!$R:$R,Controle!$H:$H,produtos_escape2!$A1048,Controle!$Z:$Z,"1")</f>
        <v>0</v>
      </c>
      <c r="G1048" s="507">
        <f>SUMIFS(Controle!$R:$R,Controle!$H:$H,produtos_escape2!$A1048,Controle!$Z:$Z,"2")</f>
        <v>0</v>
      </c>
      <c r="H1048" s="507">
        <f>SUMIFS(Controle!$R:$R,Controle!$H:$H,produtos_escape2!$A1048,Controle!$Z:$Z,"3")</f>
        <v>0</v>
      </c>
      <c r="I1048" s="507">
        <f>SUMIFS(Controle!$R:$R,Controle!$H:$H,produtos_escape2!$A1048,Controle!$Z:$Z,"4")</f>
        <v>0</v>
      </c>
      <c r="J1048" s="507">
        <f>SUMIFS(Controle!$R:$R,Controle!$H:$H,produtos_escape2!$A1048,Controle!$Z:$Z,"5")</f>
        <v>0</v>
      </c>
      <c r="K1048" s="507">
        <f>SUMIFS(Controle!$R:$R,Controle!$H:$H,produtos_escape2!$A1048,Controle!$Z:$Z,"6")</f>
        <v>0</v>
      </c>
      <c r="L1048" s="507">
        <f t="shared" si="35"/>
        <v>0</v>
      </c>
      <c r="M1048" s="381" t="s">
        <v>861</v>
      </c>
      <c r="AF1048" s="84"/>
    </row>
    <row r="1049" spans="1:32" s="185" customFormat="1" ht="14.25" customHeight="1" thickBot="1">
      <c r="A1049" s="353">
        <v>25876</v>
      </c>
      <c r="B1049" s="194" t="s">
        <v>584</v>
      </c>
      <c r="C1049" s="339">
        <f t="shared" si="36"/>
        <v>50000</v>
      </c>
      <c r="D1049" s="196" t="s">
        <v>624</v>
      </c>
      <c r="E1049" s="187" t="s">
        <v>1739</v>
      </c>
      <c r="F1049" s="507">
        <f>SUMIFS(Controle!$R:$R,Controle!$H:$H,produtos_escape2!$A1049,Controle!$Z:$Z,"1")</f>
        <v>0</v>
      </c>
      <c r="G1049" s="507">
        <f>SUMIFS(Controle!$R:$R,Controle!$H:$H,produtos_escape2!$A1049,Controle!$Z:$Z,"2")</f>
        <v>0</v>
      </c>
      <c r="H1049" s="507">
        <f>SUMIFS(Controle!$R:$R,Controle!$H:$H,produtos_escape2!$A1049,Controle!$Z:$Z,"3")</f>
        <v>0</v>
      </c>
      <c r="I1049" s="507">
        <f>SUMIFS(Controle!$R:$R,Controle!$H:$H,produtos_escape2!$A1049,Controle!$Z:$Z,"4")</f>
        <v>0</v>
      </c>
      <c r="J1049" s="507">
        <f>SUMIFS(Controle!$R:$R,Controle!$H:$H,produtos_escape2!$A1049,Controle!$Z:$Z,"5")</f>
        <v>0</v>
      </c>
      <c r="K1049" s="507">
        <f>SUMIFS(Controle!$R:$R,Controle!$H:$H,produtos_escape2!$A1049,Controle!$Z:$Z,"6")</f>
        <v>0</v>
      </c>
      <c r="L1049" s="507">
        <f t="shared" si="35"/>
        <v>0</v>
      </c>
      <c r="M1049" s="381" t="s">
        <v>5092</v>
      </c>
      <c r="AF1049" s="84"/>
    </row>
    <row r="1050" spans="1:32" s="185" customFormat="1" ht="14.25" customHeight="1" thickBot="1">
      <c r="A1050" s="353">
        <v>25882</v>
      </c>
      <c r="B1050" s="338" t="s">
        <v>643</v>
      </c>
      <c r="C1050" s="339">
        <f t="shared" si="36"/>
        <v>50000</v>
      </c>
      <c r="D1050" s="196" t="s">
        <v>624</v>
      </c>
      <c r="E1050" s="187" t="s">
        <v>1739</v>
      </c>
      <c r="F1050" s="507">
        <f>SUMIFS(Controle!$R:$R,Controle!$H:$H,produtos_escape2!$A1050,Controle!$Z:$Z,"1")</f>
        <v>0</v>
      </c>
      <c r="G1050" s="507">
        <f>SUMIFS(Controle!$R:$R,Controle!$H:$H,produtos_escape2!$A1050,Controle!$Z:$Z,"2")</f>
        <v>0</v>
      </c>
      <c r="H1050" s="507">
        <f>SUMIFS(Controle!$R:$R,Controle!$H:$H,produtos_escape2!$A1050,Controle!$Z:$Z,"3")</f>
        <v>0</v>
      </c>
      <c r="I1050" s="507">
        <f>SUMIFS(Controle!$R:$R,Controle!$H:$H,produtos_escape2!$A1050,Controle!$Z:$Z,"4")</f>
        <v>0</v>
      </c>
      <c r="J1050" s="507">
        <f>SUMIFS(Controle!$R:$R,Controle!$H:$H,produtos_escape2!$A1050,Controle!$Z:$Z,"5")</f>
        <v>0</v>
      </c>
      <c r="K1050" s="507">
        <f>SUMIFS(Controle!$R:$R,Controle!$H:$H,produtos_escape2!$A1050,Controle!$Z:$Z,"6")</f>
        <v>0</v>
      </c>
      <c r="L1050" s="507">
        <f t="shared" si="35"/>
        <v>0</v>
      </c>
      <c r="M1050" s="381" t="s">
        <v>5093</v>
      </c>
      <c r="AF1050" s="84"/>
    </row>
    <row r="1051" spans="1:32" s="185" customFormat="1" ht="14.25" customHeight="1" thickBot="1">
      <c r="A1051" s="353">
        <v>25883</v>
      </c>
      <c r="B1051" s="194" t="s">
        <v>1663</v>
      </c>
      <c r="C1051" s="339">
        <f t="shared" si="36"/>
        <v>50000</v>
      </c>
      <c r="D1051" s="196" t="s">
        <v>624</v>
      </c>
      <c r="E1051" s="187" t="s">
        <v>3608</v>
      </c>
      <c r="F1051" s="507">
        <f>SUMIFS(Controle!$R:$R,Controle!$H:$H,produtos_escape2!$A1051,Controle!$Z:$Z,"1")</f>
        <v>0</v>
      </c>
      <c r="G1051" s="507">
        <f>SUMIFS(Controle!$R:$R,Controle!$H:$H,produtos_escape2!$A1051,Controle!$Z:$Z,"2")</f>
        <v>0</v>
      </c>
      <c r="H1051" s="507">
        <f>SUMIFS(Controle!$R:$R,Controle!$H:$H,produtos_escape2!$A1051,Controle!$Z:$Z,"3")</f>
        <v>0</v>
      </c>
      <c r="I1051" s="507">
        <f>SUMIFS(Controle!$R:$R,Controle!$H:$H,produtos_escape2!$A1051,Controle!$Z:$Z,"4")</f>
        <v>0</v>
      </c>
      <c r="J1051" s="507">
        <f>SUMIFS(Controle!$R:$R,Controle!$H:$H,produtos_escape2!$A1051,Controle!$Z:$Z,"5")</f>
        <v>0</v>
      </c>
      <c r="K1051" s="507">
        <f>SUMIFS(Controle!$R:$R,Controle!$H:$H,produtos_escape2!$A1051,Controle!$Z:$Z,"6")</f>
        <v>0</v>
      </c>
      <c r="L1051" s="507">
        <f t="shared" si="35"/>
        <v>0</v>
      </c>
      <c r="M1051" s="381" t="s">
        <v>5094</v>
      </c>
      <c r="AF1051" s="84"/>
    </row>
    <row r="1052" spans="1:32" s="185" customFormat="1" ht="14.25" customHeight="1" thickBot="1">
      <c r="A1052" s="333">
        <v>25890</v>
      </c>
      <c r="B1052" s="194" t="s">
        <v>421</v>
      </c>
      <c r="C1052" s="339">
        <f t="shared" si="36"/>
        <v>50000</v>
      </c>
      <c r="D1052" s="196"/>
      <c r="E1052" s="187"/>
      <c r="F1052" s="507">
        <f>SUMIFS(Controle!$R:$R,Controle!$H:$H,produtos_escape2!$A1052,Controle!$Z:$Z,"1")</f>
        <v>0</v>
      </c>
      <c r="G1052" s="507">
        <f>SUMIFS(Controle!$R:$R,Controle!$H:$H,produtos_escape2!$A1052,Controle!$Z:$Z,"2")</f>
        <v>0</v>
      </c>
      <c r="H1052" s="507">
        <f>SUMIFS(Controle!$R:$R,Controle!$H:$H,produtos_escape2!$A1052,Controle!$Z:$Z,"3")</f>
        <v>0</v>
      </c>
      <c r="I1052" s="507">
        <f>SUMIFS(Controle!$R:$R,Controle!$H:$H,produtos_escape2!$A1052,Controle!$Z:$Z,"4")</f>
        <v>0</v>
      </c>
      <c r="J1052" s="507">
        <f>SUMIFS(Controle!$R:$R,Controle!$H:$H,produtos_escape2!$A1052,Controle!$Z:$Z,"5")</f>
        <v>0</v>
      </c>
      <c r="K1052" s="507">
        <f>SUMIFS(Controle!$R:$R,Controle!$H:$H,produtos_escape2!$A1052,Controle!$Z:$Z,"6")</f>
        <v>0</v>
      </c>
      <c r="L1052" s="507">
        <f t="shared" si="35"/>
        <v>0</v>
      </c>
      <c r="M1052" s="381" t="s">
        <v>5095</v>
      </c>
      <c r="AF1052" s="84"/>
    </row>
    <row r="1053" spans="1:32" s="185" customFormat="1" ht="14.25" customHeight="1" thickBot="1">
      <c r="A1053" s="353">
        <v>25895</v>
      </c>
      <c r="B1053" s="194" t="s">
        <v>7062</v>
      </c>
      <c r="C1053" s="339">
        <f t="shared" si="36"/>
        <v>50000</v>
      </c>
      <c r="D1053" s="196" t="s">
        <v>7061</v>
      </c>
      <c r="E1053" s="189" t="s">
        <v>7207</v>
      </c>
      <c r="F1053" s="507">
        <f>SUMIFS(Controle!$R:$R,Controle!$H:$H,produtos_escape2!$A1053,Controle!$Z:$Z,"1")</f>
        <v>0</v>
      </c>
      <c r="G1053" s="507">
        <f>SUMIFS(Controle!$R:$R,Controle!$H:$H,produtos_escape2!$A1053,Controle!$Z:$Z,"2")</f>
        <v>0</v>
      </c>
      <c r="H1053" s="507">
        <f>SUMIFS(Controle!$R:$R,Controle!$H:$H,produtos_escape2!$A1053,Controle!$Z:$Z,"3")</f>
        <v>0</v>
      </c>
      <c r="I1053" s="507">
        <f>SUMIFS(Controle!$R:$R,Controle!$H:$H,produtos_escape2!$A1053,Controle!$Z:$Z,"4")</f>
        <v>0</v>
      </c>
      <c r="J1053" s="507">
        <f>SUMIFS(Controle!$R:$R,Controle!$H:$H,produtos_escape2!$A1053,Controle!$Z:$Z,"5")</f>
        <v>0</v>
      </c>
      <c r="K1053" s="507">
        <f>SUMIFS(Controle!$R:$R,Controle!$H:$H,produtos_escape2!$A1053,Controle!$Z:$Z,"6")</f>
        <v>0</v>
      </c>
      <c r="L1053" s="507">
        <f t="shared" si="35"/>
        <v>0</v>
      </c>
      <c r="M1053" s="381" t="s">
        <v>7062</v>
      </c>
      <c r="AF1053" s="84"/>
    </row>
    <row r="1054" spans="1:32" s="185" customFormat="1" ht="14.25" customHeight="1" thickBot="1">
      <c r="A1054" s="353">
        <v>25932</v>
      </c>
      <c r="B1054" s="194" t="s">
        <v>4231</v>
      </c>
      <c r="C1054" s="339">
        <f t="shared" si="36"/>
        <v>50000</v>
      </c>
      <c r="D1054" s="196" t="s">
        <v>624</v>
      </c>
      <c r="E1054" s="189" t="s">
        <v>7207</v>
      </c>
      <c r="F1054" s="507">
        <f>SUMIFS(Controle!$R:$R,Controle!$H:$H,produtos_escape2!$A1054,Controle!$Z:$Z,"1")</f>
        <v>0</v>
      </c>
      <c r="G1054" s="507">
        <f>SUMIFS(Controle!$R:$R,Controle!$H:$H,produtos_escape2!$A1054,Controle!$Z:$Z,"2")</f>
        <v>0</v>
      </c>
      <c r="H1054" s="507">
        <f>SUMIFS(Controle!$R:$R,Controle!$H:$H,produtos_escape2!$A1054,Controle!$Z:$Z,"3")</f>
        <v>0</v>
      </c>
      <c r="I1054" s="507">
        <f>SUMIFS(Controle!$R:$R,Controle!$H:$H,produtos_escape2!$A1054,Controle!$Z:$Z,"4")</f>
        <v>0</v>
      </c>
      <c r="J1054" s="507">
        <f>SUMIFS(Controle!$R:$R,Controle!$H:$H,produtos_escape2!$A1054,Controle!$Z:$Z,"5")</f>
        <v>0</v>
      </c>
      <c r="K1054" s="507">
        <f>SUMIFS(Controle!$R:$R,Controle!$H:$H,produtos_escape2!$A1054,Controle!$Z:$Z,"6")</f>
        <v>0</v>
      </c>
      <c r="L1054" s="507">
        <f t="shared" si="35"/>
        <v>0</v>
      </c>
      <c r="M1054" s="381" t="s">
        <v>5096</v>
      </c>
      <c r="AF1054" s="84"/>
    </row>
    <row r="1055" spans="1:32" s="185" customFormat="1" ht="14.25" customHeight="1" thickBot="1">
      <c r="A1055" s="353">
        <v>25933</v>
      </c>
      <c r="B1055" s="194" t="s">
        <v>4218</v>
      </c>
      <c r="C1055" s="339">
        <f t="shared" si="36"/>
        <v>50000</v>
      </c>
      <c r="D1055" s="196" t="s">
        <v>624</v>
      </c>
      <c r="E1055" s="189" t="s">
        <v>7207</v>
      </c>
      <c r="F1055" s="507">
        <f>SUMIFS(Controle!$R:$R,Controle!$H:$H,produtos_escape2!$A1055,Controle!$Z:$Z,"1")</f>
        <v>0</v>
      </c>
      <c r="G1055" s="507">
        <f>SUMIFS(Controle!$R:$R,Controle!$H:$H,produtos_escape2!$A1055,Controle!$Z:$Z,"2")</f>
        <v>0</v>
      </c>
      <c r="H1055" s="507">
        <f>SUMIFS(Controle!$R:$R,Controle!$H:$H,produtos_escape2!$A1055,Controle!$Z:$Z,"3")</f>
        <v>0</v>
      </c>
      <c r="I1055" s="507">
        <f>SUMIFS(Controle!$R:$R,Controle!$H:$H,produtos_escape2!$A1055,Controle!$Z:$Z,"4")</f>
        <v>0</v>
      </c>
      <c r="J1055" s="507">
        <f>SUMIFS(Controle!$R:$R,Controle!$H:$H,produtos_escape2!$A1055,Controle!$Z:$Z,"5")</f>
        <v>0</v>
      </c>
      <c r="K1055" s="507">
        <f>SUMIFS(Controle!$R:$R,Controle!$H:$H,produtos_escape2!$A1055,Controle!$Z:$Z,"6")</f>
        <v>0</v>
      </c>
      <c r="L1055" s="507">
        <f t="shared" si="35"/>
        <v>0</v>
      </c>
      <c r="M1055" s="381" t="s">
        <v>5097</v>
      </c>
      <c r="AF1055" s="84"/>
    </row>
    <row r="1056" spans="1:32" s="185" customFormat="1" ht="14.25" customHeight="1" thickBot="1">
      <c r="A1056" s="353">
        <v>25945</v>
      </c>
      <c r="B1056" s="194" t="s">
        <v>7911</v>
      </c>
      <c r="C1056" s="339">
        <f t="shared" si="36"/>
        <v>45060</v>
      </c>
      <c r="D1056" s="196" t="s">
        <v>624</v>
      </c>
      <c r="E1056" s="189" t="s">
        <v>3608</v>
      </c>
      <c r="F1056" s="507">
        <f>SUMIFS(Controle!$R:$R,Controle!$H:$H,produtos_escape2!$A1056,Controle!$Z:$Z,"1")</f>
        <v>0</v>
      </c>
      <c r="G1056" s="507">
        <f>SUMIFS(Controle!$R:$R,Controle!$H:$H,produtos_escape2!$A1056,Controle!$Z:$Z,"2")</f>
        <v>2320</v>
      </c>
      <c r="H1056" s="507">
        <f>SUMIFS(Controle!$R:$R,Controle!$H:$H,produtos_escape2!$A1056,Controle!$Z:$Z,"3")</f>
        <v>0</v>
      </c>
      <c r="I1056" s="507">
        <f>SUMIFS(Controle!$R:$R,Controle!$H:$H,produtos_escape2!$A1056,Controle!$Z:$Z,"4")</f>
        <v>2620</v>
      </c>
      <c r="J1056" s="507">
        <f>SUMIFS(Controle!$R:$R,Controle!$H:$H,produtos_escape2!$A1056,Controle!$Z:$Z,"5")</f>
        <v>0</v>
      </c>
      <c r="K1056" s="507">
        <f>SUMIFS(Controle!$R:$R,Controle!$H:$H,produtos_escape2!$A1056,Controle!$Z:$Z,"6")</f>
        <v>0</v>
      </c>
      <c r="L1056" s="507">
        <f t="shared" si="35"/>
        <v>4940</v>
      </c>
      <c r="M1056" s="381" t="s">
        <v>7715</v>
      </c>
      <c r="AF1056" s="84"/>
    </row>
    <row r="1057" spans="1:32" s="185" customFormat="1" ht="14.25" customHeight="1" thickBot="1">
      <c r="A1057" s="353">
        <v>25948</v>
      </c>
      <c r="B1057" s="194" t="s">
        <v>7714</v>
      </c>
      <c r="C1057" s="339">
        <f t="shared" si="36"/>
        <v>50000</v>
      </c>
      <c r="D1057" s="196" t="s">
        <v>624</v>
      </c>
      <c r="E1057" s="189" t="s">
        <v>3608</v>
      </c>
      <c r="F1057" s="507">
        <f>SUMIFS(Controle!$R:$R,Controle!$H:$H,produtos_escape2!$A1057,Controle!$Z:$Z,"1")</f>
        <v>0</v>
      </c>
      <c r="G1057" s="507">
        <f>SUMIFS(Controle!$R:$R,Controle!$H:$H,produtos_escape2!$A1057,Controle!$Z:$Z,"2")</f>
        <v>0</v>
      </c>
      <c r="H1057" s="507">
        <f>SUMIFS(Controle!$R:$R,Controle!$H:$H,produtos_escape2!$A1057,Controle!$Z:$Z,"3")</f>
        <v>0</v>
      </c>
      <c r="I1057" s="507">
        <f>SUMIFS(Controle!$R:$R,Controle!$H:$H,produtos_escape2!$A1057,Controle!$Z:$Z,"4")</f>
        <v>0</v>
      </c>
      <c r="J1057" s="507">
        <f>SUMIFS(Controle!$R:$R,Controle!$H:$H,produtos_escape2!$A1057,Controle!$Z:$Z,"5")</f>
        <v>0</v>
      </c>
      <c r="K1057" s="507">
        <f>SUMIFS(Controle!$R:$R,Controle!$H:$H,produtos_escape2!$A1057,Controle!$Z:$Z,"6")</f>
        <v>0</v>
      </c>
      <c r="L1057" s="507">
        <f t="shared" si="35"/>
        <v>0</v>
      </c>
      <c r="M1057" s="381" t="s">
        <v>7715</v>
      </c>
      <c r="AF1057" s="84"/>
    </row>
    <row r="1058" spans="1:32" s="185" customFormat="1" ht="14.25" customHeight="1" thickBot="1">
      <c r="A1058" s="353">
        <v>25977</v>
      </c>
      <c r="B1058" s="194" t="s">
        <v>5798</v>
      </c>
      <c r="C1058" s="339">
        <f t="shared" si="36"/>
        <v>40200</v>
      </c>
      <c r="D1058" s="196" t="s">
        <v>624</v>
      </c>
      <c r="E1058" s="187" t="s">
        <v>3608</v>
      </c>
      <c r="F1058" s="507">
        <f>SUMIFS(Controle!$R:$R,Controle!$H:$H,produtos_escape2!$A1058,Controle!$Z:$Z,"1")</f>
        <v>0</v>
      </c>
      <c r="G1058" s="507">
        <f>SUMIFS(Controle!$R:$R,Controle!$H:$H,produtos_escape2!$A1058,Controle!$Z:$Z,"2")</f>
        <v>4900</v>
      </c>
      <c r="H1058" s="507">
        <f>SUMIFS(Controle!$R:$R,Controle!$H:$H,produtos_escape2!$A1058,Controle!$Z:$Z,"3")</f>
        <v>4900</v>
      </c>
      <c r="I1058" s="507">
        <f>SUMIFS(Controle!$R:$R,Controle!$H:$H,produtos_escape2!$A1058,Controle!$Z:$Z,"4")</f>
        <v>0</v>
      </c>
      <c r="J1058" s="507">
        <f>SUMIFS(Controle!$R:$R,Controle!$H:$H,produtos_escape2!$A1058,Controle!$Z:$Z,"5")</f>
        <v>0</v>
      </c>
      <c r="K1058" s="507">
        <f>SUMIFS(Controle!$R:$R,Controle!$H:$H,produtos_escape2!$A1058,Controle!$Z:$Z,"6")</f>
        <v>0</v>
      </c>
      <c r="L1058" s="507">
        <f t="shared" si="35"/>
        <v>9800</v>
      </c>
      <c r="M1058" s="381" t="s">
        <v>5799</v>
      </c>
      <c r="AF1058" s="84"/>
    </row>
    <row r="1059" spans="1:32" s="185" customFormat="1" ht="14.25" customHeight="1" thickBot="1">
      <c r="A1059" s="353">
        <v>25978</v>
      </c>
      <c r="B1059" s="194" t="s">
        <v>5807</v>
      </c>
      <c r="C1059" s="339">
        <f t="shared" si="36"/>
        <v>50000</v>
      </c>
      <c r="D1059" s="196" t="s">
        <v>624</v>
      </c>
      <c r="E1059" s="187" t="s">
        <v>3608</v>
      </c>
      <c r="F1059" s="507">
        <f>SUMIFS(Controle!$R:$R,Controle!$H:$H,produtos_escape2!$A1059,Controle!$Z:$Z,"1")</f>
        <v>0</v>
      </c>
      <c r="G1059" s="507">
        <f>SUMIFS(Controle!$R:$R,Controle!$H:$H,produtos_escape2!$A1059,Controle!$Z:$Z,"2")</f>
        <v>0</v>
      </c>
      <c r="H1059" s="507">
        <f>SUMIFS(Controle!$R:$R,Controle!$H:$H,produtos_escape2!$A1059,Controle!$Z:$Z,"3")</f>
        <v>0</v>
      </c>
      <c r="I1059" s="507">
        <f>SUMIFS(Controle!$R:$R,Controle!$H:$H,produtos_escape2!$A1059,Controle!$Z:$Z,"4")</f>
        <v>0</v>
      </c>
      <c r="J1059" s="507">
        <f>SUMIFS(Controle!$R:$R,Controle!$H:$H,produtos_escape2!$A1059,Controle!$Z:$Z,"5")</f>
        <v>0</v>
      </c>
      <c r="K1059" s="507">
        <f>SUMIFS(Controle!$R:$R,Controle!$H:$H,produtos_escape2!$A1059,Controle!$Z:$Z,"6")</f>
        <v>0</v>
      </c>
      <c r="L1059" s="507">
        <f t="shared" si="35"/>
        <v>0</v>
      </c>
      <c r="M1059" s="381" t="s">
        <v>5098</v>
      </c>
      <c r="AF1059" s="84"/>
    </row>
    <row r="1060" spans="1:32" s="185" customFormat="1" ht="14.25" customHeight="1" thickBot="1">
      <c r="A1060" s="353">
        <v>25997</v>
      </c>
      <c r="B1060" s="194" t="s">
        <v>203</v>
      </c>
      <c r="C1060" s="339">
        <f t="shared" si="36"/>
        <v>50000</v>
      </c>
      <c r="D1060" s="196"/>
      <c r="E1060" s="187"/>
      <c r="F1060" s="507">
        <f>SUMIFS(Controle!$R:$R,Controle!$H:$H,produtos_escape2!$A1060,Controle!$Z:$Z,"1")</f>
        <v>0</v>
      </c>
      <c r="G1060" s="507">
        <f>SUMIFS(Controle!$R:$R,Controle!$H:$H,produtos_escape2!$A1060,Controle!$Z:$Z,"2")</f>
        <v>0</v>
      </c>
      <c r="H1060" s="507">
        <f>SUMIFS(Controle!$R:$R,Controle!$H:$H,produtos_escape2!$A1060,Controle!$Z:$Z,"3")</f>
        <v>0</v>
      </c>
      <c r="I1060" s="507">
        <f>SUMIFS(Controle!$R:$R,Controle!$H:$H,produtos_escape2!$A1060,Controle!$Z:$Z,"4")</f>
        <v>0</v>
      </c>
      <c r="J1060" s="507">
        <f>SUMIFS(Controle!$R:$R,Controle!$H:$H,produtos_escape2!$A1060,Controle!$Z:$Z,"5")</f>
        <v>0</v>
      </c>
      <c r="K1060" s="507">
        <f>SUMIFS(Controle!$R:$R,Controle!$H:$H,produtos_escape2!$A1060,Controle!$Z:$Z,"6")</f>
        <v>0</v>
      </c>
      <c r="L1060" s="507">
        <f t="shared" si="35"/>
        <v>0</v>
      </c>
      <c r="M1060" s="381" t="s">
        <v>203</v>
      </c>
      <c r="AF1060" s="84"/>
    </row>
    <row r="1061" spans="1:32" s="185" customFormat="1" ht="14.25" customHeight="1" thickBot="1">
      <c r="A1061" s="353">
        <v>26009</v>
      </c>
      <c r="B1061" s="338" t="s">
        <v>7009</v>
      </c>
      <c r="C1061" s="339">
        <f t="shared" si="36"/>
        <v>50000</v>
      </c>
      <c r="D1061" s="196" t="s">
        <v>11531</v>
      </c>
      <c r="E1061" s="187" t="s">
        <v>3608</v>
      </c>
      <c r="F1061" s="507">
        <f>SUMIFS(Controle!$R:$R,Controle!$H:$H,produtos_escape2!$A1061,Controle!$Z:$Z,"1")</f>
        <v>0</v>
      </c>
      <c r="G1061" s="507">
        <f>SUMIFS(Controle!$R:$R,Controle!$H:$H,produtos_escape2!$A1061,Controle!$Z:$Z,"2")</f>
        <v>0</v>
      </c>
      <c r="H1061" s="507">
        <f>SUMIFS(Controle!$R:$R,Controle!$H:$H,produtos_escape2!$A1061,Controle!$Z:$Z,"3")</f>
        <v>0</v>
      </c>
      <c r="I1061" s="507">
        <f>SUMIFS(Controle!$R:$R,Controle!$H:$H,produtos_escape2!$A1061,Controle!$Z:$Z,"4")</f>
        <v>0</v>
      </c>
      <c r="J1061" s="507">
        <f>SUMIFS(Controle!$R:$R,Controle!$H:$H,produtos_escape2!$A1061,Controle!$Z:$Z,"5")</f>
        <v>0</v>
      </c>
      <c r="K1061" s="507">
        <f>SUMIFS(Controle!$R:$R,Controle!$H:$H,produtos_escape2!$A1061,Controle!$Z:$Z,"6")</f>
        <v>0</v>
      </c>
      <c r="L1061" s="507">
        <f t="shared" si="35"/>
        <v>0</v>
      </c>
      <c r="M1061" s="381" t="s">
        <v>5099</v>
      </c>
      <c r="AF1061" s="84"/>
    </row>
    <row r="1062" spans="1:32" s="185" customFormat="1" ht="13.5" customHeight="1" thickBot="1">
      <c r="A1062" s="353">
        <v>26040</v>
      </c>
      <c r="B1062" s="194" t="s">
        <v>537</v>
      </c>
      <c r="C1062" s="339">
        <f t="shared" si="36"/>
        <v>50000</v>
      </c>
      <c r="D1062" s="196"/>
      <c r="E1062" s="187"/>
      <c r="F1062" s="507">
        <f>SUMIFS(Controle!$R:$R,Controle!$H:$H,produtos_escape2!$A1062,Controle!$Z:$Z,"1")</f>
        <v>0</v>
      </c>
      <c r="G1062" s="507">
        <f>SUMIFS(Controle!$R:$R,Controle!$H:$H,produtos_escape2!$A1062,Controle!$Z:$Z,"2")</f>
        <v>0</v>
      </c>
      <c r="H1062" s="507">
        <f>SUMIFS(Controle!$R:$R,Controle!$H:$H,produtos_escape2!$A1062,Controle!$Z:$Z,"3")</f>
        <v>0</v>
      </c>
      <c r="I1062" s="507">
        <f>SUMIFS(Controle!$R:$R,Controle!$H:$H,produtos_escape2!$A1062,Controle!$Z:$Z,"4")</f>
        <v>0</v>
      </c>
      <c r="J1062" s="507">
        <f>SUMIFS(Controle!$R:$R,Controle!$H:$H,produtos_escape2!$A1062,Controle!$Z:$Z,"5")</f>
        <v>0</v>
      </c>
      <c r="K1062" s="507">
        <f>SUMIFS(Controle!$R:$R,Controle!$H:$H,produtos_escape2!$A1062,Controle!$Z:$Z,"6")</f>
        <v>0</v>
      </c>
      <c r="L1062" s="507">
        <f t="shared" si="35"/>
        <v>0</v>
      </c>
      <c r="M1062" s="381" t="s">
        <v>537</v>
      </c>
      <c r="AF1062" s="84"/>
    </row>
    <row r="1063" spans="1:32" s="185" customFormat="1" ht="14.25" customHeight="1" thickBot="1">
      <c r="A1063" s="333">
        <v>26044</v>
      </c>
      <c r="B1063" s="194" t="s">
        <v>3411</v>
      </c>
      <c r="C1063" s="339">
        <f t="shared" si="36"/>
        <v>50000</v>
      </c>
      <c r="D1063" s="196" t="s">
        <v>624</v>
      </c>
      <c r="E1063" s="187"/>
      <c r="F1063" s="507">
        <f>SUMIFS(Controle!$R:$R,Controle!$H:$H,produtos_escape2!$A1063,Controle!$Z:$Z,"1")</f>
        <v>0</v>
      </c>
      <c r="G1063" s="507">
        <f>SUMIFS(Controle!$R:$R,Controle!$H:$H,produtos_escape2!$A1063,Controle!$Z:$Z,"2")</f>
        <v>0</v>
      </c>
      <c r="H1063" s="507">
        <f>SUMIFS(Controle!$R:$R,Controle!$H:$H,produtos_escape2!$A1063,Controle!$Z:$Z,"3")</f>
        <v>0</v>
      </c>
      <c r="I1063" s="507">
        <f>SUMIFS(Controle!$R:$R,Controle!$H:$H,produtos_escape2!$A1063,Controle!$Z:$Z,"4")</f>
        <v>0</v>
      </c>
      <c r="J1063" s="507">
        <f>SUMIFS(Controle!$R:$R,Controle!$H:$H,produtos_escape2!$A1063,Controle!$Z:$Z,"5")</f>
        <v>0</v>
      </c>
      <c r="K1063" s="507">
        <f>SUMIFS(Controle!$R:$R,Controle!$H:$H,produtos_escape2!$A1063,Controle!$Z:$Z,"6")</f>
        <v>0</v>
      </c>
      <c r="L1063" s="507">
        <f t="shared" si="35"/>
        <v>0</v>
      </c>
      <c r="M1063" s="381" t="s">
        <v>5100</v>
      </c>
      <c r="AF1063" s="84"/>
    </row>
    <row r="1064" spans="1:32" s="185" customFormat="1" ht="14.25" customHeight="1" thickBot="1">
      <c r="A1064" s="353">
        <v>26053</v>
      </c>
      <c r="B1064" s="194" t="s">
        <v>120</v>
      </c>
      <c r="C1064" s="339">
        <f t="shared" si="36"/>
        <v>50000</v>
      </c>
      <c r="D1064" s="196" t="s">
        <v>624</v>
      </c>
      <c r="E1064" s="187"/>
      <c r="F1064" s="507">
        <f>SUMIFS(Controle!$R:$R,Controle!$H:$H,produtos_escape2!$A1064,Controle!$Z:$Z,"1")</f>
        <v>0</v>
      </c>
      <c r="G1064" s="507">
        <f>SUMIFS(Controle!$R:$R,Controle!$H:$H,produtos_escape2!$A1064,Controle!$Z:$Z,"2")</f>
        <v>0</v>
      </c>
      <c r="H1064" s="507">
        <f>SUMIFS(Controle!$R:$R,Controle!$H:$H,produtos_escape2!$A1064,Controle!$Z:$Z,"3")</f>
        <v>0</v>
      </c>
      <c r="I1064" s="507">
        <f>SUMIFS(Controle!$R:$R,Controle!$H:$H,produtos_escape2!$A1064,Controle!$Z:$Z,"4")</f>
        <v>0</v>
      </c>
      <c r="J1064" s="507">
        <f>SUMIFS(Controle!$R:$R,Controle!$H:$H,produtos_escape2!$A1064,Controle!$Z:$Z,"5")</f>
        <v>0</v>
      </c>
      <c r="K1064" s="507">
        <f>SUMIFS(Controle!$R:$R,Controle!$H:$H,produtos_escape2!$A1064,Controle!$Z:$Z,"6")</f>
        <v>0</v>
      </c>
      <c r="L1064" s="507">
        <f t="shared" si="35"/>
        <v>0</v>
      </c>
      <c r="M1064" s="381" t="s">
        <v>5101</v>
      </c>
      <c r="AF1064" s="84"/>
    </row>
    <row r="1065" spans="1:32" s="185" customFormat="1" ht="14.25" customHeight="1" thickBot="1">
      <c r="A1065" s="353">
        <v>26059</v>
      </c>
      <c r="B1065" s="194" t="s">
        <v>850</v>
      </c>
      <c r="C1065" s="339">
        <f t="shared" si="36"/>
        <v>50000</v>
      </c>
      <c r="D1065" s="196" t="s">
        <v>624</v>
      </c>
      <c r="E1065" s="187" t="s">
        <v>1739</v>
      </c>
      <c r="F1065" s="507">
        <f>SUMIFS(Controle!$R:$R,Controle!$H:$H,produtos_escape2!$A1065,Controle!$Z:$Z,"1")</f>
        <v>0</v>
      </c>
      <c r="G1065" s="507">
        <f>SUMIFS(Controle!$R:$R,Controle!$H:$H,produtos_escape2!$A1065,Controle!$Z:$Z,"2")</f>
        <v>0</v>
      </c>
      <c r="H1065" s="507">
        <f>SUMIFS(Controle!$R:$R,Controle!$H:$H,produtos_escape2!$A1065,Controle!$Z:$Z,"3")</f>
        <v>0</v>
      </c>
      <c r="I1065" s="507">
        <f>SUMIFS(Controle!$R:$R,Controle!$H:$H,produtos_escape2!$A1065,Controle!$Z:$Z,"4")</f>
        <v>0</v>
      </c>
      <c r="J1065" s="507">
        <f>SUMIFS(Controle!$R:$R,Controle!$H:$H,produtos_escape2!$A1065,Controle!$Z:$Z,"5")</f>
        <v>0</v>
      </c>
      <c r="K1065" s="507">
        <f>SUMIFS(Controle!$R:$R,Controle!$H:$H,produtos_escape2!$A1065,Controle!$Z:$Z,"6")</f>
        <v>0</v>
      </c>
      <c r="L1065" s="507">
        <f t="shared" si="35"/>
        <v>0</v>
      </c>
      <c r="M1065" s="381" t="s">
        <v>5102</v>
      </c>
      <c r="AF1065" s="84"/>
    </row>
    <row r="1066" spans="1:32" s="185" customFormat="1" ht="14.25" customHeight="1" thickBot="1">
      <c r="A1066" s="353">
        <v>26060</v>
      </c>
      <c r="B1066" s="194" t="s">
        <v>863</v>
      </c>
      <c r="C1066" s="339">
        <f t="shared" si="36"/>
        <v>50000</v>
      </c>
      <c r="D1066" s="196" t="s">
        <v>624</v>
      </c>
      <c r="E1066" s="187" t="s">
        <v>1739</v>
      </c>
      <c r="F1066" s="507">
        <f>SUMIFS(Controle!$R:$R,Controle!$H:$H,produtos_escape2!$A1066,Controle!$Z:$Z,"1")</f>
        <v>0</v>
      </c>
      <c r="G1066" s="507">
        <f>SUMIFS(Controle!$R:$R,Controle!$H:$H,produtos_escape2!$A1066,Controle!$Z:$Z,"2")</f>
        <v>0</v>
      </c>
      <c r="H1066" s="507">
        <f>SUMIFS(Controle!$R:$R,Controle!$H:$H,produtos_escape2!$A1066,Controle!$Z:$Z,"3")</f>
        <v>0</v>
      </c>
      <c r="I1066" s="507">
        <f>SUMIFS(Controle!$R:$R,Controle!$H:$H,produtos_escape2!$A1066,Controle!$Z:$Z,"4")</f>
        <v>0</v>
      </c>
      <c r="J1066" s="507">
        <f>SUMIFS(Controle!$R:$R,Controle!$H:$H,produtos_escape2!$A1066,Controle!$Z:$Z,"5")</f>
        <v>0</v>
      </c>
      <c r="K1066" s="507">
        <f>SUMIFS(Controle!$R:$R,Controle!$H:$H,produtos_escape2!$A1066,Controle!$Z:$Z,"6")</f>
        <v>0</v>
      </c>
      <c r="L1066" s="507">
        <f t="shared" si="35"/>
        <v>0</v>
      </c>
      <c r="M1066" s="381" t="s">
        <v>863</v>
      </c>
      <c r="AF1066" s="84"/>
    </row>
    <row r="1067" spans="1:32" s="185" customFormat="1" ht="14.25" customHeight="1" thickBot="1">
      <c r="A1067" s="353">
        <v>26064</v>
      </c>
      <c r="B1067" s="194" t="s">
        <v>2991</v>
      </c>
      <c r="C1067" s="339">
        <f t="shared" si="36"/>
        <v>50000</v>
      </c>
      <c r="D1067" s="196" t="s">
        <v>624</v>
      </c>
      <c r="E1067" s="187" t="s">
        <v>1739</v>
      </c>
      <c r="F1067" s="507">
        <f>SUMIFS(Controle!$R:$R,Controle!$H:$H,produtos_escape2!$A1067,Controle!$Z:$Z,"1")</f>
        <v>0</v>
      </c>
      <c r="G1067" s="507">
        <f>SUMIFS(Controle!$R:$R,Controle!$H:$H,produtos_escape2!$A1067,Controle!$Z:$Z,"2")</f>
        <v>0</v>
      </c>
      <c r="H1067" s="507">
        <f>SUMIFS(Controle!$R:$R,Controle!$H:$H,produtos_escape2!$A1067,Controle!$Z:$Z,"3")</f>
        <v>0</v>
      </c>
      <c r="I1067" s="507">
        <f>SUMIFS(Controle!$R:$R,Controle!$H:$H,produtos_escape2!$A1067,Controle!$Z:$Z,"4")</f>
        <v>0</v>
      </c>
      <c r="J1067" s="507">
        <f>SUMIFS(Controle!$R:$R,Controle!$H:$H,produtos_escape2!$A1067,Controle!$Z:$Z,"5")</f>
        <v>0</v>
      </c>
      <c r="K1067" s="507">
        <f>SUMIFS(Controle!$R:$R,Controle!$H:$H,produtos_escape2!$A1067,Controle!$Z:$Z,"6")</f>
        <v>0</v>
      </c>
      <c r="L1067" s="507">
        <f t="shared" si="35"/>
        <v>0</v>
      </c>
      <c r="M1067" s="381" t="s">
        <v>5103</v>
      </c>
      <c r="AF1067" s="84"/>
    </row>
    <row r="1068" spans="1:32" s="185" customFormat="1" ht="14.25" customHeight="1" thickBot="1">
      <c r="A1068" s="353">
        <v>26077</v>
      </c>
      <c r="B1068" s="194" t="s">
        <v>1772</v>
      </c>
      <c r="C1068" s="339">
        <f t="shared" si="36"/>
        <v>50000</v>
      </c>
      <c r="D1068" s="196" t="s">
        <v>624</v>
      </c>
      <c r="E1068" s="187" t="s">
        <v>3608</v>
      </c>
      <c r="F1068" s="507">
        <f>SUMIFS(Controle!$R:$R,Controle!$H:$H,produtos_escape2!$A1068,Controle!$Z:$Z,"1")</f>
        <v>0</v>
      </c>
      <c r="G1068" s="507">
        <f>SUMIFS(Controle!$R:$R,Controle!$H:$H,produtos_escape2!$A1068,Controle!$Z:$Z,"2")</f>
        <v>0</v>
      </c>
      <c r="H1068" s="507">
        <f>SUMIFS(Controle!$R:$R,Controle!$H:$H,produtos_escape2!$A1068,Controle!$Z:$Z,"3")</f>
        <v>0</v>
      </c>
      <c r="I1068" s="507">
        <f>SUMIFS(Controle!$R:$R,Controle!$H:$H,produtos_escape2!$A1068,Controle!$Z:$Z,"4")</f>
        <v>0</v>
      </c>
      <c r="J1068" s="507">
        <f>SUMIFS(Controle!$R:$R,Controle!$H:$H,produtos_escape2!$A1068,Controle!$Z:$Z,"5")</f>
        <v>0</v>
      </c>
      <c r="K1068" s="507">
        <f>SUMIFS(Controle!$R:$R,Controle!$H:$H,produtos_escape2!$A1068,Controle!$Z:$Z,"6")</f>
        <v>0</v>
      </c>
      <c r="L1068" s="507">
        <f t="shared" si="35"/>
        <v>0</v>
      </c>
      <c r="M1068" s="381" t="s">
        <v>5104</v>
      </c>
      <c r="AF1068" s="84"/>
    </row>
    <row r="1069" spans="1:32" s="185" customFormat="1" ht="14.25" customHeight="1" thickBot="1">
      <c r="A1069" s="353">
        <v>26104</v>
      </c>
      <c r="B1069" s="338" t="s">
        <v>1773</v>
      </c>
      <c r="C1069" s="339">
        <f t="shared" si="36"/>
        <v>50000</v>
      </c>
      <c r="D1069" s="196" t="s">
        <v>624</v>
      </c>
      <c r="E1069" s="187" t="s">
        <v>7207</v>
      </c>
      <c r="F1069" s="507">
        <f>SUMIFS(Controle!$R:$R,Controle!$H:$H,produtos_escape2!$A1069,Controle!$Z:$Z,"1")</f>
        <v>0</v>
      </c>
      <c r="G1069" s="507">
        <f>SUMIFS(Controle!$R:$R,Controle!$H:$H,produtos_escape2!$A1069,Controle!$Z:$Z,"2")</f>
        <v>0</v>
      </c>
      <c r="H1069" s="507">
        <f>SUMIFS(Controle!$R:$R,Controle!$H:$H,produtos_escape2!$A1069,Controle!$Z:$Z,"3")</f>
        <v>0</v>
      </c>
      <c r="I1069" s="507">
        <f>SUMIFS(Controle!$R:$R,Controle!$H:$H,produtos_escape2!$A1069,Controle!$Z:$Z,"4")</f>
        <v>0</v>
      </c>
      <c r="J1069" s="507">
        <f>SUMIFS(Controle!$R:$R,Controle!$H:$H,produtos_escape2!$A1069,Controle!$Z:$Z,"5")</f>
        <v>0</v>
      </c>
      <c r="K1069" s="507">
        <f>SUMIFS(Controle!$R:$R,Controle!$H:$H,produtos_escape2!$A1069,Controle!$Z:$Z,"6")</f>
        <v>0</v>
      </c>
      <c r="L1069" s="507">
        <f t="shared" si="35"/>
        <v>0</v>
      </c>
      <c r="M1069" s="381" t="s">
        <v>4859</v>
      </c>
      <c r="AF1069" s="84"/>
    </row>
    <row r="1070" spans="1:32" s="185" customFormat="1" ht="14.25" customHeight="1" thickBot="1">
      <c r="A1070" s="353">
        <v>26105</v>
      </c>
      <c r="B1070" s="194" t="s">
        <v>4449</v>
      </c>
      <c r="C1070" s="339">
        <f t="shared" si="36"/>
        <v>50000</v>
      </c>
      <c r="D1070" s="196" t="s">
        <v>624</v>
      </c>
      <c r="E1070" s="187" t="s">
        <v>3608</v>
      </c>
      <c r="F1070" s="507">
        <f>SUMIFS(Controle!$R:$R,Controle!$H:$H,produtos_escape2!$A1070,Controle!$Z:$Z,"1")</f>
        <v>0</v>
      </c>
      <c r="G1070" s="507">
        <f>SUMIFS(Controle!$R:$R,Controle!$H:$H,produtos_escape2!$A1070,Controle!$Z:$Z,"2")</f>
        <v>0</v>
      </c>
      <c r="H1070" s="507">
        <f>SUMIFS(Controle!$R:$R,Controle!$H:$H,produtos_escape2!$A1070,Controle!$Z:$Z,"3")</f>
        <v>0</v>
      </c>
      <c r="I1070" s="507">
        <f>SUMIFS(Controle!$R:$R,Controle!$H:$H,produtos_escape2!$A1070,Controle!$Z:$Z,"4")</f>
        <v>0</v>
      </c>
      <c r="J1070" s="507">
        <f>SUMIFS(Controle!$R:$R,Controle!$H:$H,produtos_escape2!$A1070,Controle!$Z:$Z,"5")</f>
        <v>0</v>
      </c>
      <c r="K1070" s="507">
        <f>SUMIFS(Controle!$R:$R,Controle!$H:$H,produtos_escape2!$A1070,Controle!$Z:$Z,"6")</f>
        <v>0</v>
      </c>
      <c r="L1070" s="507">
        <f t="shared" si="35"/>
        <v>0</v>
      </c>
      <c r="M1070" s="381" t="s">
        <v>5105</v>
      </c>
      <c r="AF1070" s="84"/>
    </row>
    <row r="1071" spans="1:32" s="185" customFormat="1" ht="14.25" customHeight="1" thickBot="1">
      <c r="A1071" s="333">
        <v>26195</v>
      </c>
      <c r="B1071" s="194" t="s">
        <v>479</v>
      </c>
      <c r="C1071" s="339">
        <f t="shared" si="36"/>
        <v>50000</v>
      </c>
      <c r="D1071" s="196" t="s">
        <v>624</v>
      </c>
      <c r="E1071" s="187" t="s">
        <v>7207</v>
      </c>
      <c r="F1071" s="507">
        <f>SUMIFS(Controle!$R:$R,Controle!$H:$H,produtos_escape2!$A1071,Controle!$Z:$Z,"1")</f>
        <v>0</v>
      </c>
      <c r="G1071" s="507">
        <f>SUMIFS(Controle!$R:$R,Controle!$H:$H,produtos_escape2!$A1071,Controle!$Z:$Z,"2")</f>
        <v>0</v>
      </c>
      <c r="H1071" s="507">
        <f>SUMIFS(Controle!$R:$R,Controle!$H:$H,produtos_escape2!$A1071,Controle!$Z:$Z,"3")</f>
        <v>0</v>
      </c>
      <c r="I1071" s="507">
        <f>SUMIFS(Controle!$R:$R,Controle!$H:$H,produtos_escape2!$A1071,Controle!$Z:$Z,"4")</f>
        <v>0</v>
      </c>
      <c r="J1071" s="507">
        <f>SUMIFS(Controle!$R:$R,Controle!$H:$H,produtos_escape2!$A1071,Controle!$Z:$Z,"5")</f>
        <v>0</v>
      </c>
      <c r="K1071" s="507">
        <f>SUMIFS(Controle!$R:$R,Controle!$H:$H,produtos_escape2!$A1071,Controle!$Z:$Z,"6")</f>
        <v>0</v>
      </c>
      <c r="L1071" s="507">
        <f t="shared" si="35"/>
        <v>0</v>
      </c>
      <c r="M1071" s="381" t="s">
        <v>5106</v>
      </c>
      <c r="AF1071" s="84"/>
    </row>
    <row r="1072" spans="1:32" s="185" customFormat="1" ht="14.25" customHeight="1" thickBot="1">
      <c r="A1072" s="353">
        <v>26196</v>
      </c>
      <c r="B1072" s="194" t="s">
        <v>1603</v>
      </c>
      <c r="C1072" s="339">
        <f t="shared" si="36"/>
        <v>50000</v>
      </c>
      <c r="D1072" s="196" t="s">
        <v>653</v>
      </c>
      <c r="E1072" s="187" t="s">
        <v>3608</v>
      </c>
      <c r="F1072" s="507">
        <f>SUMIFS(Controle!$R:$R,Controle!$H:$H,produtos_escape2!$A1072,Controle!$Z:$Z,"1")</f>
        <v>0</v>
      </c>
      <c r="G1072" s="507">
        <f>SUMIFS(Controle!$R:$R,Controle!$H:$H,produtos_escape2!$A1072,Controle!$Z:$Z,"2")</f>
        <v>0</v>
      </c>
      <c r="H1072" s="507">
        <f>SUMIFS(Controle!$R:$R,Controle!$H:$H,produtos_escape2!$A1072,Controle!$Z:$Z,"3")</f>
        <v>0</v>
      </c>
      <c r="I1072" s="507">
        <f>SUMIFS(Controle!$R:$R,Controle!$H:$H,produtos_escape2!$A1072,Controle!$Z:$Z,"4")</f>
        <v>0</v>
      </c>
      <c r="J1072" s="507">
        <f>SUMIFS(Controle!$R:$R,Controle!$H:$H,produtos_escape2!$A1072,Controle!$Z:$Z,"5")</f>
        <v>0</v>
      </c>
      <c r="K1072" s="507">
        <f>SUMIFS(Controle!$R:$R,Controle!$H:$H,produtos_escape2!$A1072,Controle!$Z:$Z,"6")</f>
        <v>0</v>
      </c>
      <c r="L1072" s="507">
        <f t="shared" si="35"/>
        <v>0</v>
      </c>
      <c r="M1072" s="381" t="s">
        <v>5107</v>
      </c>
      <c r="AF1072" s="84"/>
    </row>
    <row r="1073" spans="1:32" s="185" customFormat="1" ht="14.25" customHeight="1" thickBot="1">
      <c r="A1073" s="353">
        <v>26440</v>
      </c>
      <c r="B1073" s="194" t="s">
        <v>1795</v>
      </c>
      <c r="C1073" s="339">
        <f t="shared" si="36"/>
        <v>50000</v>
      </c>
      <c r="D1073" s="191" t="s">
        <v>624</v>
      </c>
      <c r="E1073" s="189" t="s">
        <v>7207</v>
      </c>
      <c r="F1073" s="507">
        <f>SUMIFS(Controle!$R:$R,Controle!$H:$H,produtos_escape2!$A1073,Controle!$Z:$Z,"1")</f>
        <v>0</v>
      </c>
      <c r="G1073" s="507">
        <f>SUMIFS(Controle!$R:$R,Controle!$H:$H,produtos_escape2!$A1073,Controle!$Z:$Z,"2")</f>
        <v>0</v>
      </c>
      <c r="H1073" s="507">
        <f>SUMIFS(Controle!$R:$R,Controle!$H:$H,produtos_escape2!$A1073,Controle!$Z:$Z,"3")</f>
        <v>0</v>
      </c>
      <c r="I1073" s="507">
        <f>SUMIFS(Controle!$R:$R,Controle!$H:$H,produtos_escape2!$A1073,Controle!$Z:$Z,"4")</f>
        <v>0</v>
      </c>
      <c r="J1073" s="507">
        <f>SUMIFS(Controle!$R:$R,Controle!$H:$H,produtos_escape2!$A1073,Controle!$Z:$Z,"5")</f>
        <v>0</v>
      </c>
      <c r="K1073" s="507">
        <f>SUMIFS(Controle!$R:$R,Controle!$H:$H,produtos_escape2!$A1073,Controle!$Z:$Z,"6")</f>
        <v>0</v>
      </c>
      <c r="L1073" s="507">
        <f t="shared" si="35"/>
        <v>0</v>
      </c>
      <c r="M1073" s="381" t="s">
        <v>5016</v>
      </c>
      <c r="AF1073" s="84"/>
    </row>
    <row r="1074" spans="1:32" s="185" customFormat="1" ht="14.25" customHeight="1" thickBot="1">
      <c r="A1074" s="353">
        <v>26443</v>
      </c>
      <c r="B1074" s="194" t="s">
        <v>1791</v>
      </c>
      <c r="C1074" s="339">
        <f t="shared" si="36"/>
        <v>50000</v>
      </c>
      <c r="D1074" s="191" t="s">
        <v>624</v>
      </c>
      <c r="E1074" s="189" t="s">
        <v>7207</v>
      </c>
      <c r="F1074" s="507">
        <f>SUMIFS(Controle!$R:$R,Controle!$H:$H,produtos_escape2!$A1074,Controle!$Z:$Z,"1")</f>
        <v>0</v>
      </c>
      <c r="G1074" s="507">
        <f>SUMIFS(Controle!$R:$R,Controle!$H:$H,produtos_escape2!$A1074,Controle!$Z:$Z,"2")</f>
        <v>0</v>
      </c>
      <c r="H1074" s="507">
        <f>SUMIFS(Controle!$R:$R,Controle!$H:$H,produtos_escape2!$A1074,Controle!$Z:$Z,"3")</f>
        <v>0</v>
      </c>
      <c r="I1074" s="507">
        <f>SUMIFS(Controle!$R:$R,Controle!$H:$H,produtos_escape2!$A1074,Controle!$Z:$Z,"4")</f>
        <v>0</v>
      </c>
      <c r="J1074" s="507">
        <f>SUMIFS(Controle!$R:$R,Controle!$H:$H,produtos_escape2!$A1074,Controle!$Z:$Z,"5")</f>
        <v>0</v>
      </c>
      <c r="K1074" s="507">
        <f>SUMIFS(Controle!$R:$R,Controle!$H:$H,produtos_escape2!$A1074,Controle!$Z:$Z,"6")</f>
        <v>0</v>
      </c>
      <c r="L1074" s="507">
        <f t="shared" si="35"/>
        <v>0</v>
      </c>
      <c r="M1074" s="381" t="s">
        <v>5016</v>
      </c>
      <c r="AF1074" s="84"/>
    </row>
    <row r="1075" spans="1:32" s="185" customFormat="1" ht="14.25" customHeight="1" thickBot="1">
      <c r="A1075" s="353">
        <v>26446</v>
      </c>
      <c r="B1075" s="194" t="s">
        <v>1793</v>
      </c>
      <c r="C1075" s="339">
        <f t="shared" si="36"/>
        <v>50000</v>
      </c>
      <c r="D1075" s="191" t="s">
        <v>624</v>
      </c>
      <c r="E1075" s="189" t="s">
        <v>7207</v>
      </c>
      <c r="F1075" s="507">
        <f>SUMIFS(Controle!$R:$R,Controle!$H:$H,produtos_escape2!$A1075,Controle!$Z:$Z,"1")</f>
        <v>0</v>
      </c>
      <c r="G1075" s="507">
        <f>SUMIFS(Controle!$R:$R,Controle!$H:$H,produtos_escape2!$A1075,Controle!$Z:$Z,"2")</f>
        <v>0</v>
      </c>
      <c r="H1075" s="507">
        <f>SUMIFS(Controle!$R:$R,Controle!$H:$H,produtos_escape2!$A1075,Controle!$Z:$Z,"3")</f>
        <v>0</v>
      </c>
      <c r="I1075" s="507">
        <f>SUMIFS(Controle!$R:$R,Controle!$H:$H,produtos_escape2!$A1075,Controle!$Z:$Z,"4")</f>
        <v>0</v>
      </c>
      <c r="J1075" s="507">
        <f>SUMIFS(Controle!$R:$R,Controle!$H:$H,produtos_escape2!$A1075,Controle!$Z:$Z,"5")</f>
        <v>0</v>
      </c>
      <c r="K1075" s="507">
        <f>SUMIFS(Controle!$R:$R,Controle!$H:$H,produtos_escape2!$A1075,Controle!$Z:$Z,"6")</f>
        <v>0</v>
      </c>
      <c r="L1075" s="507">
        <f t="shared" si="35"/>
        <v>0</v>
      </c>
      <c r="M1075" s="381" t="s">
        <v>5016</v>
      </c>
      <c r="AF1075" s="84"/>
    </row>
    <row r="1076" spans="1:32" s="185" customFormat="1" ht="14.25" customHeight="1" thickBot="1">
      <c r="A1076" s="353">
        <v>26447</v>
      </c>
      <c r="B1076" s="194" t="s">
        <v>2636</v>
      </c>
      <c r="C1076" s="339">
        <f t="shared" si="36"/>
        <v>50000</v>
      </c>
      <c r="D1076" s="196" t="s">
        <v>624</v>
      </c>
      <c r="E1076" s="187" t="s">
        <v>7207</v>
      </c>
      <c r="F1076" s="507">
        <f>SUMIFS(Controle!$R:$R,Controle!$H:$H,produtos_escape2!$A1076,Controle!$Z:$Z,"1")</f>
        <v>0</v>
      </c>
      <c r="G1076" s="507">
        <f>SUMIFS(Controle!$R:$R,Controle!$H:$H,produtos_escape2!$A1076,Controle!$Z:$Z,"2")</f>
        <v>0</v>
      </c>
      <c r="H1076" s="507">
        <f>SUMIFS(Controle!$R:$R,Controle!$H:$H,produtos_escape2!$A1076,Controle!$Z:$Z,"3")</f>
        <v>0</v>
      </c>
      <c r="I1076" s="507">
        <f>SUMIFS(Controle!$R:$R,Controle!$H:$H,produtos_escape2!$A1076,Controle!$Z:$Z,"4")</f>
        <v>0</v>
      </c>
      <c r="J1076" s="507">
        <f>SUMIFS(Controle!$R:$R,Controle!$H:$H,produtos_escape2!$A1076,Controle!$Z:$Z,"5")</f>
        <v>0</v>
      </c>
      <c r="K1076" s="507">
        <f>SUMIFS(Controle!$R:$R,Controle!$H:$H,produtos_escape2!$A1076,Controle!$Z:$Z,"6")</f>
        <v>0</v>
      </c>
      <c r="L1076" s="507">
        <f t="shared" si="35"/>
        <v>0</v>
      </c>
      <c r="M1076" s="381" t="s">
        <v>5016</v>
      </c>
      <c r="AF1076" s="84"/>
    </row>
    <row r="1077" spans="1:32" s="185" customFormat="1" ht="14.25" customHeight="1" thickBot="1">
      <c r="A1077" s="353">
        <v>26450</v>
      </c>
      <c r="B1077" s="338" t="s">
        <v>1794</v>
      </c>
      <c r="C1077" s="339">
        <f t="shared" si="36"/>
        <v>50000</v>
      </c>
      <c r="D1077" s="191" t="s">
        <v>624</v>
      </c>
      <c r="E1077" s="189" t="s">
        <v>7207</v>
      </c>
      <c r="F1077" s="507">
        <f>SUMIFS(Controle!$R:$R,Controle!$H:$H,produtos_escape2!$A1077,Controle!$Z:$Z,"1")</f>
        <v>0</v>
      </c>
      <c r="G1077" s="507">
        <f>SUMIFS(Controle!$R:$R,Controle!$H:$H,produtos_escape2!$A1077,Controle!$Z:$Z,"2")</f>
        <v>0</v>
      </c>
      <c r="H1077" s="507">
        <f>SUMIFS(Controle!$R:$R,Controle!$H:$H,produtos_escape2!$A1077,Controle!$Z:$Z,"3")</f>
        <v>0</v>
      </c>
      <c r="I1077" s="507">
        <f>SUMIFS(Controle!$R:$R,Controle!$H:$H,produtos_escape2!$A1077,Controle!$Z:$Z,"4")</f>
        <v>0</v>
      </c>
      <c r="J1077" s="507">
        <f>SUMIFS(Controle!$R:$R,Controle!$H:$H,produtos_escape2!$A1077,Controle!$Z:$Z,"5")</f>
        <v>0</v>
      </c>
      <c r="K1077" s="507">
        <f>SUMIFS(Controle!$R:$R,Controle!$H:$H,produtos_escape2!$A1077,Controle!$Z:$Z,"6")</f>
        <v>0</v>
      </c>
      <c r="L1077" s="507">
        <f t="shared" si="35"/>
        <v>0</v>
      </c>
      <c r="M1077" s="381" t="s">
        <v>5016</v>
      </c>
      <c r="AF1077" s="84"/>
    </row>
    <row r="1078" spans="1:32" s="185" customFormat="1" ht="14.25" customHeight="1" thickBot="1">
      <c r="A1078" s="353">
        <v>26453</v>
      </c>
      <c r="B1078" s="194" t="s">
        <v>2637</v>
      </c>
      <c r="C1078" s="339">
        <f t="shared" si="36"/>
        <v>50000</v>
      </c>
      <c r="D1078" s="196" t="s">
        <v>624</v>
      </c>
      <c r="E1078" s="187" t="s">
        <v>7207</v>
      </c>
      <c r="F1078" s="507">
        <f>SUMIFS(Controle!$R:$R,Controle!$H:$H,produtos_escape2!$A1078,Controle!$Z:$Z,"1")</f>
        <v>0</v>
      </c>
      <c r="G1078" s="507">
        <f>SUMIFS(Controle!$R:$R,Controle!$H:$H,produtos_escape2!$A1078,Controle!$Z:$Z,"2")</f>
        <v>0</v>
      </c>
      <c r="H1078" s="507">
        <f>SUMIFS(Controle!$R:$R,Controle!$H:$H,produtos_escape2!$A1078,Controle!$Z:$Z,"3")</f>
        <v>0</v>
      </c>
      <c r="I1078" s="507">
        <f>SUMIFS(Controle!$R:$R,Controle!$H:$H,produtos_escape2!$A1078,Controle!$Z:$Z,"4")</f>
        <v>0</v>
      </c>
      <c r="J1078" s="507">
        <f>SUMIFS(Controle!$R:$R,Controle!$H:$H,produtos_escape2!$A1078,Controle!$Z:$Z,"5")</f>
        <v>0</v>
      </c>
      <c r="K1078" s="507">
        <f>SUMIFS(Controle!$R:$R,Controle!$H:$H,produtos_escape2!$A1078,Controle!$Z:$Z,"6")</f>
        <v>0</v>
      </c>
      <c r="L1078" s="507">
        <f t="shared" si="35"/>
        <v>0</v>
      </c>
      <c r="M1078" s="381" t="s">
        <v>5016</v>
      </c>
      <c r="AF1078" s="84"/>
    </row>
    <row r="1079" spans="1:32" s="185" customFormat="1" ht="14.25" customHeight="1" thickBot="1">
      <c r="A1079" s="333">
        <v>26477</v>
      </c>
      <c r="B1079" s="194" t="s">
        <v>2638</v>
      </c>
      <c r="C1079" s="339">
        <f t="shared" si="36"/>
        <v>50000</v>
      </c>
      <c r="D1079" s="196" t="s">
        <v>624</v>
      </c>
      <c r="E1079" s="187" t="s">
        <v>7207</v>
      </c>
      <c r="F1079" s="507">
        <f>SUMIFS(Controle!$R:$R,Controle!$H:$H,produtos_escape2!$A1079,Controle!$Z:$Z,"1")</f>
        <v>0</v>
      </c>
      <c r="G1079" s="507">
        <f>SUMIFS(Controle!$R:$R,Controle!$H:$H,produtos_escape2!$A1079,Controle!$Z:$Z,"2")</f>
        <v>0</v>
      </c>
      <c r="H1079" s="507">
        <f>SUMIFS(Controle!$R:$R,Controle!$H:$H,produtos_escape2!$A1079,Controle!$Z:$Z,"3")</f>
        <v>0</v>
      </c>
      <c r="I1079" s="507">
        <f>SUMIFS(Controle!$R:$R,Controle!$H:$H,produtos_escape2!$A1079,Controle!$Z:$Z,"4")</f>
        <v>0</v>
      </c>
      <c r="J1079" s="507">
        <f>SUMIFS(Controle!$R:$R,Controle!$H:$H,produtos_escape2!$A1079,Controle!$Z:$Z,"5")</f>
        <v>0</v>
      </c>
      <c r="K1079" s="507">
        <f>SUMIFS(Controle!$R:$R,Controle!$H:$H,produtos_escape2!$A1079,Controle!$Z:$Z,"6")</f>
        <v>0</v>
      </c>
      <c r="L1079" s="507">
        <f t="shared" si="35"/>
        <v>0</v>
      </c>
      <c r="M1079" s="381" t="s">
        <v>4909</v>
      </c>
      <c r="AF1079" s="84"/>
    </row>
    <row r="1080" spans="1:32" s="185" customFormat="1" ht="14.25" customHeight="1" thickBot="1">
      <c r="A1080" s="353">
        <v>26479</v>
      </c>
      <c r="B1080" s="194" t="s">
        <v>461</v>
      </c>
      <c r="C1080" s="339">
        <f t="shared" si="36"/>
        <v>50000</v>
      </c>
      <c r="D1080" s="196"/>
      <c r="E1080" s="187"/>
      <c r="F1080" s="507">
        <f>SUMIFS(Controle!$R:$R,Controle!$H:$H,produtos_escape2!$A1080,Controle!$Z:$Z,"1")</f>
        <v>0</v>
      </c>
      <c r="G1080" s="507">
        <f>SUMIFS(Controle!$R:$R,Controle!$H:$H,produtos_escape2!$A1080,Controle!$Z:$Z,"2")</f>
        <v>0</v>
      </c>
      <c r="H1080" s="507">
        <f>SUMIFS(Controle!$R:$R,Controle!$H:$H,produtos_escape2!$A1080,Controle!$Z:$Z,"3")</f>
        <v>0</v>
      </c>
      <c r="I1080" s="507">
        <f>SUMIFS(Controle!$R:$R,Controle!$H:$H,produtos_escape2!$A1080,Controle!$Z:$Z,"4")</f>
        <v>0</v>
      </c>
      <c r="J1080" s="507">
        <f>SUMIFS(Controle!$R:$R,Controle!$H:$H,produtos_escape2!$A1080,Controle!$Z:$Z,"5")</f>
        <v>0</v>
      </c>
      <c r="K1080" s="507">
        <f>SUMIFS(Controle!$R:$R,Controle!$H:$H,produtos_escape2!$A1080,Controle!$Z:$Z,"6")</f>
        <v>0</v>
      </c>
      <c r="L1080" s="507">
        <f t="shared" si="35"/>
        <v>0</v>
      </c>
      <c r="M1080" s="381" t="s">
        <v>5108</v>
      </c>
      <c r="AF1080" s="84"/>
    </row>
    <row r="1081" spans="1:32" s="185" customFormat="1" ht="14.25" customHeight="1" thickBot="1">
      <c r="A1081" s="353">
        <v>26583</v>
      </c>
      <c r="B1081" s="194" t="s">
        <v>2807</v>
      </c>
      <c r="C1081" s="339">
        <f t="shared" si="36"/>
        <v>50000</v>
      </c>
      <c r="D1081" s="196" t="s">
        <v>624</v>
      </c>
      <c r="E1081" s="187" t="s">
        <v>3608</v>
      </c>
      <c r="F1081" s="507">
        <f>SUMIFS(Controle!$R:$R,Controle!$H:$H,produtos_escape2!$A1081,Controle!$Z:$Z,"1")</f>
        <v>0</v>
      </c>
      <c r="G1081" s="507">
        <f>SUMIFS(Controle!$R:$R,Controle!$H:$H,produtos_escape2!$A1081,Controle!$Z:$Z,"2")</f>
        <v>0</v>
      </c>
      <c r="H1081" s="507">
        <f>SUMIFS(Controle!$R:$R,Controle!$H:$H,produtos_escape2!$A1081,Controle!$Z:$Z,"3")</f>
        <v>0</v>
      </c>
      <c r="I1081" s="507">
        <f>SUMIFS(Controle!$R:$R,Controle!$H:$H,produtos_escape2!$A1081,Controle!$Z:$Z,"4")</f>
        <v>0</v>
      </c>
      <c r="J1081" s="507">
        <f>SUMIFS(Controle!$R:$R,Controle!$H:$H,produtos_escape2!$A1081,Controle!$Z:$Z,"5")</f>
        <v>0</v>
      </c>
      <c r="K1081" s="507">
        <f>SUMIFS(Controle!$R:$R,Controle!$H:$H,produtos_escape2!$A1081,Controle!$Z:$Z,"6")</f>
        <v>0</v>
      </c>
      <c r="L1081" s="507">
        <f t="shared" si="35"/>
        <v>0</v>
      </c>
      <c r="M1081" s="381" t="s">
        <v>5109</v>
      </c>
      <c r="AF1081" s="84"/>
    </row>
    <row r="1082" spans="1:32" s="185" customFormat="1" ht="14.25" customHeight="1" thickBot="1">
      <c r="A1082" s="353">
        <v>26884</v>
      </c>
      <c r="B1082" s="194" t="s">
        <v>1226</v>
      </c>
      <c r="C1082" s="339">
        <f t="shared" si="36"/>
        <v>50000</v>
      </c>
      <c r="D1082" s="196"/>
      <c r="E1082" s="187"/>
      <c r="F1082" s="507">
        <f>SUMIFS(Controle!$R:$R,Controle!$H:$H,produtos_escape2!$A1082,Controle!$Z:$Z,"1")</f>
        <v>0</v>
      </c>
      <c r="G1082" s="507">
        <f>SUMIFS(Controle!$R:$R,Controle!$H:$H,produtos_escape2!$A1082,Controle!$Z:$Z,"2")</f>
        <v>0</v>
      </c>
      <c r="H1082" s="507">
        <f>SUMIFS(Controle!$R:$R,Controle!$H:$H,produtos_escape2!$A1082,Controle!$Z:$Z,"3")</f>
        <v>0</v>
      </c>
      <c r="I1082" s="507">
        <f>SUMIFS(Controle!$R:$R,Controle!$H:$H,produtos_escape2!$A1082,Controle!$Z:$Z,"4")</f>
        <v>0</v>
      </c>
      <c r="J1082" s="507">
        <f>SUMIFS(Controle!$R:$R,Controle!$H:$H,produtos_escape2!$A1082,Controle!$Z:$Z,"5")</f>
        <v>0</v>
      </c>
      <c r="K1082" s="507">
        <f>SUMIFS(Controle!$R:$R,Controle!$H:$H,produtos_escape2!$A1082,Controle!$Z:$Z,"6")</f>
        <v>0</v>
      </c>
      <c r="L1082" s="507">
        <f t="shared" si="35"/>
        <v>0</v>
      </c>
      <c r="M1082" s="381" t="s">
        <v>5110</v>
      </c>
      <c r="AF1082" s="84"/>
    </row>
    <row r="1083" spans="1:32" s="185" customFormat="1" ht="14.25" customHeight="1" thickBot="1">
      <c r="A1083" s="353">
        <v>26885</v>
      </c>
      <c r="B1083" s="194" t="s">
        <v>1225</v>
      </c>
      <c r="C1083" s="339">
        <f t="shared" si="36"/>
        <v>50000</v>
      </c>
      <c r="D1083" s="196"/>
      <c r="E1083" s="187"/>
      <c r="F1083" s="507">
        <f>SUMIFS(Controle!$R:$R,Controle!$H:$H,produtos_escape2!$A1083,Controle!$Z:$Z,"1")</f>
        <v>0</v>
      </c>
      <c r="G1083" s="507">
        <f>SUMIFS(Controle!$R:$R,Controle!$H:$H,produtos_escape2!$A1083,Controle!$Z:$Z,"2")</f>
        <v>0</v>
      </c>
      <c r="H1083" s="507">
        <f>SUMIFS(Controle!$R:$R,Controle!$H:$H,produtos_escape2!$A1083,Controle!$Z:$Z,"3")</f>
        <v>0</v>
      </c>
      <c r="I1083" s="507">
        <f>SUMIFS(Controle!$R:$R,Controle!$H:$H,produtos_escape2!$A1083,Controle!$Z:$Z,"4")</f>
        <v>0</v>
      </c>
      <c r="J1083" s="507">
        <f>SUMIFS(Controle!$R:$R,Controle!$H:$H,produtos_escape2!$A1083,Controle!$Z:$Z,"5")</f>
        <v>0</v>
      </c>
      <c r="K1083" s="507">
        <f>SUMIFS(Controle!$R:$R,Controle!$H:$H,produtos_escape2!$A1083,Controle!$Z:$Z,"6")</f>
        <v>0</v>
      </c>
      <c r="L1083" s="507">
        <f t="shared" si="35"/>
        <v>0</v>
      </c>
      <c r="M1083" s="381" t="s">
        <v>5111</v>
      </c>
      <c r="AF1083" s="84"/>
    </row>
    <row r="1084" spans="1:32" s="185" customFormat="1" ht="14.25" customHeight="1" thickBot="1">
      <c r="A1084" s="353">
        <v>26886</v>
      </c>
      <c r="B1084" s="194" t="s">
        <v>1224</v>
      </c>
      <c r="C1084" s="339">
        <f t="shared" si="36"/>
        <v>50000</v>
      </c>
      <c r="D1084" s="196"/>
      <c r="E1084" s="187"/>
      <c r="F1084" s="507">
        <f>SUMIFS(Controle!$R:$R,Controle!$H:$H,produtos_escape2!$A1084,Controle!$Z:$Z,"1")</f>
        <v>0</v>
      </c>
      <c r="G1084" s="507">
        <f>SUMIFS(Controle!$R:$R,Controle!$H:$H,produtos_escape2!$A1084,Controle!$Z:$Z,"2")</f>
        <v>0</v>
      </c>
      <c r="H1084" s="507">
        <f>SUMIFS(Controle!$R:$R,Controle!$H:$H,produtos_escape2!$A1084,Controle!$Z:$Z,"3")</f>
        <v>0</v>
      </c>
      <c r="I1084" s="507">
        <f>SUMIFS(Controle!$R:$R,Controle!$H:$H,produtos_escape2!$A1084,Controle!$Z:$Z,"4")</f>
        <v>0</v>
      </c>
      <c r="J1084" s="507">
        <f>SUMIFS(Controle!$R:$R,Controle!$H:$H,produtos_escape2!$A1084,Controle!$Z:$Z,"5")</f>
        <v>0</v>
      </c>
      <c r="K1084" s="507">
        <f>SUMIFS(Controle!$R:$R,Controle!$H:$H,produtos_escape2!$A1084,Controle!$Z:$Z,"6")</f>
        <v>0</v>
      </c>
      <c r="L1084" s="507">
        <f t="shared" si="35"/>
        <v>0</v>
      </c>
      <c r="M1084" s="381" t="s">
        <v>5111</v>
      </c>
      <c r="AF1084" s="84"/>
    </row>
    <row r="1085" spans="1:32" s="185" customFormat="1" ht="14.25" customHeight="1" thickBot="1">
      <c r="A1085" s="353">
        <v>26888</v>
      </c>
      <c r="B1085" s="338" t="s">
        <v>1223</v>
      </c>
      <c r="C1085" s="339">
        <f t="shared" si="36"/>
        <v>50000</v>
      </c>
      <c r="D1085" s="196"/>
      <c r="E1085" s="187"/>
      <c r="F1085" s="507">
        <f>SUMIFS(Controle!$R:$R,Controle!$H:$H,produtos_escape2!$A1085,Controle!$Z:$Z,"1")</f>
        <v>0</v>
      </c>
      <c r="G1085" s="507">
        <f>SUMIFS(Controle!$R:$R,Controle!$H:$H,produtos_escape2!$A1085,Controle!$Z:$Z,"2")</f>
        <v>0</v>
      </c>
      <c r="H1085" s="507">
        <f>SUMIFS(Controle!$R:$R,Controle!$H:$H,produtos_escape2!$A1085,Controle!$Z:$Z,"3")</f>
        <v>0</v>
      </c>
      <c r="I1085" s="507">
        <f>SUMIFS(Controle!$R:$R,Controle!$H:$H,produtos_escape2!$A1085,Controle!$Z:$Z,"4")</f>
        <v>0</v>
      </c>
      <c r="J1085" s="507">
        <f>SUMIFS(Controle!$R:$R,Controle!$H:$H,produtos_escape2!$A1085,Controle!$Z:$Z,"5")</f>
        <v>0</v>
      </c>
      <c r="K1085" s="507">
        <f>SUMIFS(Controle!$R:$R,Controle!$H:$H,produtos_escape2!$A1085,Controle!$Z:$Z,"6")</f>
        <v>0</v>
      </c>
      <c r="L1085" s="507">
        <f t="shared" si="35"/>
        <v>0</v>
      </c>
      <c r="M1085" s="381" t="s">
        <v>5112</v>
      </c>
      <c r="AF1085" s="84"/>
    </row>
    <row r="1086" spans="1:32" s="185" customFormat="1" ht="14.25" customHeight="1" thickBot="1">
      <c r="A1086" s="353">
        <v>26889</v>
      </c>
      <c r="B1086" s="194" t="s">
        <v>1222</v>
      </c>
      <c r="C1086" s="339">
        <f t="shared" si="36"/>
        <v>50000</v>
      </c>
      <c r="D1086" s="196"/>
      <c r="E1086" s="187"/>
      <c r="F1086" s="507">
        <f>SUMIFS(Controle!$R:$R,Controle!$H:$H,produtos_escape2!$A1086,Controle!$Z:$Z,"1")</f>
        <v>0</v>
      </c>
      <c r="G1086" s="507">
        <f>SUMIFS(Controle!$R:$R,Controle!$H:$H,produtos_escape2!$A1086,Controle!$Z:$Z,"2")</f>
        <v>0</v>
      </c>
      <c r="H1086" s="507">
        <f>SUMIFS(Controle!$R:$R,Controle!$H:$H,produtos_escape2!$A1086,Controle!$Z:$Z,"3")</f>
        <v>0</v>
      </c>
      <c r="I1086" s="507">
        <f>SUMIFS(Controle!$R:$R,Controle!$H:$H,produtos_escape2!$A1086,Controle!$Z:$Z,"4")</f>
        <v>0</v>
      </c>
      <c r="J1086" s="507">
        <f>SUMIFS(Controle!$R:$R,Controle!$H:$H,produtos_escape2!$A1086,Controle!$Z:$Z,"5")</f>
        <v>0</v>
      </c>
      <c r="K1086" s="507">
        <f>SUMIFS(Controle!$R:$R,Controle!$H:$H,produtos_escape2!$A1086,Controle!$Z:$Z,"6")</f>
        <v>0</v>
      </c>
      <c r="L1086" s="507">
        <f t="shared" si="35"/>
        <v>0</v>
      </c>
      <c r="M1086" s="381" t="s">
        <v>5113</v>
      </c>
      <c r="AF1086" s="84"/>
    </row>
    <row r="1087" spans="1:32" s="185" customFormat="1" ht="14.25" customHeight="1" thickBot="1">
      <c r="A1087" s="333">
        <v>26900</v>
      </c>
      <c r="B1087" s="194" t="s">
        <v>5841</v>
      </c>
      <c r="C1087" s="339">
        <f t="shared" si="36"/>
        <v>50000</v>
      </c>
      <c r="D1087" s="196" t="s">
        <v>624</v>
      </c>
      <c r="E1087" s="187" t="s">
        <v>7207</v>
      </c>
      <c r="F1087" s="507">
        <f>SUMIFS(Controle!$R:$R,Controle!$H:$H,produtos_escape2!$A1087,Controle!$Z:$Z,"1")</f>
        <v>0</v>
      </c>
      <c r="G1087" s="507">
        <f>SUMIFS(Controle!$R:$R,Controle!$H:$H,produtos_escape2!$A1087,Controle!$Z:$Z,"2")</f>
        <v>0</v>
      </c>
      <c r="H1087" s="507">
        <f>SUMIFS(Controle!$R:$R,Controle!$H:$H,produtos_escape2!$A1087,Controle!$Z:$Z,"3")</f>
        <v>0</v>
      </c>
      <c r="I1087" s="507">
        <f>SUMIFS(Controle!$R:$R,Controle!$H:$H,produtos_escape2!$A1087,Controle!$Z:$Z,"4")</f>
        <v>0</v>
      </c>
      <c r="J1087" s="507">
        <f>SUMIFS(Controle!$R:$R,Controle!$H:$H,produtos_escape2!$A1087,Controle!$Z:$Z,"5")</f>
        <v>0</v>
      </c>
      <c r="K1087" s="507">
        <f>SUMIFS(Controle!$R:$R,Controle!$H:$H,produtos_escape2!$A1087,Controle!$Z:$Z,"6")</f>
        <v>0</v>
      </c>
      <c r="L1087" s="507">
        <f t="shared" ref="L1087:L1150" si="37">SUM(F1087:K1087)</f>
        <v>0</v>
      </c>
      <c r="M1087" s="381" t="s">
        <v>5840</v>
      </c>
      <c r="AF1087" s="84"/>
    </row>
    <row r="1088" spans="1:32" s="185" customFormat="1" ht="14.25" customHeight="1" thickBot="1">
      <c r="A1088" s="353">
        <v>27075</v>
      </c>
      <c r="B1088" s="194" t="s">
        <v>867</v>
      </c>
      <c r="C1088" s="339">
        <f t="shared" si="36"/>
        <v>50000</v>
      </c>
      <c r="D1088" s="196" t="s">
        <v>624</v>
      </c>
      <c r="E1088" s="187"/>
      <c r="F1088" s="507">
        <f>SUMIFS(Controle!$R:$R,Controle!$H:$H,produtos_escape2!$A1088,Controle!$Z:$Z,"1")</f>
        <v>0</v>
      </c>
      <c r="G1088" s="507">
        <f>SUMIFS(Controle!$R:$R,Controle!$H:$H,produtos_escape2!$A1088,Controle!$Z:$Z,"2")</f>
        <v>0</v>
      </c>
      <c r="H1088" s="507">
        <f>SUMIFS(Controle!$R:$R,Controle!$H:$H,produtos_escape2!$A1088,Controle!$Z:$Z,"3")</f>
        <v>0</v>
      </c>
      <c r="I1088" s="507">
        <f>SUMIFS(Controle!$R:$R,Controle!$H:$H,produtos_escape2!$A1088,Controle!$Z:$Z,"4")</f>
        <v>0</v>
      </c>
      <c r="J1088" s="507">
        <f>SUMIFS(Controle!$R:$R,Controle!$H:$H,produtos_escape2!$A1088,Controle!$Z:$Z,"5")</f>
        <v>0</v>
      </c>
      <c r="K1088" s="507">
        <f>SUMIFS(Controle!$R:$R,Controle!$H:$H,produtos_escape2!$A1088,Controle!$Z:$Z,"6")</f>
        <v>0</v>
      </c>
      <c r="L1088" s="507">
        <f t="shared" si="37"/>
        <v>0</v>
      </c>
      <c r="M1088" s="381" t="s">
        <v>5114</v>
      </c>
      <c r="AF1088" s="84"/>
    </row>
    <row r="1089" spans="1:32" s="185" customFormat="1" ht="14.25" customHeight="1" thickBot="1">
      <c r="A1089" s="353">
        <v>27076</v>
      </c>
      <c r="B1089" s="194" t="s">
        <v>866</v>
      </c>
      <c r="C1089" s="339">
        <f t="shared" si="36"/>
        <v>50000</v>
      </c>
      <c r="D1089" s="196" t="s">
        <v>624</v>
      </c>
      <c r="E1089" s="187" t="s">
        <v>3608</v>
      </c>
      <c r="F1089" s="507">
        <f>SUMIFS(Controle!$R:$R,Controle!$H:$H,produtos_escape2!$A1089,Controle!$Z:$Z,"1")</f>
        <v>0</v>
      </c>
      <c r="G1089" s="507">
        <f>SUMIFS(Controle!$R:$R,Controle!$H:$H,produtos_escape2!$A1089,Controle!$Z:$Z,"2")</f>
        <v>0</v>
      </c>
      <c r="H1089" s="507">
        <f>SUMIFS(Controle!$R:$R,Controle!$H:$H,produtos_escape2!$A1089,Controle!$Z:$Z,"3")</f>
        <v>0</v>
      </c>
      <c r="I1089" s="507">
        <f>SUMIFS(Controle!$R:$R,Controle!$H:$H,produtos_escape2!$A1089,Controle!$Z:$Z,"4")</f>
        <v>0</v>
      </c>
      <c r="J1089" s="507">
        <f>SUMIFS(Controle!$R:$R,Controle!$H:$H,produtos_escape2!$A1089,Controle!$Z:$Z,"5")</f>
        <v>0</v>
      </c>
      <c r="K1089" s="507">
        <f>SUMIFS(Controle!$R:$R,Controle!$H:$H,produtos_escape2!$A1089,Controle!$Z:$Z,"6")</f>
        <v>0</v>
      </c>
      <c r="L1089" s="507">
        <f t="shared" si="37"/>
        <v>0</v>
      </c>
      <c r="M1089" s="381" t="s">
        <v>5115</v>
      </c>
      <c r="AF1089" s="84"/>
    </row>
    <row r="1090" spans="1:32" s="185" customFormat="1" ht="14.25" customHeight="1" thickBot="1">
      <c r="A1090" s="353">
        <v>27167</v>
      </c>
      <c r="B1090" s="194" t="s">
        <v>296</v>
      </c>
      <c r="C1090" s="339">
        <f t="shared" si="36"/>
        <v>50000</v>
      </c>
      <c r="D1090" s="196" t="s">
        <v>624</v>
      </c>
      <c r="E1090" s="187" t="s">
        <v>3608</v>
      </c>
      <c r="F1090" s="507">
        <f>SUMIFS(Controle!$R:$R,Controle!$H:$H,produtos_escape2!$A1090,Controle!$Z:$Z,"1")</f>
        <v>0</v>
      </c>
      <c r="G1090" s="507">
        <f>SUMIFS(Controle!$R:$R,Controle!$H:$H,produtos_escape2!$A1090,Controle!$Z:$Z,"2")</f>
        <v>0</v>
      </c>
      <c r="H1090" s="507">
        <f>SUMIFS(Controle!$R:$R,Controle!$H:$H,produtos_escape2!$A1090,Controle!$Z:$Z,"3")</f>
        <v>0</v>
      </c>
      <c r="I1090" s="507">
        <f>SUMIFS(Controle!$R:$R,Controle!$H:$H,produtos_escape2!$A1090,Controle!$Z:$Z,"4")</f>
        <v>0</v>
      </c>
      <c r="J1090" s="507">
        <f>SUMIFS(Controle!$R:$R,Controle!$H:$H,produtos_escape2!$A1090,Controle!$Z:$Z,"5")</f>
        <v>0</v>
      </c>
      <c r="K1090" s="507">
        <f>SUMIFS(Controle!$R:$R,Controle!$H:$H,produtos_escape2!$A1090,Controle!$Z:$Z,"6")</f>
        <v>0</v>
      </c>
      <c r="L1090" s="507">
        <f t="shared" si="37"/>
        <v>0</v>
      </c>
      <c r="M1090" s="381" t="s">
        <v>5116</v>
      </c>
      <c r="AF1090" s="84"/>
    </row>
    <row r="1091" spans="1:32" s="185" customFormat="1" ht="14.25" customHeight="1" thickBot="1">
      <c r="A1091" s="353">
        <v>27225</v>
      </c>
      <c r="B1091" s="194" t="s">
        <v>536</v>
      </c>
      <c r="C1091" s="339">
        <f t="shared" si="36"/>
        <v>50000</v>
      </c>
      <c r="D1091" s="196"/>
      <c r="E1091" s="187"/>
      <c r="F1091" s="507">
        <f>SUMIFS(Controle!$R:$R,Controle!$H:$H,produtos_escape2!$A1091,Controle!$Z:$Z,"1")</f>
        <v>0</v>
      </c>
      <c r="G1091" s="507">
        <f>SUMIFS(Controle!$R:$R,Controle!$H:$H,produtos_escape2!$A1091,Controle!$Z:$Z,"2")</f>
        <v>0</v>
      </c>
      <c r="H1091" s="507">
        <f>SUMIFS(Controle!$R:$R,Controle!$H:$H,produtos_escape2!$A1091,Controle!$Z:$Z,"3")</f>
        <v>0</v>
      </c>
      <c r="I1091" s="507">
        <f>SUMIFS(Controle!$R:$R,Controle!$H:$H,produtos_escape2!$A1091,Controle!$Z:$Z,"4")</f>
        <v>0</v>
      </c>
      <c r="J1091" s="507">
        <f>SUMIFS(Controle!$R:$R,Controle!$H:$H,produtos_escape2!$A1091,Controle!$Z:$Z,"5")</f>
        <v>0</v>
      </c>
      <c r="K1091" s="507">
        <f>SUMIFS(Controle!$R:$R,Controle!$H:$H,produtos_escape2!$A1091,Controle!$Z:$Z,"6")</f>
        <v>0</v>
      </c>
      <c r="L1091" s="507">
        <f t="shared" si="37"/>
        <v>0</v>
      </c>
      <c r="M1091" s="381" t="s">
        <v>536</v>
      </c>
      <c r="AF1091" s="84"/>
    </row>
    <row r="1092" spans="1:32" s="185" customFormat="1" ht="14.25" customHeight="1" thickBot="1">
      <c r="A1092" s="353">
        <v>27226</v>
      </c>
      <c r="B1092" s="194" t="s">
        <v>535</v>
      </c>
      <c r="C1092" s="339">
        <f t="shared" si="36"/>
        <v>50000</v>
      </c>
      <c r="D1092" s="196"/>
      <c r="E1092" s="187"/>
      <c r="F1092" s="507">
        <f>SUMIFS(Controle!$R:$R,Controle!$H:$H,produtos_escape2!$A1092,Controle!$Z:$Z,"1")</f>
        <v>0</v>
      </c>
      <c r="G1092" s="507">
        <f>SUMIFS(Controle!$R:$R,Controle!$H:$H,produtos_escape2!$A1092,Controle!$Z:$Z,"2")</f>
        <v>0</v>
      </c>
      <c r="H1092" s="507">
        <f>SUMIFS(Controle!$R:$R,Controle!$H:$H,produtos_escape2!$A1092,Controle!$Z:$Z,"3")</f>
        <v>0</v>
      </c>
      <c r="I1092" s="507">
        <f>SUMIFS(Controle!$R:$R,Controle!$H:$H,produtos_escape2!$A1092,Controle!$Z:$Z,"4")</f>
        <v>0</v>
      </c>
      <c r="J1092" s="507">
        <f>SUMIFS(Controle!$R:$R,Controle!$H:$H,produtos_escape2!$A1092,Controle!$Z:$Z,"5")</f>
        <v>0</v>
      </c>
      <c r="K1092" s="507">
        <f>SUMIFS(Controle!$R:$R,Controle!$H:$H,produtos_escape2!$A1092,Controle!$Z:$Z,"6")</f>
        <v>0</v>
      </c>
      <c r="L1092" s="507">
        <f t="shared" si="37"/>
        <v>0</v>
      </c>
      <c r="M1092" s="381" t="s">
        <v>535</v>
      </c>
      <c r="AF1092" s="84"/>
    </row>
    <row r="1093" spans="1:32" s="185" customFormat="1" ht="14.25" customHeight="1" thickBot="1">
      <c r="A1093" s="353">
        <v>27227</v>
      </c>
      <c r="B1093" s="194" t="s">
        <v>2891</v>
      </c>
      <c r="C1093" s="339">
        <f t="shared" ref="C1093:C1156" si="38">50000-SUM(F1093:K1093)</f>
        <v>50000</v>
      </c>
      <c r="D1093" s="196" t="s">
        <v>624</v>
      </c>
      <c r="E1093" s="187" t="s">
        <v>3608</v>
      </c>
      <c r="F1093" s="507">
        <f>SUMIFS(Controle!$R:$R,Controle!$H:$H,produtos_escape2!$A1093,Controle!$Z:$Z,"1")</f>
        <v>0</v>
      </c>
      <c r="G1093" s="507">
        <f>SUMIFS(Controle!$R:$R,Controle!$H:$H,produtos_escape2!$A1093,Controle!$Z:$Z,"2")</f>
        <v>0</v>
      </c>
      <c r="H1093" s="507">
        <f>SUMIFS(Controle!$R:$R,Controle!$H:$H,produtos_escape2!$A1093,Controle!$Z:$Z,"3")</f>
        <v>0</v>
      </c>
      <c r="I1093" s="507">
        <f>SUMIFS(Controle!$R:$R,Controle!$H:$H,produtos_escape2!$A1093,Controle!$Z:$Z,"4")</f>
        <v>0</v>
      </c>
      <c r="J1093" s="507">
        <f>SUMIFS(Controle!$R:$R,Controle!$H:$H,produtos_escape2!$A1093,Controle!$Z:$Z,"5")</f>
        <v>0</v>
      </c>
      <c r="K1093" s="507">
        <f>SUMIFS(Controle!$R:$R,Controle!$H:$H,produtos_escape2!$A1093,Controle!$Z:$Z,"6")</f>
        <v>0</v>
      </c>
      <c r="L1093" s="507">
        <f t="shared" si="37"/>
        <v>0</v>
      </c>
      <c r="M1093" s="381" t="s">
        <v>5117</v>
      </c>
      <c r="AF1093" s="84"/>
    </row>
    <row r="1094" spans="1:32" s="185" customFormat="1" ht="14.25" customHeight="1" thickBot="1">
      <c r="A1094" s="353">
        <v>27228</v>
      </c>
      <c r="B1094" s="338" t="s">
        <v>1662</v>
      </c>
      <c r="C1094" s="339">
        <f t="shared" si="38"/>
        <v>50000</v>
      </c>
      <c r="D1094" s="196" t="s">
        <v>624</v>
      </c>
      <c r="E1094" s="187" t="s">
        <v>3608</v>
      </c>
      <c r="F1094" s="507">
        <f>SUMIFS(Controle!$R:$R,Controle!$H:$H,produtos_escape2!$A1094,Controle!$Z:$Z,"1")</f>
        <v>0</v>
      </c>
      <c r="G1094" s="507">
        <f>SUMIFS(Controle!$R:$R,Controle!$H:$H,produtos_escape2!$A1094,Controle!$Z:$Z,"2")</f>
        <v>0</v>
      </c>
      <c r="H1094" s="507">
        <f>SUMIFS(Controle!$R:$R,Controle!$H:$H,produtos_escape2!$A1094,Controle!$Z:$Z,"3")</f>
        <v>0</v>
      </c>
      <c r="I1094" s="507">
        <f>SUMIFS(Controle!$R:$R,Controle!$H:$H,produtos_escape2!$A1094,Controle!$Z:$Z,"4")</f>
        <v>0</v>
      </c>
      <c r="J1094" s="507">
        <f>SUMIFS(Controle!$R:$R,Controle!$H:$H,produtos_escape2!$A1094,Controle!$Z:$Z,"5")</f>
        <v>0</v>
      </c>
      <c r="K1094" s="507">
        <f>SUMIFS(Controle!$R:$R,Controle!$H:$H,produtos_escape2!$A1094,Controle!$Z:$Z,"6")</f>
        <v>0</v>
      </c>
      <c r="L1094" s="507">
        <f t="shared" si="37"/>
        <v>0</v>
      </c>
      <c r="M1094" s="381" t="s">
        <v>5117</v>
      </c>
      <c r="AF1094" s="84"/>
    </row>
    <row r="1095" spans="1:32" s="185" customFormat="1" ht="14.25" customHeight="1" thickBot="1">
      <c r="A1095" s="333">
        <v>27232</v>
      </c>
      <c r="B1095" s="194" t="s">
        <v>487</v>
      </c>
      <c r="C1095" s="339">
        <f t="shared" si="38"/>
        <v>50000</v>
      </c>
      <c r="D1095" s="196" t="s">
        <v>624</v>
      </c>
      <c r="E1095" s="187"/>
      <c r="F1095" s="507">
        <f>SUMIFS(Controle!$R:$R,Controle!$H:$H,produtos_escape2!$A1095,Controle!$Z:$Z,"1")</f>
        <v>0</v>
      </c>
      <c r="G1095" s="507">
        <f>SUMIFS(Controle!$R:$R,Controle!$H:$H,produtos_escape2!$A1095,Controle!$Z:$Z,"2")</f>
        <v>0</v>
      </c>
      <c r="H1095" s="507">
        <f>SUMIFS(Controle!$R:$R,Controle!$H:$H,produtos_escape2!$A1095,Controle!$Z:$Z,"3")</f>
        <v>0</v>
      </c>
      <c r="I1095" s="507">
        <f>SUMIFS(Controle!$R:$R,Controle!$H:$H,produtos_escape2!$A1095,Controle!$Z:$Z,"4")</f>
        <v>0</v>
      </c>
      <c r="J1095" s="507">
        <f>SUMIFS(Controle!$R:$R,Controle!$H:$H,produtos_escape2!$A1095,Controle!$Z:$Z,"5")</f>
        <v>0</v>
      </c>
      <c r="K1095" s="507">
        <f>SUMIFS(Controle!$R:$R,Controle!$H:$H,produtos_escape2!$A1095,Controle!$Z:$Z,"6")</f>
        <v>0</v>
      </c>
      <c r="L1095" s="507">
        <f t="shared" si="37"/>
        <v>0</v>
      </c>
      <c r="M1095" s="381" t="s">
        <v>5118</v>
      </c>
      <c r="AF1095" s="84"/>
    </row>
    <row r="1096" spans="1:32" s="185" customFormat="1" ht="14.25" customHeight="1" thickBot="1">
      <c r="A1096" s="333">
        <v>27242</v>
      </c>
      <c r="B1096" s="194" t="s">
        <v>7039</v>
      </c>
      <c r="C1096" s="339">
        <f t="shared" si="38"/>
        <v>50000</v>
      </c>
      <c r="D1096" s="196" t="s">
        <v>624</v>
      </c>
      <c r="E1096" s="187" t="s">
        <v>7207</v>
      </c>
      <c r="F1096" s="507">
        <f>SUMIFS(Controle!$R:$R,Controle!$H:$H,produtos_escape2!$A1096,Controle!$Z:$Z,"1")</f>
        <v>0</v>
      </c>
      <c r="G1096" s="507">
        <f>SUMIFS(Controle!$R:$R,Controle!$H:$H,produtos_escape2!$A1096,Controle!$Z:$Z,"2")</f>
        <v>0</v>
      </c>
      <c r="H1096" s="507">
        <f>SUMIFS(Controle!$R:$R,Controle!$H:$H,produtos_escape2!$A1096,Controle!$Z:$Z,"3")</f>
        <v>0</v>
      </c>
      <c r="I1096" s="507">
        <f>SUMIFS(Controle!$R:$R,Controle!$H:$H,produtos_escape2!$A1096,Controle!$Z:$Z,"4")</f>
        <v>0</v>
      </c>
      <c r="J1096" s="507">
        <f>SUMIFS(Controle!$R:$R,Controle!$H:$H,produtos_escape2!$A1096,Controle!$Z:$Z,"5")</f>
        <v>0</v>
      </c>
      <c r="K1096" s="507">
        <f>SUMIFS(Controle!$R:$R,Controle!$H:$H,produtos_escape2!$A1096,Controle!$Z:$Z,"6")</f>
        <v>0</v>
      </c>
      <c r="L1096" s="507">
        <f t="shared" si="37"/>
        <v>0</v>
      </c>
      <c r="M1096" s="381" t="s">
        <v>7040</v>
      </c>
      <c r="AF1096" s="84"/>
    </row>
    <row r="1097" spans="1:32" s="185" customFormat="1" ht="14.25" customHeight="1" thickBot="1">
      <c r="A1097" s="353">
        <v>27246</v>
      </c>
      <c r="B1097" s="194" t="s">
        <v>5805</v>
      </c>
      <c r="C1097" s="339">
        <f t="shared" si="38"/>
        <v>50000</v>
      </c>
      <c r="D1097" s="196" t="s">
        <v>624</v>
      </c>
      <c r="E1097" s="187" t="s">
        <v>7207</v>
      </c>
      <c r="F1097" s="507">
        <f>SUMIFS(Controle!$R:$R,Controle!$H:$H,produtos_escape2!$A1097,Controle!$Z:$Z,"1")</f>
        <v>0</v>
      </c>
      <c r="G1097" s="507">
        <f>SUMIFS(Controle!$R:$R,Controle!$H:$H,produtos_escape2!$A1097,Controle!$Z:$Z,"2")</f>
        <v>0</v>
      </c>
      <c r="H1097" s="507">
        <f>SUMIFS(Controle!$R:$R,Controle!$H:$H,produtos_escape2!$A1097,Controle!$Z:$Z,"3")</f>
        <v>0</v>
      </c>
      <c r="I1097" s="507">
        <f>SUMIFS(Controle!$R:$R,Controle!$H:$H,produtos_escape2!$A1097,Controle!$Z:$Z,"4")</f>
        <v>0</v>
      </c>
      <c r="J1097" s="507">
        <f>SUMIFS(Controle!$R:$R,Controle!$H:$H,produtos_escape2!$A1097,Controle!$Z:$Z,"5")</f>
        <v>0</v>
      </c>
      <c r="K1097" s="507">
        <f>SUMIFS(Controle!$R:$R,Controle!$H:$H,produtos_escape2!$A1097,Controle!$Z:$Z,"6")</f>
        <v>0</v>
      </c>
      <c r="L1097" s="507">
        <f t="shared" si="37"/>
        <v>0</v>
      </c>
      <c r="M1097" s="381" t="s">
        <v>5804</v>
      </c>
      <c r="AF1097" s="84"/>
    </row>
    <row r="1098" spans="1:32" s="185" customFormat="1" ht="14.25" customHeight="1" thickBot="1">
      <c r="A1098" s="353">
        <v>27308</v>
      </c>
      <c r="B1098" s="194" t="s">
        <v>7054</v>
      </c>
      <c r="C1098" s="339">
        <f t="shared" si="38"/>
        <v>50000</v>
      </c>
      <c r="D1098" s="196" t="s">
        <v>624</v>
      </c>
      <c r="E1098" s="187" t="s">
        <v>7207</v>
      </c>
      <c r="F1098" s="507">
        <f>SUMIFS(Controle!$R:$R,Controle!$H:$H,produtos_escape2!$A1098,Controle!$Z:$Z,"1")</f>
        <v>0</v>
      </c>
      <c r="G1098" s="507">
        <f>SUMIFS(Controle!$R:$R,Controle!$H:$H,produtos_escape2!$A1098,Controle!$Z:$Z,"2")</f>
        <v>0</v>
      </c>
      <c r="H1098" s="507">
        <f>SUMIFS(Controle!$R:$R,Controle!$H:$H,produtos_escape2!$A1098,Controle!$Z:$Z,"3")</f>
        <v>0</v>
      </c>
      <c r="I1098" s="507">
        <f>SUMIFS(Controle!$R:$R,Controle!$H:$H,produtos_escape2!$A1098,Controle!$Z:$Z,"4")</f>
        <v>0</v>
      </c>
      <c r="J1098" s="507">
        <f>SUMIFS(Controle!$R:$R,Controle!$H:$H,produtos_escape2!$A1098,Controle!$Z:$Z,"5")</f>
        <v>0</v>
      </c>
      <c r="K1098" s="507">
        <f>SUMIFS(Controle!$R:$R,Controle!$H:$H,produtos_escape2!$A1098,Controle!$Z:$Z,"6")</f>
        <v>0</v>
      </c>
      <c r="L1098" s="507">
        <f t="shared" si="37"/>
        <v>0</v>
      </c>
      <c r="M1098" s="381" t="s">
        <v>7055</v>
      </c>
      <c r="AF1098" s="84"/>
    </row>
    <row r="1099" spans="1:32" s="185" customFormat="1" ht="16.5" customHeight="1" thickBot="1">
      <c r="A1099" s="353">
        <v>27310</v>
      </c>
      <c r="B1099" s="194" t="s">
        <v>1504</v>
      </c>
      <c r="C1099" s="339">
        <f t="shared" si="38"/>
        <v>50000</v>
      </c>
      <c r="D1099" s="196" t="s">
        <v>624</v>
      </c>
      <c r="E1099" s="187" t="s">
        <v>7207</v>
      </c>
      <c r="F1099" s="507">
        <f>SUMIFS(Controle!$R:$R,Controle!$H:$H,produtos_escape2!$A1099,Controle!$Z:$Z,"1")</f>
        <v>0</v>
      </c>
      <c r="G1099" s="507">
        <f>SUMIFS(Controle!$R:$R,Controle!$H:$H,produtos_escape2!$A1099,Controle!$Z:$Z,"2")</f>
        <v>0</v>
      </c>
      <c r="H1099" s="507">
        <f>SUMIFS(Controle!$R:$R,Controle!$H:$H,produtos_escape2!$A1099,Controle!$Z:$Z,"3")</f>
        <v>0</v>
      </c>
      <c r="I1099" s="507">
        <f>SUMIFS(Controle!$R:$R,Controle!$H:$H,produtos_escape2!$A1099,Controle!$Z:$Z,"4")</f>
        <v>0</v>
      </c>
      <c r="J1099" s="507">
        <f>SUMIFS(Controle!$R:$R,Controle!$H:$H,produtos_escape2!$A1099,Controle!$Z:$Z,"5")</f>
        <v>0</v>
      </c>
      <c r="K1099" s="507">
        <f>SUMIFS(Controle!$R:$R,Controle!$H:$H,produtos_escape2!$A1099,Controle!$Z:$Z,"6")</f>
        <v>0</v>
      </c>
      <c r="L1099" s="507">
        <f t="shared" si="37"/>
        <v>0</v>
      </c>
      <c r="M1099" s="381" t="s">
        <v>5119</v>
      </c>
      <c r="AF1099" s="84"/>
    </row>
    <row r="1100" spans="1:32" s="185" customFormat="1" ht="14.25" customHeight="1" thickBot="1">
      <c r="A1100" s="353">
        <v>27356</v>
      </c>
      <c r="B1100" s="194" t="s">
        <v>2639</v>
      </c>
      <c r="C1100" s="339">
        <f t="shared" si="38"/>
        <v>50000</v>
      </c>
      <c r="D1100" s="196" t="s">
        <v>624</v>
      </c>
      <c r="E1100" s="187" t="s">
        <v>7207</v>
      </c>
      <c r="F1100" s="507">
        <f>SUMIFS(Controle!$R:$R,Controle!$H:$H,produtos_escape2!$A1100,Controle!$Z:$Z,"1")</f>
        <v>0</v>
      </c>
      <c r="G1100" s="507">
        <f>SUMIFS(Controle!$R:$R,Controle!$H:$H,produtos_escape2!$A1100,Controle!$Z:$Z,"2")</f>
        <v>0</v>
      </c>
      <c r="H1100" s="507">
        <f>SUMIFS(Controle!$R:$R,Controle!$H:$H,produtos_escape2!$A1100,Controle!$Z:$Z,"3")</f>
        <v>0</v>
      </c>
      <c r="I1100" s="507">
        <f>SUMIFS(Controle!$R:$R,Controle!$H:$H,produtos_escape2!$A1100,Controle!$Z:$Z,"4")</f>
        <v>0</v>
      </c>
      <c r="J1100" s="507">
        <f>SUMIFS(Controle!$R:$R,Controle!$H:$H,produtos_escape2!$A1100,Controle!$Z:$Z,"5")</f>
        <v>0</v>
      </c>
      <c r="K1100" s="507">
        <f>SUMIFS(Controle!$R:$R,Controle!$H:$H,produtos_escape2!$A1100,Controle!$Z:$Z,"6")</f>
        <v>0</v>
      </c>
      <c r="L1100" s="507">
        <f t="shared" si="37"/>
        <v>0</v>
      </c>
      <c r="M1100" s="381" t="s">
        <v>5016</v>
      </c>
      <c r="AF1100" s="84"/>
    </row>
    <row r="1101" spans="1:32" s="185" customFormat="1" ht="14.25" customHeight="1" thickBot="1">
      <c r="A1101" s="353">
        <v>27358</v>
      </c>
      <c r="B1101" s="194" t="s">
        <v>2640</v>
      </c>
      <c r="C1101" s="339">
        <f t="shared" si="38"/>
        <v>48330.004000000001</v>
      </c>
      <c r="D1101" s="196" t="s">
        <v>624</v>
      </c>
      <c r="E1101" s="187" t="s">
        <v>7207</v>
      </c>
      <c r="F1101" s="507">
        <f>SUMIFS(Controle!$R:$R,Controle!$H:$H,produtos_escape2!$A1101,Controle!$Z:$Z,"1")</f>
        <v>0</v>
      </c>
      <c r="G1101" s="507">
        <f>SUMIFS(Controle!$R:$R,Controle!$H:$H,produtos_escape2!$A1101,Controle!$Z:$Z,"2")</f>
        <v>490</v>
      </c>
      <c r="H1101" s="507">
        <f>SUMIFS(Controle!$R:$R,Controle!$H:$H,produtos_escape2!$A1101,Controle!$Z:$Z,"3")</f>
        <v>0</v>
      </c>
      <c r="I1101" s="507">
        <f>SUMIFS(Controle!$R:$R,Controle!$H:$H,produtos_escape2!$A1101,Controle!$Z:$Z,"4")</f>
        <v>1179.9959999999999</v>
      </c>
      <c r="J1101" s="507">
        <f>SUMIFS(Controle!$R:$R,Controle!$H:$H,produtos_escape2!$A1101,Controle!$Z:$Z,"5")</f>
        <v>0</v>
      </c>
      <c r="K1101" s="507">
        <f>SUMIFS(Controle!$R:$R,Controle!$H:$H,produtos_escape2!$A1101,Controle!$Z:$Z,"6")</f>
        <v>0</v>
      </c>
      <c r="L1101" s="507">
        <f t="shared" si="37"/>
        <v>1669.9959999999999</v>
      </c>
      <c r="M1101" s="381" t="s">
        <v>5016</v>
      </c>
      <c r="AF1101" s="84"/>
    </row>
    <row r="1102" spans="1:32" s="185" customFormat="1" ht="13.5" customHeight="1" thickBot="1">
      <c r="A1102" s="353">
        <v>27361</v>
      </c>
      <c r="B1102" s="194" t="s">
        <v>2641</v>
      </c>
      <c r="C1102" s="339">
        <f t="shared" si="38"/>
        <v>50000</v>
      </c>
      <c r="D1102" s="196" t="s">
        <v>624</v>
      </c>
      <c r="E1102" s="187" t="s">
        <v>7207</v>
      </c>
      <c r="F1102" s="507">
        <f>SUMIFS(Controle!$R:$R,Controle!$H:$H,produtos_escape2!$A1102,Controle!$Z:$Z,"1")</f>
        <v>0</v>
      </c>
      <c r="G1102" s="507">
        <f>SUMIFS(Controle!$R:$R,Controle!$H:$H,produtos_escape2!$A1102,Controle!$Z:$Z,"2")</f>
        <v>0</v>
      </c>
      <c r="H1102" s="507">
        <f>SUMIFS(Controle!$R:$R,Controle!$H:$H,produtos_escape2!$A1102,Controle!$Z:$Z,"3")</f>
        <v>0</v>
      </c>
      <c r="I1102" s="507">
        <f>SUMIFS(Controle!$R:$R,Controle!$H:$H,produtos_escape2!$A1102,Controle!$Z:$Z,"4")</f>
        <v>0</v>
      </c>
      <c r="J1102" s="507">
        <f>SUMIFS(Controle!$R:$R,Controle!$H:$H,produtos_escape2!$A1102,Controle!$Z:$Z,"5")</f>
        <v>0</v>
      </c>
      <c r="K1102" s="507">
        <f>SUMIFS(Controle!$R:$R,Controle!$H:$H,produtos_escape2!$A1102,Controle!$Z:$Z,"6")</f>
        <v>0</v>
      </c>
      <c r="L1102" s="507">
        <f t="shared" si="37"/>
        <v>0</v>
      </c>
      <c r="M1102" s="381" t="s">
        <v>5016</v>
      </c>
      <c r="AF1102" s="84"/>
    </row>
    <row r="1103" spans="1:32" s="185" customFormat="1" ht="14.25" customHeight="1" thickBot="1">
      <c r="A1103" s="353">
        <v>27364</v>
      </c>
      <c r="B1103" s="194" t="s">
        <v>4341</v>
      </c>
      <c r="C1103" s="339">
        <f t="shared" si="38"/>
        <v>50000</v>
      </c>
      <c r="D1103" s="196" t="s">
        <v>624</v>
      </c>
      <c r="E1103" s="189" t="s">
        <v>1739</v>
      </c>
      <c r="F1103" s="507">
        <f>SUMIFS(Controle!$R:$R,Controle!$H:$H,produtos_escape2!$A1103,Controle!$Z:$Z,"1")</f>
        <v>0</v>
      </c>
      <c r="G1103" s="507">
        <f>SUMIFS(Controle!$R:$R,Controle!$H:$H,produtos_escape2!$A1103,Controle!$Z:$Z,"2")</f>
        <v>0</v>
      </c>
      <c r="H1103" s="507">
        <f>SUMIFS(Controle!$R:$R,Controle!$H:$H,produtos_escape2!$A1103,Controle!$Z:$Z,"3")</f>
        <v>0</v>
      </c>
      <c r="I1103" s="507">
        <f>SUMIFS(Controle!$R:$R,Controle!$H:$H,produtos_escape2!$A1103,Controle!$Z:$Z,"4")</f>
        <v>0</v>
      </c>
      <c r="J1103" s="507">
        <f>SUMIFS(Controle!$R:$R,Controle!$H:$H,produtos_escape2!$A1103,Controle!$Z:$Z,"5")</f>
        <v>0</v>
      </c>
      <c r="K1103" s="507">
        <f>SUMIFS(Controle!$R:$R,Controle!$H:$H,produtos_escape2!$A1103,Controle!$Z:$Z,"6")</f>
        <v>0</v>
      </c>
      <c r="L1103" s="507">
        <f t="shared" si="37"/>
        <v>0</v>
      </c>
      <c r="M1103" s="381" t="s">
        <v>4341</v>
      </c>
      <c r="AF1103" s="84"/>
    </row>
    <row r="1104" spans="1:32" s="185" customFormat="1" ht="14.25" customHeight="1" thickBot="1">
      <c r="A1104" s="353">
        <v>27389</v>
      </c>
      <c r="B1104" s="194" t="s">
        <v>9032</v>
      </c>
      <c r="C1104" s="339">
        <f t="shared" si="38"/>
        <v>50000</v>
      </c>
      <c r="D1104" s="196" t="s">
        <v>624</v>
      </c>
      <c r="E1104" s="189" t="s">
        <v>7207</v>
      </c>
      <c r="F1104" s="507">
        <f>SUMIFS(Controle!$R:$R,Controle!$H:$H,produtos_escape2!$A1104,Controle!$Z:$Z,"1")</f>
        <v>0</v>
      </c>
      <c r="G1104" s="507">
        <f>SUMIFS(Controle!$R:$R,Controle!$H:$H,produtos_escape2!$A1104,Controle!$Z:$Z,"2")</f>
        <v>0</v>
      </c>
      <c r="H1104" s="507">
        <f>SUMIFS(Controle!$R:$R,Controle!$H:$H,produtos_escape2!$A1104,Controle!$Z:$Z,"3")</f>
        <v>0</v>
      </c>
      <c r="I1104" s="507">
        <f>SUMIFS(Controle!$R:$R,Controle!$H:$H,produtos_escape2!$A1104,Controle!$Z:$Z,"4")</f>
        <v>0</v>
      </c>
      <c r="J1104" s="507">
        <f>SUMIFS(Controle!$R:$R,Controle!$H:$H,produtos_escape2!$A1104,Controle!$Z:$Z,"5")</f>
        <v>0</v>
      </c>
      <c r="K1104" s="507">
        <f>SUMIFS(Controle!$R:$R,Controle!$H:$H,produtos_escape2!$A1104,Controle!$Z:$Z,"6")</f>
        <v>0</v>
      </c>
      <c r="L1104" s="507">
        <f t="shared" si="37"/>
        <v>0</v>
      </c>
      <c r="M1104" s="381" t="s">
        <v>9033</v>
      </c>
      <c r="AF1104" s="84"/>
    </row>
    <row r="1105" spans="1:32" s="185" customFormat="1" ht="14.25" customHeight="1" thickBot="1">
      <c r="A1105" s="353">
        <v>27390</v>
      </c>
      <c r="B1105" s="194" t="s">
        <v>9034</v>
      </c>
      <c r="C1105" s="339">
        <f t="shared" si="38"/>
        <v>50000</v>
      </c>
      <c r="D1105" s="196" t="s">
        <v>624</v>
      </c>
      <c r="E1105" s="189" t="s">
        <v>7207</v>
      </c>
      <c r="F1105" s="507">
        <f>SUMIFS(Controle!$R:$R,Controle!$H:$H,produtos_escape2!$A1105,Controle!$Z:$Z,"1")</f>
        <v>0</v>
      </c>
      <c r="G1105" s="507">
        <f>SUMIFS(Controle!$R:$R,Controle!$H:$H,produtos_escape2!$A1105,Controle!$Z:$Z,"2")</f>
        <v>0</v>
      </c>
      <c r="H1105" s="507">
        <f>SUMIFS(Controle!$R:$R,Controle!$H:$H,produtos_escape2!$A1105,Controle!$Z:$Z,"3")</f>
        <v>0</v>
      </c>
      <c r="I1105" s="507">
        <f>SUMIFS(Controle!$R:$R,Controle!$H:$H,produtos_escape2!$A1105,Controle!$Z:$Z,"4")</f>
        <v>0</v>
      </c>
      <c r="J1105" s="507">
        <f>SUMIFS(Controle!$R:$R,Controle!$H:$H,produtos_escape2!$A1105,Controle!$Z:$Z,"5")</f>
        <v>0</v>
      </c>
      <c r="K1105" s="507">
        <f>SUMIFS(Controle!$R:$R,Controle!$H:$H,produtos_escape2!$A1105,Controle!$Z:$Z,"6")</f>
        <v>0</v>
      </c>
      <c r="L1105" s="507">
        <f t="shared" si="37"/>
        <v>0</v>
      </c>
      <c r="M1105" s="381" t="s">
        <v>9033</v>
      </c>
      <c r="AF1105" s="84"/>
    </row>
    <row r="1106" spans="1:32" s="185" customFormat="1" ht="14.25" customHeight="1" thickBot="1">
      <c r="A1106" s="353">
        <v>27391</v>
      </c>
      <c r="B1106" s="338" t="s">
        <v>3936</v>
      </c>
      <c r="C1106" s="339">
        <f t="shared" si="38"/>
        <v>50000</v>
      </c>
      <c r="D1106" s="196" t="s">
        <v>624</v>
      </c>
      <c r="E1106" s="187" t="s">
        <v>7207</v>
      </c>
      <c r="F1106" s="507">
        <f>SUMIFS(Controle!$R:$R,Controle!$H:$H,produtos_escape2!$A1106,Controle!$Z:$Z,"1")</f>
        <v>0</v>
      </c>
      <c r="G1106" s="507">
        <f>SUMIFS(Controle!$R:$R,Controle!$H:$H,produtos_escape2!$A1106,Controle!$Z:$Z,"2")</f>
        <v>0</v>
      </c>
      <c r="H1106" s="507">
        <f>SUMIFS(Controle!$R:$R,Controle!$H:$H,produtos_escape2!$A1106,Controle!$Z:$Z,"3")</f>
        <v>0</v>
      </c>
      <c r="I1106" s="507">
        <f>SUMIFS(Controle!$R:$R,Controle!$H:$H,produtos_escape2!$A1106,Controle!$Z:$Z,"4")</f>
        <v>0</v>
      </c>
      <c r="J1106" s="507">
        <f>SUMIFS(Controle!$R:$R,Controle!$H:$H,produtos_escape2!$A1106,Controle!$Z:$Z,"5")</f>
        <v>0</v>
      </c>
      <c r="K1106" s="507">
        <f>SUMIFS(Controle!$R:$R,Controle!$H:$H,produtos_escape2!$A1106,Controle!$Z:$Z,"6")</f>
        <v>0</v>
      </c>
      <c r="L1106" s="507">
        <f t="shared" si="37"/>
        <v>0</v>
      </c>
      <c r="M1106" s="381" t="s">
        <v>5120</v>
      </c>
      <c r="AF1106" s="84"/>
    </row>
    <row r="1107" spans="1:32" s="185" customFormat="1" ht="14.25" customHeight="1" thickBot="1">
      <c r="A1107" s="333">
        <v>27395</v>
      </c>
      <c r="B1107" s="194" t="s">
        <v>3971</v>
      </c>
      <c r="C1107" s="339">
        <f t="shared" si="38"/>
        <v>46991</v>
      </c>
      <c r="D1107" s="191" t="s">
        <v>624</v>
      </c>
      <c r="E1107" s="189" t="s">
        <v>7207</v>
      </c>
      <c r="F1107" s="507">
        <f>SUMIFS(Controle!$R:$R,Controle!$H:$H,produtos_escape2!$A1107,Controle!$Z:$Z,"1")</f>
        <v>0</v>
      </c>
      <c r="G1107" s="507">
        <f>SUMIFS(Controle!$R:$R,Controle!$H:$H,produtos_escape2!$A1107,Controle!$Z:$Z,"2")</f>
        <v>0</v>
      </c>
      <c r="H1107" s="507">
        <f>SUMIFS(Controle!$R:$R,Controle!$H:$H,produtos_escape2!$A1107,Controle!$Z:$Z,"3")</f>
        <v>0</v>
      </c>
      <c r="I1107" s="507">
        <f>SUMIFS(Controle!$R:$R,Controle!$H:$H,produtos_escape2!$A1107,Controle!$Z:$Z,"4")</f>
        <v>3009</v>
      </c>
      <c r="J1107" s="507">
        <f>SUMIFS(Controle!$R:$R,Controle!$H:$H,produtos_escape2!$A1107,Controle!$Z:$Z,"5")</f>
        <v>0</v>
      </c>
      <c r="K1107" s="507">
        <f>SUMIFS(Controle!$R:$R,Controle!$H:$H,produtos_escape2!$A1107,Controle!$Z:$Z,"6")</f>
        <v>0</v>
      </c>
      <c r="L1107" s="507">
        <f t="shared" si="37"/>
        <v>3009</v>
      </c>
      <c r="M1107" s="381" t="s">
        <v>5121</v>
      </c>
      <c r="AF1107" s="84"/>
    </row>
    <row r="1108" spans="1:32" s="185" customFormat="1" ht="14.25" customHeight="1" thickBot="1">
      <c r="A1108" s="353">
        <v>27396</v>
      </c>
      <c r="B1108" s="194" t="s">
        <v>3937</v>
      </c>
      <c r="C1108" s="339">
        <f t="shared" si="38"/>
        <v>50000</v>
      </c>
      <c r="D1108" s="191" t="s">
        <v>624</v>
      </c>
      <c r="E1108" s="189" t="s">
        <v>7207</v>
      </c>
      <c r="F1108" s="507">
        <f>SUMIFS(Controle!$R:$R,Controle!$H:$H,produtos_escape2!$A1108,Controle!$Z:$Z,"1")</f>
        <v>0</v>
      </c>
      <c r="G1108" s="507">
        <f>SUMIFS(Controle!$R:$R,Controle!$H:$H,produtos_escape2!$A1108,Controle!$Z:$Z,"2")</f>
        <v>0</v>
      </c>
      <c r="H1108" s="507">
        <f>SUMIFS(Controle!$R:$R,Controle!$H:$H,produtos_escape2!$A1108,Controle!$Z:$Z,"3")</f>
        <v>0</v>
      </c>
      <c r="I1108" s="507">
        <f>SUMIFS(Controle!$R:$R,Controle!$H:$H,produtos_escape2!$A1108,Controle!$Z:$Z,"4")</f>
        <v>0</v>
      </c>
      <c r="J1108" s="507">
        <f>SUMIFS(Controle!$R:$R,Controle!$H:$H,produtos_escape2!$A1108,Controle!$Z:$Z,"5")</f>
        <v>0</v>
      </c>
      <c r="K1108" s="507">
        <f>SUMIFS(Controle!$R:$R,Controle!$H:$H,produtos_escape2!$A1108,Controle!$Z:$Z,"6")</f>
        <v>0</v>
      </c>
      <c r="L1108" s="507">
        <f t="shared" si="37"/>
        <v>0</v>
      </c>
      <c r="M1108" s="381" t="s">
        <v>5122</v>
      </c>
      <c r="AF1108" s="84"/>
    </row>
    <row r="1109" spans="1:32" s="185" customFormat="1" ht="14.25" customHeight="1" thickBot="1">
      <c r="A1109" s="353">
        <v>27428</v>
      </c>
      <c r="B1109" s="194" t="s">
        <v>1870</v>
      </c>
      <c r="C1109" s="339">
        <f t="shared" si="38"/>
        <v>50000</v>
      </c>
      <c r="D1109" s="191" t="s">
        <v>624</v>
      </c>
      <c r="E1109" s="189" t="s">
        <v>7207</v>
      </c>
      <c r="F1109" s="507">
        <f>SUMIFS(Controle!$R:$R,Controle!$H:$H,produtos_escape2!$A1109,Controle!$Z:$Z,"1")</f>
        <v>0</v>
      </c>
      <c r="G1109" s="507">
        <f>SUMIFS(Controle!$R:$R,Controle!$H:$H,produtos_escape2!$A1109,Controle!$Z:$Z,"2")</f>
        <v>0</v>
      </c>
      <c r="H1109" s="507">
        <f>SUMIFS(Controle!$R:$R,Controle!$H:$H,produtos_escape2!$A1109,Controle!$Z:$Z,"3")</f>
        <v>0</v>
      </c>
      <c r="I1109" s="507">
        <f>SUMIFS(Controle!$R:$R,Controle!$H:$H,produtos_escape2!$A1109,Controle!$Z:$Z,"4")</f>
        <v>0</v>
      </c>
      <c r="J1109" s="507">
        <f>SUMIFS(Controle!$R:$R,Controle!$H:$H,produtos_escape2!$A1109,Controle!$Z:$Z,"5")</f>
        <v>0</v>
      </c>
      <c r="K1109" s="507">
        <f>SUMIFS(Controle!$R:$R,Controle!$H:$H,produtos_escape2!$A1109,Controle!$Z:$Z,"6")</f>
        <v>0</v>
      </c>
      <c r="L1109" s="507">
        <f t="shared" si="37"/>
        <v>0</v>
      </c>
      <c r="M1109" s="381" t="s">
        <v>4909</v>
      </c>
      <c r="AF1109" s="84"/>
    </row>
    <row r="1110" spans="1:32" s="185" customFormat="1" ht="14.25" customHeight="1" thickBot="1">
      <c r="A1110" s="353">
        <v>27438</v>
      </c>
      <c r="B1110" s="194" t="s">
        <v>2642</v>
      </c>
      <c r="C1110" s="339">
        <f t="shared" si="38"/>
        <v>50000</v>
      </c>
      <c r="D1110" s="196" t="s">
        <v>837</v>
      </c>
      <c r="E1110" s="187" t="s">
        <v>1739</v>
      </c>
      <c r="F1110" s="507">
        <f>SUMIFS(Controle!$R:$R,Controle!$H:$H,produtos_escape2!$A1110,Controle!$Z:$Z,"1")</f>
        <v>0</v>
      </c>
      <c r="G1110" s="507">
        <f>SUMIFS(Controle!$R:$R,Controle!$H:$H,produtos_escape2!$A1110,Controle!$Z:$Z,"2")</f>
        <v>0</v>
      </c>
      <c r="H1110" s="507">
        <f>SUMIFS(Controle!$R:$R,Controle!$H:$H,produtos_escape2!$A1110,Controle!$Z:$Z,"3")</f>
        <v>0</v>
      </c>
      <c r="I1110" s="507">
        <f>SUMIFS(Controle!$R:$R,Controle!$H:$H,produtos_escape2!$A1110,Controle!$Z:$Z,"4")</f>
        <v>0</v>
      </c>
      <c r="J1110" s="507">
        <f>SUMIFS(Controle!$R:$R,Controle!$H:$H,produtos_escape2!$A1110,Controle!$Z:$Z,"5")</f>
        <v>0</v>
      </c>
      <c r="K1110" s="507">
        <f>SUMIFS(Controle!$R:$R,Controle!$H:$H,produtos_escape2!$A1110,Controle!$Z:$Z,"6")</f>
        <v>0</v>
      </c>
      <c r="L1110" s="507">
        <f t="shared" si="37"/>
        <v>0</v>
      </c>
      <c r="M1110" s="381" t="s">
        <v>5123</v>
      </c>
      <c r="AF1110" s="84"/>
    </row>
    <row r="1111" spans="1:32" s="185" customFormat="1" ht="14.25" customHeight="1" thickBot="1">
      <c r="A1111" s="353">
        <v>27464</v>
      </c>
      <c r="B1111" s="194" t="s">
        <v>1871</v>
      </c>
      <c r="C1111" s="339">
        <f t="shared" si="38"/>
        <v>50000</v>
      </c>
      <c r="D1111" s="191" t="s">
        <v>624</v>
      </c>
      <c r="E1111" s="189" t="s">
        <v>7207</v>
      </c>
      <c r="F1111" s="507">
        <f>SUMIFS(Controle!$R:$R,Controle!$H:$H,produtos_escape2!$A1111,Controle!$Z:$Z,"1")</f>
        <v>0</v>
      </c>
      <c r="G1111" s="507">
        <f>SUMIFS(Controle!$R:$R,Controle!$H:$H,produtos_escape2!$A1111,Controle!$Z:$Z,"2")</f>
        <v>0</v>
      </c>
      <c r="H1111" s="507">
        <f>SUMIFS(Controle!$R:$R,Controle!$H:$H,produtos_escape2!$A1111,Controle!$Z:$Z,"3")</f>
        <v>0</v>
      </c>
      <c r="I1111" s="507">
        <f>SUMIFS(Controle!$R:$R,Controle!$H:$H,produtos_escape2!$A1111,Controle!$Z:$Z,"4")</f>
        <v>0</v>
      </c>
      <c r="J1111" s="507">
        <f>SUMIFS(Controle!$R:$R,Controle!$H:$H,produtos_escape2!$A1111,Controle!$Z:$Z,"5")</f>
        <v>0</v>
      </c>
      <c r="K1111" s="507">
        <f>SUMIFS(Controle!$R:$R,Controle!$H:$H,produtos_escape2!$A1111,Controle!$Z:$Z,"6")</f>
        <v>0</v>
      </c>
      <c r="L1111" s="507">
        <f t="shared" si="37"/>
        <v>0</v>
      </c>
      <c r="M1111" s="381" t="s">
        <v>5124</v>
      </c>
      <c r="AF1111" s="84"/>
    </row>
    <row r="1112" spans="1:32" s="185" customFormat="1" ht="14.25" customHeight="1" thickBot="1">
      <c r="A1112" s="353">
        <v>27477</v>
      </c>
      <c r="B1112" s="194" t="s">
        <v>3970</v>
      </c>
      <c r="C1112" s="339">
        <f t="shared" si="38"/>
        <v>50000</v>
      </c>
      <c r="D1112" s="196" t="s">
        <v>624</v>
      </c>
      <c r="E1112" s="187" t="s">
        <v>3608</v>
      </c>
      <c r="F1112" s="507">
        <f>SUMIFS(Controle!$R:$R,Controle!$H:$H,produtos_escape2!$A1112,Controle!$Z:$Z,"1")</f>
        <v>0</v>
      </c>
      <c r="G1112" s="507">
        <f>SUMIFS(Controle!$R:$R,Controle!$H:$H,produtos_escape2!$A1112,Controle!$Z:$Z,"2")</f>
        <v>0</v>
      </c>
      <c r="H1112" s="507">
        <f>SUMIFS(Controle!$R:$R,Controle!$H:$H,produtos_escape2!$A1112,Controle!$Z:$Z,"3")</f>
        <v>0</v>
      </c>
      <c r="I1112" s="507">
        <f>SUMIFS(Controle!$R:$R,Controle!$H:$H,produtos_escape2!$A1112,Controle!$Z:$Z,"4")</f>
        <v>0</v>
      </c>
      <c r="J1112" s="507">
        <f>SUMIFS(Controle!$R:$R,Controle!$H:$H,produtos_escape2!$A1112,Controle!$Z:$Z,"5")</f>
        <v>0</v>
      </c>
      <c r="K1112" s="507">
        <f>SUMIFS(Controle!$R:$R,Controle!$H:$H,produtos_escape2!$A1112,Controle!$Z:$Z,"6")</f>
        <v>0</v>
      </c>
      <c r="L1112" s="507">
        <f t="shared" si="37"/>
        <v>0</v>
      </c>
      <c r="M1112" s="381" t="s">
        <v>5125</v>
      </c>
      <c r="AF1112" s="84"/>
    </row>
    <row r="1113" spans="1:32" s="185" customFormat="1" ht="14.25" customHeight="1" thickBot="1">
      <c r="A1113" s="353">
        <v>27486</v>
      </c>
      <c r="B1113" s="194" t="s">
        <v>264</v>
      </c>
      <c r="C1113" s="339">
        <f t="shared" si="38"/>
        <v>50000</v>
      </c>
      <c r="D1113" s="196"/>
      <c r="E1113" s="187" t="s">
        <v>1739</v>
      </c>
      <c r="F1113" s="507">
        <f>SUMIFS(Controle!$R:$R,Controle!$H:$H,produtos_escape2!$A1113,Controle!$Z:$Z,"1")</f>
        <v>0</v>
      </c>
      <c r="G1113" s="507">
        <f>SUMIFS(Controle!$R:$R,Controle!$H:$H,produtos_escape2!$A1113,Controle!$Z:$Z,"2")</f>
        <v>0</v>
      </c>
      <c r="H1113" s="507">
        <f>SUMIFS(Controle!$R:$R,Controle!$H:$H,produtos_escape2!$A1113,Controle!$Z:$Z,"3")</f>
        <v>0</v>
      </c>
      <c r="I1113" s="507">
        <f>SUMIFS(Controle!$R:$R,Controle!$H:$H,produtos_escape2!$A1113,Controle!$Z:$Z,"4")</f>
        <v>0</v>
      </c>
      <c r="J1113" s="507">
        <f>SUMIFS(Controle!$R:$R,Controle!$H:$H,produtos_escape2!$A1113,Controle!$Z:$Z,"5")</f>
        <v>0</v>
      </c>
      <c r="K1113" s="507">
        <f>SUMIFS(Controle!$R:$R,Controle!$H:$H,produtos_escape2!$A1113,Controle!$Z:$Z,"6")</f>
        <v>0</v>
      </c>
      <c r="L1113" s="507">
        <f t="shared" si="37"/>
        <v>0</v>
      </c>
      <c r="M1113" s="381" t="s">
        <v>5126</v>
      </c>
      <c r="AF1113" s="84"/>
    </row>
    <row r="1114" spans="1:32" s="185" customFormat="1" ht="14.25" customHeight="1" thickBot="1">
      <c r="A1114" s="353">
        <v>27494</v>
      </c>
      <c r="B1114" s="194" t="s">
        <v>10114</v>
      </c>
      <c r="C1114" s="339">
        <f t="shared" si="38"/>
        <v>49200</v>
      </c>
      <c r="D1114" s="196" t="s">
        <v>624</v>
      </c>
      <c r="E1114" s="189" t="s">
        <v>7207</v>
      </c>
      <c r="F1114" s="507">
        <f>SUMIFS(Controle!$R:$R,Controle!$H:$H,produtos_escape2!$A1114,Controle!$Z:$Z,"1")</f>
        <v>0</v>
      </c>
      <c r="G1114" s="507">
        <f>SUMIFS(Controle!$R:$R,Controle!$H:$H,produtos_escape2!$A1114,Controle!$Z:$Z,"2")</f>
        <v>0</v>
      </c>
      <c r="H1114" s="507">
        <f>SUMIFS(Controle!$R:$R,Controle!$H:$H,produtos_escape2!$A1114,Controle!$Z:$Z,"3")</f>
        <v>0</v>
      </c>
      <c r="I1114" s="507">
        <f>SUMIFS(Controle!$R:$R,Controle!$H:$H,produtos_escape2!$A1114,Controle!$Z:$Z,"4")</f>
        <v>0</v>
      </c>
      <c r="J1114" s="507">
        <f>SUMIFS(Controle!$R:$R,Controle!$H:$H,produtos_escape2!$A1114,Controle!$Z:$Z,"5")</f>
        <v>0</v>
      </c>
      <c r="K1114" s="507">
        <f>SUMIFS(Controle!$R:$R,Controle!$H:$H,produtos_escape2!$A1114,Controle!$Z:$Z,"6")</f>
        <v>800</v>
      </c>
      <c r="L1114" s="507">
        <f t="shared" si="37"/>
        <v>800</v>
      </c>
      <c r="M1114" s="381" t="s">
        <v>10115</v>
      </c>
      <c r="AF1114" s="84"/>
    </row>
    <row r="1115" spans="1:32" s="185" customFormat="1" ht="14.25" customHeight="1" thickBot="1">
      <c r="A1115" s="353">
        <v>27495</v>
      </c>
      <c r="B1115" s="194" t="s">
        <v>10117</v>
      </c>
      <c r="C1115" s="339">
        <f t="shared" si="38"/>
        <v>49182.5</v>
      </c>
      <c r="D1115" s="196" t="s">
        <v>624</v>
      </c>
      <c r="E1115" s="189" t="s">
        <v>7207</v>
      </c>
      <c r="F1115" s="507">
        <f>SUMIFS(Controle!$R:$R,Controle!$H:$H,produtos_escape2!$A1115,Controle!$Z:$Z,"1")</f>
        <v>0</v>
      </c>
      <c r="G1115" s="507">
        <f>SUMIFS(Controle!$R:$R,Controle!$H:$H,produtos_escape2!$A1115,Controle!$Z:$Z,"2")</f>
        <v>0</v>
      </c>
      <c r="H1115" s="507">
        <f>SUMIFS(Controle!$R:$R,Controle!$H:$H,produtos_escape2!$A1115,Controle!$Z:$Z,"3")</f>
        <v>0</v>
      </c>
      <c r="I1115" s="507">
        <f>SUMIFS(Controle!$R:$R,Controle!$H:$H,produtos_escape2!$A1115,Controle!$Z:$Z,"4")</f>
        <v>0</v>
      </c>
      <c r="J1115" s="507">
        <f>SUMIFS(Controle!$R:$R,Controle!$H:$H,produtos_escape2!$A1115,Controle!$Z:$Z,"5")</f>
        <v>0</v>
      </c>
      <c r="K1115" s="507">
        <f>SUMIFS(Controle!$R:$R,Controle!$H:$H,produtos_escape2!$A1115,Controle!$Z:$Z,"6")</f>
        <v>817.5</v>
      </c>
      <c r="L1115" s="507">
        <f t="shared" si="37"/>
        <v>817.5</v>
      </c>
      <c r="M1115" s="381" t="s">
        <v>10116</v>
      </c>
      <c r="AF1115" s="84"/>
    </row>
    <row r="1116" spans="1:32" s="185" customFormat="1" ht="14.25" customHeight="1" thickBot="1">
      <c r="A1116" s="353">
        <v>27500</v>
      </c>
      <c r="B1116" s="338" t="s">
        <v>851</v>
      </c>
      <c r="C1116" s="339">
        <f t="shared" si="38"/>
        <v>50000</v>
      </c>
      <c r="D1116" s="196" t="s">
        <v>624</v>
      </c>
      <c r="E1116" s="187" t="s">
        <v>1739</v>
      </c>
      <c r="F1116" s="507">
        <f>SUMIFS(Controle!$R:$R,Controle!$H:$H,produtos_escape2!$A1116,Controle!$Z:$Z,"1")</f>
        <v>0</v>
      </c>
      <c r="G1116" s="507">
        <f>SUMIFS(Controle!$R:$R,Controle!$H:$H,produtos_escape2!$A1116,Controle!$Z:$Z,"2")</f>
        <v>0</v>
      </c>
      <c r="H1116" s="507">
        <f>SUMIFS(Controle!$R:$R,Controle!$H:$H,produtos_escape2!$A1116,Controle!$Z:$Z,"3")</f>
        <v>0</v>
      </c>
      <c r="I1116" s="507">
        <f>SUMIFS(Controle!$R:$R,Controle!$H:$H,produtos_escape2!$A1116,Controle!$Z:$Z,"4")</f>
        <v>0</v>
      </c>
      <c r="J1116" s="507">
        <f>SUMIFS(Controle!$R:$R,Controle!$H:$H,produtos_escape2!$A1116,Controle!$Z:$Z,"5")</f>
        <v>0</v>
      </c>
      <c r="K1116" s="507">
        <f>SUMIFS(Controle!$R:$R,Controle!$H:$H,produtos_escape2!$A1116,Controle!$Z:$Z,"6")</f>
        <v>0</v>
      </c>
      <c r="L1116" s="507">
        <f t="shared" si="37"/>
        <v>0</v>
      </c>
      <c r="M1116" s="381" t="s">
        <v>5127</v>
      </c>
      <c r="AF1116" s="84"/>
    </row>
    <row r="1117" spans="1:32" s="185" customFormat="1" ht="14.25" customHeight="1" thickBot="1">
      <c r="A1117" s="333">
        <v>27535</v>
      </c>
      <c r="B1117" s="194" t="s">
        <v>331</v>
      </c>
      <c r="C1117" s="339">
        <f t="shared" si="38"/>
        <v>50000</v>
      </c>
      <c r="D1117" s="196" t="s">
        <v>624</v>
      </c>
      <c r="E1117" s="187" t="s">
        <v>1739</v>
      </c>
      <c r="F1117" s="507">
        <f>SUMIFS(Controle!$R:$R,Controle!$H:$H,produtos_escape2!$A1117,Controle!$Z:$Z,"1")</f>
        <v>0</v>
      </c>
      <c r="G1117" s="507">
        <f>SUMIFS(Controle!$R:$R,Controle!$H:$H,produtos_escape2!$A1117,Controle!$Z:$Z,"2")</f>
        <v>0</v>
      </c>
      <c r="H1117" s="507">
        <f>SUMIFS(Controle!$R:$R,Controle!$H:$H,produtos_escape2!$A1117,Controle!$Z:$Z,"3")</f>
        <v>0</v>
      </c>
      <c r="I1117" s="507">
        <f>SUMIFS(Controle!$R:$R,Controle!$H:$H,produtos_escape2!$A1117,Controle!$Z:$Z,"4")</f>
        <v>0</v>
      </c>
      <c r="J1117" s="507">
        <f>SUMIFS(Controle!$R:$R,Controle!$H:$H,produtos_escape2!$A1117,Controle!$Z:$Z,"5")</f>
        <v>0</v>
      </c>
      <c r="K1117" s="507">
        <f>SUMIFS(Controle!$R:$R,Controle!$H:$H,produtos_escape2!$A1117,Controle!$Z:$Z,"6")</f>
        <v>0</v>
      </c>
      <c r="L1117" s="507">
        <f t="shared" si="37"/>
        <v>0</v>
      </c>
      <c r="M1117" s="381" t="s">
        <v>5128</v>
      </c>
      <c r="AF1117" s="84"/>
    </row>
    <row r="1118" spans="1:32" s="185" customFormat="1" ht="14.25" customHeight="1" thickBot="1">
      <c r="A1118" s="353">
        <v>27592</v>
      </c>
      <c r="B1118" s="194" t="s">
        <v>599</v>
      </c>
      <c r="C1118" s="339">
        <f t="shared" si="38"/>
        <v>50000</v>
      </c>
      <c r="D1118" s="196"/>
      <c r="E1118" s="187" t="s">
        <v>1739</v>
      </c>
      <c r="F1118" s="507">
        <f>SUMIFS(Controle!$R:$R,Controle!$H:$H,produtos_escape2!$A1118,Controle!$Z:$Z,"1")</f>
        <v>0</v>
      </c>
      <c r="G1118" s="507">
        <f>SUMIFS(Controle!$R:$R,Controle!$H:$H,produtos_escape2!$A1118,Controle!$Z:$Z,"2")</f>
        <v>0</v>
      </c>
      <c r="H1118" s="507">
        <f>SUMIFS(Controle!$R:$R,Controle!$H:$H,produtos_escape2!$A1118,Controle!$Z:$Z,"3")</f>
        <v>0</v>
      </c>
      <c r="I1118" s="507">
        <f>SUMIFS(Controle!$R:$R,Controle!$H:$H,produtos_escape2!$A1118,Controle!$Z:$Z,"4")</f>
        <v>0</v>
      </c>
      <c r="J1118" s="507">
        <f>SUMIFS(Controle!$R:$R,Controle!$H:$H,produtos_escape2!$A1118,Controle!$Z:$Z,"5")</f>
        <v>0</v>
      </c>
      <c r="K1118" s="507">
        <f>SUMIFS(Controle!$R:$R,Controle!$H:$H,produtos_escape2!$A1118,Controle!$Z:$Z,"6")</f>
        <v>0</v>
      </c>
      <c r="L1118" s="507">
        <f t="shared" si="37"/>
        <v>0</v>
      </c>
      <c r="M1118" s="381" t="s">
        <v>5129</v>
      </c>
      <c r="AF1118" s="84"/>
    </row>
    <row r="1119" spans="1:32" s="185" customFormat="1" ht="14.25" customHeight="1" thickBot="1">
      <c r="A1119" s="353">
        <v>27599</v>
      </c>
      <c r="B1119" s="194" t="s">
        <v>3475</v>
      </c>
      <c r="C1119" s="339">
        <f t="shared" si="38"/>
        <v>50000</v>
      </c>
      <c r="D1119" s="196" t="s">
        <v>987</v>
      </c>
      <c r="E1119" s="187" t="s">
        <v>1739</v>
      </c>
      <c r="F1119" s="507">
        <f>SUMIFS(Controle!$R:$R,Controle!$H:$H,produtos_escape2!$A1119,Controle!$Z:$Z,"1")</f>
        <v>0</v>
      </c>
      <c r="G1119" s="507">
        <f>SUMIFS(Controle!$R:$R,Controle!$H:$H,produtos_escape2!$A1119,Controle!$Z:$Z,"2")</f>
        <v>0</v>
      </c>
      <c r="H1119" s="507">
        <f>SUMIFS(Controle!$R:$R,Controle!$H:$H,produtos_escape2!$A1119,Controle!$Z:$Z,"3")</f>
        <v>0</v>
      </c>
      <c r="I1119" s="507">
        <f>SUMIFS(Controle!$R:$R,Controle!$H:$H,produtos_escape2!$A1119,Controle!$Z:$Z,"4")</f>
        <v>0</v>
      </c>
      <c r="J1119" s="507">
        <f>SUMIFS(Controle!$R:$R,Controle!$H:$H,produtos_escape2!$A1119,Controle!$Z:$Z,"5")</f>
        <v>0</v>
      </c>
      <c r="K1119" s="507">
        <f>SUMIFS(Controle!$R:$R,Controle!$H:$H,produtos_escape2!$A1119,Controle!$Z:$Z,"6")</f>
        <v>0</v>
      </c>
      <c r="L1119" s="507">
        <f t="shared" si="37"/>
        <v>0</v>
      </c>
      <c r="M1119" s="381" t="s">
        <v>5130</v>
      </c>
      <c r="AF1119" s="84"/>
    </row>
    <row r="1120" spans="1:32" s="185" customFormat="1" ht="14.25" customHeight="1" thickBot="1">
      <c r="A1120" s="353">
        <v>27604</v>
      </c>
      <c r="B1120" s="194" t="s">
        <v>1783</v>
      </c>
      <c r="C1120" s="339">
        <f t="shared" si="38"/>
        <v>32414.6</v>
      </c>
      <c r="D1120" s="196" t="s">
        <v>624</v>
      </c>
      <c r="E1120" s="187" t="s">
        <v>7207</v>
      </c>
      <c r="F1120" s="507">
        <f>SUMIFS(Controle!$R:$R,Controle!$H:$H,produtos_escape2!$A1120,Controle!$Z:$Z,"1")</f>
        <v>0</v>
      </c>
      <c r="G1120" s="507">
        <f>SUMIFS(Controle!$R:$R,Controle!$H:$H,produtos_escape2!$A1120,Controle!$Z:$Z,"2")</f>
        <v>0</v>
      </c>
      <c r="H1120" s="507">
        <f>SUMIFS(Controle!$R:$R,Controle!$H:$H,produtos_escape2!$A1120,Controle!$Z:$Z,"3")</f>
        <v>17585.400000000001</v>
      </c>
      <c r="I1120" s="507">
        <f>SUMIFS(Controle!$R:$R,Controle!$H:$H,produtos_escape2!$A1120,Controle!$Z:$Z,"4")</f>
        <v>0</v>
      </c>
      <c r="J1120" s="507">
        <f>SUMIFS(Controle!$R:$R,Controle!$H:$H,produtos_escape2!$A1120,Controle!$Z:$Z,"5")</f>
        <v>0</v>
      </c>
      <c r="K1120" s="507">
        <f>SUMIFS(Controle!$R:$R,Controle!$H:$H,produtos_escape2!$A1120,Controle!$Z:$Z,"6")</f>
        <v>0</v>
      </c>
      <c r="L1120" s="507">
        <f t="shared" si="37"/>
        <v>17585.400000000001</v>
      </c>
      <c r="M1120" s="381" t="s">
        <v>5131</v>
      </c>
      <c r="AF1120" s="84"/>
    </row>
    <row r="1121" spans="1:32" s="185" customFormat="1" ht="14.25" customHeight="1" thickBot="1">
      <c r="A1121" s="353">
        <v>27628</v>
      </c>
      <c r="B1121" s="194" t="s">
        <v>9083</v>
      </c>
      <c r="C1121" s="339">
        <f t="shared" si="38"/>
        <v>48768</v>
      </c>
      <c r="D1121" s="196" t="s">
        <v>624</v>
      </c>
      <c r="E1121" s="187" t="s">
        <v>7207</v>
      </c>
      <c r="F1121" s="507">
        <f>SUMIFS(Controle!$R:$R,Controle!$H:$H,produtos_escape2!$A1121,Controle!$Z:$Z,"1")</f>
        <v>0</v>
      </c>
      <c r="G1121" s="507">
        <f>SUMIFS(Controle!$R:$R,Controle!$H:$H,produtos_escape2!$A1121,Controle!$Z:$Z,"2")</f>
        <v>0</v>
      </c>
      <c r="H1121" s="507">
        <f>SUMIFS(Controle!$R:$R,Controle!$H:$H,produtos_escape2!$A1121,Controle!$Z:$Z,"3")</f>
        <v>0</v>
      </c>
      <c r="I1121" s="507">
        <f>SUMIFS(Controle!$R:$R,Controle!$H:$H,produtos_escape2!$A1121,Controle!$Z:$Z,"4")</f>
        <v>1232</v>
      </c>
      <c r="J1121" s="507">
        <f>SUMIFS(Controle!$R:$R,Controle!$H:$H,produtos_escape2!$A1121,Controle!$Z:$Z,"5")</f>
        <v>0</v>
      </c>
      <c r="K1121" s="507">
        <f>SUMIFS(Controle!$R:$R,Controle!$H:$H,produtos_escape2!$A1121,Controle!$Z:$Z,"6")</f>
        <v>0</v>
      </c>
      <c r="L1121" s="507">
        <f t="shared" si="37"/>
        <v>1232</v>
      </c>
      <c r="M1121" s="381" t="s">
        <v>9082</v>
      </c>
      <c r="AF1121" s="84"/>
    </row>
    <row r="1122" spans="1:32" s="185" customFormat="1" ht="14.25" customHeight="1" thickBot="1">
      <c r="A1122" s="353">
        <v>27651</v>
      </c>
      <c r="B1122" s="194" t="s">
        <v>4230</v>
      </c>
      <c r="C1122" s="339">
        <f t="shared" si="38"/>
        <v>50000</v>
      </c>
      <c r="D1122" s="196" t="s">
        <v>624</v>
      </c>
      <c r="E1122" s="189" t="s">
        <v>7207</v>
      </c>
      <c r="F1122" s="507">
        <f>SUMIFS(Controle!$R:$R,Controle!$H:$H,produtos_escape2!$A1122,Controle!$Z:$Z,"1")</f>
        <v>0</v>
      </c>
      <c r="G1122" s="507">
        <f>SUMIFS(Controle!$R:$R,Controle!$H:$H,produtos_escape2!$A1122,Controle!$Z:$Z,"2")</f>
        <v>0</v>
      </c>
      <c r="H1122" s="507">
        <f>SUMIFS(Controle!$R:$R,Controle!$H:$H,produtos_escape2!$A1122,Controle!$Z:$Z,"3")</f>
        <v>0</v>
      </c>
      <c r="I1122" s="507">
        <f>SUMIFS(Controle!$R:$R,Controle!$H:$H,produtos_escape2!$A1122,Controle!$Z:$Z,"4")</f>
        <v>0</v>
      </c>
      <c r="J1122" s="507">
        <f>SUMIFS(Controle!$R:$R,Controle!$H:$H,produtos_escape2!$A1122,Controle!$Z:$Z,"5")</f>
        <v>0</v>
      </c>
      <c r="K1122" s="507">
        <f>SUMIFS(Controle!$R:$R,Controle!$H:$H,produtos_escape2!$A1122,Controle!$Z:$Z,"6")</f>
        <v>0</v>
      </c>
      <c r="L1122" s="507">
        <f t="shared" si="37"/>
        <v>0</v>
      </c>
      <c r="M1122" s="381" t="s">
        <v>5132</v>
      </c>
      <c r="AF1122" s="84"/>
    </row>
    <row r="1123" spans="1:32" s="185" customFormat="1" ht="14.25" customHeight="1" thickBot="1">
      <c r="A1123" s="353">
        <v>27671</v>
      </c>
      <c r="B1123" s="194" t="s">
        <v>533</v>
      </c>
      <c r="C1123" s="339">
        <f t="shared" si="38"/>
        <v>50000</v>
      </c>
      <c r="D1123" s="196"/>
      <c r="E1123" s="187" t="s">
        <v>1739</v>
      </c>
      <c r="F1123" s="507">
        <f>SUMIFS(Controle!$R:$R,Controle!$H:$H,produtos_escape2!$A1123,Controle!$Z:$Z,"1")</f>
        <v>0</v>
      </c>
      <c r="G1123" s="507">
        <f>SUMIFS(Controle!$R:$R,Controle!$H:$H,produtos_escape2!$A1123,Controle!$Z:$Z,"2")</f>
        <v>0</v>
      </c>
      <c r="H1123" s="507">
        <f>SUMIFS(Controle!$R:$R,Controle!$H:$H,produtos_escape2!$A1123,Controle!$Z:$Z,"3")</f>
        <v>0</v>
      </c>
      <c r="I1123" s="507">
        <f>SUMIFS(Controle!$R:$R,Controle!$H:$H,produtos_escape2!$A1123,Controle!$Z:$Z,"4")</f>
        <v>0</v>
      </c>
      <c r="J1123" s="507">
        <f>SUMIFS(Controle!$R:$R,Controle!$H:$H,produtos_escape2!$A1123,Controle!$Z:$Z,"5")</f>
        <v>0</v>
      </c>
      <c r="K1123" s="507">
        <f>SUMIFS(Controle!$R:$R,Controle!$H:$H,produtos_escape2!$A1123,Controle!$Z:$Z,"6")</f>
        <v>0</v>
      </c>
      <c r="L1123" s="507">
        <f t="shared" si="37"/>
        <v>0</v>
      </c>
      <c r="M1123" s="381" t="s">
        <v>5133</v>
      </c>
      <c r="AF1123" s="84"/>
    </row>
    <row r="1124" spans="1:32" s="185" customFormat="1" ht="14.25" customHeight="1" thickBot="1">
      <c r="A1124" s="353">
        <v>27679</v>
      </c>
      <c r="B1124" s="194" t="s">
        <v>6759</v>
      </c>
      <c r="C1124" s="339">
        <f t="shared" si="38"/>
        <v>50000</v>
      </c>
      <c r="D1124" s="196" t="s">
        <v>624</v>
      </c>
      <c r="E1124" s="187" t="s">
        <v>7207</v>
      </c>
      <c r="F1124" s="507">
        <f>SUMIFS(Controle!$R:$R,Controle!$H:$H,produtos_escape2!$A1124,Controle!$Z:$Z,"1")</f>
        <v>0</v>
      </c>
      <c r="G1124" s="507">
        <f>SUMIFS(Controle!$R:$R,Controle!$H:$H,produtos_escape2!$A1124,Controle!$Z:$Z,"2")</f>
        <v>0</v>
      </c>
      <c r="H1124" s="507">
        <f>SUMIFS(Controle!$R:$R,Controle!$H:$H,produtos_escape2!$A1124,Controle!$Z:$Z,"3")</f>
        <v>0</v>
      </c>
      <c r="I1124" s="507">
        <f>SUMIFS(Controle!$R:$R,Controle!$H:$H,produtos_escape2!$A1124,Controle!$Z:$Z,"4")</f>
        <v>0</v>
      </c>
      <c r="J1124" s="507">
        <f>SUMIFS(Controle!$R:$R,Controle!$H:$H,produtos_escape2!$A1124,Controle!$Z:$Z,"5")</f>
        <v>0</v>
      </c>
      <c r="K1124" s="507">
        <f>SUMIFS(Controle!$R:$R,Controle!$H:$H,produtos_escape2!$A1124,Controle!$Z:$Z,"6")</f>
        <v>0</v>
      </c>
      <c r="L1124" s="507">
        <f t="shared" si="37"/>
        <v>0</v>
      </c>
      <c r="M1124" s="381" t="s">
        <v>6758</v>
      </c>
      <c r="AF1124" s="84"/>
    </row>
    <row r="1125" spans="1:32" s="185" customFormat="1" ht="14.25" customHeight="1" thickBot="1">
      <c r="A1125" s="353">
        <v>27683</v>
      </c>
      <c r="B1125" s="194" t="s">
        <v>377</v>
      </c>
      <c r="C1125" s="339">
        <f t="shared" si="38"/>
        <v>50000</v>
      </c>
      <c r="D1125" s="196" t="s">
        <v>548</v>
      </c>
      <c r="E1125" s="187" t="s">
        <v>3608</v>
      </c>
      <c r="F1125" s="507">
        <f>SUMIFS(Controle!$R:$R,Controle!$H:$H,produtos_escape2!$A1125,Controle!$Z:$Z,"1")</f>
        <v>0</v>
      </c>
      <c r="G1125" s="507">
        <f>SUMIFS(Controle!$R:$R,Controle!$H:$H,produtos_escape2!$A1125,Controle!$Z:$Z,"2")</f>
        <v>0</v>
      </c>
      <c r="H1125" s="507">
        <f>SUMIFS(Controle!$R:$R,Controle!$H:$H,produtos_escape2!$A1125,Controle!$Z:$Z,"3")</f>
        <v>0</v>
      </c>
      <c r="I1125" s="507">
        <f>SUMIFS(Controle!$R:$R,Controle!$H:$H,produtos_escape2!$A1125,Controle!$Z:$Z,"4")</f>
        <v>0</v>
      </c>
      <c r="J1125" s="507">
        <f>SUMIFS(Controle!$R:$R,Controle!$H:$H,produtos_escape2!$A1125,Controle!$Z:$Z,"5")</f>
        <v>0</v>
      </c>
      <c r="K1125" s="507">
        <f>SUMIFS(Controle!$R:$R,Controle!$H:$H,produtos_escape2!$A1125,Controle!$Z:$Z,"6")</f>
        <v>0</v>
      </c>
      <c r="L1125" s="507">
        <f t="shared" si="37"/>
        <v>0</v>
      </c>
      <c r="M1125" s="381" t="s">
        <v>377</v>
      </c>
      <c r="AF1125" s="84"/>
    </row>
    <row r="1126" spans="1:32" s="185" customFormat="1" ht="14.25" customHeight="1" thickBot="1">
      <c r="A1126" s="333">
        <v>27689</v>
      </c>
      <c r="B1126" s="338" t="s">
        <v>270</v>
      </c>
      <c r="C1126" s="339">
        <f t="shared" si="38"/>
        <v>50000</v>
      </c>
      <c r="D1126" s="196"/>
      <c r="E1126" s="187"/>
      <c r="F1126" s="507">
        <f>SUMIFS(Controle!$R:$R,Controle!$H:$H,produtos_escape2!$A1126,Controle!$Z:$Z,"1")</f>
        <v>0</v>
      </c>
      <c r="G1126" s="507">
        <f>SUMIFS(Controle!$R:$R,Controle!$H:$H,produtos_escape2!$A1126,Controle!$Z:$Z,"2")</f>
        <v>0</v>
      </c>
      <c r="H1126" s="507">
        <f>SUMIFS(Controle!$R:$R,Controle!$H:$H,produtos_escape2!$A1126,Controle!$Z:$Z,"3")</f>
        <v>0</v>
      </c>
      <c r="I1126" s="507">
        <f>SUMIFS(Controle!$R:$R,Controle!$H:$H,produtos_escape2!$A1126,Controle!$Z:$Z,"4")</f>
        <v>0</v>
      </c>
      <c r="J1126" s="507">
        <f>SUMIFS(Controle!$R:$R,Controle!$H:$H,produtos_escape2!$A1126,Controle!$Z:$Z,"5")</f>
        <v>0</v>
      </c>
      <c r="K1126" s="507">
        <f>SUMIFS(Controle!$R:$R,Controle!$H:$H,produtos_escape2!$A1126,Controle!$Z:$Z,"6")</f>
        <v>0</v>
      </c>
      <c r="L1126" s="507">
        <f t="shared" si="37"/>
        <v>0</v>
      </c>
      <c r="M1126" s="381" t="s">
        <v>5134</v>
      </c>
      <c r="AF1126" s="84"/>
    </row>
    <row r="1127" spans="1:32" s="185" customFormat="1" ht="14.25" customHeight="1" thickBot="1">
      <c r="A1127" s="353">
        <v>27707</v>
      </c>
      <c r="B1127" s="194" t="s">
        <v>1168</v>
      </c>
      <c r="C1127" s="339">
        <f t="shared" si="38"/>
        <v>49800</v>
      </c>
      <c r="D1127" s="196" t="s">
        <v>624</v>
      </c>
      <c r="E1127" s="187" t="s">
        <v>7207</v>
      </c>
      <c r="F1127" s="507">
        <f>SUMIFS(Controle!$R:$R,Controle!$H:$H,produtos_escape2!$A1127,Controle!$Z:$Z,"1")</f>
        <v>0</v>
      </c>
      <c r="G1127" s="507">
        <f>SUMIFS(Controle!$R:$R,Controle!$H:$H,produtos_escape2!$A1127,Controle!$Z:$Z,"2")</f>
        <v>0</v>
      </c>
      <c r="H1127" s="507">
        <f>SUMIFS(Controle!$R:$R,Controle!$H:$H,produtos_escape2!$A1127,Controle!$Z:$Z,"3")</f>
        <v>200</v>
      </c>
      <c r="I1127" s="507">
        <f>SUMIFS(Controle!$R:$R,Controle!$H:$H,produtos_escape2!$A1127,Controle!$Z:$Z,"4")</f>
        <v>0</v>
      </c>
      <c r="J1127" s="507">
        <f>SUMIFS(Controle!$R:$R,Controle!$H:$H,produtos_escape2!$A1127,Controle!$Z:$Z,"5")</f>
        <v>0</v>
      </c>
      <c r="K1127" s="507">
        <f>SUMIFS(Controle!$R:$R,Controle!$H:$H,produtos_escape2!$A1127,Controle!$Z:$Z,"6")</f>
        <v>0</v>
      </c>
      <c r="L1127" s="507">
        <f t="shared" si="37"/>
        <v>200</v>
      </c>
      <c r="M1127" s="381" t="s">
        <v>5135</v>
      </c>
      <c r="AF1127" s="84"/>
    </row>
    <row r="1128" spans="1:32" s="185" customFormat="1" ht="14.25" customHeight="1" thickBot="1">
      <c r="A1128" s="353">
        <v>27708</v>
      </c>
      <c r="B1128" s="194" t="s">
        <v>1169</v>
      </c>
      <c r="C1128" s="339">
        <f t="shared" si="38"/>
        <v>50000</v>
      </c>
      <c r="D1128" s="196" t="s">
        <v>624</v>
      </c>
      <c r="E1128" s="187" t="s">
        <v>7207</v>
      </c>
      <c r="F1128" s="507">
        <f>SUMIFS(Controle!$R:$R,Controle!$H:$H,produtos_escape2!$A1128,Controle!$Z:$Z,"1")</f>
        <v>0</v>
      </c>
      <c r="G1128" s="507">
        <f>SUMIFS(Controle!$R:$R,Controle!$H:$H,produtos_escape2!$A1128,Controle!$Z:$Z,"2")</f>
        <v>0</v>
      </c>
      <c r="H1128" s="507">
        <f>SUMIFS(Controle!$R:$R,Controle!$H:$H,produtos_escape2!$A1128,Controle!$Z:$Z,"3")</f>
        <v>0</v>
      </c>
      <c r="I1128" s="507">
        <f>SUMIFS(Controle!$R:$R,Controle!$H:$H,produtos_escape2!$A1128,Controle!$Z:$Z,"4")</f>
        <v>0</v>
      </c>
      <c r="J1128" s="507">
        <f>SUMIFS(Controle!$R:$R,Controle!$H:$H,produtos_escape2!$A1128,Controle!$Z:$Z,"5")</f>
        <v>0</v>
      </c>
      <c r="K1128" s="507">
        <f>SUMIFS(Controle!$R:$R,Controle!$H:$H,produtos_escape2!$A1128,Controle!$Z:$Z,"6")</f>
        <v>0</v>
      </c>
      <c r="L1128" s="507">
        <f t="shared" si="37"/>
        <v>0</v>
      </c>
      <c r="M1128" s="381" t="s">
        <v>5136</v>
      </c>
      <c r="AF1128" s="84"/>
    </row>
    <row r="1129" spans="1:32" s="185" customFormat="1" ht="14.25" customHeight="1" thickBot="1">
      <c r="A1129" s="353">
        <v>27710</v>
      </c>
      <c r="B1129" s="194" t="s">
        <v>4300</v>
      </c>
      <c r="C1129" s="339">
        <f t="shared" si="38"/>
        <v>50000</v>
      </c>
      <c r="D1129" s="196" t="s">
        <v>624</v>
      </c>
      <c r="E1129" s="187" t="s">
        <v>7207</v>
      </c>
      <c r="F1129" s="507">
        <f>SUMIFS(Controle!$R:$R,Controle!$H:$H,produtos_escape2!$A1129,Controle!$Z:$Z,"1")</f>
        <v>0</v>
      </c>
      <c r="G1129" s="507">
        <f>SUMIFS(Controle!$R:$R,Controle!$H:$H,produtos_escape2!$A1129,Controle!$Z:$Z,"2")</f>
        <v>0</v>
      </c>
      <c r="H1129" s="507">
        <f>SUMIFS(Controle!$R:$R,Controle!$H:$H,produtos_escape2!$A1129,Controle!$Z:$Z,"3")</f>
        <v>0</v>
      </c>
      <c r="I1129" s="507">
        <f>SUMIFS(Controle!$R:$R,Controle!$H:$H,produtos_escape2!$A1129,Controle!$Z:$Z,"4")</f>
        <v>0</v>
      </c>
      <c r="J1129" s="507">
        <f>SUMIFS(Controle!$R:$R,Controle!$H:$H,produtos_escape2!$A1129,Controle!$Z:$Z,"5")</f>
        <v>0</v>
      </c>
      <c r="K1129" s="507">
        <f>SUMIFS(Controle!$R:$R,Controle!$H:$H,produtos_escape2!$A1129,Controle!$Z:$Z,"6")</f>
        <v>0</v>
      </c>
      <c r="L1129" s="507">
        <f t="shared" si="37"/>
        <v>0</v>
      </c>
      <c r="M1129" s="381" t="s">
        <v>5137</v>
      </c>
      <c r="AF1129" s="84"/>
    </row>
    <row r="1130" spans="1:32" s="185" customFormat="1" ht="14.25" customHeight="1" thickBot="1">
      <c r="A1130" s="353">
        <v>27716</v>
      </c>
      <c r="B1130" s="194" t="s">
        <v>261</v>
      </c>
      <c r="C1130" s="339">
        <f t="shared" si="38"/>
        <v>49782</v>
      </c>
      <c r="D1130" s="196" t="s">
        <v>624</v>
      </c>
      <c r="E1130" s="187" t="s">
        <v>7207</v>
      </c>
      <c r="F1130" s="507">
        <f>SUMIFS(Controle!$R:$R,Controle!$H:$H,produtos_escape2!$A1130,Controle!$Z:$Z,"1")</f>
        <v>0</v>
      </c>
      <c r="G1130" s="507">
        <f>SUMIFS(Controle!$R:$R,Controle!$H:$H,produtos_escape2!$A1130,Controle!$Z:$Z,"2")</f>
        <v>218</v>
      </c>
      <c r="H1130" s="507">
        <f>SUMIFS(Controle!$R:$R,Controle!$H:$H,produtos_escape2!$A1130,Controle!$Z:$Z,"3")</f>
        <v>0</v>
      </c>
      <c r="I1130" s="507">
        <f>SUMIFS(Controle!$R:$R,Controle!$H:$H,produtos_escape2!$A1130,Controle!$Z:$Z,"4")</f>
        <v>0</v>
      </c>
      <c r="J1130" s="507">
        <f>SUMIFS(Controle!$R:$R,Controle!$H:$H,produtos_escape2!$A1130,Controle!$Z:$Z,"5")</f>
        <v>0</v>
      </c>
      <c r="K1130" s="507">
        <f>SUMIFS(Controle!$R:$R,Controle!$H:$H,produtos_escape2!$A1130,Controle!$Z:$Z,"6")</f>
        <v>0</v>
      </c>
      <c r="L1130" s="507">
        <f t="shared" si="37"/>
        <v>218</v>
      </c>
      <c r="M1130" s="381" t="s">
        <v>261</v>
      </c>
      <c r="AF1130" s="84"/>
    </row>
    <row r="1131" spans="1:32" s="185" customFormat="1" ht="14.25" customHeight="1" thickBot="1">
      <c r="A1131" s="353">
        <v>27719</v>
      </c>
      <c r="B1131" s="194" t="s">
        <v>259</v>
      </c>
      <c r="C1131" s="339">
        <f t="shared" si="38"/>
        <v>50000</v>
      </c>
      <c r="D1131" s="196"/>
      <c r="E1131" s="187"/>
      <c r="F1131" s="507">
        <f>SUMIFS(Controle!$R:$R,Controle!$H:$H,produtos_escape2!$A1131,Controle!$Z:$Z,"1")</f>
        <v>0</v>
      </c>
      <c r="G1131" s="507">
        <f>SUMIFS(Controle!$R:$R,Controle!$H:$H,produtos_escape2!$A1131,Controle!$Z:$Z,"2")</f>
        <v>0</v>
      </c>
      <c r="H1131" s="507">
        <f>SUMIFS(Controle!$R:$R,Controle!$H:$H,produtos_escape2!$A1131,Controle!$Z:$Z,"3")</f>
        <v>0</v>
      </c>
      <c r="I1131" s="507">
        <f>SUMIFS(Controle!$R:$R,Controle!$H:$H,produtos_escape2!$A1131,Controle!$Z:$Z,"4")</f>
        <v>0</v>
      </c>
      <c r="J1131" s="507">
        <f>SUMIFS(Controle!$R:$R,Controle!$H:$H,produtos_escape2!$A1131,Controle!$Z:$Z,"5")</f>
        <v>0</v>
      </c>
      <c r="K1131" s="507">
        <f>SUMIFS(Controle!$R:$R,Controle!$H:$H,produtos_escape2!$A1131,Controle!$Z:$Z,"6")</f>
        <v>0</v>
      </c>
      <c r="L1131" s="507">
        <f t="shared" si="37"/>
        <v>0</v>
      </c>
      <c r="M1131" s="381" t="s">
        <v>259</v>
      </c>
      <c r="AF1131" s="84"/>
    </row>
    <row r="1132" spans="1:32" s="185" customFormat="1" ht="14.25" customHeight="1" thickBot="1">
      <c r="A1132" s="353">
        <v>27731</v>
      </c>
      <c r="B1132" s="194" t="s">
        <v>383</v>
      </c>
      <c r="C1132" s="339">
        <f t="shared" si="38"/>
        <v>50000</v>
      </c>
      <c r="D1132" s="196" t="s">
        <v>624</v>
      </c>
      <c r="E1132" s="187" t="s">
        <v>7207</v>
      </c>
      <c r="F1132" s="507">
        <f>SUMIFS(Controle!$R:$R,Controle!$H:$H,produtos_escape2!$A1132,Controle!$Z:$Z,"1")</f>
        <v>0</v>
      </c>
      <c r="G1132" s="507">
        <f>SUMIFS(Controle!$R:$R,Controle!$H:$H,produtos_escape2!$A1132,Controle!$Z:$Z,"2")</f>
        <v>0</v>
      </c>
      <c r="H1132" s="507">
        <f>SUMIFS(Controle!$R:$R,Controle!$H:$H,produtos_escape2!$A1132,Controle!$Z:$Z,"3")</f>
        <v>0</v>
      </c>
      <c r="I1132" s="507">
        <f>SUMIFS(Controle!$R:$R,Controle!$H:$H,produtos_escape2!$A1132,Controle!$Z:$Z,"4")</f>
        <v>0</v>
      </c>
      <c r="J1132" s="507">
        <f>SUMIFS(Controle!$R:$R,Controle!$H:$H,produtos_escape2!$A1132,Controle!$Z:$Z,"5")</f>
        <v>0</v>
      </c>
      <c r="K1132" s="507">
        <f>SUMIFS(Controle!$R:$R,Controle!$H:$H,produtos_escape2!$A1132,Controle!$Z:$Z,"6")</f>
        <v>0</v>
      </c>
      <c r="L1132" s="507">
        <f t="shared" si="37"/>
        <v>0</v>
      </c>
      <c r="M1132" s="381" t="s">
        <v>5138</v>
      </c>
      <c r="AF1132" s="84"/>
    </row>
    <row r="1133" spans="1:32" s="185" customFormat="1" ht="14.25" customHeight="1" thickBot="1">
      <c r="A1133" s="353">
        <v>27738</v>
      </c>
      <c r="B1133" s="194" t="s">
        <v>281</v>
      </c>
      <c r="C1133" s="339">
        <f t="shared" si="38"/>
        <v>50000</v>
      </c>
      <c r="D1133" s="196"/>
      <c r="E1133" s="187"/>
      <c r="F1133" s="507">
        <f>SUMIFS(Controle!$R:$R,Controle!$H:$H,produtos_escape2!$A1133,Controle!$Z:$Z,"1")</f>
        <v>0</v>
      </c>
      <c r="G1133" s="507">
        <f>SUMIFS(Controle!$R:$R,Controle!$H:$H,produtos_escape2!$A1133,Controle!$Z:$Z,"2")</f>
        <v>0</v>
      </c>
      <c r="H1133" s="507">
        <f>SUMIFS(Controle!$R:$R,Controle!$H:$H,produtos_escape2!$A1133,Controle!$Z:$Z,"3")</f>
        <v>0</v>
      </c>
      <c r="I1133" s="507">
        <f>SUMIFS(Controle!$R:$R,Controle!$H:$H,produtos_escape2!$A1133,Controle!$Z:$Z,"4")</f>
        <v>0</v>
      </c>
      <c r="J1133" s="507">
        <f>SUMIFS(Controle!$R:$R,Controle!$H:$H,produtos_escape2!$A1133,Controle!$Z:$Z,"5")</f>
        <v>0</v>
      </c>
      <c r="K1133" s="507">
        <f>SUMIFS(Controle!$R:$R,Controle!$H:$H,produtos_escape2!$A1133,Controle!$Z:$Z,"6")</f>
        <v>0</v>
      </c>
      <c r="L1133" s="507">
        <f t="shared" si="37"/>
        <v>0</v>
      </c>
      <c r="M1133" s="381" t="s">
        <v>5139</v>
      </c>
      <c r="AF1133" s="84"/>
    </row>
    <row r="1134" spans="1:32" s="185" customFormat="1" ht="14.25" customHeight="1" thickBot="1">
      <c r="A1134" s="333">
        <v>27780</v>
      </c>
      <c r="B1134" s="338" t="s">
        <v>3997</v>
      </c>
      <c r="C1134" s="339">
        <f t="shared" si="38"/>
        <v>49200</v>
      </c>
      <c r="D1134" s="196" t="s">
        <v>624</v>
      </c>
      <c r="E1134" s="187" t="s">
        <v>3608</v>
      </c>
      <c r="F1134" s="507">
        <f>SUMIFS(Controle!$R:$R,Controle!$H:$H,produtos_escape2!$A1134,Controle!$Z:$Z,"1")</f>
        <v>0</v>
      </c>
      <c r="G1134" s="507">
        <f>SUMIFS(Controle!$R:$R,Controle!$H:$H,produtos_escape2!$A1134,Controle!$Z:$Z,"2")</f>
        <v>0</v>
      </c>
      <c r="H1134" s="507">
        <f>SUMIFS(Controle!$R:$R,Controle!$H:$H,produtos_escape2!$A1134,Controle!$Z:$Z,"3")</f>
        <v>800</v>
      </c>
      <c r="I1134" s="507">
        <f>SUMIFS(Controle!$R:$R,Controle!$H:$H,produtos_escape2!$A1134,Controle!$Z:$Z,"4")</f>
        <v>0</v>
      </c>
      <c r="J1134" s="507">
        <f>SUMIFS(Controle!$R:$R,Controle!$H:$H,produtos_escape2!$A1134,Controle!$Z:$Z,"5")</f>
        <v>0</v>
      </c>
      <c r="K1134" s="507">
        <f>SUMIFS(Controle!$R:$R,Controle!$H:$H,produtos_escape2!$A1134,Controle!$Z:$Z,"6")</f>
        <v>0</v>
      </c>
      <c r="L1134" s="507">
        <f t="shared" si="37"/>
        <v>800</v>
      </c>
      <c r="M1134" s="381" t="s">
        <v>5140</v>
      </c>
      <c r="AF1134" s="84"/>
    </row>
    <row r="1135" spans="1:32" s="185" customFormat="1" ht="14.25" customHeight="1" thickBot="1">
      <c r="A1135" s="353">
        <v>27783</v>
      </c>
      <c r="B1135" s="194" t="s">
        <v>1447</v>
      </c>
      <c r="C1135" s="339">
        <f t="shared" si="38"/>
        <v>48440</v>
      </c>
      <c r="D1135" s="196" t="s">
        <v>624</v>
      </c>
      <c r="E1135" s="187" t="s">
        <v>3608</v>
      </c>
      <c r="F1135" s="507">
        <f>SUMIFS(Controle!$R:$R,Controle!$H:$H,produtos_escape2!$A1135,Controle!$Z:$Z,"1")</f>
        <v>0</v>
      </c>
      <c r="G1135" s="507">
        <f>SUMIFS(Controle!$R:$R,Controle!$H:$H,produtos_escape2!$A1135,Controle!$Z:$Z,"2")</f>
        <v>0</v>
      </c>
      <c r="H1135" s="507">
        <f>SUMIFS(Controle!$R:$R,Controle!$H:$H,produtos_escape2!$A1135,Controle!$Z:$Z,"3")</f>
        <v>0</v>
      </c>
      <c r="I1135" s="507">
        <f>SUMIFS(Controle!$R:$R,Controle!$H:$H,produtos_escape2!$A1135,Controle!$Z:$Z,"4")</f>
        <v>1560</v>
      </c>
      <c r="J1135" s="507">
        <f>SUMIFS(Controle!$R:$R,Controle!$H:$H,produtos_escape2!$A1135,Controle!$Z:$Z,"5")</f>
        <v>0</v>
      </c>
      <c r="K1135" s="507">
        <f>SUMIFS(Controle!$R:$R,Controle!$H:$H,produtos_escape2!$A1135,Controle!$Z:$Z,"6")</f>
        <v>0</v>
      </c>
      <c r="L1135" s="507">
        <f t="shared" si="37"/>
        <v>1560</v>
      </c>
      <c r="M1135" s="381" t="s">
        <v>5141</v>
      </c>
      <c r="AF1135" s="84"/>
    </row>
    <row r="1136" spans="1:32" s="185" customFormat="1" ht="14.25" customHeight="1" thickBot="1">
      <c r="A1136" s="353">
        <v>27784</v>
      </c>
      <c r="B1136" s="194" t="s">
        <v>285</v>
      </c>
      <c r="C1136" s="339">
        <f t="shared" si="38"/>
        <v>50000</v>
      </c>
      <c r="D1136" s="196"/>
      <c r="E1136" s="187"/>
      <c r="F1136" s="507">
        <f>SUMIFS(Controle!$R:$R,Controle!$H:$H,produtos_escape2!$A1136,Controle!$Z:$Z,"1")</f>
        <v>0</v>
      </c>
      <c r="G1136" s="507">
        <f>SUMIFS(Controle!$R:$R,Controle!$H:$H,produtos_escape2!$A1136,Controle!$Z:$Z,"2")</f>
        <v>0</v>
      </c>
      <c r="H1136" s="507">
        <f>SUMIFS(Controle!$R:$R,Controle!$H:$H,produtos_escape2!$A1136,Controle!$Z:$Z,"3")</f>
        <v>0</v>
      </c>
      <c r="I1136" s="507">
        <f>SUMIFS(Controle!$R:$R,Controle!$H:$H,produtos_escape2!$A1136,Controle!$Z:$Z,"4")</f>
        <v>0</v>
      </c>
      <c r="J1136" s="507">
        <f>SUMIFS(Controle!$R:$R,Controle!$H:$H,produtos_escape2!$A1136,Controle!$Z:$Z,"5")</f>
        <v>0</v>
      </c>
      <c r="K1136" s="507">
        <f>SUMIFS(Controle!$R:$R,Controle!$H:$H,produtos_escape2!$A1136,Controle!$Z:$Z,"6")</f>
        <v>0</v>
      </c>
      <c r="L1136" s="507">
        <f t="shared" si="37"/>
        <v>0</v>
      </c>
      <c r="M1136" s="381" t="s">
        <v>285</v>
      </c>
      <c r="AF1136" s="84"/>
    </row>
    <row r="1137" spans="1:32" s="185" customFormat="1" ht="14.25" customHeight="1" thickBot="1">
      <c r="A1137" s="353">
        <v>27785</v>
      </c>
      <c r="B1137" s="194" t="s">
        <v>286</v>
      </c>
      <c r="C1137" s="339">
        <f t="shared" si="38"/>
        <v>50000</v>
      </c>
      <c r="D1137" s="196"/>
      <c r="E1137" s="187"/>
      <c r="F1137" s="507">
        <f>SUMIFS(Controle!$R:$R,Controle!$H:$H,produtos_escape2!$A1137,Controle!$Z:$Z,"1")</f>
        <v>0</v>
      </c>
      <c r="G1137" s="507">
        <f>SUMIFS(Controle!$R:$R,Controle!$H:$H,produtos_escape2!$A1137,Controle!$Z:$Z,"2")</f>
        <v>0</v>
      </c>
      <c r="H1137" s="507">
        <f>SUMIFS(Controle!$R:$R,Controle!$H:$H,produtos_escape2!$A1137,Controle!$Z:$Z,"3")</f>
        <v>0</v>
      </c>
      <c r="I1137" s="507">
        <f>SUMIFS(Controle!$R:$R,Controle!$H:$H,produtos_escape2!$A1137,Controle!$Z:$Z,"4")</f>
        <v>0</v>
      </c>
      <c r="J1137" s="507">
        <f>SUMIFS(Controle!$R:$R,Controle!$H:$H,produtos_escape2!$A1137,Controle!$Z:$Z,"5")</f>
        <v>0</v>
      </c>
      <c r="K1137" s="507">
        <f>SUMIFS(Controle!$R:$R,Controle!$H:$H,produtos_escape2!$A1137,Controle!$Z:$Z,"6")</f>
        <v>0</v>
      </c>
      <c r="L1137" s="507">
        <f t="shared" si="37"/>
        <v>0</v>
      </c>
      <c r="M1137" s="381" t="s">
        <v>5142</v>
      </c>
      <c r="AF1137" s="84"/>
    </row>
    <row r="1138" spans="1:32" s="185" customFormat="1" ht="14.25" customHeight="1" thickBot="1">
      <c r="A1138" s="353">
        <v>27860</v>
      </c>
      <c r="B1138" s="194" t="s">
        <v>300</v>
      </c>
      <c r="C1138" s="339">
        <f t="shared" si="38"/>
        <v>50000</v>
      </c>
      <c r="D1138" s="196"/>
      <c r="E1138" s="187"/>
      <c r="F1138" s="507">
        <f>SUMIFS(Controle!$R:$R,Controle!$H:$H,produtos_escape2!$A1138,Controle!$Z:$Z,"1")</f>
        <v>0</v>
      </c>
      <c r="G1138" s="507">
        <f>SUMIFS(Controle!$R:$R,Controle!$H:$H,produtos_escape2!$A1138,Controle!$Z:$Z,"2")</f>
        <v>0</v>
      </c>
      <c r="H1138" s="507">
        <f>SUMIFS(Controle!$R:$R,Controle!$H:$H,produtos_escape2!$A1138,Controle!$Z:$Z,"3")</f>
        <v>0</v>
      </c>
      <c r="I1138" s="507">
        <f>SUMIFS(Controle!$R:$R,Controle!$H:$H,produtos_escape2!$A1138,Controle!$Z:$Z,"4")</f>
        <v>0</v>
      </c>
      <c r="J1138" s="507">
        <f>SUMIFS(Controle!$R:$R,Controle!$H:$H,produtos_escape2!$A1138,Controle!$Z:$Z,"5")</f>
        <v>0</v>
      </c>
      <c r="K1138" s="507">
        <f>SUMIFS(Controle!$R:$R,Controle!$H:$H,produtos_escape2!$A1138,Controle!$Z:$Z,"6")</f>
        <v>0</v>
      </c>
      <c r="L1138" s="507">
        <f t="shared" si="37"/>
        <v>0</v>
      </c>
      <c r="M1138" s="381" t="s">
        <v>5143</v>
      </c>
      <c r="AF1138" s="84"/>
    </row>
    <row r="1139" spans="1:32" s="185" customFormat="1" ht="14.25" customHeight="1" thickBot="1">
      <c r="A1139" s="353">
        <v>27861</v>
      </c>
      <c r="B1139" s="194" t="s">
        <v>301</v>
      </c>
      <c r="C1139" s="339">
        <f t="shared" si="38"/>
        <v>50000</v>
      </c>
      <c r="D1139" s="196"/>
      <c r="E1139" s="187"/>
      <c r="F1139" s="507">
        <f>SUMIFS(Controle!$R:$R,Controle!$H:$H,produtos_escape2!$A1139,Controle!$Z:$Z,"1")</f>
        <v>0</v>
      </c>
      <c r="G1139" s="507">
        <f>SUMIFS(Controle!$R:$R,Controle!$H:$H,produtos_escape2!$A1139,Controle!$Z:$Z,"2")</f>
        <v>0</v>
      </c>
      <c r="H1139" s="507">
        <f>SUMIFS(Controle!$R:$R,Controle!$H:$H,produtos_escape2!$A1139,Controle!$Z:$Z,"3")</f>
        <v>0</v>
      </c>
      <c r="I1139" s="507">
        <f>SUMIFS(Controle!$R:$R,Controle!$H:$H,produtos_escape2!$A1139,Controle!$Z:$Z,"4")</f>
        <v>0</v>
      </c>
      <c r="J1139" s="507">
        <f>SUMIFS(Controle!$R:$R,Controle!$H:$H,produtos_escape2!$A1139,Controle!$Z:$Z,"5")</f>
        <v>0</v>
      </c>
      <c r="K1139" s="507">
        <f>SUMIFS(Controle!$R:$R,Controle!$H:$H,produtos_escape2!$A1139,Controle!$Z:$Z,"6")</f>
        <v>0</v>
      </c>
      <c r="L1139" s="507">
        <f t="shared" si="37"/>
        <v>0</v>
      </c>
      <c r="M1139" s="381" t="s">
        <v>5144</v>
      </c>
      <c r="AF1139" s="84"/>
    </row>
    <row r="1140" spans="1:32" s="185" customFormat="1" ht="14.25" customHeight="1" thickBot="1">
      <c r="A1140" s="353">
        <v>27865</v>
      </c>
      <c r="B1140" s="194" t="s">
        <v>518</v>
      </c>
      <c r="C1140" s="339">
        <f t="shared" si="38"/>
        <v>50000</v>
      </c>
      <c r="D1140" s="196" t="s">
        <v>624</v>
      </c>
      <c r="E1140" s="187" t="s">
        <v>7207</v>
      </c>
      <c r="F1140" s="507">
        <f>SUMIFS(Controle!$R:$R,Controle!$H:$H,produtos_escape2!$A1140,Controle!$Z:$Z,"1")</f>
        <v>0</v>
      </c>
      <c r="G1140" s="507">
        <f>SUMIFS(Controle!$R:$R,Controle!$H:$H,produtos_escape2!$A1140,Controle!$Z:$Z,"2")</f>
        <v>0</v>
      </c>
      <c r="H1140" s="507">
        <f>SUMIFS(Controle!$R:$R,Controle!$H:$H,produtos_escape2!$A1140,Controle!$Z:$Z,"3")</f>
        <v>0</v>
      </c>
      <c r="I1140" s="507">
        <f>SUMIFS(Controle!$R:$R,Controle!$H:$H,produtos_escape2!$A1140,Controle!$Z:$Z,"4")</f>
        <v>0</v>
      </c>
      <c r="J1140" s="507">
        <f>SUMIFS(Controle!$R:$R,Controle!$H:$H,produtos_escape2!$A1140,Controle!$Z:$Z,"5")</f>
        <v>0</v>
      </c>
      <c r="K1140" s="507">
        <f>SUMIFS(Controle!$R:$R,Controle!$H:$H,produtos_escape2!$A1140,Controle!$Z:$Z,"6")</f>
        <v>0</v>
      </c>
      <c r="L1140" s="507">
        <f t="shared" si="37"/>
        <v>0</v>
      </c>
      <c r="M1140" s="381" t="s">
        <v>5145</v>
      </c>
      <c r="AF1140" s="84"/>
    </row>
    <row r="1141" spans="1:32" s="185" customFormat="1" ht="14.25" customHeight="1" thickBot="1">
      <c r="A1141" s="353">
        <v>27890</v>
      </c>
      <c r="B1141" s="194" t="s">
        <v>373</v>
      </c>
      <c r="C1141" s="339">
        <f t="shared" si="38"/>
        <v>50000</v>
      </c>
      <c r="D1141" s="196"/>
      <c r="E1141" s="187"/>
      <c r="F1141" s="507">
        <f>SUMIFS(Controle!$R:$R,Controle!$H:$H,produtos_escape2!$A1141,Controle!$Z:$Z,"1")</f>
        <v>0</v>
      </c>
      <c r="G1141" s="507">
        <f>SUMIFS(Controle!$R:$R,Controle!$H:$H,produtos_escape2!$A1141,Controle!$Z:$Z,"2")</f>
        <v>0</v>
      </c>
      <c r="H1141" s="507">
        <f>SUMIFS(Controle!$R:$R,Controle!$H:$H,produtos_escape2!$A1141,Controle!$Z:$Z,"3")</f>
        <v>0</v>
      </c>
      <c r="I1141" s="507">
        <f>SUMIFS(Controle!$R:$R,Controle!$H:$H,produtos_escape2!$A1141,Controle!$Z:$Z,"4")</f>
        <v>0</v>
      </c>
      <c r="J1141" s="507">
        <f>SUMIFS(Controle!$R:$R,Controle!$H:$H,produtos_escape2!$A1141,Controle!$Z:$Z,"5")</f>
        <v>0</v>
      </c>
      <c r="K1141" s="507">
        <f>SUMIFS(Controle!$R:$R,Controle!$H:$H,produtos_escape2!$A1141,Controle!$Z:$Z,"6")</f>
        <v>0</v>
      </c>
      <c r="L1141" s="507">
        <f t="shared" si="37"/>
        <v>0</v>
      </c>
      <c r="M1141" s="381" t="s">
        <v>5146</v>
      </c>
      <c r="AF1141" s="84"/>
    </row>
    <row r="1142" spans="1:32" s="185" customFormat="1" ht="14.25" customHeight="1" thickBot="1">
      <c r="A1142" s="333">
        <v>27891</v>
      </c>
      <c r="B1142" s="338" t="s">
        <v>539</v>
      </c>
      <c r="C1142" s="339">
        <f t="shared" si="38"/>
        <v>50000</v>
      </c>
      <c r="D1142" s="196"/>
      <c r="E1142" s="187"/>
      <c r="F1142" s="507">
        <f>SUMIFS(Controle!$R:$R,Controle!$H:$H,produtos_escape2!$A1142,Controle!$Z:$Z,"1")</f>
        <v>0</v>
      </c>
      <c r="G1142" s="507">
        <f>SUMIFS(Controle!$R:$R,Controle!$H:$H,produtos_escape2!$A1142,Controle!$Z:$Z,"2")</f>
        <v>0</v>
      </c>
      <c r="H1142" s="507">
        <f>SUMIFS(Controle!$R:$R,Controle!$H:$H,produtos_escape2!$A1142,Controle!$Z:$Z,"3")</f>
        <v>0</v>
      </c>
      <c r="I1142" s="507">
        <f>SUMIFS(Controle!$R:$R,Controle!$H:$H,produtos_escape2!$A1142,Controle!$Z:$Z,"4")</f>
        <v>0</v>
      </c>
      <c r="J1142" s="507">
        <f>SUMIFS(Controle!$R:$R,Controle!$H:$H,produtos_escape2!$A1142,Controle!$Z:$Z,"5")</f>
        <v>0</v>
      </c>
      <c r="K1142" s="507">
        <f>SUMIFS(Controle!$R:$R,Controle!$H:$H,produtos_escape2!$A1142,Controle!$Z:$Z,"6")</f>
        <v>0</v>
      </c>
      <c r="L1142" s="507">
        <f t="shared" si="37"/>
        <v>0</v>
      </c>
      <c r="M1142" s="381" t="s">
        <v>5147</v>
      </c>
      <c r="AF1142" s="84"/>
    </row>
    <row r="1143" spans="1:32" s="185" customFormat="1" ht="14.25" customHeight="1" thickBot="1">
      <c r="A1143" s="353">
        <v>27952</v>
      </c>
      <c r="B1143" s="194" t="s">
        <v>2894</v>
      </c>
      <c r="C1143" s="339">
        <f t="shared" si="38"/>
        <v>47030</v>
      </c>
      <c r="D1143" s="196" t="s">
        <v>624</v>
      </c>
      <c r="E1143" s="187" t="s">
        <v>7207</v>
      </c>
      <c r="F1143" s="507">
        <f>SUMIFS(Controle!$R:$R,Controle!$H:$H,produtos_escape2!$A1143,Controle!$Z:$Z,"1")</f>
        <v>0</v>
      </c>
      <c r="G1143" s="507">
        <f>SUMIFS(Controle!$R:$R,Controle!$H:$H,produtos_escape2!$A1143,Controle!$Z:$Z,"2")</f>
        <v>0</v>
      </c>
      <c r="H1143" s="507">
        <f>SUMIFS(Controle!$R:$R,Controle!$H:$H,produtos_escape2!$A1143,Controle!$Z:$Z,"3")</f>
        <v>2970</v>
      </c>
      <c r="I1143" s="507">
        <f>SUMIFS(Controle!$R:$R,Controle!$H:$H,produtos_escape2!$A1143,Controle!$Z:$Z,"4")</f>
        <v>0</v>
      </c>
      <c r="J1143" s="507">
        <f>SUMIFS(Controle!$R:$R,Controle!$H:$H,produtos_escape2!$A1143,Controle!$Z:$Z,"5")</f>
        <v>0</v>
      </c>
      <c r="K1143" s="507">
        <f>SUMIFS(Controle!$R:$R,Controle!$H:$H,produtos_escape2!$A1143,Controle!$Z:$Z,"6")</f>
        <v>0</v>
      </c>
      <c r="L1143" s="507">
        <f t="shared" si="37"/>
        <v>2970</v>
      </c>
      <c r="M1143" s="381" t="s">
        <v>5148</v>
      </c>
      <c r="AF1143" s="84"/>
    </row>
    <row r="1144" spans="1:32" s="185" customFormat="1" ht="14.25" customHeight="1" thickBot="1">
      <c r="A1144" s="353">
        <v>27974</v>
      </c>
      <c r="B1144" s="194" t="s">
        <v>4193</v>
      </c>
      <c r="C1144" s="339">
        <f t="shared" si="38"/>
        <v>50000</v>
      </c>
      <c r="D1144" s="196" t="s">
        <v>830</v>
      </c>
      <c r="E1144" s="187" t="s">
        <v>7207</v>
      </c>
      <c r="F1144" s="507">
        <f>SUMIFS(Controle!$R:$R,Controle!$H:$H,produtos_escape2!$A1144,Controle!$Z:$Z,"1")</f>
        <v>0</v>
      </c>
      <c r="G1144" s="507">
        <f>SUMIFS(Controle!$R:$R,Controle!$H:$H,produtos_escape2!$A1144,Controle!$Z:$Z,"2")</f>
        <v>0</v>
      </c>
      <c r="H1144" s="507">
        <f>SUMIFS(Controle!$R:$R,Controle!$H:$H,produtos_escape2!$A1144,Controle!$Z:$Z,"3")</f>
        <v>0</v>
      </c>
      <c r="I1144" s="507">
        <f>SUMIFS(Controle!$R:$R,Controle!$H:$H,produtos_escape2!$A1144,Controle!$Z:$Z,"4")</f>
        <v>0</v>
      </c>
      <c r="J1144" s="507">
        <f>SUMIFS(Controle!$R:$R,Controle!$H:$H,produtos_escape2!$A1144,Controle!$Z:$Z,"5")</f>
        <v>0</v>
      </c>
      <c r="K1144" s="507">
        <f>SUMIFS(Controle!$R:$R,Controle!$H:$H,produtos_escape2!$A1144,Controle!$Z:$Z,"6")</f>
        <v>0</v>
      </c>
      <c r="L1144" s="507">
        <f t="shared" si="37"/>
        <v>0</v>
      </c>
      <c r="M1144" s="381" t="s">
        <v>5149</v>
      </c>
      <c r="AF1144" s="84"/>
    </row>
    <row r="1145" spans="1:32" s="185" customFormat="1" ht="14.25" customHeight="1" thickBot="1">
      <c r="A1145" s="353">
        <v>27981</v>
      </c>
      <c r="B1145" s="194" t="s">
        <v>429</v>
      </c>
      <c r="C1145" s="339">
        <f t="shared" si="38"/>
        <v>50000</v>
      </c>
      <c r="D1145" s="196"/>
      <c r="E1145" s="187"/>
      <c r="F1145" s="507">
        <f>SUMIFS(Controle!$R:$R,Controle!$H:$H,produtos_escape2!$A1145,Controle!$Z:$Z,"1")</f>
        <v>0</v>
      </c>
      <c r="G1145" s="507">
        <f>SUMIFS(Controle!$R:$R,Controle!$H:$H,produtos_escape2!$A1145,Controle!$Z:$Z,"2")</f>
        <v>0</v>
      </c>
      <c r="H1145" s="507">
        <f>SUMIFS(Controle!$R:$R,Controle!$H:$H,produtos_escape2!$A1145,Controle!$Z:$Z,"3")</f>
        <v>0</v>
      </c>
      <c r="I1145" s="507">
        <f>SUMIFS(Controle!$R:$R,Controle!$H:$H,produtos_escape2!$A1145,Controle!$Z:$Z,"4")</f>
        <v>0</v>
      </c>
      <c r="J1145" s="507">
        <f>SUMIFS(Controle!$R:$R,Controle!$H:$H,produtos_escape2!$A1145,Controle!$Z:$Z,"5")</f>
        <v>0</v>
      </c>
      <c r="K1145" s="507">
        <f>SUMIFS(Controle!$R:$R,Controle!$H:$H,produtos_escape2!$A1145,Controle!$Z:$Z,"6")</f>
        <v>0</v>
      </c>
      <c r="L1145" s="507">
        <f t="shared" si="37"/>
        <v>0</v>
      </c>
      <c r="M1145" s="381" t="s">
        <v>5150</v>
      </c>
      <c r="AF1145" s="84"/>
    </row>
    <row r="1146" spans="1:32" s="185" customFormat="1" ht="14.25" customHeight="1" thickBot="1">
      <c r="A1146" s="353">
        <v>28024</v>
      </c>
      <c r="B1146" s="194" t="s">
        <v>2967</v>
      </c>
      <c r="C1146" s="339">
        <f t="shared" si="38"/>
        <v>50000</v>
      </c>
      <c r="D1146" s="196" t="s">
        <v>624</v>
      </c>
      <c r="E1146" s="187" t="s">
        <v>3608</v>
      </c>
      <c r="F1146" s="507">
        <f>SUMIFS(Controle!$R:$R,Controle!$H:$H,produtos_escape2!$A1146,Controle!$Z:$Z,"1")</f>
        <v>0</v>
      </c>
      <c r="G1146" s="507">
        <f>SUMIFS(Controle!$R:$R,Controle!$H:$H,produtos_escape2!$A1146,Controle!$Z:$Z,"2")</f>
        <v>0</v>
      </c>
      <c r="H1146" s="507">
        <f>SUMIFS(Controle!$R:$R,Controle!$H:$H,produtos_escape2!$A1146,Controle!$Z:$Z,"3")</f>
        <v>0</v>
      </c>
      <c r="I1146" s="507">
        <f>SUMIFS(Controle!$R:$R,Controle!$H:$H,produtos_escape2!$A1146,Controle!$Z:$Z,"4")</f>
        <v>0</v>
      </c>
      <c r="J1146" s="507">
        <f>SUMIFS(Controle!$R:$R,Controle!$H:$H,produtos_escape2!$A1146,Controle!$Z:$Z,"5")</f>
        <v>0</v>
      </c>
      <c r="K1146" s="507">
        <f>SUMIFS(Controle!$R:$R,Controle!$H:$H,produtos_escape2!$A1146,Controle!$Z:$Z,"6")</f>
        <v>0</v>
      </c>
      <c r="L1146" s="507">
        <f t="shared" si="37"/>
        <v>0</v>
      </c>
      <c r="M1146" s="381" t="s">
        <v>5151</v>
      </c>
      <c r="AF1146" s="84"/>
    </row>
    <row r="1147" spans="1:32" s="185" customFormat="1" ht="14.25" customHeight="1" thickBot="1">
      <c r="A1147" s="353">
        <v>28025</v>
      </c>
      <c r="B1147" s="194" t="s">
        <v>2808</v>
      </c>
      <c r="C1147" s="339">
        <f t="shared" si="38"/>
        <v>50000</v>
      </c>
      <c r="D1147" s="196" t="s">
        <v>624</v>
      </c>
      <c r="E1147" s="187" t="s">
        <v>3608</v>
      </c>
      <c r="F1147" s="507">
        <f>SUMIFS(Controle!$R:$R,Controle!$H:$H,produtos_escape2!$A1147,Controle!$Z:$Z,"1")</f>
        <v>0</v>
      </c>
      <c r="G1147" s="507">
        <f>SUMIFS(Controle!$R:$R,Controle!$H:$H,produtos_escape2!$A1147,Controle!$Z:$Z,"2")</f>
        <v>0</v>
      </c>
      <c r="H1147" s="507">
        <f>SUMIFS(Controle!$R:$R,Controle!$H:$H,produtos_escape2!$A1147,Controle!$Z:$Z,"3")</f>
        <v>0</v>
      </c>
      <c r="I1147" s="507">
        <f>SUMIFS(Controle!$R:$R,Controle!$H:$H,produtos_escape2!$A1147,Controle!$Z:$Z,"4")</f>
        <v>0</v>
      </c>
      <c r="J1147" s="507">
        <f>SUMIFS(Controle!$R:$R,Controle!$H:$H,produtos_escape2!$A1147,Controle!$Z:$Z,"5")</f>
        <v>0</v>
      </c>
      <c r="K1147" s="507">
        <f>SUMIFS(Controle!$R:$R,Controle!$H:$H,produtos_escape2!$A1147,Controle!$Z:$Z,"6")</f>
        <v>0</v>
      </c>
      <c r="L1147" s="507">
        <f t="shared" si="37"/>
        <v>0</v>
      </c>
      <c r="M1147" s="381" t="s">
        <v>5151</v>
      </c>
      <c r="AF1147" s="84"/>
    </row>
    <row r="1148" spans="1:32" s="185" customFormat="1" ht="14.25" customHeight="1" thickBot="1">
      <c r="A1148" s="353">
        <v>28047</v>
      </c>
      <c r="B1148" s="194" t="s">
        <v>910</v>
      </c>
      <c r="C1148" s="339">
        <f t="shared" si="38"/>
        <v>50000</v>
      </c>
      <c r="D1148" s="196" t="s">
        <v>624</v>
      </c>
      <c r="E1148" s="187" t="s">
        <v>1739</v>
      </c>
      <c r="F1148" s="507">
        <f>SUMIFS(Controle!$R:$R,Controle!$H:$H,produtos_escape2!$A1148,Controle!$Z:$Z,"1")</f>
        <v>0</v>
      </c>
      <c r="G1148" s="507">
        <f>SUMIFS(Controle!$R:$R,Controle!$H:$H,produtos_escape2!$A1148,Controle!$Z:$Z,"2")</f>
        <v>0</v>
      </c>
      <c r="H1148" s="507">
        <f>SUMIFS(Controle!$R:$R,Controle!$H:$H,produtos_escape2!$A1148,Controle!$Z:$Z,"3")</f>
        <v>0</v>
      </c>
      <c r="I1148" s="507">
        <f>SUMIFS(Controle!$R:$R,Controle!$H:$H,produtos_escape2!$A1148,Controle!$Z:$Z,"4")</f>
        <v>0</v>
      </c>
      <c r="J1148" s="507">
        <f>SUMIFS(Controle!$R:$R,Controle!$H:$H,produtos_escape2!$A1148,Controle!$Z:$Z,"5")</f>
        <v>0</v>
      </c>
      <c r="K1148" s="507">
        <f>SUMIFS(Controle!$R:$R,Controle!$H:$H,produtos_escape2!$A1148,Controle!$Z:$Z,"6")</f>
        <v>0</v>
      </c>
      <c r="L1148" s="507">
        <f t="shared" si="37"/>
        <v>0</v>
      </c>
      <c r="M1148" s="381" t="s">
        <v>5152</v>
      </c>
      <c r="AF1148" s="84"/>
    </row>
    <row r="1149" spans="1:32" s="185" customFormat="1" ht="14.25" customHeight="1" thickBot="1">
      <c r="A1149" s="353">
        <v>28066</v>
      </c>
      <c r="B1149" s="194" t="s">
        <v>423</v>
      </c>
      <c r="C1149" s="339">
        <f t="shared" si="38"/>
        <v>50000</v>
      </c>
      <c r="D1149" s="196"/>
      <c r="E1149" s="187"/>
      <c r="F1149" s="507">
        <f>SUMIFS(Controle!$R:$R,Controle!$H:$H,produtos_escape2!$A1149,Controle!$Z:$Z,"1")</f>
        <v>0</v>
      </c>
      <c r="G1149" s="507">
        <f>SUMIFS(Controle!$R:$R,Controle!$H:$H,produtos_escape2!$A1149,Controle!$Z:$Z,"2")</f>
        <v>0</v>
      </c>
      <c r="H1149" s="507">
        <f>SUMIFS(Controle!$R:$R,Controle!$H:$H,produtos_escape2!$A1149,Controle!$Z:$Z,"3")</f>
        <v>0</v>
      </c>
      <c r="I1149" s="507">
        <f>SUMIFS(Controle!$R:$R,Controle!$H:$H,produtos_escape2!$A1149,Controle!$Z:$Z,"4")</f>
        <v>0</v>
      </c>
      <c r="J1149" s="507">
        <f>SUMIFS(Controle!$R:$R,Controle!$H:$H,produtos_escape2!$A1149,Controle!$Z:$Z,"5")</f>
        <v>0</v>
      </c>
      <c r="K1149" s="507">
        <f>SUMIFS(Controle!$R:$R,Controle!$H:$H,produtos_escape2!$A1149,Controle!$Z:$Z,"6")</f>
        <v>0</v>
      </c>
      <c r="L1149" s="507">
        <f t="shared" si="37"/>
        <v>0</v>
      </c>
      <c r="M1149" s="381" t="s">
        <v>5153</v>
      </c>
      <c r="AF1149" s="84"/>
    </row>
    <row r="1150" spans="1:32" s="185" customFormat="1" ht="14.25" customHeight="1" thickBot="1">
      <c r="A1150" s="333">
        <v>28067</v>
      </c>
      <c r="B1150" s="338" t="s">
        <v>427</v>
      </c>
      <c r="C1150" s="339">
        <f t="shared" si="38"/>
        <v>50000</v>
      </c>
      <c r="D1150" s="196"/>
      <c r="E1150" s="187"/>
      <c r="F1150" s="507">
        <f>SUMIFS(Controle!$R:$R,Controle!$H:$H,produtos_escape2!$A1150,Controle!$Z:$Z,"1")</f>
        <v>0</v>
      </c>
      <c r="G1150" s="507">
        <f>SUMIFS(Controle!$R:$R,Controle!$H:$H,produtos_escape2!$A1150,Controle!$Z:$Z,"2")</f>
        <v>0</v>
      </c>
      <c r="H1150" s="507">
        <f>SUMIFS(Controle!$R:$R,Controle!$H:$H,produtos_escape2!$A1150,Controle!$Z:$Z,"3")</f>
        <v>0</v>
      </c>
      <c r="I1150" s="507">
        <f>SUMIFS(Controle!$R:$R,Controle!$H:$H,produtos_escape2!$A1150,Controle!$Z:$Z,"4")</f>
        <v>0</v>
      </c>
      <c r="J1150" s="507">
        <f>SUMIFS(Controle!$R:$R,Controle!$H:$H,produtos_escape2!$A1150,Controle!$Z:$Z,"5")</f>
        <v>0</v>
      </c>
      <c r="K1150" s="507">
        <f>SUMIFS(Controle!$R:$R,Controle!$H:$H,produtos_escape2!$A1150,Controle!$Z:$Z,"6")</f>
        <v>0</v>
      </c>
      <c r="L1150" s="507">
        <f t="shared" si="37"/>
        <v>0</v>
      </c>
      <c r="M1150" s="381" t="s">
        <v>5150</v>
      </c>
      <c r="AF1150" s="84"/>
    </row>
    <row r="1151" spans="1:32" s="185" customFormat="1" ht="14.25" customHeight="1" thickBot="1">
      <c r="A1151" s="353">
        <v>28070</v>
      </c>
      <c r="B1151" s="194" t="s">
        <v>644</v>
      </c>
      <c r="C1151" s="339">
        <f t="shared" si="38"/>
        <v>50000</v>
      </c>
      <c r="D1151" s="196" t="s">
        <v>624</v>
      </c>
      <c r="E1151" s="187" t="s">
        <v>1739</v>
      </c>
      <c r="F1151" s="507">
        <f>SUMIFS(Controle!$R:$R,Controle!$H:$H,produtos_escape2!$A1151,Controle!$Z:$Z,"1")</f>
        <v>0</v>
      </c>
      <c r="G1151" s="507">
        <f>SUMIFS(Controle!$R:$R,Controle!$H:$H,produtos_escape2!$A1151,Controle!$Z:$Z,"2")</f>
        <v>0</v>
      </c>
      <c r="H1151" s="507">
        <f>SUMIFS(Controle!$R:$R,Controle!$H:$H,produtos_escape2!$A1151,Controle!$Z:$Z,"3")</f>
        <v>0</v>
      </c>
      <c r="I1151" s="507">
        <f>SUMIFS(Controle!$R:$R,Controle!$H:$H,produtos_escape2!$A1151,Controle!$Z:$Z,"4")</f>
        <v>0</v>
      </c>
      <c r="J1151" s="507">
        <f>SUMIFS(Controle!$R:$R,Controle!$H:$H,produtos_escape2!$A1151,Controle!$Z:$Z,"5")</f>
        <v>0</v>
      </c>
      <c r="K1151" s="507">
        <f>SUMIFS(Controle!$R:$R,Controle!$H:$H,produtos_escape2!$A1151,Controle!$Z:$Z,"6")</f>
        <v>0</v>
      </c>
      <c r="L1151" s="507">
        <f t="shared" ref="L1151:L1214" si="39">SUM(F1151:K1151)</f>
        <v>0</v>
      </c>
      <c r="M1151" s="381" t="s">
        <v>5154</v>
      </c>
      <c r="AF1151" s="84"/>
    </row>
    <row r="1152" spans="1:32" s="185" customFormat="1" ht="14.25" customHeight="1" thickBot="1">
      <c r="A1152" s="353">
        <v>28108</v>
      </c>
      <c r="B1152" s="194" t="s">
        <v>1613</v>
      </c>
      <c r="C1152" s="339">
        <f t="shared" si="38"/>
        <v>50000</v>
      </c>
      <c r="D1152" s="196" t="s">
        <v>624</v>
      </c>
      <c r="E1152" s="187" t="s">
        <v>3608</v>
      </c>
      <c r="F1152" s="507">
        <f>SUMIFS(Controle!$R:$R,Controle!$H:$H,produtos_escape2!$A1152,Controle!$Z:$Z,"1")</f>
        <v>0</v>
      </c>
      <c r="G1152" s="507">
        <f>SUMIFS(Controle!$R:$R,Controle!$H:$H,produtos_escape2!$A1152,Controle!$Z:$Z,"2")</f>
        <v>0</v>
      </c>
      <c r="H1152" s="507">
        <f>SUMIFS(Controle!$R:$R,Controle!$H:$H,produtos_escape2!$A1152,Controle!$Z:$Z,"3")</f>
        <v>0</v>
      </c>
      <c r="I1152" s="507">
        <f>SUMIFS(Controle!$R:$R,Controle!$H:$H,produtos_escape2!$A1152,Controle!$Z:$Z,"4")</f>
        <v>0</v>
      </c>
      <c r="J1152" s="507">
        <f>SUMIFS(Controle!$R:$R,Controle!$H:$H,produtos_escape2!$A1152,Controle!$Z:$Z,"5")</f>
        <v>0</v>
      </c>
      <c r="K1152" s="507">
        <f>SUMIFS(Controle!$R:$R,Controle!$H:$H,produtos_escape2!$A1152,Controle!$Z:$Z,"6")</f>
        <v>0</v>
      </c>
      <c r="L1152" s="507">
        <f t="shared" si="39"/>
        <v>0</v>
      </c>
      <c r="M1152" s="381" t="s">
        <v>5155</v>
      </c>
      <c r="AF1152" s="84"/>
    </row>
    <row r="1153" spans="1:32" s="185" customFormat="1" ht="14.25" customHeight="1" thickBot="1">
      <c r="A1153" s="353">
        <v>28113</v>
      </c>
      <c r="B1153" s="194" t="s">
        <v>1617</v>
      </c>
      <c r="C1153" s="339">
        <f t="shared" si="38"/>
        <v>50000</v>
      </c>
      <c r="D1153" s="196" t="s">
        <v>624</v>
      </c>
      <c r="E1153" s="187" t="s">
        <v>7207</v>
      </c>
      <c r="F1153" s="507">
        <f>SUMIFS(Controle!$R:$R,Controle!$H:$H,produtos_escape2!$A1153,Controle!$Z:$Z,"1")</f>
        <v>0</v>
      </c>
      <c r="G1153" s="507">
        <f>SUMIFS(Controle!$R:$R,Controle!$H:$H,produtos_escape2!$A1153,Controle!$Z:$Z,"2")</f>
        <v>0</v>
      </c>
      <c r="H1153" s="507">
        <f>SUMIFS(Controle!$R:$R,Controle!$H:$H,produtos_escape2!$A1153,Controle!$Z:$Z,"3")</f>
        <v>0</v>
      </c>
      <c r="I1153" s="507">
        <f>SUMIFS(Controle!$R:$R,Controle!$H:$H,produtos_escape2!$A1153,Controle!$Z:$Z,"4")</f>
        <v>0</v>
      </c>
      <c r="J1153" s="507">
        <f>SUMIFS(Controle!$R:$R,Controle!$H:$H,produtos_escape2!$A1153,Controle!$Z:$Z,"5")</f>
        <v>0</v>
      </c>
      <c r="K1153" s="507">
        <f>SUMIFS(Controle!$R:$R,Controle!$H:$H,produtos_escape2!$A1153,Controle!$Z:$Z,"6")</f>
        <v>0</v>
      </c>
      <c r="L1153" s="507">
        <f t="shared" si="39"/>
        <v>0</v>
      </c>
      <c r="M1153" s="381" t="s">
        <v>5155</v>
      </c>
      <c r="AF1153" s="84"/>
    </row>
    <row r="1154" spans="1:32" s="185" customFormat="1" ht="14.25" customHeight="1" thickBot="1">
      <c r="A1154" s="353">
        <v>28114</v>
      </c>
      <c r="B1154" s="194" t="s">
        <v>1803</v>
      </c>
      <c r="C1154" s="339">
        <f t="shared" si="38"/>
        <v>50000</v>
      </c>
      <c r="D1154" s="191" t="s">
        <v>624</v>
      </c>
      <c r="E1154" s="189" t="s">
        <v>7207</v>
      </c>
      <c r="F1154" s="507">
        <f>SUMIFS(Controle!$R:$R,Controle!$H:$H,produtos_escape2!$A1154,Controle!$Z:$Z,"1")</f>
        <v>0</v>
      </c>
      <c r="G1154" s="507">
        <f>SUMIFS(Controle!$R:$R,Controle!$H:$H,produtos_escape2!$A1154,Controle!$Z:$Z,"2")</f>
        <v>0</v>
      </c>
      <c r="H1154" s="507">
        <f>SUMIFS(Controle!$R:$R,Controle!$H:$H,produtos_escape2!$A1154,Controle!$Z:$Z,"3")</f>
        <v>0</v>
      </c>
      <c r="I1154" s="507">
        <f>SUMIFS(Controle!$R:$R,Controle!$H:$H,produtos_escape2!$A1154,Controle!$Z:$Z,"4")</f>
        <v>0</v>
      </c>
      <c r="J1154" s="507">
        <f>SUMIFS(Controle!$R:$R,Controle!$H:$H,produtos_escape2!$A1154,Controle!$Z:$Z,"5")</f>
        <v>0</v>
      </c>
      <c r="K1154" s="507">
        <f>SUMIFS(Controle!$R:$R,Controle!$H:$H,produtos_escape2!$A1154,Controle!$Z:$Z,"6")</f>
        <v>0</v>
      </c>
      <c r="L1154" s="507">
        <f t="shared" si="39"/>
        <v>0</v>
      </c>
      <c r="M1154" s="381" t="s">
        <v>5155</v>
      </c>
      <c r="AF1154" s="84"/>
    </row>
    <row r="1155" spans="1:32" s="185" customFormat="1" ht="14.25" customHeight="1" thickBot="1">
      <c r="A1155" s="353">
        <v>28150</v>
      </c>
      <c r="B1155" s="194" t="s">
        <v>3790</v>
      </c>
      <c r="C1155" s="339">
        <f t="shared" si="38"/>
        <v>50000</v>
      </c>
      <c r="D1155" s="196" t="s">
        <v>848</v>
      </c>
      <c r="E1155" s="187" t="s">
        <v>7207</v>
      </c>
      <c r="F1155" s="507">
        <f>SUMIFS(Controle!$R:$R,Controle!$H:$H,produtos_escape2!$A1155,Controle!$Z:$Z,"1")</f>
        <v>0</v>
      </c>
      <c r="G1155" s="507">
        <f>SUMIFS(Controle!$R:$R,Controle!$H:$H,produtos_escape2!$A1155,Controle!$Z:$Z,"2")</f>
        <v>0</v>
      </c>
      <c r="H1155" s="507">
        <f>SUMIFS(Controle!$R:$R,Controle!$H:$H,produtos_escape2!$A1155,Controle!$Z:$Z,"3")</f>
        <v>0</v>
      </c>
      <c r="I1155" s="507">
        <f>SUMIFS(Controle!$R:$R,Controle!$H:$H,produtos_escape2!$A1155,Controle!$Z:$Z,"4")</f>
        <v>0</v>
      </c>
      <c r="J1155" s="507">
        <f>SUMIFS(Controle!$R:$R,Controle!$H:$H,produtos_escape2!$A1155,Controle!$Z:$Z,"5")</f>
        <v>0</v>
      </c>
      <c r="K1155" s="507">
        <f>SUMIFS(Controle!$R:$R,Controle!$H:$H,produtos_escape2!$A1155,Controle!$Z:$Z,"6")</f>
        <v>0</v>
      </c>
      <c r="L1155" s="507">
        <f t="shared" si="39"/>
        <v>0</v>
      </c>
      <c r="M1155" s="381" t="s">
        <v>5156</v>
      </c>
      <c r="AF1155" s="84"/>
    </row>
    <row r="1156" spans="1:32" s="185" customFormat="1" ht="14.25" customHeight="1" thickBot="1">
      <c r="A1156" s="353">
        <v>28156</v>
      </c>
      <c r="B1156" s="194" t="s">
        <v>1102</v>
      </c>
      <c r="C1156" s="339">
        <f t="shared" si="38"/>
        <v>50000</v>
      </c>
      <c r="D1156" s="196" t="s">
        <v>624</v>
      </c>
      <c r="E1156" s="187" t="s">
        <v>7207</v>
      </c>
      <c r="F1156" s="507">
        <f>SUMIFS(Controle!$R:$R,Controle!$H:$H,produtos_escape2!$A1156,Controle!$Z:$Z,"1")</f>
        <v>0</v>
      </c>
      <c r="G1156" s="507">
        <f>SUMIFS(Controle!$R:$R,Controle!$H:$H,produtos_escape2!$A1156,Controle!$Z:$Z,"2")</f>
        <v>0</v>
      </c>
      <c r="H1156" s="507">
        <f>SUMIFS(Controle!$R:$R,Controle!$H:$H,produtos_escape2!$A1156,Controle!$Z:$Z,"3")</f>
        <v>0</v>
      </c>
      <c r="I1156" s="507">
        <f>SUMIFS(Controle!$R:$R,Controle!$H:$H,produtos_escape2!$A1156,Controle!$Z:$Z,"4")</f>
        <v>0</v>
      </c>
      <c r="J1156" s="507">
        <f>SUMIFS(Controle!$R:$R,Controle!$H:$H,produtos_escape2!$A1156,Controle!$Z:$Z,"5")</f>
        <v>0</v>
      </c>
      <c r="K1156" s="507">
        <f>SUMIFS(Controle!$R:$R,Controle!$H:$H,produtos_escape2!$A1156,Controle!$Z:$Z,"6")</f>
        <v>0</v>
      </c>
      <c r="L1156" s="507">
        <f t="shared" si="39"/>
        <v>0</v>
      </c>
      <c r="M1156" s="381" t="s">
        <v>5157</v>
      </c>
      <c r="AF1156" s="84"/>
    </row>
    <row r="1157" spans="1:32" s="185" customFormat="1" ht="14.25" customHeight="1" thickBot="1">
      <c r="A1157" s="353">
        <v>28411</v>
      </c>
      <c r="B1157" s="194" t="s">
        <v>3980</v>
      </c>
      <c r="C1157" s="339">
        <f t="shared" ref="C1157:C1220" si="40">50000-SUM(F1157:K1157)</f>
        <v>50000</v>
      </c>
      <c r="D1157" s="196" t="s">
        <v>624</v>
      </c>
      <c r="E1157" s="187" t="s">
        <v>7207</v>
      </c>
      <c r="F1157" s="507">
        <f>SUMIFS(Controle!$R:$R,Controle!$H:$H,produtos_escape2!$A1157,Controle!$Z:$Z,"1")</f>
        <v>0</v>
      </c>
      <c r="G1157" s="507">
        <f>SUMIFS(Controle!$R:$R,Controle!$H:$H,produtos_escape2!$A1157,Controle!$Z:$Z,"2")</f>
        <v>0</v>
      </c>
      <c r="H1157" s="507">
        <f>SUMIFS(Controle!$R:$R,Controle!$H:$H,produtos_escape2!$A1157,Controle!$Z:$Z,"3")</f>
        <v>0</v>
      </c>
      <c r="I1157" s="507">
        <f>SUMIFS(Controle!$R:$R,Controle!$H:$H,produtos_escape2!$A1157,Controle!$Z:$Z,"4")</f>
        <v>0</v>
      </c>
      <c r="J1157" s="507">
        <f>SUMIFS(Controle!$R:$R,Controle!$H:$H,produtos_escape2!$A1157,Controle!$Z:$Z,"5")</f>
        <v>0</v>
      </c>
      <c r="K1157" s="507">
        <f>SUMIFS(Controle!$R:$R,Controle!$H:$H,produtos_escape2!$A1157,Controle!$Z:$Z,"6")</f>
        <v>0</v>
      </c>
      <c r="L1157" s="507">
        <f t="shared" si="39"/>
        <v>0</v>
      </c>
      <c r="M1157" s="381" t="s">
        <v>5158</v>
      </c>
      <c r="AF1157" s="84"/>
    </row>
    <row r="1158" spans="1:32" s="185" customFormat="1" ht="14.25" customHeight="1" thickBot="1">
      <c r="A1158" s="333">
        <v>28415</v>
      </c>
      <c r="B1158" s="338" t="s">
        <v>909</v>
      </c>
      <c r="C1158" s="339">
        <f t="shared" si="40"/>
        <v>50000</v>
      </c>
      <c r="D1158" s="196" t="s">
        <v>624</v>
      </c>
      <c r="E1158" s="187" t="s">
        <v>1739</v>
      </c>
      <c r="F1158" s="507">
        <f>SUMIFS(Controle!$R:$R,Controle!$H:$H,produtos_escape2!$A1158,Controle!$Z:$Z,"1")</f>
        <v>0</v>
      </c>
      <c r="G1158" s="507">
        <f>SUMIFS(Controle!$R:$R,Controle!$H:$H,produtos_escape2!$A1158,Controle!$Z:$Z,"2")</f>
        <v>0</v>
      </c>
      <c r="H1158" s="507">
        <f>SUMIFS(Controle!$R:$R,Controle!$H:$H,produtos_escape2!$A1158,Controle!$Z:$Z,"3")</f>
        <v>0</v>
      </c>
      <c r="I1158" s="507">
        <f>SUMIFS(Controle!$R:$R,Controle!$H:$H,produtos_escape2!$A1158,Controle!$Z:$Z,"4")</f>
        <v>0</v>
      </c>
      <c r="J1158" s="507">
        <f>SUMIFS(Controle!$R:$R,Controle!$H:$H,produtos_escape2!$A1158,Controle!$Z:$Z,"5")</f>
        <v>0</v>
      </c>
      <c r="K1158" s="507">
        <f>SUMIFS(Controle!$R:$R,Controle!$H:$H,produtos_escape2!$A1158,Controle!$Z:$Z,"6")</f>
        <v>0</v>
      </c>
      <c r="L1158" s="507">
        <f t="shared" si="39"/>
        <v>0</v>
      </c>
      <c r="M1158" s="381" t="s">
        <v>5159</v>
      </c>
      <c r="AF1158" s="84"/>
    </row>
    <row r="1159" spans="1:32" s="185" customFormat="1" ht="14.25" customHeight="1" thickBot="1">
      <c r="A1159" s="353">
        <v>28476</v>
      </c>
      <c r="B1159" s="194" t="s">
        <v>9390</v>
      </c>
      <c r="C1159" s="339">
        <f t="shared" si="40"/>
        <v>50000</v>
      </c>
      <c r="D1159" s="196" t="s">
        <v>624</v>
      </c>
      <c r="E1159" s="187" t="s">
        <v>1687</v>
      </c>
      <c r="F1159" s="507">
        <f>SUMIFS(Controle!$R:$R,Controle!$H:$H,produtos_escape2!$A1159,Controle!$Z:$Z,"1")</f>
        <v>0</v>
      </c>
      <c r="G1159" s="507">
        <f>SUMIFS(Controle!$R:$R,Controle!$H:$H,produtos_escape2!$A1159,Controle!$Z:$Z,"2")</f>
        <v>0</v>
      </c>
      <c r="H1159" s="507">
        <f>SUMIFS(Controle!$R:$R,Controle!$H:$H,produtos_escape2!$A1159,Controle!$Z:$Z,"3")</f>
        <v>0</v>
      </c>
      <c r="I1159" s="507">
        <f>SUMIFS(Controle!$R:$R,Controle!$H:$H,produtos_escape2!$A1159,Controle!$Z:$Z,"4")</f>
        <v>0</v>
      </c>
      <c r="J1159" s="507">
        <f>SUMIFS(Controle!$R:$R,Controle!$H:$H,produtos_escape2!$A1159,Controle!$Z:$Z,"5")</f>
        <v>0</v>
      </c>
      <c r="K1159" s="507">
        <f>SUMIFS(Controle!$R:$R,Controle!$H:$H,produtos_escape2!$A1159,Controle!$Z:$Z,"6")</f>
        <v>0</v>
      </c>
      <c r="L1159" s="507">
        <f t="shared" si="39"/>
        <v>0</v>
      </c>
      <c r="M1159" s="381" t="s">
        <v>9391</v>
      </c>
      <c r="AF1159" s="84"/>
    </row>
    <row r="1160" spans="1:32" s="185" customFormat="1" ht="14.25" customHeight="1" thickBot="1">
      <c r="A1160" s="353">
        <v>28477</v>
      </c>
      <c r="B1160" s="194" t="s">
        <v>3653</v>
      </c>
      <c r="C1160" s="339">
        <f t="shared" si="40"/>
        <v>49860</v>
      </c>
      <c r="D1160" s="196" t="s">
        <v>837</v>
      </c>
      <c r="E1160" s="187" t="s">
        <v>7207</v>
      </c>
      <c r="F1160" s="507">
        <f>SUMIFS(Controle!$R:$R,Controle!$H:$H,produtos_escape2!$A1160,Controle!$Z:$Z,"1")</f>
        <v>0</v>
      </c>
      <c r="G1160" s="507">
        <f>SUMIFS(Controle!$R:$R,Controle!$H:$H,produtos_escape2!$A1160,Controle!$Z:$Z,"2")</f>
        <v>0</v>
      </c>
      <c r="H1160" s="507">
        <f>SUMIFS(Controle!$R:$R,Controle!$H:$H,produtos_escape2!$A1160,Controle!$Z:$Z,"3")</f>
        <v>0</v>
      </c>
      <c r="I1160" s="507">
        <f>SUMIFS(Controle!$R:$R,Controle!$H:$H,produtos_escape2!$A1160,Controle!$Z:$Z,"4")</f>
        <v>0</v>
      </c>
      <c r="J1160" s="507">
        <f>SUMIFS(Controle!$R:$R,Controle!$H:$H,produtos_escape2!$A1160,Controle!$Z:$Z,"5")</f>
        <v>0</v>
      </c>
      <c r="K1160" s="507">
        <f>SUMIFS(Controle!$R:$R,Controle!$H:$H,produtos_escape2!$A1160,Controle!$Z:$Z,"6")</f>
        <v>140</v>
      </c>
      <c r="L1160" s="507">
        <f t="shared" si="39"/>
        <v>140</v>
      </c>
      <c r="M1160" s="381" t="s">
        <v>3653</v>
      </c>
      <c r="AF1160" s="84"/>
    </row>
    <row r="1161" spans="1:32" s="185" customFormat="1" ht="14.25" customHeight="1" thickBot="1">
      <c r="A1161" s="353">
        <v>28489</v>
      </c>
      <c r="B1161" s="194" t="s">
        <v>5866</v>
      </c>
      <c r="C1161" s="339">
        <f t="shared" si="40"/>
        <v>50000</v>
      </c>
      <c r="D1161" s="196" t="s">
        <v>1726</v>
      </c>
      <c r="E1161" s="187" t="s">
        <v>3608</v>
      </c>
      <c r="F1161" s="507">
        <f>SUMIFS(Controle!$R:$R,Controle!$H:$H,produtos_escape2!$A1161,Controle!$Z:$Z,"1")</f>
        <v>0</v>
      </c>
      <c r="G1161" s="507">
        <f>SUMIFS(Controle!$R:$R,Controle!$H:$H,produtos_escape2!$A1161,Controle!$Z:$Z,"2")</f>
        <v>0</v>
      </c>
      <c r="H1161" s="507">
        <f>SUMIFS(Controle!$R:$R,Controle!$H:$H,produtos_escape2!$A1161,Controle!$Z:$Z,"3")</f>
        <v>0</v>
      </c>
      <c r="I1161" s="507">
        <f>SUMIFS(Controle!$R:$R,Controle!$H:$H,produtos_escape2!$A1161,Controle!$Z:$Z,"4")</f>
        <v>0</v>
      </c>
      <c r="J1161" s="507">
        <f>SUMIFS(Controle!$R:$R,Controle!$H:$H,produtos_escape2!$A1161,Controle!$Z:$Z,"5")</f>
        <v>0</v>
      </c>
      <c r="K1161" s="507">
        <f>SUMIFS(Controle!$R:$R,Controle!$H:$H,produtos_escape2!$A1161,Controle!$Z:$Z,"6")</f>
        <v>0</v>
      </c>
      <c r="L1161" s="507">
        <f t="shared" si="39"/>
        <v>0</v>
      </c>
      <c r="M1161" s="381" t="s">
        <v>6878</v>
      </c>
      <c r="AF1161" s="84"/>
    </row>
    <row r="1162" spans="1:32" s="185" customFormat="1" ht="14.25" customHeight="1" thickBot="1">
      <c r="A1162" s="353">
        <v>28490</v>
      </c>
      <c r="B1162" s="194">
        <v>31334</v>
      </c>
      <c r="C1162" s="339">
        <f t="shared" si="40"/>
        <v>50000</v>
      </c>
      <c r="D1162" s="196" t="s">
        <v>1726</v>
      </c>
      <c r="E1162" s="187" t="s">
        <v>3608</v>
      </c>
      <c r="F1162" s="507">
        <f>SUMIFS(Controle!$R:$R,Controle!$H:$H,produtos_escape2!$A1162,Controle!$Z:$Z,"1")</f>
        <v>0</v>
      </c>
      <c r="G1162" s="507">
        <f>SUMIFS(Controle!$R:$R,Controle!$H:$H,produtos_escape2!$A1162,Controle!$Z:$Z,"2")</f>
        <v>0</v>
      </c>
      <c r="H1162" s="507">
        <f>SUMIFS(Controle!$R:$R,Controle!$H:$H,produtos_escape2!$A1162,Controle!$Z:$Z,"3")</f>
        <v>0</v>
      </c>
      <c r="I1162" s="507">
        <f>SUMIFS(Controle!$R:$R,Controle!$H:$H,produtos_escape2!$A1162,Controle!$Z:$Z,"4")</f>
        <v>0</v>
      </c>
      <c r="J1162" s="507">
        <f>SUMIFS(Controle!$R:$R,Controle!$H:$H,produtos_escape2!$A1162,Controle!$Z:$Z,"5")</f>
        <v>0</v>
      </c>
      <c r="K1162" s="507">
        <f>SUMIFS(Controle!$R:$R,Controle!$H:$H,produtos_escape2!$A1162,Controle!$Z:$Z,"6")</f>
        <v>0</v>
      </c>
      <c r="L1162" s="507">
        <f t="shared" si="39"/>
        <v>0</v>
      </c>
      <c r="M1162" s="381" t="s">
        <v>6878</v>
      </c>
      <c r="AF1162" s="84"/>
    </row>
    <row r="1163" spans="1:32" s="185" customFormat="1" ht="14.25" customHeight="1" thickBot="1">
      <c r="A1163" s="353">
        <v>28491</v>
      </c>
      <c r="B1163" s="194" t="s">
        <v>5867</v>
      </c>
      <c r="C1163" s="339">
        <f t="shared" si="40"/>
        <v>50000</v>
      </c>
      <c r="D1163" s="196" t="s">
        <v>1726</v>
      </c>
      <c r="E1163" s="187" t="s">
        <v>3608</v>
      </c>
      <c r="F1163" s="507">
        <f>SUMIFS(Controle!$R:$R,Controle!$H:$H,produtos_escape2!$A1163,Controle!$Z:$Z,"1")</f>
        <v>0</v>
      </c>
      <c r="G1163" s="507">
        <f>SUMIFS(Controle!$R:$R,Controle!$H:$H,produtos_escape2!$A1163,Controle!$Z:$Z,"2")</f>
        <v>0</v>
      </c>
      <c r="H1163" s="507">
        <f>SUMIFS(Controle!$R:$R,Controle!$H:$H,produtos_escape2!$A1163,Controle!$Z:$Z,"3")</f>
        <v>0</v>
      </c>
      <c r="I1163" s="507">
        <f>SUMIFS(Controle!$R:$R,Controle!$H:$H,produtos_escape2!$A1163,Controle!$Z:$Z,"4")</f>
        <v>0</v>
      </c>
      <c r="J1163" s="507">
        <f>SUMIFS(Controle!$R:$R,Controle!$H:$H,produtos_escape2!$A1163,Controle!$Z:$Z,"5")</f>
        <v>0</v>
      </c>
      <c r="K1163" s="507">
        <f>SUMIFS(Controle!$R:$R,Controle!$H:$H,produtos_escape2!$A1163,Controle!$Z:$Z,"6")</f>
        <v>0</v>
      </c>
      <c r="L1163" s="507">
        <f t="shared" si="39"/>
        <v>0</v>
      </c>
      <c r="M1163" s="381" t="s">
        <v>6878</v>
      </c>
      <c r="AF1163" s="84"/>
    </row>
    <row r="1164" spans="1:32" s="185" customFormat="1" ht="14.25" customHeight="1" thickBot="1">
      <c r="A1164" s="353">
        <v>28681</v>
      </c>
      <c r="B1164" s="194" t="s">
        <v>2643</v>
      </c>
      <c r="C1164" s="339">
        <f t="shared" si="40"/>
        <v>50000</v>
      </c>
      <c r="D1164" s="196" t="s">
        <v>624</v>
      </c>
      <c r="E1164" s="187" t="s">
        <v>7207</v>
      </c>
      <c r="F1164" s="507">
        <f>SUMIFS(Controle!$R:$R,Controle!$H:$H,produtos_escape2!$A1164,Controle!$Z:$Z,"1")</f>
        <v>0</v>
      </c>
      <c r="G1164" s="507">
        <f>SUMIFS(Controle!$R:$R,Controle!$H:$H,produtos_escape2!$A1164,Controle!$Z:$Z,"2")</f>
        <v>0</v>
      </c>
      <c r="H1164" s="507">
        <f>SUMIFS(Controle!$R:$R,Controle!$H:$H,produtos_escape2!$A1164,Controle!$Z:$Z,"3")</f>
        <v>0</v>
      </c>
      <c r="I1164" s="507">
        <f>SUMIFS(Controle!$R:$R,Controle!$H:$H,produtos_escape2!$A1164,Controle!$Z:$Z,"4")</f>
        <v>0</v>
      </c>
      <c r="J1164" s="507">
        <f>SUMIFS(Controle!$R:$R,Controle!$H:$H,produtos_escape2!$A1164,Controle!$Z:$Z,"5")</f>
        <v>0</v>
      </c>
      <c r="K1164" s="507">
        <f>SUMIFS(Controle!$R:$R,Controle!$H:$H,produtos_escape2!$A1164,Controle!$Z:$Z,"6")</f>
        <v>0</v>
      </c>
      <c r="L1164" s="507">
        <f t="shared" si="39"/>
        <v>0</v>
      </c>
      <c r="M1164" s="381" t="s">
        <v>5160</v>
      </c>
      <c r="AF1164" s="84"/>
    </row>
    <row r="1165" spans="1:32" s="185" customFormat="1" ht="14.25" customHeight="1" thickBot="1">
      <c r="A1165" s="353">
        <v>28733</v>
      </c>
      <c r="B1165" s="194" t="s">
        <v>1540</v>
      </c>
      <c r="C1165" s="339">
        <f t="shared" si="40"/>
        <v>50000</v>
      </c>
      <c r="D1165" s="196" t="s">
        <v>624</v>
      </c>
      <c r="E1165" s="187" t="s">
        <v>3608</v>
      </c>
      <c r="F1165" s="507">
        <f>SUMIFS(Controle!$R:$R,Controle!$H:$H,produtos_escape2!$A1165,Controle!$Z:$Z,"1")</f>
        <v>0</v>
      </c>
      <c r="G1165" s="507">
        <f>SUMIFS(Controle!$R:$R,Controle!$H:$H,produtos_escape2!$A1165,Controle!$Z:$Z,"2")</f>
        <v>0</v>
      </c>
      <c r="H1165" s="507">
        <f>SUMIFS(Controle!$R:$R,Controle!$H:$H,produtos_escape2!$A1165,Controle!$Z:$Z,"3")</f>
        <v>0</v>
      </c>
      <c r="I1165" s="507">
        <f>SUMIFS(Controle!$R:$R,Controle!$H:$H,produtos_escape2!$A1165,Controle!$Z:$Z,"4")</f>
        <v>0</v>
      </c>
      <c r="J1165" s="507">
        <f>SUMIFS(Controle!$R:$R,Controle!$H:$H,produtos_escape2!$A1165,Controle!$Z:$Z,"5")</f>
        <v>0</v>
      </c>
      <c r="K1165" s="507">
        <f>SUMIFS(Controle!$R:$R,Controle!$H:$H,produtos_escape2!$A1165,Controle!$Z:$Z,"6")</f>
        <v>0</v>
      </c>
      <c r="L1165" s="507">
        <f t="shared" si="39"/>
        <v>0</v>
      </c>
      <c r="M1165" s="381" t="s">
        <v>5161</v>
      </c>
      <c r="AF1165" s="84"/>
    </row>
    <row r="1166" spans="1:32" s="185" customFormat="1" ht="14.25" customHeight="1" thickBot="1">
      <c r="A1166" s="353">
        <v>28734</v>
      </c>
      <c r="B1166" s="194" t="s">
        <v>1541</v>
      </c>
      <c r="C1166" s="339">
        <f t="shared" si="40"/>
        <v>50000</v>
      </c>
      <c r="D1166" s="196" t="s">
        <v>624</v>
      </c>
      <c r="E1166" s="187" t="s">
        <v>3608</v>
      </c>
      <c r="F1166" s="507">
        <f>SUMIFS(Controle!$R:$R,Controle!$H:$H,produtos_escape2!$A1166,Controle!$Z:$Z,"1")</f>
        <v>0</v>
      </c>
      <c r="G1166" s="507">
        <f>SUMIFS(Controle!$R:$R,Controle!$H:$H,produtos_escape2!$A1166,Controle!$Z:$Z,"2")</f>
        <v>0</v>
      </c>
      <c r="H1166" s="507">
        <f>SUMIFS(Controle!$R:$R,Controle!$H:$H,produtos_escape2!$A1166,Controle!$Z:$Z,"3")</f>
        <v>0</v>
      </c>
      <c r="I1166" s="507">
        <f>SUMIFS(Controle!$R:$R,Controle!$H:$H,produtos_escape2!$A1166,Controle!$Z:$Z,"4")</f>
        <v>0</v>
      </c>
      <c r="J1166" s="507">
        <f>SUMIFS(Controle!$R:$R,Controle!$H:$H,produtos_escape2!$A1166,Controle!$Z:$Z,"5")</f>
        <v>0</v>
      </c>
      <c r="K1166" s="507">
        <f>SUMIFS(Controle!$R:$R,Controle!$H:$H,produtos_escape2!$A1166,Controle!$Z:$Z,"6")</f>
        <v>0</v>
      </c>
      <c r="L1166" s="507">
        <f t="shared" si="39"/>
        <v>0</v>
      </c>
      <c r="M1166" s="381" t="s">
        <v>5162</v>
      </c>
      <c r="AF1166" s="84"/>
    </row>
    <row r="1167" spans="1:32" s="185" customFormat="1" ht="14.25" customHeight="1" thickBot="1">
      <c r="A1167" s="333">
        <v>28745</v>
      </c>
      <c r="B1167" s="194" t="s">
        <v>9057</v>
      </c>
      <c r="C1167" s="339">
        <f t="shared" si="40"/>
        <v>47800</v>
      </c>
      <c r="D1167" s="191" t="s">
        <v>624</v>
      </c>
      <c r="E1167" s="189" t="s">
        <v>7207</v>
      </c>
      <c r="F1167" s="507">
        <f>SUMIFS(Controle!$R:$R,Controle!$H:$H,produtos_escape2!$A1167,Controle!$Z:$Z,"1")</f>
        <v>0</v>
      </c>
      <c r="G1167" s="507">
        <f>SUMIFS(Controle!$R:$R,Controle!$H:$H,produtos_escape2!$A1167,Controle!$Z:$Z,"2")</f>
        <v>0</v>
      </c>
      <c r="H1167" s="507">
        <f>SUMIFS(Controle!$R:$R,Controle!$H:$H,produtos_escape2!$A1167,Controle!$Z:$Z,"3")</f>
        <v>0</v>
      </c>
      <c r="I1167" s="507">
        <f>SUMIFS(Controle!$R:$R,Controle!$H:$H,produtos_escape2!$A1167,Controle!$Z:$Z,"4")</f>
        <v>2200</v>
      </c>
      <c r="J1167" s="507">
        <f>SUMIFS(Controle!$R:$R,Controle!$H:$H,produtos_escape2!$A1167,Controle!$Z:$Z,"5")</f>
        <v>0</v>
      </c>
      <c r="K1167" s="507">
        <f>SUMIFS(Controle!$R:$R,Controle!$H:$H,produtos_escape2!$A1167,Controle!$Z:$Z,"6")</f>
        <v>0</v>
      </c>
      <c r="L1167" s="507">
        <f t="shared" si="39"/>
        <v>2200</v>
      </c>
      <c r="M1167" s="381" t="s">
        <v>9055</v>
      </c>
      <c r="AF1167" s="84"/>
    </row>
    <row r="1168" spans="1:32" s="185" customFormat="1" ht="14.25" customHeight="1" thickBot="1">
      <c r="A1168" s="333">
        <v>28749</v>
      </c>
      <c r="B1168" s="194" t="s">
        <v>9056</v>
      </c>
      <c r="C1168" s="339">
        <f t="shared" si="40"/>
        <v>47800</v>
      </c>
      <c r="D1168" s="191" t="s">
        <v>624</v>
      </c>
      <c r="E1168" s="189" t="s">
        <v>7207</v>
      </c>
      <c r="F1168" s="507">
        <f>SUMIFS(Controle!$R:$R,Controle!$H:$H,produtos_escape2!$A1168,Controle!$Z:$Z,"1")</f>
        <v>0</v>
      </c>
      <c r="G1168" s="507">
        <f>SUMIFS(Controle!$R:$R,Controle!$H:$H,produtos_escape2!$A1168,Controle!$Z:$Z,"2")</f>
        <v>0</v>
      </c>
      <c r="H1168" s="507">
        <f>SUMIFS(Controle!$R:$R,Controle!$H:$H,produtos_escape2!$A1168,Controle!$Z:$Z,"3")</f>
        <v>0</v>
      </c>
      <c r="I1168" s="507">
        <f>SUMIFS(Controle!$R:$R,Controle!$H:$H,produtos_escape2!$A1168,Controle!$Z:$Z,"4")</f>
        <v>2200</v>
      </c>
      <c r="J1168" s="507">
        <f>SUMIFS(Controle!$R:$R,Controle!$H:$H,produtos_escape2!$A1168,Controle!$Z:$Z,"5")</f>
        <v>0</v>
      </c>
      <c r="K1168" s="507">
        <f>SUMIFS(Controle!$R:$R,Controle!$H:$H,produtos_escape2!$A1168,Controle!$Z:$Z,"6")</f>
        <v>0</v>
      </c>
      <c r="L1168" s="507">
        <f t="shared" si="39"/>
        <v>2200</v>
      </c>
      <c r="M1168" s="381" t="s">
        <v>9055</v>
      </c>
      <c r="AF1168" s="84"/>
    </row>
    <row r="1169" spans="1:32" s="185" customFormat="1" ht="14.25" customHeight="1" thickBot="1">
      <c r="A1169" s="333">
        <v>28752</v>
      </c>
      <c r="B1169" s="194" t="s">
        <v>3080</v>
      </c>
      <c r="C1169" s="339">
        <f t="shared" si="40"/>
        <v>50000</v>
      </c>
      <c r="D1169" s="191" t="s">
        <v>624</v>
      </c>
      <c r="E1169" s="189" t="s">
        <v>7207</v>
      </c>
      <c r="F1169" s="507">
        <f>SUMIFS(Controle!$R:$R,Controle!$H:$H,produtos_escape2!$A1169,Controle!$Z:$Z,"1")</f>
        <v>0</v>
      </c>
      <c r="G1169" s="507">
        <f>SUMIFS(Controle!$R:$R,Controle!$H:$H,produtos_escape2!$A1169,Controle!$Z:$Z,"2")</f>
        <v>0</v>
      </c>
      <c r="H1169" s="507">
        <f>SUMIFS(Controle!$R:$R,Controle!$H:$H,produtos_escape2!$A1169,Controle!$Z:$Z,"3")</f>
        <v>0</v>
      </c>
      <c r="I1169" s="507">
        <f>SUMIFS(Controle!$R:$R,Controle!$H:$H,produtos_escape2!$A1169,Controle!$Z:$Z,"4")</f>
        <v>0</v>
      </c>
      <c r="J1169" s="507">
        <f>SUMIFS(Controle!$R:$R,Controle!$H:$H,produtos_escape2!$A1169,Controle!$Z:$Z,"5")</f>
        <v>0</v>
      </c>
      <c r="K1169" s="507">
        <f>SUMIFS(Controle!$R:$R,Controle!$H:$H,produtos_escape2!$A1169,Controle!$Z:$Z,"6")</f>
        <v>0</v>
      </c>
      <c r="L1169" s="507">
        <f t="shared" si="39"/>
        <v>0</v>
      </c>
      <c r="M1169" s="381" t="s">
        <v>4784</v>
      </c>
      <c r="AF1169" s="84"/>
    </row>
    <row r="1170" spans="1:32" s="185" customFormat="1" ht="14.25" customHeight="1" thickBot="1">
      <c r="A1170" s="353">
        <v>28772</v>
      </c>
      <c r="B1170" s="194" t="s">
        <v>4242</v>
      </c>
      <c r="C1170" s="339">
        <f t="shared" si="40"/>
        <v>49838.61</v>
      </c>
      <c r="D1170" s="196" t="s">
        <v>830</v>
      </c>
      <c r="E1170" s="189" t="s">
        <v>7207</v>
      </c>
      <c r="F1170" s="507">
        <f>SUMIFS(Controle!$R:$R,Controle!$H:$H,produtos_escape2!$A1170,Controle!$Z:$Z,"1")</f>
        <v>0</v>
      </c>
      <c r="G1170" s="507">
        <f>SUMIFS(Controle!$R:$R,Controle!$H:$H,produtos_escape2!$A1170,Controle!$Z:$Z,"2")</f>
        <v>0</v>
      </c>
      <c r="H1170" s="507">
        <f>SUMIFS(Controle!$R:$R,Controle!$H:$H,produtos_escape2!$A1170,Controle!$Z:$Z,"3")</f>
        <v>0</v>
      </c>
      <c r="I1170" s="507">
        <f>SUMIFS(Controle!$R:$R,Controle!$H:$H,produtos_escape2!$A1170,Controle!$Z:$Z,"4")</f>
        <v>0</v>
      </c>
      <c r="J1170" s="507">
        <f>SUMIFS(Controle!$R:$R,Controle!$H:$H,produtos_escape2!$A1170,Controle!$Z:$Z,"5")</f>
        <v>91.39</v>
      </c>
      <c r="K1170" s="507">
        <f>SUMIFS(Controle!$R:$R,Controle!$H:$H,produtos_escape2!$A1170,Controle!$Z:$Z,"6")</f>
        <v>70</v>
      </c>
      <c r="L1170" s="507">
        <f t="shared" si="39"/>
        <v>161.38999999999999</v>
      </c>
      <c r="M1170" s="381" t="s">
        <v>5163</v>
      </c>
      <c r="AF1170" s="84"/>
    </row>
    <row r="1171" spans="1:32" s="185" customFormat="1" ht="14.25" customHeight="1" thickBot="1">
      <c r="A1171" s="353">
        <v>28813</v>
      </c>
      <c r="B1171" s="194" t="s">
        <v>3408</v>
      </c>
      <c r="C1171" s="339">
        <f t="shared" si="40"/>
        <v>50000</v>
      </c>
      <c r="D1171" s="191" t="s">
        <v>624</v>
      </c>
      <c r="E1171" s="189" t="s">
        <v>3608</v>
      </c>
      <c r="F1171" s="507">
        <f>SUMIFS(Controle!$R:$R,Controle!$H:$H,produtos_escape2!$A1171,Controle!$Z:$Z,"1")</f>
        <v>0</v>
      </c>
      <c r="G1171" s="507">
        <f>SUMIFS(Controle!$R:$R,Controle!$H:$H,produtos_escape2!$A1171,Controle!$Z:$Z,"2")</f>
        <v>0</v>
      </c>
      <c r="H1171" s="507">
        <f>SUMIFS(Controle!$R:$R,Controle!$H:$H,produtos_escape2!$A1171,Controle!$Z:$Z,"3")</f>
        <v>0</v>
      </c>
      <c r="I1171" s="507">
        <f>SUMIFS(Controle!$R:$R,Controle!$H:$H,produtos_escape2!$A1171,Controle!$Z:$Z,"4")</f>
        <v>0</v>
      </c>
      <c r="J1171" s="507">
        <f>SUMIFS(Controle!$R:$R,Controle!$H:$H,produtos_escape2!$A1171,Controle!$Z:$Z,"5")</f>
        <v>0</v>
      </c>
      <c r="K1171" s="507">
        <f>SUMIFS(Controle!$R:$R,Controle!$H:$H,produtos_escape2!$A1171,Controle!$Z:$Z,"6")</f>
        <v>0</v>
      </c>
      <c r="L1171" s="507">
        <f t="shared" si="39"/>
        <v>0</v>
      </c>
      <c r="M1171" s="381" t="s">
        <v>3408</v>
      </c>
      <c r="AF1171" s="84"/>
    </row>
    <row r="1172" spans="1:32" s="185" customFormat="1" ht="14.25" customHeight="1" thickBot="1">
      <c r="A1172" s="353">
        <v>28815</v>
      </c>
      <c r="B1172" s="338" t="s">
        <v>3061</v>
      </c>
      <c r="C1172" s="339">
        <f t="shared" si="40"/>
        <v>50000</v>
      </c>
      <c r="D1172" s="191" t="s">
        <v>624</v>
      </c>
      <c r="E1172" s="189" t="s">
        <v>3608</v>
      </c>
      <c r="F1172" s="507">
        <f>SUMIFS(Controle!$R:$R,Controle!$H:$H,produtos_escape2!$A1172,Controle!$Z:$Z,"1")</f>
        <v>0</v>
      </c>
      <c r="G1172" s="507">
        <f>SUMIFS(Controle!$R:$R,Controle!$H:$H,produtos_escape2!$A1172,Controle!$Z:$Z,"2")</f>
        <v>0</v>
      </c>
      <c r="H1172" s="507">
        <f>SUMIFS(Controle!$R:$R,Controle!$H:$H,produtos_escape2!$A1172,Controle!$Z:$Z,"3")</f>
        <v>0</v>
      </c>
      <c r="I1172" s="507">
        <f>SUMIFS(Controle!$R:$R,Controle!$H:$H,produtos_escape2!$A1172,Controle!$Z:$Z,"4")</f>
        <v>0</v>
      </c>
      <c r="J1172" s="507">
        <f>SUMIFS(Controle!$R:$R,Controle!$H:$H,produtos_escape2!$A1172,Controle!$Z:$Z,"5")</f>
        <v>0</v>
      </c>
      <c r="K1172" s="507">
        <f>SUMIFS(Controle!$R:$R,Controle!$H:$H,produtos_escape2!$A1172,Controle!$Z:$Z,"6")</f>
        <v>0</v>
      </c>
      <c r="L1172" s="507">
        <f t="shared" si="39"/>
        <v>0</v>
      </c>
      <c r="M1172" s="381" t="s">
        <v>3061</v>
      </c>
      <c r="AF1172" s="84"/>
    </row>
    <row r="1173" spans="1:32" s="185" customFormat="1" ht="14.25" customHeight="1" thickBot="1">
      <c r="A1173" s="353">
        <v>28860</v>
      </c>
      <c r="B1173" s="194" t="s">
        <v>5842</v>
      </c>
      <c r="C1173" s="339">
        <f t="shared" si="40"/>
        <v>50000</v>
      </c>
      <c r="D1173" s="191" t="s">
        <v>624</v>
      </c>
      <c r="E1173" s="189" t="s">
        <v>7207</v>
      </c>
      <c r="F1173" s="507">
        <f>SUMIFS(Controle!$R:$R,Controle!$H:$H,produtos_escape2!$A1173,Controle!$Z:$Z,"1")</f>
        <v>0</v>
      </c>
      <c r="G1173" s="507">
        <f>SUMIFS(Controle!$R:$R,Controle!$H:$H,produtos_escape2!$A1173,Controle!$Z:$Z,"2")</f>
        <v>0</v>
      </c>
      <c r="H1173" s="507">
        <f>SUMIFS(Controle!$R:$R,Controle!$H:$H,produtos_escape2!$A1173,Controle!$Z:$Z,"3")</f>
        <v>0</v>
      </c>
      <c r="I1173" s="507">
        <f>SUMIFS(Controle!$R:$R,Controle!$H:$H,produtos_escape2!$A1173,Controle!$Z:$Z,"4")</f>
        <v>0</v>
      </c>
      <c r="J1173" s="507">
        <f>SUMIFS(Controle!$R:$R,Controle!$H:$H,produtos_escape2!$A1173,Controle!$Z:$Z,"5")</f>
        <v>0</v>
      </c>
      <c r="K1173" s="507">
        <f>SUMIFS(Controle!$R:$R,Controle!$H:$H,produtos_escape2!$A1173,Controle!$Z:$Z,"6")</f>
        <v>0</v>
      </c>
      <c r="L1173" s="507">
        <f t="shared" si="39"/>
        <v>0</v>
      </c>
      <c r="M1173" s="381" t="s">
        <v>5803</v>
      </c>
      <c r="AF1173" s="84"/>
    </row>
    <row r="1174" spans="1:32" s="185" customFormat="1" ht="14.25" customHeight="1" thickBot="1">
      <c r="A1174" s="353">
        <v>28862</v>
      </c>
      <c r="B1174" s="194" t="s">
        <v>4458</v>
      </c>
      <c r="C1174" s="339">
        <f t="shared" si="40"/>
        <v>50000</v>
      </c>
      <c r="D1174" s="191" t="s">
        <v>624</v>
      </c>
      <c r="E1174" s="189" t="s">
        <v>7207</v>
      </c>
      <c r="F1174" s="507">
        <f>SUMIFS(Controle!$R:$R,Controle!$H:$H,produtos_escape2!$A1174,Controle!$Z:$Z,"1")</f>
        <v>0</v>
      </c>
      <c r="G1174" s="507">
        <f>SUMIFS(Controle!$R:$R,Controle!$H:$H,produtos_escape2!$A1174,Controle!$Z:$Z,"2")</f>
        <v>0</v>
      </c>
      <c r="H1174" s="507">
        <f>SUMIFS(Controle!$R:$R,Controle!$H:$H,produtos_escape2!$A1174,Controle!$Z:$Z,"3")</f>
        <v>0</v>
      </c>
      <c r="I1174" s="507">
        <f>SUMIFS(Controle!$R:$R,Controle!$H:$H,produtos_escape2!$A1174,Controle!$Z:$Z,"4")</f>
        <v>0</v>
      </c>
      <c r="J1174" s="507">
        <f>SUMIFS(Controle!$R:$R,Controle!$H:$H,produtos_escape2!$A1174,Controle!$Z:$Z,"5")</f>
        <v>0</v>
      </c>
      <c r="K1174" s="507">
        <f>SUMIFS(Controle!$R:$R,Controle!$H:$H,produtos_escape2!$A1174,Controle!$Z:$Z,"6")</f>
        <v>0</v>
      </c>
      <c r="L1174" s="507">
        <f t="shared" si="39"/>
        <v>0</v>
      </c>
      <c r="M1174" s="381" t="s">
        <v>5164</v>
      </c>
      <c r="AF1174" s="84"/>
    </row>
    <row r="1175" spans="1:32" s="185" customFormat="1" ht="14.25" customHeight="1" thickBot="1">
      <c r="A1175" s="353">
        <v>28908</v>
      </c>
      <c r="B1175" s="194" t="s">
        <v>646</v>
      </c>
      <c r="C1175" s="339">
        <f t="shared" si="40"/>
        <v>50000</v>
      </c>
      <c r="D1175" s="196"/>
      <c r="E1175" s="187" t="s">
        <v>1739</v>
      </c>
      <c r="F1175" s="507">
        <f>SUMIFS(Controle!$R:$R,Controle!$H:$H,produtos_escape2!$A1175,Controle!$Z:$Z,"1")</f>
        <v>0</v>
      </c>
      <c r="G1175" s="507">
        <f>SUMIFS(Controle!$R:$R,Controle!$H:$H,produtos_escape2!$A1175,Controle!$Z:$Z,"2")</f>
        <v>0</v>
      </c>
      <c r="H1175" s="507">
        <f>SUMIFS(Controle!$R:$R,Controle!$H:$H,produtos_escape2!$A1175,Controle!$Z:$Z,"3")</f>
        <v>0</v>
      </c>
      <c r="I1175" s="507">
        <f>SUMIFS(Controle!$R:$R,Controle!$H:$H,produtos_escape2!$A1175,Controle!$Z:$Z,"4")</f>
        <v>0</v>
      </c>
      <c r="J1175" s="507">
        <f>SUMIFS(Controle!$R:$R,Controle!$H:$H,produtos_escape2!$A1175,Controle!$Z:$Z,"5")</f>
        <v>0</v>
      </c>
      <c r="K1175" s="507">
        <f>SUMIFS(Controle!$R:$R,Controle!$H:$H,produtos_escape2!$A1175,Controle!$Z:$Z,"6")</f>
        <v>0</v>
      </c>
      <c r="L1175" s="507">
        <f t="shared" si="39"/>
        <v>0</v>
      </c>
      <c r="M1175" s="381" t="s">
        <v>5165</v>
      </c>
      <c r="AF1175" s="84"/>
    </row>
    <row r="1176" spans="1:32" s="185" customFormat="1" ht="14.25" customHeight="1" thickBot="1">
      <c r="A1176" s="353">
        <v>29085</v>
      </c>
      <c r="B1176" s="194" t="s">
        <v>1766</v>
      </c>
      <c r="C1176" s="339">
        <f t="shared" si="40"/>
        <v>50000</v>
      </c>
      <c r="D1176" s="191" t="s">
        <v>624</v>
      </c>
      <c r="E1176" s="189" t="s">
        <v>7207</v>
      </c>
      <c r="F1176" s="507">
        <f>SUMIFS(Controle!$R:$R,Controle!$H:$H,produtos_escape2!$A1176,Controle!$Z:$Z,"1")</f>
        <v>0</v>
      </c>
      <c r="G1176" s="507">
        <f>SUMIFS(Controle!$R:$R,Controle!$H:$H,produtos_escape2!$A1176,Controle!$Z:$Z,"2")</f>
        <v>0</v>
      </c>
      <c r="H1176" s="507">
        <f>SUMIFS(Controle!$R:$R,Controle!$H:$H,produtos_escape2!$A1176,Controle!$Z:$Z,"3")</f>
        <v>0</v>
      </c>
      <c r="I1176" s="507">
        <f>SUMIFS(Controle!$R:$R,Controle!$H:$H,produtos_escape2!$A1176,Controle!$Z:$Z,"4")</f>
        <v>0</v>
      </c>
      <c r="J1176" s="507">
        <f>SUMIFS(Controle!$R:$R,Controle!$H:$H,produtos_escape2!$A1176,Controle!$Z:$Z,"5")</f>
        <v>0</v>
      </c>
      <c r="K1176" s="507">
        <f>SUMIFS(Controle!$R:$R,Controle!$H:$H,produtos_escape2!$A1176,Controle!$Z:$Z,"6")</f>
        <v>0</v>
      </c>
      <c r="L1176" s="507">
        <f t="shared" si="39"/>
        <v>0</v>
      </c>
      <c r="M1176" s="381" t="s">
        <v>5166</v>
      </c>
      <c r="AF1176" s="84"/>
    </row>
    <row r="1177" spans="1:32" s="185" customFormat="1" ht="14.25" customHeight="1" thickBot="1">
      <c r="A1177" s="333">
        <v>29121</v>
      </c>
      <c r="B1177" s="194" t="s">
        <v>5728</v>
      </c>
      <c r="C1177" s="339">
        <f t="shared" si="40"/>
        <v>50000</v>
      </c>
      <c r="D1177" s="196" t="s">
        <v>896</v>
      </c>
      <c r="E1177" s="187" t="s">
        <v>7207</v>
      </c>
      <c r="F1177" s="507">
        <f>SUMIFS(Controle!$R:$R,Controle!$H:$H,produtos_escape2!$A1177,Controle!$Z:$Z,"1")</f>
        <v>0</v>
      </c>
      <c r="G1177" s="507">
        <f>SUMIFS(Controle!$R:$R,Controle!$H:$H,produtos_escape2!$A1177,Controle!$Z:$Z,"2")</f>
        <v>0</v>
      </c>
      <c r="H1177" s="507">
        <f>SUMIFS(Controle!$R:$R,Controle!$H:$H,produtos_escape2!$A1177,Controle!$Z:$Z,"3")</f>
        <v>0</v>
      </c>
      <c r="I1177" s="507">
        <f>SUMIFS(Controle!$R:$R,Controle!$H:$H,produtos_escape2!$A1177,Controle!$Z:$Z,"4")</f>
        <v>0</v>
      </c>
      <c r="J1177" s="507">
        <f>SUMIFS(Controle!$R:$R,Controle!$H:$H,produtos_escape2!$A1177,Controle!$Z:$Z,"5")</f>
        <v>0</v>
      </c>
      <c r="K1177" s="507">
        <f>SUMIFS(Controle!$R:$R,Controle!$H:$H,produtos_escape2!$A1177,Controle!$Z:$Z,"6")</f>
        <v>0</v>
      </c>
      <c r="L1177" s="507">
        <f t="shared" si="39"/>
        <v>0</v>
      </c>
      <c r="M1177" s="381" t="s">
        <v>4781</v>
      </c>
      <c r="AF1177" s="84"/>
    </row>
    <row r="1178" spans="1:32" s="185" customFormat="1" ht="14.25" customHeight="1" thickBot="1">
      <c r="A1178" s="353">
        <v>29123</v>
      </c>
      <c r="B1178" s="194" t="s">
        <v>2644</v>
      </c>
      <c r="C1178" s="339">
        <f t="shared" si="40"/>
        <v>50000</v>
      </c>
      <c r="D1178" s="196" t="s">
        <v>896</v>
      </c>
      <c r="E1178" s="187" t="s">
        <v>7207</v>
      </c>
      <c r="F1178" s="507">
        <f>SUMIFS(Controle!$R:$R,Controle!$H:$H,produtos_escape2!$A1178,Controle!$Z:$Z,"1")</f>
        <v>0</v>
      </c>
      <c r="G1178" s="507">
        <f>SUMIFS(Controle!$R:$R,Controle!$H:$H,produtos_escape2!$A1178,Controle!$Z:$Z,"2")</f>
        <v>0</v>
      </c>
      <c r="H1178" s="507">
        <f>SUMIFS(Controle!$R:$R,Controle!$H:$H,produtos_escape2!$A1178,Controle!$Z:$Z,"3")</f>
        <v>0</v>
      </c>
      <c r="I1178" s="507">
        <f>SUMIFS(Controle!$R:$R,Controle!$H:$H,produtos_escape2!$A1178,Controle!$Z:$Z,"4")</f>
        <v>0</v>
      </c>
      <c r="J1178" s="507">
        <f>SUMIFS(Controle!$R:$R,Controle!$H:$H,produtos_escape2!$A1178,Controle!$Z:$Z,"5")</f>
        <v>0</v>
      </c>
      <c r="K1178" s="507">
        <f>SUMIFS(Controle!$R:$R,Controle!$H:$H,produtos_escape2!$A1178,Controle!$Z:$Z,"6")</f>
        <v>0</v>
      </c>
      <c r="L1178" s="507">
        <f t="shared" si="39"/>
        <v>0</v>
      </c>
      <c r="M1178" s="381" t="s">
        <v>5167</v>
      </c>
      <c r="AF1178" s="84"/>
    </row>
    <row r="1179" spans="1:32" s="185" customFormat="1" ht="14.25" customHeight="1" thickBot="1">
      <c r="A1179" s="353">
        <v>29124</v>
      </c>
      <c r="B1179" s="194" t="s">
        <v>2645</v>
      </c>
      <c r="C1179" s="339">
        <f t="shared" si="40"/>
        <v>50000</v>
      </c>
      <c r="D1179" s="196" t="s">
        <v>896</v>
      </c>
      <c r="E1179" s="187" t="s">
        <v>7207</v>
      </c>
      <c r="F1179" s="507">
        <f>SUMIFS(Controle!$R:$R,Controle!$H:$H,produtos_escape2!$A1179,Controle!$Z:$Z,"1")</f>
        <v>0</v>
      </c>
      <c r="G1179" s="507">
        <f>SUMIFS(Controle!$R:$R,Controle!$H:$H,produtos_escape2!$A1179,Controle!$Z:$Z,"2")</f>
        <v>0</v>
      </c>
      <c r="H1179" s="507">
        <f>SUMIFS(Controle!$R:$R,Controle!$H:$H,produtos_escape2!$A1179,Controle!$Z:$Z,"3")</f>
        <v>0</v>
      </c>
      <c r="I1179" s="507">
        <f>SUMIFS(Controle!$R:$R,Controle!$H:$H,produtos_escape2!$A1179,Controle!$Z:$Z,"4")</f>
        <v>0</v>
      </c>
      <c r="J1179" s="507">
        <f>SUMIFS(Controle!$R:$R,Controle!$H:$H,produtos_escape2!$A1179,Controle!$Z:$Z,"5")</f>
        <v>0</v>
      </c>
      <c r="K1179" s="507">
        <f>SUMIFS(Controle!$R:$R,Controle!$H:$H,produtos_escape2!$A1179,Controle!$Z:$Z,"6")</f>
        <v>0</v>
      </c>
      <c r="L1179" s="507">
        <f t="shared" si="39"/>
        <v>0</v>
      </c>
      <c r="M1179" s="381" t="s">
        <v>5168</v>
      </c>
      <c r="AF1179" s="84"/>
    </row>
    <row r="1180" spans="1:32" s="185" customFormat="1" ht="14.25" customHeight="1" thickBot="1">
      <c r="A1180" s="353">
        <v>29125</v>
      </c>
      <c r="B1180" s="194" t="s">
        <v>2646</v>
      </c>
      <c r="C1180" s="339">
        <f t="shared" si="40"/>
        <v>50000</v>
      </c>
      <c r="D1180" s="196" t="s">
        <v>896</v>
      </c>
      <c r="E1180" s="187" t="s">
        <v>7207</v>
      </c>
      <c r="F1180" s="507">
        <f>SUMIFS(Controle!$R:$R,Controle!$H:$H,produtos_escape2!$A1180,Controle!$Z:$Z,"1")</f>
        <v>0</v>
      </c>
      <c r="G1180" s="507">
        <f>SUMIFS(Controle!$R:$R,Controle!$H:$H,produtos_escape2!$A1180,Controle!$Z:$Z,"2")</f>
        <v>0</v>
      </c>
      <c r="H1180" s="507">
        <f>SUMIFS(Controle!$R:$R,Controle!$H:$H,produtos_escape2!$A1180,Controle!$Z:$Z,"3")</f>
        <v>0</v>
      </c>
      <c r="I1180" s="507">
        <f>SUMIFS(Controle!$R:$R,Controle!$H:$H,produtos_escape2!$A1180,Controle!$Z:$Z,"4")</f>
        <v>0</v>
      </c>
      <c r="J1180" s="507">
        <f>SUMIFS(Controle!$R:$R,Controle!$H:$H,produtos_escape2!$A1180,Controle!$Z:$Z,"5")</f>
        <v>0</v>
      </c>
      <c r="K1180" s="507">
        <f>SUMIFS(Controle!$R:$R,Controle!$H:$H,produtos_escape2!$A1180,Controle!$Z:$Z,"6")</f>
        <v>0</v>
      </c>
      <c r="L1180" s="507">
        <f t="shared" si="39"/>
        <v>0</v>
      </c>
      <c r="M1180" s="381" t="s">
        <v>5169</v>
      </c>
      <c r="AF1180" s="84"/>
    </row>
    <row r="1181" spans="1:32" s="185" customFormat="1" ht="14.25" customHeight="1" thickBot="1">
      <c r="A1181" s="353">
        <v>29126</v>
      </c>
      <c r="B1181" s="338" t="s">
        <v>3395</v>
      </c>
      <c r="C1181" s="339">
        <f t="shared" si="40"/>
        <v>50000</v>
      </c>
      <c r="D1181" s="196" t="s">
        <v>896</v>
      </c>
      <c r="E1181" s="187" t="s">
        <v>7207</v>
      </c>
      <c r="F1181" s="507">
        <f>SUMIFS(Controle!$R:$R,Controle!$H:$H,produtos_escape2!$A1181,Controle!$Z:$Z,"1")</f>
        <v>0</v>
      </c>
      <c r="G1181" s="507">
        <f>SUMIFS(Controle!$R:$R,Controle!$H:$H,produtos_escape2!$A1181,Controle!$Z:$Z,"2")</f>
        <v>0</v>
      </c>
      <c r="H1181" s="507">
        <f>SUMIFS(Controle!$R:$R,Controle!$H:$H,produtos_escape2!$A1181,Controle!$Z:$Z,"3")</f>
        <v>0</v>
      </c>
      <c r="I1181" s="507">
        <f>SUMIFS(Controle!$R:$R,Controle!$H:$H,produtos_escape2!$A1181,Controle!$Z:$Z,"4")</f>
        <v>0</v>
      </c>
      <c r="J1181" s="507">
        <f>SUMIFS(Controle!$R:$R,Controle!$H:$H,produtos_escape2!$A1181,Controle!$Z:$Z,"5")</f>
        <v>0</v>
      </c>
      <c r="K1181" s="507">
        <f>SUMIFS(Controle!$R:$R,Controle!$H:$H,produtos_escape2!$A1181,Controle!$Z:$Z,"6")</f>
        <v>0</v>
      </c>
      <c r="L1181" s="507">
        <f t="shared" si="39"/>
        <v>0</v>
      </c>
      <c r="M1181" s="381" t="s">
        <v>5170</v>
      </c>
      <c r="AF1181" s="84"/>
    </row>
    <row r="1182" spans="1:32" s="185" customFormat="1" ht="14.25" customHeight="1" thickBot="1">
      <c r="A1182" s="353">
        <v>29127</v>
      </c>
      <c r="B1182" s="194" t="s">
        <v>3396</v>
      </c>
      <c r="C1182" s="339">
        <f t="shared" si="40"/>
        <v>50000</v>
      </c>
      <c r="D1182" s="196" t="s">
        <v>896</v>
      </c>
      <c r="E1182" s="187" t="s">
        <v>7207</v>
      </c>
      <c r="F1182" s="507">
        <f>SUMIFS(Controle!$R:$R,Controle!$H:$H,produtos_escape2!$A1182,Controle!$Z:$Z,"1")</f>
        <v>0</v>
      </c>
      <c r="G1182" s="507">
        <f>SUMIFS(Controle!$R:$R,Controle!$H:$H,produtos_escape2!$A1182,Controle!$Z:$Z,"2")</f>
        <v>0</v>
      </c>
      <c r="H1182" s="507">
        <f>SUMIFS(Controle!$R:$R,Controle!$H:$H,produtos_escape2!$A1182,Controle!$Z:$Z,"3")</f>
        <v>0</v>
      </c>
      <c r="I1182" s="507">
        <f>SUMIFS(Controle!$R:$R,Controle!$H:$H,produtos_escape2!$A1182,Controle!$Z:$Z,"4")</f>
        <v>0</v>
      </c>
      <c r="J1182" s="507">
        <f>SUMIFS(Controle!$R:$R,Controle!$H:$H,produtos_escape2!$A1182,Controle!$Z:$Z,"5")</f>
        <v>0</v>
      </c>
      <c r="K1182" s="507">
        <f>SUMIFS(Controle!$R:$R,Controle!$H:$H,produtos_escape2!$A1182,Controle!$Z:$Z,"6")</f>
        <v>0</v>
      </c>
      <c r="L1182" s="507">
        <f t="shared" si="39"/>
        <v>0</v>
      </c>
      <c r="M1182" s="381" t="s">
        <v>5171</v>
      </c>
      <c r="AF1182" s="84"/>
    </row>
    <row r="1183" spans="1:32" s="185" customFormat="1" ht="14.25" customHeight="1" thickBot="1">
      <c r="A1183" s="353">
        <v>29128</v>
      </c>
      <c r="B1183" s="194" t="s">
        <v>3397</v>
      </c>
      <c r="C1183" s="339">
        <f t="shared" si="40"/>
        <v>50000</v>
      </c>
      <c r="D1183" s="196" t="s">
        <v>896</v>
      </c>
      <c r="E1183" s="187" t="s">
        <v>7207</v>
      </c>
      <c r="F1183" s="507">
        <f>SUMIFS(Controle!$R:$R,Controle!$H:$H,produtos_escape2!$A1183,Controle!$Z:$Z,"1")</f>
        <v>0</v>
      </c>
      <c r="G1183" s="507">
        <f>SUMIFS(Controle!$R:$R,Controle!$H:$H,produtos_escape2!$A1183,Controle!$Z:$Z,"2")</f>
        <v>0</v>
      </c>
      <c r="H1183" s="507">
        <f>SUMIFS(Controle!$R:$R,Controle!$H:$H,produtos_escape2!$A1183,Controle!$Z:$Z,"3")</f>
        <v>0</v>
      </c>
      <c r="I1183" s="507">
        <f>SUMIFS(Controle!$R:$R,Controle!$H:$H,produtos_escape2!$A1183,Controle!$Z:$Z,"4")</f>
        <v>0</v>
      </c>
      <c r="J1183" s="507">
        <f>SUMIFS(Controle!$R:$R,Controle!$H:$H,produtos_escape2!$A1183,Controle!$Z:$Z,"5")</f>
        <v>0</v>
      </c>
      <c r="K1183" s="507">
        <f>SUMIFS(Controle!$R:$R,Controle!$H:$H,produtos_escape2!$A1183,Controle!$Z:$Z,"6")</f>
        <v>0</v>
      </c>
      <c r="L1183" s="507">
        <f t="shared" si="39"/>
        <v>0</v>
      </c>
      <c r="M1183" s="381" t="s">
        <v>5172</v>
      </c>
      <c r="AF1183" s="84"/>
    </row>
    <row r="1184" spans="1:32" s="185" customFormat="1" ht="14.25" customHeight="1" thickBot="1">
      <c r="A1184" s="353">
        <v>29130</v>
      </c>
      <c r="B1184" s="194" t="s">
        <v>4305</v>
      </c>
      <c r="C1184" s="339">
        <f t="shared" si="40"/>
        <v>32400</v>
      </c>
      <c r="D1184" s="196" t="s">
        <v>624</v>
      </c>
      <c r="E1184" s="187" t="s">
        <v>7207</v>
      </c>
      <c r="F1184" s="507">
        <f>SUMIFS(Controle!$R:$R,Controle!$H:$H,produtos_escape2!$A1184,Controle!$Z:$Z,"1")</f>
        <v>0</v>
      </c>
      <c r="G1184" s="507">
        <f>SUMIFS(Controle!$R:$R,Controle!$H:$H,produtos_escape2!$A1184,Controle!$Z:$Z,"2")</f>
        <v>0</v>
      </c>
      <c r="H1184" s="507">
        <f>SUMIFS(Controle!$R:$R,Controle!$H:$H,produtos_escape2!$A1184,Controle!$Z:$Z,"3")</f>
        <v>0</v>
      </c>
      <c r="I1184" s="507">
        <f>SUMIFS(Controle!$R:$R,Controle!$H:$H,produtos_escape2!$A1184,Controle!$Z:$Z,"4")</f>
        <v>17600</v>
      </c>
      <c r="J1184" s="507">
        <f>SUMIFS(Controle!$R:$R,Controle!$H:$H,produtos_escape2!$A1184,Controle!$Z:$Z,"5")</f>
        <v>0</v>
      </c>
      <c r="K1184" s="507">
        <f>SUMIFS(Controle!$R:$R,Controle!$H:$H,produtos_escape2!$A1184,Controle!$Z:$Z,"6")</f>
        <v>0</v>
      </c>
      <c r="L1184" s="507">
        <f t="shared" si="39"/>
        <v>17600</v>
      </c>
      <c r="M1184" s="381" t="s">
        <v>4825</v>
      </c>
      <c r="AF1184" s="84"/>
    </row>
    <row r="1185" spans="1:32" s="185" customFormat="1" ht="14.25" customHeight="1" thickBot="1">
      <c r="A1185" s="333">
        <v>29131</v>
      </c>
      <c r="B1185" s="194" t="s">
        <v>4306</v>
      </c>
      <c r="C1185" s="339">
        <f t="shared" si="40"/>
        <v>50000</v>
      </c>
      <c r="D1185" s="196" t="s">
        <v>624</v>
      </c>
      <c r="E1185" s="187" t="s">
        <v>7207</v>
      </c>
      <c r="F1185" s="507">
        <f>SUMIFS(Controle!$R:$R,Controle!$H:$H,produtos_escape2!$A1185,Controle!$Z:$Z,"1")</f>
        <v>0</v>
      </c>
      <c r="G1185" s="507">
        <f>SUMIFS(Controle!$R:$R,Controle!$H:$H,produtos_escape2!$A1185,Controle!$Z:$Z,"2")</f>
        <v>0</v>
      </c>
      <c r="H1185" s="507">
        <f>SUMIFS(Controle!$R:$R,Controle!$H:$H,produtos_escape2!$A1185,Controle!$Z:$Z,"3")</f>
        <v>0</v>
      </c>
      <c r="I1185" s="507">
        <f>SUMIFS(Controle!$R:$R,Controle!$H:$H,produtos_escape2!$A1185,Controle!$Z:$Z,"4")</f>
        <v>0</v>
      </c>
      <c r="J1185" s="507">
        <f>SUMIFS(Controle!$R:$R,Controle!$H:$H,produtos_escape2!$A1185,Controle!$Z:$Z,"5")</f>
        <v>0</v>
      </c>
      <c r="K1185" s="507">
        <f>SUMIFS(Controle!$R:$R,Controle!$H:$H,produtos_escape2!$A1185,Controle!$Z:$Z,"6")</f>
        <v>0</v>
      </c>
      <c r="L1185" s="507">
        <f t="shared" si="39"/>
        <v>0</v>
      </c>
      <c r="M1185" s="381" t="s">
        <v>4825</v>
      </c>
      <c r="AF1185" s="84"/>
    </row>
    <row r="1186" spans="1:32" s="185" customFormat="1" ht="14.25" customHeight="1" thickBot="1">
      <c r="A1186" s="353">
        <v>29443</v>
      </c>
      <c r="B1186" s="194" t="s">
        <v>927</v>
      </c>
      <c r="C1186" s="339">
        <f t="shared" si="40"/>
        <v>50000</v>
      </c>
      <c r="D1186" s="196" t="s">
        <v>896</v>
      </c>
      <c r="E1186" s="187" t="s">
        <v>7207</v>
      </c>
      <c r="F1186" s="507">
        <f>SUMIFS(Controle!$R:$R,Controle!$H:$H,produtos_escape2!$A1186,Controle!$Z:$Z,"1")</f>
        <v>0</v>
      </c>
      <c r="G1186" s="507">
        <f>SUMIFS(Controle!$R:$R,Controle!$H:$H,produtos_escape2!$A1186,Controle!$Z:$Z,"2")</f>
        <v>0</v>
      </c>
      <c r="H1186" s="507">
        <f>SUMIFS(Controle!$R:$R,Controle!$H:$H,produtos_escape2!$A1186,Controle!$Z:$Z,"3")</f>
        <v>0</v>
      </c>
      <c r="I1186" s="507">
        <f>SUMIFS(Controle!$R:$R,Controle!$H:$H,produtos_escape2!$A1186,Controle!$Z:$Z,"4")</f>
        <v>0</v>
      </c>
      <c r="J1186" s="507">
        <f>SUMIFS(Controle!$R:$R,Controle!$H:$H,produtos_escape2!$A1186,Controle!$Z:$Z,"5")</f>
        <v>0</v>
      </c>
      <c r="K1186" s="507">
        <f>SUMIFS(Controle!$R:$R,Controle!$H:$H,produtos_escape2!$A1186,Controle!$Z:$Z,"6")</f>
        <v>0</v>
      </c>
      <c r="L1186" s="507">
        <f t="shared" si="39"/>
        <v>0</v>
      </c>
      <c r="M1186" s="381" t="s">
        <v>5173</v>
      </c>
      <c r="AF1186" s="84"/>
    </row>
    <row r="1187" spans="1:32" s="185" customFormat="1" ht="14.25" customHeight="1" thickBot="1">
      <c r="A1187" s="353">
        <v>29444</v>
      </c>
      <c r="B1187" s="194" t="s">
        <v>1038</v>
      </c>
      <c r="C1187" s="339">
        <f t="shared" si="40"/>
        <v>50000</v>
      </c>
      <c r="D1187" s="196" t="s">
        <v>896</v>
      </c>
      <c r="E1187" s="187" t="s">
        <v>7207</v>
      </c>
      <c r="F1187" s="507">
        <f>SUMIFS(Controle!$R:$R,Controle!$H:$H,produtos_escape2!$A1187,Controle!$Z:$Z,"1")</f>
        <v>0</v>
      </c>
      <c r="G1187" s="507">
        <f>SUMIFS(Controle!$R:$R,Controle!$H:$H,produtos_escape2!$A1187,Controle!$Z:$Z,"2")</f>
        <v>0</v>
      </c>
      <c r="H1187" s="507">
        <f>SUMIFS(Controle!$R:$R,Controle!$H:$H,produtos_escape2!$A1187,Controle!$Z:$Z,"3")</f>
        <v>0</v>
      </c>
      <c r="I1187" s="507">
        <f>SUMIFS(Controle!$R:$R,Controle!$H:$H,produtos_escape2!$A1187,Controle!$Z:$Z,"4")</f>
        <v>0</v>
      </c>
      <c r="J1187" s="507">
        <f>SUMIFS(Controle!$R:$R,Controle!$H:$H,produtos_escape2!$A1187,Controle!$Z:$Z,"5")</f>
        <v>0</v>
      </c>
      <c r="K1187" s="507">
        <f>SUMIFS(Controle!$R:$R,Controle!$H:$H,produtos_escape2!$A1187,Controle!$Z:$Z,"6")</f>
        <v>0</v>
      </c>
      <c r="L1187" s="507">
        <f t="shared" si="39"/>
        <v>0</v>
      </c>
      <c r="M1187" s="381" t="s">
        <v>5174</v>
      </c>
      <c r="AF1187" s="84"/>
    </row>
    <row r="1188" spans="1:32" s="185" customFormat="1" ht="14.25" customHeight="1" thickBot="1">
      <c r="A1188" s="353">
        <v>29494</v>
      </c>
      <c r="B1188" s="194" t="s">
        <v>2946</v>
      </c>
      <c r="C1188" s="339">
        <f t="shared" si="40"/>
        <v>50000</v>
      </c>
      <c r="D1188" s="196" t="s">
        <v>548</v>
      </c>
      <c r="E1188" s="187" t="s">
        <v>1739</v>
      </c>
      <c r="F1188" s="507">
        <f>SUMIFS(Controle!$R:$R,Controle!$H:$H,produtos_escape2!$A1188,Controle!$Z:$Z,"1")</f>
        <v>0</v>
      </c>
      <c r="G1188" s="507">
        <f>SUMIFS(Controle!$R:$R,Controle!$H:$H,produtos_escape2!$A1188,Controle!$Z:$Z,"2")</f>
        <v>0</v>
      </c>
      <c r="H1188" s="507">
        <f>SUMIFS(Controle!$R:$R,Controle!$H:$H,produtos_escape2!$A1188,Controle!$Z:$Z,"3")</f>
        <v>0</v>
      </c>
      <c r="I1188" s="507">
        <f>SUMIFS(Controle!$R:$R,Controle!$H:$H,produtos_escape2!$A1188,Controle!$Z:$Z,"4")</f>
        <v>0</v>
      </c>
      <c r="J1188" s="507">
        <f>SUMIFS(Controle!$R:$R,Controle!$H:$H,produtos_escape2!$A1188,Controle!$Z:$Z,"5")</f>
        <v>0</v>
      </c>
      <c r="K1188" s="507">
        <f>SUMIFS(Controle!$R:$R,Controle!$H:$H,produtos_escape2!$A1188,Controle!$Z:$Z,"6")</f>
        <v>0</v>
      </c>
      <c r="L1188" s="507">
        <f t="shared" si="39"/>
        <v>0</v>
      </c>
      <c r="M1188" s="381" t="s">
        <v>5175</v>
      </c>
      <c r="AF1188" s="84"/>
    </row>
    <row r="1189" spans="1:32" s="185" customFormat="1" ht="14.25" customHeight="1" thickBot="1">
      <c r="A1189" s="353">
        <v>29534</v>
      </c>
      <c r="B1189" s="338" t="s">
        <v>1126</v>
      </c>
      <c r="C1189" s="339">
        <f t="shared" si="40"/>
        <v>44960</v>
      </c>
      <c r="D1189" s="196" t="s">
        <v>833</v>
      </c>
      <c r="E1189" s="187" t="s">
        <v>7207</v>
      </c>
      <c r="F1189" s="507">
        <f>SUMIFS(Controle!$R:$R,Controle!$H:$H,produtos_escape2!$A1189,Controle!$Z:$Z,"1")</f>
        <v>0</v>
      </c>
      <c r="G1189" s="507">
        <f>SUMIFS(Controle!$R:$R,Controle!$H:$H,produtos_escape2!$A1189,Controle!$Z:$Z,"2")</f>
        <v>0</v>
      </c>
      <c r="H1189" s="507">
        <f>SUMIFS(Controle!$R:$R,Controle!$H:$H,produtos_escape2!$A1189,Controle!$Z:$Z,"3")</f>
        <v>0</v>
      </c>
      <c r="I1189" s="507">
        <f>SUMIFS(Controle!$R:$R,Controle!$H:$H,produtos_escape2!$A1189,Controle!$Z:$Z,"4")</f>
        <v>5040</v>
      </c>
      <c r="J1189" s="507">
        <f>SUMIFS(Controle!$R:$R,Controle!$H:$H,produtos_escape2!$A1189,Controle!$Z:$Z,"5")</f>
        <v>0</v>
      </c>
      <c r="K1189" s="507">
        <f>SUMIFS(Controle!$R:$R,Controle!$H:$H,produtos_escape2!$A1189,Controle!$Z:$Z,"6")</f>
        <v>0</v>
      </c>
      <c r="L1189" s="507">
        <f t="shared" si="39"/>
        <v>5040</v>
      </c>
      <c r="M1189" s="381" t="s">
        <v>4838</v>
      </c>
      <c r="AF1189" s="84"/>
    </row>
    <row r="1190" spans="1:32" s="185" customFormat="1" ht="14.25" customHeight="1" thickBot="1">
      <c r="A1190" s="353">
        <v>29592</v>
      </c>
      <c r="B1190" s="194" t="s">
        <v>2870</v>
      </c>
      <c r="C1190" s="339">
        <f t="shared" si="40"/>
        <v>50000</v>
      </c>
      <c r="D1190" s="196" t="s">
        <v>624</v>
      </c>
      <c r="E1190" s="187" t="s">
        <v>7207</v>
      </c>
      <c r="F1190" s="507">
        <f>SUMIFS(Controle!$R:$R,Controle!$H:$H,produtos_escape2!$A1190,Controle!$Z:$Z,"1")</f>
        <v>0</v>
      </c>
      <c r="G1190" s="507">
        <f>SUMIFS(Controle!$R:$R,Controle!$H:$H,produtos_escape2!$A1190,Controle!$Z:$Z,"2")</f>
        <v>0</v>
      </c>
      <c r="H1190" s="507">
        <f>SUMIFS(Controle!$R:$R,Controle!$H:$H,produtos_escape2!$A1190,Controle!$Z:$Z,"3")</f>
        <v>0</v>
      </c>
      <c r="I1190" s="507">
        <f>SUMIFS(Controle!$R:$R,Controle!$H:$H,produtos_escape2!$A1190,Controle!$Z:$Z,"4")</f>
        <v>0</v>
      </c>
      <c r="J1190" s="507">
        <f>SUMIFS(Controle!$R:$R,Controle!$H:$H,produtos_escape2!$A1190,Controle!$Z:$Z,"5")</f>
        <v>0</v>
      </c>
      <c r="K1190" s="507">
        <f>SUMIFS(Controle!$R:$R,Controle!$H:$H,produtos_escape2!$A1190,Controle!$Z:$Z,"6")</f>
        <v>0</v>
      </c>
      <c r="L1190" s="507">
        <f t="shared" si="39"/>
        <v>0</v>
      </c>
      <c r="M1190" s="381" t="s">
        <v>5176</v>
      </c>
      <c r="AF1190" s="84"/>
    </row>
    <row r="1191" spans="1:32" s="185" customFormat="1" ht="14.25" customHeight="1" thickBot="1">
      <c r="A1191" s="353">
        <v>29648</v>
      </c>
      <c r="B1191" s="194" t="s">
        <v>1505</v>
      </c>
      <c r="C1191" s="339">
        <f t="shared" si="40"/>
        <v>50000</v>
      </c>
      <c r="D1191" s="196" t="s">
        <v>624</v>
      </c>
      <c r="E1191" s="187" t="s">
        <v>3608</v>
      </c>
      <c r="F1191" s="507">
        <f>SUMIFS(Controle!$R:$R,Controle!$H:$H,produtos_escape2!$A1191,Controle!$Z:$Z,"1")</f>
        <v>0</v>
      </c>
      <c r="G1191" s="507">
        <f>SUMIFS(Controle!$R:$R,Controle!$H:$H,produtos_escape2!$A1191,Controle!$Z:$Z,"2")</f>
        <v>0</v>
      </c>
      <c r="H1191" s="507">
        <f>SUMIFS(Controle!$R:$R,Controle!$H:$H,produtos_escape2!$A1191,Controle!$Z:$Z,"3")</f>
        <v>0</v>
      </c>
      <c r="I1191" s="507">
        <f>SUMIFS(Controle!$R:$R,Controle!$H:$H,produtos_escape2!$A1191,Controle!$Z:$Z,"4")</f>
        <v>0</v>
      </c>
      <c r="J1191" s="507">
        <f>SUMIFS(Controle!$R:$R,Controle!$H:$H,produtos_escape2!$A1191,Controle!$Z:$Z,"5")</f>
        <v>0</v>
      </c>
      <c r="K1191" s="507">
        <f>SUMIFS(Controle!$R:$R,Controle!$H:$H,produtos_escape2!$A1191,Controle!$Z:$Z,"6")</f>
        <v>0</v>
      </c>
      <c r="L1191" s="507">
        <f t="shared" si="39"/>
        <v>0</v>
      </c>
      <c r="M1191" s="381" t="s">
        <v>5177</v>
      </c>
      <c r="AF1191" s="84"/>
    </row>
    <row r="1192" spans="1:32" s="185" customFormat="1" ht="14.25" customHeight="1" thickBot="1">
      <c r="A1192" s="353">
        <v>29650</v>
      </c>
      <c r="B1192" s="194" t="s">
        <v>936</v>
      </c>
      <c r="C1192" s="339">
        <f t="shared" si="40"/>
        <v>50000</v>
      </c>
      <c r="D1192" s="196" t="s">
        <v>549</v>
      </c>
      <c r="E1192" s="187" t="s">
        <v>3608</v>
      </c>
      <c r="F1192" s="507">
        <f>SUMIFS(Controle!$R:$R,Controle!$H:$H,produtos_escape2!$A1192,Controle!$Z:$Z,"1")</f>
        <v>0</v>
      </c>
      <c r="G1192" s="507">
        <f>SUMIFS(Controle!$R:$R,Controle!$H:$H,produtos_escape2!$A1192,Controle!$Z:$Z,"2")</f>
        <v>0</v>
      </c>
      <c r="H1192" s="507">
        <f>SUMIFS(Controle!$R:$R,Controle!$H:$H,produtos_escape2!$A1192,Controle!$Z:$Z,"3")</f>
        <v>0</v>
      </c>
      <c r="I1192" s="507">
        <f>SUMIFS(Controle!$R:$R,Controle!$H:$H,produtos_escape2!$A1192,Controle!$Z:$Z,"4")</f>
        <v>0</v>
      </c>
      <c r="J1192" s="507">
        <f>SUMIFS(Controle!$R:$R,Controle!$H:$H,produtos_escape2!$A1192,Controle!$Z:$Z,"5")</f>
        <v>0</v>
      </c>
      <c r="K1192" s="507">
        <f>SUMIFS(Controle!$R:$R,Controle!$H:$H,produtos_escape2!$A1192,Controle!$Z:$Z,"6")</f>
        <v>0</v>
      </c>
      <c r="L1192" s="507">
        <f t="shared" si="39"/>
        <v>0</v>
      </c>
      <c r="M1192" s="381" t="s">
        <v>5178</v>
      </c>
      <c r="AF1192" s="84"/>
    </row>
    <row r="1193" spans="1:32" s="185" customFormat="1" ht="14.25" customHeight="1" thickBot="1">
      <c r="A1193" s="333">
        <v>29655</v>
      </c>
      <c r="B1193" s="194" t="s">
        <v>2647</v>
      </c>
      <c r="C1193" s="339">
        <f t="shared" si="40"/>
        <v>50000</v>
      </c>
      <c r="D1193" s="196" t="s">
        <v>624</v>
      </c>
      <c r="E1193" s="187" t="s">
        <v>7207</v>
      </c>
      <c r="F1193" s="507">
        <f>SUMIFS(Controle!$R:$R,Controle!$H:$H,produtos_escape2!$A1193,Controle!$Z:$Z,"1")</f>
        <v>0</v>
      </c>
      <c r="G1193" s="507">
        <f>SUMIFS(Controle!$R:$R,Controle!$H:$H,produtos_escape2!$A1193,Controle!$Z:$Z,"2")</f>
        <v>0</v>
      </c>
      <c r="H1193" s="507">
        <f>SUMIFS(Controle!$R:$R,Controle!$H:$H,produtos_escape2!$A1193,Controle!$Z:$Z,"3")</f>
        <v>0</v>
      </c>
      <c r="I1193" s="507">
        <f>SUMIFS(Controle!$R:$R,Controle!$H:$H,produtos_escape2!$A1193,Controle!$Z:$Z,"4")</f>
        <v>0</v>
      </c>
      <c r="J1193" s="507">
        <f>SUMIFS(Controle!$R:$R,Controle!$H:$H,produtos_escape2!$A1193,Controle!$Z:$Z,"5")</f>
        <v>0</v>
      </c>
      <c r="K1193" s="507">
        <f>SUMIFS(Controle!$R:$R,Controle!$H:$H,produtos_escape2!$A1193,Controle!$Z:$Z,"6")</f>
        <v>0</v>
      </c>
      <c r="L1193" s="507">
        <f t="shared" si="39"/>
        <v>0</v>
      </c>
      <c r="M1193" s="381" t="s">
        <v>5179</v>
      </c>
      <c r="AF1193" s="84"/>
    </row>
    <row r="1194" spans="1:32" s="185" customFormat="1" ht="14.25" customHeight="1" thickBot="1">
      <c r="A1194" s="353">
        <v>29664</v>
      </c>
      <c r="B1194" s="194" t="s">
        <v>5832</v>
      </c>
      <c r="C1194" s="339">
        <f t="shared" si="40"/>
        <v>49880</v>
      </c>
      <c r="D1194" s="196" t="s">
        <v>725</v>
      </c>
      <c r="E1194" s="187" t="s">
        <v>3608</v>
      </c>
      <c r="F1194" s="507">
        <f>SUMIFS(Controle!$R:$R,Controle!$H:$H,produtos_escape2!$A1194,Controle!$Z:$Z,"1")</f>
        <v>0</v>
      </c>
      <c r="G1194" s="507">
        <f>SUMIFS(Controle!$R:$R,Controle!$H:$H,produtos_escape2!$A1194,Controle!$Z:$Z,"2")</f>
        <v>120</v>
      </c>
      <c r="H1194" s="507">
        <f>SUMIFS(Controle!$R:$R,Controle!$H:$H,produtos_escape2!$A1194,Controle!$Z:$Z,"3")</f>
        <v>0</v>
      </c>
      <c r="I1194" s="507">
        <f>SUMIFS(Controle!$R:$R,Controle!$H:$H,produtos_escape2!$A1194,Controle!$Z:$Z,"4")</f>
        <v>0</v>
      </c>
      <c r="J1194" s="507">
        <f>SUMIFS(Controle!$R:$R,Controle!$H:$H,produtos_escape2!$A1194,Controle!$Z:$Z,"5")</f>
        <v>0</v>
      </c>
      <c r="K1194" s="507">
        <f>SUMIFS(Controle!$R:$R,Controle!$H:$H,produtos_escape2!$A1194,Controle!$Z:$Z,"6")</f>
        <v>0</v>
      </c>
      <c r="L1194" s="507">
        <f t="shared" si="39"/>
        <v>120</v>
      </c>
      <c r="M1194" s="381" t="s">
        <v>5831</v>
      </c>
      <c r="AF1194" s="84"/>
    </row>
    <row r="1195" spans="1:32" s="185" customFormat="1" ht="14.25" customHeight="1" thickBot="1">
      <c r="A1195" s="353">
        <v>29735</v>
      </c>
      <c r="B1195" s="194" t="s">
        <v>9277</v>
      </c>
      <c r="C1195" s="339">
        <f t="shared" si="40"/>
        <v>50000</v>
      </c>
      <c r="D1195" s="196" t="s">
        <v>624</v>
      </c>
      <c r="E1195" s="189" t="s">
        <v>7207</v>
      </c>
      <c r="F1195" s="507">
        <f>SUMIFS(Controle!$R:$R,Controle!$H:$H,produtos_escape2!$A1195,Controle!$Z:$Z,"1")</f>
        <v>0</v>
      </c>
      <c r="G1195" s="507">
        <f>SUMIFS(Controle!$R:$R,Controle!$H:$H,produtos_escape2!$A1195,Controle!$Z:$Z,"2")</f>
        <v>0</v>
      </c>
      <c r="H1195" s="507">
        <f>SUMIFS(Controle!$R:$R,Controle!$H:$H,produtos_escape2!$A1195,Controle!$Z:$Z,"3")</f>
        <v>0</v>
      </c>
      <c r="I1195" s="507">
        <f>SUMIFS(Controle!$R:$R,Controle!$H:$H,produtos_escape2!$A1195,Controle!$Z:$Z,"4")</f>
        <v>0</v>
      </c>
      <c r="J1195" s="507">
        <f>SUMIFS(Controle!$R:$R,Controle!$H:$H,produtos_escape2!$A1195,Controle!$Z:$Z,"5")</f>
        <v>0</v>
      </c>
      <c r="K1195" s="507">
        <f>SUMIFS(Controle!$R:$R,Controle!$H:$H,produtos_escape2!$A1195,Controle!$Z:$Z,"6")</f>
        <v>0</v>
      </c>
      <c r="L1195" s="507">
        <f t="shared" si="39"/>
        <v>0</v>
      </c>
      <c r="M1195" s="381"/>
      <c r="AF1195" s="84"/>
    </row>
    <row r="1196" spans="1:32" s="185" customFormat="1" ht="14.25" customHeight="1" thickBot="1">
      <c r="A1196" s="353">
        <v>29753</v>
      </c>
      <c r="B1196" s="194" t="s">
        <v>2648</v>
      </c>
      <c r="C1196" s="339">
        <f t="shared" si="40"/>
        <v>50000</v>
      </c>
      <c r="D1196" s="196" t="s">
        <v>624</v>
      </c>
      <c r="E1196" s="187" t="s">
        <v>7207</v>
      </c>
      <c r="F1196" s="507">
        <f>SUMIFS(Controle!$R:$R,Controle!$H:$H,produtos_escape2!$A1196,Controle!$Z:$Z,"1")</f>
        <v>0</v>
      </c>
      <c r="G1196" s="507">
        <f>SUMIFS(Controle!$R:$R,Controle!$H:$H,produtos_escape2!$A1196,Controle!$Z:$Z,"2")</f>
        <v>0</v>
      </c>
      <c r="H1196" s="507">
        <f>SUMIFS(Controle!$R:$R,Controle!$H:$H,produtos_escape2!$A1196,Controle!$Z:$Z,"3")</f>
        <v>0</v>
      </c>
      <c r="I1196" s="507">
        <f>SUMIFS(Controle!$R:$R,Controle!$H:$H,produtos_escape2!$A1196,Controle!$Z:$Z,"4")</f>
        <v>0</v>
      </c>
      <c r="J1196" s="507">
        <f>SUMIFS(Controle!$R:$R,Controle!$H:$H,produtos_escape2!$A1196,Controle!$Z:$Z,"5")</f>
        <v>0</v>
      </c>
      <c r="K1196" s="507">
        <f>SUMIFS(Controle!$R:$R,Controle!$H:$H,produtos_escape2!$A1196,Controle!$Z:$Z,"6")</f>
        <v>0</v>
      </c>
      <c r="L1196" s="507">
        <f t="shared" si="39"/>
        <v>0</v>
      </c>
      <c r="M1196" s="381" t="s">
        <v>5016</v>
      </c>
      <c r="AF1196" s="84"/>
    </row>
    <row r="1197" spans="1:32" s="185" customFormat="1" ht="14.25" customHeight="1" thickBot="1">
      <c r="A1197" s="353">
        <v>29755</v>
      </c>
      <c r="B1197" s="194" t="s">
        <v>2649</v>
      </c>
      <c r="C1197" s="339">
        <f t="shared" si="40"/>
        <v>50000</v>
      </c>
      <c r="D1197" s="196" t="s">
        <v>624</v>
      </c>
      <c r="E1197" s="187" t="s">
        <v>7207</v>
      </c>
      <c r="F1197" s="507">
        <f>SUMIFS(Controle!$R:$R,Controle!$H:$H,produtos_escape2!$A1197,Controle!$Z:$Z,"1")</f>
        <v>0</v>
      </c>
      <c r="G1197" s="507">
        <f>SUMIFS(Controle!$R:$R,Controle!$H:$H,produtos_escape2!$A1197,Controle!$Z:$Z,"2")</f>
        <v>0</v>
      </c>
      <c r="H1197" s="507">
        <f>SUMIFS(Controle!$R:$R,Controle!$H:$H,produtos_escape2!$A1197,Controle!$Z:$Z,"3")</f>
        <v>0</v>
      </c>
      <c r="I1197" s="507">
        <f>SUMIFS(Controle!$R:$R,Controle!$H:$H,produtos_escape2!$A1197,Controle!$Z:$Z,"4")</f>
        <v>0</v>
      </c>
      <c r="J1197" s="507">
        <f>SUMIFS(Controle!$R:$R,Controle!$H:$H,produtos_escape2!$A1197,Controle!$Z:$Z,"5")</f>
        <v>0</v>
      </c>
      <c r="K1197" s="507">
        <f>SUMIFS(Controle!$R:$R,Controle!$H:$H,produtos_escape2!$A1197,Controle!$Z:$Z,"6")</f>
        <v>0</v>
      </c>
      <c r="L1197" s="507">
        <f t="shared" si="39"/>
        <v>0</v>
      </c>
      <c r="M1197" s="381" t="s">
        <v>5016</v>
      </c>
      <c r="AF1197" s="84"/>
    </row>
    <row r="1198" spans="1:32" s="185" customFormat="1" ht="14.25" customHeight="1" thickBot="1">
      <c r="A1198" s="353">
        <v>29764</v>
      </c>
      <c r="B1198" s="194" t="s">
        <v>2650</v>
      </c>
      <c r="C1198" s="339">
        <f t="shared" si="40"/>
        <v>50000</v>
      </c>
      <c r="D1198" s="196" t="s">
        <v>624</v>
      </c>
      <c r="E1198" s="187" t="s">
        <v>7207</v>
      </c>
      <c r="F1198" s="507">
        <f>SUMIFS(Controle!$R:$R,Controle!$H:$H,produtos_escape2!$A1198,Controle!$Z:$Z,"1")</f>
        <v>0</v>
      </c>
      <c r="G1198" s="507">
        <f>SUMIFS(Controle!$R:$R,Controle!$H:$H,produtos_escape2!$A1198,Controle!$Z:$Z,"2")</f>
        <v>0</v>
      </c>
      <c r="H1198" s="507">
        <f>SUMIFS(Controle!$R:$R,Controle!$H:$H,produtos_escape2!$A1198,Controle!$Z:$Z,"3")</f>
        <v>0</v>
      </c>
      <c r="I1198" s="507">
        <f>SUMIFS(Controle!$R:$R,Controle!$H:$H,produtos_escape2!$A1198,Controle!$Z:$Z,"4")</f>
        <v>0</v>
      </c>
      <c r="J1198" s="507">
        <f>SUMIFS(Controle!$R:$R,Controle!$H:$H,produtos_escape2!$A1198,Controle!$Z:$Z,"5")</f>
        <v>0</v>
      </c>
      <c r="K1198" s="507">
        <f>SUMIFS(Controle!$R:$R,Controle!$H:$H,produtos_escape2!$A1198,Controle!$Z:$Z,"6")</f>
        <v>0</v>
      </c>
      <c r="L1198" s="507">
        <f t="shared" si="39"/>
        <v>0</v>
      </c>
      <c r="M1198" s="381" t="s">
        <v>5016</v>
      </c>
      <c r="AF1198" s="84"/>
    </row>
    <row r="1199" spans="1:32" s="185" customFormat="1" ht="14.25" customHeight="1" thickBot="1">
      <c r="A1199" s="353">
        <v>29767</v>
      </c>
      <c r="B1199" s="338" t="s">
        <v>1177</v>
      </c>
      <c r="C1199" s="339">
        <f t="shared" si="40"/>
        <v>50000</v>
      </c>
      <c r="D1199" s="196" t="s">
        <v>624</v>
      </c>
      <c r="E1199" s="187" t="s">
        <v>7207</v>
      </c>
      <c r="F1199" s="507">
        <f>SUMIFS(Controle!$R:$R,Controle!$H:$H,produtos_escape2!$A1199,Controle!$Z:$Z,"1")</f>
        <v>0</v>
      </c>
      <c r="G1199" s="507">
        <f>SUMIFS(Controle!$R:$R,Controle!$H:$H,produtos_escape2!$A1199,Controle!$Z:$Z,"2")</f>
        <v>0</v>
      </c>
      <c r="H1199" s="507">
        <f>SUMIFS(Controle!$R:$R,Controle!$H:$H,produtos_escape2!$A1199,Controle!$Z:$Z,"3")</f>
        <v>0</v>
      </c>
      <c r="I1199" s="507">
        <f>SUMIFS(Controle!$R:$R,Controle!$H:$H,produtos_escape2!$A1199,Controle!$Z:$Z,"4")</f>
        <v>0</v>
      </c>
      <c r="J1199" s="507">
        <f>SUMIFS(Controle!$R:$R,Controle!$H:$H,produtos_escape2!$A1199,Controle!$Z:$Z,"5")</f>
        <v>0</v>
      </c>
      <c r="K1199" s="507">
        <f>SUMIFS(Controle!$R:$R,Controle!$H:$H,produtos_escape2!$A1199,Controle!$Z:$Z,"6")</f>
        <v>0</v>
      </c>
      <c r="L1199" s="507">
        <f t="shared" si="39"/>
        <v>0</v>
      </c>
      <c r="M1199" s="381" t="s">
        <v>5180</v>
      </c>
      <c r="AF1199" s="84"/>
    </row>
    <row r="1200" spans="1:32" s="185" customFormat="1" ht="14.25" customHeight="1" thickBot="1">
      <c r="A1200" s="353">
        <v>29768</v>
      </c>
      <c r="B1200" s="194" t="s">
        <v>1178</v>
      </c>
      <c r="C1200" s="339">
        <f t="shared" si="40"/>
        <v>50000</v>
      </c>
      <c r="D1200" s="196" t="s">
        <v>624</v>
      </c>
      <c r="E1200" s="187" t="s">
        <v>7207</v>
      </c>
      <c r="F1200" s="507">
        <f>SUMIFS(Controle!$R:$R,Controle!$H:$H,produtos_escape2!$A1200,Controle!$Z:$Z,"1")</f>
        <v>0</v>
      </c>
      <c r="G1200" s="507">
        <f>SUMIFS(Controle!$R:$R,Controle!$H:$H,produtos_escape2!$A1200,Controle!$Z:$Z,"2")</f>
        <v>0</v>
      </c>
      <c r="H1200" s="507">
        <f>SUMIFS(Controle!$R:$R,Controle!$H:$H,produtos_escape2!$A1200,Controle!$Z:$Z,"3")</f>
        <v>0</v>
      </c>
      <c r="I1200" s="507">
        <f>SUMIFS(Controle!$R:$R,Controle!$H:$H,produtos_escape2!$A1200,Controle!$Z:$Z,"4")</f>
        <v>0</v>
      </c>
      <c r="J1200" s="507">
        <f>SUMIFS(Controle!$R:$R,Controle!$H:$H,produtos_escape2!$A1200,Controle!$Z:$Z,"5")</f>
        <v>0</v>
      </c>
      <c r="K1200" s="507">
        <f>SUMIFS(Controle!$R:$R,Controle!$H:$H,produtos_escape2!$A1200,Controle!$Z:$Z,"6")</f>
        <v>0</v>
      </c>
      <c r="L1200" s="507">
        <f t="shared" si="39"/>
        <v>0</v>
      </c>
      <c r="M1200" s="381" t="s">
        <v>5181</v>
      </c>
      <c r="AF1200" s="84"/>
    </row>
    <row r="1201" spans="1:32" s="185" customFormat="1" ht="14.25" customHeight="1" thickBot="1">
      <c r="A1201" s="353">
        <v>29769</v>
      </c>
      <c r="B1201" s="194" t="s">
        <v>3541</v>
      </c>
      <c r="C1201" s="339">
        <f t="shared" si="40"/>
        <v>50000</v>
      </c>
      <c r="D1201" s="196" t="s">
        <v>624</v>
      </c>
      <c r="E1201" s="187" t="s">
        <v>7207</v>
      </c>
      <c r="F1201" s="507">
        <f>SUMIFS(Controle!$R:$R,Controle!$H:$H,produtos_escape2!$A1201,Controle!$Z:$Z,"1")</f>
        <v>0</v>
      </c>
      <c r="G1201" s="507">
        <f>SUMIFS(Controle!$R:$R,Controle!$H:$H,produtos_escape2!$A1201,Controle!$Z:$Z,"2")</f>
        <v>0</v>
      </c>
      <c r="H1201" s="507">
        <f>SUMIFS(Controle!$R:$R,Controle!$H:$H,produtos_escape2!$A1201,Controle!$Z:$Z,"3")</f>
        <v>0</v>
      </c>
      <c r="I1201" s="507">
        <f>SUMIFS(Controle!$R:$R,Controle!$H:$H,produtos_escape2!$A1201,Controle!$Z:$Z,"4")</f>
        <v>0</v>
      </c>
      <c r="J1201" s="507">
        <f>SUMIFS(Controle!$R:$R,Controle!$H:$H,produtos_escape2!$A1201,Controle!$Z:$Z,"5")</f>
        <v>0</v>
      </c>
      <c r="K1201" s="507">
        <f>SUMIFS(Controle!$R:$R,Controle!$H:$H,produtos_escape2!$A1201,Controle!$Z:$Z,"6")</f>
        <v>0</v>
      </c>
      <c r="L1201" s="507">
        <f t="shared" si="39"/>
        <v>0</v>
      </c>
      <c r="M1201" s="381" t="s">
        <v>5182</v>
      </c>
      <c r="AF1201" s="84"/>
    </row>
    <row r="1202" spans="1:32" s="185" customFormat="1" ht="14.25" customHeight="1" thickBot="1">
      <c r="A1202" s="333">
        <v>29771</v>
      </c>
      <c r="B1202" s="194" t="s">
        <v>1179</v>
      </c>
      <c r="C1202" s="339">
        <f t="shared" si="40"/>
        <v>50000</v>
      </c>
      <c r="D1202" s="196" t="s">
        <v>624</v>
      </c>
      <c r="E1202" s="187" t="s">
        <v>7207</v>
      </c>
      <c r="F1202" s="507">
        <f>SUMIFS(Controle!$R:$R,Controle!$H:$H,produtos_escape2!$A1202,Controle!$Z:$Z,"1")</f>
        <v>0</v>
      </c>
      <c r="G1202" s="507">
        <f>SUMIFS(Controle!$R:$R,Controle!$H:$H,produtos_escape2!$A1202,Controle!$Z:$Z,"2")</f>
        <v>0</v>
      </c>
      <c r="H1202" s="507">
        <f>SUMIFS(Controle!$R:$R,Controle!$H:$H,produtos_escape2!$A1202,Controle!$Z:$Z,"3")</f>
        <v>0</v>
      </c>
      <c r="I1202" s="507">
        <f>SUMIFS(Controle!$R:$R,Controle!$H:$H,produtos_escape2!$A1202,Controle!$Z:$Z,"4")</f>
        <v>0</v>
      </c>
      <c r="J1202" s="507">
        <f>SUMIFS(Controle!$R:$R,Controle!$H:$H,produtos_escape2!$A1202,Controle!$Z:$Z,"5")</f>
        <v>0</v>
      </c>
      <c r="K1202" s="507">
        <f>SUMIFS(Controle!$R:$R,Controle!$H:$H,produtos_escape2!$A1202,Controle!$Z:$Z,"6")</f>
        <v>0</v>
      </c>
      <c r="L1202" s="507">
        <f t="shared" si="39"/>
        <v>0</v>
      </c>
      <c r="M1202" s="381" t="s">
        <v>5183</v>
      </c>
      <c r="AF1202" s="84"/>
    </row>
    <row r="1203" spans="1:32" s="185" customFormat="1" ht="14.25" customHeight="1" thickBot="1">
      <c r="A1203" s="353">
        <v>29777</v>
      </c>
      <c r="B1203" s="194" t="s">
        <v>1451</v>
      </c>
      <c r="C1203" s="339">
        <f t="shared" si="40"/>
        <v>50000</v>
      </c>
      <c r="D1203" s="196" t="s">
        <v>624</v>
      </c>
      <c r="E1203" s="187" t="s">
        <v>7207</v>
      </c>
      <c r="F1203" s="507">
        <f>SUMIFS(Controle!$R:$R,Controle!$H:$H,produtos_escape2!$A1203,Controle!$Z:$Z,"1")</f>
        <v>0</v>
      </c>
      <c r="G1203" s="507">
        <f>SUMIFS(Controle!$R:$R,Controle!$H:$H,produtos_escape2!$A1203,Controle!$Z:$Z,"2")</f>
        <v>0</v>
      </c>
      <c r="H1203" s="507">
        <f>SUMIFS(Controle!$R:$R,Controle!$H:$H,produtos_escape2!$A1203,Controle!$Z:$Z,"3")</f>
        <v>0</v>
      </c>
      <c r="I1203" s="507">
        <f>SUMIFS(Controle!$R:$R,Controle!$H:$H,produtos_escape2!$A1203,Controle!$Z:$Z,"4")</f>
        <v>0</v>
      </c>
      <c r="J1203" s="507">
        <f>SUMIFS(Controle!$R:$R,Controle!$H:$H,produtos_escape2!$A1203,Controle!$Z:$Z,"5")</f>
        <v>0</v>
      </c>
      <c r="K1203" s="507">
        <f>SUMIFS(Controle!$R:$R,Controle!$H:$H,produtos_escape2!$A1203,Controle!$Z:$Z,"6")</f>
        <v>0</v>
      </c>
      <c r="L1203" s="507">
        <f t="shared" si="39"/>
        <v>0</v>
      </c>
      <c r="M1203" s="381" t="s">
        <v>5184</v>
      </c>
      <c r="AF1203" s="84"/>
    </row>
    <row r="1204" spans="1:32" s="185" customFormat="1" ht="14.25" customHeight="1" thickBot="1">
      <c r="A1204" s="353">
        <v>29779</v>
      </c>
      <c r="B1204" s="194" t="s">
        <v>2718</v>
      </c>
      <c r="C1204" s="339">
        <f t="shared" si="40"/>
        <v>50000</v>
      </c>
      <c r="D1204" s="196" t="s">
        <v>624</v>
      </c>
      <c r="E1204" s="187" t="s">
        <v>7207</v>
      </c>
      <c r="F1204" s="507">
        <f>SUMIFS(Controle!$R:$R,Controle!$H:$H,produtos_escape2!$A1204,Controle!$Z:$Z,"1")</f>
        <v>0</v>
      </c>
      <c r="G1204" s="507">
        <f>SUMIFS(Controle!$R:$R,Controle!$H:$H,produtos_escape2!$A1204,Controle!$Z:$Z,"2")</f>
        <v>0</v>
      </c>
      <c r="H1204" s="507">
        <f>SUMIFS(Controle!$R:$R,Controle!$H:$H,produtos_escape2!$A1204,Controle!$Z:$Z,"3")</f>
        <v>0</v>
      </c>
      <c r="I1204" s="507">
        <f>SUMIFS(Controle!$R:$R,Controle!$H:$H,produtos_escape2!$A1204,Controle!$Z:$Z,"4")</f>
        <v>0</v>
      </c>
      <c r="J1204" s="507">
        <f>SUMIFS(Controle!$R:$R,Controle!$H:$H,produtos_escape2!$A1204,Controle!$Z:$Z,"5")</f>
        <v>0</v>
      </c>
      <c r="K1204" s="507">
        <f>SUMIFS(Controle!$R:$R,Controle!$H:$H,produtos_escape2!$A1204,Controle!$Z:$Z,"6")</f>
        <v>0</v>
      </c>
      <c r="L1204" s="507">
        <f t="shared" si="39"/>
        <v>0</v>
      </c>
      <c r="M1204" s="381" t="s">
        <v>5185</v>
      </c>
      <c r="AF1204" s="84"/>
    </row>
    <row r="1205" spans="1:32" s="185" customFormat="1" ht="14.25" customHeight="1" thickBot="1">
      <c r="A1205" s="353">
        <v>29780</v>
      </c>
      <c r="B1205" s="194" t="s">
        <v>2719</v>
      </c>
      <c r="C1205" s="339">
        <f t="shared" si="40"/>
        <v>50000</v>
      </c>
      <c r="D1205" s="196" t="s">
        <v>624</v>
      </c>
      <c r="E1205" s="187" t="s">
        <v>7207</v>
      </c>
      <c r="F1205" s="507">
        <f>SUMIFS(Controle!$R:$R,Controle!$H:$H,produtos_escape2!$A1205,Controle!$Z:$Z,"1")</f>
        <v>0</v>
      </c>
      <c r="G1205" s="507">
        <f>SUMIFS(Controle!$R:$R,Controle!$H:$H,produtos_escape2!$A1205,Controle!$Z:$Z,"2")</f>
        <v>0</v>
      </c>
      <c r="H1205" s="507">
        <f>SUMIFS(Controle!$R:$R,Controle!$H:$H,produtos_escape2!$A1205,Controle!$Z:$Z,"3")</f>
        <v>0</v>
      </c>
      <c r="I1205" s="507">
        <f>SUMIFS(Controle!$R:$R,Controle!$H:$H,produtos_escape2!$A1205,Controle!$Z:$Z,"4")</f>
        <v>0</v>
      </c>
      <c r="J1205" s="507">
        <f>SUMIFS(Controle!$R:$R,Controle!$H:$H,produtos_escape2!$A1205,Controle!$Z:$Z,"5")</f>
        <v>0</v>
      </c>
      <c r="K1205" s="507">
        <f>SUMIFS(Controle!$R:$R,Controle!$H:$H,produtos_escape2!$A1205,Controle!$Z:$Z,"6")</f>
        <v>0</v>
      </c>
      <c r="L1205" s="507">
        <f t="shared" si="39"/>
        <v>0</v>
      </c>
      <c r="M1205" s="381" t="s">
        <v>5185</v>
      </c>
      <c r="AF1205" s="84"/>
    </row>
    <row r="1206" spans="1:32" s="185" customFormat="1" ht="14.25" customHeight="1" thickBot="1">
      <c r="A1206" s="353">
        <v>29781</v>
      </c>
      <c r="B1206" s="194" t="s">
        <v>2720</v>
      </c>
      <c r="C1206" s="339">
        <f t="shared" si="40"/>
        <v>50000</v>
      </c>
      <c r="D1206" s="196" t="s">
        <v>624</v>
      </c>
      <c r="E1206" s="187" t="s">
        <v>7207</v>
      </c>
      <c r="F1206" s="507">
        <f>SUMIFS(Controle!$R:$R,Controle!$H:$H,produtos_escape2!$A1206,Controle!$Z:$Z,"1")</f>
        <v>0</v>
      </c>
      <c r="G1206" s="507">
        <f>SUMIFS(Controle!$R:$R,Controle!$H:$H,produtos_escape2!$A1206,Controle!$Z:$Z,"2")</f>
        <v>0</v>
      </c>
      <c r="H1206" s="507">
        <f>SUMIFS(Controle!$R:$R,Controle!$H:$H,produtos_escape2!$A1206,Controle!$Z:$Z,"3")</f>
        <v>0</v>
      </c>
      <c r="I1206" s="507">
        <f>SUMIFS(Controle!$R:$R,Controle!$H:$H,produtos_escape2!$A1206,Controle!$Z:$Z,"4")</f>
        <v>0</v>
      </c>
      <c r="J1206" s="507">
        <f>SUMIFS(Controle!$R:$R,Controle!$H:$H,produtos_escape2!$A1206,Controle!$Z:$Z,"5")</f>
        <v>0</v>
      </c>
      <c r="K1206" s="507">
        <f>SUMIFS(Controle!$R:$R,Controle!$H:$H,produtos_escape2!$A1206,Controle!$Z:$Z,"6")</f>
        <v>0</v>
      </c>
      <c r="L1206" s="507">
        <f t="shared" si="39"/>
        <v>0</v>
      </c>
      <c r="M1206" s="381" t="s">
        <v>5185</v>
      </c>
      <c r="AF1206" s="84"/>
    </row>
    <row r="1207" spans="1:32" s="185" customFormat="1" ht="14.25" customHeight="1" thickBot="1">
      <c r="A1207" s="353">
        <v>29782</v>
      </c>
      <c r="B1207" s="338" t="s">
        <v>2721</v>
      </c>
      <c r="C1207" s="339">
        <f t="shared" si="40"/>
        <v>50000</v>
      </c>
      <c r="D1207" s="196" t="s">
        <v>624</v>
      </c>
      <c r="E1207" s="187" t="s">
        <v>7207</v>
      </c>
      <c r="F1207" s="507">
        <f>SUMIFS(Controle!$R:$R,Controle!$H:$H,produtos_escape2!$A1207,Controle!$Z:$Z,"1")</f>
        <v>0</v>
      </c>
      <c r="G1207" s="507">
        <f>SUMIFS(Controle!$R:$R,Controle!$H:$H,produtos_escape2!$A1207,Controle!$Z:$Z,"2")</f>
        <v>0</v>
      </c>
      <c r="H1207" s="507">
        <f>SUMIFS(Controle!$R:$R,Controle!$H:$H,produtos_escape2!$A1207,Controle!$Z:$Z,"3")</f>
        <v>0</v>
      </c>
      <c r="I1207" s="507">
        <f>SUMIFS(Controle!$R:$R,Controle!$H:$H,produtos_escape2!$A1207,Controle!$Z:$Z,"4")</f>
        <v>0</v>
      </c>
      <c r="J1207" s="507">
        <f>SUMIFS(Controle!$R:$R,Controle!$H:$H,produtos_escape2!$A1207,Controle!$Z:$Z,"5")</f>
        <v>0</v>
      </c>
      <c r="K1207" s="507">
        <f>SUMIFS(Controle!$R:$R,Controle!$H:$H,produtos_escape2!$A1207,Controle!$Z:$Z,"6")</f>
        <v>0</v>
      </c>
      <c r="L1207" s="507">
        <f t="shared" si="39"/>
        <v>0</v>
      </c>
      <c r="M1207" s="381" t="s">
        <v>5185</v>
      </c>
      <c r="AF1207" s="84"/>
    </row>
    <row r="1208" spans="1:32" s="185" customFormat="1" ht="14.25" customHeight="1" thickBot="1">
      <c r="A1208" s="353">
        <v>29783</v>
      </c>
      <c r="B1208" s="194" t="s">
        <v>2722</v>
      </c>
      <c r="C1208" s="339">
        <f t="shared" si="40"/>
        <v>50000</v>
      </c>
      <c r="D1208" s="196" t="s">
        <v>624</v>
      </c>
      <c r="E1208" s="187" t="s">
        <v>7207</v>
      </c>
      <c r="F1208" s="507">
        <f>SUMIFS(Controle!$R:$R,Controle!$H:$H,produtos_escape2!$A1208,Controle!$Z:$Z,"1")</f>
        <v>0</v>
      </c>
      <c r="G1208" s="507">
        <f>SUMIFS(Controle!$R:$R,Controle!$H:$H,produtos_escape2!$A1208,Controle!$Z:$Z,"2")</f>
        <v>0</v>
      </c>
      <c r="H1208" s="507">
        <f>SUMIFS(Controle!$R:$R,Controle!$H:$H,produtos_escape2!$A1208,Controle!$Z:$Z,"3")</f>
        <v>0</v>
      </c>
      <c r="I1208" s="507">
        <f>SUMIFS(Controle!$R:$R,Controle!$H:$H,produtos_escape2!$A1208,Controle!$Z:$Z,"4")</f>
        <v>0</v>
      </c>
      <c r="J1208" s="507">
        <f>SUMIFS(Controle!$R:$R,Controle!$H:$H,produtos_escape2!$A1208,Controle!$Z:$Z,"5")</f>
        <v>0</v>
      </c>
      <c r="K1208" s="507">
        <f>SUMIFS(Controle!$R:$R,Controle!$H:$H,produtos_escape2!$A1208,Controle!$Z:$Z,"6")</f>
        <v>0</v>
      </c>
      <c r="L1208" s="507">
        <f t="shared" si="39"/>
        <v>0</v>
      </c>
      <c r="M1208" s="381" t="s">
        <v>5185</v>
      </c>
      <c r="AF1208" s="84"/>
    </row>
    <row r="1209" spans="1:32" s="185" customFormat="1" ht="14.25" customHeight="1" thickBot="1">
      <c r="A1209" s="353">
        <v>29820</v>
      </c>
      <c r="B1209" s="194" t="s">
        <v>4278</v>
      </c>
      <c r="C1209" s="339">
        <f t="shared" si="40"/>
        <v>49832</v>
      </c>
      <c r="D1209" s="196" t="s">
        <v>624</v>
      </c>
      <c r="E1209" s="187" t="s">
        <v>3608</v>
      </c>
      <c r="F1209" s="507">
        <f>SUMIFS(Controle!$R:$R,Controle!$H:$H,produtos_escape2!$A1209,Controle!$Z:$Z,"1")</f>
        <v>0</v>
      </c>
      <c r="G1209" s="507">
        <f>SUMIFS(Controle!$R:$R,Controle!$H:$H,produtos_escape2!$A1209,Controle!$Z:$Z,"2")</f>
        <v>62.400000000000006</v>
      </c>
      <c r="H1209" s="507">
        <f>SUMIFS(Controle!$R:$R,Controle!$H:$H,produtos_escape2!$A1209,Controle!$Z:$Z,"3")</f>
        <v>105.60000000000001</v>
      </c>
      <c r="I1209" s="507">
        <f>SUMIFS(Controle!$R:$R,Controle!$H:$H,produtos_escape2!$A1209,Controle!$Z:$Z,"4")</f>
        <v>0</v>
      </c>
      <c r="J1209" s="507">
        <f>SUMIFS(Controle!$R:$R,Controle!$H:$H,produtos_escape2!$A1209,Controle!$Z:$Z,"5")</f>
        <v>0</v>
      </c>
      <c r="K1209" s="507">
        <f>SUMIFS(Controle!$R:$R,Controle!$H:$H,produtos_escape2!$A1209,Controle!$Z:$Z,"6")</f>
        <v>0</v>
      </c>
      <c r="L1209" s="507">
        <f t="shared" si="39"/>
        <v>168</v>
      </c>
      <c r="M1209" s="381" t="s">
        <v>5186</v>
      </c>
      <c r="AF1209" s="84"/>
    </row>
    <row r="1210" spans="1:32" s="185" customFormat="1" ht="14.25" customHeight="1" thickBot="1">
      <c r="A1210" s="333">
        <v>29821</v>
      </c>
      <c r="B1210" s="194" t="s">
        <v>4279</v>
      </c>
      <c r="C1210" s="339">
        <f t="shared" si="40"/>
        <v>50000</v>
      </c>
      <c r="D1210" s="196" t="s">
        <v>624</v>
      </c>
      <c r="E1210" s="187" t="s">
        <v>3608</v>
      </c>
      <c r="F1210" s="507">
        <f>SUMIFS(Controle!$R:$R,Controle!$H:$H,produtos_escape2!$A1210,Controle!$Z:$Z,"1")</f>
        <v>0</v>
      </c>
      <c r="G1210" s="507">
        <f>SUMIFS(Controle!$R:$R,Controle!$H:$H,produtos_escape2!$A1210,Controle!$Z:$Z,"2")</f>
        <v>0</v>
      </c>
      <c r="H1210" s="507">
        <f>SUMIFS(Controle!$R:$R,Controle!$H:$H,produtos_escape2!$A1210,Controle!$Z:$Z,"3")</f>
        <v>0</v>
      </c>
      <c r="I1210" s="507">
        <f>SUMIFS(Controle!$R:$R,Controle!$H:$H,produtos_escape2!$A1210,Controle!$Z:$Z,"4")</f>
        <v>0</v>
      </c>
      <c r="J1210" s="507">
        <f>SUMIFS(Controle!$R:$R,Controle!$H:$H,produtos_escape2!$A1210,Controle!$Z:$Z,"5")</f>
        <v>0</v>
      </c>
      <c r="K1210" s="507">
        <f>SUMIFS(Controle!$R:$R,Controle!$H:$H,produtos_escape2!$A1210,Controle!$Z:$Z,"6")</f>
        <v>0</v>
      </c>
      <c r="L1210" s="507">
        <f t="shared" si="39"/>
        <v>0</v>
      </c>
      <c r="M1210" s="381" t="s">
        <v>5187</v>
      </c>
      <c r="AF1210" s="84"/>
    </row>
    <row r="1211" spans="1:32" s="185" customFormat="1" ht="14.25" customHeight="1" thickBot="1">
      <c r="A1211" s="353">
        <v>29822</v>
      </c>
      <c r="B1211" s="194" t="s">
        <v>3914</v>
      </c>
      <c r="C1211" s="339">
        <f t="shared" si="40"/>
        <v>49750.400000000001</v>
      </c>
      <c r="D1211" s="196" t="s">
        <v>624</v>
      </c>
      <c r="E1211" s="187" t="s">
        <v>3608</v>
      </c>
      <c r="F1211" s="507">
        <f>SUMIFS(Controle!$R:$R,Controle!$H:$H,produtos_escape2!$A1211,Controle!$Z:$Z,"1")</f>
        <v>0</v>
      </c>
      <c r="G1211" s="507">
        <f>SUMIFS(Controle!$R:$R,Controle!$H:$H,produtos_escape2!$A1211,Controle!$Z:$Z,"2")</f>
        <v>91.199999999999989</v>
      </c>
      <c r="H1211" s="507">
        <f>SUMIFS(Controle!$R:$R,Controle!$H:$H,produtos_escape2!$A1211,Controle!$Z:$Z,"3")</f>
        <v>158.39999999999998</v>
      </c>
      <c r="I1211" s="507">
        <f>SUMIFS(Controle!$R:$R,Controle!$H:$H,produtos_escape2!$A1211,Controle!$Z:$Z,"4")</f>
        <v>0</v>
      </c>
      <c r="J1211" s="507">
        <f>SUMIFS(Controle!$R:$R,Controle!$H:$H,produtos_escape2!$A1211,Controle!$Z:$Z,"5")</f>
        <v>0</v>
      </c>
      <c r="K1211" s="507">
        <f>SUMIFS(Controle!$R:$R,Controle!$H:$H,produtos_escape2!$A1211,Controle!$Z:$Z,"6")</f>
        <v>0</v>
      </c>
      <c r="L1211" s="507">
        <f t="shared" si="39"/>
        <v>249.59999999999997</v>
      </c>
      <c r="M1211" s="381" t="s">
        <v>5188</v>
      </c>
      <c r="AF1211" s="84"/>
    </row>
    <row r="1212" spans="1:32" s="185" customFormat="1" ht="14.25" customHeight="1" thickBot="1">
      <c r="A1212" s="353">
        <v>29891</v>
      </c>
      <c r="B1212" s="194" t="s">
        <v>2895</v>
      </c>
      <c r="C1212" s="339">
        <f t="shared" si="40"/>
        <v>50000</v>
      </c>
      <c r="D1212" s="196" t="s">
        <v>624</v>
      </c>
      <c r="E1212" s="187" t="s">
        <v>7207</v>
      </c>
      <c r="F1212" s="507">
        <f>SUMIFS(Controle!$R:$R,Controle!$H:$H,produtos_escape2!$A1212,Controle!$Z:$Z,"1")</f>
        <v>0</v>
      </c>
      <c r="G1212" s="507">
        <f>SUMIFS(Controle!$R:$R,Controle!$H:$H,produtos_escape2!$A1212,Controle!$Z:$Z,"2")</f>
        <v>0</v>
      </c>
      <c r="H1212" s="507">
        <f>SUMIFS(Controle!$R:$R,Controle!$H:$H,produtos_escape2!$A1212,Controle!$Z:$Z,"3")</f>
        <v>0</v>
      </c>
      <c r="I1212" s="507">
        <f>SUMIFS(Controle!$R:$R,Controle!$H:$H,produtos_escape2!$A1212,Controle!$Z:$Z,"4")</f>
        <v>0</v>
      </c>
      <c r="J1212" s="507">
        <f>SUMIFS(Controle!$R:$R,Controle!$H:$H,produtos_escape2!$A1212,Controle!$Z:$Z,"5")</f>
        <v>0</v>
      </c>
      <c r="K1212" s="507">
        <f>SUMIFS(Controle!$R:$R,Controle!$H:$H,produtos_escape2!$A1212,Controle!$Z:$Z,"6")</f>
        <v>0</v>
      </c>
      <c r="L1212" s="507">
        <f t="shared" si="39"/>
        <v>0</v>
      </c>
      <c r="M1212" s="381" t="s">
        <v>5189</v>
      </c>
      <c r="AF1212" s="84"/>
    </row>
    <row r="1213" spans="1:32" s="185" customFormat="1" ht="14.25" customHeight="1" thickBot="1">
      <c r="A1213" s="353">
        <v>29892</v>
      </c>
      <c r="B1213" s="194" t="s">
        <v>1433</v>
      </c>
      <c r="C1213" s="339">
        <f t="shared" si="40"/>
        <v>50000</v>
      </c>
      <c r="D1213" s="196" t="s">
        <v>624</v>
      </c>
      <c r="E1213" s="187" t="s">
        <v>7207</v>
      </c>
      <c r="F1213" s="507">
        <f>SUMIFS(Controle!$R:$R,Controle!$H:$H,produtos_escape2!$A1213,Controle!$Z:$Z,"1")</f>
        <v>0</v>
      </c>
      <c r="G1213" s="507">
        <f>SUMIFS(Controle!$R:$R,Controle!$H:$H,produtos_escape2!$A1213,Controle!$Z:$Z,"2")</f>
        <v>0</v>
      </c>
      <c r="H1213" s="507">
        <f>SUMIFS(Controle!$R:$R,Controle!$H:$H,produtos_escape2!$A1213,Controle!$Z:$Z,"3")</f>
        <v>0</v>
      </c>
      <c r="I1213" s="507">
        <f>SUMIFS(Controle!$R:$R,Controle!$H:$H,produtos_escape2!$A1213,Controle!$Z:$Z,"4")</f>
        <v>0</v>
      </c>
      <c r="J1213" s="507">
        <f>SUMIFS(Controle!$R:$R,Controle!$H:$H,produtos_escape2!$A1213,Controle!$Z:$Z,"5")</f>
        <v>0</v>
      </c>
      <c r="K1213" s="507">
        <f>SUMIFS(Controle!$R:$R,Controle!$H:$H,produtos_escape2!$A1213,Controle!$Z:$Z,"6")</f>
        <v>0</v>
      </c>
      <c r="L1213" s="507">
        <f t="shared" si="39"/>
        <v>0</v>
      </c>
      <c r="M1213" s="381" t="s">
        <v>5190</v>
      </c>
      <c r="AF1213" s="84"/>
    </row>
    <row r="1214" spans="1:32" s="185" customFormat="1" ht="14.25" customHeight="1" thickBot="1">
      <c r="A1214" s="353">
        <v>29893</v>
      </c>
      <c r="B1214" s="194" t="s">
        <v>2956</v>
      </c>
      <c r="C1214" s="339">
        <f t="shared" si="40"/>
        <v>50000</v>
      </c>
      <c r="D1214" s="196" t="s">
        <v>624</v>
      </c>
      <c r="E1214" s="187" t="s">
        <v>7207</v>
      </c>
      <c r="F1214" s="507">
        <f>SUMIFS(Controle!$R:$R,Controle!$H:$H,produtos_escape2!$A1214,Controle!$Z:$Z,"1")</f>
        <v>0</v>
      </c>
      <c r="G1214" s="507">
        <f>SUMIFS(Controle!$R:$R,Controle!$H:$H,produtos_escape2!$A1214,Controle!$Z:$Z,"2")</f>
        <v>0</v>
      </c>
      <c r="H1214" s="507">
        <f>SUMIFS(Controle!$R:$R,Controle!$H:$H,produtos_escape2!$A1214,Controle!$Z:$Z,"3")</f>
        <v>0</v>
      </c>
      <c r="I1214" s="507">
        <f>SUMIFS(Controle!$R:$R,Controle!$H:$H,produtos_escape2!$A1214,Controle!$Z:$Z,"4")</f>
        <v>0</v>
      </c>
      <c r="J1214" s="507">
        <f>SUMIFS(Controle!$R:$R,Controle!$H:$H,produtos_escape2!$A1214,Controle!$Z:$Z,"5")</f>
        <v>0</v>
      </c>
      <c r="K1214" s="507">
        <f>SUMIFS(Controle!$R:$R,Controle!$H:$H,produtos_escape2!$A1214,Controle!$Z:$Z,"6")</f>
        <v>0</v>
      </c>
      <c r="L1214" s="507">
        <f t="shared" si="39"/>
        <v>0</v>
      </c>
      <c r="M1214" s="381" t="s">
        <v>5191</v>
      </c>
      <c r="AF1214" s="84"/>
    </row>
    <row r="1215" spans="1:32" s="185" customFormat="1" ht="14.25" customHeight="1" thickBot="1">
      <c r="A1215" s="353">
        <v>29894</v>
      </c>
      <c r="B1215" s="194" t="s">
        <v>9053</v>
      </c>
      <c r="C1215" s="339">
        <f t="shared" si="40"/>
        <v>49358</v>
      </c>
      <c r="D1215" s="196" t="s">
        <v>624</v>
      </c>
      <c r="E1215" s="187" t="s">
        <v>7207</v>
      </c>
      <c r="F1215" s="507">
        <f>SUMIFS(Controle!$R:$R,Controle!$H:$H,produtos_escape2!$A1215,Controle!$Z:$Z,"1")</f>
        <v>0</v>
      </c>
      <c r="G1215" s="507">
        <f>SUMIFS(Controle!$R:$R,Controle!$H:$H,produtos_escape2!$A1215,Controle!$Z:$Z,"2")</f>
        <v>0</v>
      </c>
      <c r="H1215" s="507">
        <f>SUMIFS(Controle!$R:$R,Controle!$H:$H,produtos_escape2!$A1215,Controle!$Z:$Z,"3")</f>
        <v>0</v>
      </c>
      <c r="I1215" s="507">
        <f>SUMIFS(Controle!$R:$R,Controle!$H:$H,produtos_escape2!$A1215,Controle!$Z:$Z,"4")</f>
        <v>642</v>
      </c>
      <c r="J1215" s="507">
        <f>SUMIFS(Controle!$R:$R,Controle!$H:$H,produtos_escape2!$A1215,Controle!$Z:$Z,"5")</f>
        <v>0</v>
      </c>
      <c r="K1215" s="507">
        <f>SUMIFS(Controle!$R:$R,Controle!$H:$H,produtos_escape2!$A1215,Controle!$Z:$Z,"6")</f>
        <v>0</v>
      </c>
      <c r="L1215" s="507">
        <f t="shared" ref="L1215:L1278" si="41">SUM(F1215:K1215)</f>
        <v>642</v>
      </c>
      <c r="M1215" s="381" t="s">
        <v>9054</v>
      </c>
      <c r="AF1215" s="84"/>
    </row>
    <row r="1216" spans="1:32" s="185" customFormat="1" ht="14.25" customHeight="1" thickBot="1">
      <c r="A1216" s="353">
        <v>29943</v>
      </c>
      <c r="B1216" s="338" t="s">
        <v>1601</v>
      </c>
      <c r="C1216" s="339">
        <f t="shared" si="40"/>
        <v>50000</v>
      </c>
      <c r="D1216" s="196" t="s">
        <v>624</v>
      </c>
      <c r="E1216" s="187" t="s">
        <v>7207</v>
      </c>
      <c r="F1216" s="507">
        <f>SUMIFS(Controle!$R:$R,Controle!$H:$H,produtos_escape2!$A1216,Controle!$Z:$Z,"1")</f>
        <v>0</v>
      </c>
      <c r="G1216" s="507">
        <f>SUMIFS(Controle!$R:$R,Controle!$H:$H,produtos_escape2!$A1216,Controle!$Z:$Z,"2")</f>
        <v>0</v>
      </c>
      <c r="H1216" s="507">
        <f>SUMIFS(Controle!$R:$R,Controle!$H:$H,produtos_escape2!$A1216,Controle!$Z:$Z,"3")</f>
        <v>0</v>
      </c>
      <c r="I1216" s="507">
        <f>SUMIFS(Controle!$R:$R,Controle!$H:$H,produtos_escape2!$A1216,Controle!$Z:$Z,"4")</f>
        <v>0</v>
      </c>
      <c r="J1216" s="507">
        <f>SUMIFS(Controle!$R:$R,Controle!$H:$H,produtos_escape2!$A1216,Controle!$Z:$Z,"5")</f>
        <v>0</v>
      </c>
      <c r="K1216" s="507">
        <f>SUMIFS(Controle!$R:$R,Controle!$H:$H,produtos_escape2!$A1216,Controle!$Z:$Z,"6")</f>
        <v>0</v>
      </c>
      <c r="L1216" s="507">
        <f t="shared" si="41"/>
        <v>0</v>
      </c>
      <c r="M1216" s="381" t="s">
        <v>4868</v>
      </c>
      <c r="AF1216" s="84"/>
    </row>
    <row r="1217" spans="1:32" s="185" customFormat="1" ht="14.25" customHeight="1" thickBot="1">
      <c r="A1217" s="353">
        <v>29951</v>
      </c>
      <c r="B1217" s="194" t="s">
        <v>4364</v>
      </c>
      <c r="C1217" s="339">
        <f t="shared" si="40"/>
        <v>50000</v>
      </c>
      <c r="D1217" s="196" t="s">
        <v>624</v>
      </c>
      <c r="E1217" s="187" t="s">
        <v>3608</v>
      </c>
      <c r="F1217" s="507">
        <f>SUMIFS(Controle!$R:$R,Controle!$H:$H,produtos_escape2!$A1217,Controle!$Z:$Z,"1")</f>
        <v>0</v>
      </c>
      <c r="G1217" s="507">
        <f>SUMIFS(Controle!$R:$R,Controle!$H:$H,produtos_escape2!$A1217,Controle!$Z:$Z,"2")</f>
        <v>0</v>
      </c>
      <c r="H1217" s="507">
        <f>SUMIFS(Controle!$R:$R,Controle!$H:$H,produtos_escape2!$A1217,Controle!$Z:$Z,"3")</f>
        <v>0</v>
      </c>
      <c r="I1217" s="507">
        <f>SUMIFS(Controle!$R:$R,Controle!$H:$H,produtos_escape2!$A1217,Controle!$Z:$Z,"4")</f>
        <v>0</v>
      </c>
      <c r="J1217" s="507">
        <f>SUMIFS(Controle!$R:$R,Controle!$H:$H,produtos_escape2!$A1217,Controle!$Z:$Z,"5")</f>
        <v>0</v>
      </c>
      <c r="K1217" s="507">
        <f>SUMIFS(Controle!$R:$R,Controle!$H:$H,produtos_escape2!$A1217,Controle!$Z:$Z,"6")</f>
        <v>0</v>
      </c>
      <c r="L1217" s="507">
        <f t="shared" si="41"/>
        <v>0</v>
      </c>
      <c r="M1217" s="381" t="s">
        <v>5192</v>
      </c>
      <c r="AF1217" s="84"/>
    </row>
    <row r="1218" spans="1:32" s="185" customFormat="1" ht="14.25" customHeight="1" thickBot="1">
      <c r="A1218" s="353">
        <v>29955</v>
      </c>
      <c r="B1218" s="194" t="s">
        <v>4365</v>
      </c>
      <c r="C1218" s="339">
        <f t="shared" si="40"/>
        <v>50000</v>
      </c>
      <c r="D1218" s="196" t="s">
        <v>624</v>
      </c>
      <c r="E1218" s="187" t="s">
        <v>3608</v>
      </c>
      <c r="F1218" s="507">
        <f>SUMIFS(Controle!$R:$R,Controle!$H:$H,produtos_escape2!$A1218,Controle!$Z:$Z,"1")</f>
        <v>0</v>
      </c>
      <c r="G1218" s="507">
        <f>SUMIFS(Controle!$R:$R,Controle!$H:$H,produtos_escape2!$A1218,Controle!$Z:$Z,"2")</f>
        <v>0</v>
      </c>
      <c r="H1218" s="507">
        <f>SUMIFS(Controle!$R:$R,Controle!$H:$H,produtos_escape2!$A1218,Controle!$Z:$Z,"3")</f>
        <v>0</v>
      </c>
      <c r="I1218" s="507">
        <f>SUMIFS(Controle!$R:$R,Controle!$H:$H,produtos_escape2!$A1218,Controle!$Z:$Z,"4")</f>
        <v>0</v>
      </c>
      <c r="J1218" s="507">
        <f>SUMIFS(Controle!$R:$R,Controle!$H:$H,produtos_escape2!$A1218,Controle!$Z:$Z,"5")</f>
        <v>0</v>
      </c>
      <c r="K1218" s="507">
        <f>SUMIFS(Controle!$R:$R,Controle!$H:$H,produtos_escape2!$A1218,Controle!$Z:$Z,"6")</f>
        <v>0</v>
      </c>
      <c r="L1218" s="507">
        <f t="shared" si="41"/>
        <v>0</v>
      </c>
      <c r="M1218" s="381" t="s">
        <v>5193</v>
      </c>
      <c r="AF1218" s="84"/>
    </row>
    <row r="1219" spans="1:32" s="185" customFormat="1" ht="14.25" customHeight="1" thickBot="1">
      <c r="A1219" s="333">
        <v>29984</v>
      </c>
      <c r="B1219" s="194" t="s">
        <v>929</v>
      </c>
      <c r="C1219" s="339">
        <f t="shared" si="40"/>
        <v>50000</v>
      </c>
      <c r="D1219" s="196" t="s">
        <v>624</v>
      </c>
      <c r="E1219" s="187" t="s">
        <v>7207</v>
      </c>
      <c r="F1219" s="507">
        <f>SUMIFS(Controle!$R:$R,Controle!$H:$H,produtos_escape2!$A1219,Controle!$Z:$Z,"1")</f>
        <v>0</v>
      </c>
      <c r="G1219" s="507">
        <f>SUMIFS(Controle!$R:$R,Controle!$H:$H,produtos_escape2!$A1219,Controle!$Z:$Z,"2")</f>
        <v>0</v>
      </c>
      <c r="H1219" s="507">
        <f>SUMIFS(Controle!$R:$R,Controle!$H:$H,produtos_escape2!$A1219,Controle!$Z:$Z,"3")</f>
        <v>0</v>
      </c>
      <c r="I1219" s="507">
        <f>SUMIFS(Controle!$R:$R,Controle!$H:$H,produtos_escape2!$A1219,Controle!$Z:$Z,"4")</f>
        <v>0</v>
      </c>
      <c r="J1219" s="507">
        <f>SUMIFS(Controle!$R:$R,Controle!$H:$H,produtos_escape2!$A1219,Controle!$Z:$Z,"5")</f>
        <v>0</v>
      </c>
      <c r="K1219" s="507">
        <f>SUMIFS(Controle!$R:$R,Controle!$H:$H,produtos_escape2!$A1219,Controle!$Z:$Z,"6")</f>
        <v>0</v>
      </c>
      <c r="L1219" s="507">
        <f t="shared" si="41"/>
        <v>0</v>
      </c>
      <c r="M1219" s="381" t="s">
        <v>5194</v>
      </c>
      <c r="AF1219" s="84"/>
    </row>
    <row r="1220" spans="1:32" s="185" customFormat="1" ht="14.25" customHeight="1" thickBot="1">
      <c r="A1220" s="353">
        <v>29985</v>
      </c>
      <c r="B1220" s="194" t="s">
        <v>930</v>
      </c>
      <c r="C1220" s="339">
        <f t="shared" si="40"/>
        <v>50000</v>
      </c>
      <c r="D1220" s="196" t="s">
        <v>624</v>
      </c>
      <c r="E1220" s="187" t="s">
        <v>7207</v>
      </c>
      <c r="F1220" s="507">
        <f>SUMIFS(Controle!$R:$R,Controle!$H:$H,produtos_escape2!$A1220,Controle!$Z:$Z,"1")</f>
        <v>0</v>
      </c>
      <c r="G1220" s="507">
        <f>SUMIFS(Controle!$R:$R,Controle!$H:$H,produtos_escape2!$A1220,Controle!$Z:$Z,"2")</f>
        <v>0</v>
      </c>
      <c r="H1220" s="507">
        <f>SUMIFS(Controle!$R:$R,Controle!$H:$H,produtos_escape2!$A1220,Controle!$Z:$Z,"3")</f>
        <v>0</v>
      </c>
      <c r="I1220" s="507">
        <f>SUMIFS(Controle!$R:$R,Controle!$H:$H,produtos_escape2!$A1220,Controle!$Z:$Z,"4")</f>
        <v>0</v>
      </c>
      <c r="J1220" s="507">
        <f>SUMIFS(Controle!$R:$R,Controle!$H:$H,produtos_escape2!$A1220,Controle!$Z:$Z,"5")</f>
        <v>0</v>
      </c>
      <c r="K1220" s="507">
        <f>SUMIFS(Controle!$R:$R,Controle!$H:$H,produtos_escape2!$A1220,Controle!$Z:$Z,"6")</f>
        <v>0</v>
      </c>
      <c r="L1220" s="507">
        <f t="shared" si="41"/>
        <v>0</v>
      </c>
      <c r="M1220" s="381" t="s">
        <v>5195</v>
      </c>
      <c r="AF1220" s="84"/>
    </row>
    <row r="1221" spans="1:32" s="185" customFormat="1" ht="14.25" customHeight="1" thickBot="1">
      <c r="A1221" s="353">
        <v>29986</v>
      </c>
      <c r="B1221" s="194" t="s">
        <v>931</v>
      </c>
      <c r="C1221" s="339">
        <f t="shared" ref="C1221:C1284" si="42">50000-SUM(F1221:K1221)</f>
        <v>50000</v>
      </c>
      <c r="D1221" s="196" t="s">
        <v>624</v>
      </c>
      <c r="E1221" s="187" t="s">
        <v>7207</v>
      </c>
      <c r="F1221" s="507">
        <f>SUMIFS(Controle!$R:$R,Controle!$H:$H,produtos_escape2!$A1221,Controle!$Z:$Z,"1")</f>
        <v>0</v>
      </c>
      <c r="G1221" s="507">
        <f>SUMIFS(Controle!$R:$R,Controle!$H:$H,produtos_escape2!$A1221,Controle!$Z:$Z,"2")</f>
        <v>0</v>
      </c>
      <c r="H1221" s="507">
        <f>SUMIFS(Controle!$R:$R,Controle!$H:$H,produtos_escape2!$A1221,Controle!$Z:$Z,"3")</f>
        <v>0</v>
      </c>
      <c r="I1221" s="507">
        <f>SUMIFS(Controle!$R:$R,Controle!$H:$H,produtos_escape2!$A1221,Controle!$Z:$Z,"4")</f>
        <v>0</v>
      </c>
      <c r="J1221" s="507">
        <f>SUMIFS(Controle!$R:$R,Controle!$H:$H,produtos_escape2!$A1221,Controle!$Z:$Z,"5")</f>
        <v>0</v>
      </c>
      <c r="K1221" s="507">
        <f>SUMIFS(Controle!$R:$R,Controle!$H:$H,produtos_escape2!$A1221,Controle!$Z:$Z,"6")</f>
        <v>0</v>
      </c>
      <c r="L1221" s="507">
        <f t="shared" si="41"/>
        <v>0</v>
      </c>
      <c r="M1221" s="381" t="s">
        <v>5196</v>
      </c>
      <c r="AF1221" s="84"/>
    </row>
    <row r="1222" spans="1:32" s="185" customFormat="1" ht="14.25" customHeight="1" thickBot="1">
      <c r="A1222" s="353">
        <v>29987</v>
      </c>
      <c r="B1222" s="194" t="s">
        <v>932</v>
      </c>
      <c r="C1222" s="339">
        <f t="shared" si="42"/>
        <v>50000</v>
      </c>
      <c r="D1222" s="196" t="s">
        <v>624</v>
      </c>
      <c r="E1222" s="187" t="s">
        <v>7207</v>
      </c>
      <c r="F1222" s="507">
        <f>SUMIFS(Controle!$R:$R,Controle!$H:$H,produtos_escape2!$A1222,Controle!$Z:$Z,"1")</f>
        <v>0</v>
      </c>
      <c r="G1222" s="507">
        <f>SUMIFS(Controle!$R:$R,Controle!$H:$H,produtos_escape2!$A1222,Controle!$Z:$Z,"2")</f>
        <v>0</v>
      </c>
      <c r="H1222" s="507">
        <f>SUMIFS(Controle!$R:$R,Controle!$H:$H,produtos_escape2!$A1222,Controle!$Z:$Z,"3")</f>
        <v>0</v>
      </c>
      <c r="I1222" s="507">
        <f>SUMIFS(Controle!$R:$R,Controle!$H:$H,produtos_escape2!$A1222,Controle!$Z:$Z,"4")</f>
        <v>0</v>
      </c>
      <c r="J1222" s="507">
        <f>SUMIFS(Controle!$R:$R,Controle!$H:$H,produtos_escape2!$A1222,Controle!$Z:$Z,"5")</f>
        <v>0</v>
      </c>
      <c r="K1222" s="507">
        <f>SUMIFS(Controle!$R:$R,Controle!$H:$H,produtos_escape2!$A1222,Controle!$Z:$Z,"6")</f>
        <v>0</v>
      </c>
      <c r="L1222" s="507">
        <f t="shared" si="41"/>
        <v>0</v>
      </c>
      <c r="M1222" s="381" t="s">
        <v>5197</v>
      </c>
      <c r="AF1222" s="84"/>
    </row>
    <row r="1223" spans="1:32" s="185" customFormat="1" ht="14.25" customHeight="1" thickBot="1">
      <c r="A1223" s="353">
        <v>29988</v>
      </c>
      <c r="B1223" s="194" t="s">
        <v>933</v>
      </c>
      <c r="C1223" s="339">
        <f t="shared" si="42"/>
        <v>50000</v>
      </c>
      <c r="D1223" s="196" t="s">
        <v>624</v>
      </c>
      <c r="E1223" s="187" t="s">
        <v>7207</v>
      </c>
      <c r="F1223" s="507">
        <f>SUMIFS(Controle!$R:$R,Controle!$H:$H,produtos_escape2!$A1223,Controle!$Z:$Z,"1")</f>
        <v>0</v>
      </c>
      <c r="G1223" s="507">
        <f>SUMIFS(Controle!$R:$R,Controle!$H:$H,produtos_escape2!$A1223,Controle!$Z:$Z,"2")</f>
        <v>0</v>
      </c>
      <c r="H1223" s="507">
        <f>SUMIFS(Controle!$R:$R,Controle!$H:$H,produtos_escape2!$A1223,Controle!$Z:$Z,"3")</f>
        <v>0</v>
      </c>
      <c r="I1223" s="507">
        <f>SUMIFS(Controle!$R:$R,Controle!$H:$H,produtos_escape2!$A1223,Controle!$Z:$Z,"4")</f>
        <v>0</v>
      </c>
      <c r="J1223" s="507">
        <f>SUMIFS(Controle!$R:$R,Controle!$H:$H,produtos_escape2!$A1223,Controle!$Z:$Z,"5")</f>
        <v>0</v>
      </c>
      <c r="K1223" s="507">
        <f>SUMIFS(Controle!$R:$R,Controle!$H:$H,produtos_escape2!$A1223,Controle!$Z:$Z,"6")</f>
        <v>0</v>
      </c>
      <c r="L1223" s="507">
        <f t="shared" si="41"/>
        <v>0</v>
      </c>
      <c r="M1223" s="381" t="s">
        <v>5198</v>
      </c>
      <c r="AF1223" s="84"/>
    </row>
    <row r="1224" spans="1:32" s="185" customFormat="1" ht="14.25" customHeight="1" thickBot="1">
      <c r="A1224" s="353">
        <v>29989</v>
      </c>
      <c r="B1224" s="338" t="s">
        <v>934</v>
      </c>
      <c r="C1224" s="339">
        <f t="shared" si="42"/>
        <v>50000</v>
      </c>
      <c r="D1224" s="196" t="s">
        <v>624</v>
      </c>
      <c r="E1224" s="187" t="s">
        <v>7207</v>
      </c>
      <c r="F1224" s="507">
        <f>SUMIFS(Controle!$R:$R,Controle!$H:$H,produtos_escape2!$A1224,Controle!$Z:$Z,"1")</f>
        <v>0</v>
      </c>
      <c r="G1224" s="507">
        <f>SUMIFS(Controle!$R:$R,Controle!$H:$H,produtos_escape2!$A1224,Controle!$Z:$Z,"2")</f>
        <v>0</v>
      </c>
      <c r="H1224" s="507">
        <f>SUMIFS(Controle!$R:$R,Controle!$H:$H,produtos_escape2!$A1224,Controle!$Z:$Z,"3")</f>
        <v>0</v>
      </c>
      <c r="I1224" s="507">
        <f>SUMIFS(Controle!$R:$R,Controle!$H:$H,produtos_escape2!$A1224,Controle!$Z:$Z,"4")</f>
        <v>0</v>
      </c>
      <c r="J1224" s="507">
        <f>SUMIFS(Controle!$R:$R,Controle!$H:$H,produtos_escape2!$A1224,Controle!$Z:$Z,"5")</f>
        <v>0</v>
      </c>
      <c r="K1224" s="507">
        <f>SUMIFS(Controle!$R:$R,Controle!$H:$H,produtos_escape2!$A1224,Controle!$Z:$Z,"6")</f>
        <v>0</v>
      </c>
      <c r="L1224" s="507">
        <f t="shared" si="41"/>
        <v>0</v>
      </c>
      <c r="M1224" s="381" t="s">
        <v>5199</v>
      </c>
      <c r="AF1224" s="84"/>
    </row>
    <row r="1225" spans="1:32" s="185" customFormat="1" ht="14.25" customHeight="1" thickBot="1">
      <c r="A1225" s="353">
        <v>30015</v>
      </c>
      <c r="B1225" s="194" t="s">
        <v>9628</v>
      </c>
      <c r="C1225" s="339">
        <f t="shared" si="42"/>
        <v>34100</v>
      </c>
      <c r="D1225" s="196" t="s">
        <v>624</v>
      </c>
      <c r="E1225" s="187" t="s">
        <v>7207</v>
      </c>
      <c r="F1225" s="507">
        <f>SUMIFS(Controle!$R:$R,Controle!$H:$H,produtos_escape2!$A1225,Controle!$Z:$Z,"1")</f>
        <v>0</v>
      </c>
      <c r="G1225" s="507">
        <f>SUMIFS(Controle!$R:$R,Controle!$H:$H,produtos_escape2!$A1225,Controle!$Z:$Z,"2")</f>
        <v>0</v>
      </c>
      <c r="H1225" s="507">
        <f>SUMIFS(Controle!$R:$R,Controle!$H:$H,produtos_escape2!$A1225,Controle!$Z:$Z,"3")</f>
        <v>0</v>
      </c>
      <c r="I1225" s="507">
        <f>SUMIFS(Controle!$R:$R,Controle!$H:$H,produtos_escape2!$A1225,Controle!$Z:$Z,"4")</f>
        <v>0</v>
      </c>
      <c r="J1225" s="507">
        <f>SUMIFS(Controle!$R:$R,Controle!$H:$H,produtos_escape2!$A1225,Controle!$Z:$Z,"5")</f>
        <v>0</v>
      </c>
      <c r="K1225" s="507">
        <f>SUMIFS(Controle!$R:$R,Controle!$H:$H,produtos_escape2!$A1225,Controle!$Z:$Z,"6")</f>
        <v>15900</v>
      </c>
      <c r="L1225" s="507">
        <f t="shared" si="41"/>
        <v>15900</v>
      </c>
      <c r="M1225" s="381" t="s">
        <v>5200</v>
      </c>
      <c r="AF1225" s="84"/>
    </row>
    <row r="1226" spans="1:32" s="185" customFormat="1" ht="14.25" customHeight="1" thickBot="1">
      <c r="A1226" s="353">
        <v>30016</v>
      </c>
      <c r="B1226" s="194" t="s">
        <v>3014</v>
      </c>
      <c r="C1226" s="339">
        <f t="shared" si="42"/>
        <v>50000</v>
      </c>
      <c r="D1226" s="196" t="s">
        <v>624</v>
      </c>
      <c r="E1226" s="187" t="s">
        <v>7207</v>
      </c>
      <c r="F1226" s="507">
        <f>SUMIFS(Controle!$R:$R,Controle!$H:$H,produtos_escape2!$A1226,Controle!$Z:$Z,"1")</f>
        <v>0</v>
      </c>
      <c r="G1226" s="507">
        <f>SUMIFS(Controle!$R:$R,Controle!$H:$H,produtos_escape2!$A1226,Controle!$Z:$Z,"2")</f>
        <v>0</v>
      </c>
      <c r="H1226" s="507">
        <f>SUMIFS(Controle!$R:$R,Controle!$H:$H,produtos_escape2!$A1226,Controle!$Z:$Z,"3")</f>
        <v>0</v>
      </c>
      <c r="I1226" s="507">
        <f>SUMIFS(Controle!$R:$R,Controle!$H:$H,produtos_escape2!$A1226,Controle!$Z:$Z,"4")</f>
        <v>0</v>
      </c>
      <c r="J1226" s="507">
        <f>SUMIFS(Controle!$R:$R,Controle!$H:$H,produtos_escape2!$A1226,Controle!$Z:$Z,"5")</f>
        <v>0</v>
      </c>
      <c r="K1226" s="507">
        <f>SUMIFS(Controle!$R:$R,Controle!$H:$H,produtos_escape2!$A1226,Controle!$Z:$Z,"6")</f>
        <v>0</v>
      </c>
      <c r="L1226" s="507">
        <f t="shared" si="41"/>
        <v>0</v>
      </c>
      <c r="M1226" s="381" t="s">
        <v>5200</v>
      </c>
      <c r="AF1226" s="84"/>
    </row>
    <row r="1227" spans="1:32" s="185" customFormat="1" ht="30.75" customHeight="1" thickBot="1">
      <c r="A1227" s="353">
        <v>30086</v>
      </c>
      <c r="B1227" s="194" t="s">
        <v>3382</v>
      </c>
      <c r="C1227" s="339">
        <f t="shared" si="42"/>
        <v>50000</v>
      </c>
      <c r="D1227" s="191" t="s">
        <v>3029</v>
      </c>
      <c r="E1227" s="189" t="s">
        <v>3608</v>
      </c>
      <c r="F1227" s="507">
        <f>SUMIFS(Controle!$R:$R,Controle!$H:$H,produtos_escape2!$A1227,Controle!$Z:$Z,"1")</f>
        <v>0</v>
      </c>
      <c r="G1227" s="507">
        <f>SUMIFS(Controle!$R:$R,Controle!$H:$H,produtos_escape2!$A1227,Controle!$Z:$Z,"2")</f>
        <v>0</v>
      </c>
      <c r="H1227" s="507">
        <f>SUMIFS(Controle!$R:$R,Controle!$H:$H,produtos_escape2!$A1227,Controle!$Z:$Z,"3")</f>
        <v>0</v>
      </c>
      <c r="I1227" s="507">
        <f>SUMIFS(Controle!$R:$R,Controle!$H:$H,produtos_escape2!$A1227,Controle!$Z:$Z,"4")</f>
        <v>0</v>
      </c>
      <c r="J1227" s="507">
        <f>SUMIFS(Controle!$R:$R,Controle!$H:$H,produtos_escape2!$A1227,Controle!$Z:$Z,"5")</f>
        <v>0</v>
      </c>
      <c r="K1227" s="507">
        <f>SUMIFS(Controle!$R:$R,Controle!$H:$H,produtos_escape2!$A1227,Controle!$Z:$Z,"6")</f>
        <v>0</v>
      </c>
      <c r="L1227" s="507">
        <f t="shared" si="41"/>
        <v>0</v>
      </c>
      <c r="M1227" s="381" t="s">
        <v>5201</v>
      </c>
      <c r="AF1227" s="84"/>
    </row>
    <row r="1228" spans="1:32" s="185" customFormat="1" ht="14.25" customHeight="1" thickBot="1">
      <c r="A1228" s="333">
        <v>30087</v>
      </c>
      <c r="B1228" s="194" t="s">
        <v>3504</v>
      </c>
      <c r="C1228" s="339">
        <f t="shared" si="42"/>
        <v>50000</v>
      </c>
      <c r="D1228" s="196" t="s">
        <v>3029</v>
      </c>
      <c r="E1228" s="187" t="s">
        <v>3608</v>
      </c>
      <c r="F1228" s="507">
        <f>SUMIFS(Controle!$R:$R,Controle!$H:$H,produtos_escape2!$A1228,Controle!$Z:$Z,"1")</f>
        <v>0</v>
      </c>
      <c r="G1228" s="507">
        <f>SUMIFS(Controle!$R:$R,Controle!$H:$H,produtos_escape2!$A1228,Controle!$Z:$Z,"2")</f>
        <v>0</v>
      </c>
      <c r="H1228" s="507">
        <f>SUMIFS(Controle!$R:$R,Controle!$H:$H,produtos_escape2!$A1228,Controle!$Z:$Z,"3")</f>
        <v>0</v>
      </c>
      <c r="I1228" s="507">
        <f>SUMIFS(Controle!$R:$R,Controle!$H:$H,produtos_escape2!$A1228,Controle!$Z:$Z,"4")</f>
        <v>0</v>
      </c>
      <c r="J1228" s="507">
        <f>SUMIFS(Controle!$R:$R,Controle!$H:$H,produtos_escape2!$A1228,Controle!$Z:$Z,"5")</f>
        <v>0</v>
      </c>
      <c r="K1228" s="507">
        <f>SUMIFS(Controle!$R:$R,Controle!$H:$H,produtos_escape2!$A1228,Controle!$Z:$Z,"6")</f>
        <v>0</v>
      </c>
      <c r="L1228" s="507">
        <f t="shared" si="41"/>
        <v>0</v>
      </c>
      <c r="M1228" s="381" t="s">
        <v>5202</v>
      </c>
      <c r="AF1228" s="84"/>
    </row>
    <row r="1229" spans="1:32" s="185" customFormat="1" ht="14.25" customHeight="1" thickBot="1">
      <c r="A1229" s="353">
        <v>30181</v>
      </c>
      <c r="B1229" s="194" t="s">
        <v>1161</v>
      </c>
      <c r="C1229" s="339">
        <f t="shared" si="42"/>
        <v>50000</v>
      </c>
      <c r="D1229" s="196" t="s">
        <v>624</v>
      </c>
      <c r="E1229" s="187" t="s">
        <v>3608</v>
      </c>
      <c r="F1229" s="507">
        <f>SUMIFS(Controle!$R:$R,Controle!$H:$H,produtos_escape2!$A1229,Controle!$Z:$Z,"1")</f>
        <v>0</v>
      </c>
      <c r="G1229" s="507">
        <f>SUMIFS(Controle!$R:$R,Controle!$H:$H,produtos_escape2!$A1229,Controle!$Z:$Z,"2")</f>
        <v>0</v>
      </c>
      <c r="H1229" s="507">
        <f>SUMIFS(Controle!$R:$R,Controle!$H:$H,produtos_escape2!$A1229,Controle!$Z:$Z,"3")</f>
        <v>0</v>
      </c>
      <c r="I1229" s="507">
        <f>SUMIFS(Controle!$R:$R,Controle!$H:$H,produtos_escape2!$A1229,Controle!$Z:$Z,"4")</f>
        <v>0</v>
      </c>
      <c r="J1229" s="507">
        <f>SUMIFS(Controle!$R:$R,Controle!$H:$H,produtos_escape2!$A1229,Controle!$Z:$Z,"5")</f>
        <v>0</v>
      </c>
      <c r="K1229" s="507">
        <f>SUMIFS(Controle!$R:$R,Controle!$H:$H,produtos_escape2!$A1229,Controle!$Z:$Z,"6")</f>
        <v>0</v>
      </c>
      <c r="L1229" s="507">
        <f t="shared" si="41"/>
        <v>0</v>
      </c>
      <c r="M1229" s="381" t="s">
        <v>5203</v>
      </c>
      <c r="AF1229" s="84"/>
    </row>
    <row r="1230" spans="1:32" s="185" customFormat="1" ht="14.25" customHeight="1" thickBot="1">
      <c r="A1230" s="353">
        <v>30252</v>
      </c>
      <c r="B1230" s="194" t="s">
        <v>1774</v>
      </c>
      <c r="C1230" s="339">
        <f t="shared" si="42"/>
        <v>50000</v>
      </c>
      <c r="D1230" s="196" t="s">
        <v>624</v>
      </c>
      <c r="E1230" s="187" t="s">
        <v>3608</v>
      </c>
      <c r="F1230" s="507">
        <f>SUMIFS(Controle!$R:$R,Controle!$H:$H,produtos_escape2!$A1230,Controle!$Z:$Z,"1")</f>
        <v>0</v>
      </c>
      <c r="G1230" s="507">
        <f>SUMIFS(Controle!$R:$R,Controle!$H:$H,produtos_escape2!$A1230,Controle!$Z:$Z,"2")</f>
        <v>0</v>
      </c>
      <c r="H1230" s="507">
        <f>SUMIFS(Controle!$R:$R,Controle!$H:$H,produtos_escape2!$A1230,Controle!$Z:$Z,"3")</f>
        <v>0</v>
      </c>
      <c r="I1230" s="507">
        <f>SUMIFS(Controle!$R:$R,Controle!$H:$H,produtos_escape2!$A1230,Controle!$Z:$Z,"4")</f>
        <v>0</v>
      </c>
      <c r="J1230" s="507">
        <f>SUMIFS(Controle!$R:$R,Controle!$H:$H,produtos_escape2!$A1230,Controle!$Z:$Z,"5")</f>
        <v>0</v>
      </c>
      <c r="K1230" s="507">
        <f>SUMIFS(Controle!$R:$R,Controle!$H:$H,produtos_escape2!$A1230,Controle!$Z:$Z,"6")</f>
        <v>0</v>
      </c>
      <c r="L1230" s="507">
        <f t="shared" si="41"/>
        <v>0</v>
      </c>
      <c r="M1230" s="381" t="s">
        <v>5204</v>
      </c>
      <c r="AF1230" s="84"/>
    </row>
    <row r="1231" spans="1:32" s="185" customFormat="1" ht="14.25" customHeight="1" thickBot="1">
      <c r="A1231" s="353">
        <v>30284</v>
      </c>
      <c r="B1231" s="194" t="s">
        <v>3722</v>
      </c>
      <c r="C1231" s="339">
        <f t="shared" si="42"/>
        <v>50000</v>
      </c>
      <c r="D1231" s="196" t="s">
        <v>549</v>
      </c>
      <c r="E1231" s="187" t="s">
        <v>3608</v>
      </c>
      <c r="F1231" s="507">
        <f>SUMIFS(Controle!$R:$R,Controle!$H:$H,produtos_escape2!$A1231,Controle!$Z:$Z,"1")</f>
        <v>0</v>
      </c>
      <c r="G1231" s="507">
        <f>SUMIFS(Controle!$R:$R,Controle!$H:$H,produtos_escape2!$A1231,Controle!$Z:$Z,"2")</f>
        <v>0</v>
      </c>
      <c r="H1231" s="507">
        <f>SUMIFS(Controle!$R:$R,Controle!$H:$H,produtos_escape2!$A1231,Controle!$Z:$Z,"3")</f>
        <v>0</v>
      </c>
      <c r="I1231" s="507">
        <f>SUMIFS(Controle!$R:$R,Controle!$H:$H,produtos_escape2!$A1231,Controle!$Z:$Z,"4")</f>
        <v>0</v>
      </c>
      <c r="J1231" s="507">
        <f>SUMIFS(Controle!$R:$R,Controle!$H:$H,produtos_escape2!$A1231,Controle!$Z:$Z,"5")</f>
        <v>0</v>
      </c>
      <c r="K1231" s="507">
        <f>SUMIFS(Controle!$R:$R,Controle!$H:$H,produtos_escape2!$A1231,Controle!$Z:$Z,"6")</f>
        <v>0</v>
      </c>
      <c r="L1231" s="507">
        <f t="shared" si="41"/>
        <v>0</v>
      </c>
      <c r="M1231" s="381" t="s">
        <v>3722</v>
      </c>
      <c r="AF1231" s="84"/>
    </row>
    <row r="1232" spans="1:32" s="185" customFormat="1" ht="14.25" customHeight="1" thickBot="1">
      <c r="A1232" s="353">
        <v>30313</v>
      </c>
      <c r="B1232" s="194" t="s">
        <v>3369</v>
      </c>
      <c r="C1232" s="339">
        <f t="shared" si="42"/>
        <v>50000</v>
      </c>
      <c r="D1232" s="196" t="s">
        <v>624</v>
      </c>
      <c r="E1232" s="189" t="s">
        <v>7207</v>
      </c>
      <c r="F1232" s="507">
        <f>SUMIFS(Controle!$R:$R,Controle!$H:$H,produtos_escape2!$A1232,Controle!$Z:$Z,"1")</f>
        <v>0</v>
      </c>
      <c r="G1232" s="507">
        <f>SUMIFS(Controle!$R:$R,Controle!$H:$H,produtos_escape2!$A1232,Controle!$Z:$Z,"2")</f>
        <v>0</v>
      </c>
      <c r="H1232" s="507">
        <f>SUMIFS(Controle!$R:$R,Controle!$H:$H,produtos_escape2!$A1232,Controle!$Z:$Z,"3")</f>
        <v>0</v>
      </c>
      <c r="I1232" s="507">
        <f>SUMIFS(Controle!$R:$R,Controle!$H:$H,produtos_escape2!$A1232,Controle!$Z:$Z,"4")</f>
        <v>0</v>
      </c>
      <c r="J1232" s="507">
        <f>SUMIFS(Controle!$R:$R,Controle!$H:$H,produtos_escape2!$A1232,Controle!$Z:$Z,"5")</f>
        <v>0</v>
      </c>
      <c r="K1232" s="507">
        <f>SUMIFS(Controle!$R:$R,Controle!$H:$H,produtos_escape2!$A1232,Controle!$Z:$Z,"6")</f>
        <v>0</v>
      </c>
      <c r="L1232" s="507">
        <f t="shared" si="41"/>
        <v>0</v>
      </c>
      <c r="M1232" s="381" t="s">
        <v>5205</v>
      </c>
      <c r="AF1232" s="84"/>
    </row>
    <row r="1233" spans="1:32" s="185" customFormat="1" ht="14.25" customHeight="1" thickBot="1">
      <c r="A1233" s="353">
        <v>30338</v>
      </c>
      <c r="B1233" s="338" t="s">
        <v>3603</v>
      </c>
      <c r="C1233" s="339">
        <f t="shared" si="42"/>
        <v>50000</v>
      </c>
      <c r="D1233" s="196" t="s">
        <v>624</v>
      </c>
      <c r="E1233" s="187" t="s">
        <v>7207</v>
      </c>
      <c r="F1233" s="507">
        <f>SUMIFS(Controle!$R:$R,Controle!$H:$H,produtos_escape2!$A1233,Controle!$Z:$Z,"1")</f>
        <v>0</v>
      </c>
      <c r="G1233" s="507">
        <f>SUMIFS(Controle!$R:$R,Controle!$H:$H,produtos_escape2!$A1233,Controle!$Z:$Z,"2")</f>
        <v>0</v>
      </c>
      <c r="H1233" s="507">
        <f>SUMIFS(Controle!$R:$R,Controle!$H:$H,produtos_escape2!$A1233,Controle!$Z:$Z,"3")</f>
        <v>0</v>
      </c>
      <c r="I1233" s="507">
        <f>SUMIFS(Controle!$R:$R,Controle!$H:$H,produtos_escape2!$A1233,Controle!$Z:$Z,"4")</f>
        <v>0</v>
      </c>
      <c r="J1233" s="507">
        <f>SUMIFS(Controle!$R:$R,Controle!$H:$H,produtos_escape2!$A1233,Controle!$Z:$Z,"5")</f>
        <v>0</v>
      </c>
      <c r="K1233" s="507">
        <f>SUMIFS(Controle!$R:$R,Controle!$H:$H,produtos_escape2!$A1233,Controle!$Z:$Z,"6")</f>
        <v>0</v>
      </c>
      <c r="L1233" s="507">
        <f t="shared" si="41"/>
        <v>0</v>
      </c>
      <c r="M1233" s="381" t="s">
        <v>5206</v>
      </c>
      <c r="AF1233" s="84"/>
    </row>
    <row r="1234" spans="1:32" s="185" customFormat="1" ht="14.25" customHeight="1" thickBot="1">
      <c r="A1234" s="353">
        <v>30614</v>
      </c>
      <c r="B1234" s="194" t="s">
        <v>6876</v>
      </c>
      <c r="C1234" s="339">
        <f t="shared" si="42"/>
        <v>50000</v>
      </c>
      <c r="D1234" s="196" t="s">
        <v>548</v>
      </c>
      <c r="E1234" s="187" t="s">
        <v>3608</v>
      </c>
      <c r="F1234" s="507">
        <f>SUMIFS(Controle!$R:$R,Controle!$H:$H,produtos_escape2!$A1234,Controle!$Z:$Z,"1")</f>
        <v>0</v>
      </c>
      <c r="G1234" s="507">
        <f>SUMIFS(Controle!$R:$R,Controle!$H:$H,produtos_escape2!$A1234,Controle!$Z:$Z,"2")</f>
        <v>0</v>
      </c>
      <c r="H1234" s="507">
        <f>SUMIFS(Controle!$R:$R,Controle!$H:$H,produtos_escape2!$A1234,Controle!$Z:$Z,"3")</f>
        <v>0</v>
      </c>
      <c r="I1234" s="507">
        <f>SUMIFS(Controle!$R:$R,Controle!$H:$H,produtos_escape2!$A1234,Controle!$Z:$Z,"4")</f>
        <v>0</v>
      </c>
      <c r="J1234" s="507">
        <f>SUMIFS(Controle!$R:$R,Controle!$H:$H,produtos_escape2!$A1234,Controle!$Z:$Z,"5")</f>
        <v>0</v>
      </c>
      <c r="K1234" s="507">
        <f>SUMIFS(Controle!$R:$R,Controle!$H:$H,produtos_escape2!$A1234,Controle!$Z:$Z,"6")</f>
        <v>0</v>
      </c>
      <c r="L1234" s="507">
        <f t="shared" si="41"/>
        <v>0</v>
      </c>
      <c r="M1234" s="381" t="s">
        <v>6875</v>
      </c>
      <c r="AF1234" s="84"/>
    </row>
    <row r="1235" spans="1:32" s="185" customFormat="1" ht="14.25" customHeight="1" thickBot="1">
      <c r="A1235" s="353">
        <v>30635</v>
      </c>
      <c r="B1235" s="194" t="s">
        <v>1367</v>
      </c>
      <c r="C1235" s="339">
        <f t="shared" si="42"/>
        <v>50000</v>
      </c>
      <c r="D1235" s="196" t="s">
        <v>624</v>
      </c>
      <c r="E1235" s="187" t="s">
        <v>3608</v>
      </c>
      <c r="F1235" s="507">
        <f>SUMIFS(Controle!$R:$R,Controle!$H:$H,produtos_escape2!$A1235,Controle!$Z:$Z,"1")</f>
        <v>0</v>
      </c>
      <c r="G1235" s="507">
        <f>SUMIFS(Controle!$R:$R,Controle!$H:$H,produtos_escape2!$A1235,Controle!$Z:$Z,"2")</f>
        <v>0</v>
      </c>
      <c r="H1235" s="507">
        <f>SUMIFS(Controle!$R:$R,Controle!$H:$H,produtos_escape2!$A1235,Controle!$Z:$Z,"3")</f>
        <v>0</v>
      </c>
      <c r="I1235" s="507">
        <f>SUMIFS(Controle!$R:$R,Controle!$H:$H,produtos_escape2!$A1235,Controle!$Z:$Z,"4")</f>
        <v>0</v>
      </c>
      <c r="J1235" s="507">
        <f>SUMIFS(Controle!$R:$R,Controle!$H:$H,produtos_escape2!$A1235,Controle!$Z:$Z,"5")</f>
        <v>0</v>
      </c>
      <c r="K1235" s="507">
        <f>SUMIFS(Controle!$R:$R,Controle!$H:$H,produtos_escape2!$A1235,Controle!$Z:$Z,"6")</f>
        <v>0</v>
      </c>
      <c r="L1235" s="507">
        <f t="shared" si="41"/>
        <v>0</v>
      </c>
      <c r="M1235" s="381" t="s">
        <v>5207</v>
      </c>
      <c r="AF1235" s="84"/>
    </row>
    <row r="1236" spans="1:32" s="185" customFormat="1" ht="14.25" customHeight="1" thickBot="1">
      <c r="A1236" s="353">
        <v>30640</v>
      </c>
      <c r="B1236" s="194" t="s">
        <v>1048</v>
      </c>
      <c r="C1236" s="339">
        <f t="shared" si="42"/>
        <v>50000</v>
      </c>
      <c r="D1236" s="196" t="s">
        <v>624</v>
      </c>
      <c r="E1236" s="187" t="s">
        <v>3608</v>
      </c>
      <c r="F1236" s="507">
        <f>SUMIFS(Controle!$R:$R,Controle!$H:$H,produtos_escape2!$A1236,Controle!$Z:$Z,"1")</f>
        <v>0</v>
      </c>
      <c r="G1236" s="507">
        <f>SUMIFS(Controle!$R:$R,Controle!$H:$H,produtos_escape2!$A1236,Controle!$Z:$Z,"2")</f>
        <v>0</v>
      </c>
      <c r="H1236" s="507">
        <f>SUMIFS(Controle!$R:$R,Controle!$H:$H,produtos_escape2!$A1236,Controle!$Z:$Z,"3")</f>
        <v>0</v>
      </c>
      <c r="I1236" s="507">
        <f>SUMIFS(Controle!$R:$R,Controle!$H:$H,produtos_escape2!$A1236,Controle!$Z:$Z,"4")</f>
        <v>0</v>
      </c>
      <c r="J1236" s="507">
        <f>SUMIFS(Controle!$R:$R,Controle!$H:$H,produtos_escape2!$A1236,Controle!$Z:$Z,"5")</f>
        <v>0</v>
      </c>
      <c r="K1236" s="507">
        <f>SUMIFS(Controle!$R:$R,Controle!$H:$H,produtos_escape2!$A1236,Controle!$Z:$Z,"6")</f>
        <v>0</v>
      </c>
      <c r="L1236" s="507">
        <f t="shared" si="41"/>
        <v>0</v>
      </c>
      <c r="M1236" s="381" t="s">
        <v>5208</v>
      </c>
      <c r="AF1236" s="84"/>
    </row>
    <row r="1237" spans="1:32" s="185" customFormat="1" ht="14.25" customHeight="1" thickBot="1">
      <c r="A1237" s="333">
        <v>30658</v>
      </c>
      <c r="B1237" s="194" t="s">
        <v>1176</v>
      </c>
      <c r="C1237" s="339">
        <f t="shared" si="42"/>
        <v>50000</v>
      </c>
      <c r="D1237" s="196" t="s">
        <v>624</v>
      </c>
      <c r="E1237" s="187" t="s">
        <v>7207</v>
      </c>
      <c r="F1237" s="507">
        <f>SUMIFS(Controle!$R:$R,Controle!$H:$H,produtos_escape2!$A1237,Controle!$Z:$Z,"1")</f>
        <v>0</v>
      </c>
      <c r="G1237" s="507">
        <f>SUMIFS(Controle!$R:$R,Controle!$H:$H,produtos_escape2!$A1237,Controle!$Z:$Z,"2")</f>
        <v>0</v>
      </c>
      <c r="H1237" s="507">
        <f>SUMIFS(Controle!$R:$R,Controle!$H:$H,produtos_escape2!$A1237,Controle!$Z:$Z,"3")</f>
        <v>0</v>
      </c>
      <c r="I1237" s="507">
        <f>SUMIFS(Controle!$R:$R,Controle!$H:$H,produtos_escape2!$A1237,Controle!$Z:$Z,"4")</f>
        <v>0</v>
      </c>
      <c r="J1237" s="507">
        <f>SUMIFS(Controle!$R:$R,Controle!$H:$H,produtos_escape2!$A1237,Controle!$Z:$Z,"5")</f>
        <v>0</v>
      </c>
      <c r="K1237" s="507">
        <f>SUMIFS(Controle!$R:$R,Controle!$H:$H,produtos_escape2!$A1237,Controle!$Z:$Z,"6")</f>
        <v>0</v>
      </c>
      <c r="L1237" s="507">
        <f t="shared" si="41"/>
        <v>0</v>
      </c>
      <c r="M1237" s="381" t="s">
        <v>5209</v>
      </c>
      <c r="AF1237" s="84"/>
    </row>
    <row r="1238" spans="1:32" s="185" customFormat="1" ht="14.25" customHeight="1" thickBot="1">
      <c r="A1238" s="353">
        <v>30732</v>
      </c>
      <c r="B1238" s="194" t="s">
        <v>950</v>
      </c>
      <c r="C1238" s="339">
        <f t="shared" si="42"/>
        <v>50000</v>
      </c>
      <c r="D1238" s="196" t="s">
        <v>624</v>
      </c>
      <c r="E1238" s="187" t="s">
        <v>7207</v>
      </c>
      <c r="F1238" s="507">
        <f>SUMIFS(Controle!$R:$R,Controle!$H:$H,produtos_escape2!$A1238,Controle!$Z:$Z,"1")</f>
        <v>0</v>
      </c>
      <c r="G1238" s="507">
        <f>SUMIFS(Controle!$R:$R,Controle!$H:$H,produtos_escape2!$A1238,Controle!$Z:$Z,"2")</f>
        <v>0</v>
      </c>
      <c r="H1238" s="507">
        <f>SUMIFS(Controle!$R:$R,Controle!$H:$H,produtos_escape2!$A1238,Controle!$Z:$Z,"3")</f>
        <v>0</v>
      </c>
      <c r="I1238" s="507">
        <f>SUMIFS(Controle!$R:$R,Controle!$H:$H,produtos_escape2!$A1238,Controle!$Z:$Z,"4")</f>
        <v>0</v>
      </c>
      <c r="J1238" s="507">
        <f>SUMIFS(Controle!$R:$R,Controle!$H:$H,produtos_escape2!$A1238,Controle!$Z:$Z,"5")</f>
        <v>0</v>
      </c>
      <c r="K1238" s="507">
        <f>SUMIFS(Controle!$R:$R,Controle!$H:$H,produtos_escape2!$A1238,Controle!$Z:$Z,"6")</f>
        <v>0</v>
      </c>
      <c r="L1238" s="507">
        <f t="shared" si="41"/>
        <v>0</v>
      </c>
      <c r="M1238" s="381" t="s">
        <v>5210</v>
      </c>
      <c r="AF1238" s="84"/>
    </row>
    <row r="1239" spans="1:32" s="185" customFormat="1" ht="14.25" customHeight="1" thickBot="1">
      <c r="A1239" s="353">
        <v>30733</v>
      </c>
      <c r="B1239" s="194" t="s">
        <v>952</v>
      </c>
      <c r="C1239" s="339">
        <f t="shared" si="42"/>
        <v>50000</v>
      </c>
      <c r="D1239" s="196" t="s">
        <v>624</v>
      </c>
      <c r="E1239" s="187" t="s">
        <v>7207</v>
      </c>
      <c r="F1239" s="507">
        <f>SUMIFS(Controle!$R:$R,Controle!$H:$H,produtos_escape2!$A1239,Controle!$Z:$Z,"1")</f>
        <v>0</v>
      </c>
      <c r="G1239" s="507">
        <f>SUMIFS(Controle!$R:$R,Controle!$H:$H,produtos_escape2!$A1239,Controle!$Z:$Z,"2")</f>
        <v>0</v>
      </c>
      <c r="H1239" s="507">
        <f>SUMIFS(Controle!$R:$R,Controle!$H:$H,produtos_escape2!$A1239,Controle!$Z:$Z,"3")</f>
        <v>0</v>
      </c>
      <c r="I1239" s="507">
        <f>SUMIFS(Controle!$R:$R,Controle!$H:$H,produtos_escape2!$A1239,Controle!$Z:$Z,"4")</f>
        <v>0</v>
      </c>
      <c r="J1239" s="507">
        <f>SUMIFS(Controle!$R:$R,Controle!$H:$H,produtos_escape2!$A1239,Controle!$Z:$Z,"5")</f>
        <v>0</v>
      </c>
      <c r="K1239" s="507">
        <f>SUMIFS(Controle!$R:$R,Controle!$H:$H,produtos_escape2!$A1239,Controle!$Z:$Z,"6")</f>
        <v>0</v>
      </c>
      <c r="L1239" s="507">
        <f t="shared" si="41"/>
        <v>0</v>
      </c>
      <c r="M1239" s="381" t="s">
        <v>5211</v>
      </c>
      <c r="AF1239" s="84"/>
    </row>
    <row r="1240" spans="1:32" s="185" customFormat="1" ht="14.25" customHeight="1" thickBot="1">
      <c r="A1240" s="353">
        <v>30737</v>
      </c>
      <c r="B1240" s="194" t="s">
        <v>951</v>
      </c>
      <c r="C1240" s="339">
        <f t="shared" si="42"/>
        <v>50000</v>
      </c>
      <c r="D1240" s="196" t="s">
        <v>624</v>
      </c>
      <c r="E1240" s="187" t="s">
        <v>7207</v>
      </c>
      <c r="F1240" s="507">
        <f>SUMIFS(Controle!$R:$R,Controle!$H:$H,produtos_escape2!$A1240,Controle!$Z:$Z,"1")</f>
        <v>0</v>
      </c>
      <c r="G1240" s="507">
        <f>SUMIFS(Controle!$R:$R,Controle!$H:$H,produtos_escape2!$A1240,Controle!$Z:$Z,"2")</f>
        <v>0</v>
      </c>
      <c r="H1240" s="507">
        <f>SUMIFS(Controle!$R:$R,Controle!$H:$H,produtos_escape2!$A1240,Controle!$Z:$Z,"3")</f>
        <v>0</v>
      </c>
      <c r="I1240" s="507">
        <f>SUMIFS(Controle!$R:$R,Controle!$H:$H,produtos_escape2!$A1240,Controle!$Z:$Z,"4")</f>
        <v>0</v>
      </c>
      <c r="J1240" s="507">
        <f>SUMIFS(Controle!$R:$R,Controle!$H:$H,produtos_escape2!$A1240,Controle!$Z:$Z,"5")</f>
        <v>0</v>
      </c>
      <c r="K1240" s="507">
        <f>SUMIFS(Controle!$R:$R,Controle!$H:$H,produtos_escape2!$A1240,Controle!$Z:$Z,"6")</f>
        <v>0</v>
      </c>
      <c r="L1240" s="507">
        <f t="shared" si="41"/>
        <v>0</v>
      </c>
      <c r="M1240" s="381" t="s">
        <v>5212</v>
      </c>
      <c r="AF1240" s="84"/>
    </row>
    <row r="1241" spans="1:32" s="185" customFormat="1" ht="14.25" customHeight="1" thickBot="1">
      <c r="A1241" s="353">
        <v>30740</v>
      </c>
      <c r="B1241" s="194" t="s">
        <v>953</v>
      </c>
      <c r="C1241" s="339">
        <f t="shared" si="42"/>
        <v>50000</v>
      </c>
      <c r="D1241" s="196" t="s">
        <v>624</v>
      </c>
      <c r="E1241" s="187" t="s">
        <v>7207</v>
      </c>
      <c r="F1241" s="507">
        <f>SUMIFS(Controle!$R:$R,Controle!$H:$H,produtos_escape2!$A1241,Controle!$Z:$Z,"1")</f>
        <v>0</v>
      </c>
      <c r="G1241" s="507">
        <f>SUMIFS(Controle!$R:$R,Controle!$H:$H,produtos_escape2!$A1241,Controle!$Z:$Z,"2")</f>
        <v>0</v>
      </c>
      <c r="H1241" s="507">
        <f>SUMIFS(Controle!$R:$R,Controle!$H:$H,produtos_escape2!$A1241,Controle!$Z:$Z,"3")</f>
        <v>0</v>
      </c>
      <c r="I1241" s="507">
        <f>SUMIFS(Controle!$R:$R,Controle!$H:$H,produtos_escape2!$A1241,Controle!$Z:$Z,"4")</f>
        <v>0</v>
      </c>
      <c r="J1241" s="507">
        <f>SUMIFS(Controle!$R:$R,Controle!$H:$H,produtos_escape2!$A1241,Controle!$Z:$Z,"5")</f>
        <v>0</v>
      </c>
      <c r="K1241" s="507">
        <f>SUMIFS(Controle!$R:$R,Controle!$H:$H,produtos_escape2!$A1241,Controle!$Z:$Z,"6")</f>
        <v>0</v>
      </c>
      <c r="L1241" s="507">
        <f t="shared" si="41"/>
        <v>0</v>
      </c>
      <c r="M1241" s="381" t="s">
        <v>5213</v>
      </c>
      <c r="AF1241" s="84"/>
    </row>
    <row r="1242" spans="1:32" s="185" customFormat="1" ht="14.25" customHeight="1" thickBot="1">
      <c r="A1242" s="353">
        <v>30741</v>
      </c>
      <c r="B1242" s="338" t="s">
        <v>954</v>
      </c>
      <c r="C1242" s="339">
        <f t="shared" si="42"/>
        <v>50000</v>
      </c>
      <c r="D1242" s="196" t="s">
        <v>624</v>
      </c>
      <c r="E1242" s="187" t="s">
        <v>7207</v>
      </c>
      <c r="F1242" s="507">
        <f>SUMIFS(Controle!$R:$R,Controle!$H:$H,produtos_escape2!$A1242,Controle!$Z:$Z,"1")</f>
        <v>0</v>
      </c>
      <c r="G1242" s="507">
        <f>SUMIFS(Controle!$R:$R,Controle!$H:$H,produtos_escape2!$A1242,Controle!$Z:$Z,"2")</f>
        <v>0</v>
      </c>
      <c r="H1242" s="507">
        <f>SUMIFS(Controle!$R:$R,Controle!$H:$H,produtos_escape2!$A1242,Controle!$Z:$Z,"3")</f>
        <v>0</v>
      </c>
      <c r="I1242" s="507">
        <f>SUMIFS(Controle!$R:$R,Controle!$H:$H,produtos_escape2!$A1242,Controle!$Z:$Z,"4")</f>
        <v>0</v>
      </c>
      <c r="J1242" s="507">
        <f>SUMIFS(Controle!$R:$R,Controle!$H:$H,produtos_escape2!$A1242,Controle!$Z:$Z,"5")</f>
        <v>0</v>
      </c>
      <c r="K1242" s="507">
        <f>SUMIFS(Controle!$R:$R,Controle!$H:$H,produtos_escape2!$A1242,Controle!$Z:$Z,"6")</f>
        <v>0</v>
      </c>
      <c r="L1242" s="507">
        <f t="shared" si="41"/>
        <v>0</v>
      </c>
      <c r="M1242" s="381" t="s">
        <v>5213</v>
      </c>
      <c r="AF1242" s="84"/>
    </row>
    <row r="1243" spans="1:32" s="185" customFormat="1" ht="14.25" customHeight="1" thickBot="1">
      <c r="A1243" s="353">
        <v>30742</v>
      </c>
      <c r="B1243" s="194" t="s">
        <v>955</v>
      </c>
      <c r="C1243" s="339">
        <f t="shared" si="42"/>
        <v>50000</v>
      </c>
      <c r="D1243" s="196" t="s">
        <v>624</v>
      </c>
      <c r="E1243" s="187" t="s">
        <v>7207</v>
      </c>
      <c r="F1243" s="507">
        <f>SUMIFS(Controle!$R:$R,Controle!$H:$H,produtos_escape2!$A1243,Controle!$Z:$Z,"1")</f>
        <v>0</v>
      </c>
      <c r="G1243" s="507">
        <f>SUMIFS(Controle!$R:$R,Controle!$H:$H,produtos_escape2!$A1243,Controle!$Z:$Z,"2")</f>
        <v>0</v>
      </c>
      <c r="H1243" s="507">
        <f>SUMIFS(Controle!$R:$R,Controle!$H:$H,produtos_escape2!$A1243,Controle!$Z:$Z,"3")</f>
        <v>0</v>
      </c>
      <c r="I1243" s="507">
        <f>SUMIFS(Controle!$R:$R,Controle!$H:$H,produtos_escape2!$A1243,Controle!$Z:$Z,"4")</f>
        <v>0</v>
      </c>
      <c r="J1243" s="507">
        <f>SUMIFS(Controle!$R:$R,Controle!$H:$H,produtos_escape2!$A1243,Controle!$Z:$Z,"5")</f>
        <v>0</v>
      </c>
      <c r="K1243" s="507">
        <f>SUMIFS(Controle!$R:$R,Controle!$H:$H,produtos_escape2!$A1243,Controle!$Z:$Z,"6")</f>
        <v>0</v>
      </c>
      <c r="L1243" s="507">
        <f t="shared" si="41"/>
        <v>0</v>
      </c>
      <c r="M1243" s="381" t="s">
        <v>5213</v>
      </c>
      <c r="AF1243" s="84"/>
    </row>
    <row r="1244" spans="1:32" s="185" customFormat="1" ht="14.25" customHeight="1" thickBot="1">
      <c r="A1244" s="353">
        <v>30743</v>
      </c>
      <c r="B1244" s="194" t="s">
        <v>956</v>
      </c>
      <c r="C1244" s="339">
        <f t="shared" si="42"/>
        <v>50000</v>
      </c>
      <c r="D1244" s="196" t="s">
        <v>624</v>
      </c>
      <c r="E1244" s="187" t="s">
        <v>7207</v>
      </c>
      <c r="F1244" s="507">
        <f>SUMIFS(Controle!$R:$R,Controle!$H:$H,produtos_escape2!$A1244,Controle!$Z:$Z,"1")</f>
        <v>0</v>
      </c>
      <c r="G1244" s="507">
        <f>SUMIFS(Controle!$R:$R,Controle!$H:$H,produtos_escape2!$A1244,Controle!$Z:$Z,"2")</f>
        <v>0</v>
      </c>
      <c r="H1244" s="507">
        <f>SUMIFS(Controle!$R:$R,Controle!$H:$H,produtos_escape2!$A1244,Controle!$Z:$Z,"3")</f>
        <v>0</v>
      </c>
      <c r="I1244" s="507">
        <f>SUMIFS(Controle!$R:$R,Controle!$H:$H,produtos_escape2!$A1244,Controle!$Z:$Z,"4")</f>
        <v>0</v>
      </c>
      <c r="J1244" s="507">
        <f>SUMIFS(Controle!$R:$R,Controle!$H:$H,produtos_escape2!$A1244,Controle!$Z:$Z,"5")</f>
        <v>0</v>
      </c>
      <c r="K1244" s="507">
        <f>SUMIFS(Controle!$R:$R,Controle!$H:$H,produtos_escape2!$A1244,Controle!$Z:$Z,"6")</f>
        <v>0</v>
      </c>
      <c r="L1244" s="507">
        <f t="shared" si="41"/>
        <v>0</v>
      </c>
      <c r="M1244" s="381" t="s">
        <v>5213</v>
      </c>
      <c r="AF1244" s="84"/>
    </row>
    <row r="1245" spans="1:32" s="185" customFormat="1" ht="14.25" customHeight="1" thickBot="1">
      <c r="A1245" s="333">
        <v>30744</v>
      </c>
      <c r="B1245" s="194" t="s">
        <v>957</v>
      </c>
      <c r="C1245" s="339">
        <f t="shared" si="42"/>
        <v>50000</v>
      </c>
      <c r="D1245" s="196" t="s">
        <v>624</v>
      </c>
      <c r="E1245" s="187" t="s">
        <v>7207</v>
      </c>
      <c r="F1245" s="507">
        <f>SUMIFS(Controle!$R:$R,Controle!$H:$H,produtos_escape2!$A1245,Controle!$Z:$Z,"1")</f>
        <v>0</v>
      </c>
      <c r="G1245" s="507">
        <f>SUMIFS(Controle!$R:$R,Controle!$H:$H,produtos_escape2!$A1245,Controle!$Z:$Z,"2")</f>
        <v>0</v>
      </c>
      <c r="H1245" s="507">
        <f>SUMIFS(Controle!$R:$R,Controle!$H:$H,produtos_escape2!$A1245,Controle!$Z:$Z,"3")</f>
        <v>0</v>
      </c>
      <c r="I1245" s="507">
        <f>SUMIFS(Controle!$R:$R,Controle!$H:$H,produtos_escape2!$A1245,Controle!$Z:$Z,"4")</f>
        <v>0</v>
      </c>
      <c r="J1245" s="507">
        <f>SUMIFS(Controle!$R:$R,Controle!$H:$H,produtos_escape2!$A1245,Controle!$Z:$Z,"5")</f>
        <v>0</v>
      </c>
      <c r="K1245" s="507">
        <f>SUMIFS(Controle!$R:$R,Controle!$H:$H,produtos_escape2!$A1245,Controle!$Z:$Z,"6")</f>
        <v>0</v>
      </c>
      <c r="L1245" s="507">
        <f t="shared" si="41"/>
        <v>0</v>
      </c>
      <c r="M1245" s="381" t="s">
        <v>5214</v>
      </c>
      <c r="AF1245" s="84"/>
    </row>
    <row r="1246" spans="1:32" s="185" customFormat="1" ht="14.25" customHeight="1" thickBot="1">
      <c r="A1246" s="353">
        <v>30745</v>
      </c>
      <c r="B1246" s="194" t="s">
        <v>958</v>
      </c>
      <c r="C1246" s="339">
        <f t="shared" si="42"/>
        <v>50000</v>
      </c>
      <c r="D1246" s="196" t="s">
        <v>624</v>
      </c>
      <c r="E1246" s="187" t="s">
        <v>7207</v>
      </c>
      <c r="F1246" s="507">
        <f>SUMIFS(Controle!$R:$R,Controle!$H:$H,produtos_escape2!$A1246,Controle!$Z:$Z,"1")</f>
        <v>0</v>
      </c>
      <c r="G1246" s="507">
        <f>SUMIFS(Controle!$R:$R,Controle!$H:$H,produtos_escape2!$A1246,Controle!$Z:$Z,"2")</f>
        <v>0</v>
      </c>
      <c r="H1246" s="507">
        <f>SUMIFS(Controle!$R:$R,Controle!$H:$H,produtos_escape2!$A1246,Controle!$Z:$Z,"3")</f>
        <v>0</v>
      </c>
      <c r="I1246" s="507">
        <f>SUMIFS(Controle!$R:$R,Controle!$H:$H,produtos_escape2!$A1246,Controle!$Z:$Z,"4")</f>
        <v>0</v>
      </c>
      <c r="J1246" s="507">
        <f>SUMIFS(Controle!$R:$R,Controle!$H:$H,produtos_escape2!$A1246,Controle!$Z:$Z,"5")</f>
        <v>0</v>
      </c>
      <c r="K1246" s="507">
        <f>SUMIFS(Controle!$R:$R,Controle!$H:$H,produtos_escape2!$A1246,Controle!$Z:$Z,"6")</f>
        <v>0</v>
      </c>
      <c r="L1246" s="507">
        <f t="shared" si="41"/>
        <v>0</v>
      </c>
      <c r="M1246" s="381" t="s">
        <v>5214</v>
      </c>
      <c r="AF1246" s="84"/>
    </row>
    <row r="1247" spans="1:32" s="185" customFormat="1" ht="14.25" customHeight="1" thickBot="1">
      <c r="A1247" s="353">
        <v>30772</v>
      </c>
      <c r="B1247" s="194" t="s">
        <v>1233</v>
      </c>
      <c r="C1247" s="339">
        <f t="shared" si="42"/>
        <v>50000</v>
      </c>
      <c r="D1247" s="196" t="s">
        <v>624</v>
      </c>
      <c r="E1247" s="187" t="s">
        <v>7207</v>
      </c>
      <c r="F1247" s="507">
        <f>SUMIFS(Controle!$R:$R,Controle!$H:$H,produtos_escape2!$A1247,Controle!$Z:$Z,"1")</f>
        <v>0</v>
      </c>
      <c r="G1247" s="507">
        <f>SUMIFS(Controle!$R:$R,Controle!$H:$H,produtos_escape2!$A1247,Controle!$Z:$Z,"2")</f>
        <v>0</v>
      </c>
      <c r="H1247" s="507">
        <f>SUMIFS(Controle!$R:$R,Controle!$H:$H,produtos_escape2!$A1247,Controle!$Z:$Z,"3")</f>
        <v>0</v>
      </c>
      <c r="I1247" s="507">
        <f>SUMIFS(Controle!$R:$R,Controle!$H:$H,produtos_escape2!$A1247,Controle!$Z:$Z,"4")</f>
        <v>0</v>
      </c>
      <c r="J1247" s="507">
        <f>SUMIFS(Controle!$R:$R,Controle!$H:$H,produtos_escape2!$A1247,Controle!$Z:$Z,"5")</f>
        <v>0</v>
      </c>
      <c r="K1247" s="507">
        <f>SUMIFS(Controle!$R:$R,Controle!$H:$H,produtos_escape2!$A1247,Controle!$Z:$Z,"6")</f>
        <v>0</v>
      </c>
      <c r="L1247" s="507">
        <f t="shared" si="41"/>
        <v>0</v>
      </c>
      <c r="M1247" s="381" t="s">
        <v>5215</v>
      </c>
      <c r="AF1247" s="84"/>
    </row>
    <row r="1248" spans="1:32" s="185" customFormat="1" ht="14.25" customHeight="1" thickBot="1">
      <c r="A1248" s="353">
        <v>30773</v>
      </c>
      <c r="B1248" s="194" t="s">
        <v>1230</v>
      </c>
      <c r="C1248" s="339">
        <f t="shared" si="42"/>
        <v>50000</v>
      </c>
      <c r="D1248" s="196" t="s">
        <v>624</v>
      </c>
      <c r="E1248" s="187" t="s">
        <v>7207</v>
      </c>
      <c r="F1248" s="507">
        <f>SUMIFS(Controle!$R:$R,Controle!$H:$H,produtos_escape2!$A1248,Controle!$Z:$Z,"1")</f>
        <v>0</v>
      </c>
      <c r="G1248" s="507">
        <f>SUMIFS(Controle!$R:$R,Controle!$H:$H,produtos_escape2!$A1248,Controle!$Z:$Z,"2")</f>
        <v>0</v>
      </c>
      <c r="H1248" s="507">
        <f>SUMIFS(Controle!$R:$R,Controle!$H:$H,produtos_escape2!$A1248,Controle!$Z:$Z,"3")</f>
        <v>0</v>
      </c>
      <c r="I1248" s="507">
        <f>SUMIFS(Controle!$R:$R,Controle!$H:$H,produtos_escape2!$A1248,Controle!$Z:$Z,"4")</f>
        <v>0</v>
      </c>
      <c r="J1248" s="507">
        <f>SUMIFS(Controle!$R:$R,Controle!$H:$H,produtos_escape2!$A1248,Controle!$Z:$Z,"5")</f>
        <v>0</v>
      </c>
      <c r="K1248" s="507">
        <f>SUMIFS(Controle!$R:$R,Controle!$H:$H,produtos_escape2!$A1248,Controle!$Z:$Z,"6")</f>
        <v>0</v>
      </c>
      <c r="L1248" s="507">
        <f t="shared" si="41"/>
        <v>0</v>
      </c>
      <c r="M1248" s="381" t="s">
        <v>5216</v>
      </c>
      <c r="AF1248" s="84"/>
    </row>
    <row r="1249" spans="1:32" s="185" customFormat="1" ht="14.25" customHeight="1" thickBot="1">
      <c r="A1249" s="353">
        <v>30774</v>
      </c>
      <c r="B1249" s="194" t="s">
        <v>980</v>
      </c>
      <c r="C1249" s="339">
        <f t="shared" si="42"/>
        <v>50000</v>
      </c>
      <c r="D1249" s="196" t="s">
        <v>982</v>
      </c>
      <c r="E1249" s="187" t="s">
        <v>7207</v>
      </c>
      <c r="F1249" s="507">
        <f>SUMIFS(Controle!$R:$R,Controle!$H:$H,produtos_escape2!$A1249,Controle!$Z:$Z,"1")</f>
        <v>0</v>
      </c>
      <c r="G1249" s="507">
        <f>SUMIFS(Controle!$R:$R,Controle!$H:$H,produtos_escape2!$A1249,Controle!$Z:$Z,"2")</f>
        <v>0</v>
      </c>
      <c r="H1249" s="507">
        <f>SUMIFS(Controle!$R:$R,Controle!$H:$H,produtos_escape2!$A1249,Controle!$Z:$Z,"3")</f>
        <v>0</v>
      </c>
      <c r="I1249" s="507">
        <f>SUMIFS(Controle!$R:$R,Controle!$H:$H,produtos_escape2!$A1249,Controle!$Z:$Z,"4")</f>
        <v>0</v>
      </c>
      <c r="J1249" s="507">
        <f>SUMIFS(Controle!$R:$R,Controle!$H:$H,produtos_escape2!$A1249,Controle!$Z:$Z,"5")</f>
        <v>0</v>
      </c>
      <c r="K1249" s="507">
        <f>SUMIFS(Controle!$R:$R,Controle!$H:$H,produtos_escape2!$A1249,Controle!$Z:$Z,"6")</f>
        <v>0</v>
      </c>
      <c r="L1249" s="507">
        <f t="shared" si="41"/>
        <v>0</v>
      </c>
      <c r="M1249" s="381" t="s">
        <v>5217</v>
      </c>
      <c r="AF1249" s="84"/>
    </row>
    <row r="1250" spans="1:32" s="185" customFormat="1" ht="14.25" customHeight="1" thickBot="1">
      <c r="A1250" s="353">
        <v>30775</v>
      </c>
      <c r="B1250" s="338" t="s">
        <v>981</v>
      </c>
      <c r="C1250" s="339">
        <f t="shared" si="42"/>
        <v>50000</v>
      </c>
      <c r="D1250" s="196" t="s">
        <v>982</v>
      </c>
      <c r="E1250" s="187" t="s">
        <v>7207</v>
      </c>
      <c r="F1250" s="507">
        <f>SUMIFS(Controle!$R:$R,Controle!$H:$H,produtos_escape2!$A1250,Controle!$Z:$Z,"1")</f>
        <v>0</v>
      </c>
      <c r="G1250" s="507">
        <f>SUMIFS(Controle!$R:$R,Controle!$H:$H,produtos_escape2!$A1250,Controle!$Z:$Z,"2")</f>
        <v>0</v>
      </c>
      <c r="H1250" s="507">
        <f>SUMIFS(Controle!$R:$R,Controle!$H:$H,produtos_escape2!$A1250,Controle!$Z:$Z,"3")</f>
        <v>0</v>
      </c>
      <c r="I1250" s="507">
        <f>SUMIFS(Controle!$R:$R,Controle!$H:$H,produtos_escape2!$A1250,Controle!$Z:$Z,"4")</f>
        <v>0</v>
      </c>
      <c r="J1250" s="507">
        <f>SUMIFS(Controle!$R:$R,Controle!$H:$H,produtos_escape2!$A1250,Controle!$Z:$Z,"5")</f>
        <v>0</v>
      </c>
      <c r="K1250" s="507">
        <f>SUMIFS(Controle!$R:$R,Controle!$H:$H,produtos_escape2!$A1250,Controle!$Z:$Z,"6")</f>
        <v>0</v>
      </c>
      <c r="L1250" s="507">
        <f t="shared" si="41"/>
        <v>0</v>
      </c>
      <c r="M1250" s="381" t="s">
        <v>5218</v>
      </c>
      <c r="AF1250" s="84"/>
    </row>
    <row r="1251" spans="1:32" s="185" customFormat="1" ht="14.25" customHeight="1" thickBot="1">
      <c r="A1251" s="353">
        <v>30786</v>
      </c>
      <c r="B1251" s="194" t="s">
        <v>3652</v>
      </c>
      <c r="C1251" s="339">
        <f t="shared" si="42"/>
        <v>50000</v>
      </c>
      <c r="D1251" s="196" t="s">
        <v>837</v>
      </c>
      <c r="E1251" s="187" t="s">
        <v>7207</v>
      </c>
      <c r="F1251" s="507">
        <f>SUMIFS(Controle!$R:$R,Controle!$H:$H,produtos_escape2!$A1251,Controle!$Z:$Z,"1")</f>
        <v>0</v>
      </c>
      <c r="G1251" s="507">
        <f>SUMIFS(Controle!$R:$R,Controle!$H:$H,produtos_escape2!$A1251,Controle!$Z:$Z,"2")</f>
        <v>0</v>
      </c>
      <c r="H1251" s="507">
        <f>SUMIFS(Controle!$R:$R,Controle!$H:$H,produtos_escape2!$A1251,Controle!$Z:$Z,"3")</f>
        <v>0</v>
      </c>
      <c r="I1251" s="507">
        <f>SUMIFS(Controle!$R:$R,Controle!$H:$H,produtos_escape2!$A1251,Controle!$Z:$Z,"4")</f>
        <v>0</v>
      </c>
      <c r="J1251" s="507">
        <f>SUMIFS(Controle!$R:$R,Controle!$H:$H,produtos_escape2!$A1251,Controle!$Z:$Z,"5")</f>
        <v>0</v>
      </c>
      <c r="K1251" s="507">
        <f>SUMIFS(Controle!$R:$R,Controle!$H:$H,produtos_escape2!$A1251,Controle!$Z:$Z,"6")</f>
        <v>0</v>
      </c>
      <c r="L1251" s="507">
        <f t="shared" si="41"/>
        <v>0</v>
      </c>
      <c r="M1251" s="381" t="s">
        <v>5219</v>
      </c>
      <c r="AF1251" s="84"/>
    </row>
    <row r="1252" spans="1:32" s="185" customFormat="1" ht="14.25" customHeight="1" thickBot="1">
      <c r="A1252" s="353">
        <v>30811</v>
      </c>
      <c r="B1252" s="194" t="s">
        <v>1585</v>
      </c>
      <c r="C1252" s="339">
        <f t="shared" si="42"/>
        <v>50000</v>
      </c>
      <c r="D1252" s="196" t="s">
        <v>624</v>
      </c>
      <c r="E1252" s="187" t="s">
        <v>7207</v>
      </c>
      <c r="F1252" s="507">
        <f>SUMIFS(Controle!$R:$R,Controle!$H:$H,produtos_escape2!$A1252,Controle!$Z:$Z,"1")</f>
        <v>0</v>
      </c>
      <c r="G1252" s="507">
        <f>SUMIFS(Controle!$R:$R,Controle!$H:$H,produtos_escape2!$A1252,Controle!$Z:$Z,"2")</f>
        <v>0</v>
      </c>
      <c r="H1252" s="507">
        <f>SUMIFS(Controle!$R:$R,Controle!$H:$H,produtos_escape2!$A1252,Controle!$Z:$Z,"3")</f>
        <v>0</v>
      </c>
      <c r="I1252" s="507">
        <f>SUMIFS(Controle!$R:$R,Controle!$H:$H,produtos_escape2!$A1252,Controle!$Z:$Z,"4")</f>
        <v>0</v>
      </c>
      <c r="J1252" s="507">
        <f>SUMIFS(Controle!$R:$R,Controle!$H:$H,produtos_escape2!$A1252,Controle!$Z:$Z,"5")</f>
        <v>0</v>
      </c>
      <c r="K1252" s="507">
        <f>SUMIFS(Controle!$R:$R,Controle!$H:$H,produtos_escape2!$A1252,Controle!$Z:$Z,"6")</f>
        <v>0</v>
      </c>
      <c r="L1252" s="507">
        <f t="shared" si="41"/>
        <v>0</v>
      </c>
      <c r="M1252" s="381" t="s">
        <v>5220</v>
      </c>
      <c r="AF1252" s="84"/>
    </row>
    <row r="1253" spans="1:32" s="185" customFormat="1" ht="14.25" customHeight="1" thickBot="1">
      <c r="A1253" s="333">
        <v>30820</v>
      </c>
      <c r="B1253" s="194" t="s">
        <v>3466</v>
      </c>
      <c r="C1253" s="339">
        <f t="shared" si="42"/>
        <v>50000</v>
      </c>
      <c r="D1253" s="196" t="s">
        <v>624</v>
      </c>
      <c r="E1253" s="187" t="s">
        <v>7207</v>
      </c>
      <c r="F1253" s="507">
        <f>SUMIFS(Controle!$R:$R,Controle!$H:$H,produtos_escape2!$A1253,Controle!$Z:$Z,"1")</f>
        <v>0</v>
      </c>
      <c r="G1253" s="507">
        <f>SUMIFS(Controle!$R:$R,Controle!$H:$H,produtos_escape2!$A1253,Controle!$Z:$Z,"2")</f>
        <v>0</v>
      </c>
      <c r="H1253" s="507">
        <f>SUMIFS(Controle!$R:$R,Controle!$H:$H,produtos_escape2!$A1253,Controle!$Z:$Z,"3")</f>
        <v>0</v>
      </c>
      <c r="I1253" s="507">
        <f>SUMIFS(Controle!$R:$R,Controle!$H:$H,produtos_escape2!$A1253,Controle!$Z:$Z,"4")</f>
        <v>0</v>
      </c>
      <c r="J1253" s="507">
        <f>SUMIFS(Controle!$R:$R,Controle!$H:$H,produtos_escape2!$A1253,Controle!$Z:$Z,"5")</f>
        <v>0</v>
      </c>
      <c r="K1253" s="507">
        <f>SUMIFS(Controle!$R:$R,Controle!$H:$H,produtos_escape2!$A1253,Controle!$Z:$Z,"6")</f>
        <v>0</v>
      </c>
      <c r="L1253" s="507">
        <f t="shared" si="41"/>
        <v>0</v>
      </c>
      <c r="M1253" s="381" t="s">
        <v>5221</v>
      </c>
      <c r="AF1253" s="84"/>
    </row>
    <row r="1254" spans="1:32" s="185" customFormat="1" ht="14.25" customHeight="1" thickBot="1">
      <c r="A1254" s="353">
        <v>30920</v>
      </c>
      <c r="B1254" s="194" t="s">
        <v>1351</v>
      </c>
      <c r="C1254" s="339">
        <f t="shared" si="42"/>
        <v>50000</v>
      </c>
      <c r="D1254" s="196" t="s">
        <v>624</v>
      </c>
      <c r="E1254" s="187" t="s">
        <v>3608</v>
      </c>
      <c r="F1254" s="507">
        <f>SUMIFS(Controle!$R:$R,Controle!$H:$H,produtos_escape2!$A1254,Controle!$Z:$Z,"1")</f>
        <v>0</v>
      </c>
      <c r="G1254" s="507">
        <f>SUMIFS(Controle!$R:$R,Controle!$H:$H,produtos_escape2!$A1254,Controle!$Z:$Z,"2")</f>
        <v>0</v>
      </c>
      <c r="H1254" s="507">
        <f>SUMIFS(Controle!$R:$R,Controle!$H:$H,produtos_escape2!$A1254,Controle!$Z:$Z,"3")</f>
        <v>0</v>
      </c>
      <c r="I1254" s="507">
        <f>SUMIFS(Controle!$R:$R,Controle!$H:$H,produtos_escape2!$A1254,Controle!$Z:$Z,"4")</f>
        <v>0</v>
      </c>
      <c r="J1254" s="507">
        <f>SUMIFS(Controle!$R:$R,Controle!$H:$H,produtos_escape2!$A1254,Controle!$Z:$Z,"5")</f>
        <v>0</v>
      </c>
      <c r="K1254" s="507">
        <f>SUMIFS(Controle!$R:$R,Controle!$H:$H,produtos_escape2!$A1254,Controle!$Z:$Z,"6")</f>
        <v>0</v>
      </c>
      <c r="L1254" s="507">
        <f t="shared" si="41"/>
        <v>0</v>
      </c>
      <c r="M1254" s="381" t="s">
        <v>5222</v>
      </c>
      <c r="AF1254" s="84"/>
    </row>
    <row r="1255" spans="1:32" s="185" customFormat="1" ht="14.25" customHeight="1" thickBot="1">
      <c r="A1255" s="353">
        <v>30968</v>
      </c>
      <c r="B1255" s="194" t="s">
        <v>9499</v>
      </c>
      <c r="C1255" s="339">
        <f t="shared" si="42"/>
        <v>50000</v>
      </c>
      <c r="D1255" s="196" t="s">
        <v>624</v>
      </c>
      <c r="E1255" s="189" t="s">
        <v>7207</v>
      </c>
      <c r="F1255" s="507">
        <f>SUMIFS(Controle!$R:$R,Controle!$H:$H,produtos_escape2!$A1255,Controle!$Z:$Z,"1")</f>
        <v>0</v>
      </c>
      <c r="G1255" s="507">
        <f>SUMIFS(Controle!$R:$R,Controle!$H:$H,produtos_escape2!$A1255,Controle!$Z:$Z,"2")</f>
        <v>0</v>
      </c>
      <c r="H1255" s="507">
        <f>SUMIFS(Controle!$R:$R,Controle!$H:$H,produtos_escape2!$A1255,Controle!$Z:$Z,"3")</f>
        <v>0</v>
      </c>
      <c r="I1255" s="507">
        <f>SUMIFS(Controle!$R:$R,Controle!$H:$H,produtos_escape2!$A1255,Controle!$Z:$Z,"4")</f>
        <v>0</v>
      </c>
      <c r="J1255" s="507">
        <f>SUMIFS(Controle!$R:$R,Controle!$H:$H,produtos_escape2!$A1255,Controle!$Z:$Z,"5")</f>
        <v>0</v>
      </c>
      <c r="K1255" s="507">
        <f>SUMIFS(Controle!$R:$R,Controle!$H:$H,produtos_escape2!$A1255,Controle!$Z:$Z,"6")</f>
        <v>0</v>
      </c>
      <c r="L1255" s="507">
        <f t="shared" si="41"/>
        <v>0</v>
      </c>
      <c r="M1255" s="381" t="s">
        <v>9501</v>
      </c>
      <c r="AF1255" s="84"/>
    </row>
    <row r="1256" spans="1:32" s="185" customFormat="1" ht="14.25" customHeight="1" thickBot="1">
      <c r="A1256" s="353">
        <v>30972</v>
      </c>
      <c r="B1256" s="194" t="s">
        <v>5868</v>
      </c>
      <c r="C1256" s="339">
        <f t="shared" si="42"/>
        <v>45210</v>
      </c>
      <c r="D1256" s="196" t="s">
        <v>624</v>
      </c>
      <c r="E1256" s="189" t="s">
        <v>3608</v>
      </c>
      <c r="F1256" s="507">
        <f>SUMIFS(Controle!$R:$R,Controle!$H:$H,produtos_escape2!$A1256,Controle!$Z:$Z,"1")</f>
        <v>440</v>
      </c>
      <c r="G1256" s="507">
        <f>SUMIFS(Controle!$R:$R,Controle!$H:$H,produtos_escape2!$A1256,Controle!$Z:$Z,"2")</f>
        <v>1550</v>
      </c>
      <c r="H1256" s="507">
        <f>SUMIFS(Controle!$R:$R,Controle!$H:$H,produtos_escape2!$A1256,Controle!$Z:$Z,"3")</f>
        <v>525</v>
      </c>
      <c r="I1256" s="507">
        <f>SUMIFS(Controle!$R:$R,Controle!$H:$H,produtos_escape2!$A1256,Controle!$Z:$Z,"4")</f>
        <v>1850</v>
      </c>
      <c r="J1256" s="507">
        <f>SUMIFS(Controle!$R:$R,Controle!$H:$H,produtos_escape2!$A1256,Controle!$Z:$Z,"5")</f>
        <v>0</v>
      </c>
      <c r="K1256" s="507">
        <f>SUMIFS(Controle!$R:$R,Controle!$H:$H,produtos_escape2!$A1256,Controle!$Z:$Z,"6")</f>
        <v>425</v>
      </c>
      <c r="L1256" s="507">
        <f t="shared" si="41"/>
        <v>4790</v>
      </c>
      <c r="M1256" s="381" t="s">
        <v>8375</v>
      </c>
      <c r="AF1256" s="84"/>
    </row>
    <row r="1257" spans="1:32" s="185" customFormat="1" ht="14.25" customHeight="1" thickBot="1">
      <c r="A1257" s="353">
        <v>30977</v>
      </c>
      <c r="B1257" s="194" t="s">
        <v>1828</v>
      </c>
      <c r="C1257" s="339">
        <f t="shared" si="42"/>
        <v>50000</v>
      </c>
      <c r="D1257" s="191" t="s">
        <v>624</v>
      </c>
      <c r="E1257" s="189" t="s">
        <v>3608</v>
      </c>
      <c r="F1257" s="507">
        <f>SUMIFS(Controle!$R:$R,Controle!$H:$H,produtos_escape2!$A1257,Controle!$Z:$Z,"1")</f>
        <v>0</v>
      </c>
      <c r="G1257" s="507">
        <f>SUMIFS(Controle!$R:$R,Controle!$H:$H,produtos_escape2!$A1257,Controle!$Z:$Z,"2")</f>
        <v>0</v>
      </c>
      <c r="H1257" s="507">
        <f>SUMIFS(Controle!$R:$R,Controle!$H:$H,produtos_escape2!$A1257,Controle!$Z:$Z,"3")</f>
        <v>0</v>
      </c>
      <c r="I1257" s="507">
        <f>SUMIFS(Controle!$R:$R,Controle!$H:$H,produtos_escape2!$A1257,Controle!$Z:$Z,"4")</f>
        <v>0</v>
      </c>
      <c r="J1257" s="507">
        <f>SUMIFS(Controle!$R:$R,Controle!$H:$H,produtos_escape2!$A1257,Controle!$Z:$Z,"5")</f>
        <v>0</v>
      </c>
      <c r="K1257" s="507">
        <f>SUMIFS(Controle!$R:$R,Controle!$H:$H,produtos_escape2!$A1257,Controle!$Z:$Z,"6")</f>
        <v>0</v>
      </c>
      <c r="L1257" s="507">
        <f t="shared" si="41"/>
        <v>0</v>
      </c>
      <c r="M1257" s="381" t="s">
        <v>1828</v>
      </c>
      <c r="AF1257" s="84"/>
    </row>
    <row r="1258" spans="1:32" s="185" customFormat="1" ht="14.25" customHeight="1" thickBot="1">
      <c r="A1258" s="353">
        <v>31044</v>
      </c>
      <c r="B1258" s="194" t="s">
        <v>1031</v>
      </c>
      <c r="C1258" s="339">
        <f t="shared" si="42"/>
        <v>50000</v>
      </c>
      <c r="D1258" s="196" t="s">
        <v>624</v>
      </c>
      <c r="E1258" s="187" t="s">
        <v>7207</v>
      </c>
      <c r="F1258" s="507">
        <f>SUMIFS(Controle!$R:$R,Controle!$H:$H,produtos_escape2!$A1258,Controle!$Z:$Z,"1")</f>
        <v>0</v>
      </c>
      <c r="G1258" s="507">
        <f>SUMIFS(Controle!$R:$R,Controle!$H:$H,produtos_escape2!$A1258,Controle!$Z:$Z,"2")</f>
        <v>0</v>
      </c>
      <c r="H1258" s="507">
        <f>SUMIFS(Controle!$R:$R,Controle!$H:$H,produtos_escape2!$A1258,Controle!$Z:$Z,"3")</f>
        <v>0</v>
      </c>
      <c r="I1258" s="507">
        <f>SUMIFS(Controle!$R:$R,Controle!$H:$H,produtos_escape2!$A1258,Controle!$Z:$Z,"4")</f>
        <v>0</v>
      </c>
      <c r="J1258" s="507">
        <f>SUMIFS(Controle!$R:$R,Controle!$H:$H,produtos_escape2!$A1258,Controle!$Z:$Z,"5")</f>
        <v>0</v>
      </c>
      <c r="K1258" s="507">
        <f>SUMIFS(Controle!$R:$R,Controle!$H:$H,produtos_escape2!$A1258,Controle!$Z:$Z,"6")</f>
        <v>0</v>
      </c>
      <c r="L1258" s="507">
        <f t="shared" si="41"/>
        <v>0</v>
      </c>
      <c r="M1258" s="381" t="s">
        <v>5223</v>
      </c>
      <c r="AF1258" s="84"/>
    </row>
    <row r="1259" spans="1:32" s="185" customFormat="1" ht="14.25" customHeight="1" thickBot="1">
      <c r="A1259" s="353">
        <v>31046</v>
      </c>
      <c r="B1259" s="194" t="s">
        <v>1444</v>
      </c>
      <c r="C1259" s="339">
        <f t="shared" si="42"/>
        <v>50000</v>
      </c>
      <c r="D1259" s="196" t="s">
        <v>624</v>
      </c>
      <c r="E1259" s="187" t="s">
        <v>3608</v>
      </c>
      <c r="F1259" s="507">
        <f>SUMIFS(Controle!$R:$R,Controle!$H:$H,produtos_escape2!$A1259,Controle!$Z:$Z,"1")</f>
        <v>0</v>
      </c>
      <c r="G1259" s="507">
        <f>SUMIFS(Controle!$R:$R,Controle!$H:$H,produtos_escape2!$A1259,Controle!$Z:$Z,"2")</f>
        <v>0</v>
      </c>
      <c r="H1259" s="507">
        <f>SUMIFS(Controle!$R:$R,Controle!$H:$H,produtos_escape2!$A1259,Controle!$Z:$Z,"3")</f>
        <v>0</v>
      </c>
      <c r="I1259" s="507">
        <f>SUMIFS(Controle!$R:$R,Controle!$H:$H,produtos_escape2!$A1259,Controle!$Z:$Z,"4")</f>
        <v>0</v>
      </c>
      <c r="J1259" s="507">
        <f>SUMIFS(Controle!$R:$R,Controle!$H:$H,produtos_escape2!$A1259,Controle!$Z:$Z,"5")</f>
        <v>0</v>
      </c>
      <c r="K1259" s="507">
        <f>SUMIFS(Controle!$R:$R,Controle!$H:$H,produtos_escape2!$A1259,Controle!$Z:$Z,"6")</f>
        <v>0</v>
      </c>
      <c r="L1259" s="507">
        <f t="shared" si="41"/>
        <v>0</v>
      </c>
      <c r="M1259" s="381" t="s">
        <v>5224</v>
      </c>
      <c r="AF1259" s="84"/>
    </row>
    <row r="1260" spans="1:32" s="185" customFormat="1" ht="14.25" customHeight="1" thickBot="1">
      <c r="A1260" s="353">
        <v>31079</v>
      </c>
      <c r="B1260" s="194" t="s">
        <v>9027</v>
      </c>
      <c r="C1260" s="339">
        <f t="shared" si="42"/>
        <v>50000</v>
      </c>
      <c r="D1260" s="196" t="s">
        <v>624</v>
      </c>
      <c r="E1260" s="187" t="s">
        <v>7207</v>
      </c>
      <c r="F1260" s="507">
        <f>SUMIFS(Controle!$R:$R,Controle!$H:$H,produtos_escape2!$A1260,Controle!$Z:$Z,"1")</f>
        <v>0</v>
      </c>
      <c r="G1260" s="507">
        <f>SUMIFS(Controle!$R:$R,Controle!$H:$H,produtos_escape2!$A1260,Controle!$Z:$Z,"2")</f>
        <v>0</v>
      </c>
      <c r="H1260" s="507">
        <f>SUMIFS(Controle!$R:$R,Controle!$H:$H,produtos_escape2!$A1260,Controle!$Z:$Z,"3")</f>
        <v>0</v>
      </c>
      <c r="I1260" s="507">
        <f>SUMIFS(Controle!$R:$R,Controle!$H:$H,produtos_escape2!$A1260,Controle!$Z:$Z,"4")</f>
        <v>0</v>
      </c>
      <c r="J1260" s="507">
        <f>SUMIFS(Controle!$R:$R,Controle!$H:$H,produtos_escape2!$A1260,Controle!$Z:$Z,"5")</f>
        <v>0</v>
      </c>
      <c r="K1260" s="507">
        <f>SUMIFS(Controle!$R:$R,Controle!$H:$H,produtos_escape2!$A1260,Controle!$Z:$Z,"6")</f>
        <v>0</v>
      </c>
      <c r="L1260" s="507">
        <f t="shared" si="41"/>
        <v>0</v>
      </c>
      <c r="M1260" s="381" t="s">
        <v>9020</v>
      </c>
      <c r="AF1260" s="84"/>
    </row>
    <row r="1261" spans="1:32" s="185" customFormat="1" ht="14.25" customHeight="1" thickBot="1">
      <c r="A1261" s="353">
        <v>31102</v>
      </c>
      <c r="B1261" s="194" t="s">
        <v>7356</v>
      </c>
      <c r="C1261" s="339">
        <f t="shared" si="42"/>
        <v>49190.9</v>
      </c>
      <c r="D1261" s="196" t="s">
        <v>624</v>
      </c>
      <c r="E1261" s="187" t="s">
        <v>7207</v>
      </c>
      <c r="F1261" s="507">
        <f>SUMIFS(Controle!$R:$R,Controle!$H:$H,produtos_escape2!$A1261,Controle!$Z:$Z,"1")</f>
        <v>0</v>
      </c>
      <c r="G1261" s="507">
        <f>SUMIFS(Controle!$R:$R,Controle!$H:$H,produtos_escape2!$A1261,Controle!$Z:$Z,"2")</f>
        <v>809.09999999999991</v>
      </c>
      <c r="H1261" s="507">
        <f>SUMIFS(Controle!$R:$R,Controle!$H:$H,produtos_escape2!$A1261,Controle!$Z:$Z,"3")</f>
        <v>0</v>
      </c>
      <c r="I1261" s="507">
        <f>SUMIFS(Controle!$R:$R,Controle!$H:$H,produtos_escape2!$A1261,Controle!$Z:$Z,"4")</f>
        <v>0</v>
      </c>
      <c r="J1261" s="507">
        <f>SUMIFS(Controle!$R:$R,Controle!$H:$H,produtos_escape2!$A1261,Controle!$Z:$Z,"5")</f>
        <v>0</v>
      </c>
      <c r="K1261" s="507">
        <f>SUMIFS(Controle!$R:$R,Controle!$H:$H,produtos_escape2!$A1261,Controle!$Z:$Z,"6")</f>
        <v>0</v>
      </c>
      <c r="L1261" s="507">
        <f t="shared" si="41"/>
        <v>809.09999999999991</v>
      </c>
      <c r="M1261" s="381" t="s">
        <v>7355</v>
      </c>
      <c r="AF1261" s="84"/>
    </row>
    <row r="1262" spans="1:32" s="185" customFormat="1" ht="14.25" customHeight="1" thickBot="1">
      <c r="A1262" s="353">
        <v>31109</v>
      </c>
      <c r="B1262" s="338" t="s">
        <v>3602</v>
      </c>
      <c r="C1262" s="339">
        <f t="shared" si="42"/>
        <v>50000</v>
      </c>
      <c r="D1262" s="196" t="s">
        <v>624</v>
      </c>
      <c r="E1262" s="187" t="s">
        <v>7207</v>
      </c>
      <c r="F1262" s="507">
        <f>SUMIFS(Controle!$R:$R,Controle!$H:$H,produtos_escape2!$A1262,Controle!$Z:$Z,"1")</f>
        <v>0</v>
      </c>
      <c r="G1262" s="507">
        <f>SUMIFS(Controle!$R:$R,Controle!$H:$H,produtos_escape2!$A1262,Controle!$Z:$Z,"2")</f>
        <v>0</v>
      </c>
      <c r="H1262" s="507">
        <f>SUMIFS(Controle!$R:$R,Controle!$H:$H,produtos_escape2!$A1262,Controle!$Z:$Z,"3")</f>
        <v>0</v>
      </c>
      <c r="I1262" s="507">
        <f>SUMIFS(Controle!$R:$R,Controle!$H:$H,produtos_escape2!$A1262,Controle!$Z:$Z,"4")</f>
        <v>0</v>
      </c>
      <c r="J1262" s="507">
        <f>SUMIFS(Controle!$R:$R,Controle!$H:$H,produtos_escape2!$A1262,Controle!$Z:$Z,"5")</f>
        <v>0</v>
      </c>
      <c r="K1262" s="507">
        <f>SUMIFS(Controle!$R:$R,Controle!$H:$H,produtos_escape2!$A1262,Controle!$Z:$Z,"6")</f>
        <v>0</v>
      </c>
      <c r="L1262" s="507">
        <f t="shared" si="41"/>
        <v>0</v>
      </c>
      <c r="M1262" s="381" t="s">
        <v>5225</v>
      </c>
      <c r="AF1262" s="84"/>
    </row>
    <row r="1263" spans="1:32" s="185" customFormat="1" ht="14.25" customHeight="1" thickBot="1">
      <c r="A1263" s="353">
        <v>31116</v>
      </c>
      <c r="B1263" s="194" t="s">
        <v>9028</v>
      </c>
      <c r="C1263" s="339">
        <f t="shared" si="42"/>
        <v>50000</v>
      </c>
      <c r="D1263" s="196" t="s">
        <v>624</v>
      </c>
      <c r="E1263" s="187" t="s">
        <v>7207</v>
      </c>
      <c r="F1263" s="507">
        <f>SUMIFS(Controle!$R:$R,Controle!$H:$H,produtos_escape2!$A1263,Controle!$Z:$Z,"1")</f>
        <v>0</v>
      </c>
      <c r="G1263" s="507">
        <f>SUMIFS(Controle!$R:$R,Controle!$H:$H,produtos_escape2!$A1263,Controle!$Z:$Z,"2")</f>
        <v>0</v>
      </c>
      <c r="H1263" s="507">
        <f>SUMIFS(Controle!$R:$R,Controle!$H:$H,produtos_escape2!$A1263,Controle!$Z:$Z,"3")</f>
        <v>0</v>
      </c>
      <c r="I1263" s="507">
        <f>SUMIFS(Controle!$R:$R,Controle!$H:$H,produtos_escape2!$A1263,Controle!$Z:$Z,"4")</f>
        <v>0</v>
      </c>
      <c r="J1263" s="507">
        <f>SUMIFS(Controle!$R:$R,Controle!$H:$H,produtos_escape2!$A1263,Controle!$Z:$Z,"5")</f>
        <v>0</v>
      </c>
      <c r="K1263" s="507">
        <f>SUMIFS(Controle!$R:$R,Controle!$H:$H,produtos_escape2!$A1263,Controle!$Z:$Z,"6")</f>
        <v>0</v>
      </c>
      <c r="L1263" s="507">
        <f t="shared" si="41"/>
        <v>0</v>
      </c>
      <c r="M1263" s="381" t="s">
        <v>9020</v>
      </c>
      <c r="AF1263" s="84"/>
    </row>
    <row r="1264" spans="1:32" s="185" customFormat="1" ht="14.25" customHeight="1" thickBot="1">
      <c r="A1264" s="353">
        <v>31121</v>
      </c>
      <c r="B1264" s="194" t="s">
        <v>2901</v>
      </c>
      <c r="C1264" s="339">
        <f t="shared" si="42"/>
        <v>50000</v>
      </c>
      <c r="D1264" s="196" t="s">
        <v>624</v>
      </c>
      <c r="E1264" s="187" t="s">
        <v>3608</v>
      </c>
      <c r="F1264" s="507">
        <f>SUMIFS(Controle!$R:$R,Controle!$H:$H,produtos_escape2!$A1264,Controle!$Z:$Z,"1")</f>
        <v>0</v>
      </c>
      <c r="G1264" s="507">
        <f>SUMIFS(Controle!$R:$R,Controle!$H:$H,produtos_escape2!$A1264,Controle!$Z:$Z,"2")</f>
        <v>0</v>
      </c>
      <c r="H1264" s="507">
        <f>SUMIFS(Controle!$R:$R,Controle!$H:$H,produtos_escape2!$A1264,Controle!$Z:$Z,"3")</f>
        <v>0</v>
      </c>
      <c r="I1264" s="507">
        <f>SUMIFS(Controle!$R:$R,Controle!$H:$H,produtos_escape2!$A1264,Controle!$Z:$Z,"4")</f>
        <v>0</v>
      </c>
      <c r="J1264" s="507">
        <f>SUMIFS(Controle!$R:$R,Controle!$H:$H,produtos_escape2!$A1264,Controle!$Z:$Z,"5")</f>
        <v>0</v>
      </c>
      <c r="K1264" s="507">
        <f>SUMIFS(Controle!$R:$R,Controle!$H:$H,produtos_escape2!$A1264,Controle!$Z:$Z,"6")</f>
        <v>0</v>
      </c>
      <c r="L1264" s="507">
        <f t="shared" si="41"/>
        <v>0</v>
      </c>
      <c r="M1264" s="381" t="s">
        <v>5226</v>
      </c>
      <c r="AF1264" s="84"/>
    </row>
    <row r="1265" spans="1:32" s="185" customFormat="1" ht="14.25" customHeight="1" thickBot="1">
      <c r="A1265" s="333">
        <v>31122</v>
      </c>
      <c r="B1265" s="194" t="s">
        <v>2902</v>
      </c>
      <c r="C1265" s="339">
        <f t="shared" si="42"/>
        <v>50000</v>
      </c>
      <c r="D1265" s="196" t="s">
        <v>624</v>
      </c>
      <c r="E1265" s="187" t="s">
        <v>3608</v>
      </c>
      <c r="F1265" s="507">
        <f>SUMIFS(Controle!$R:$R,Controle!$H:$H,produtos_escape2!$A1265,Controle!$Z:$Z,"1")</f>
        <v>0</v>
      </c>
      <c r="G1265" s="507">
        <f>SUMIFS(Controle!$R:$R,Controle!$H:$H,produtos_escape2!$A1265,Controle!$Z:$Z,"2")</f>
        <v>0</v>
      </c>
      <c r="H1265" s="507">
        <f>SUMIFS(Controle!$R:$R,Controle!$H:$H,produtos_escape2!$A1265,Controle!$Z:$Z,"3")</f>
        <v>0</v>
      </c>
      <c r="I1265" s="507">
        <f>SUMIFS(Controle!$R:$R,Controle!$H:$H,produtos_escape2!$A1265,Controle!$Z:$Z,"4")</f>
        <v>0</v>
      </c>
      <c r="J1265" s="507">
        <f>SUMIFS(Controle!$R:$R,Controle!$H:$H,produtos_escape2!$A1265,Controle!$Z:$Z,"5")</f>
        <v>0</v>
      </c>
      <c r="K1265" s="507">
        <f>SUMIFS(Controle!$R:$R,Controle!$H:$H,produtos_escape2!$A1265,Controle!$Z:$Z,"6")</f>
        <v>0</v>
      </c>
      <c r="L1265" s="507">
        <f t="shared" si="41"/>
        <v>0</v>
      </c>
      <c r="M1265" s="381" t="s">
        <v>5226</v>
      </c>
      <c r="AF1265" s="84"/>
    </row>
    <row r="1266" spans="1:32" s="185" customFormat="1" ht="14.25" customHeight="1" thickBot="1">
      <c r="A1266" s="353">
        <v>31153</v>
      </c>
      <c r="B1266" s="194" t="s">
        <v>4323</v>
      </c>
      <c r="C1266" s="339">
        <f t="shared" si="42"/>
        <v>50000</v>
      </c>
      <c r="D1266" s="196" t="s">
        <v>624</v>
      </c>
      <c r="E1266" s="187" t="s">
        <v>3608</v>
      </c>
      <c r="F1266" s="507">
        <f>SUMIFS(Controle!$R:$R,Controle!$H:$H,produtos_escape2!$A1266,Controle!$Z:$Z,"1")</f>
        <v>0</v>
      </c>
      <c r="G1266" s="507">
        <f>SUMIFS(Controle!$R:$R,Controle!$H:$H,produtos_escape2!$A1266,Controle!$Z:$Z,"2")</f>
        <v>0</v>
      </c>
      <c r="H1266" s="507">
        <f>SUMIFS(Controle!$R:$R,Controle!$H:$H,produtos_escape2!$A1266,Controle!$Z:$Z,"3")</f>
        <v>0</v>
      </c>
      <c r="I1266" s="507">
        <f>SUMIFS(Controle!$R:$R,Controle!$H:$H,produtos_escape2!$A1266,Controle!$Z:$Z,"4")</f>
        <v>0</v>
      </c>
      <c r="J1266" s="507">
        <f>SUMIFS(Controle!$R:$R,Controle!$H:$H,produtos_escape2!$A1266,Controle!$Z:$Z,"5")</f>
        <v>0</v>
      </c>
      <c r="K1266" s="507">
        <f>SUMIFS(Controle!$R:$R,Controle!$H:$H,produtos_escape2!$A1266,Controle!$Z:$Z,"6")</f>
        <v>0</v>
      </c>
      <c r="L1266" s="507">
        <f t="shared" si="41"/>
        <v>0</v>
      </c>
      <c r="M1266" s="381" t="s">
        <v>4593</v>
      </c>
      <c r="AF1266" s="84"/>
    </row>
    <row r="1267" spans="1:32" s="185" customFormat="1" ht="14.25" customHeight="1" thickBot="1">
      <c r="A1267" s="353">
        <v>31157</v>
      </c>
      <c r="B1267" s="194" t="s">
        <v>2651</v>
      </c>
      <c r="C1267" s="339">
        <f t="shared" si="42"/>
        <v>50000</v>
      </c>
      <c r="D1267" s="196" t="s">
        <v>624</v>
      </c>
      <c r="E1267" s="187" t="s">
        <v>3608</v>
      </c>
      <c r="F1267" s="507">
        <f>SUMIFS(Controle!$R:$R,Controle!$H:$H,produtos_escape2!$A1267,Controle!$Z:$Z,"1")</f>
        <v>0</v>
      </c>
      <c r="G1267" s="507">
        <f>SUMIFS(Controle!$R:$R,Controle!$H:$H,produtos_escape2!$A1267,Controle!$Z:$Z,"2")</f>
        <v>0</v>
      </c>
      <c r="H1267" s="507">
        <f>SUMIFS(Controle!$R:$R,Controle!$H:$H,produtos_escape2!$A1267,Controle!$Z:$Z,"3")</f>
        <v>0</v>
      </c>
      <c r="I1267" s="507">
        <f>SUMIFS(Controle!$R:$R,Controle!$H:$H,produtos_escape2!$A1267,Controle!$Z:$Z,"4")</f>
        <v>0</v>
      </c>
      <c r="J1267" s="507">
        <f>SUMIFS(Controle!$R:$R,Controle!$H:$H,produtos_escape2!$A1267,Controle!$Z:$Z,"5")</f>
        <v>0</v>
      </c>
      <c r="K1267" s="507">
        <f>SUMIFS(Controle!$R:$R,Controle!$H:$H,produtos_escape2!$A1267,Controle!$Z:$Z,"6")</f>
        <v>0</v>
      </c>
      <c r="L1267" s="507">
        <f t="shared" si="41"/>
        <v>0</v>
      </c>
      <c r="M1267" s="381" t="s">
        <v>5227</v>
      </c>
      <c r="AF1267" s="84"/>
    </row>
    <row r="1268" spans="1:32" s="185" customFormat="1" ht="14.25" customHeight="1" thickBot="1">
      <c r="A1268" s="353">
        <v>31158</v>
      </c>
      <c r="B1268" s="194" t="s">
        <v>9324</v>
      </c>
      <c r="C1268" s="339">
        <f t="shared" si="42"/>
        <v>43625</v>
      </c>
      <c r="D1268" s="196" t="s">
        <v>624</v>
      </c>
      <c r="E1268" s="187" t="s">
        <v>3608</v>
      </c>
      <c r="F1268" s="507">
        <f>SUMIFS(Controle!$R:$R,Controle!$H:$H,produtos_escape2!$A1268,Controle!$Z:$Z,"1")</f>
        <v>0</v>
      </c>
      <c r="G1268" s="507">
        <f>SUMIFS(Controle!$R:$R,Controle!$H:$H,produtos_escape2!$A1268,Controle!$Z:$Z,"2")</f>
        <v>0</v>
      </c>
      <c r="H1268" s="507">
        <f>SUMIFS(Controle!$R:$R,Controle!$H:$H,produtos_escape2!$A1268,Controle!$Z:$Z,"3")</f>
        <v>0</v>
      </c>
      <c r="I1268" s="507">
        <f>SUMIFS(Controle!$R:$R,Controle!$H:$H,produtos_escape2!$A1268,Controle!$Z:$Z,"4")</f>
        <v>6375</v>
      </c>
      <c r="J1268" s="507">
        <f>SUMIFS(Controle!$R:$R,Controle!$H:$H,produtos_escape2!$A1268,Controle!$Z:$Z,"5")</f>
        <v>0</v>
      </c>
      <c r="K1268" s="507">
        <f>SUMIFS(Controle!$R:$R,Controle!$H:$H,produtos_escape2!$A1268,Controle!$Z:$Z,"6")</f>
        <v>0</v>
      </c>
      <c r="L1268" s="507">
        <f t="shared" si="41"/>
        <v>6375</v>
      </c>
      <c r="M1268" s="381" t="s">
        <v>9323</v>
      </c>
      <c r="AF1268" s="84"/>
    </row>
    <row r="1269" spans="1:32" s="185" customFormat="1" ht="14.25" customHeight="1" thickBot="1">
      <c r="A1269" s="353">
        <v>31162</v>
      </c>
      <c r="B1269" s="194" t="s">
        <v>2897</v>
      </c>
      <c r="C1269" s="339">
        <f t="shared" si="42"/>
        <v>49750</v>
      </c>
      <c r="D1269" s="196" t="s">
        <v>624</v>
      </c>
      <c r="E1269" s="187" t="s">
        <v>7207</v>
      </c>
      <c r="F1269" s="507">
        <f>SUMIFS(Controle!$R:$R,Controle!$H:$H,produtos_escape2!$A1269,Controle!$Z:$Z,"1")</f>
        <v>0</v>
      </c>
      <c r="G1269" s="507">
        <f>SUMIFS(Controle!$R:$R,Controle!$H:$H,produtos_escape2!$A1269,Controle!$Z:$Z,"2")</f>
        <v>0</v>
      </c>
      <c r="H1269" s="507">
        <f>SUMIFS(Controle!$R:$R,Controle!$H:$H,produtos_escape2!$A1269,Controle!$Z:$Z,"3")</f>
        <v>0</v>
      </c>
      <c r="I1269" s="507">
        <f>SUMIFS(Controle!$R:$R,Controle!$H:$H,produtos_escape2!$A1269,Controle!$Z:$Z,"4")</f>
        <v>0</v>
      </c>
      <c r="J1269" s="507">
        <f>SUMIFS(Controle!$R:$R,Controle!$H:$H,produtos_escape2!$A1269,Controle!$Z:$Z,"5")</f>
        <v>0</v>
      </c>
      <c r="K1269" s="507">
        <f>SUMIFS(Controle!$R:$R,Controle!$H:$H,produtos_escape2!$A1269,Controle!$Z:$Z,"6")</f>
        <v>250</v>
      </c>
      <c r="L1269" s="507">
        <f t="shared" si="41"/>
        <v>250</v>
      </c>
      <c r="M1269" s="381" t="s">
        <v>5016</v>
      </c>
      <c r="AF1269" s="84"/>
    </row>
    <row r="1270" spans="1:32" s="185" customFormat="1" ht="14.25" customHeight="1" thickBot="1">
      <c r="A1270" s="353">
        <v>31165</v>
      </c>
      <c r="B1270" s="194" t="s">
        <v>4298</v>
      </c>
      <c r="C1270" s="339">
        <f t="shared" si="42"/>
        <v>50000</v>
      </c>
      <c r="D1270" s="196" t="s">
        <v>624</v>
      </c>
      <c r="E1270" s="187" t="s">
        <v>7207</v>
      </c>
      <c r="F1270" s="507">
        <f>SUMIFS(Controle!$R:$R,Controle!$H:$H,produtos_escape2!$A1270,Controle!$Z:$Z,"1")</f>
        <v>0</v>
      </c>
      <c r="G1270" s="507">
        <f>SUMIFS(Controle!$R:$R,Controle!$H:$H,produtos_escape2!$A1270,Controle!$Z:$Z,"2")</f>
        <v>0</v>
      </c>
      <c r="H1270" s="507">
        <f>SUMIFS(Controle!$R:$R,Controle!$H:$H,produtos_escape2!$A1270,Controle!$Z:$Z,"3")</f>
        <v>0</v>
      </c>
      <c r="I1270" s="507">
        <f>SUMIFS(Controle!$R:$R,Controle!$H:$H,produtos_escape2!$A1270,Controle!$Z:$Z,"4")</f>
        <v>0</v>
      </c>
      <c r="J1270" s="507">
        <f>SUMIFS(Controle!$R:$R,Controle!$H:$H,produtos_escape2!$A1270,Controle!$Z:$Z,"5")</f>
        <v>0</v>
      </c>
      <c r="K1270" s="507">
        <f>SUMIFS(Controle!$R:$R,Controle!$H:$H,produtos_escape2!$A1270,Controle!$Z:$Z,"6")</f>
        <v>0</v>
      </c>
      <c r="L1270" s="507">
        <f t="shared" si="41"/>
        <v>0</v>
      </c>
      <c r="M1270" s="381" t="s">
        <v>5228</v>
      </c>
      <c r="AF1270" s="84"/>
    </row>
    <row r="1271" spans="1:32" s="185" customFormat="1" ht="14.25" customHeight="1" thickBot="1">
      <c r="A1271" s="353">
        <v>31206</v>
      </c>
      <c r="B1271" s="194" t="s">
        <v>3976</v>
      </c>
      <c r="C1271" s="339">
        <f t="shared" si="42"/>
        <v>50000</v>
      </c>
      <c r="D1271" s="196" t="s">
        <v>624</v>
      </c>
      <c r="E1271" s="187" t="s">
        <v>7207</v>
      </c>
      <c r="F1271" s="507">
        <f>SUMIFS(Controle!$R:$R,Controle!$H:$H,produtos_escape2!$A1271,Controle!$Z:$Z,"1")</f>
        <v>0</v>
      </c>
      <c r="G1271" s="507">
        <f>SUMIFS(Controle!$R:$R,Controle!$H:$H,produtos_escape2!$A1271,Controle!$Z:$Z,"2")</f>
        <v>0</v>
      </c>
      <c r="H1271" s="507">
        <f>SUMIFS(Controle!$R:$R,Controle!$H:$H,produtos_escape2!$A1271,Controle!$Z:$Z,"3")</f>
        <v>0</v>
      </c>
      <c r="I1271" s="507">
        <f>SUMIFS(Controle!$R:$R,Controle!$H:$H,produtos_escape2!$A1271,Controle!$Z:$Z,"4")</f>
        <v>0</v>
      </c>
      <c r="J1271" s="507">
        <f>SUMIFS(Controle!$R:$R,Controle!$H:$H,produtos_escape2!$A1271,Controle!$Z:$Z,"5")</f>
        <v>0</v>
      </c>
      <c r="K1271" s="507">
        <f>SUMIFS(Controle!$R:$R,Controle!$H:$H,produtos_escape2!$A1271,Controle!$Z:$Z,"6")</f>
        <v>0</v>
      </c>
      <c r="L1271" s="507">
        <f t="shared" si="41"/>
        <v>0</v>
      </c>
      <c r="M1271" s="381" t="s">
        <v>5229</v>
      </c>
      <c r="AF1271" s="84"/>
    </row>
    <row r="1272" spans="1:32" s="185" customFormat="1" ht="14.25" customHeight="1" thickBot="1">
      <c r="A1272" s="353">
        <v>31207</v>
      </c>
      <c r="B1272" s="338" t="s">
        <v>3977</v>
      </c>
      <c r="C1272" s="339">
        <f t="shared" si="42"/>
        <v>50000</v>
      </c>
      <c r="D1272" s="196" t="s">
        <v>624</v>
      </c>
      <c r="E1272" s="187" t="s">
        <v>7207</v>
      </c>
      <c r="F1272" s="507">
        <f>SUMIFS(Controle!$R:$R,Controle!$H:$H,produtos_escape2!$A1272,Controle!$Z:$Z,"1")</f>
        <v>0</v>
      </c>
      <c r="G1272" s="507">
        <f>SUMIFS(Controle!$R:$R,Controle!$H:$H,produtos_escape2!$A1272,Controle!$Z:$Z,"2")</f>
        <v>0</v>
      </c>
      <c r="H1272" s="507">
        <f>SUMIFS(Controle!$R:$R,Controle!$H:$H,produtos_escape2!$A1272,Controle!$Z:$Z,"3")</f>
        <v>0</v>
      </c>
      <c r="I1272" s="507">
        <f>SUMIFS(Controle!$R:$R,Controle!$H:$H,produtos_escape2!$A1272,Controle!$Z:$Z,"4")</f>
        <v>0</v>
      </c>
      <c r="J1272" s="507">
        <f>SUMIFS(Controle!$R:$R,Controle!$H:$H,produtos_escape2!$A1272,Controle!$Z:$Z,"5")</f>
        <v>0</v>
      </c>
      <c r="K1272" s="507">
        <f>SUMIFS(Controle!$R:$R,Controle!$H:$H,produtos_escape2!$A1272,Controle!$Z:$Z,"6")</f>
        <v>0</v>
      </c>
      <c r="L1272" s="507">
        <f t="shared" si="41"/>
        <v>0</v>
      </c>
      <c r="M1272" s="381" t="s">
        <v>5230</v>
      </c>
      <c r="AF1272" s="84"/>
    </row>
    <row r="1273" spans="1:32" s="185" customFormat="1" ht="14.25" customHeight="1" thickBot="1">
      <c r="A1273" s="353">
        <v>31208</v>
      </c>
      <c r="B1273" s="194" t="s">
        <v>3978</v>
      </c>
      <c r="C1273" s="339">
        <f t="shared" si="42"/>
        <v>50000</v>
      </c>
      <c r="D1273" s="196" t="s">
        <v>624</v>
      </c>
      <c r="E1273" s="187" t="s">
        <v>7207</v>
      </c>
      <c r="F1273" s="507">
        <f>SUMIFS(Controle!$R:$R,Controle!$H:$H,produtos_escape2!$A1273,Controle!$Z:$Z,"1")</f>
        <v>0</v>
      </c>
      <c r="G1273" s="507">
        <f>SUMIFS(Controle!$R:$R,Controle!$H:$H,produtos_escape2!$A1273,Controle!$Z:$Z,"2")</f>
        <v>0</v>
      </c>
      <c r="H1273" s="507">
        <f>SUMIFS(Controle!$R:$R,Controle!$H:$H,produtos_escape2!$A1273,Controle!$Z:$Z,"3")</f>
        <v>0</v>
      </c>
      <c r="I1273" s="507">
        <f>SUMIFS(Controle!$R:$R,Controle!$H:$H,produtos_escape2!$A1273,Controle!$Z:$Z,"4")</f>
        <v>0</v>
      </c>
      <c r="J1273" s="507">
        <f>SUMIFS(Controle!$R:$R,Controle!$H:$H,produtos_escape2!$A1273,Controle!$Z:$Z,"5")</f>
        <v>0</v>
      </c>
      <c r="K1273" s="507">
        <f>SUMIFS(Controle!$R:$R,Controle!$H:$H,produtos_escape2!$A1273,Controle!$Z:$Z,"6")</f>
        <v>0</v>
      </c>
      <c r="L1273" s="507">
        <f t="shared" si="41"/>
        <v>0</v>
      </c>
      <c r="M1273" s="381" t="s">
        <v>5231</v>
      </c>
      <c r="AF1273" s="84"/>
    </row>
    <row r="1274" spans="1:32" s="185" customFormat="1" ht="14.25" customHeight="1" thickBot="1">
      <c r="A1274" s="333">
        <v>31211</v>
      </c>
      <c r="B1274" s="194" t="s">
        <v>3979</v>
      </c>
      <c r="C1274" s="339">
        <f t="shared" si="42"/>
        <v>50000</v>
      </c>
      <c r="D1274" s="196" t="s">
        <v>624</v>
      </c>
      <c r="E1274" s="187" t="s">
        <v>7207</v>
      </c>
      <c r="F1274" s="507">
        <f>SUMIFS(Controle!$R:$R,Controle!$H:$H,produtos_escape2!$A1274,Controle!$Z:$Z,"1")</f>
        <v>0</v>
      </c>
      <c r="G1274" s="507">
        <f>SUMIFS(Controle!$R:$R,Controle!$H:$H,produtos_escape2!$A1274,Controle!$Z:$Z,"2")</f>
        <v>0</v>
      </c>
      <c r="H1274" s="507">
        <f>SUMIFS(Controle!$R:$R,Controle!$H:$H,produtos_escape2!$A1274,Controle!$Z:$Z,"3")</f>
        <v>0</v>
      </c>
      <c r="I1274" s="507">
        <f>SUMIFS(Controle!$R:$R,Controle!$H:$H,produtos_escape2!$A1274,Controle!$Z:$Z,"4")</f>
        <v>0</v>
      </c>
      <c r="J1274" s="507">
        <f>SUMIFS(Controle!$R:$R,Controle!$H:$H,produtos_escape2!$A1274,Controle!$Z:$Z,"5")</f>
        <v>0</v>
      </c>
      <c r="K1274" s="507">
        <f>SUMIFS(Controle!$R:$R,Controle!$H:$H,produtos_escape2!$A1274,Controle!$Z:$Z,"6")</f>
        <v>0</v>
      </c>
      <c r="L1274" s="507">
        <f t="shared" si="41"/>
        <v>0</v>
      </c>
      <c r="M1274" s="381" t="s">
        <v>5232</v>
      </c>
      <c r="AF1274" s="84"/>
    </row>
    <row r="1275" spans="1:32" s="185" customFormat="1" ht="14.25" customHeight="1" thickBot="1">
      <c r="A1275" s="353">
        <v>31212</v>
      </c>
      <c r="B1275" s="194" t="s">
        <v>1724</v>
      </c>
      <c r="C1275" s="339">
        <f t="shared" si="42"/>
        <v>50000</v>
      </c>
      <c r="D1275" s="196" t="s">
        <v>624</v>
      </c>
      <c r="E1275" s="187" t="s">
        <v>7207</v>
      </c>
      <c r="F1275" s="507">
        <f>SUMIFS(Controle!$R:$R,Controle!$H:$H,produtos_escape2!$A1275,Controle!$Z:$Z,"1")</f>
        <v>0</v>
      </c>
      <c r="G1275" s="507">
        <f>SUMIFS(Controle!$R:$R,Controle!$H:$H,produtos_escape2!$A1275,Controle!$Z:$Z,"2")</f>
        <v>0</v>
      </c>
      <c r="H1275" s="507">
        <f>SUMIFS(Controle!$R:$R,Controle!$H:$H,produtos_escape2!$A1275,Controle!$Z:$Z,"3")</f>
        <v>0</v>
      </c>
      <c r="I1275" s="507">
        <f>SUMIFS(Controle!$R:$R,Controle!$H:$H,produtos_escape2!$A1275,Controle!$Z:$Z,"4")</f>
        <v>0</v>
      </c>
      <c r="J1275" s="507">
        <f>SUMIFS(Controle!$R:$R,Controle!$H:$H,produtos_escape2!$A1275,Controle!$Z:$Z,"5")</f>
        <v>0</v>
      </c>
      <c r="K1275" s="507">
        <f>SUMIFS(Controle!$R:$R,Controle!$H:$H,produtos_escape2!$A1275,Controle!$Z:$Z,"6")</f>
        <v>0</v>
      </c>
      <c r="L1275" s="507">
        <f t="shared" si="41"/>
        <v>0</v>
      </c>
      <c r="M1275" s="381" t="s">
        <v>5233</v>
      </c>
      <c r="AF1275" s="84"/>
    </row>
    <row r="1276" spans="1:32" s="185" customFormat="1" ht="14.25" customHeight="1" thickBot="1">
      <c r="A1276" s="353">
        <v>31229</v>
      </c>
      <c r="B1276" s="194" t="s">
        <v>10072</v>
      </c>
      <c r="C1276" s="339">
        <f t="shared" si="42"/>
        <v>46050</v>
      </c>
      <c r="D1276" s="196" t="s">
        <v>848</v>
      </c>
      <c r="E1276" s="187" t="s">
        <v>7207</v>
      </c>
      <c r="F1276" s="507">
        <f>SUMIFS(Controle!$R:$R,Controle!$H:$H,produtos_escape2!$A1276,Controle!$Z:$Z,"1")</f>
        <v>0</v>
      </c>
      <c r="G1276" s="507">
        <f>SUMIFS(Controle!$R:$R,Controle!$H:$H,produtos_escape2!$A1276,Controle!$Z:$Z,"2")</f>
        <v>0</v>
      </c>
      <c r="H1276" s="507">
        <f>SUMIFS(Controle!$R:$R,Controle!$H:$H,produtos_escape2!$A1276,Controle!$Z:$Z,"3")</f>
        <v>0</v>
      </c>
      <c r="I1276" s="507">
        <f>SUMIFS(Controle!$R:$R,Controle!$H:$H,produtos_escape2!$A1276,Controle!$Z:$Z,"4")</f>
        <v>0</v>
      </c>
      <c r="J1276" s="507">
        <f>SUMIFS(Controle!$R:$R,Controle!$H:$H,produtos_escape2!$A1276,Controle!$Z:$Z,"5")</f>
        <v>0</v>
      </c>
      <c r="K1276" s="507">
        <f>SUMIFS(Controle!$R:$R,Controle!$H:$H,produtos_escape2!$A1276,Controle!$Z:$Z,"6")</f>
        <v>3950</v>
      </c>
      <c r="L1276" s="507">
        <f t="shared" si="41"/>
        <v>3950</v>
      </c>
      <c r="M1276" s="381" t="s">
        <v>4625</v>
      </c>
      <c r="AF1276" s="84"/>
    </row>
    <row r="1277" spans="1:32" s="185" customFormat="1" ht="14.25" customHeight="1" thickBot="1">
      <c r="A1277" s="353">
        <v>31318</v>
      </c>
      <c r="B1277" s="194" t="s">
        <v>6750</v>
      </c>
      <c r="C1277" s="339">
        <f t="shared" si="42"/>
        <v>50000</v>
      </c>
      <c r="D1277" s="196" t="s">
        <v>624</v>
      </c>
      <c r="E1277" s="187" t="s">
        <v>1687</v>
      </c>
      <c r="F1277" s="507">
        <f>SUMIFS(Controle!$R:$R,Controle!$H:$H,produtos_escape2!$A1277,Controle!$Z:$Z,"1")</f>
        <v>0</v>
      </c>
      <c r="G1277" s="507">
        <f>SUMIFS(Controle!$R:$R,Controle!$H:$H,produtos_escape2!$A1277,Controle!$Z:$Z,"2")</f>
        <v>0</v>
      </c>
      <c r="H1277" s="507">
        <f>SUMIFS(Controle!$R:$R,Controle!$H:$H,produtos_escape2!$A1277,Controle!$Z:$Z,"3")</f>
        <v>0</v>
      </c>
      <c r="I1277" s="507">
        <f>SUMIFS(Controle!$R:$R,Controle!$H:$H,produtos_escape2!$A1277,Controle!$Z:$Z,"4")</f>
        <v>0</v>
      </c>
      <c r="J1277" s="507">
        <f>SUMIFS(Controle!$R:$R,Controle!$H:$H,produtos_escape2!$A1277,Controle!$Z:$Z,"5")</f>
        <v>0</v>
      </c>
      <c r="K1277" s="507">
        <f>SUMIFS(Controle!$R:$R,Controle!$H:$H,produtos_escape2!$A1277,Controle!$Z:$Z,"6")</f>
        <v>0</v>
      </c>
      <c r="L1277" s="507">
        <f t="shared" si="41"/>
        <v>0</v>
      </c>
      <c r="M1277" s="381" t="s">
        <v>5746</v>
      </c>
      <c r="AF1277" s="84"/>
    </row>
    <row r="1278" spans="1:32" s="185" customFormat="1" ht="14.25" customHeight="1" thickBot="1">
      <c r="A1278" s="353">
        <v>31330</v>
      </c>
      <c r="B1278" s="194" t="s">
        <v>7043</v>
      </c>
      <c r="C1278" s="339">
        <f t="shared" si="42"/>
        <v>50000</v>
      </c>
      <c r="D1278" s="196" t="s">
        <v>624</v>
      </c>
      <c r="E1278" s="187" t="s">
        <v>7207</v>
      </c>
      <c r="F1278" s="507">
        <f>SUMIFS(Controle!$R:$R,Controle!$H:$H,produtos_escape2!$A1278,Controle!$Z:$Z,"1")</f>
        <v>0</v>
      </c>
      <c r="G1278" s="507">
        <f>SUMIFS(Controle!$R:$R,Controle!$H:$H,produtos_escape2!$A1278,Controle!$Z:$Z,"2")</f>
        <v>0</v>
      </c>
      <c r="H1278" s="507">
        <f>SUMIFS(Controle!$R:$R,Controle!$H:$H,produtos_escape2!$A1278,Controle!$Z:$Z,"3")</f>
        <v>0</v>
      </c>
      <c r="I1278" s="507">
        <f>SUMIFS(Controle!$R:$R,Controle!$H:$H,produtos_escape2!$A1278,Controle!$Z:$Z,"4")</f>
        <v>0</v>
      </c>
      <c r="J1278" s="507">
        <f>SUMIFS(Controle!$R:$R,Controle!$H:$H,produtos_escape2!$A1278,Controle!$Z:$Z,"5")</f>
        <v>0</v>
      </c>
      <c r="K1278" s="507">
        <f>SUMIFS(Controle!$R:$R,Controle!$H:$H,produtos_escape2!$A1278,Controle!$Z:$Z,"6")</f>
        <v>0</v>
      </c>
      <c r="L1278" s="507">
        <f t="shared" si="41"/>
        <v>0</v>
      </c>
      <c r="M1278" s="381" t="s">
        <v>7042</v>
      </c>
      <c r="AF1278" s="84"/>
    </row>
    <row r="1279" spans="1:32" s="185" customFormat="1" ht="14.25" customHeight="1" thickBot="1">
      <c r="A1279" s="353">
        <v>31407</v>
      </c>
      <c r="B1279" s="194" t="s">
        <v>9563</v>
      </c>
      <c r="C1279" s="339">
        <f t="shared" si="42"/>
        <v>50000</v>
      </c>
      <c r="D1279" s="191" t="s">
        <v>982</v>
      </c>
      <c r="E1279" s="189" t="s">
        <v>3608</v>
      </c>
      <c r="F1279" s="507">
        <f>SUMIFS(Controle!$R:$R,Controle!$H:$H,produtos_escape2!$A1279,Controle!$Z:$Z,"1")</f>
        <v>0</v>
      </c>
      <c r="G1279" s="507">
        <f>SUMIFS(Controle!$R:$R,Controle!$H:$H,produtos_escape2!$A1279,Controle!$Z:$Z,"2")</f>
        <v>0</v>
      </c>
      <c r="H1279" s="507">
        <f>SUMIFS(Controle!$R:$R,Controle!$H:$H,produtos_escape2!$A1279,Controle!$Z:$Z,"3")</f>
        <v>0</v>
      </c>
      <c r="I1279" s="507">
        <f>SUMIFS(Controle!$R:$R,Controle!$H:$H,produtos_escape2!$A1279,Controle!$Z:$Z,"4")</f>
        <v>0</v>
      </c>
      <c r="J1279" s="507">
        <f>SUMIFS(Controle!$R:$R,Controle!$H:$H,produtos_escape2!$A1279,Controle!$Z:$Z,"5")</f>
        <v>0</v>
      </c>
      <c r="K1279" s="507">
        <f>SUMIFS(Controle!$R:$R,Controle!$H:$H,produtos_escape2!$A1279,Controle!$Z:$Z,"6")</f>
        <v>0</v>
      </c>
      <c r="L1279" s="507">
        <f t="shared" ref="L1279:L1342" si="43">SUM(F1279:K1279)</f>
        <v>0</v>
      </c>
      <c r="M1279" s="381" t="s">
        <v>5234</v>
      </c>
      <c r="AF1279" s="84"/>
    </row>
    <row r="1280" spans="1:32" s="185" customFormat="1" ht="14.25" customHeight="1" thickBot="1">
      <c r="A1280" s="353">
        <v>31411</v>
      </c>
      <c r="B1280" s="194" t="s">
        <v>7180</v>
      </c>
      <c r="C1280" s="339">
        <f t="shared" si="42"/>
        <v>49954</v>
      </c>
      <c r="D1280" s="196" t="s">
        <v>830</v>
      </c>
      <c r="E1280" s="187" t="s">
        <v>7207</v>
      </c>
      <c r="F1280" s="507">
        <f>SUMIFS(Controle!$R:$R,Controle!$H:$H,produtos_escape2!$A1280,Controle!$Z:$Z,"1")</f>
        <v>0</v>
      </c>
      <c r="G1280" s="507">
        <f>SUMIFS(Controle!$R:$R,Controle!$H:$H,produtos_escape2!$A1280,Controle!$Z:$Z,"2")</f>
        <v>46</v>
      </c>
      <c r="H1280" s="507">
        <f>SUMIFS(Controle!$R:$R,Controle!$H:$H,produtos_escape2!$A1280,Controle!$Z:$Z,"3")</f>
        <v>0</v>
      </c>
      <c r="I1280" s="507">
        <f>SUMIFS(Controle!$R:$R,Controle!$H:$H,produtos_escape2!$A1280,Controle!$Z:$Z,"4")</f>
        <v>0</v>
      </c>
      <c r="J1280" s="507">
        <f>SUMIFS(Controle!$R:$R,Controle!$H:$H,produtos_escape2!$A1280,Controle!$Z:$Z,"5")</f>
        <v>0</v>
      </c>
      <c r="K1280" s="507">
        <f>SUMIFS(Controle!$R:$R,Controle!$H:$H,produtos_escape2!$A1280,Controle!$Z:$Z,"6")</f>
        <v>0</v>
      </c>
      <c r="L1280" s="507">
        <f t="shared" si="43"/>
        <v>46</v>
      </c>
      <c r="M1280" s="381" t="s">
        <v>7179</v>
      </c>
      <c r="AF1280" s="84"/>
    </row>
    <row r="1281" spans="1:32" s="185" customFormat="1" ht="14.25" customHeight="1" thickBot="1">
      <c r="A1281" s="353">
        <v>31437</v>
      </c>
      <c r="B1281" s="194" t="s">
        <v>1078</v>
      </c>
      <c r="C1281" s="339">
        <f t="shared" si="42"/>
        <v>50000</v>
      </c>
      <c r="D1281" s="196" t="s">
        <v>917</v>
      </c>
      <c r="E1281" s="187" t="s">
        <v>7207</v>
      </c>
      <c r="F1281" s="507">
        <f>SUMIFS(Controle!$R:$R,Controle!$H:$H,produtos_escape2!$A1281,Controle!$Z:$Z,"1")</f>
        <v>0</v>
      </c>
      <c r="G1281" s="507">
        <f>SUMIFS(Controle!$R:$R,Controle!$H:$H,produtos_escape2!$A1281,Controle!$Z:$Z,"2")</f>
        <v>0</v>
      </c>
      <c r="H1281" s="507">
        <f>SUMIFS(Controle!$R:$R,Controle!$H:$H,produtos_escape2!$A1281,Controle!$Z:$Z,"3")</f>
        <v>0</v>
      </c>
      <c r="I1281" s="507">
        <f>SUMIFS(Controle!$R:$R,Controle!$H:$H,produtos_escape2!$A1281,Controle!$Z:$Z,"4")</f>
        <v>0</v>
      </c>
      <c r="J1281" s="507">
        <f>SUMIFS(Controle!$R:$R,Controle!$H:$H,produtos_escape2!$A1281,Controle!$Z:$Z,"5")</f>
        <v>0</v>
      </c>
      <c r="K1281" s="507">
        <f>SUMIFS(Controle!$R:$R,Controle!$H:$H,produtos_escape2!$A1281,Controle!$Z:$Z,"6")</f>
        <v>0</v>
      </c>
      <c r="L1281" s="507">
        <f t="shared" si="43"/>
        <v>0</v>
      </c>
      <c r="M1281" s="381" t="s">
        <v>5235</v>
      </c>
      <c r="AF1281" s="84"/>
    </row>
    <row r="1282" spans="1:32" s="185" customFormat="1" ht="14.25" customHeight="1" thickBot="1">
      <c r="A1282" s="353">
        <v>31438</v>
      </c>
      <c r="B1282" s="194" t="s">
        <v>1077</v>
      </c>
      <c r="C1282" s="339">
        <f t="shared" si="42"/>
        <v>50000</v>
      </c>
      <c r="D1282" s="196" t="s">
        <v>917</v>
      </c>
      <c r="E1282" s="187" t="s">
        <v>7207</v>
      </c>
      <c r="F1282" s="507">
        <f>SUMIFS(Controle!$R:$R,Controle!$H:$H,produtos_escape2!$A1282,Controle!$Z:$Z,"1")</f>
        <v>0</v>
      </c>
      <c r="G1282" s="507">
        <f>SUMIFS(Controle!$R:$R,Controle!$H:$H,produtos_escape2!$A1282,Controle!$Z:$Z,"2")</f>
        <v>0</v>
      </c>
      <c r="H1282" s="507">
        <f>SUMIFS(Controle!$R:$R,Controle!$H:$H,produtos_escape2!$A1282,Controle!$Z:$Z,"3")</f>
        <v>0</v>
      </c>
      <c r="I1282" s="507">
        <f>SUMIFS(Controle!$R:$R,Controle!$H:$H,produtos_escape2!$A1282,Controle!$Z:$Z,"4")</f>
        <v>0</v>
      </c>
      <c r="J1282" s="507">
        <f>SUMIFS(Controle!$R:$R,Controle!$H:$H,produtos_escape2!$A1282,Controle!$Z:$Z,"5")</f>
        <v>0</v>
      </c>
      <c r="K1282" s="507">
        <f>SUMIFS(Controle!$R:$R,Controle!$H:$H,produtos_escape2!$A1282,Controle!$Z:$Z,"6")</f>
        <v>0</v>
      </c>
      <c r="L1282" s="507">
        <f t="shared" si="43"/>
        <v>0</v>
      </c>
      <c r="M1282" s="381" t="s">
        <v>5236</v>
      </c>
      <c r="AF1282" s="84"/>
    </row>
    <row r="1283" spans="1:32" s="185" customFormat="1" ht="14.25" customHeight="1" thickBot="1">
      <c r="A1283" s="353">
        <v>31526</v>
      </c>
      <c r="B1283" s="338" t="s">
        <v>2652</v>
      </c>
      <c r="C1283" s="339">
        <f t="shared" si="42"/>
        <v>50000</v>
      </c>
      <c r="D1283" s="196" t="s">
        <v>624</v>
      </c>
      <c r="E1283" s="187" t="s">
        <v>7207</v>
      </c>
      <c r="F1283" s="507">
        <f>SUMIFS(Controle!$R:$R,Controle!$H:$H,produtos_escape2!$A1283,Controle!$Z:$Z,"1")</f>
        <v>0</v>
      </c>
      <c r="G1283" s="507">
        <f>SUMIFS(Controle!$R:$R,Controle!$H:$H,produtos_escape2!$A1283,Controle!$Z:$Z,"2")</f>
        <v>0</v>
      </c>
      <c r="H1283" s="507">
        <f>SUMIFS(Controle!$R:$R,Controle!$H:$H,produtos_escape2!$A1283,Controle!$Z:$Z,"3")</f>
        <v>0</v>
      </c>
      <c r="I1283" s="507">
        <f>SUMIFS(Controle!$R:$R,Controle!$H:$H,produtos_escape2!$A1283,Controle!$Z:$Z,"4")</f>
        <v>0</v>
      </c>
      <c r="J1283" s="507">
        <f>SUMIFS(Controle!$R:$R,Controle!$H:$H,produtos_escape2!$A1283,Controle!$Z:$Z,"5")</f>
        <v>0</v>
      </c>
      <c r="K1283" s="507">
        <f>SUMIFS(Controle!$R:$R,Controle!$H:$H,produtos_escape2!$A1283,Controle!$Z:$Z,"6")</f>
        <v>0</v>
      </c>
      <c r="L1283" s="507">
        <f t="shared" si="43"/>
        <v>0</v>
      </c>
      <c r="M1283" s="381" t="s">
        <v>2652</v>
      </c>
      <c r="AF1283" s="84"/>
    </row>
    <row r="1284" spans="1:32" s="185" customFormat="1" ht="14.25" customHeight="1" thickBot="1">
      <c r="A1284" s="353">
        <v>31527</v>
      </c>
      <c r="B1284" s="194" t="s">
        <v>9432</v>
      </c>
      <c r="C1284" s="339">
        <f t="shared" si="42"/>
        <v>50000</v>
      </c>
      <c r="D1284" s="196" t="s">
        <v>624</v>
      </c>
      <c r="E1284" s="189" t="s">
        <v>7207</v>
      </c>
      <c r="F1284" s="507">
        <f>SUMIFS(Controle!$R:$R,Controle!$H:$H,produtos_escape2!$A1284,Controle!$Z:$Z,"1")</f>
        <v>0</v>
      </c>
      <c r="G1284" s="507">
        <f>SUMIFS(Controle!$R:$R,Controle!$H:$H,produtos_escape2!$A1284,Controle!$Z:$Z,"2")</f>
        <v>0</v>
      </c>
      <c r="H1284" s="507">
        <f>SUMIFS(Controle!$R:$R,Controle!$H:$H,produtos_escape2!$A1284,Controle!$Z:$Z,"3")</f>
        <v>0</v>
      </c>
      <c r="I1284" s="507">
        <f>SUMIFS(Controle!$R:$R,Controle!$H:$H,produtos_escape2!$A1284,Controle!$Z:$Z,"4")</f>
        <v>0</v>
      </c>
      <c r="J1284" s="507">
        <f>SUMIFS(Controle!$R:$R,Controle!$H:$H,produtos_escape2!$A1284,Controle!$Z:$Z,"5")</f>
        <v>0</v>
      </c>
      <c r="K1284" s="507">
        <f>SUMIFS(Controle!$R:$R,Controle!$H:$H,produtos_escape2!$A1284,Controle!$Z:$Z,"6")</f>
        <v>0</v>
      </c>
      <c r="L1284" s="507">
        <f t="shared" si="43"/>
        <v>0</v>
      </c>
      <c r="M1284" s="381" t="s">
        <v>9433</v>
      </c>
      <c r="AF1284" s="84"/>
    </row>
    <row r="1285" spans="1:32" s="185" customFormat="1" ht="14.25" customHeight="1" thickBot="1">
      <c r="A1285" s="353">
        <v>31528</v>
      </c>
      <c r="B1285" s="194" t="s">
        <v>9268</v>
      </c>
      <c r="C1285" s="339">
        <f t="shared" ref="C1285:C1348" si="44">50000-SUM(F1285:K1285)</f>
        <v>48998.6</v>
      </c>
      <c r="D1285" s="196" t="s">
        <v>624</v>
      </c>
      <c r="E1285" s="189" t="s">
        <v>7207</v>
      </c>
      <c r="F1285" s="507">
        <f>SUMIFS(Controle!$R:$R,Controle!$H:$H,produtos_escape2!$A1285,Controle!$Z:$Z,"1")</f>
        <v>0</v>
      </c>
      <c r="G1285" s="507">
        <f>SUMIFS(Controle!$R:$R,Controle!$H:$H,produtos_escape2!$A1285,Controle!$Z:$Z,"2")</f>
        <v>0</v>
      </c>
      <c r="H1285" s="507">
        <f>SUMIFS(Controle!$R:$R,Controle!$H:$H,produtos_escape2!$A1285,Controle!$Z:$Z,"3")</f>
        <v>0</v>
      </c>
      <c r="I1285" s="507">
        <f>SUMIFS(Controle!$R:$R,Controle!$H:$H,produtos_escape2!$A1285,Controle!$Z:$Z,"4")</f>
        <v>0</v>
      </c>
      <c r="J1285" s="507">
        <f>SUMIFS(Controle!$R:$R,Controle!$H:$H,produtos_escape2!$A1285,Controle!$Z:$Z,"5")</f>
        <v>0</v>
      </c>
      <c r="K1285" s="507">
        <f>SUMIFS(Controle!$R:$R,Controle!$H:$H,produtos_escape2!$A1285,Controle!$Z:$Z,"6")</f>
        <v>1001.4000000000001</v>
      </c>
      <c r="L1285" s="507">
        <f t="shared" si="43"/>
        <v>1001.4000000000001</v>
      </c>
      <c r="M1285" s="381"/>
      <c r="AF1285" s="84"/>
    </row>
    <row r="1286" spans="1:32" s="185" customFormat="1" ht="14.25" customHeight="1" thickBot="1">
      <c r="A1286" s="353">
        <v>31532</v>
      </c>
      <c r="B1286" s="194" t="s">
        <v>9269</v>
      </c>
      <c r="C1286" s="339">
        <f t="shared" si="44"/>
        <v>49298</v>
      </c>
      <c r="D1286" s="196" t="s">
        <v>624</v>
      </c>
      <c r="E1286" s="189" t="s">
        <v>7207</v>
      </c>
      <c r="F1286" s="507">
        <f>SUMIFS(Controle!$R:$R,Controle!$H:$H,produtos_escape2!$A1286,Controle!$Z:$Z,"1")</f>
        <v>0</v>
      </c>
      <c r="G1286" s="507">
        <f>SUMIFS(Controle!$R:$R,Controle!$H:$H,produtos_escape2!$A1286,Controle!$Z:$Z,"2")</f>
        <v>0</v>
      </c>
      <c r="H1286" s="507">
        <f>SUMIFS(Controle!$R:$R,Controle!$H:$H,produtos_escape2!$A1286,Controle!$Z:$Z,"3")</f>
        <v>0</v>
      </c>
      <c r="I1286" s="507">
        <f>SUMIFS(Controle!$R:$R,Controle!$H:$H,produtos_escape2!$A1286,Controle!$Z:$Z,"4")</f>
        <v>0</v>
      </c>
      <c r="J1286" s="507">
        <f>SUMIFS(Controle!$R:$R,Controle!$H:$H,produtos_escape2!$A1286,Controle!$Z:$Z,"5")</f>
        <v>0</v>
      </c>
      <c r="K1286" s="507">
        <f>SUMIFS(Controle!$R:$R,Controle!$H:$H,produtos_escape2!$A1286,Controle!$Z:$Z,"6")</f>
        <v>702</v>
      </c>
      <c r="L1286" s="507">
        <f t="shared" si="43"/>
        <v>702</v>
      </c>
      <c r="M1286" s="381"/>
      <c r="AF1286" s="84"/>
    </row>
    <row r="1287" spans="1:32" s="185" customFormat="1" ht="14.25" customHeight="1" thickBot="1">
      <c r="A1287" s="353">
        <v>31540</v>
      </c>
      <c r="B1287" s="194" t="s">
        <v>3001</v>
      </c>
      <c r="C1287" s="339">
        <f t="shared" si="44"/>
        <v>50000</v>
      </c>
      <c r="D1287" s="196" t="s">
        <v>624</v>
      </c>
      <c r="E1287" s="187" t="s">
        <v>7207</v>
      </c>
      <c r="F1287" s="507">
        <f>SUMIFS(Controle!$R:$R,Controle!$H:$H,produtos_escape2!$A1287,Controle!$Z:$Z,"1")</f>
        <v>0</v>
      </c>
      <c r="G1287" s="507">
        <f>SUMIFS(Controle!$R:$R,Controle!$H:$H,produtos_escape2!$A1287,Controle!$Z:$Z,"2")</f>
        <v>0</v>
      </c>
      <c r="H1287" s="507">
        <f>SUMIFS(Controle!$R:$R,Controle!$H:$H,produtos_escape2!$A1287,Controle!$Z:$Z,"3")</f>
        <v>0</v>
      </c>
      <c r="I1287" s="507">
        <f>SUMIFS(Controle!$R:$R,Controle!$H:$H,produtos_escape2!$A1287,Controle!$Z:$Z,"4")</f>
        <v>0</v>
      </c>
      <c r="J1287" s="507">
        <f>SUMIFS(Controle!$R:$R,Controle!$H:$H,produtos_escape2!$A1287,Controle!$Z:$Z,"5")</f>
        <v>0</v>
      </c>
      <c r="K1287" s="507">
        <f>SUMIFS(Controle!$R:$R,Controle!$H:$H,produtos_escape2!$A1287,Controle!$Z:$Z,"6")</f>
        <v>0</v>
      </c>
      <c r="L1287" s="507">
        <f t="shared" si="43"/>
        <v>0</v>
      </c>
      <c r="M1287" s="381" t="s">
        <v>5237</v>
      </c>
      <c r="AF1287" s="84"/>
    </row>
    <row r="1288" spans="1:32" s="185" customFormat="1" ht="14.25" customHeight="1" thickBot="1">
      <c r="A1288" s="353">
        <v>31547</v>
      </c>
      <c r="B1288" s="194" t="s">
        <v>7806</v>
      </c>
      <c r="C1288" s="339">
        <f t="shared" si="44"/>
        <v>49811</v>
      </c>
      <c r="D1288" s="196" t="s">
        <v>624</v>
      </c>
      <c r="E1288" s="187" t="s">
        <v>7207</v>
      </c>
      <c r="F1288" s="507">
        <f>SUMIFS(Controle!$R:$R,Controle!$H:$H,produtos_escape2!$A1288,Controle!$Z:$Z,"1")</f>
        <v>0</v>
      </c>
      <c r="G1288" s="507">
        <f>SUMIFS(Controle!$R:$R,Controle!$H:$H,produtos_escape2!$A1288,Controle!$Z:$Z,"2")</f>
        <v>0</v>
      </c>
      <c r="H1288" s="507">
        <f>SUMIFS(Controle!$R:$R,Controle!$H:$H,produtos_escape2!$A1288,Controle!$Z:$Z,"3")</f>
        <v>189</v>
      </c>
      <c r="I1288" s="507">
        <f>SUMIFS(Controle!$R:$R,Controle!$H:$H,produtos_escape2!$A1288,Controle!$Z:$Z,"4")</f>
        <v>0</v>
      </c>
      <c r="J1288" s="507">
        <f>SUMIFS(Controle!$R:$R,Controle!$H:$H,produtos_escape2!$A1288,Controle!$Z:$Z,"5")</f>
        <v>0</v>
      </c>
      <c r="K1288" s="507">
        <f>SUMIFS(Controle!$R:$R,Controle!$H:$H,produtos_escape2!$A1288,Controle!$Z:$Z,"6")</f>
        <v>0</v>
      </c>
      <c r="L1288" s="507">
        <f t="shared" si="43"/>
        <v>189</v>
      </c>
      <c r="M1288" s="381" t="s">
        <v>7805</v>
      </c>
      <c r="AF1288" s="84"/>
    </row>
    <row r="1289" spans="1:32" s="185" customFormat="1" ht="14.25" customHeight="1" thickBot="1">
      <c r="A1289" s="333">
        <v>31552</v>
      </c>
      <c r="B1289" s="487" t="s">
        <v>2892</v>
      </c>
      <c r="C1289" s="339">
        <f t="shared" si="44"/>
        <v>41600</v>
      </c>
      <c r="D1289" s="196" t="s">
        <v>624</v>
      </c>
      <c r="E1289" s="187" t="s">
        <v>7207</v>
      </c>
      <c r="F1289" s="507">
        <f>SUMIFS(Controle!$R:$R,Controle!$H:$H,produtos_escape2!$A1289,Controle!$Z:$Z,"1")</f>
        <v>0</v>
      </c>
      <c r="G1289" s="507">
        <f>SUMIFS(Controle!$R:$R,Controle!$H:$H,produtos_escape2!$A1289,Controle!$Z:$Z,"2")</f>
        <v>0</v>
      </c>
      <c r="H1289" s="507">
        <f>SUMIFS(Controle!$R:$R,Controle!$H:$H,produtos_escape2!$A1289,Controle!$Z:$Z,"3")</f>
        <v>0</v>
      </c>
      <c r="I1289" s="507">
        <f>SUMIFS(Controle!$R:$R,Controle!$H:$H,produtos_escape2!$A1289,Controle!$Z:$Z,"4")</f>
        <v>8400</v>
      </c>
      <c r="J1289" s="507">
        <f>SUMIFS(Controle!$R:$R,Controle!$H:$H,produtos_escape2!$A1289,Controle!$Z:$Z,"5")</f>
        <v>0</v>
      </c>
      <c r="K1289" s="507">
        <f>SUMIFS(Controle!$R:$R,Controle!$H:$H,produtos_escape2!$A1289,Controle!$Z:$Z,"6")</f>
        <v>0</v>
      </c>
      <c r="L1289" s="507">
        <f t="shared" si="43"/>
        <v>8400</v>
      </c>
      <c r="M1289" s="381" t="s">
        <v>5238</v>
      </c>
      <c r="AF1289" s="84"/>
    </row>
    <row r="1290" spans="1:32" s="185" customFormat="1" ht="14.25" customHeight="1" thickBot="1">
      <c r="A1290" s="353">
        <v>31575</v>
      </c>
      <c r="B1290" s="194" t="s">
        <v>4500</v>
      </c>
      <c r="C1290" s="339">
        <f t="shared" si="44"/>
        <v>50000</v>
      </c>
      <c r="D1290" s="196" t="s">
        <v>624</v>
      </c>
      <c r="E1290" s="187" t="s">
        <v>3608</v>
      </c>
      <c r="F1290" s="507">
        <f>SUMIFS(Controle!$R:$R,Controle!$H:$H,produtos_escape2!$A1290,Controle!$Z:$Z,"1")</f>
        <v>0</v>
      </c>
      <c r="G1290" s="507">
        <f>SUMIFS(Controle!$R:$R,Controle!$H:$H,produtos_escape2!$A1290,Controle!$Z:$Z,"2")</f>
        <v>0</v>
      </c>
      <c r="H1290" s="507">
        <f>SUMIFS(Controle!$R:$R,Controle!$H:$H,produtos_escape2!$A1290,Controle!$Z:$Z,"3")</f>
        <v>0</v>
      </c>
      <c r="I1290" s="507">
        <f>SUMIFS(Controle!$R:$R,Controle!$H:$H,produtos_escape2!$A1290,Controle!$Z:$Z,"4")</f>
        <v>0</v>
      </c>
      <c r="J1290" s="507">
        <f>SUMIFS(Controle!$R:$R,Controle!$H:$H,produtos_escape2!$A1290,Controle!$Z:$Z,"5")</f>
        <v>0</v>
      </c>
      <c r="K1290" s="507">
        <f>SUMIFS(Controle!$R:$R,Controle!$H:$H,produtos_escape2!$A1290,Controle!$Z:$Z,"6")</f>
        <v>0</v>
      </c>
      <c r="L1290" s="507">
        <f t="shared" si="43"/>
        <v>0</v>
      </c>
      <c r="M1290" s="381" t="s">
        <v>5239</v>
      </c>
      <c r="AF1290" s="84"/>
    </row>
    <row r="1291" spans="1:32" s="185" customFormat="1" ht="14.25" customHeight="1" thickBot="1">
      <c r="A1291" s="353">
        <v>31621</v>
      </c>
      <c r="B1291" s="194" t="s">
        <v>1691</v>
      </c>
      <c r="C1291" s="339">
        <f t="shared" si="44"/>
        <v>50000</v>
      </c>
      <c r="D1291" s="196" t="s">
        <v>624</v>
      </c>
      <c r="E1291" s="187" t="s">
        <v>7207</v>
      </c>
      <c r="F1291" s="507">
        <f>SUMIFS(Controle!$R:$R,Controle!$H:$H,produtos_escape2!$A1291,Controle!$Z:$Z,"1")</f>
        <v>0</v>
      </c>
      <c r="G1291" s="507">
        <f>SUMIFS(Controle!$R:$R,Controle!$H:$H,produtos_escape2!$A1291,Controle!$Z:$Z,"2")</f>
        <v>0</v>
      </c>
      <c r="H1291" s="507">
        <f>SUMIFS(Controle!$R:$R,Controle!$H:$H,produtos_escape2!$A1291,Controle!$Z:$Z,"3")</f>
        <v>0</v>
      </c>
      <c r="I1291" s="507">
        <f>SUMIFS(Controle!$R:$R,Controle!$H:$H,produtos_escape2!$A1291,Controle!$Z:$Z,"4")</f>
        <v>0</v>
      </c>
      <c r="J1291" s="507">
        <f>SUMIFS(Controle!$R:$R,Controle!$H:$H,produtos_escape2!$A1291,Controle!$Z:$Z,"5")</f>
        <v>0</v>
      </c>
      <c r="K1291" s="507">
        <f>SUMIFS(Controle!$R:$R,Controle!$H:$H,produtos_escape2!$A1291,Controle!$Z:$Z,"6")</f>
        <v>0</v>
      </c>
      <c r="L1291" s="507">
        <f t="shared" si="43"/>
        <v>0</v>
      </c>
      <c r="M1291" s="381" t="s">
        <v>5240</v>
      </c>
      <c r="AF1291" s="84"/>
    </row>
    <row r="1292" spans="1:32" s="185" customFormat="1" ht="14.25" customHeight="1" thickBot="1">
      <c r="A1292" s="353">
        <v>31635</v>
      </c>
      <c r="B1292" s="194" t="s">
        <v>10365</v>
      </c>
      <c r="C1292" s="339">
        <f t="shared" si="44"/>
        <v>47807.5</v>
      </c>
      <c r="D1292" s="196" t="s">
        <v>624</v>
      </c>
      <c r="E1292" s="187" t="s">
        <v>7207</v>
      </c>
      <c r="F1292" s="507">
        <f>SUMIFS(Controle!$R:$R,Controle!$H:$H,produtos_escape2!$A1292,Controle!$Z:$Z,"1")</f>
        <v>0</v>
      </c>
      <c r="G1292" s="507">
        <f>SUMIFS(Controle!$R:$R,Controle!$H:$H,produtos_escape2!$A1292,Controle!$Z:$Z,"2")</f>
        <v>780</v>
      </c>
      <c r="H1292" s="507">
        <f>SUMIFS(Controle!$R:$R,Controle!$H:$H,produtos_escape2!$A1292,Controle!$Z:$Z,"3")</f>
        <v>600</v>
      </c>
      <c r="I1292" s="507">
        <f>SUMIFS(Controle!$R:$R,Controle!$H:$H,produtos_escape2!$A1292,Controle!$Z:$Z,"4")</f>
        <v>400</v>
      </c>
      <c r="J1292" s="507">
        <f>SUMIFS(Controle!$R:$R,Controle!$H:$H,produtos_escape2!$A1292,Controle!$Z:$Z,"5")</f>
        <v>0</v>
      </c>
      <c r="K1292" s="507">
        <f>SUMIFS(Controle!$R:$R,Controle!$H:$H,produtos_escape2!$A1292,Controle!$Z:$Z,"6")</f>
        <v>412.5</v>
      </c>
      <c r="L1292" s="507">
        <f t="shared" si="43"/>
        <v>2192.5</v>
      </c>
      <c r="M1292" s="381" t="s">
        <v>5016</v>
      </c>
      <c r="AF1292" s="84"/>
    </row>
    <row r="1293" spans="1:32" s="185" customFormat="1" ht="14.25" customHeight="1" thickBot="1">
      <c r="A1293" s="353">
        <v>31636</v>
      </c>
      <c r="B1293" s="194" t="s">
        <v>1725</v>
      </c>
      <c r="C1293" s="339">
        <f t="shared" si="44"/>
        <v>50000</v>
      </c>
      <c r="D1293" s="191" t="s">
        <v>1726</v>
      </c>
      <c r="E1293" s="189" t="s">
        <v>7207</v>
      </c>
      <c r="F1293" s="507">
        <f>SUMIFS(Controle!$R:$R,Controle!$H:$H,produtos_escape2!$A1293,Controle!$Z:$Z,"1")</f>
        <v>0</v>
      </c>
      <c r="G1293" s="507">
        <f>SUMIFS(Controle!$R:$R,Controle!$H:$H,produtos_escape2!$A1293,Controle!$Z:$Z,"2")</f>
        <v>0</v>
      </c>
      <c r="H1293" s="507">
        <f>SUMIFS(Controle!$R:$R,Controle!$H:$H,produtos_escape2!$A1293,Controle!$Z:$Z,"3")</f>
        <v>0</v>
      </c>
      <c r="I1293" s="507">
        <f>SUMIFS(Controle!$R:$R,Controle!$H:$H,produtos_escape2!$A1293,Controle!$Z:$Z,"4")</f>
        <v>0</v>
      </c>
      <c r="J1293" s="507">
        <f>SUMIFS(Controle!$R:$R,Controle!$H:$H,produtos_escape2!$A1293,Controle!$Z:$Z,"5")</f>
        <v>0</v>
      </c>
      <c r="K1293" s="507">
        <f>SUMIFS(Controle!$R:$R,Controle!$H:$H,produtos_escape2!$A1293,Controle!$Z:$Z,"6")</f>
        <v>0</v>
      </c>
      <c r="L1293" s="507">
        <f t="shared" si="43"/>
        <v>0</v>
      </c>
      <c r="M1293" s="381" t="s">
        <v>5241</v>
      </c>
      <c r="AF1293" s="84"/>
    </row>
    <row r="1294" spans="1:32" s="185" customFormat="1" ht="14.25" customHeight="1" thickBot="1">
      <c r="A1294" s="353">
        <v>31637</v>
      </c>
      <c r="B1294" s="402" t="s">
        <v>8181</v>
      </c>
      <c r="C1294" s="339">
        <f t="shared" si="44"/>
        <v>32450</v>
      </c>
      <c r="D1294" s="191" t="s">
        <v>848</v>
      </c>
      <c r="E1294" s="189" t="s">
        <v>7207</v>
      </c>
      <c r="F1294" s="507">
        <f>SUMIFS(Controle!$R:$R,Controle!$H:$H,produtos_escape2!$A1294,Controle!$Z:$Z,"1")</f>
        <v>0</v>
      </c>
      <c r="G1294" s="507">
        <f>SUMIFS(Controle!$R:$R,Controle!$H:$H,produtos_escape2!$A1294,Controle!$Z:$Z,"2")</f>
        <v>0</v>
      </c>
      <c r="H1294" s="507">
        <f>SUMIFS(Controle!$R:$R,Controle!$H:$H,produtos_escape2!$A1294,Controle!$Z:$Z,"3")</f>
        <v>11700</v>
      </c>
      <c r="I1294" s="507">
        <f>SUMIFS(Controle!$R:$R,Controle!$H:$H,produtos_escape2!$A1294,Controle!$Z:$Z,"4")</f>
        <v>5850</v>
      </c>
      <c r="J1294" s="507">
        <f>SUMIFS(Controle!$R:$R,Controle!$H:$H,produtos_escape2!$A1294,Controle!$Z:$Z,"5")</f>
        <v>0</v>
      </c>
      <c r="K1294" s="507">
        <f>SUMIFS(Controle!$R:$R,Controle!$H:$H,produtos_escape2!$A1294,Controle!$Z:$Z,"6")</f>
        <v>0</v>
      </c>
      <c r="L1294" s="507">
        <f t="shared" si="43"/>
        <v>17550</v>
      </c>
      <c r="M1294" s="381" t="s">
        <v>8182</v>
      </c>
      <c r="AF1294" s="84"/>
    </row>
    <row r="1295" spans="1:32" s="185" customFormat="1" ht="14.25" customHeight="1" thickBot="1">
      <c r="A1295" s="353">
        <v>31638</v>
      </c>
      <c r="B1295" s="194" t="s">
        <v>1572</v>
      </c>
      <c r="C1295" s="339">
        <f t="shared" si="44"/>
        <v>40000</v>
      </c>
      <c r="D1295" s="196" t="s">
        <v>848</v>
      </c>
      <c r="E1295" s="187" t="s">
        <v>7207</v>
      </c>
      <c r="F1295" s="507">
        <f>SUMIFS(Controle!$R:$R,Controle!$H:$H,produtos_escape2!$A1295,Controle!$Z:$Z,"1")</f>
        <v>0</v>
      </c>
      <c r="G1295" s="507">
        <f>SUMIFS(Controle!$R:$R,Controle!$H:$H,produtos_escape2!$A1295,Controle!$Z:$Z,"2")</f>
        <v>0</v>
      </c>
      <c r="H1295" s="507">
        <f>SUMIFS(Controle!$R:$R,Controle!$H:$H,produtos_escape2!$A1295,Controle!$Z:$Z,"3")</f>
        <v>10000</v>
      </c>
      <c r="I1295" s="507">
        <f>SUMIFS(Controle!$R:$R,Controle!$H:$H,produtos_escape2!$A1295,Controle!$Z:$Z,"4")</f>
        <v>0</v>
      </c>
      <c r="J1295" s="507">
        <f>SUMIFS(Controle!$R:$R,Controle!$H:$H,produtos_escape2!$A1295,Controle!$Z:$Z,"5")</f>
        <v>0</v>
      </c>
      <c r="K1295" s="507">
        <f>SUMIFS(Controle!$R:$R,Controle!$H:$H,produtos_escape2!$A1295,Controle!$Z:$Z,"6")</f>
        <v>0</v>
      </c>
      <c r="L1295" s="507">
        <f t="shared" si="43"/>
        <v>10000</v>
      </c>
      <c r="M1295" s="381" t="s">
        <v>5242</v>
      </c>
      <c r="AF1295" s="84"/>
    </row>
    <row r="1296" spans="1:32" s="185" customFormat="1" ht="14.25" customHeight="1" thickBot="1">
      <c r="A1296" s="353">
        <v>31643</v>
      </c>
      <c r="B1296" s="194" t="s">
        <v>7745</v>
      </c>
      <c r="C1296" s="339">
        <f t="shared" si="44"/>
        <v>49757</v>
      </c>
      <c r="D1296" s="196" t="s">
        <v>624</v>
      </c>
      <c r="E1296" s="187" t="s">
        <v>3608</v>
      </c>
      <c r="F1296" s="507">
        <f>SUMIFS(Controle!$R:$R,Controle!$H:$H,produtos_escape2!$A1296,Controle!$Z:$Z,"1")</f>
        <v>0</v>
      </c>
      <c r="G1296" s="507">
        <f>SUMIFS(Controle!$R:$R,Controle!$H:$H,produtos_escape2!$A1296,Controle!$Z:$Z,"2")</f>
        <v>243</v>
      </c>
      <c r="H1296" s="507">
        <f>SUMIFS(Controle!$R:$R,Controle!$H:$H,produtos_escape2!$A1296,Controle!$Z:$Z,"3")</f>
        <v>0</v>
      </c>
      <c r="I1296" s="507">
        <f>SUMIFS(Controle!$R:$R,Controle!$H:$H,produtos_escape2!$A1296,Controle!$Z:$Z,"4")</f>
        <v>0</v>
      </c>
      <c r="J1296" s="507">
        <f>SUMIFS(Controle!$R:$R,Controle!$H:$H,produtos_escape2!$A1296,Controle!$Z:$Z,"5")</f>
        <v>0</v>
      </c>
      <c r="K1296" s="507">
        <f>SUMIFS(Controle!$R:$R,Controle!$H:$H,produtos_escape2!$A1296,Controle!$Z:$Z,"6")</f>
        <v>0</v>
      </c>
      <c r="L1296" s="507">
        <f t="shared" si="43"/>
        <v>243</v>
      </c>
      <c r="M1296" s="381" t="s">
        <v>7744</v>
      </c>
      <c r="AF1296" s="84"/>
    </row>
    <row r="1297" spans="1:32" s="185" customFormat="1" ht="14.25" customHeight="1" thickBot="1">
      <c r="A1297" s="353">
        <v>31644</v>
      </c>
      <c r="B1297" s="194" t="s">
        <v>7746</v>
      </c>
      <c r="C1297" s="339">
        <f t="shared" si="44"/>
        <v>49757</v>
      </c>
      <c r="D1297" s="196" t="s">
        <v>624</v>
      </c>
      <c r="E1297" s="187" t="s">
        <v>3608</v>
      </c>
      <c r="F1297" s="507">
        <f>SUMIFS(Controle!$R:$R,Controle!$H:$H,produtos_escape2!$A1297,Controle!$Z:$Z,"1")</f>
        <v>0</v>
      </c>
      <c r="G1297" s="507">
        <f>SUMIFS(Controle!$R:$R,Controle!$H:$H,produtos_escape2!$A1297,Controle!$Z:$Z,"2")</f>
        <v>243</v>
      </c>
      <c r="H1297" s="507">
        <f>SUMIFS(Controle!$R:$R,Controle!$H:$H,produtos_escape2!$A1297,Controle!$Z:$Z,"3")</f>
        <v>0</v>
      </c>
      <c r="I1297" s="507">
        <f>SUMIFS(Controle!$R:$R,Controle!$H:$H,produtos_escape2!$A1297,Controle!$Z:$Z,"4")</f>
        <v>0</v>
      </c>
      <c r="J1297" s="507">
        <f>SUMIFS(Controle!$R:$R,Controle!$H:$H,produtos_escape2!$A1297,Controle!$Z:$Z,"5")</f>
        <v>0</v>
      </c>
      <c r="K1297" s="507">
        <f>SUMIFS(Controle!$R:$R,Controle!$H:$H,produtos_escape2!$A1297,Controle!$Z:$Z,"6")</f>
        <v>0</v>
      </c>
      <c r="L1297" s="507">
        <f t="shared" si="43"/>
        <v>243</v>
      </c>
      <c r="M1297" s="381" t="s">
        <v>7744</v>
      </c>
      <c r="AF1297" s="84"/>
    </row>
    <row r="1298" spans="1:32" s="185" customFormat="1" ht="14.25" customHeight="1" thickBot="1">
      <c r="A1298" s="353">
        <v>31645</v>
      </c>
      <c r="B1298" s="194" t="s">
        <v>7747</v>
      </c>
      <c r="C1298" s="339">
        <f t="shared" si="44"/>
        <v>49368.2</v>
      </c>
      <c r="D1298" s="196" t="s">
        <v>624</v>
      </c>
      <c r="E1298" s="187" t="s">
        <v>3608</v>
      </c>
      <c r="F1298" s="507">
        <f>SUMIFS(Controle!$R:$R,Controle!$H:$H,produtos_escape2!$A1298,Controle!$Z:$Z,"1")</f>
        <v>0</v>
      </c>
      <c r="G1298" s="507">
        <f>SUMIFS(Controle!$R:$R,Controle!$H:$H,produtos_escape2!$A1298,Controle!$Z:$Z,"2")</f>
        <v>631.79999999999995</v>
      </c>
      <c r="H1298" s="507">
        <f>SUMIFS(Controle!$R:$R,Controle!$H:$H,produtos_escape2!$A1298,Controle!$Z:$Z,"3")</f>
        <v>0</v>
      </c>
      <c r="I1298" s="507">
        <f>SUMIFS(Controle!$R:$R,Controle!$H:$H,produtos_escape2!$A1298,Controle!$Z:$Z,"4")</f>
        <v>0</v>
      </c>
      <c r="J1298" s="507">
        <f>SUMIFS(Controle!$R:$R,Controle!$H:$H,produtos_escape2!$A1298,Controle!$Z:$Z,"5")</f>
        <v>0</v>
      </c>
      <c r="K1298" s="507">
        <f>SUMIFS(Controle!$R:$R,Controle!$H:$H,produtos_escape2!$A1298,Controle!$Z:$Z,"6")</f>
        <v>0</v>
      </c>
      <c r="L1298" s="507">
        <f t="shared" si="43"/>
        <v>631.79999999999995</v>
      </c>
      <c r="M1298" s="381" t="s">
        <v>7744</v>
      </c>
      <c r="AF1298" s="84"/>
    </row>
    <row r="1299" spans="1:32" s="185" customFormat="1" ht="14.25" customHeight="1" thickBot="1">
      <c r="A1299" s="353">
        <v>31646</v>
      </c>
      <c r="B1299" s="194" t="s">
        <v>7748</v>
      </c>
      <c r="C1299" s="339">
        <f t="shared" si="44"/>
        <v>49368.2</v>
      </c>
      <c r="D1299" s="196" t="s">
        <v>624</v>
      </c>
      <c r="E1299" s="187" t="s">
        <v>3608</v>
      </c>
      <c r="F1299" s="507">
        <f>SUMIFS(Controle!$R:$R,Controle!$H:$H,produtos_escape2!$A1299,Controle!$Z:$Z,"1")</f>
        <v>0</v>
      </c>
      <c r="G1299" s="507">
        <f>SUMIFS(Controle!$R:$R,Controle!$H:$H,produtos_escape2!$A1299,Controle!$Z:$Z,"2")</f>
        <v>631.79999999999995</v>
      </c>
      <c r="H1299" s="507">
        <f>SUMIFS(Controle!$R:$R,Controle!$H:$H,produtos_escape2!$A1299,Controle!$Z:$Z,"3")</f>
        <v>0</v>
      </c>
      <c r="I1299" s="507">
        <f>SUMIFS(Controle!$R:$R,Controle!$H:$H,produtos_escape2!$A1299,Controle!$Z:$Z,"4")</f>
        <v>0</v>
      </c>
      <c r="J1299" s="507">
        <f>SUMIFS(Controle!$R:$R,Controle!$H:$H,produtos_escape2!$A1299,Controle!$Z:$Z,"5")</f>
        <v>0</v>
      </c>
      <c r="K1299" s="507">
        <f>SUMIFS(Controle!$R:$R,Controle!$H:$H,produtos_escape2!$A1299,Controle!$Z:$Z,"6")</f>
        <v>0</v>
      </c>
      <c r="L1299" s="507">
        <f t="shared" si="43"/>
        <v>631.79999999999995</v>
      </c>
      <c r="M1299" s="381" t="s">
        <v>7744</v>
      </c>
      <c r="AF1299" s="84"/>
    </row>
    <row r="1300" spans="1:32" s="185" customFormat="1" ht="14.25" customHeight="1" thickBot="1">
      <c r="A1300" s="353">
        <v>31647</v>
      </c>
      <c r="B1300" s="194" t="s">
        <v>7749</v>
      </c>
      <c r="C1300" s="339">
        <f t="shared" si="44"/>
        <v>49368.2</v>
      </c>
      <c r="D1300" s="196" t="s">
        <v>624</v>
      </c>
      <c r="E1300" s="187" t="s">
        <v>3608</v>
      </c>
      <c r="F1300" s="507">
        <f>SUMIFS(Controle!$R:$R,Controle!$H:$H,produtos_escape2!$A1300,Controle!$Z:$Z,"1")</f>
        <v>0</v>
      </c>
      <c r="G1300" s="507">
        <f>SUMIFS(Controle!$R:$R,Controle!$H:$H,produtos_escape2!$A1300,Controle!$Z:$Z,"2")</f>
        <v>631.79999999999995</v>
      </c>
      <c r="H1300" s="507">
        <f>SUMIFS(Controle!$R:$R,Controle!$H:$H,produtos_escape2!$A1300,Controle!$Z:$Z,"3")</f>
        <v>0</v>
      </c>
      <c r="I1300" s="507">
        <f>SUMIFS(Controle!$R:$R,Controle!$H:$H,produtos_escape2!$A1300,Controle!$Z:$Z,"4")</f>
        <v>0</v>
      </c>
      <c r="J1300" s="507">
        <f>SUMIFS(Controle!$R:$R,Controle!$H:$H,produtos_escape2!$A1300,Controle!$Z:$Z,"5")</f>
        <v>0</v>
      </c>
      <c r="K1300" s="507">
        <f>SUMIFS(Controle!$R:$R,Controle!$H:$H,produtos_escape2!$A1300,Controle!$Z:$Z,"6")</f>
        <v>0</v>
      </c>
      <c r="L1300" s="507">
        <f t="shared" si="43"/>
        <v>631.79999999999995</v>
      </c>
      <c r="M1300" s="381" t="s">
        <v>7744</v>
      </c>
      <c r="AF1300" s="84"/>
    </row>
    <row r="1301" spans="1:32" s="185" customFormat="1" ht="14.25" customHeight="1" thickBot="1">
      <c r="A1301" s="353">
        <v>31648</v>
      </c>
      <c r="B1301" s="194" t="s">
        <v>7750</v>
      </c>
      <c r="C1301" s="339">
        <f t="shared" si="44"/>
        <v>49368.2</v>
      </c>
      <c r="D1301" s="196" t="s">
        <v>624</v>
      </c>
      <c r="E1301" s="187" t="s">
        <v>3608</v>
      </c>
      <c r="F1301" s="507">
        <f>SUMIFS(Controle!$R:$R,Controle!$H:$H,produtos_escape2!$A1301,Controle!$Z:$Z,"1")</f>
        <v>0</v>
      </c>
      <c r="G1301" s="507">
        <f>SUMIFS(Controle!$R:$R,Controle!$H:$H,produtos_escape2!$A1301,Controle!$Z:$Z,"2")</f>
        <v>631.79999999999995</v>
      </c>
      <c r="H1301" s="507">
        <f>SUMIFS(Controle!$R:$R,Controle!$H:$H,produtos_escape2!$A1301,Controle!$Z:$Z,"3")</f>
        <v>0</v>
      </c>
      <c r="I1301" s="507">
        <f>SUMIFS(Controle!$R:$R,Controle!$H:$H,produtos_escape2!$A1301,Controle!$Z:$Z,"4")</f>
        <v>0</v>
      </c>
      <c r="J1301" s="507">
        <f>SUMIFS(Controle!$R:$R,Controle!$H:$H,produtos_escape2!$A1301,Controle!$Z:$Z,"5")</f>
        <v>0</v>
      </c>
      <c r="K1301" s="507">
        <f>SUMIFS(Controle!$R:$R,Controle!$H:$H,produtos_escape2!$A1301,Controle!$Z:$Z,"6")</f>
        <v>0</v>
      </c>
      <c r="L1301" s="507">
        <f t="shared" si="43"/>
        <v>631.79999999999995</v>
      </c>
      <c r="M1301" s="381" t="s">
        <v>7744</v>
      </c>
      <c r="AF1301" s="84"/>
    </row>
    <row r="1302" spans="1:32" s="185" customFormat="1" ht="14.25" customHeight="1" thickBot="1">
      <c r="A1302" s="353">
        <v>31649</v>
      </c>
      <c r="B1302" s="403" t="s">
        <v>7751</v>
      </c>
      <c r="C1302" s="339">
        <f t="shared" si="44"/>
        <v>49368.2</v>
      </c>
      <c r="D1302" s="196" t="s">
        <v>624</v>
      </c>
      <c r="E1302" s="187" t="s">
        <v>3608</v>
      </c>
      <c r="F1302" s="507">
        <f>SUMIFS(Controle!$R:$R,Controle!$H:$H,produtos_escape2!$A1302,Controle!$Z:$Z,"1")</f>
        <v>0</v>
      </c>
      <c r="G1302" s="507">
        <f>SUMIFS(Controle!$R:$R,Controle!$H:$H,produtos_escape2!$A1302,Controle!$Z:$Z,"2")</f>
        <v>631.79999999999995</v>
      </c>
      <c r="H1302" s="507">
        <f>SUMIFS(Controle!$R:$R,Controle!$H:$H,produtos_escape2!$A1302,Controle!$Z:$Z,"3")</f>
        <v>0</v>
      </c>
      <c r="I1302" s="507">
        <f>SUMIFS(Controle!$R:$R,Controle!$H:$H,produtos_escape2!$A1302,Controle!$Z:$Z,"4")</f>
        <v>0</v>
      </c>
      <c r="J1302" s="507">
        <f>SUMIFS(Controle!$R:$R,Controle!$H:$H,produtos_escape2!$A1302,Controle!$Z:$Z,"5")</f>
        <v>0</v>
      </c>
      <c r="K1302" s="507">
        <f>SUMIFS(Controle!$R:$R,Controle!$H:$H,produtos_escape2!$A1302,Controle!$Z:$Z,"6")</f>
        <v>0</v>
      </c>
      <c r="L1302" s="507">
        <f t="shared" si="43"/>
        <v>631.79999999999995</v>
      </c>
      <c r="M1302" s="381" t="s">
        <v>7744</v>
      </c>
      <c r="AF1302" s="84"/>
    </row>
    <row r="1303" spans="1:32" s="185" customFormat="1" ht="14.25" customHeight="1" thickBot="1">
      <c r="A1303" s="353">
        <v>31650</v>
      </c>
      <c r="B1303" s="194" t="s">
        <v>7752</v>
      </c>
      <c r="C1303" s="339">
        <f t="shared" si="44"/>
        <v>48736.4</v>
      </c>
      <c r="D1303" s="196" t="s">
        <v>624</v>
      </c>
      <c r="E1303" s="187" t="s">
        <v>3608</v>
      </c>
      <c r="F1303" s="507">
        <f>SUMIFS(Controle!$R:$R,Controle!$H:$H,produtos_escape2!$A1303,Controle!$Z:$Z,"1")</f>
        <v>0</v>
      </c>
      <c r="G1303" s="507">
        <f>SUMIFS(Controle!$R:$R,Controle!$H:$H,produtos_escape2!$A1303,Controle!$Z:$Z,"2")</f>
        <v>1263.5999999999999</v>
      </c>
      <c r="H1303" s="507">
        <f>SUMIFS(Controle!$R:$R,Controle!$H:$H,produtos_escape2!$A1303,Controle!$Z:$Z,"3")</f>
        <v>0</v>
      </c>
      <c r="I1303" s="507">
        <f>SUMIFS(Controle!$R:$R,Controle!$H:$H,produtos_escape2!$A1303,Controle!$Z:$Z,"4")</f>
        <v>0</v>
      </c>
      <c r="J1303" s="507">
        <f>SUMIFS(Controle!$R:$R,Controle!$H:$H,produtos_escape2!$A1303,Controle!$Z:$Z,"5")</f>
        <v>0</v>
      </c>
      <c r="K1303" s="507">
        <f>SUMIFS(Controle!$R:$R,Controle!$H:$H,produtos_escape2!$A1303,Controle!$Z:$Z,"6")</f>
        <v>0</v>
      </c>
      <c r="L1303" s="507">
        <f t="shared" si="43"/>
        <v>1263.5999999999999</v>
      </c>
      <c r="M1303" s="381" t="s">
        <v>7744</v>
      </c>
      <c r="AF1303" s="84"/>
    </row>
    <row r="1304" spans="1:32" s="185" customFormat="1" ht="14.25" customHeight="1" thickBot="1">
      <c r="A1304" s="353">
        <v>31651</v>
      </c>
      <c r="B1304" s="194" t="s">
        <v>7753</v>
      </c>
      <c r="C1304" s="339">
        <f t="shared" si="44"/>
        <v>49368.2</v>
      </c>
      <c r="D1304" s="196" t="s">
        <v>624</v>
      </c>
      <c r="E1304" s="187" t="s">
        <v>3608</v>
      </c>
      <c r="F1304" s="507">
        <f>SUMIFS(Controle!$R:$R,Controle!$H:$H,produtos_escape2!$A1304,Controle!$Z:$Z,"1")</f>
        <v>0</v>
      </c>
      <c r="G1304" s="507">
        <f>SUMIFS(Controle!$R:$R,Controle!$H:$H,produtos_escape2!$A1304,Controle!$Z:$Z,"2")</f>
        <v>631.79999999999995</v>
      </c>
      <c r="H1304" s="507">
        <f>SUMIFS(Controle!$R:$R,Controle!$H:$H,produtos_escape2!$A1304,Controle!$Z:$Z,"3")</f>
        <v>0</v>
      </c>
      <c r="I1304" s="507">
        <f>SUMIFS(Controle!$R:$R,Controle!$H:$H,produtos_escape2!$A1304,Controle!$Z:$Z,"4")</f>
        <v>0</v>
      </c>
      <c r="J1304" s="507">
        <f>SUMIFS(Controle!$R:$R,Controle!$H:$H,produtos_escape2!$A1304,Controle!$Z:$Z,"5")</f>
        <v>0</v>
      </c>
      <c r="K1304" s="507">
        <f>SUMIFS(Controle!$R:$R,Controle!$H:$H,produtos_escape2!$A1304,Controle!$Z:$Z,"6")</f>
        <v>0</v>
      </c>
      <c r="L1304" s="507">
        <f t="shared" si="43"/>
        <v>631.79999999999995</v>
      </c>
      <c r="M1304" s="381" t="s">
        <v>7744</v>
      </c>
      <c r="AF1304" s="84"/>
    </row>
    <row r="1305" spans="1:32" s="185" customFormat="1" ht="14.25" customHeight="1" thickBot="1">
      <c r="A1305" s="353">
        <v>31652</v>
      </c>
      <c r="B1305" s="194" t="s">
        <v>7754</v>
      </c>
      <c r="C1305" s="339">
        <f t="shared" si="44"/>
        <v>49368.2</v>
      </c>
      <c r="D1305" s="196" t="s">
        <v>624</v>
      </c>
      <c r="E1305" s="187" t="s">
        <v>3608</v>
      </c>
      <c r="F1305" s="507">
        <f>SUMIFS(Controle!$R:$R,Controle!$H:$H,produtos_escape2!$A1305,Controle!$Z:$Z,"1")</f>
        <v>0</v>
      </c>
      <c r="G1305" s="507">
        <f>SUMIFS(Controle!$R:$R,Controle!$H:$H,produtos_escape2!$A1305,Controle!$Z:$Z,"2")</f>
        <v>631.79999999999995</v>
      </c>
      <c r="H1305" s="507">
        <f>SUMIFS(Controle!$R:$R,Controle!$H:$H,produtos_escape2!$A1305,Controle!$Z:$Z,"3")</f>
        <v>0</v>
      </c>
      <c r="I1305" s="507">
        <f>SUMIFS(Controle!$R:$R,Controle!$H:$H,produtos_escape2!$A1305,Controle!$Z:$Z,"4")</f>
        <v>0</v>
      </c>
      <c r="J1305" s="507">
        <f>SUMIFS(Controle!$R:$R,Controle!$H:$H,produtos_escape2!$A1305,Controle!$Z:$Z,"5")</f>
        <v>0</v>
      </c>
      <c r="K1305" s="507">
        <f>SUMIFS(Controle!$R:$R,Controle!$H:$H,produtos_escape2!$A1305,Controle!$Z:$Z,"6")</f>
        <v>0</v>
      </c>
      <c r="L1305" s="507">
        <f t="shared" si="43"/>
        <v>631.79999999999995</v>
      </c>
      <c r="M1305" s="381" t="s">
        <v>7744</v>
      </c>
      <c r="AF1305" s="84"/>
    </row>
    <row r="1306" spans="1:32" s="185" customFormat="1" ht="14.25" customHeight="1" thickBot="1">
      <c r="A1306" s="353">
        <v>31694</v>
      </c>
      <c r="B1306" s="402" t="s">
        <v>7117</v>
      </c>
      <c r="C1306" s="339">
        <f t="shared" si="44"/>
        <v>50000</v>
      </c>
      <c r="D1306" s="196" t="s">
        <v>624</v>
      </c>
      <c r="E1306" s="187" t="s">
        <v>7207</v>
      </c>
      <c r="F1306" s="507">
        <f>SUMIFS(Controle!$R:$R,Controle!$H:$H,produtos_escape2!$A1306,Controle!$Z:$Z,"1")</f>
        <v>0</v>
      </c>
      <c r="G1306" s="507">
        <f>SUMIFS(Controle!$R:$R,Controle!$H:$H,produtos_escape2!$A1306,Controle!$Z:$Z,"2")</f>
        <v>0</v>
      </c>
      <c r="H1306" s="507">
        <f>SUMIFS(Controle!$R:$R,Controle!$H:$H,produtos_escape2!$A1306,Controle!$Z:$Z,"3")</f>
        <v>0</v>
      </c>
      <c r="I1306" s="507">
        <f>SUMIFS(Controle!$R:$R,Controle!$H:$H,produtos_escape2!$A1306,Controle!$Z:$Z,"4")</f>
        <v>0</v>
      </c>
      <c r="J1306" s="507">
        <f>SUMIFS(Controle!$R:$R,Controle!$H:$H,produtos_escape2!$A1306,Controle!$Z:$Z,"5")</f>
        <v>0</v>
      </c>
      <c r="K1306" s="507">
        <f>SUMIFS(Controle!$R:$R,Controle!$H:$H,produtos_escape2!$A1306,Controle!$Z:$Z,"6")</f>
        <v>0</v>
      </c>
      <c r="L1306" s="507">
        <f t="shared" si="43"/>
        <v>0</v>
      </c>
      <c r="M1306" s="381" t="s">
        <v>5661</v>
      </c>
      <c r="AF1306" s="84"/>
    </row>
    <row r="1307" spans="1:32" s="185" customFormat="1" ht="14.25" customHeight="1" thickBot="1">
      <c r="A1307" s="353">
        <v>31706</v>
      </c>
      <c r="B1307" s="338" t="s">
        <v>10044</v>
      </c>
      <c r="C1307" s="339">
        <f t="shared" si="44"/>
        <v>46100</v>
      </c>
      <c r="D1307" s="196" t="s">
        <v>624</v>
      </c>
      <c r="E1307" s="187" t="s">
        <v>7207</v>
      </c>
      <c r="F1307" s="507">
        <f>SUMIFS(Controle!$R:$R,Controle!$H:$H,produtos_escape2!$A1307,Controle!$Z:$Z,"1")</f>
        <v>0</v>
      </c>
      <c r="G1307" s="507">
        <f>SUMIFS(Controle!$R:$R,Controle!$H:$H,produtos_escape2!$A1307,Controle!$Z:$Z,"2")</f>
        <v>0</v>
      </c>
      <c r="H1307" s="507">
        <f>SUMIFS(Controle!$R:$R,Controle!$H:$H,produtos_escape2!$A1307,Controle!$Z:$Z,"3")</f>
        <v>0</v>
      </c>
      <c r="I1307" s="507">
        <f>SUMIFS(Controle!$R:$R,Controle!$H:$H,produtos_escape2!$A1307,Controle!$Z:$Z,"4")</f>
        <v>0</v>
      </c>
      <c r="J1307" s="507">
        <f>SUMIFS(Controle!$R:$R,Controle!$H:$H,produtos_escape2!$A1307,Controle!$Z:$Z,"5")</f>
        <v>0</v>
      </c>
      <c r="K1307" s="507">
        <f>SUMIFS(Controle!$R:$R,Controle!$H:$H,produtos_escape2!$A1307,Controle!$Z:$Z,"6")</f>
        <v>3900</v>
      </c>
      <c r="L1307" s="507">
        <f t="shared" si="43"/>
        <v>3900</v>
      </c>
      <c r="M1307" s="381" t="s">
        <v>10045</v>
      </c>
      <c r="AF1307" s="84"/>
    </row>
    <row r="1308" spans="1:32" s="185" customFormat="1" ht="14.25" customHeight="1" thickBot="1">
      <c r="A1308" s="353">
        <v>31707</v>
      </c>
      <c r="B1308" s="338" t="s">
        <v>10046</v>
      </c>
      <c r="C1308" s="339">
        <f t="shared" si="44"/>
        <v>46100</v>
      </c>
      <c r="D1308" s="196" t="s">
        <v>624</v>
      </c>
      <c r="E1308" s="187" t="s">
        <v>7207</v>
      </c>
      <c r="F1308" s="507">
        <f>SUMIFS(Controle!$R:$R,Controle!$H:$H,produtos_escape2!$A1308,Controle!$Z:$Z,"1")</f>
        <v>0</v>
      </c>
      <c r="G1308" s="507">
        <f>SUMIFS(Controle!$R:$R,Controle!$H:$H,produtos_escape2!$A1308,Controle!$Z:$Z,"2")</f>
        <v>0</v>
      </c>
      <c r="H1308" s="507">
        <f>SUMIFS(Controle!$R:$R,Controle!$H:$H,produtos_escape2!$A1308,Controle!$Z:$Z,"3")</f>
        <v>0</v>
      </c>
      <c r="I1308" s="507">
        <f>SUMIFS(Controle!$R:$R,Controle!$H:$H,produtos_escape2!$A1308,Controle!$Z:$Z,"4")</f>
        <v>0</v>
      </c>
      <c r="J1308" s="507">
        <f>SUMIFS(Controle!$R:$R,Controle!$H:$H,produtos_escape2!$A1308,Controle!$Z:$Z,"5")</f>
        <v>0</v>
      </c>
      <c r="K1308" s="507">
        <f>SUMIFS(Controle!$R:$R,Controle!$H:$H,produtos_escape2!$A1308,Controle!$Z:$Z,"6")</f>
        <v>3900</v>
      </c>
      <c r="L1308" s="507">
        <f t="shared" si="43"/>
        <v>3900</v>
      </c>
      <c r="M1308" s="381" t="s">
        <v>10045</v>
      </c>
      <c r="AF1308" s="84"/>
    </row>
    <row r="1309" spans="1:32" s="185" customFormat="1" ht="14.25" customHeight="1" thickBot="1">
      <c r="A1309" s="353">
        <v>31708</v>
      </c>
      <c r="B1309" s="338" t="s">
        <v>10047</v>
      </c>
      <c r="C1309" s="339">
        <f t="shared" si="44"/>
        <v>48050</v>
      </c>
      <c r="D1309" s="196" t="s">
        <v>624</v>
      </c>
      <c r="E1309" s="187" t="s">
        <v>7207</v>
      </c>
      <c r="F1309" s="507">
        <f>SUMIFS(Controle!$R:$R,Controle!$H:$H,produtos_escape2!$A1309,Controle!$Z:$Z,"1")</f>
        <v>0</v>
      </c>
      <c r="G1309" s="507">
        <f>SUMIFS(Controle!$R:$R,Controle!$H:$H,produtos_escape2!$A1309,Controle!$Z:$Z,"2")</f>
        <v>0</v>
      </c>
      <c r="H1309" s="507">
        <f>SUMIFS(Controle!$R:$R,Controle!$H:$H,produtos_escape2!$A1309,Controle!$Z:$Z,"3")</f>
        <v>0</v>
      </c>
      <c r="I1309" s="507">
        <f>SUMIFS(Controle!$R:$R,Controle!$H:$H,produtos_escape2!$A1309,Controle!$Z:$Z,"4")</f>
        <v>0</v>
      </c>
      <c r="J1309" s="507">
        <f>SUMIFS(Controle!$R:$R,Controle!$H:$H,produtos_escape2!$A1309,Controle!$Z:$Z,"5")</f>
        <v>0</v>
      </c>
      <c r="K1309" s="507">
        <f>SUMIFS(Controle!$R:$R,Controle!$H:$H,produtos_escape2!$A1309,Controle!$Z:$Z,"6")</f>
        <v>1950</v>
      </c>
      <c r="L1309" s="507">
        <f t="shared" si="43"/>
        <v>1950</v>
      </c>
      <c r="M1309" s="381" t="s">
        <v>10045</v>
      </c>
      <c r="AF1309" s="84"/>
    </row>
    <row r="1310" spans="1:32" s="185" customFormat="1" ht="14.25" customHeight="1" thickBot="1">
      <c r="A1310" s="353">
        <v>31716</v>
      </c>
      <c r="B1310" s="338" t="s">
        <v>1392</v>
      </c>
      <c r="C1310" s="339">
        <f t="shared" si="44"/>
        <v>47864.36</v>
      </c>
      <c r="D1310" s="196" t="s">
        <v>548</v>
      </c>
      <c r="E1310" s="187" t="s">
        <v>3608</v>
      </c>
      <c r="F1310" s="507">
        <f>SUMIFS(Controle!$R:$R,Controle!$H:$H,produtos_escape2!$A1310,Controle!$Z:$Z,"1")</f>
        <v>0</v>
      </c>
      <c r="G1310" s="507">
        <f>SUMIFS(Controle!$R:$R,Controle!$H:$H,produtos_escape2!$A1310,Controle!$Z:$Z,"2")</f>
        <v>0</v>
      </c>
      <c r="H1310" s="507">
        <f>SUMIFS(Controle!$R:$R,Controle!$H:$H,produtos_escape2!$A1310,Controle!$Z:$Z,"3")</f>
        <v>0</v>
      </c>
      <c r="I1310" s="507">
        <f>SUMIFS(Controle!$R:$R,Controle!$H:$H,produtos_escape2!$A1310,Controle!$Z:$Z,"4")</f>
        <v>0</v>
      </c>
      <c r="J1310" s="507">
        <f>SUMIFS(Controle!$R:$R,Controle!$H:$H,produtos_escape2!$A1310,Controle!$Z:$Z,"5")</f>
        <v>0</v>
      </c>
      <c r="K1310" s="507">
        <f>SUMIFS(Controle!$R:$R,Controle!$H:$H,produtos_escape2!$A1310,Controle!$Z:$Z,"6")</f>
        <v>2135.64</v>
      </c>
      <c r="L1310" s="507">
        <f t="shared" si="43"/>
        <v>2135.64</v>
      </c>
      <c r="M1310" s="381" t="s">
        <v>1392</v>
      </c>
      <c r="AF1310" s="84"/>
    </row>
    <row r="1311" spans="1:32" s="185" customFormat="1" ht="14.25" customHeight="1" thickBot="1">
      <c r="A1311" s="353">
        <v>31725</v>
      </c>
      <c r="B1311" s="194" t="s">
        <v>9551</v>
      </c>
      <c r="C1311" s="339">
        <f t="shared" si="44"/>
        <v>40750</v>
      </c>
      <c r="D1311" s="196" t="s">
        <v>624</v>
      </c>
      <c r="E1311" s="187" t="s">
        <v>7207</v>
      </c>
      <c r="F1311" s="507">
        <f>SUMIFS(Controle!$R:$R,Controle!$H:$H,produtos_escape2!$A1311,Controle!$Z:$Z,"1")</f>
        <v>0</v>
      </c>
      <c r="G1311" s="507">
        <f>SUMIFS(Controle!$R:$R,Controle!$H:$H,produtos_escape2!$A1311,Controle!$Z:$Z,"2")</f>
        <v>0</v>
      </c>
      <c r="H1311" s="507">
        <f>SUMIFS(Controle!$R:$R,Controle!$H:$H,produtos_escape2!$A1311,Controle!$Z:$Z,"3")</f>
        <v>0</v>
      </c>
      <c r="I1311" s="507">
        <f>SUMIFS(Controle!$R:$R,Controle!$H:$H,produtos_escape2!$A1311,Controle!$Z:$Z,"4")</f>
        <v>9250</v>
      </c>
      <c r="J1311" s="507">
        <f>SUMIFS(Controle!$R:$R,Controle!$H:$H,produtos_escape2!$A1311,Controle!$Z:$Z,"5")</f>
        <v>0</v>
      </c>
      <c r="K1311" s="507">
        <f>SUMIFS(Controle!$R:$R,Controle!$H:$H,produtos_escape2!$A1311,Controle!$Z:$Z,"6")</f>
        <v>0</v>
      </c>
      <c r="L1311" s="507">
        <f t="shared" si="43"/>
        <v>9250</v>
      </c>
      <c r="M1311" s="381" t="s">
        <v>5243</v>
      </c>
      <c r="AF1311" s="84"/>
    </row>
    <row r="1312" spans="1:32" s="185" customFormat="1" ht="14.25" customHeight="1" thickBot="1">
      <c r="A1312" s="333">
        <v>31754</v>
      </c>
      <c r="B1312" s="194" t="s">
        <v>1189</v>
      </c>
      <c r="C1312" s="339">
        <f t="shared" si="44"/>
        <v>41600</v>
      </c>
      <c r="D1312" s="196" t="s">
        <v>624</v>
      </c>
      <c r="E1312" s="187" t="s">
        <v>7207</v>
      </c>
      <c r="F1312" s="507">
        <f>SUMIFS(Controle!$R:$R,Controle!$H:$H,produtos_escape2!$A1312,Controle!$Z:$Z,"1")</f>
        <v>0</v>
      </c>
      <c r="G1312" s="507">
        <f>SUMIFS(Controle!$R:$R,Controle!$H:$H,produtos_escape2!$A1312,Controle!$Z:$Z,"2")</f>
        <v>0</v>
      </c>
      <c r="H1312" s="507">
        <f>SUMIFS(Controle!$R:$R,Controle!$H:$H,produtos_escape2!$A1312,Controle!$Z:$Z,"3")</f>
        <v>0</v>
      </c>
      <c r="I1312" s="507">
        <f>SUMIFS(Controle!$R:$R,Controle!$H:$H,produtos_escape2!$A1312,Controle!$Z:$Z,"4")</f>
        <v>8400</v>
      </c>
      <c r="J1312" s="507">
        <f>SUMIFS(Controle!$R:$R,Controle!$H:$H,produtos_escape2!$A1312,Controle!$Z:$Z,"5")</f>
        <v>0</v>
      </c>
      <c r="K1312" s="507">
        <f>SUMIFS(Controle!$R:$R,Controle!$H:$H,produtos_escape2!$A1312,Controle!$Z:$Z,"6")</f>
        <v>0</v>
      </c>
      <c r="L1312" s="507">
        <f t="shared" si="43"/>
        <v>8400</v>
      </c>
      <c r="M1312" s="381" t="s">
        <v>5244</v>
      </c>
      <c r="AF1312" s="84"/>
    </row>
    <row r="1313" spans="1:32" s="185" customFormat="1" ht="14.25" customHeight="1" thickBot="1">
      <c r="A1313" s="353">
        <v>31755</v>
      </c>
      <c r="B1313" s="194" t="s">
        <v>1418</v>
      </c>
      <c r="C1313" s="339">
        <f t="shared" si="44"/>
        <v>41600</v>
      </c>
      <c r="D1313" s="196" t="s">
        <v>624</v>
      </c>
      <c r="E1313" s="187" t="s">
        <v>7207</v>
      </c>
      <c r="F1313" s="507">
        <f>SUMIFS(Controle!$R:$R,Controle!$H:$H,produtos_escape2!$A1313,Controle!$Z:$Z,"1")</f>
        <v>0</v>
      </c>
      <c r="G1313" s="507">
        <f>SUMIFS(Controle!$R:$R,Controle!$H:$H,produtos_escape2!$A1313,Controle!$Z:$Z,"2")</f>
        <v>0</v>
      </c>
      <c r="H1313" s="507">
        <f>SUMIFS(Controle!$R:$R,Controle!$H:$H,produtos_escape2!$A1313,Controle!$Z:$Z,"3")</f>
        <v>0</v>
      </c>
      <c r="I1313" s="507">
        <f>SUMIFS(Controle!$R:$R,Controle!$H:$H,produtos_escape2!$A1313,Controle!$Z:$Z,"4")</f>
        <v>4200</v>
      </c>
      <c r="J1313" s="507">
        <f>SUMIFS(Controle!$R:$R,Controle!$H:$H,produtos_escape2!$A1313,Controle!$Z:$Z,"5")</f>
        <v>4200</v>
      </c>
      <c r="K1313" s="507">
        <f>SUMIFS(Controle!$R:$R,Controle!$H:$H,produtos_escape2!$A1313,Controle!$Z:$Z,"6")</f>
        <v>0</v>
      </c>
      <c r="L1313" s="507">
        <f t="shared" si="43"/>
        <v>8400</v>
      </c>
      <c r="M1313" s="381" t="s">
        <v>5244</v>
      </c>
      <c r="AF1313" s="84"/>
    </row>
    <row r="1314" spans="1:32" s="185" customFormat="1" ht="14.25" customHeight="1" thickBot="1">
      <c r="A1314" s="353">
        <v>31756</v>
      </c>
      <c r="B1314" s="194" t="s">
        <v>2653</v>
      </c>
      <c r="C1314" s="339">
        <f t="shared" si="44"/>
        <v>50000</v>
      </c>
      <c r="D1314" s="196" t="s">
        <v>624</v>
      </c>
      <c r="E1314" s="187" t="s">
        <v>7207</v>
      </c>
      <c r="F1314" s="507">
        <f>SUMIFS(Controle!$R:$R,Controle!$H:$H,produtos_escape2!$A1314,Controle!$Z:$Z,"1")</f>
        <v>0</v>
      </c>
      <c r="G1314" s="507">
        <f>SUMIFS(Controle!$R:$R,Controle!$H:$H,produtos_escape2!$A1314,Controle!$Z:$Z,"2")</f>
        <v>0</v>
      </c>
      <c r="H1314" s="507">
        <f>SUMIFS(Controle!$R:$R,Controle!$H:$H,produtos_escape2!$A1314,Controle!$Z:$Z,"3")</f>
        <v>0</v>
      </c>
      <c r="I1314" s="507">
        <f>SUMIFS(Controle!$R:$R,Controle!$H:$H,produtos_escape2!$A1314,Controle!$Z:$Z,"4")</f>
        <v>0</v>
      </c>
      <c r="J1314" s="507">
        <f>SUMIFS(Controle!$R:$R,Controle!$H:$H,produtos_escape2!$A1314,Controle!$Z:$Z,"5")</f>
        <v>0</v>
      </c>
      <c r="K1314" s="507">
        <f>SUMIFS(Controle!$R:$R,Controle!$H:$H,produtos_escape2!$A1314,Controle!$Z:$Z,"6")</f>
        <v>0</v>
      </c>
      <c r="L1314" s="507">
        <f t="shared" si="43"/>
        <v>0</v>
      </c>
      <c r="M1314" s="381" t="s">
        <v>5245</v>
      </c>
      <c r="AF1314" s="84"/>
    </row>
    <row r="1315" spans="1:32" s="185" customFormat="1" ht="14.25" customHeight="1" thickBot="1">
      <c r="A1315" s="353">
        <v>31812</v>
      </c>
      <c r="B1315" s="194" t="s">
        <v>2654</v>
      </c>
      <c r="C1315" s="339">
        <f t="shared" si="44"/>
        <v>50000</v>
      </c>
      <c r="D1315" s="196" t="s">
        <v>848</v>
      </c>
      <c r="E1315" s="187" t="s">
        <v>3608</v>
      </c>
      <c r="F1315" s="507">
        <f>SUMIFS(Controle!$R:$R,Controle!$H:$H,produtos_escape2!$A1315,Controle!$Z:$Z,"1")</f>
        <v>0</v>
      </c>
      <c r="G1315" s="507">
        <f>SUMIFS(Controle!$R:$R,Controle!$H:$H,produtos_escape2!$A1315,Controle!$Z:$Z,"2")</f>
        <v>0</v>
      </c>
      <c r="H1315" s="507">
        <f>SUMIFS(Controle!$R:$R,Controle!$H:$H,produtos_escape2!$A1315,Controle!$Z:$Z,"3")</f>
        <v>0</v>
      </c>
      <c r="I1315" s="507">
        <f>SUMIFS(Controle!$R:$R,Controle!$H:$H,produtos_escape2!$A1315,Controle!$Z:$Z,"4")</f>
        <v>0</v>
      </c>
      <c r="J1315" s="507">
        <f>SUMIFS(Controle!$R:$R,Controle!$H:$H,produtos_escape2!$A1315,Controle!$Z:$Z,"5")</f>
        <v>0</v>
      </c>
      <c r="K1315" s="507">
        <f>SUMIFS(Controle!$R:$R,Controle!$H:$H,produtos_escape2!$A1315,Controle!$Z:$Z,"6")</f>
        <v>0</v>
      </c>
      <c r="L1315" s="507">
        <f t="shared" si="43"/>
        <v>0</v>
      </c>
      <c r="M1315" s="381" t="s">
        <v>5020</v>
      </c>
      <c r="AF1315" s="84"/>
    </row>
    <row r="1316" spans="1:32" s="185" customFormat="1" ht="14.25" customHeight="1" thickBot="1">
      <c r="A1316" s="353">
        <v>31813</v>
      </c>
      <c r="B1316" s="194" t="s">
        <v>2655</v>
      </c>
      <c r="C1316" s="339">
        <f t="shared" si="44"/>
        <v>50000</v>
      </c>
      <c r="D1316" s="196" t="s">
        <v>848</v>
      </c>
      <c r="E1316" s="187" t="s">
        <v>3608</v>
      </c>
      <c r="F1316" s="507">
        <f>SUMIFS(Controle!$R:$R,Controle!$H:$H,produtos_escape2!$A1316,Controle!$Z:$Z,"1")</f>
        <v>0</v>
      </c>
      <c r="G1316" s="507">
        <f>SUMIFS(Controle!$R:$R,Controle!$H:$H,produtos_escape2!$A1316,Controle!$Z:$Z,"2")</f>
        <v>0</v>
      </c>
      <c r="H1316" s="507">
        <f>SUMIFS(Controle!$R:$R,Controle!$H:$H,produtos_escape2!$A1316,Controle!$Z:$Z,"3")</f>
        <v>0</v>
      </c>
      <c r="I1316" s="507">
        <f>SUMIFS(Controle!$R:$R,Controle!$H:$H,produtos_escape2!$A1316,Controle!$Z:$Z,"4")</f>
        <v>0</v>
      </c>
      <c r="J1316" s="507">
        <f>SUMIFS(Controle!$R:$R,Controle!$H:$H,produtos_escape2!$A1316,Controle!$Z:$Z,"5")</f>
        <v>0</v>
      </c>
      <c r="K1316" s="507">
        <f>SUMIFS(Controle!$R:$R,Controle!$H:$H,produtos_escape2!$A1316,Controle!$Z:$Z,"6")</f>
        <v>0</v>
      </c>
      <c r="L1316" s="507">
        <f t="shared" si="43"/>
        <v>0</v>
      </c>
      <c r="M1316" s="381" t="s">
        <v>5020</v>
      </c>
      <c r="AF1316" s="84"/>
    </row>
    <row r="1317" spans="1:32" s="185" customFormat="1" ht="14.25" customHeight="1" thickBot="1">
      <c r="A1317" s="353">
        <v>31814</v>
      </c>
      <c r="B1317" s="194" t="s">
        <v>2656</v>
      </c>
      <c r="C1317" s="339">
        <f t="shared" si="44"/>
        <v>50000</v>
      </c>
      <c r="D1317" s="196" t="s">
        <v>848</v>
      </c>
      <c r="E1317" s="187" t="s">
        <v>3608</v>
      </c>
      <c r="F1317" s="507">
        <f>SUMIFS(Controle!$R:$R,Controle!$H:$H,produtos_escape2!$A1317,Controle!$Z:$Z,"1")</f>
        <v>0</v>
      </c>
      <c r="G1317" s="507">
        <f>SUMIFS(Controle!$R:$R,Controle!$H:$H,produtos_escape2!$A1317,Controle!$Z:$Z,"2")</f>
        <v>0</v>
      </c>
      <c r="H1317" s="507">
        <f>SUMIFS(Controle!$R:$R,Controle!$H:$H,produtos_escape2!$A1317,Controle!$Z:$Z,"3")</f>
        <v>0</v>
      </c>
      <c r="I1317" s="507">
        <f>SUMIFS(Controle!$R:$R,Controle!$H:$H,produtos_escape2!$A1317,Controle!$Z:$Z,"4")</f>
        <v>0</v>
      </c>
      <c r="J1317" s="507">
        <f>SUMIFS(Controle!$R:$R,Controle!$H:$H,produtos_escape2!$A1317,Controle!$Z:$Z,"5")</f>
        <v>0</v>
      </c>
      <c r="K1317" s="507">
        <f>SUMIFS(Controle!$R:$R,Controle!$H:$H,produtos_escape2!$A1317,Controle!$Z:$Z,"6")</f>
        <v>0</v>
      </c>
      <c r="L1317" s="507">
        <f t="shared" si="43"/>
        <v>0</v>
      </c>
      <c r="M1317" s="381" t="s">
        <v>5020</v>
      </c>
      <c r="AF1317" s="84"/>
    </row>
    <row r="1318" spans="1:32" s="185" customFormat="1" ht="14.25" customHeight="1" thickBot="1">
      <c r="A1318" s="353">
        <v>31885</v>
      </c>
      <c r="B1318" s="338" t="s">
        <v>10326</v>
      </c>
      <c r="C1318" s="339">
        <f t="shared" si="44"/>
        <v>50000</v>
      </c>
      <c r="D1318" s="196" t="s">
        <v>624</v>
      </c>
      <c r="E1318" s="187" t="s">
        <v>3608</v>
      </c>
      <c r="F1318" s="507">
        <f>SUMIFS(Controle!$R:$R,Controle!$H:$H,produtos_escape2!$A1318,Controle!$Z:$Z,"1")</f>
        <v>0</v>
      </c>
      <c r="G1318" s="507">
        <f>SUMIFS(Controle!$R:$R,Controle!$H:$H,produtos_escape2!$A1318,Controle!$Z:$Z,"2")</f>
        <v>0</v>
      </c>
      <c r="H1318" s="507">
        <f>SUMIFS(Controle!$R:$R,Controle!$H:$H,produtos_escape2!$A1318,Controle!$Z:$Z,"3")</f>
        <v>0</v>
      </c>
      <c r="I1318" s="507">
        <f>SUMIFS(Controle!$R:$R,Controle!$H:$H,produtos_escape2!$A1318,Controle!$Z:$Z,"4")</f>
        <v>0</v>
      </c>
      <c r="J1318" s="507">
        <f>SUMIFS(Controle!$R:$R,Controle!$H:$H,produtos_escape2!$A1318,Controle!$Z:$Z,"5")</f>
        <v>0</v>
      </c>
      <c r="K1318" s="507">
        <f>SUMIFS(Controle!$R:$R,Controle!$H:$H,produtos_escape2!$A1318,Controle!$Z:$Z,"6")</f>
        <v>0</v>
      </c>
      <c r="L1318" s="507">
        <f t="shared" si="43"/>
        <v>0</v>
      </c>
      <c r="M1318" s="381" t="s">
        <v>10327</v>
      </c>
      <c r="AF1318" s="84"/>
    </row>
    <row r="1319" spans="1:32" s="185" customFormat="1" ht="14.25" customHeight="1" thickBot="1">
      <c r="A1319" s="353">
        <v>31888</v>
      </c>
      <c r="B1319" s="338" t="s">
        <v>2723</v>
      </c>
      <c r="C1319" s="339">
        <f t="shared" si="44"/>
        <v>50000</v>
      </c>
      <c r="D1319" s="196" t="s">
        <v>624</v>
      </c>
      <c r="E1319" s="187" t="s">
        <v>3608</v>
      </c>
      <c r="F1319" s="507">
        <f>SUMIFS(Controle!$R:$R,Controle!$H:$H,produtos_escape2!$A1319,Controle!$Z:$Z,"1")</f>
        <v>0</v>
      </c>
      <c r="G1319" s="507">
        <f>SUMIFS(Controle!$R:$R,Controle!$H:$H,produtos_escape2!$A1319,Controle!$Z:$Z,"2")</f>
        <v>0</v>
      </c>
      <c r="H1319" s="507">
        <f>SUMIFS(Controle!$R:$R,Controle!$H:$H,produtos_escape2!$A1319,Controle!$Z:$Z,"3")</f>
        <v>0</v>
      </c>
      <c r="I1319" s="507">
        <f>SUMIFS(Controle!$R:$R,Controle!$H:$H,produtos_escape2!$A1319,Controle!$Z:$Z,"4")</f>
        <v>0</v>
      </c>
      <c r="J1319" s="507">
        <f>SUMIFS(Controle!$R:$R,Controle!$H:$H,produtos_escape2!$A1319,Controle!$Z:$Z,"5")</f>
        <v>0</v>
      </c>
      <c r="K1319" s="507">
        <f>SUMIFS(Controle!$R:$R,Controle!$H:$H,produtos_escape2!$A1319,Controle!$Z:$Z,"6")</f>
        <v>0</v>
      </c>
      <c r="L1319" s="507">
        <f t="shared" si="43"/>
        <v>0</v>
      </c>
      <c r="M1319" s="381" t="s">
        <v>5246</v>
      </c>
      <c r="AF1319" s="84"/>
    </row>
    <row r="1320" spans="1:32" s="185" customFormat="1" ht="14.25" customHeight="1" thickBot="1">
      <c r="A1320" s="353">
        <v>31889</v>
      </c>
      <c r="B1320" s="194" t="s">
        <v>2724</v>
      </c>
      <c r="C1320" s="339">
        <f t="shared" si="44"/>
        <v>50000</v>
      </c>
      <c r="D1320" s="196" t="s">
        <v>624</v>
      </c>
      <c r="E1320" s="187" t="s">
        <v>3608</v>
      </c>
      <c r="F1320" s="507">
        <f>SUMIFS(Controle!$R:$R,Controle!$H:$H,produtos_escape2!$A1320,Controle!$Z:$Z,"1")</f>
        <v>0</v>
      </c>
      <c r="G1320" s="507">
        <f>SUMIFS(Controle!$R:$R,Controle!$H:$H,produtos_escape2!$A1320,Controle!$Z:$Z,"2")</f>
        <v>0</v>
      </c>
      <c r="H1320" s="507">
        <f>SUMIFS(Controle!$R:$R,Controle!$H:$H,produtos_escape2!$A1320,Controle!$Z:$Z,"3")</f>
        <v>0</v>
      </c>
      <c r="I1320" s="507">
        <f>SUMIFS(Controle!$R:$R,Controle!$H:$H,produtos_escape2!$A1320,Controle!$Z:$Z,"4")</f>
        <v>0</v>
      </c>
      <c r="J1320" s="507">
        <f>SUMIFS(Controle!$R:$R,Controle!$H:$H,produtos_escape2!$A1320,Controle!$Z:$Z,"5")</f>
        <v>0</v>
      </c>
      <c r="K1320" s="507">
        <f>SUMIFS(Controle!$R:$R,Controle!$H:$H,produtos_escape2!$A1320,Controle!$Z:$Z,"6")</f>
        <v>0</v>
      </c>
      <c r="L1320" s="507">
        <f t="shared" si="43"/>
        <v>0</v>
      </c>
      <c r="M1320" s="381" t="s">
        <v>5246</v>
      </c>
      <c r="AF1320" s="84"/>
    </row>
    <row r="1321" spans="1:32" s="185" customFormat="1" ht="14.25" customHeight="1" thickBot="1">
      <c r="A1321" s="333">
        <v>31890</v>
      </c>
      <c r="B1321" s="194" t="s">
        <v>2725</v>
      </c>
      <c r="C1321" s="339">
        <f t="shared" si="44"/>
        <v>50000</v>
      </c>
      <c r="D1321" s="196" t="s">
        <v>624</v>
      </c>
      <c r="E1321" s="187" t="s">
        <v>3608</v>
      </c>
      <c r="F1321" s="507">
        <f>SUMIFS(Controle!$R:$R,Controle!$H:$H,produtos_escape2!$A1321,Controle!$Z:$Z,"1")</f>
        <v>0</v>
      </c>
      <c r="G1321" s="507">
        <f>SUMIFS(Controle!$R:$R,Controle!$H:$H,produtos_escape2!$A1321,Controle!$Z:$Z,"2")</f>
        <v>0</v>
      </c>
      <c r="H1321" s="507">
        <f>SUMIFS(Controle!$R:$R,Controle!$H:$H,produtos_escape2!$A1321,Controle!$Z:$Z,"3")</f>
        <v>0</v>
      </c>
      <c r="I1321" s="507">
        <f>SUMIFS(Controle!$R:$R,Controle!$H:$H,produtos_escape2!$A1321,Controle!$Z:$Z,"4")</f>
        <v>0</v>
      </c>
      <c r="J1321" s="507">
        <f>SUMIFS(Controle!$R:$R,Controle!$H:$H,produtos_escape2!$A1321,Controle!$Z:$Z,"5")</f>
        <v>0</v>
      </c>
      <c r="K1321" s="507">
        <f>SUMIFS(Controle!$R:$R,Controle!$H:$H,produtos_escape2!$A1321,Controle!$Z:$Z,"6")</f>
        <v>0</v>
      </c>
      <c r="L1321" s="507">
        <f t="shared" si="43"/>
        <v>0</v>
      </c>
      <c r="M1321" s="381" t="s">
        <v>5246</v>
      </c>
      <c r="AF1321" s="84"/>
    </row>
    <row r="1322" spans="1:32" s="185" customFormat="1" ht="14.25" customHeight="1" thickBot="1">
      <c r="A1322" s="353">
        <v>31891</v>
      </c>
      <c r="B1322" s="194" t="s">
        <v>2726</v>
      </c>
      <c r="C1322" s="339">
        <f t="shared" si="44"/>
        <v>50000</v>
      </c>
      <c r="D1322" s="196" t="s">
        <v>624</v>
      </c>
      <c r="E1322" s="187" t="s">
        <v>3608</v>
      </c>
      <c r="F1322" s="507">
        <f>SUMIFS(Controle!$R:$R,Controle!$H:$H,produtos_escape2!$A1322,Controle!$Z:$Z,"1")</f>
        <v>0</v>
      </c>
      <c r="G1322" s="507">
        <f>SUMIFS(Controle!$R:$R,Controle!$H:$H,produtos_escape2!$A1322,Controle!$Z:$Z,"2")</f>
        <v>0</v>
      </c>
      <c r="H1322" s="507">
        <f>SUMIFS(Controle!$R:$R,Controle!$H:$H,produtos_escape2!$A1322,Controle!$Z:$Z,"3")</f>
        <v>0</v>
      </c>
      <c r="I1322" s="507">
        <f>SUMIFS(Controle!$R:$R,Controle!$H:$H,produtos_escape2!$A1322,Controle!$Z:$Z,"4")</f>
        <v>0</v>
      </c>
      <c r="J1322" s="507">
        <f>SUMIFS(Controle!$R:$R,Controle!$H:$H,produtos_escape2!$A1322,Controle!$Z:$Z,"5")</f>
        <v>0</v>
      </c>
      <c r="K1322" s="507">
        <f>SUMIFS(Controle!$R:$R,Controle!$H:$H,produtos_escape2!$A1322,Controle!$Z:$Z,"6")</f>
        <v>0</v>
      </c>
      <c r="L1322" s="507">
        <f t="shared" si="43"/>
        <v>0</v>
      </c>
      <c r="M1322" s="381" t="s">
        <v>5246</v>
      </c>
      <c r="AF1322" s="84"/>
    </row>
    <row r="1323" spans="1:32" s="185" customFormat="1" ht="14.25" customHeight="1" thickBot="1">
      <c r="A1323" s="353">
        <v>31892</v>
      </c>
      <c r="B1323" s="194" t="s">
        <v>2727</v>
      </c>
      <c r="C1323" s="339">
        <f t="shared" si="44"/>
        <v>50000</v>
      </c>
      <c r="D1323" s="196" t="s">
        <v>624</v>
      </c>
      <c r="E1323" s="187" t="s">
        <v>3608</v>
      </c>
      <c r="F1323" s="507">
        <f>SUMIFS(Controle!$R:$R,Controle!$H:$H,produtos_escape2!$A1323,Controle!$Z:$Z,"1")</f>
        <v>0</v>
      </c>
      <c r="G1323" s="507">
        <f>SUMIFS(Controle!$R:$R,Controle!$H:$H,produtos_escape2!$A1323,Controle!$Z:$Z,"2")</f>
        <v>0</v>
      </c>
      <c r="H1323" s="507">
        <f>SUMIFS(Controle!$R:$R,Controle!$H:$H,produtos_escape2!$A1323,Controle!$Z:$Z,"3")</f>
        <v>0</v>
      </c>
      <c r="I1323" s="507">
        <f>SUMIFS(Controle!$R:$R,Controle!$H:$H,produtos_escape2!$A1323,Controle!$Z:$Z,"4")</f>
        <v>0</v>
      </c>
      <c r="J1323" s="507">
        <f>SUMIFS(Controle!$R:$R,Controle!$H:$H,produtos_escape2!$A1323,Controle!$Z:$Z,"5")</f>
        <v>0</v>
      </c>
      <c r="K1323" s="507">
        <f>SUMIFS(Controle!$R:$R,Controle!$H:$H,produtos_escape2!$A1323,Controle!$Z:$Z,"6")</f>
        <v>0</v>
      </c>
      <c r="L1323" s="507">
        <f t="shared" si="43"/>
        <v>0</v>
      </c>
      <c r="M1323" s="381" t="s">
        <v>5246</v>
      </c>
      <c r="AF1323" s="84"/>
    </row>
    <row r="1324" spans="1:32" s="185" customFormat="1" ht="14.25" customHeight="1" thickBot="1">
      <c r="A1324" s="353">
        <v>31893</v>
      </c>
      <c r="B1324" s="194" t="s">
        <v>2728</v>
      </c>
      <c r="C1324" s="339">
        <f t="shared" si="44"/>
        <v>50000</v>
      </c>
      <c r="D1324" s="196" t="s">
        <v>624</v>
      </c>
      <c r="E1324" s="187" t="s">
        <v>3608</v>
      </c>
      <c r="F1324" s="507">
        <f>SUMIFS(Controle!$R:$R,Controle!$H:$H,produtos_escape2!$A1324,Controle!$Z:$Z,"1")</f>
        <v>0</v>
      </c>
      <c r="G1324" s="507">
        <f>SUMIFS(Controle!$R:$R,Controle!$H:$H,produtos_escape2!$A1324,Controle!$Z:$Z,"2")</f>
        <v>0</v>
      </c>
      <c r="H1324" s="507">
        <f>SUMIFS(Controle!$R:$R,Controle!$H:$H,produtos_escape2!$A1324,Controle!$Z:$Z,"3")</f>
        <v>0</v>
      </c>
      <c r="I1324" s="507">
        <f>SUMIFS(Controle!$R:$R,Controle!$H:$H,produtos_escape2!$A1324,Controle!$Z:$Z,"4")</f>
        <v>0</v>
      </c>
      <c r="J1324" s="507">
        <f>SUMIFS(Controle!$R:$R,Controle!$H:$H,produtos_escape2!$A1324,Controle!$Z:$Z,"5")</f>
        <v>0</v>
      </c>
      <c r="K1324" s="507">
        <f>SUMIFS(Controle!$R:$R,Controle!$H:$H,produtos_escape2!$A1324,Controle!$Z:$Z,"6")</f>
        <v>0</v>
      </c>
      <c r="L1324" s="507">
        <f t="shared" si="43"/>
        <v>0</v>
      </c>
      <c r="M1324" s="381" t="s">
        <v>5246</v>
      </c>
      <c r="AF1324" s="84"/>
    </row>
    <row r="1325" spans="1:32" s="185" customFormat="1" ht="14.25" customHeight="1" thickBot="1">
      <c r="A1325" s="353">
        <v>31903</v>
      </c>
      <c r="B1325" s="194" t="s">
        <v>4318</v>
      </c>
      <c r="C1325" s="339">
        <f t="shared" si="44"/>
        <v>50000</v>
      </c>
      <c r="D1325" s="191" t="s">
        <v>547</v>
      </c>
      <c r="E1325" s="189" t="s">
        <v>3608</v>
      </c>
      <c r="F1325" s="507">
        <f>SUMIFS(Controle!$R:$R,Controle!$H:$H,produtos_escape2!$A1325,Controle!$Z:$Z,"1")</f>
        <v>0</v>
      </c>
      <c r="G1325" s="507">
        <f>SUMIFS(Controle!$R:$R,Controle!$H:$H,produtos_escape2!$A1325,Controle!$Z:$Z,"2")</f>
        <v>0</v>
      </c>
      <c r="H1325" s="507">
        <f>SUMIFS(Controle!$R:$R,Controle!$H:$H,produtos_escape2!$A1325,Controle!$Z:$Z,"3")</f>
        <v>0</v>
      </c>
      <c r="I1325" s="507">
        <f>SUMIFS(Controle!$R:$R,Controle!$H:$H,produtos_escape2!$A1325,Controle!$Z:$Z,"4")</f>
        <v>0</v>
      </c>
      <c r="J1325" s="507">
        <f>SUMIFS(Controle!$R:$R,Controle!$H:$H,produtos_escape2!$A1325,Controle!$Z:$Z,"5")</f>
        <v>0</v>
      </c>
      <c r="K1325" s="507">
        <f>SUMIFS(Controle!$R:$R,Controle!$H:$H,produtos_escape2!$A1325,Controle!$Z:$Z,"6")</f>
        <v>0</v>
      </c>
      <c r="L1325" s="507">
        <f t="shared" si="43"/>
        <v>0</v>
      </c>
      <c r="M1325" s="381" t="s">
        <v>5246</v>
      </c>
      <c r="AF1325" s="84"/>
    </row>
    <row r="1326" spans="1:32" s="185" customFormat="1" ht="14.25" customHeight="1" thickBot="1">
      <c r="A1326" s="353">
        <v>31904</v>
      </c>
      <c r="B1326" s="194" t="s">
        <v>4317</v>
      </c>
      <c r="C1326" s="339">
        <f t="shared" si="44"/>
        <v>50000</v>
      </c>
      <c r="D1326" s="191" t="s">
        <v>547</v>
      </c>
      <c r="E1326" s="189" t="s">
        <v>3608</v>
      </c>
      <c r="F1326" s="507">
        <f>SUMIFS(Controle!$R:$R,Controle!$H:$H,produtos_escape2!$A1326,Controle!$Z:$Z,"1")</f>
        <v>0</v>
      </c>
      <c r="G1326" s="507">
        <f>SUMIFS(Controle!$R:$R,Controle!$H:$H,produtos_escape2!$A1326,Controle!$Z:$Z,"2")</f>
        <v>0</v>
      </c>
      <c r="H1326" s="507">
        <f>SUMIFS(Controle!$R:$R,Controle!$H:$H,produtos_escape2!$A1326,Controle!$Z:$Z,"3")</f>
        <v>0</v>
      </c>
      <c r="I1326" s="507">
        <f>SUMIFS(Controle!$R:$R,Controle!$H:$H,produtos_escape2!$A1326,Controle!$Z:$Z,"4")</f>
        <v>0</v>
      </c>
      <c r="J1326" s="507">
        <f>SUMIFS(Controle!$R:$R,Controle!$H:$H,produtos_escape2!$A1326,Controle!$Z:$Z,"5")</f>
        <v>0</v>
      </c>
      <c r="K1326" s="507">
        <f>SUMIFS(Controle!$R:$R,Controle!$H:$H,produtos_escape2!$A1326,Controle!$Z:$Z,"6")</f>
        <v>0</v>
      </c>
      <c r="L1326" s="507">
        <f t="shared" si="43"/>
        <v>0</v>
      </c>
      <c r="M1326" s="381" t="s">
        <v>5246</v>
      </c>
      <c r="AF1326" s="84"/>
    </row>
    <row r="1327" spans="1:32" s="185" customFormat="1" ht="14.25" customHeight="1" thickBot="1">
      <c r="A1327" s="353">
        <v>31910</v>
      </c>
      <c r="B1327" s="338" t="s">
        <v>4319</v>
      </c>
      <c r="C1327" s="339">
        <f t="shared" si="44"/>
        <v>50000</v>
      </c>
      <c r="D1327" s="191" t="s">
        <v>547</v>
      </c>
      <c r="E1327" s="189" t="s">
        <v>3608</v>
      </c>
      <c r="F1327" s="507">
        <f>SUMIFS(Controle!$R:$R,Controle!$H:$H,produtos_escape2!$A1327,Controle!$Z:$Z,"1")</f>
        <v>0</v>
      </c>
      <c r="G1327" s="507">
        <f>SUMIFS(Controle!$R:$R,Controle!$H:$H,produtos_escape2!$A1327,Controle!$Z:$Z,"2")</f>
        <v>0</v>
      </c>
      <c r="H1327" s="507">
        <f>SUMIFS(Controle!$R:$R,Controle!$H:$H,produtos_escape2!$A1327,Controle!$Z:$Z,"3")</f>
        <v>0</v>
      </c>
      <c r="I1327" s="507">
        <f>SUMIFS(Controle!$R:$R,Controle!$H:$H,produtos_escape2!$A1327,Controle!$Z:$Z,"4")</f>
        <v>0</v>
      </c>
      <c r="J1327" s="507">
        <f>SUMIFS(Controle!$R:$R,Controle!$H:$H,produtos_escape2!$A1327,Controle!$Z:$Z,"5")</f>
        <v>0</v>
      </c>
      <c r="K1327" s="507">
        <f>SUMIFS(Controle!$R:$R,Controle!$H:$H,produtos_escape2!$A1327,Controle!$Z:$Z,"6")</f>
        <v>0</v>
      </c>
      <c r="L1327" s="507">
        <f t="shared" si="43"/>
        <v>0</v>
      </c>
      <c r="M1327" s="381" t="s">
        <v>5247</v>
      </c>
      <c r="AF1327" s="84"/>
    </row>
    <row r="1328" spans="1:32" s="185" customFormat="1" ht="14.25" customHeight="1" thickBot="1">
      <c r="A1328" s="353">
        <v>31939</v>
      </c>
      <c r="B1328" s="194" t="s">
        <v>2771</v>
      </c>
      <c r="C1328" s="339">
        <f t="shared" si="44"/>
        <v>50000</v>
      </c>
      <c r="D1328" s="191" t="s">
        <v>547</v>
      </c>
      <c r="E1328" s="189" t="s">
        <v>3608</v>
      </c>
      <c r="F1328" s="507">
        <f>SUMIFS(Controle!$R:$R,Controle!$H:$H,produtos_escape2!$A1328,Controle!$Z:$Z,"1")</f>
        <v>0</v>
      </c>
      <c r="G1328" s="507">
        <f>SUMIFS(Controle!$R:$R,Controle!$H:$H,produtos_escape2!$A1328,Controle!$Z:$Z,"2")</f>
        <v>0</v>
      </c>
      <c r="H1328" s="507">
        <f>SUMIFS(Controle!$R:$R,Controle!$H:$H,produtos_escape2!$A1328,Controle!$Z:$Z,"3")</f>
        <v>0</v>
      </c>
      <c r="I1328" s="507">
        <f>SUMIFS(Controle!$R:$R,Controle!$H:$H,produtos_escape2!$A1328,Controle!$Z:$Z,"4")</f>
        <v>0</v>
      </c>
      <c r="J1328" s="507">
        <f>SUMIFS(Controle!$R:$R,Controle!$H:$H,produtos_escape2!$A1328,Controle!$Z:$Z,"5")</f>
        <v>0</v>
      </c>
      <c r="K1328" s="507">
        <f>SUMIFS(Controle!$R:$R,Controle!$H:$H,produtos_escape2!$A1328,Controle!$Z:$Z,"6")</f>
        <v>0</v>
      </c>
      <c r="L1328" s="507">
        <f t="shared" si="43"/>
        <v>0</v>
      </c>
      <c r="M1328" s="381" t="s">
        <v>2771</v>
      </c>
      <c r="AF1328" s="84"/>
    </row>
    <row r="1329" spans="1:32" s="185" customFormat="1" ht="14.25" customHeight="1" thickBot="1">
      <c r="A1329" s="333">
        <v>32037</v>
      </c>
      <c r="B1329" s="194" t="s">
        <v>6751</v>
      </c>
      <c r="C1329" s="339">
        <f t="shared" si="44"/>
        <v>50000</v>
      </c>
      <c r="D1329" s="196" t="s">
        <v>624</v>
      </c>
      <c r="E1329" s="189" t="s">
        <v>3608</v>
      </c>
      <c r="F1329" s="507">
        <f>SUMIFS(Controle!$R:$R,Controle!$H:$H,produtos_escape2!$A1329,Controle!$Z:$Z,"1")</f>
        <v>0</v>
      </c>
      <c r="G1329" s="507">
        <f>SUMIFS(Controle!$R:$R,Controle!$H:$H,produtos_escape2!$A1329,Controle!$Z:$Z,"2")</f>
        <v>0</v>
      </c>
      <c r="H1329" s="507">
        <f>SUMIFS(Controle!$R:$R,Controle!$H:$H,produtos_escape2!$A1329,Controle!$Z:$Z,"3")</f>
        <v>0</v>
      </c>
      <c r="I1329" s="507">
        <f>SUMIFS(Controle!$R:$R,Controle!$H:$H,produtos_escape2!$A1329,Controle!$Z:$Z,"4")</f>
        <v>0</v>
      </c>
      <c r="J1329" s="507">
        <f>SUMIFS(Controle!$R:$R,Controle!$H:$H,produtos_escape2!$A1329,Controle!$Z:$Z,"5")</f>
        <v>0</v>
      </c>
      <c r="K1329" s="507">
        <f>SUMIFS(Controle!$R:$R,Controle!$H:$H,produtos_escape2!$A1329,Controle!$Z:$Z,"6")</f>
        <v>0</v>
      </c>
      <c r="L1329" s="507">
        <f t="shared" si="43"/>
        <v>0</v>
      </c>
      <c r="M1329" s="381" t="s">
        <v>6752</v>
      </c>
      <c r="AF1329" s="84"/>
    </row>
    <row r="1330" spans="1:32" s="185" customFormat="1" ht="14.25" customHeight="1" thickBot="1">
      <c r="A1330" s="353">
        <v>32038</v>
      </c>
      <c r="B1330" s="194" t="s">
        <v>6753</v>
      </c>
      <c r="C1330" s="339">
        <f t="shared" si="44"/>
        <v>50000</v>
      </c>
      <c r="D1330" s="196" t="s">
        <v>624</v>
      </c>
      <c r="E1330" s="189" t="s">
        <v>3608</v>
      </c>
      <c r="F1330" s="507">
        <f>SUMIFS(Controle!$R:$R,Controle!$H:$H,produtos_escape2!$A1330,Controle!$Z:$Z,"1")</f>
        <v>0</v>
      </c>
      <c r="G1330" s="507">
        <f>SUMIFS(Controle!$R:$R,Controle!$H:$H,produtos_escape2!$A1330,Controle!$Z:$Z,"2")</f>
        <v>0</v>
      </c>
      <c r="H1330" s="507">
        <f>SUMIFS(Controle!$R:$R,Controle!$H:$H,produtos_escape2!$A1330,Controle!$Z:$Z,"3")</f>
        <v>0</v>
      </c>
      <c r="I1330" s="507">
        <f>SUMIFS(Controle!$R:$R,Controle!$H:$H,produtos_escape2!$A1330,Controle!$Z:$Z,"4")</f>
        <v>0</v>
      </c>
      <c r="J1330" s="507">
        <f>SUMIFS(Controle!$R:$R,Controle!$H:$H,produtos_escape2!$A1330,Controle!$Z:$Z,"5")</f>
        <v>0</v>
      </c>
      <c r="K1330" s="507">
        <f>SUMIFS(Controle!$R:$R,Controle!$H:$H,produtos_escape2!$A1330,Controle!$Z:$Z,"6")</f>
        <v>0</v>
      </c>
      <c r="L1330" s="507">
        <f t="shared" si="43"/>
        <v>0</v>
      </c>
      <c r="M1330" s="381" t="s">
        <v>6752</v>
      </c>
      <c r="AF1330" s="84"/>
    </row>
    <row r="1331" spans="1:32" s="185" customFormat="1" ht="14.25" customHeight="1" thickBot="1">
      <c r="A1331" s="353">
        <v>32044</v>
      </c>
      <c r="B1331" s="194" t="s">
        <v>9029</v>
      </c>
      <c r="C1331" s="339">
        <f t="shared" si="44"/>
        <v>50000</v>
      </c>
      <c r="D1331" s="196" t="s">
        <v>624</v>
      </c>
      <c r="E1331" s="189" t="s">
        <v>7207</v>
      </c>
      <c r="F1331" s="507">
        <f>SUMIFS(Controle!$R:$R,Controle!$H:$H,produtos_escape2!$A1331,Controle!$Z:$Z,"1")</f>
        <v>0</v>
      </c>
      <c r="G1331" s="507">
        <f>SUMIFS(Controle!$R:$R,Controle!$H:$H,produtos_escape2!$A1331,Controle!$Z:$Z,"2")</f>
        <v>0</v>
      </c>
      <c r="H1331" s="507">
        <f>SUMIFS(Controle!$R:$R,Controle!$H:$H,produtos_escape2!$A1331,Controle!$Z:$Z,"3")</f>
        <v>0</v>
      </c>
      <c r="I1331" s="507">
        <f>SUMIFS(Controle!$R:$R,Controle!$H:$H,produtos_escape2!$A1331,Controle!$Z:$Z,"4")</f>
        <v>0</v>
      </c>
      <c r="J1331" s="507">
        <f>SUMIFS(Controle!$R:$R,Controle!$H:$H,produtos_escape2!$A1331,Controle!$Z:$Z,"5")</f>
        <v>0</v>
      </c>
      <c r="K1331" s="507">
        <f>SUMIFS(Controle!$R:$R,Controle!$H:$H,produtos_escape2!$A1331,Controle!$Z:$Z,"6")</f>
        <v>0</v>
      </c>
      <c r="L1331" s="507">
        <f t="shared" si="43"/>
        <v>0</v>
      </c>
      <c r="M1331" s="381" t="s">
        <v>9020</v>
      </c>
      <c r="AF1331" s="84"/>
    </row>
    <row r="1332" spans="1:32" s="185" customFormat="1" ht="14.25" customHeight="1" thickBot="1">
      <c r="A1332" s="353">
        <v>32050</v>
      </c>
      <c r="B1332" s="194" t="s">
        <v>9030</v>
      </c>
      <c r="C1332" s="339">
        <f t="shared" si="44"/>
        <v>50000</v>
      </c>
      <c r="D1332" s="196" t="s">
        <v>624</v>
      </c>
      <c r="E1332" s="189" t="s">
        <v>7207</v>
      </c>
      <c r="F1332" s="507">
        <f>SUMIFS(Controle!$R:$R,Controle!$H:$H,produtos_escape2!$A1332,Controle!$Z:$Z,"1")</f>
        <v>0</v>
      </c>
      <c r="G1332" s="507">
        <f>SUMIFS(Controle!$R:$R,Controle!$H:$H,produtos_escape2!$A1332,Controle!$Z:$Z,"2")</f>
        <v>0</v>
      </c>
      <c r="H1332" s="507">
        <f>SUMIFS(Controle!$R:$R,Controle!$H:$H,produtos_escape2!$A1332,Controle!$Z:$Z,"3")</f>
        <v>0</v>
      </c>
      <c r="I1332" s="507">
        <f>SUMIFS(Controle!$R:$R,Controle!$H:$H,produtos_escape2!$A1332,Controle!$Z:$Z,"4")</f>
        <v>0</v>
      </c>
      <c r="J1332" s="507">
        <f>SUMIFS(Controle!$R:$R,Controle!$H:$H,produtos_escape2!$A1332,Controle!$Z:$Z,"5")</f>
        <v>0</v>
      </c>
      <c r="K1332" s="507">
        <f>SUMIFS(Controle!$R:$R,Controle!$H:$H,produtos_escape2!$A1332,Controle!$Z:$Z,"6")</f>
        <v>0</v>
      </c>
      <c r="L1332" s="507">
        <f t="shared" si="43"/>
        <v>0</v>
      </c>
      <c r="M1332" s="381" t="s">
        <v>9020</v>
      </c>
      <c r="AF1332" s="84"/>
    </row>
    <row r="1333" spans="1:32" s="185" customFormat="1" ht="14.25" customHeight="1" thickBot="1">
      <c r="A1333" s="353">
        <v>32052</v>
      </c>
      <c r="B1333" s="194" t="s">
        <v>9031</v>
      </c>
      <c r="C1333" s="339">
        <f t="shared" si="44"/>
        <v>50000</v>
      </c>
      <c r="D1333" s="196" t="s">
        <v>624</v>
      </c>
      <c r="E1333" s="189" t="s">
        <v>7207</v>
      </c>
      <c r="F1333" s="507">
        <f>SUMIFS(Controle!$R:$R,Controle!$H:$H,produtos_escape2!$A1333,Controle!$Z:$Z,"1")</f>
        <v>0</v>
      </c>
      <c r="G1333" s="507">
        <f>SUMIFS(Controle!$R:$R,Controle!$H:$H,produtos_escape2!$A1333,Controle!$Z:$Z,"2")</f>
        <v>0</v>
      </c>
      <c r="H1333" s="507">
        <f>SUMIFS(Controle!$R:$R,Controle!$H:$H,produtos_escape2!$A1333,Controle!$Z:$Z,"3")</f>
        <v>0</v>
      </c>
      <c r="I1333" s="507">
        <f>SUMIFS(Controle!$R:$R,Controle!$H:$H,produtos_escape2!$A1333,Controle!$Z:$Z,"4")</f>
        <v>0</v>
      </c>
      <c r="J1333" s="507">
        <f>SUMIFS(Controle!$R:$R,Controle!$H:$H,produtos_escape2!$A1333,Controle!$Z:$Z,"5")</f>
        <v>0</v>
      </c>
      <c r="K1333" s="507">
        <f>SUMIFS(Controle!$R:$R,Controle!$H:$H,produtos_escape2!$A1333,Controle!$Z:$Z,"6")</f>
        <v>0</v>
      </c>
      <c r="L1333" s="507">
        <f t="shared" si="43"/>
        <v>0</v>
      </c>
      <c r="M1333" s="381" t="s">
        <v>9020</v>
      </c>
      <c r="AF1333" s="84"/>
    </row>
    <row r="1334" spans="1:32" s="185" customFormat="1" ht="14.25" customHeight="1" thickBot="1">
      <c r="A1334" s="353">
        <v>32097</v>
      </c>
      <c r="B1334" s="194" t="s">
        <v>9500</v>
      </c>
      <c r="C1334" s="339">
        <f t="shared" si="44"/>
        <v>50000</v>
      </c>
      <c r="D1334" s="196" t="s">
        <v>624</v>
      </c>
      <c r="E1334" s="189" t="s">
        <v>7207</v>
      </c>
      <c r="F1334" s="507">
        <f>SUMIFS(Controle!$R:$R,Controle!$H:$H,produtos_escape2!$A1334,Controle!$Z:$Z,"1")</f>
        <v>0</v>
      </c>
      <c r="G1334" s="507">
        <f>SUMIFS(Controle!$R:$R,Controle!$H:$H,produtos_escape2!$A1334,Controle!$Z:$Z,"2")</f>
        <v>0</v>
      </c>
      <c r="H1334" s="507">
        <f>SUMIFS(Controle!$R:$R,Controle!$H:$H,produtos_escape2!$A1334,Controle!$Z:$Z,"3")</f>
        <v>0</v>
      </c>
      <c r="I1334" s="507">
        <f>SUMIFS(Controle!$R:$R,Controle!$H:$H,produtos_escape2!$A1334,Controle!$Z:$Z,"4")</f>
        <v>0</v>
      </c>
      <c r="J1334" s="507">
        <f>SUMIFS(Controle!$R:$R,Controle!$H:$H,produtos_escape2!$A1334,Controle!$Z:$Z,"5")</f>
        <v>0</v>
      </c>
      <c r="K1334" s="507">
        <f>SUMIFS(Controle!$R:$R,Controle!$H:$H,produtos_escape2!$A1334,Controle!$Z:$Z,"6")</f>
        <v>0</v>
      </c>
      <c r="L1334" s="507">
        <f t="shared" si="43"/>
        <v>0</v>
      </c>
      <c r="M1334" s="381" t="s">
        <v>9502</v>
      </c>
      <c r="AF1334" s="84"/>
    </row>
    <row r="1335" spans="1:32" s="185" customFormat="1" ht="14.25" customHeight="1" thickBot="1">
      <c r="A1335" s="353">
        <v>32122</v>
      </c>
      <c r="B1335" s="194" t="s">
        <v>3939</v>
      </c>
      <c r="C1335" s="339">
        <f t="shared" si="44"/>
        <v>50000</v>
      </c>
      <c r="D1335" s="196" t="s">
        <v>624</v>
      </c>
      <c r="E1335" s="187" t="s">
        <v>7207</v>
      </c>
      <c r="F1335" s="507">
        <f>SUMIFS(Controle!$R:$R,Controle!$H:$H,produtos_escape2!$A1335,Controle!$Z:$Z,"1")</f>
        <v>0</v>
      </c>
      <c r="G1335" s="507">
        <f>SUMIFS(Controle!$R:$R,Controle!$H:$H,produtos_escape2!$A1335,Controle!$Z:$Z,"2")</f>
        <v>0</v>
      </c>
      <c r="H1335" s="507">
        <f>SUMIFS(Controle!$R:$R,Controle!$H:$H,produtos_escape2!$A1335,Controle!$Z:$Z,"3")</f>
        <v>0</v>
      </c>
      <c r="I1335" s="507">
        <f>SUMIFS(Controle!$R:$R,Controle!$H:$H,produtos_escape2!$A1335,Controle!$Z:$Z,"4")</f>
        <v>0</v>
      </c>
      <c r="J1335" s="507">
        <f>SUMIFS(Controle!$R:$R,Controle!$H:$H,produtos_escape2!$A1335,Controle!$Z:$Z,"5")</f>
        <v>0</v>
      </c>
      <c r="K1335" s="507">
        <f>SUMIFS(Controle!$R:$R,Controle!$H:$H,produtos_escape2!$A1335,Controle!$Z:$Z,"6")</f>
        <v>0</v>
      </c>
      <c r="L1335" s="507">
        <f t="shared" si="43"/>
        <v>0</v>
      </c>
      <c r="M1335" s="381" t="s">
        <v>5248</v>
      </c>
      <c r="AF1335" s="84"/>
    </row>
    <row r="1336" spans="1:32" s="185" customFormat="1" ht="14.25" customHeight="1" thickBot="1">
      <c r="A1336" s="353">
        <v>32140</v>
      </c>
      <c r="B1336" s="194" t="s">
        <v>4320</v>
      </c>
      <c r="C1336" s="339">
        <f t="shared" si="44"/>
        <v>50000</v>
      </c>
      <c r="D1336" s="196" t="s">
        <v>624</v>
      </c>
      <c r="E1336" s="187" t="s">
        <v>7207</v>
      </c>
      <c r="F1336" s="507">
        <f>SUMIFS(Controle!$R:$R,Controle!$H:$H,produtos_escape2!$A1336,Controle!$Z:$Z,"1")</f>
        <v>0</v>
      </c>
      <c r="G1336" s="507">
        <f>SUMIFS(Controle!$R:$R,Controle!$H:$H,produtos_escape2!$A1336,Controle!$Z:$Z,"2")</f>
        <v>0</v>
      </c>
      <c r="H1336" s="507">
        <f>SUMIFS(Controle!$R:$R,Controle!$H:$H,produtos_escape2!$A1336,Controle!$Z:$Z,"3")</f>
        <v>0</v>
      </c>
      <c r="I1336" s="507">
        <f>SUMIFS(Controle!$R:$R,Controle!$H:$H,produtos_escape2!$A1336,Controle!$Z:$Z,"4")</f>
        <v>0</v>
      </c>
      <c r="J1336" s="507">
        <f>SUMIFS(Controle!$R:$R,Controle!$H:$H,produtos_escape2!$A1336,Controle!$Z:$Z,"5")</f>
        <v>0</v>
      </c>
      <c r="K1336" s="507">
        <f>SUMIFS(Controle!$R:$R,Controle!$H:$H,produtos_escape2!$A1336,Controle!$Z:$Z,"6")</f>
        <v>0</v>
      </c>
      <c r="L1336" s="507">
        <f t="shared" si="43"/>
        <v>0</v>
      </c>
      <c r="M1336" s="381" t="s">
        <v>5249</v>
      </c>
      <c r="AF1336" s="84"/>
    </row>
    <row r="1337" spans="1:32" s="185" customFormat="1" ht="14.25" customHeight="1" thickBot="1">
      <c r="A1337" s="353">
        <v>32429</v>
      </c>
      <c r="B1337" s="194" t="s">
        <v>4382</v>
      </c>
      <c r="C1337" s="339">
        <f t="shared" si="44"/>
        <v>44300</v>
      </c>
      <c r="D1337" s="196" t="s">
        <v>548</v>
      </c>
      <c r="E1337" s="187" t="s">
        <v>3608</v>
      </c>
      <c r="F1337" s="507">
        <f>SUMIFS(Controle!$R:$R,Controle!$H:$H,produtos_escape2!$A1337,Controle!$Z:$Z,"1")</f>
        <v>0</v>
      </c>
      <c r="G1337" s="507">
        <f>SUMIFS(Controle!$R:$R,Controle!$H:$H,produtos_escape2!$A1337,Controle!$Z:$Z,"2")</f>
        <v>5700</v>
      </c>
      <c r="H1337" s="507">
        <f>SUMIFS(Controle!$R:$R,Controle!$H:$H,produtos_escape2!$A1337,Controle!$Z:$Z,"3")</f>
        <v>0</v>
      </c>
      <c r="I1337" s="507">
        <f>SUMIFS(Controle!$R:$R,Controle!$H:$H,produtos_escape2!$A1337,Controle!$Z:$Z,"4")</f>
        <v>0</v>
      </c>
      <c r="J1337" s="507">
        <f>SUMIFS(Controle!$R:$R,Controle!$H:$H,produtos_escape2!$A1337,Controle!$Z:$Z,"5")</f>
        <v>0</v>
      </c>
      <c r="K1337" s="507">
        <f>SUMIFS(Controle!$R:$R,Controle!$H:$H,produtos_escape2!$A1337,Controle!$Z:$Z,"6")</f>
        <v>0</v>
      </c>
      <c r="L1337" s="507">
        <f t="shared" si="43"/>
        <v>5700</v>
      </c>
      <c r="M1337" s="381" t="s">
        <v>5250</v>
      </c>
      <c r="AF1337" s="84"/>
    </row>
    <row r="1338" spans="1:32" s="185" customFormat="1" ht="14.25" customHeight="1" thickBot="1">
      <c r="A1338" s="353">
        <v>32430</v>
      </c>
      <c r="B1338" s="194" t="s">
        <v>3927</v>
      </c>
      <c r="C1338" s="339">
        <f t="shared" si="44"/>
        <v>50000</v>
      </c>
      <c r="D1338" s="196" t="s">
        <v>548</v>
      </c>
      <c r="E1338" s="189" t="s">
        <v>3608</v>
      </c>
      <c r="F1338" s="507">
        <f>SUMIFS(Controle!$R:$R,Controle!$H:$H,produtos_escape2!$A1338,Controle!$Z:$Z,"1")</f>
        <v>0</v>
      </c>
      <c r="G1338" s="507">
        <f>SUMIFS(Controle!$R:$R,Controle!$H:$H,produtos_escape2!$A1338,Controle!$Z:$Z,"2")</f>
        <v>0</v>
      </c>
      <c r="H1338" s="507">
        <f>SUMIFS(Controle!$R:$R,Controle!$H:$H,produtos_escape2!$A1338,Controle!$Z:$Z,"3")</f>
        <v>0</v>
      </c>
      <c r="I1338" s="507">
        <f>SUMIFS(Controle!$R:$R,Controle!$H:$H,produtos_escape2!$A1338,Controle!$Z:$Z,"4")</f>
        <v>0</v>
      </c>
      <c r="J1338" s="507">
        <f>SUMIFS(Controle!$R:$R,Controle!$H:$H,produtos_escape2!$A1338,Controle!$Z:$Z,"5")</f>
        <v>0</v>
      </c>
      <c r="K1338" s="507">
        <f>SUMIFS(Controle!$R:$R,Controle!$H:$H,produtos_escape2!$A1338,Controle!$Z:$Z,"6")</f>
        <v>0</v>
      </c>
      <c r="L1338" s="507">
        <f t="shared" si="43"/>
        <v>0</v>
      </c>
      <c r="M1338" s="381" t="s">
        <v>5251</v>
      </c>
      <c r="AF1338" s="84"/>
    </row>
    <row r="1339" spans="1:32" s="185" customFormat="1" ht="14.25" customHeight="1" thickBot="1">
      <c r="A1339" s="353">
        <v>32454</v>
      </c>
      <c r="B1339" s="194" t="s">
        <v>1633</v>
      </c>
      <c r="C1339" s="339">
        <f t="shared" si="44"/>
        <v>50000</v>
      </c>
      <c r="D1339" s="196" t="s">
        <v>624</v>
      </c>
      <c r="E1339" s="187" t="s">
        <v>3608</v>
      </c>
      <c r="F1339" s="507">
        <f>SUMIFS(Controle!$R:$R,Controle!$H:$H,produtos_escape2!$A1339,Controle!$Z:$Z,"1")</f>
        <v>0</v>
      </c>
      <c r="G1339" s="507">
        <f>SUMIFS(Controle!$R:$R,Controle!$H:$H,produtos_escape2!$A1339,Controle!$Z:$Z,"2")</f>
        <v>0</v>
      </c>
      <c r="H1339" s="507">
        <f>SUMIFS(Controle!$R:$R,Controle!$H:$H,produtos_escape2!$A1339,Controle!$Z:$Z,"3")</f>
        <v>0</v>
      </c>
      <c r="I1339" s="507">
        <f>SUMIFS(Controle!$R:$R,Controle!$H:$H,produtos_escape2!$A1339,Controle!$Z:$Z,"4")</f>
        <v>0</v>
      </c>
      <c r="J1339" s="507">
        <f>SUMIFS(Controle!$R:$R,Controle!$H:$H,produtos_escape2!$A1339,Controle!$Z:$Z,"5")</f>
        <v>0</v>
      </c>
      <c r="K1339" s="507">
        <f>SUMIFS(Controle!$R:$R,Controle!$H:$H,produtos_escape2!$A1339,Controle!$Z:$Z,"6")</f>
        <v>0</v>
      </c>
      <c r="L1339" s="507">
        <f t="shared" si="43"/>
        <v>0</v>
      </c>
      <c r="M1339" s="381" t="s">
        <v>5252</v>
      </c>
      <c r="AF1339" s="84"/>
    </row>
    <row r="1340" spans="1:32" s="185" customFormat="1" ht="14.25" customHeight="1" thickBot="1">
      <c r="A1340" s="353">
        <v>32455</v>
      </c>
      <c r="B1340" s="194" t="s">
        <v>1296</v>
      </c>
      <c r="C1340" s="339">
        <f t="shared" si="44"/>
        <v>50000</v>
      </c>
      <c r="D1340" s="196" t="s">
        <v>624</v>
      </c>
      <c r="E1340" s="187" t="s">
        <v>3608</v>
      </c>
      <c r="F1340" s="507">
        <f>SUMIFS(Controle!$R:$R,Controle!$H:$H,produtos_escape2!$A1340,Controle!$Z:$Z,"1")</f>
        <v>0</v>
      </c>
      <c r="G1340" s="507">
        <f>SUMIFS(Controle!$R:$R,Controle!$H:$H,produtos_escape2!$A1340,Controle!$Z:$Z,"2")</f>
        <v>0</v>
      </c>
      <c r="H1340" s="507">
        <f>SUMIFS(Controle!$R:$R,Controle!$H:$H,produtos_escape2!$A1340,Controle!$Z:$Z,"3")</f>
        <v>0</v>
      </c>
      <c r="I1340" s="507">
        <f>SUMIFS(Controle!$R:$R,Controle!$H:$H,produtos_escape2!$A1340,Controle!$Z:$Z,"4")</f>
        <v>0</v>
      </c>
      <c r="J1340" s="507">
        <f>SUMIFS(Controle!$R:$R,Controle!$H:$H,produtos_escape2!$A1340,Controle!$Z:$Z,"5")</f>
        <v>0</v>
      </c>
      <c r="K1340" s="507">
        <f>SUMIFS(Controle!$R:$R,Controle!$H:$H,produtos_escape2!$A1340,Controle!$Z:$Z,"6")</f>
        <v>0</v>
      </c>
      <c r="L1340" s="507">
        <f t="shared" si="43"/>
        <v>0</v>
      </c>
      <c r="M1340" s="381" t="s">
        <v>5253</v>
      </c>
      <c r="AF1340" s="84"/>
    </row>
    <row r="1341" spans="1:32" s="185" customFormat="1" ht="14.25" customHeight="1" thickBot="1">
      <c r="A1341" s="333">
        <v>32456</v>
      </c>
      <c r="B1341" s="338" t="s">
        <v>1634</v>
      </c>
      <c r="C1341" s="339">
        <f t="shared" si="44"/>
        <v>50000</v>
      </c>
      <c r="D1341" s="196" t="s">
        <v>624</v>
      </c>
      <c r="E1341" s="187" t="s">
        <v>3608</v>
      </c>
      <c r="F1341" s="507">
        <f>SUMIFS(Controle!$R:$R,Controle!$H:$H,produtos_escape2!$A1341,Controle!$Z:$Z,"1")</f>
        <v>0</v>
      </c>
      <c r="G1341" s="507">
        <f>SUMIFS(Controle!$R:$R,Controle!$H:$H,produtos_escape2!$A1341,Controle!$Z:$Z,"2")</f>
        <v>0</v>
      </c>
      <c r="H1341" s="507">
        <f>SUMIFS(Controle!$R:$R,Controle!$H:$H,produtos_escape2!$A1341,Controle!$Z:$Z,"3")</f>
        <v>0</v>
      </c>
      <c r="I1341" s="507">
        <f>SUMIFS(Controle!$R:$R,Controle!$H:$H,produtos_escape2!$A1341,Controle!$Z:$Z,"4")</f>
        <v>0</v>
      </c>
      <c r="J1341" s="507">
        <f>SUMIFS(Controle!$R:$R,Controle!$H:$H,produtos_escape2!$A1341,Controle!$Z:$Z,"5")</f>
        <v>0</v>
      </c>
      <c r="K1341" s="507">
        <f>SUMIFS(Controle!$R:$R,Controle!$H:$H,produtos_escape2!$A1341,Controle!$Z:$Z,"6")</f>
        <v>0</v>
      </c>
      <c r="L1341" s="507">
        <f t="shared" si="43"/>
        <v>0</v>
      </c>
      <c r="M1341" s="381" t="s">
        <v>5254</v>
      </c>
      <c r="AF1341" s="84"/>
    </row>
    <row r="1342" spans="1:32" s="185" customFormat="1" ht="14.25" customHeight="1" thickBot="1">
      <c r="A1342" s="353">
        <v>32463</v>
      </c>
      <c r="B1342" s="194" t="s">
        <v>1712</v>
      </c>
      <c r="C1342" s="339">
        <f t="shared" si="44"/>
        <v>50000</v>
      </c>
      <c r="D1342" s="191" t="s">
        <v>624</v>
      </c>
      <c r="E1342" s="189" t="s">
        <v>7207</v>
      </c>
      <c r="F1342" s="507">
        <f>SUMIFS(Controle!$R:$R,Controle!$H:$H,produtos_escape2!$A1342,Controle!$Z:$Z,"1")</f>
        <v>0</v>
      </c>
      <c r="G1342" s="507">
        <f>SUMIFS(Controle!$R:$R,Controle!$H:$H,produtos_escape2!$A1342,Controle!$Z:$Z,"2")</f>
        <v>0</v>
      </c>
      <c r="H1342" s="507">
        <f>SUMIFS(Controle!$R:$R,Controle!$H:$H,produtos_escape2!$A1342,Controle!$Z:$Z,"3")</f>
        <v>0</v>
      </c>
      <c r="I1342" s="507">
        <f>SUMIFS(Controle!$R:$R,Controle!$H:$H,produtos_escape2!$A1342,Controle!$Z:$Z,"4")</f>
        <v>0</v>
      </c>
      <c r="J1342" s="507">
        <f>SUMIFS(Controle!$R:$R,Controle!$H:$H,produtos_escape2!$A1342,Controle!$Z:$Z,"5")</f>
        <v>0</v>
      </c>
      <c r="K1342" s="507">
        <f>SUMIFS(Controle!$R:$R,Controle!$H:$H,produtos_escape2!$A1342,Controle!$Z:$Z,"6")</f>
        <v>0</v>
      </c>
      <c r="L1342" s="507">
        <f t="shared" si="43"/>
        <v>0</v>
      </c>
      <c r="M1342" s="381" t="s">
        <v>5255</v>
      </c>
      <c r="AF1342" s="84"/>
    </row>
    <row r="1343" spans="1:32" s="185" customFormat="1" ht="14.25" customHeight="1" thickBot="1">
      <c r="A1343" s="353">
        <v>32473</v>
      </c>
      <c r="B1343" s="194" t="s">
        <v>245</v>
      </c>
      <c r="C1343" s="339">
        <f t="shared" si="44"/>
        <v>50000</v>
      </c>
      <c r="D1343" s="196" t="s">
        <v>624</v>
      </c>
      <c r="E1343" s="187" t="s">
        <v>7207</v>
      </c>
      <c r="F1343" s="507">
        <f>SUMIFS(Controle!$R:$R,Controle!$H:$H,produtos_escape2!$A1343,Controle!$Z:$Z,"1")</f>
        <v>0</v>
      </c>
      <c r="G1343" s="507">
        <f>SUMIFS(Controle!$R:$R,Controle!$H:$H,produtos_escape2!$A1343,Controle!$Z:$Z,"2")</f>
        <v>0</v>
      </c>
      <c r="H1343" s="507">
        <f>SUMIFS(Controle!$R:$R,Controle!$H:$H,produtos_escape2!$A1343,Controle!$Z:$Z,"3")</f>
        <v>0</v>
      </c>
      <c r="I1343" s="507">
        <f>SUMIFS(Controle!$R:$R,Controle!$H:$H,produtos_escape2!$A1343,Controle!$Z:$Z,"4")</f>
        <v>0</v>
      </c>
      <c r="J1343" s="507">
        <f>SUMIFS(Controle!$R:$R,Controle!$H:$H,produtos_escape2!$A1343,Controle!$Z:$Z,"5")</f>
        <v>0</v>
      </c>
      <c r="K1343" s="507">
        <f>SUMIFS(Controle!$R:$R,Controle!$H:$H,produtos_escape2!$A1343,Controle!$Z:$Z,"6")</f>
        <v>0</v>
      </c>
      <c r="L1343" s="507">
        <f t="shared" ref="L1343:L1406" si="45">SUM(F1343:K1343)</f>
        <v>0</v>
      </c>
      <c r="M1343" s="381" t="s">
        <v>5256</v>
      </c>
      <c r="AF1343" s="84"/>
    </row>
    <row r="1344" spans="1:32" s="185" customFormat="1" ht="14.25" customHeight="1" thickBot="1">
      <c r="A1344" s="353">
        <v>32634</v>
      </c>
      <c r="B1344" s="194" t="s">
        <v>1581</v>
      </c>
      <c r="C1344" s="339">
        <f t="shared" si="44"/>
        <v>50000</v>
      </c>
      <c r="D1344" s="196" t="s">
        <v>624</v>
      </c>
      <c r="E1344" s="187" t="s">
        <v>7207</v>
      </c>
      <c r="F1344" s="507">
        <f>SUMIFS(Controle!$R:$R,Controle!$H:$H,produtos_escape2!$A1344,Controle!$Z:$Z,"1")</f>
        <v>0</v>
      </c>
      <c r="G1344" s="507">
        <f>SUMIFS(Controle!$R:$R,Controle!$H:$H,produtos_escape2!$A1344,Controle!$Z:$Z,"2")</f>
        <v>0</v>
      </c>
      <c r="H1344" s="507">
        <f>SUMIFS(Controle!$R:$R,Controle!$H:$H,produtos_escape2!$A1344,Controle!$Z:$Z,"3")</f>
        <v>0</v>
      </c>
      <c r="I1344" s="507">
        <f>SUMIFS(Controle!$R:$R,Controle!$H:$H,produtos_escape2!$A1344,Controle!$Z:$Z,"4")</f>
        <v>0</v>
      </c>
      <c r="J1344" s="507">
        <f>SUMIFS(Controle!$R:$R,Controle!$H:$H,produtos_escape2!$A1344,Controle!$Z:$Z,"5")</f>
        <v>0</v>
      </c>
      <c r="K1344" s="507">
        <f>SUMIFS(Controle!$R:$R,Controle!$H:$H,produtos_escape2!$A1344,Controle!$Z:$Z,"6")</f>
        <v>0</v>
      </c>
      <c r="L1344" s="507">
        <f t="shared" si="45"/>
        <v>0</v>
      </c>
      <c r="M1344" s="381" t="s">
        <v>5257</v>
      </c>
      <c r="AF1344" s="84"/>
    </row>
    <row r="1345" spans="1:32" s="185" customFormat="1" ht="14.25" customHeight="1" thickBot="1">
      <c r="A1345" s="353">
        <v>32692</v>
      </c>
      <c r="B1345" s="194" t="s">
        <v>4140</v>
      </c>
      <c r="C1345" s="339">
        <f t="shared" si="44"/>
        <v>50000</v>
      </c>
      <c r="D1345" s="196" t="s">
        <v>624</v>
      </c>
      <c r="E1345" s="187" t="s">
        <v>7207</v>
      </c>
      <c r="F1345" s="507">
        <f>SUMIFS(Controle!$R:$R,Controle!$H:$H,produtos_escape2!$A1345,Controle!$Z:$Z,"1")</f>
        <v>0</v>
      </c>
      <c r="G1345" s="507">
        <f>SUMIFS(Controle!$R:$R,Controle!$H:$H,produtos_escape2!$A1345,Controle!$Z:$Z,"2")</f>
        <v>0</v>
      </c>
      <c r="H1345" s="507">
        <f>SUMIFS(Controle!$R:$R,Controle!$H:$H,produtos_escape2!$A1345,Controle!$Z:$Z,"3")</f>
        <v>0</v>
      </c>
      <c r="I1345" s="507">
        <f>SUMIFS(Controle!$R:$R,Controle!$H:$H,produtos_escape2!$A1345,Controle!$Z:$Z,"4")</f>
        <v>0</v>
      </c>
      <c r="J1345" s="507">
        <f>SUMIFS(Controle!$R:$R,Controle!$H:$H,produtos_escape2!$A1345,Controle!$Z:$Z,"5")</f>
        <v>0</v>
      </c>
      <c r="K1345" s="507">
        <f>SUMIFS(Controle!$R:$R,Controle!$H:$H,produtos_escape2!$A1345,Controle!$Z:$Z,"6")</f>
        <v>0</v>
      </c>
      <c r="L1345" s="507">
        <f t="shared" si="45"/>
        <v>0</v>
      </c>
      <c r="M1345" s="381" t="s">
        <v>5258</v>
      </c>
      <c r="AF1345" s="84"/>
    </row>
    <row r="1346" spans="1:32" s="185" customFormat="1" ht="14.25" customHeight="1" thickBot="1">
      <c r="A1346" s="353">
        <v>32693</v>
      </c>
      <c r="B1346" s="194" t="s">
        <v>2810</v>
      </c>
      <c r="C1346" s="339">
        <f t="shared" si="44"/>
        <v>50000</v>
      </c>
      <c r="D1346" s="196" t="s">
        <v>624</v>
      </c>
      <c r="E1346" s="187" t="s">
        <v>7207</v>
      </c>
      <c r="F1346" s="507">
        <f>SUMIFS(Controle!$R:$R,Controle!$H:$H,produtos_escape2!$A1346,Controle!$Z:$Z,"1")</f>
        <v>0</v>
      </c>
      <c r="G1346" s="507">
        <f>SUMIFS(Controle!$R:$R,Controle!$H:$H,produtos_escape2!$A1346,Controle!$Z:$Z,"2")</f>
        <v>0</v>
      </c>
      <c r="H1346" s="507">
        <f>SUMIFS(Controle!$R:$R,Controle!$H:$H,produtos_escape2!$A1346,Controle!$Z:$Z,"3")</f>
        <v>0</v>
      </c>
      <c r="I1346" s="507">
        <f>SUMIFS(Controle!$R:$R,Controle!$H:$H,produtos_escape2!$A1346,Controle!$Z:$Z,"4")</f>
        <v>0</v>
      </c>
      <c r="J1346" s="507">
        <f>SUMIFS(Controle!$R:$R,Controle!$H:$H,produtos_escape2!$A1346,Controle!$Z:$Z,"5")</f>
        <v>0</v>
      </c>
      <c r="K1346" s="507">
        <f>SUMIFS(Controle!$R:$R,Controle!$H:$H,produtos_escape2!$A1346,Controle!$Z:$Z,"6")</f>
        <v>0</v>
      </c>
      <c r="L1346" s="507">
        <f t="shared" si="45"/>
        <v>0</v>
      </c>
      <c r="M1346" s="381" t="s">
        <v>5258</v>
      </c>
      <c r="AF1346" s="84"/>
    </row>
    <row r="1347" spans="1:32" s="185" customFormat="1" ht="14.25" customHeight="1" thickBot="1">
      <c r="A1347" s="353">
        <v>32694</v>
      </c>
      <c r="B1347" s="194" t="s">
        <v>4150</v>
      </c>
      <c r="C1347" s="339">
        <f t="shared" si="44"/>
        <v>50000</v>
      </c>
      <c r="D1347" s="196" t="s">
        <v>624</v>
      </c>
      <c r="E1347" s="187" t="s">
        <v>7207</v>
      </c>
      <c r="F1347" s="507">
        <f>SUMIFS(Controle!$R:$R,Controle!$H:$H,produtos_escape2!$A1347,Controle!$Z:$Z,"1")</f>
        <v>0</v>
      </c>
      <c r="G1347" s="507">
        <f>SUMIFS(Controle!$R:$R,Controle!$H:$H,produtos_escape2!$A1347,Controle!$Z:$Z,"2")</f>
        <v>0</v>
      </c>
      <c r="H1347" s="507">
        <f>SUMIFS(Controle!$R:$R,Controle!$H:$H,produtos_escape2!$A1347,Controle!$Z:$Z,"3")</f>
        <v>0</v>
      </c>
      <c r="I1347" s="507">
        <f>SUMIFS(Controle!$R:$R,Controle!$H:$H,produtos_escape2!$A1347,Controle!$Z:$Z,"4")</f>
        <v>0</v>
      </c>
      <c r="J1347" s="507">
        <f>SUMIFS(Controle!$R:$R,Controle!$H:$H,produtos_escape2!$A1347,Controle!$Z:$Z,"5")</f>
        <v>0</v>
      </c>
      <c r="K1347" s="507">
        <f>SUMIFS(Controle!$R:$R,Controle!$H:$H,produtos_escape2!$A1347,Controle!$Z:$Z,"6")</f>
        <v>0</v>
      </c>
      <c r="L1347" s="507">
        <f t="shared" si="45"/>
        <v>0</v>
      </c>
      <c r="M1347" s="381" t="s">
        <v>5258</v>
      </c>
      <c r="AF1347" s="84"/>
    </row>
    <row r="1348" spans="1:32" s="185" customFormat="1" ht="14.25" customHeight="1" thickBot="1">
      <c r="A1348" s="353">
        <v>32735</v>
      </c>
      <c r="B1348" s="194" t="s">
        <v>10033</v>
      </c>
      <c r="C1348" s="339">
        <f t="shared" si="44"/>
        <v>46075.94</v>
      </c>
      <c r="D1348" s="196" t="s">
        <v>628</v>
      </c>
      <c r="E1348" s="189" t="s">
        <v>7207</v>
      </c>
      <c r="F1348" s="507">
        <f>SUMIFS(Controle!$R:$R,Controle!$H:$H,produtos_escape2!$A1348,Controle!$Z:$Z,"1")</f>
        <v>0</v>
      </c>
      <c r="G1348" s="507">
        <f>SUMIFS(Controle!$R:$R,Controle!$H:$H,produtos_escape2!$A1348,Controle!$Z:$Z,"2")</f>
        <v>0</v>
      </c>
      <c r="H1348" s="507">
        <f>SUMIFS(Controle!$R:$R,Controle!$H:$H,produtos_escape2!$A1348,Controle!$Z:$Z,"3")</f>
        <v>1368</v>
      </c>
      <c r="I1348" s="507">
        <f>SUMIFS(Controle!$R:$R,Controle!$H:$H,produtos_escape2!$A1348,Controle!$Z:$Z,"4")</f>
        <v>0</v>
      </c>
      <c r="J1348" s="507">
        <f>SUMIFS(Controle!$R:$R,Controle!$H:$H,produtos_escape2!$A1348,Controle!$Z:$Z,"5")</f>
        <v>0</v>
      </c>
      <c r="K1348" s="507">
        <f>SUMIFS(Controle!$R:$R,Controle!$H:$H,produtos_escape2!$A1348,Controle!$Z:$Z,"6")</f>
        <v>2556.06</v>
      </c>
      <c r="L1348" s="507">
        <f t="shared" si="45"/>
        <v>3924.06</v>
      </c>
      <c r="M1348" s="381" t="s">
        <v>5259</v>
      </c>
      <c r="AF1348" s="84"/>
    </row>
    <row r="1349" spans="1:32" s="185" customFormat="1" ht="15" customHeight="1" thickBot="1">
      <c r="A1349" s="333">
        <v>32736</v>
      </c>
      <c r="B1349" s="338" t="s">
        <v>1334</v>
      </c>
      <c r="C1349" s="339">
        <f t="shared" ref="C1349:C1413" si="46">50000-SUM(F1349:K1349)</f>
        <v>50000</v>
      </c>
      <c r="D1349" s="196" t="s">
        <v>624</v>
      </c>
      <c r="E1349" s="187" t="s">
        <v>1739</v>
      </c>
      <c r="F1349" s="507">
        <f>SUMIFS(Controle!$R:$R,Controle!$H:$H,produtos_escape2!$A1349,Controle!$Z:$Z,"1")</f>
        <v>0</v>
      </c>
      <c r="G1349" s="507">
        <f>SUMIFS(Controle!$R:$R,Controle!$H:$H,produtos_escape2!$A1349,Controle!$Z:$Z,"2")</f>
        <v>0</v>
      </c>
      <c r="H1349" s="507">
        <f>SUMIFS(Controle!$R:$R,Controle!$H:$H,produtos_escape2!$A1349,Controle!$Z:$Z,"3")</f>
        <v>0</v>
      </c>
      <c r="I1349" s="507">
        <f>SUMIFS(Controle!$R:$R,Controle!$H:$H,produtos_escape2!$A1349,Controle!$Z:$Z,"4")</f>
        <v>0</v>
      </c>
      <c r="J1349" s="507">
        <f>SUMIFS(Controle!$R:$R,Controle!$H:$H,produtos_escape2!$A1349,Controle!$Z:$Z,"5")</f>
        <v>0</v>
      </c>
      <c r="K1349" s="507">
        <f>SUMIFS(Controle!$R:$R,Controle!$H:$H,produtos_escape2!$A1349,Controle!$Z:$Z,"6")</f>
        <v>0</v>
      </c>
      <c r="L1349" s="507">
        <f t="shared" si="45"/>
        <v>0</v>
      </c>
      <c r="M1349" s="381" t="s">
        <v>5260</v>
      </c>
      <c r="AF1349" s="84"/>
    </row>
    <row r="1350" spans="1:32" s="185" customFormat="1" ht="14.25" customHeight="1" thickBot="1">
      <c r="A1350" s="353">
        <v>32737</v>
      </c>
      <c r="B1350" s="194" t="s">
        <v>1335</v>
      </c>
      <c r="C1350" s="339">
        <f t="shared" si="46"/>
        <v>50000</v>
      </c>
      <c r="D1350" s="196" t="s">
        <v>624</v>
      </c>
      <c r="E1350" s="187" t="s">
        <v>1739</v>
      </c>
      <c r="F1350" s="507">
        <f>SUMIFS(Controle!$R:$R,Controle!$H:$H,produtos_escape2!$A1350,Controle!$Z:$Z,"1")</f>
        <v>0</v>
      </c>
      <c r="G1350" s="507">
        <f>SUMIFS(Controle!$R:$R,Controle!$H:$H,produtos_escape2!$A1350,Controle!$Z:$Z,"2")</f>
        <v>0</v>
      </c>
      <c r="H1350" s="507">
        <f>SUMIFS(Controle!$R:$R,Controle!$H:$H,produtos_escape2!$A1350,Controle!$Z:$Z,"3")</f>
        <v>0</v>
      </c>
      <c r="I1350" s="507">
        <f>SUMIFS(Controle!$R:$R,Controle!$H:$H,produtos_escape2!$A1350,Controle!$Z:$Z,"4")</f>
        <v>0</v>
      </c>
      <c r="J1350" s="507">
        <f>SUMIFS(Controle!$R:$R,Controle!$H:$H,produtos_escape2!$A1350,Controle!$Z:$Z,"5")</f>
        <v>0</v>
      </c>
      <c r="K1350" s="507">
        <f>SUMIFS(Controle!$R:$R,Controle!$H:$H,produtos_escape2!$A1350,Controle!$Z:$Z,"6")</f>
        <v>0</v>
      </c>
      <c r="L1350" s="507">
        <f t="shared" si="45"/>
        <v>0</v>
      </c>
      <c r="M1350" s="381" t="s">
        <v>5261</v>
      </c>
      <c r="AF1350" s="84"/>
    </row>
    <row r="1351" spans="1:32" s="185" customFormat="1" ht="14.25" customHeight="1" thickBot="1">
      <c r="A1351" s="353">
        <v>32776</v>
      </c>
      <c r="B1351" s="194" t="s">
        <v>1521</v>
      </c>
      <c r="C1351" s="339">
        <f t="shared" si="46"/>
        <v>50000</v>
      </c>
      <c r="D1351" s="196" t="s">
        <v>624</v>
      </c>
      <c r="E1351" s="187" t="s">
        <v>3608</v>
      </c>
      <c r="F1351" s="507">
        <f>SUMIFS(Controle!$R:$R,Controle!$H:$H,produtos_escape2!$A1351,Controle!$Z:$Z,"1")</f>
        <v>0</v>
      </c>
      <c r="G1351" s="507">
        <f>SUMIFS(Controle!$R:$R,Controle!$H:$H,produtos_escape2!$A1351,Controle!$Z:$Z,"2")</f>
        <v>0</v>
      </c>
      <c r="H1351" s="507">
        <f>SUMIFS(Controle!$R:$R,Controle!$H:$H,produtos_escape2!$A1351,Controle!$Z:$Z,"3")</f>
        <v>0</v>
      </c>
      <c r="I1351" s="507">
        <f>SUMIFS(Controle!$R:$R,Controle!$H:$H,produtos_escape2!$A1351,Controle!$Z:$Z,"4")</f>
        <v>0</v>
      </c>
      <c r="J1351" s="507">
        <f>SUMIFS(Controle!$R:$R,Controle!$H:$H,produtos_escape2!$A1351,Controle!$Z:$Z,"5")</f>
        <v>0</v>
      </c>
      <c r="K1351" s="507">
        <f>SUMIFS(Controle!$R:$R,Controle!$H:$H,produtos_escape2!$A1351,Controle!$Z:$Z,"6")</f>
        <v>0</v>
      </c>
      <c r="L1351" s="507">
        <f t="shared" si="45"/>
        <v>0</v>
      </c>
      <c r="M1351" s="381" t="s">
        <v>5262</v>
      </c>
      <c r="AF1351" s="84"/>
    </row>
    <row r="1352" spans="1:32" s="185" customFormat="1" ht="14.25" customHeight="1" thickBot="1">
      <c r="A1352" s="353">
        <v>32783</v>
      </c>
      <c r="B1352" s="194" t="s">
        <v>10526</v>
      </c>
      <c r="C1352" s="339">
        <f t="shared" ref="C1352" si="47">50000-SUM(F1352:K1352)</f>
        <v>50000</v>
      </c>
      <c r="D1352" s="191" t="s">
        <v>624</v>
      </c>
      <c r="E1352" s="189" t="s">
        <v>7207</v>
      </c>
      <c r="F1352" s="507">
        <f>SUMIFS(Controle!$R:$R,Controle!$H:$H,produtos_escape2!$A1352,Controle!$Z:$Z,"1")</f>
        <v>0</v>
      </c>
      <c r="G1352" s="507">
        <f>SUMIFS(Controle!$R:$R,Controle!$H:$H,produtos_escape2!$A1352,Controle!$Z:$Z,"2")</f>
        <v>0</v>
      </c>
      <c r="H1352" s="507">
        <f>SUMIFS(Controle!$R:$R,Controle!$H:$H,produtos_escape2!$A1352,Controle!$Z:$Z,"3")</f>
        <v>0</v>
      </c>
      <c r="I1352" s="507">
        <f>SUMIFS(Controle!$R:$R,Controle!$H:$H,produtos_escape2!$A1352,Controle!$Z:$Z,"4")</f>
        <v>0</v>
      </c>
      <c r="J1352" s="507">
        <f>SUMIFS(Controle!$R:$R,Controle!$H:$H,produtos_escape2!$A1352,Controle!$Z:$Z,"5")</f>
        <v>0</v>
      </c>
      <c r="K1352" s="507">
        <f>SUMIFS(Controle!$R:$R,Controle!$H:$H,produtos_escape2!$A1352,Controle!$Z:$Z,"6")</f>
        <v>0</v>
      </c>
      <c r="L1352" s="507">
        <f t="shared" si="45"/>
        <v>0</v>
      </c>
      <c r="M1352" s="666" t="s">
        <v>10525</v>
      </c>
      <c r="AF1352" s="84"/>
    </row>
    <row r="1353" spans="1:32" s="185" customFormat="1" ht="14.25" customHeight="1" thickBot="1">
      <c r="A1353" s="353">
        <v>32784</v>
      </c>
      <c r="B1353" s="194" t="s">
        <v>1827</v>
      </c>
      <c r="C1353" s="339">
        <f t="shared" si="46"/>
        <v>50000</v>
      </c>
      <c r="D1353" s="191" t="s">
        <v>639</v>
      </c>
      <c r="E1353" s="189" t="s">
        <v>3608</v>
      </c>
      <c r="F1353" s="507">
        <f>SUMIFS(Controle!$R:$R,Controle!$H:$H,produtos_escape2!$A1353,Controle!$Z:$Z,"1")</f>
        <v>0</v>
      </c>
      <c r="G1353" s="507">
        <f>SUMIFS(Controle!$R:$R,Controle!$H:$H,produtos_escape2!$A1353,Controle!$Z:$Z,"2")</f>
        <v>0</v>
      </c>
      <c r="H1353" s="507">
        <f>SUMIFS(Controle!$R:$R,Controle!$H:$H,produtos_escape2!$A1353,Controle!$Z:$Z,"3")</f>
        <v>0</v>
      </c>
      <c r="I1353" s="507">
        <f>SUMIFS(Controle!$R:$R,Controle!$H:$H,produtos_escape2!$A1353,Controle!$Z:$Z,"4")</f>
        <v>0</v>
      </c>
      <c r="J1353" s="507">
        <f>SUMIFS(Controle!$R:$R,Controle!$H:$H,produtos_escape2!$A1353,Controle!$Z:$Z,"5")</f>
        <v>0</v>
      </c>
      <c r="K1353" s="507">
        <f>SUMIFS(Controle!$R:$R,Controle!$H:$H,produtos_escape2!$A1353,Controle!$Z:$Z,"6")</f>
        <v>0</v>
      </c>
      <c r="L1353" s="507">
        <f t="shared" si="45"/>
        <v>0</v>
      </c>
      <c r="M1353" s="381" t="s">
        <v>5263</v>
      </c>
      <c r="AF1353" s="84"/>
    </row>
    <row r="1354" spans="1:32" s="185" customFormat="1" ht="14.25" customHeight="1" thickBot="1">
      <c r="A1354" s="353">
        <v>32837</v>
      </c>
      <c r="B1354" s="194" t="s">
        <v>7172</v>
      </c>
      <c r="C1354" s="339">
        <f t="shared" si="46"/>
        <v>49530</v>
      </c>
      <c r="D1354" s="196" t="s">
        <v>624</v>
      </c>
      <c r="E1354" s="187" t="s">
        <v>7207</v>
      </c>
      <c r="F1354" s="507">
        <f>SUMIFS(Controle!$R:$R,Controle!$H:$H,produtos_escape2!$A1354,Controle!$Z:$Z,"1")</f>
        <v>0</v>
      </c>
      <c r="G1354" s="507">
        <f>SUMIFS(Controle!$R:$R,Controle!$H:$H,produtos_escape2!$A1354,Controle!$Z:$Z,"2")</f>
        <v>470</v>
      </c>
      <c r="H1354" s="507">
        <f>SUMIFS(Controle!$R:$R,Controle!$H:$H,produtos_escape2!$A1354,Controle!$Z:$Z,"3")</f>
        <v>0</v>
      </c>
      <c r="I1354" s="507">
        <f>SUMIFS(Controle!$R:$R,Controle!$H:$H,produtos_escape2!$A1354,Controle!$Z:$Z,"4")</f>
        <v>0</v>
      </c>
      <c r="J1354" s="507">
        <f>SUMIFS(Controle!$R:$R,Controle!$H:$H,produtos_escape2!$A1354,Controle!$Z:$Z,"5")</f>
        <v>0</v>
      </c>
      <c r="K1354" s="507">
        <f>SUMIFS(Controle!$R:$R,Controle!$H:$H,produtos_escape2!$A1354,Controle!$Z:$Z,"6")</f>
        <v>0</v>
      </c>
      <c r="L1354" s="507">
        <f t="shared" si="45"/>
        <v>470</v>
      </c>
      <c r="M1354" s="381" t="s">
        <v>7171</v>
      </c>
      <c r="AF1354" s="84"/>
    </row>
    <row r="1355" spans="1:32" s="185" customFormat="1" ht="14.25" customHeight="1" thickBot="1">
      <c r="A1355" s="353">
        <v>32878</v>
      </c>
      <c r="B1355" s="194" t="s">
        <v>1476</v>
      </c>
      <c r="C1355" s="339">
        <f t="shared" si="46"/>
        <v>50000</v>
      </c>
      <c r="D1355" s="196" t="s">
        <v>628</v>
      </c>
      <c r="E1355" s="187" t="s">
        <v>7207</v>
      </c>
      <c r="F1355" s="507">
        <f>SUMIFS(Controle!$R:$R,Controle!$H:$H,produtos_escape2!$A1355,Controle!$Z:$Z,"1")</f>
        <v>0</v>
      </c>
      <c r="G1355" s="507">
        <f>SUMIFS(Controle!$R:$R,Controle!$H:$H,produtos_escape2!$A1355,Controle!$Z:$Z,"2")</f>
        <v>0</v>
      </c>
      <c r="H1355" s="507">
        <f>SUMIFS(Controle!$R:$R,Controle!$H:$H,produtos_escape2!$A1355,Controle!$Z:$Z,"3")</f>
        <v>0</v>
      </c>
      <c r="I1355" s="507">
        <f>SUMIFS(Controle!$R:$R,Controle!$H:$H,produtos_escape2!$A1355,Controle!$Z:$Z,"4")</f>
        <v>0</v>
      </c>
      <c r="J1355" s="507">
        <f>SUMIFS(Controle!$R:$R,Controle!$H:$H,produtos_escape2!$A1355,Controle!$Z:$Z,"5")</f>
        <v>0</v>
      </c>
      <c r="K1355" s="507">
        <f>SUMIFS(Controle!$R:$R,Controle!$H:$H,produtos_escape2!$A1355,Controle!$Z:$Z,"6")</f>
        <v>0</v>
      </c>
      <c r="L1355" s="507">
        <f t="shared" si="45"/>
        <v>0</v>
      </c>
      <c r="M1355" s="381" t="s">
        <v>5264</v>
      </c>
      <c r="AF1355" s="84"/>
    </row>
    <row r="1356" spans="1:32" s="185" customFormat="1" ht="14.25" customHeight="1" thickBot="1">
      <c r="A1356" s="353">
        <v>32929</v>
      </c>
      <c r="B1356" s="194" t="s">
        <v>814</v>
      </c>
      <c r="C1356" s="339">
        <f t="shared" si="46"/>
        <v>50000</v>
      </c>
      <c r="D1356" s="196" t="s">
        <v>1091</v>
      </c>
      <c r="E1356" s="187" t="s">
        <v>3608</v>
      </c>
      <c r="F1356" s="507">
        <f>SUMIFS(Controle!$R:$R,Controle!$H:$H,produtos_escape2!$A1356,Controle!$Z:$Z,"1")</f>
        <v>0</v>
      </c>
      <c r="G1356" s="507">
        <f>SUMIFS(Controle!$R:$R,Controle!$H:$H,produtos_escape2!$A1356,Controle!$Z:$Z,"2")</f>
        <v>0</v>
      </c>
      <c r="H1356" s="507">
        <f>SUMIFS(Controle!$R:$R,Controle!$H:$H,produtos_escape2!$A1356,Controle!$Z:$Z,"3")</f>
        <v>0</v>
      </c>
      <c r="I1356" s="507">
        <f>SUMIFS(Controle!$R:$R,Controle!$H:$H,produtos_escape2!$A1356,Controle!$Z:$Z,"4")</f>
        <v>0</v>
      </c>
      <c r="J1356" s="507">
        <f>SUMIFS(Controle!$R:$R,Controle!$H:$H,produtos_escape2!$A1356,Controle!$Z:$Z,"5")</f>
        <v>0</v>
      </c>
      <c r="K1356" s="507">
        <f>SUMIFS(Controle!$R:$R,Controle!$H:$H,produtos_escape2!$A1356,Controle!$Z:$Z,"6")</f>
        <v>0</v>
      </c>
      <c r="L1356" s="507">
        <f t="shared" si="45"/>
        <v>0</v>
      </c>
      <c r="M1356" s="381" t="s">
        <v>814</v>
      </c>
      <c r="AF1356" s="84"/>
    </row>
    <row r="1357" spans="1:32" s="185" customFormat="1" ht="14.25" customHeight="1" thickBot="1">
      <c r="A1357" s="353">
        <v>33088</v>
      </c>
      <c r="B1357" s="194" t="s">
        <v>1548</v>
      </c>
      <c r="C1357" s="339">
        <f t="shared" si="46"/>
        <v>50000</v>
      </c>
      <c r="D1357" s="196" t="s">
        <v>624</v>
      </c>
      <c r="E1357" s="187" t="s">
        <v>7207</v>
      </c>
      <c r="F1357" s="507">
        <f>SUMIFS(Controle!$R:$R,Controle!$H:$H,produtos_escape2!$A1357,Controle!$Z:$Z,"1")</f>
        <v>0</v>
      </c>
      <c r="G1357" s="507">
        <f>SUMIFS(Controle!$R:$R,Controle!$H:$H,produtos_escape2!$A1357,Controle!$Z:$Z,"2")</f>
        <v>0</v>
      </c>
      <c r="H1357" s="507">
        <f>SUMIFS(Controle!$R:$R,Controle!$H:$H,produtos_escape2!$A1357,Controle!$Z:$Z,"3")</f>
        <v>0</v>
      </c>
      <c r="I1357" s="507">
        <f>SUMIFS(Controle!$R:$R,Controle!$H:$H,produtos_escape2!$A1357,Controle!$Z:$Z,"4")</f>
        <v>0</v>
      </c>
      <c r="J1357" s="507">
        <f>SUMIFS(Controle!$R:$R,Controle!$H:$H,produtos_escape2!$A1357,Controle!$Z:$Z,"5")</f>
        <v>0</v>
      </c>
      <c r="K1357" s="507">
        <f>SUMIFS(Controle!$R:$R,Controle!$H:$H,produtos_escape2!$A1357,Controle!$Z:$Z,"6")</f>
        <v>0</v>
      </c>
      <c r="L1357" s="507">
        <f t="shared" si="45"/>
        <v>0</v>
      </c>
      <c r="M1357" s="381" t="s">
        <v>5265</v>
      </c>
      <c r="AF1357" s="84"/>
    </row>
    <row r="1358" spans="1:32" s="185" customFormat="1" ht="14.25" customHeight="1" thickBot="1">
      <c r="A1358" s="353">
        <v>33089</v>
      </c>
      <c r="B1358" s="194" t="s">
        <v>1549</v>
      </c>
      <c r="C1358" s="339">
        <f t="shared" si="46"/>
        <v>50000</v>
      </c>
      <c r="D1358" s="196" t="s">
        <v>624</v>
      </c>
      <c r="E1358" s="187" t="s">
        <v>7207</v>
      </c>
      <c r="F1358" s="507">
        <f>SUMIFS(Controle!$R:$R,Controle!$H:$H,produtos_escape2!$A1358,Controle!$Z:$Z,"1")</f>
        <v>0</v>
      </c>
      <c r="G1358" s="507">
        <f>SUMIFS(Controle!$R:$R,Controle!$H:$H,produtos_escape2!$A1358,Controle!$Z:$Z,"2")</f>
        <v>0</v>
      </c>
      <c r="H1358" s="507">
        <f>SUMIFS(Controle!$R:$R,Controle!$H:$H,produtos_escape2!$A1358,Controle!$Z:$Z,"3")</f>
        <v>0</v>
      </c>
      <c r="I1358" s="507">
        <f>SUMIFS(Controle!$R:$R,Controle!$H:$H,produtos_escape2!$A1358,Controle!$Z:$Z,"4")</f>
        <v>0</v>
      </c>
      <c r="J1358" s="507">
        <f>SUMIFS(Controle!$R:$R,Controle!$H:$H,produtos_escape2!$A1358,Controle!$Z:$Z,"5")</f>
        <v>0</v>
      </c>
      <c r="K1358" s="507">
        <f>SUMIFS(Controle!$R:$R,Controle!$H:$H,produtos_escape2!$A1358,Controle!$Z:$Z,"6")</f>
        <v>0</v>
      </c>
      <c r="L1358" s="507">
        <f t="shared" si="45"/>
        <v>0</v>
      </c>
      <c r="M1358" s="381" t="s">
        <v>5266</v>
      </c>
      <c r="AF1358" s="84"/>
    </row>
    <row r="1359" spans="1:32" s="185" customFormat="1" ht="14.25" customHeight="1" thickBot="1">
      <c r="A1359" s="333">
        <v>33090</v>
      </c>
      <c r="B1359" s="338" t="s">
        <v>1550</v>
      </c>
      <c r="C1359" s="339">
        <f t="shared" si="46"/>
        <v>50000</v>
      </c>
      <c r="D1359" s="196" t="s">
        <v>624</v>
      </c>
      <c r="E1359" s="187" t="s">
        <v>7207</v>
      </c>
      <c r="F1359" s="507">
        <f>SUMIFS(Controle!$R:$R,Controle!$H:$H,produtos_escape2!$A1359,Controle!$Z:$Z,"1")</f>
        <v>0</v>
      </c>
      <c r="G1359" s="507">
        <f>SUMIFS(Controle!$R:$R,Controle!$H:$H,produtos_escape2!$A1359,Controle!$Z:$Z,"2")</f>
        <v>0</v>
      </c>
      <c r="H1359" s="507">
        <f>SUMIFS(Controle!$R:$R,Controle!$H:$H,produtos_escape2!$A1359,Controle!$Z:$Z,"3")</f>
        <v>0</v>
      </c>
      <c r="I1359" s="507">
        <f>SUMIFS(Controle!$R:$R,Controle!$H:$H,produtos_escape2!$A1359,Controle!$Z:$Z,"4")</f>
        <v>0</v>
      </c>
      <c r="J1359" s="507">
        <f>SUMIFS(Controle!$R:$R,Controle!$H:$H,produtos_escape2!$A1359,Controle!$Z:$Z,"5")</f>
        <v>0</v>
      </c>
      <c r="K1359" s="507">
        <f>SUMIFS(Controle!$R:$R,Controle!$H:$H,produtos_escape2!$A1359,Controle!$Z:$Z,"6")</f>
        <v>0</v>
      </c>
      <c r="L1359" s="507">
        <f t="shared" si="45"/>
        <v>0</v>
      </c>
      <c r="M1359" s="381" t="s">
        <v>5267</v>
      </c>
      <c r="AF1359" s="84"/>
    </row>
    <row r="1360" spans="1:32" s="185" customFormat="1" ht="14.25" customHeight="1" thickBot="1">
      <c r="A1360" s="353">
        <v>33091</v>
      </c>
      <c r="B1360" s="194" t="s">
        <v>1551</v>
      </c>
      <c r="C1360" s="339">
        <f t="shared" si="46"/>
        <v>50000</v>
      </c>
      <c r="D1360" s="196" t="s">
        <v>624</v>
      </c>
      <c r="E1360" s="187" t="s">
        <v>7207</v>
      </c>
      <c r="F1360" s="507">
        <f>SUMIFS(Controle!$R:$R,Controle!$H:$H,produtos_escape2!$A1360,Controle!$Z:$Z,"1")</f>
        <v>0</v>
      </c>
      <c r="G1360" s="507">
        <f>SUMIFS(Controle!$R:$R,Controle!$H:$H,produtos_escape2!$A1360,Controle!$Z:$Z,"2")</f>
        <v>0</v>
      </c>
      <c r="H1360" s="507">
        <f>SUMIFS(Controle!$R:$R,Controle!$H:$H,produtos_escape2!$A1360,Controle!$Z:$Z,"3")</f>
        <v>0</v>
      </c>
      <c r="I1360" s="507">
        <f>SUMIFS(Controle!$R:$R,Controle!$H:$H,produtos_escape2!$A1360,Controle!$Z:$Z,"4")</f>
        <v>0</v>
      </c>
      <c r="J1360" s="507">
        <f>SUMIFS(Controle!$R:$R,Controle!$H:$H,produtos_escape2!$A1360,Controle!$Z:$Z,"5")</f>
        <v>0</v>
      </c>
      <c r="K1360" s="507">
        <f>SUMIFS(Controle!$R:$R,Controle!$H:$H,produtos_escape2!$A1360,Controle!$Z:$Z,"6")</f>
        <v>0</v>
      </c>
      <c r="L1360" s="507">
        <f t="shared" si="45"/>
        <v>0</v>
      </c>
      <c r="M1360" s="381" t="s">
        <v>5268</v>
      </c>
      <c r="AF1360" s="84"/>
    </row>
    <row r="1361" spans="1:32" s="185" customFormat="1" ht="14.25" customHeight="1" thickBot="1">
      <c r="A1361" s="353">
        <v>33092</v>
      </c>
      <c r="B1361" s="194" t="s">
        <v>1552</v>
      </c>
      <c r="C1361" s="339">
        <f t="shared" si="46"/>
        <v>50000</v>
      </c>
      <c r="D1361" s="196" t="s">
        <v>624</v>
      </c>
      <c r="E1361" s="187" t="s">
        <v>7207</v>
      </c>
      <c r="F1361" s="507">
        <f>SUMIFS(Controle!$R:$R,Controle!$H:$H,produtos_escape2!$A1361,Controle!$Z:$Z,"1")</f>
        <v>0</v>
      </c>
      <c r="G1361" s="507">
        <f>SUMIFS(Controle!$R:$R,Controle!$H:$H,produtos_escape2!$A1361,Controle!$Z:$Z,"2")</f>
        <v>0</v>
      </c>
      <c r="H1361" s="507">
        <f>SUMIFS(Controle!$R:$R,Controle!$H:$H,produtos_escape2!$A1361,Controle!$Z:$Z,"3")</f>
        <v>0</v>
      </c>
      <c r="I1361" s="507">
        <f>SUMIFS(Controle!$R:$R,Controle!$H:$H,produtos_escape2!$A1361,Controle!$Z:$Z,"4")</f>
        <v>0</v>
      </c>
      <c r="J1361" s="507">
        <f>SUMIFS(Controle!$R:$R,Controle!$H:$H,produtos_escape2!$A1361,Controle!$Z:$Z,"5")</f>
        <v>0</v>
      </c>
      <c r="K1361" s="507">
        <f>SUMIFS(Controle!$R:$R,Controle!$H:$H,produtos_escape2!$A1361,Controle!$Z:$Z,"6")</f>
        <v>0</v>
      </c>
      <c r="L1361" s="507">
        <f t="shared" si="45"/>
        <v>0</v>
      </c>
      <c r="M1361" s="381" t="s">
        <v>5269</v>
      </c>
      <c r="AF1361" s="84"/>
    </row>
    <row r="1362" spans="1:32" s="185" customFormat="1" ht="14.25" customHeight="1" thickBot="1">
      <c r="A1362" s="353">
        <v>33093</v>
      </c>
      <c r="B1362" s="194" t="s">
        <v>1553</v>
      </c>
      <c r="C1362" s="339">
        <f t="shared" si="46"/>
        <v>50000</v>
      </c>
      <c r="D1362" s="196" t="s">
        <v>624</v>
      </c>
      <c r="E1362" s="187" t="s">
        <v>7207</v>
      </c>
      <c r="F1362" s="507">
        <f>SUMIFS(Controle!$R:$R,Controle!$H:$H,produtos_escape2!$A1362,Controle!$Z:$Z,"1")</f>
        <v>0</v>
      </c>
      <c r="G1362" s="507">
        <f>SUMIFS(Controle!$R:$R,Controle!$H:$H,produtos_escape2!$A1362,Controle!$Z:$Z,"2")</f>
        <v>0</v>
      </c>
      <c r="H1362" s="507">
        <f>SUMIFS(Controle!$R:$R,Controle!$H:$H,produtos_escape2!$A1362,Controle!$Z:$Z,"3")</f>
        <v>0</v>
      </c>
      <c r="I1362" s="507">
        <f>SUMIFS(Controle!$R:$R,Controle!$H:$H,produtos_escape2!$A1362,Controle!$Z:$Z,"4")</f>
        <v>0</v>
      </c>
      <c r="J1362" s="507">
        <f>SUMIFS(Controle!$R:$R,Controle!$H:$H,produtos_escape2!$A1362,Controle!$Z:$Z,"5")</f>
        <v>0</v>
      </c>
      <c r="K1362" s="507">
        <f>SUMIFS(Controle!$R:$R,Controle!$H:$H,produtos_escape2!$A1362,Controle!$Z:$Z,"6")</f>
        <v>0</v>
      </c>
      <c r="L1362" s="507">
        <f t="shared" si="45"/>
        <v>0</v>
      </c>
      <c r="M1362" s="381" t="s">
        <v>5269</v>
      </c>
      <c r="AF1362" s="84"/>
    </row>
    <row r="1363" spans="1:32" s="185" customFormat="1" ht="14.25" customHeight="1" thickBot="1">
      <c r="A1363" s="353">
        <v>33094</v>
      </c>
      <c r="B1363" s="194" t="s">
        <v>1554</v>
      </c>
      <c r="C1363" s="339">
        <f t="shared" si="46"/>
        <v>28833.919999999998</v>
      </c>
      <c r="D1363" s="196" t="s">
        <v>624</v>
      </c>
      <c r="E1363" s="187" t="s">
        <v>7207</v>
      </c>
      <c r="F1363" s="507">
        <f>SUMIFS(Controle!$R:$R,Controle!$H:$H,produtos_escape2!$A1363,Controle!$Z:$Z,"1")</f>
        <v>0</v>
      </c>
      <c r="G1363" s="507">
        <f>SUMIFS(Controle!$R:$R,Controle!$H:$H,produtos_escape2!$A1363,Controle!$Z:$Z,"2")</f>
        <v>0</v>
      </c>
      <c r="H1363" s="507">
        <f>SUMIFS(Controle!$R:$R,Controle!$H:$H,produtos_escape2!$A1363,Controle!$Z:$Z,"3")</f>
        <v>0</v>
      </c>
      <c r="I1363" s="507">
        <f>SUMIFS(Controle!$R:$R,Controle!$H:$H,produtos_escape2!$A1363,Controle!$Z:$Z,"4")</f>
        <v>0</v>
      </c>
      <c r="J1363" s="507">
        <f>SUMIFS(Controle!$R:$R,Controle!$H:$H,produtos_escape2!$A1363,Controle!$Z:$Z,"5")</f>
        <v>0</v>
      </c>
      <c r="K1363" s="507">
        <f>SUMIFS(Controle!$R:$R,Controle!$H:$H,produtos_escape2!$A1363,Controle!$Z:$Z,"6")</f>
        <v>21166.080000000002</v>
      </c>
      <c r="L1363" s="507">
        <f t="shared" si="45"/>
        <v>21166.080000000002</v>
      </c>
      <c r="M1363" s="381" t="s">
        <v>5270</v>
      </c>
      <c r="AF1363" s="84"/>
    </row>
    <row r="1364" spans="1:32" s="185" customFormat="1" ht="14.25" customHeight="1" thickBot="1">
      <c r="A1364" s="353">
        <v>33095</v>
      </c>
      <c r="B1364" s="194" t="s">
        <v>1555</v>
      </c>
      <c r="C1364" s="339">
        <f t="shared" si="46"/>
        <v>25499.439999999995</v>
      </c>
      <c r="D1364" s="196" t="s">
        <v>624</v>
      </c>
      <c r="E1364" s="187" t="s">
        <v>7207</v>
      </c>
      <c r="F1364" s="507">
        <f>SUMIFS(Controle!$R:$R,Controle!$H:$H,produtos_escape2!$A1364,Controle!$Z:$Z,"1")</f>
        <v>0</v>
      </c>
      <c r="G1364" s="507">
        <f>SUMIFS(Controle!$R:$R,Controle!$H:$H,produtos_escape2!$A1364,Controle!$Z:$Z,"2")</f>
        <v>0</v>
      </c>
      <c r="H1364" s="507">
        <f>SUMIFS(Controle!$R:$R,Controle!$H:$H,produtos_escape2!$A1364,Controle!$Z:$Z,"3")</f>
        <v>0</v>
      </c>
      <c r="I1364" s="507">
        <f>SUMIFS(Controle!$R:$R,Controle!$H:$H,produtos_escape2!$A1364,Controle!$Z:$Z,"4")</f>
        <v>0</v>
      </c>
      <c r="J1364" s="507">
        <f>SUMIFS(Controle!$R:$R,Controle!$H:$H,produtos_escape2!$A1364,Controle!$Z:$Z,"5")</f>
        <v>2136.4</v>
      </c>
      <c r="K1364" s="507">
        <f>SUMIFS(Controle!$R:$R,Controle!$H:$H,produtos_escape2!$A1364,Controle!$Z:$Z,"6")</f>
        <v>22364.160000000003</v>
      </c>
      <c r="L1364" s="507">
        <f t="shared" si="45"/>
        <v>24500.560000000005</v>
      </c>
      <c r="M1364" s="381" t="s">
        <v>5271</v>
      </c>
      <c r="AF1364" s="84"/>
    </row>
    <row r="1365" spans="1:32" s="185" customFormat="1" ht="14.25" customHeight="1" thickBot="1">
      <c r="A1365" s="353">
        <v>33124</v>
      </c>
      <c r="B1365" s="194" t="s">
        <v>4235</v>
      </c>
      <c r="C1365" s="339">
        <f t="shared" si="46"/>
        <v>50000</v>
      </c>
      <c r="D1365" s="196" t="s">
        <v>624</v>
      </c>
      <c r="E1365" s="189" t="s">
        <v>7207</v>
      </c>
      <c r="F1365" s="507">
        <f>SUMIFS(Controle!$R:$R,Controle!$H:$H,produtos_escape2!$A1365,Controle!$Z:$Z,"1")</f>
        <v>0</v>
      </c>
      <c r="G1365" s="507">
        <f>SUMIFS(Controle!$R:$R,Controle!$H:$H,produtos_escape2!$A1365,Controle!$Z:$Z,"2")</f>
        <v>0</v>
      </c>
      <c r="H1365" s="507">
        <f>SUMIFS(Controle!$R:$R,Controle!$H:$H,produtos_escape2!$A1365,Controle!$Z:$Z,"3")</f>
        <v>0</v>
      </c>
      <c r="I1365" s="507">
        <f>SUMIFS(Controle!$R:$R,Controle!$H:$H,produtos_escape2!$A1365,Controle!$Z:$Z,"4")</f>
        <v>0</v>
      </c>
      <c r="J1365" s="507">
        <f>SUMIFS(Controle!$R:$R,Controle!$H:$H,produtos_escape2!$A1365,Controle!$Z:$Z,"5")</f>
        <v>0</v>
      </c>
      <c r="K1365" s="507">
        <f>SUMIFS(Controle!$R:$R,Controle!$H:$H,produtos_escape2!$A1365,Controle!$Z:$Z,"6")</f>
        <v>0</v>
      </c>
      <c r="L1365" s="507">
        <f t="shared" si="45"/>
        <v>0</v>
      </c>
      <c r="M1365" s="381" t="s">
        <v>5272</v>
      </c>
      <c r="AF1365" s="84"/>
    </row>
    <row r="1366" spans="1:32" s="185" customFormat="1" ht="14.25" customHeight="1" thickBot="1">
      <c r="A1366" s="353">
        <v>33125</v>
      </c>
      <c r="B1366" s="194" t="s">
        <v>4234</v>
      </c>
      <c r="C1366" s="339">
        <f t="shared" si="46"/>
        <v>50000</v>
      </c>
      <c r="D1366" s="196" t="s">
        <v>624</v>
      </c>
      <c r="E1366" s="189" t="s">
        <v>7207</v>
      </c>
      <c r="F1366" s="507">
        <f>SUMIFS(Controle!$R:$R,Controle!$H:$H,produtos_escape2!$A1366,Controle!$Z:$Z,"1")</f>
        <v>0</v>
      </c>
      <c r="G1366" s="507">
        <f>SUMIFS(Controle!$R:$R,Controle!$H:$H,produtos_escape2!$A1366,Controle!$Z:$Z,"2")</f>
        <v>0</v>
      </c>
      <c r="H1366" s="507">
        <f>SUMIFS(Controle!$R:$R,Controle!$H:$H,produtos_escape2!$A1366,Controle!$Z:$Z,"3")</f>
        <v>0</v>
      </c>
      <c r="I1366" s="507">
        <f>SUMIFS(Controle!$R:$R,Controle!$H:$H,produtos_escape2!$A1366,Controle!$Z:$Z,"4")</f>
        <v>0</v>
      </c>
      <c r="J1366" s="507">
        <f>SUMIFS(Controle!$R:$R,Controle!$H:$H,produtos_escape2!$A1366,Controle!$Z:$Z,"5")</f>
        <v>0</v>
      </c>
      <c r="K1366" s="507">
        <f>SUMIFS(Controle!$R:$R,Controle!$H:$H,produtos_escape2!$A1366,Controle!$Z:$Z,"6")</f>
        <v>0</v>
      </c>
      <c r="L1366" s="507">
        <f t="shared" si="45"/>
        <v>0</v>
      </c>
      <c r="M1366" s="381" t="s">
        <v>5272</v>
      </c>
      <c r="AF1366" s="84"/>
    </row>
    <row r="1367" spans="1:32" s="185" customFormat="1" ht="14.25" customHeight="1" thickBot="1">
      <c r="A1367" s="333">
        <v>33169</v>
      </c>
      <c r="B1367" s="338" t="s">
        <v>1363</v>
      </c>
      <c r="C1367" s="339">
        <f t="shared" si="46"/>
        <v>50000</v>
      </c>
      <c r="D1367" s="196" t="s">
        <v>624</v>
      </c>
      <c r="E1367" s="187" t="s">
        <v>7207</v>
      </c>
      <c r="F1367" s="507">
        <f>SUMIFS(Controle!$R:$R,Controle!$H:$H,produtos_escape2!$A1367,Controle!$Z:$Z,"1")</f>
        <v>0</v>
      </c>
      <c r="G1367" s="507">
        <f>SUMIFS(Controle!$R:$R,Controle!$H:$H,produtos_escape2!$A1367,Controle!$Z:$Z,"2")</f>
        <v>0</v>
      </c>
      <c r="H1367" s="507">
        <f>SUMIFS(Controle!$R:$R,Controle!$H:$H,produtos_escape2!$A1367,Controle!$Z:$Z,"3")</f>
        <v>0</v>
      </c>
      <c r="I1367" s="507">
        <f>SUMIFS(Controle!$R:$R,Controle!$H:$H,produtos_escape2!$A1367,Controle!$Z:$Z,"4")</f>
        <v>0</v>
      </c>
      <c r="J1367" s="507">
        <f>SUMIFS(Controle!$R:$R,Controle!$H:$H,produtos_escape2!$A1367,Controle!$Z:$Z,"5")</f>
        <v>0</v>
      </c>
      <c r="K1367" s="507">
        <f>SUMIFS(Controle!$R:$R,Controle!$H:$H,produtos_escape2!$A1367,Controle!$Z:$Z,"6")</f>
        <v>0</v>
      </c>
      <c r="L1367" s="507">
        <f t="shared" si="45"/>
        <v>0</v>
      </c>
      <c r="M1367" s="381" t="s">
        <v>5273</v>
      </c>
      <c r="AF1367" s="84"/>
    </row>
    <row r="1368" spans="1:32" s="185" customFormat="1" ht="14.25" customHeight="1" thickBot="1">
      <c r="A1368" s="353">
        <v>33196</v>
      </c>
      <c r="B1368" s="194" t="s">
        <v>3994</v>
      </c>
      <c r="C1368" s="339">
        <f t="shared" si="46"/>
        <v>50000</v>
      </c>
      <c r="D1368" s="196" t="s">
        <v>624</v>
      </c>
      <c r="E1368" s="187" t="s">
        <v>3608</v>
      </c>
      <c r="F1368" s="507">
        <f>SUMIFS(Controle!$R:$R,Controle!$H:$H,produtos_escape2!$A1368,Controle!$Z:$Z,"1")</f>
        <v>0</v>
      </c>
      <c r="G1368" s="507">
        <f>SUMIFS(Controle!$R:$R,Controle!$H:$H,produtos_escape2!$A1368,Controle!$Z:$Z,"2")</f>
        <v>0</v>
      </c>
      <c r="H1368" s="507">
        <f>SUMIFS(Controle!$R:$R,Controle!$H:$H,produtos_escape2!$A1368,Controle!$Z:$Z,"3")</f>
        <v>0</v>
      </c>
      <c r="I1368" s="507">
        <f>SUMIFS(Controle!$R:$R,Controle!$H:$H,produtos_escape2!$A1368,Controle!$Z:$Z,"4")</f>
        <v>0</v>
      </c>
      <c r="J1368" s="507">
        <f>SUMIFS(Controle!$R:$R,Controle!$H:$H,produtos_escape2!$A1368,Controle!$Z:$Z,"5")</f>
        <v>0</v>
      </c>
      <c r="K1368" s="507">
        <f>SUMIFS(Controle!$R:$R,Controle!$H:$H,produtos_escape2!$A1368,Controle!$Z:$Z,"6")</f>
        <v>0</v>
      </c>
      <c r="L1368" s="507">
        <f t="shared" si="45"/>
        <v>0</v>
      </c>
      <c r="M1368" s="381" t="s">
        <v>5274</v>
      </c>
      <c r="AF1368" s="84"/>
    </row>
    <row r="1369" spans="1:32" s="185" customFormat="1" ht="14.25" customHeight="1" thickBot="1">
      <c r="A1369" s="353">
        <v>33197</v>
      </c>
      <c r="B1369" s="194" t="s">
        <v>3995</v>
      </c>
      <c r="C1369" s="339">
        <f t="shared" si="46"/>
        <v>50000</v>
      </c>
      <c r="D1369" s="196" t="s">
        <v>624</v>
      </c>
      <c r="E1369" s="187" t="s">
        <v>3608</v>
      </c>
      <c r="F1369" s="507">
        <f>SUMIFS(Controle!$R:$R,Controle!$H:$H,produtos_escape2!$A1369,Controle!$Z:$Z,"1")</f>
        <v>0</v>
      </c>
      <c r="G1369" s="507">
        <f>SUMIFS(Controle!$R:$R,Controle!$H:$H,produtos_escape2!$A1369,Controle!$Z:$Z,"2")</f>
        <v>0</v>
      </c>
      <c r="H1369" s="507">
        <f>SUMIFS(Controle!$R:$R,Controle!$H:$H,produtos_escape2!$A1369,Controle!$Z:$Z,"3")</f>
        <v>0</v>
      </c>
      <c r="I1369" s="507">
        <f>SUMIFS(Controle!$R:$R,Controle!$H:$H,produtos_escape2!$A1369,Controle!$Z:$Z,"4")</f>
        <v>0</v>
      </c>
      <c r="J1369" s="507">
        <f>SUMIFS(Controle!$R:$R,Controle!$H:$H,produtos_escape2!$A1369,Controle!$Z:$Z,"5")</f>
        <v>0</v>
      </c>
      <c r="K1369" s="507">
        <f>SUMIFS(Controle!$R:$R,Controle!$H:$H,produtos_escape2!$A1369,Controle!$Z:$Z,"6")</f>
        <v>0</v>
      </c>
      <c r="L1369" s="507">
        <f t="shared" si="45"/>
        <v>0</v>
      </c>
      <c r="M1369" s="381" t="s">
        <v>5275</v>
      </c>
      <c r="AF1369" s="84"/>
    </row>
    <row r="1370" spans="1:32" s="185" customFormat="1" ht="14.25" customHeight="1" thickBot="1">
      <c r="A1370" s="353">
        <v>33227</v>
      </c>
      <c r="B1370" s="194" t="s">
        <v>1497</v>
      </c>
      <c r="C1370" s="339">
        <f t="shared" si="46"/>
        <v>45551.6</v>
      </c>
      <c r="D1370" s="196" t="s">
        <v>547</v>
      </c>
      <c r="E1370" s="187" t="s">
        <v>3608</v>
      </c>
      <c r="F1370" s="507">
        <f>SUMIFS(Controle!$R:$R,Controle!$H:$H,produtos_escape2!$A1370,Controle!$Z:$Z,"1")</f>
        <v>0</v>
      </c>
      <c r="G1370" s="507">
        <f>SUMIFS(Controle!$R:$R,Controle!$H:$H,produtos_escape2!$A1370,Controle!$Z:$Z,"2")</f>
        <v>0</v>
      </c>
      <c r="H1370" s="507">
        <f>SUMIFS(Controle!$R:$R,Controle!$H:$H,produtos_escape2!$A1370,Controle!$Z:$Z,"3")</f>
        <v>0</v>
      </c>
      <c r="I1370" s="507">
        <f>SUMIFS(Controle!$R:$R,Controle!$H:$H,produtos_escape2!$A1370,Controle!$Z:$Z,"4")</f>
        <v>0</v>
      </c>
      <c r="J1370" s="507">
        <f>SUMIFS(Controle!$R:$R,Controle!$H:$H,produtos_escape2!$A1370,Controle!$Z:$Z,"5")</f>
        <v>2236.5</v>
      </c>
      <c r="K1370" s="507">
        <f>SUMIFS(Controle!$R:$R,Controle!$H:$H,produtos_escape2!$A1370,Controle!$Z:$Z,"6")</f>
        <v>2211.9</v>
      </c>
      <c r="L1370" s="507">
        <f t="shared" si="45"/>
        <v>4448.3999999999996</v>
      </c>
      <c r="M1370" s="381" t="s">
        <v>1497</v>
      </c>
      <c r="AF1370" s="84"/>
    </row>
    <row r="1371" spans="1:32" s="185" customFormat="1" ht="14.25" customHeight="1" thickBot="1">
      <c r="A1371" s="353">
        <v>33335</v>
      </c>
      <c r="B1371" s="194" t="s">
        <v>3013</v>
      </c>
      <c r="C1371" s="339">
        <f t="shared" si="46"/>
        <v>50000</v>
      </c>
      <c r="D1371" s="196" t="s">
        <v>639</v>
      </c>
      <c r="E1371" s="187" t="s">
        <v>3608</v>
      </c>
      <c r="F1371" s="507">
        <f>SUMIFS(Controle!$R:$R,Controle!$H:$H,produtos_escape2!$A1371,Controle!$Z:$Z,"1")</f>
        <v>0</v>
      </c>
      <c r="G1371" s="507">
        <f>SUMIFS(Controle!$R:$R,Controle!$H:$H,produtos_escape2!$A1371,Controle!$Z:$Z,"2")</f>
        <v>0</v>
      </c>
      <c r="H1371" s="507">
        <f>SUMIFS(Controle!$R:$R,Controle!$H:$H,produtos_escape2!$A1371,Controle!$Z:$Z,"3")</f>
        <v>0</v>
      </c>
      <c r="I1371" s="507">
        <f>SUMIFS(Controle!$R:$R,Controle!$H:$H,produtos_escape2!$A1371,Controle!$Z:$Z,"4")</f>
        <v>0</v>
      </c>
      <c r="J1371" s="507">
        <f>SUMIFS(Controle!$R:$R,Controle!$H:$H,produtos_escape2!$A1371,Controle!$Z:$Z,"5")</f>
        <v>0</v>
      </c>
      <c r="K1371" s="507">
        <f>SUMIFS(Controle!$R:$R,Controle!$H:$H,produtos_escape2!$A1371,Controle!$Z:$Z,"6")</f>
        <v>0</v>
      </c>
      <c r="L1371" s="507">
        <f t="shared" si="45"/>
        <v>0</v>
      </c>
      <c r="M1371" s="381" t="s">
        <v>5276</v>
      </c>
      <c r="AF1371" s="84"/>
    </row>
    <row r="1372" spans="1:32" s="185" customFormat="1" ht="14.25" customHeight="1" thickBot="1">
      <c r="A1372" s="353">
        <v>33347</v>
      </c>
      <c r="B1372" s="194" t="s">
        <v>2959</v>
      </c>
      <c r="C1372" s="339">
        <f t="shared" si="46"/>
        <v>50000</v>
      </c>
      <c r="D1372" s="196" t="s">
        <v>548</v>
      </c>
      <c r="E1372" s="187" t="s">
        <v>7207</v>
      </c>
      <c r="F1372" s="507">
        <f>SUMIFS(Controle!$R:$R,Controle!$H:$H,produtos_escape2!$A1372,Controle!$Z:$Z,"1")</f>
        <v>0</v>
      </c>
      <c r="G1372" s="507">
        <f>SUMIFS(Controle!$R:$R,Controle!$H:$H,produtos_escape2!$A1372,Controle!$Z:$Z,"2")</f>
        <v>0</v>
      </c>
      <c r="H1372" s="507">
        <f>SUMIFS(Controle!$R:$R,Controle!$H:$H,produtos_escape2!$A1372,Controle!$Z:$Z,"3")</f>
        <v>0</v>
      </c>
      <c r="I1372" s="507">
        <f>SUMIFS(Controle!$R:$R,Controle!$H:$H,produtos_escape2!$A1372,Controle!$Z:$Z,"4")</f>
        <v>0</v>
      </c>
      <c r="J1372" s="507">
        <f>SUMIFS(Controle!$R:$R,Controle!$H:$H,produtos_escape2!$A1372,Controle!$Z:$Z,"5")</f>
        <v>0</v>
      </c>
      <c r="K1372" s="507">
        <f>SUMIFS(Controle!$R:$R,Controle!$H:$H,produtos_escape2!$A1372,Controle!$Z:$Z,"6")</f>
        <v>0</v>
      </c>
      <c r="L1372" s="507">
        <f t="shared" si="45"/>
        <v>0</v>
      </c>
      <c r="M1372" s="381" t="s">
        <v>5277</v>
      </c>
      <c r="AF1372" s="84"/>
    </row>
    <row r="1373" spans="1:32" s="185" customFormat="1" ht="14.25" customHeight="1" thickBot="1">
      <c r="A1373" s="353">
        <v>33357</v>
      </c>
      <c r="B1373" s="194" t="s">
        <v>2899</v>
      </c>
      <c r="C1373" s="339">
        <f t="shared" si="46"/>
        <v>46502.5</v>
      </c>
      <c r="D1373" s="196" t="s">
        <v>624</v>
      </c>
      <c r="E1373" s="187" t="s">
        <v>7207</v>
      </c>
      <c r="F1373" s="507">
        <f>SUMIFS(Controle!$R:$R,Controle!$H:$H,produtos_escape2!$A1373,Controle!$Z:$Z,"1")</f>
        <v>0</v>
      </c>
      <c r="G1373" s="507">
        <f>SUMIFS(Controle!$R:$R,Controle!$H:$H,produtos_escape2!$A1373,Controle!$Z:$Z,"2")</f>
        <v>0</v>
      </c>
      <c r="H1373" s="507">
        <f>SUMIFS(Controle!$R:$R,Controle!$H:$H,produtos_escape2!$A1373,Controle!$Z:$Z,"3")</f>
        <v>3497.5</v>
      </c>
      <c r="I1373" s="507">
        <f>SUMIFS(Controle!$R:$R,Controle!$H:$H,produtos_escape2!$A1373,Controle!$Z:$Z,"4")</f>
        <v>0</v>
      </c>
      <c r="J1373" s="507">
        <f>SUMIFS(Controle!$R:$R,Controle!$H:$H,produtos_escape2!$A1373,Controle!$Z:$Z,"5")</f>
        <v>0</v>
      </c>
      <c r="K1373" s="507">
        <f>SUMIFS(Controle!$R:$R,Controle!$H:$H,produtos_escape2!$A1373,Controle!$Z:$Z,"6")</f>
        <v>0</v>
      </c>
      <c r="L1373" s="507">
        <f t="shared" si="45"/>
        <v>3497.5</v>
      </c>
      <c r="M1373" s="381" t="s">
        <v>5278</v>
      </c>
      <c r="AF1373" s="84"/>
    </row>
    <row r="1374" spans="1:32" s="185" customFormat="1" ht="14.25" customHeight="1" thickBot="1">
      <c r="A1374" s="353">
        <v>33358</v>
      </c>
      <c r="B1374" s="194" t="s">
        <v>1445</v>
      </c>
      <c r="C1374" s="339">
        <f t="shared" si="46"/>
        <v>50000</v>
      </c>
      <c r="D1374" s="196" t="s">
        <v>624</v>
      </c>
      <c r="E1374" s="187" t="s">
        <v>7207</v>
      </c>
      <c r="F1374" s="507">
        <f>SUMIFS(Controle!$R:$R,Controle!$H:$H,produtos_escape2!$A1374,Controle!$Z:$Z,"1")</f>
        <v>0</v>
      </c>
      <c r="G1374" s="507">
        <f>SUMIFS(Controle!$R:$R,Controle!$H:$H,produtos_escape2!$A1374,Controle!$Z:$Z,"2")</f>
        <v>0</v>
      </c>
      <c r="H1374" s="507">
        <f>SUMIFS(Controle!$R:$R,Controle!$H:$H,produtos_escape2!$A1374,Controle!$Z:$Z,"3")</f>
        <v>0</v>
      </c>
      <c r="I1374" s="507">
        <f>SUMIFS(Controle!$R:$R,Controle!$H:$H,produtos_escape2!$A1374,Controle!$Z:$Z,"4")</f>
        <v>0</v>
      </c>
      <c r="J1374" s="507">
        <f>SUMIFS(Controle!$R:$R,Controle!$H:$H,produtos_escape2!$A1374,Controle!$Z:$Z,"5")</f>
        <v>0</v>
      </c>
      <c r="K1374" s="507">
        <f>SUMIFS(Controle!$R:$R,Controle!$H:$H,produtos_escape2!$A1374,Controle!$Z:$Z,"6")</f>
        <v>0</v>
      </c>
      <c r="L1374" s="507">
        <f t="shared" si="45"/>
        <v>0</v>
      </c>
      <c r="M1374" s="381" t="s">
        <v>5279</v>
      </c>
      <c r="AF1374" s="84"/>
    </row>
    <row r="1375" spans="1:32" s="185" customFormat="1" ht="14.25" customHeight="1" thickBot="1">
      <c r="A1375" s="333">
        <v>33374</v>
      </c>
      <c r="B1375" s="338" t="s">
        <v>2729</v>
      </c>
      <c r="C1375" s="339">
        <f t="shared" si="46"/>
        <v>50000</v>
      </c>
      <c r="D1375" s="196" t="s">
        <v>624</v>
      </c>
      <c r="E1375" s="187" t="s">
        <v>3608</v>
      </c>
      <c r="F1375" s="507">
        <f>SUMIFS(Controle!$R:$R,Controle!$H:$H,produtos_escape2!$A1375,Controle!$Z:$Z,"1")</f>
        <v>0</v>
      </c>
      <c r="G1375" s="507">
        <f>SUMIFS(Controle!$R:$R,Controle!$H:$H,produtos_escape2!$A1375,Controle!$Z:$Z,"2")</f>
        <v>0</v>
      </c>
      <c r="H1375" s="507">
        <f>SUMIFS(Controle!$R:$R,Controle!$H:$H,produtos_escape2!$A1375,Controle!$Z:$Z,"3")</f>
        <v>0</v>
      </c>
      <c r="I1375" s="507">
        <f>SUMIFS(Controle!$R:$R,Controle!$H:$H,produtos_escape2!$A1375,Controle!$Z:$Z,"4")</f>
        <v>0</v>
      </c>
      <c r="J1375" s="507">
        <f>SUMIFS(Controle!$R:$R,Controle!$H:$H,produtos_escape2!$A1375,Controle!$Z:$Z,"5")</f>
        <v>0</v>
      </c>
      <c r="K1375" s="507">
        <f>SUMIFS(Controle!$R:$R,Controle!$H:$H,produtos_escape2!$A1375,Controle!$Z:$Z,"6")</f>
        <v>0</v>
      </c>
      <c r="L1375" s="507">
        <f t="shared" si="45"/>
        <v>0</v>
      </c>
      <c r="M1375" s="381" t="s">
        <v>5280</v>
      </c>
      <c r="AF1375" s="84"/>
    </row>
    <row r="1376" spans="1:32" s="185" customFormat="1" ht="14.25" customHeight="1" thickBot="1">
      <c r="A1376" s="353">
        <v>33376</v>
      </c>
      <c r="B1376" s="194" t="s">
        <v>2730</v>
      </c>
      <c r="C1376" s="339">
        <f t="shared" si="46"/>
        <v>50000</v>
      </c>
      <c r="D1376" s="196" t="s">
        <v>624</v>
      </c>
      <c r="E1376" s="187" t="s">
        <v>3608</v>
      </c>
      <c r="F1376" s="507">
        <f>SUMIFS(Controle!$R:$R,Controle!$H:$H,produtos_escape2!$A1376,Controle!$Z:$Z,"1")</f>
        <v>0</v>
      </c>
      <c r="G1376" s="507">
        <f>SUMIFS(Controle!$R:$R,Controle!$H:$H,produtos_escape2!$A1376,Controle!$Z:$Z,"2")</f>
        <v>0</v>
      </c>
      <c r="H1376" s="507">
        <f>SUMIFS(Controle!$R:$R,Controle!$H:$H,produtos_escape2!$A1376,Controle!$Z:$Z,"3")</f>
        <v>0</v>
      </c>
      <c r="I1376" s="507">
        <f>SUMIFS(Controle!$R:$R,Controle!$H:$H,produtos_escape2!$A1376,Controle!$Z:$Z,"4")</f>
        <v>0</v>
      </c>
      <c r="J1376" s="507">
        <f>SUMIFS(Controle!$R:$R,Controle!$H:$H,produtos_escape2!$A1376,Controle!$Z:$Z,"5")</f>
        <v>0</v>
      </c>
      <c r="K1376" s="507">
        <f>SUMIFS(Controle!$R:$R,Controle!$H:$H,produtos_escape2!$A1376,Controle!$Z:$Z,"6")</f>
        <v>0</v>
      </c>
      <c r="L1376" s="507">
        <f t="shared" si="45"/>
        <v>0</v>
      </c>
      <c r="M1376" s="381" t="s">
        <v>5280</v>
      </c>
      <c r="AF1376" s="84"/>
    </row>
    <row r="1377" spans="1:32" s="185" customFormat="1" ht="14.25" customHeight="1" thickBot="1">
      <c r="A1377" s="353">
        <v>33377</v>
      </c>
      <c r="B1377" s="194" t="s">
        <v>1577</v>
      </c>
      <c r="C1377" s="339">
        <f t="shared" si="46"/>
        <v>50000</v>
      </c>
      <c r="D1377" s="196" t="s">
        <v>624</v>
      </c>
      <c r="E1377" s="187" t="s">
        <v>3608</v>
      </c>
      <c r="F1377" s="507">
        <f>SUMIFS(Controle!$R:$R,Controle!$H:$H,produtos_escape2!$A1377,Controle!$Z:$Z,"1")</f>
        <v>0</v>
      </c>
      <c r="G1377" s="507">
        <f>SUMIFS(Controle!$R:$R,Controle!$H:$H,produtos_escape2!$A1377,Controle!$Z:$Z,"2")</f>
        <v>0</v>
      </c>
      <c r="H1377" s="507">
        <f>SUMIFS(Controle!$R:$R,Controle!$H:$H,produtos_escape2!$A1377,Controle!$Z:$Z,"3")</f>
        <v>0</v>
      </c>
      <c r="I1377" s="507">
        <f>SUMIFS(Controle!$R:$R,Controle!$H:$H,produtos_escape2!$A1377,Controle!$Z:$Z,"4")</f>
        <v>0</v>
      </c>
      <c r="J1377" s="507">
        <f>SUMIFS(Controle!$R:$R,Controle!$H:$H,produtos_escape2!$A1377,Controle!$Z:$Z,"5")</f>
        <v>0</v>
      </c>
      <c r="K1377" s="507">
        <f>SUMIFS(Controle!$R:$R,Controle!$H:$H,produtos_escape2!$A1377,Controle!$Z:$Z,"6")</f>
        <v>0</v>
      </c>
      <c r="L1377" s="507">
        <f t="shared" si="45"/>
        <v>0</v>
      </c>
      <c r="M1377" s="381" t="s">
        <v>5281</v>
      </c>
      <c r="AF1377" s="84"/>
    </row>
    <row r="1378" spans="1:32" s="185" customFormat="1" ht="14.25" customHeight="1" thickBot="1">
      <c r="A1378" s="353">
        <v>33427</v>
      </c>
      <c r="B1378" s="194" t="s">
        <v>2657</v>
      </c>
      <c r="C1378" s="339">
        <f t="shared" si="46"/>
        <v>50000</v>
      </c>
      <c r="D1378" s="196" t="s">
        <v>653</v>
      </c>
      <c r="E1378" s="187" t="s">
        <v>3608</v>
      </c>
      <c r="F1378" s="507">
        <f>SUMIFS(Controle!$R:$R,Controle!$H:$H,produtos_escape2!$A1378,Controle!$Z:$Z,"1")</f>
        <v>0</v>
      </c>
      <c r="G1378" s="507">
        <f>SUMIFS(Controle!$R:$R,Controle!$H:$H,produtos_escape2!$A1378,Controle!$Z:$Z,"2")</f>
        <v>0</v>
      </c>
      <c r="H1378" s="507">
        <f>SUMIFS(Controle!$R:$R,Controle!$H:$H,produtos_escape2!$A1378,Controle!$Z:$Z,"3")</f>
        <v>0</v>
      </c>
      <c r="I1378" s="507">
        <f>SUMIFS(Controle!$R:$R,Controle!$H:$H,produtos_escape2!$A1378,Controle!$Z:$Z,"4")</f>
        <v>0</v>
      </c>
      <c r="J1378" s="507">
        <f>SUMIFS(Controle!$R:$R,Controle!$H:$H,produtos_escape2!$A1378,Controle!$Z:$Z,"5")</f>
        <v>0</v>
      </c>
      <c r="K1378" s="507">
        <f>SUMIFS(Controle!$R:$R,Controle!$H:$H,produtos_escape2!$A1378,Controle!$Z:$Z,"6")</f>
        <v>0</v>
      </c>
      <c r="L1378" s="507">
        <f t="shared" si="45"/>
        <v>0</v>
      </c>
      <c r="M1378" s="381" t="s">
        <v>5282</v>
      </c>
      <c r="AF1378" s="84"/>
    </row>
    <row r="1379" spans="1:32" s="185" customFormat="1" ht="14.25" customHeight="1" thickBot="1">
      <c r="A1379" s="353">
        <v>33461</v>
      </c>
      <c r="B1379" s="194" t="s">
        <v>6756</v>
      </c>
      <c r="C1379" s="339">
        <f t="shared" si="46"/>
        <v>50000</v>
      </c>
      <c r="D1379" s="196" t="s">
        <v>624</v>
      </c>
      <c r="E1379" s="187" t="s">
        <v>7207</v>
      </c>
      <c r="F1379" s="507">
        <f>SUMIFS(Controle!$R:$R,Controle!$H:$H,produtos_escape2!$A1379,Controle!$Z:$Z,"1")</f>
        <v>0</v>
      </c>
      <c r="G1379" s="507">
        <f>SUMIFS(Controle!$R:$R,Controle!$H:$H,produtos_escape2!$A1379,Controle!$Z:$Z,"2")</f>
        <v>0</v>
      </c>
      <c r="H1379" s="507">
        <f>SUMIFS(Controle!$R:$R,Controle!$H:$H,produtos_escape2!$A1379,Controle!$Z:$Z,"3")</f>
        <v>0</v>
      </c>
      <c r="I1379" s="507">
        <f>SUMIFS(Controle!$R:$R,Controle!$H:$H,produtos_escape2!$A1379,Controle!$Z:$Z,"4")</f>
        <v>0</v>
      </c>
      <c r="J1379" s="507">
        <f>SUMIFS(Controle!$R:$R,Controle!$H:$H,produtos_escape2!$A1379,Controle!$Z:$Z,"5")</f>
        <v>0</v>
      </c>
      <c r="K1379" s="507">
        <f>SUMIFS(Controle!$R:$R,Controle!$H:$H,produtos_escape2!$A1379,Controle!$Z:$Z,"6")</f>
        <v>0</v>
      </c>
      <c r="L1379" s="507">
        <f t="shared" si="45"/>
        <v>0</v>
      </c>
      <c r="M1379" s="381" t="s">
        <v>6757</v>
      </c>
      <c r="AF1379" s="84"/>
    </row>
    <row r="1380" spans="1:32" s="185" customFormat="1" ht="14.25" customHeight="1" thickBot="1">
      <c r="A1380" s="353">
        <v>33484</v>
      </c>
      <c r="B1380" s="194" t="s">
        <v>1525</v>
      </c>
      <c r="C1380" s="339">
        <f t="shared" si="46"/>
        <v>50000</v>
      </c>
      <c r="D1380" s="196" t="s">
        <v>624</v>
      </c>
      <c r="E1380" s="187" t="s">
        <v>1739</v>
      </c>
      <c r="F1380" s="507">
        <f>SUMIFS(Controle!$R:$R,Controle!$H:$H,produtos_escape2!$A1380,Controle!$Z:$Z,"1")</f>
        <v>0</v>
      </c>
      <c r="G1380" s="507">
        <f>SUMIFS(Controle!$R:$R,Controle!$H:$H,produtos_escape2!$A1380,Controle!$Z:$Z,"2")</f>
        <v>0</v>
      </c>
      <c r="H1380" s="507">
        <f>SUMIFS(Controle!$R:$R,Controle!$H:$H,produtos_escape2!$A1380,Controle!$Z:$Z,"3")</f>
        <v>0</v>
      </c>
      <c r="I1380" s="507">
        <f>SUMIFS(Controle!$R:$R,Controle!$H:$H,produtos_escape2!$A1380,Controle!$Z:$Z,"4")</f>
        <v>0</v>
      </c>
      <c r="J1380" s="507">
        <f>SUMIFS(Controle!$R:$R,Controle!$H:$H,produtos_escape2!$A1380,Controle!$Z:$Z,"5")</f>
        <v>0</v>
      </c>
      <c r="K1380" s="507">
        <f>SUMIFS(Controle!$R:$R,Controle!$H:$H,produtos_escape2!$A1380,Controle!$Z:$Z,"6")</f>
        <v>0</v>
      </c>
      <c r="L1380" s="507">
        <f t="shared" si="45"/>
        <v>0</v>
      </c>
      <c r="M1380" s="381" t="s">
        <v>5283</v>
      </c>
      <c r="AF1380" s="84"/>
    </row>
    <row r="1381" spans="1:32" s="185" customFormat="1" ht="14.25" customHeight="1" thickBot="1">
      <c r="A1381" s="353">
        <v>33541</v>
      </c>
      <c r="B1381" s="194" t="s">
        <v>1491</v>
      </c>
      <c r="C1381" s="339">
        <f t="shared" si="46"/>
        <v>50000</v>
      </c>
      <c r="D1381" s="196" t="s">
        <v>624</v>
      </c>
      <c r="E1381" s="187" t="s">
        <v>7207</v>
      </c>
      <c r="F1381" s="507">
        <f>SUMIFS(Controle!$R:$R,Controle!$H:$H,produtos_escape2!$A1381,Controle!$Z:$Z,"1")</f>
        <v>0</v>
      </c>
      <c r="G1381" s="507">
        <f>SUMIFS(Controle!$R:$R,Controle!$H:$H,produtos_escape2!$A1381,Controle!$Z:$Z,"2")</f>
        <v>0</v>
      </c>
      <c r="H1381" s="507">
        <f>SUMIFS(Controle!$R:$R,Controle!$H:$H,produtos_escape2!$A1381,Controle!$Z:$Z,"3")</f>
        <v>0</v>
      </c>
      <c r="I1381" s="507">
        <f>SUMIFS(Controle!$R:$R,Controle!$H:$H,produtos_escape2!$A1381,Controle!$Z:$Z,"4")</f>
        <v>0</v>
      </c>
      <c r="J1381" s="507">
        <f>SUMIFS(Controle!$R:$R,Controle!$H:$H,produtos_escape2!$A1381,Controle!$Z:$Z,"5")</f>
        <v>0</v>
      </c>
      <c r="K1381" s="507">
        <f>SUMIFS(Controle!$R:$R,Controle!$H:$H,produtos_escape2!$A1381,Controle!$Z:$Z,"6")</f>
        <v>0</v>
      </c>
      <c r="L1381" s="507">
        <f t="shared" si="45"/>
        <v>0</v>
      </c>
      <c r="M1381" s="381" t="s">
        <v>5284</v>
      </c>
      <c r="AF1381" s="84"/>
    </row>
    <row r="1382" spans="1:32" s="185" customFormat="1" ht="14.25" customHeight="1" thickBot="1">
      <c r="A1382" s="353">
        <v>33546</v>
      </c>
      <c r="B1382" s="194" t="s">
        <v>1493</v>
      </c>
      <c r="C1382" s="339">
        <f t="shared" si="46"/>
        <v>50000</v>
      </c>
      <c r="D1382" s="196" t="s">
        <v>624</v>
      </c>
      <c r="E1382" s="187" t="s">
        <v>7207</v>
      </c>
      <c r="F1382" s="507">
        <f>SUMIFS(Controle!$R:$R,Controle!$H:$H,produtos_escape2!$A1382,Controle!$Z:$Z,"1")</f>
        <v>0</v>
      </c>
      <c r="G1382" s="507">
        <f>SUMIFS(Controle!$R:$R,Controle!$H:$H,produtos_escape2!$A1382,Controle!$Z:$Z,"2")</f>
        <v>0</v>
      </c>
      <c r="H1382" s="507">
        <f>SUMIFS(Controle!$R:$R,Controle!$H:$H,produtos_escape2!$A1382,Controle!$Z:$Z,"3")</f>
        <v>0</v>
      </c>
      <c r="I1382" s="507">
        <f>SUMIFS(Controle!$R:$R,Controle!$H:$H,produtos_escape2!$A1382,Controle!$Z:$Z,"4")</f>
        <v>0</v>
      </c>
      <c r="J1382" s="507">
        <f>SUMIFS(Controle!$R:$R,Controle!$H:$H,produtos_escape2!$A1382,Controle!$Z:$Z,"5")</f>
        <v>0</v>
      </c>
      <c r="K1382" s="507">
        <f>SUMIFS(Controle!$R:$R,Controle!$H:$H,produtos_escape2!$A1382,Controle!$Z:$Z,"6")</f>
        <v>0</v>
      </c>
      <c r="L1382" s="507">
        <f t="shared" si="45"/>
        <v>0</v>
      </c>
      <c r="M1382" s="381" t="s">
        <v>5285</v>
      </c>
      <c r="AF1382" s="84"/>
    </row>
    <row r="1383" spans="1:32" s="185" customFormat="1" ht="14.25" customHeight="1" thickBot="1">
      <c r="A1383" s="333">
        <v>33548</v>
      </c>
      <c r="B1383" s="194" t="s">
        <v>1498</v>
      </c>
      <c r="C1383" s="339">
        <f t="shared" si="46"/>
        <v>50000</v>
      </c>
      <c r="D1383" s="196" t="s">
        <v>624</v>
      </c>
      <c r="E1383" s="187" t="s">
        <v>1739</v>
      </c>
      <c r="F1383" s="507">
        <f>SUMIFS(Controle!$R:$R,Controle!$H:$H,produtos_escape2!$A1383,Controle!$Z:$Z,"1")</f>
        <v>0</v>
      </c>
      <c r="G1383" s="507">
        <f>SUMIFS(Controle!$R:$R,Controle!$H:$H,produtos_escape2!$A1383,Controle!$Z:$Z,"2")</f>
        <v>0</v>
      </c>
      <c r="H1383" s="507">
        <f>SUMIFS(Controle!$R:$R,Controle!$H:$H,produtos_escape2!$A1383,Controle!$Z:$Z,"3")</f>
        <v>0</v>
      </c>
      <c r="I1383" s="507">
        <f>SUMIFS(Controle!$R:$R,Controle!$H:$H,produtos_escape2!$A1383,Controle!$Z:$Z,"4")</f>
        <v>0</v>
      </c>
      <c r="J1383" s="507">
        <f>SUMIFS(Controle!$R:$R,Controle!$H:$H,produtos_escape2!$A1383,Controle!$Z:$Z,"5")</f>
        <v>0</v>
      </c>
      <c r="K1383" s="507">
        <f>SUMIFS(Controle!$R:$R,Controle!$H:$H,produtos_escape2!$A1383,Controle!$Z:$Z,"6")</f>
        <v>0</v>
      </c>
      <c r="L1383" s="507">
        <f t="shared" si="45"/>
        <v>0</v>
      </c>
      <c r="M1383" s="381" t="s">
        <v>5286</v>
      </c>
      <c r="AF1383" s="84"/>
    </row>
    <row r="1384" spans="1:32" s="185" customFormat="1" ht="14.25" customHeight="1" thickBot="1">
      <c r="A1384" s="353">
        <v>33550</v>
      </c>
      <c r="B1384" s="338" t="s">
        <v>1499</v>
      </c>
      <c r="C1384" s="339">
        <f t="shared" si="46"/>
        <v>50000</v>
      </c>
      <c r="D1384" s="196" t="s">
        <v>624</v>
      </c>
      <c r="E1384" s="187" t="s">
        <v>1739</v>
      </c>
      <c r="F1384" s="507">
        <f>SUMIFS(Controle!$R:$R,Controle!$H:$H,produtos_escape2!$A1384,Controle!$Z:$Z,"1")</f>
        <v>0</v>
      </c>
      <c r="G1384" s="507">
        <f>SUMIFS(Controle!$R:$R,Controle!$H:$H,produtos_escape2!$A1384,Controle!$Z:$Z,"2")</f>
        <v>0</v>
      </c>
      <c r="H1384" s="507">
        <f>SUMIFS(Controle!$R:$R,Controle!$H:$H,produtos_escape2!$A1384,Controle!$Z:$Z,"3")</f>
        <v>0</v>
      </c>
      <c r="I1384" s="507">
        <f>SUMIFS(Controle!$R:$R,Controle!$H:$H,produtos_escape2!$A1384,Controle!$Z:$Z,"4")</f>
        <v>0</v>
      </c>
      <c r="J1384" s="507">
        <f>SUMIFS(Controle!$R:$R,Controle!$H:$H,produtos_escape2!$A1384,Controle!$Z:$Z,"5")</f>
        <v>0</v>
      </c>
      <c r="K1384" s="507">
        <f>SUMIFS(Controle!$R:$R,Controle!$H:$H,produtos_escape2!$A1384,Controle!$Z:$Z,"6")</f>
        <v>0</v>
      </c>
      <c r="L1384" s="507">
        <f t="shared" si="45"/>
        <v>0</v>
      </c>
      <c r="M1384" s="381" t="s">
        <v>5287</v>
      </c>
      <c r="AF1384" s="84"/>
    </row>
    <row r="1385" spans="1:32" s="185" customFormat="1" ht="14.25" customHeight="1" thickBot="1">
      <c r="A1385" s="353">
        <v>33609</v>
      </c>
      <c r="B1385" s="194" t="s">
        <v>3493</v>
      </c>
      <c r="C1385" s="339">
        <f t="shared" si="46"/>
        <v>50000</v>
      </c>
      <c r="D1385" s="196" t="s">
        <v>549</v>
      </c>
      <c r="E1385" s="187" t="s">
        <v>3608</v>
      </c>
      <c r="F1385" s="507">
        <f>SUMIFS(Controle!$R:$R,Controle!$H:$H,produtos_escape2!$A1385,Controle!$Z:$Z,"1")</f>
        <v>0</v>
      </c>
      <c r="G1385" s="507">
        <f>SUMIFS(Controle!$R:$R,Controle!$H:$H,produtos_escape2!$A1385,Controle!$Z:$Z,"2")</f>
        <v>0</v>
      </c>
      <c r="H1385" s="507">
        <f>SUMIFS(Controle!$R:$R,Controle!$H:$H,produtos_escape2!$A1385,Controle!$Z:$Z,"3")</f>
        <v>0</v>
      </c>
      <c r="I1385" s="507">
        <f>SUMIFS(Controle!$R:$R,Controle!$H:$H,produtos_escape2!$A1385,Controle!$Z:$Z,"4")</f>
        <v>0</v>
      </c>
      <c r="J1385" s="507">
        <f>SUMIFS(Controle!$R:$R,Controle!$H:$H,produtos_escape2!$A1385,Controle!$Z:$Z,"5")</f>
        <v>0</v>
      </c>
      <c r="K1385" s="507">
        <f>SUMIFS(Controle!$R:$R,Controle!$H:$H,produtos_escape2!$A1385,Controle!$Z:$Z,"6")</f>
        <v>0</v>
      </c>
      <c r="L1385" s="507">
        <f t="shared" si="45"/>
        <v>0</v>
      </c>
      <c r="M1385" s="381" t="s">
        <v>5288</v>
      </c>
      <c r="AF1385" s="84"/>
    </row>
    <row r="1386" spans="1:32" s="185" customFormat="1" ht="14.25" customHeight="1" thickBot="1">
      <c r="A1386" s="353">
        <v>33680</v>
      </c>
      <c r="B1386" s="194" t="s">
        <v>3935</v>
      </c>
      <c r="C1386" s="339">
        <f t="shared" si="46"/>
        <v>50000</v>
      </c>
      <c r="D1386" s="196" t="s">
        <v>549</v>
      </c>
      <c r="E1386" s="187" t="s">
        <v>3608</v>
      </c>
      <c r="F1386" s="507">
        <f>SUMIFS(Controle!$R:$R,Controle!$H:$H,produtos_escape2!$A1386,Controle!$Z:$Z,"1")</f>
        <v>0</v>
      </c>
      <c r="G1386" s="507">
        <f>SUMIFS(Controle!$R:$R,Controle!$H:$H,produtos_escape2!$A1386,Controle!$Z:$Z,"2")</f>
        <v>0</v>
      </c>
      <c r="H1386" s="507">
        <f>SUMIFS(Controle!$R:$R,Controle!$H:$H,produtos_escape2!$A1386,Controle!$Z:$Z,"3")</f>
        <v>0</v>
      </c>
      <c r="I1386" s="507">
        <f>SUMIFS(Controle!$R:$R,Controle!$H:$H,produtos_escape2!$A1386,Controle!$Z:$Z,"4")</f>
        <v>0</v>
      </c>
      <c r="J1386" s="507">
        <f>SUMIFS(Controle!$R:$R,Controle!$H:$H,produtos_escape2!$A1386,Controle!$Z:$Z,"5")</f>
        <v>0</v>
      </c>
      <c r="K1386" s="507">
        <f>SUMIFS(Controle!$R:$R,Controle!$H:$H,produtos_escape2!$A1386,Controle!$Z:$Z,"6")</f>
        <v>0</v>
      </c>
      <c r="L1386" s="507">
        <f t="shared" si="45"/>
        <v>0</v>
      </c>
      <c r="M1386" s="381" t="s">
        <v>5289</v>
      </c>
      <c r="AF1386" s="84"/>
    </row>
    <row r="1387" spans="1:32" s="185" customFormat="1" ht="14.25" customHeight="1" thickBot="1">
      <c r="A1387" s="353">
        <v>33711</v>
      </c>
      <c r="B1387" s="194" t="s">
        <v>1588</v>
      </c>
      <c r="C1387" s="339">
        <f t="shared" si="46"/>
        <v>50000</v>
      </c>
      <c r="D1387" s="196" t="s">
        <v>624</v>
      </c>
      <c r="E1387" s="187" t="s">
        <v>3608</v>
      </c>
      <c r="F1387" s="507">
        <f>SUMIFS(Controle!$R:$R,Controle!$H:$H,produtos_escape2!$A1387,Controle!$Z:$Z,"1")</f>
        <v>0</v>
      </c>
      <c r="G1387" s="507">
        <f>SUMIFS(Controle!$R:$R,Controle!$H:$H,produtos_escape2!$A1387,Controle!$Z:$Z,"2")</f>
        <v>0</v>
      </c>
      <c r="H1387" s="507">
        <f>SUMIFS(Controle!$R:$R,Controle!$H:$H,produtos_escape2!$A1387,Controle!$Z:$Z,"3")</f>
        <v>0</v>
      </c>
      <c r="I1387" s="507">
        <f>SUMIFS(Controle!$R:$R,Controle!$H:$H,produtos_escape2!$A1387,Controle!$Z:$Z,"4")</f>
        <v>0</v>
      </c>
      <c r="J1387" s="507">
        <f>SUMIFS(Controle!$R:$R,Controle!$H:$H,produtos_escape2!$A1387,Controle!$Z:$Z,"5")</f>
        <v>0</v>
      </c>
      <c r="K1387" s="507">
        <f>SUMIFS(Controle!$R:$R,Controle!$H:$H,produtos_escape2!$A1387,Controle!$Z:$Z,"6")</f>
        <v>0</v>
      </c>
      <c r="L1387" s="507">
        <f t="shared" si="45"/>
        <v>0</v>
      </c>
      <c r="M1387" s="381" t="s">
        <v>5290</v>
      </c>
      <c r="AF1387" s="84"/>
    </row>
    <row r="1388" spans="1:32" s="185" customFormat="1" ht="14.25" customHeight="1" thickBot="1">
      <c r="A1388" s="353">
        <v>33729</v>
      </c>
      <c r="B1388" s="194" t="s">
        <v>1802</v>
      </c>
      <c r="C1388" s="339">
        <f t="shared" si="46"/>
        <v>39120</v>
      </c>
      <c r="D1388" s="196" t="s">
        <v>549</v>
      </c>
      <c r="E1388" s="187" t="s">
        <v>7207</v>
      </c>
      <c r="F1388" s="507">
        <f>SUMIFS(Controle!$R:$R,Controle!$H:$H,produtos_escape2!$A1388,Controle!$Z:$Z,"1")</f>
        <v>0</v>
      </c>
      <c r="G1388" s="507">
        <f>SUMIFS(Controle!$R:$R,Controle!$H:$H,produtos_escape2!$A1388,Controle!$Z:$Z,"2")</f>
        <v>0</v>
      </c>
      <c r="H1388" s="507">
        <f>SUMIFS(Controle!$R:$R,Controle!$H:$H,produtos_escape2!$A1388,Controle!$Z:$Z,"3")</f>
        <v>0</v>
      </c>
      <c r="I1388" s="507">
        <f>SUMIFS(Controle!$R:$R,Controle!$H:$H,produtos_escape2!$A1388,Controle!$Z:$Z,"4")</f>
        <v>0</v>
      </c>
      <c r="J1388" s="507">
        <f>SUMIFS(Controle!$R:$R,Controle!$H:$H,produtos_escape2!$A1388,Controle!$Z:$Z,"5")</f>
        <v>1360</v>
      </c>
      <c r="K1388" s="507">
        <f>SUMIFS(Controle!$R:$R,Controle!$H:$H,produtos_escape2!$A1388,Controle!$Z:$Z,"6")</f>
        <v>9520</v>
      </c>
      <c r="L1388" s="507">
        <f t="shared" si="45"/>
        <v>10880</v>
      </c>
      <c r="M1388" s="381" t="s">
        <v>1802</v>
      </c>
      <c r="AF1388" s="84"/>
    </row>
    <row r="1389" spans="1:32" s="185" customFormat="1" ht="14.25" customHeight="1" thickBot="1">
      <c r="A1389" s="353">
        <v>33762</v>
      </c>
      <c r="B1389" s="194" t="s">
        <v>1557</v>
      </c>
      <c r="C1389" s="339">
        <f t="shared" si="46"/>
        <v>50000</v>
      </c>
      <c r="D1389" s="191" t="s">
        <v>917</v>
      </c>
      <c r="E1389" s="189" t="s">
        <v>7207</v>
      </c>
      <c r="F1389" s="507">
        <f>SUMIFS(Controle!$R:$R,Controle!$H:$H,produtos_escape2!$A1389,Controle!$Z:$Z,"1")</f>
        <v>0</v>
      </c>
      <c r="G1389" s="507">
        <f>SUMIFS(Controle!$R:$R,Controle!$H:$H,produtos_escape2!$A1389,Controle!$Z:$Z,"2")</f>
        <v>0</v>
      </c>
      <c r="H1389" s="507">
        <f>SUMIFS(Controle!$R:$R,Controle!$H:$H,produtos_escape2!$A1389,Controle!$Z:$Z,"3")</f>
        <v>0</v>
      </c>
      <c r="I1389" s="507">
        <f>SUMIFS(Controle!$R:$R,Controle!$H:$H,produtos_escape2!$A1389,Controle!$Z:$Z,"4")</f>
        <v>0</v>
      </c>
      <c r="J1389" s="507">
        <f>SUMIFS(Controle!$R:$R,Controle!$H:$H,produtos_escape2!$A1389,Controle!$Z:$Z,"5")</f>
        <v>0</v>
      </c>
      <c r="K1389" s="507">
        <f>SUMIFS(Controle!$R:$R,Controle!$H:$H,produtos_escape2!$A1389,Controle!$Z:$Z,"6")</f>
        <v>0</v>
      </c>
      <c r="L1389" s="507">
        <f t="shared" si="45"/>
        <v>0</v>
      </c>
      <c r="M1389" s="381" t="s">
        <v>5291</v>
      </c>
      <c r="AF1389" s="84"/>
    </row>
    <row r="1390" spans="1:32" s="185" customFormat="1" ht="13.5" customHeight="1" thickBot="1">
      <c r="A1390" s="353">
        <v>33904</v>
      </c>
      <c r="B1390" s="194" t="s">
        <v>2773</v>
      </c>
      <c r="C1390" s="339">
        <f t="shared" si="46"/>
        <v>50000</v>
      </c>
      <c r="D1390" s="196" t="s">
        <v>628</v>
      </c>
      <c r="E1390" s="187" t="s">
        <v>7207</v>
      </c>
      <c r="F1390" s="507">
        <f>SUMIFS(Controle!$R:$R,Controle!$H:$H,produtos_escape2!$A1390,Controle!$Z:$Z,"1")</f>
        <v>0</v>
      </c>
      <c r="G1390" s="507">
        <f>SUMIFS(Controle!$R:$R,Controle!$H:$H,produtos_escape2!$A1390,Controle!$Z:$Z,"2")</f>
        <v>0</v>
      </c>
      <c r="H1390" s="507">
        <f>SUMIFS(Controle!$R:$R,Controle!$H:$H,produtos_escape2!$A1390,Controle!$Z:$Z,"3")</f>
        <v>0</v>
      </c>
      <c r="I1390" s="507">
        <f>SUMIFS(Controle!$R:$R,Controle!$H:$H,produtos_escape2!$A1390,Controle!$Z:$Z,"4")</f>
        <v>0</v>
      </c>
      <c r="J1390" s="507">
        <f>SUMIFS(Controle!$R:$R,Controle!$H:$H,produtos_escape2!$A1390,Controle!$Z:$Z,"5")</f>
        <v>0</v>
      </c>
      <c r="K1390" s="507">
        <f>SUMIFS(Controle!$R:$R,Controle!$H:$H,produtos_escape2!$A1390,Controle!$Z:$Z,"6")</f>
        <v>0</v>
      </c>
      <c r="L1390" s="507">
        <f t="shared" si="45"/>
        <v>0</v>
      </c>
      <c r="M1390" s="381" t="s">
        <v>5292</v>
      </c>
      <c r="AF1390" s="84"/>
    </row>
    <row r="1391" spans="1:32" s="185" customFormat="1" ht="14.25" customHeight="1" thickBot="1">
      <c r="A1391" s="333">
        <v>33909</v>
      </c>
      <c r="B1391" s="194" t="s">
        <v>1658</v>
      </c>
      <c r="C1391" s="339">
        <f t="shared" si="46"/>
        <v>50000</v>
      </c>
      <c r="D1391" s="196" t="s">
        <v>624</v>
      </c>
      <c r="E1391" s="187" t="s">
        <v>7207</v>
      </c>
      <c r="F1391" s="507">
        <f>SUMIFS(Controle!$R:$R,Controle!$H:$H,produtos_escape2!$A1391,Controle!$Z:$Z,"1")</f>
        <v>0</v>
      </c>
      <c r="G1391" s="507">
        <f>SUMIFS(Controle!$R:$R,Controle!$H:$H,produtos_escape2!$A1391,Controle!$Z:$Z,"2")</f>
        <v>0</v>
      </c>
      <c r="H1391" s="507">
        <f>SUMIFS(Controle!$R:$R,Controle!$H:$H,produtos_escape2!$A1391,Controle!$Z:$Z,"3")</f>
        <v>0</v>
      </c>
      <c r="I1391" s="507">
        <f>SUMIFS(Controle!$R:$R,Controle!$H:$H,produtos_escape2!$A1391,Controle!$Z:$Z,"4")</f>
        <v>0</v>
      </c>
      <c r="J1391" s="507">
        <f>SUMIFS(Controle!$R:$R,Controle!$H:$H,produtos_escape2!$A1391,Controle!$Z:$Z,"5")</f>
        <v>0</v>
      </c>
      <c r="K1391" s="507">
        <f>SUMIFS(Controle!$R:$R,Controle!$H:$H,produtos_escape2!$A1391,Controle!$Z:$Z,"6")</f>
        <v>0</v>
      </c>
      <c r="L1391" s="507">
        <f t="shared" si="45"/>
        <v>0</v>
      </c>
      <c r="M1391" s="381" t="s">
        <v>5293</v>
      </c>
      <c r="AF1391" s="84"/>
    </row>
    <row r="1392" spans="1:32" s="185" customFormat="1" ht="14.25" customHeight="1" thickBot="1">
      <c r="A1392" s="353">
        <v>33910</v>
      </c>
      <c r="B1392" s="338" t="s">
        <v>1657</v>
      </c>
      <c r="C1392" s="339">
        <f t="shared" si="46"/>
        <v>50000</v>
      </c>
      <c r="D1392" s="196" t="s">
        <v>624</v>
      </c>
      <c r="E1392" s="187" t="s">
        <v>7207</v>
      </c>
      <c r="F1392" s="507">
        <f>SUMIFS(Controle!$R:$R,Controle!$H:$H,produtos_escape2!$A1392,Controle!$Z:$Z,"1")</f>
        <v>0</v>
      </c>
      <c r="G1392" s="507">
        <f>SUMIFS(Controle!$R:$R,Controle!$H:$H,produtos_escape2!$A1392,Controle!$Z:$Z,"2")</f>
        <v>0</v>
      </c>
      <c r="H1392" s="507">
        <f>SUMIFS(Controle!$R:$R,Controle!$H:$H,produtos_escape2!$A1392,Controle!$Z:$Z,"3")</f>
        <v>0</v>
      </c>
      <c r="I1392" s="507">
        <f>SUMIFS(Controle!$R:$R,Controle!$H:$H,produtos_escape2!$A1392,Controle!$Z:$Z,"4")</f>
        <v>0</v>
      </c>
      <c r="J1392" s="507">
        <f>SUMIFS(Controle!$R:$R,Controle!$H:$H,produtos_escape2!$A1392,Controle!$Z:$Z,"5")</f>
        <v>0</v>
      </c>
      <c r="K1392" s="507">
        <f>SUMIFS(Controle!$R:$R,Controle!$H:$H,produtos_escape2!$A1392,Controle!$Z:$Z,"6")</f>
        <v>0</v>
      </c>
      <c r="L1392" s="507">
        <f t="shared" si="45"/>
        <v>0</v>
      </c>
      <c r="M1392" s="381" t="s">
        <v>5294</v>
      </c>
      <c r="AF1392" s="84"/>
    </row>
    <row r="1393" spans="1:32" s="185" customFormat="1" ht="14.25" customHeight="1" thickBot="1">
      <c r="A1393" s="353">
        <v>33912</v>
      </c>
      <c r="B1393" s="194" t="s">
        <v>3367</v>
      </c>
      <c r="C1393" s="339">
        <f t="shared" si="46"/>
        <v>50000</v>
      </c>
      <c r="D1393" s="196" t="s">
        <v>624</v>
      </c>
      <c r="E1393" s="189" t="s">
        <v>7207</v>
      </c>
      <c r="F1393" s="507">
        <f>SUMIFS(Controle!$R:$R,Controle!$H:$H,produtos_escape2!$A1393,Controle!$Z:$Z,"1")</f>
        <v>0</v>
      </c>
      <c r="G1393" s="507">
        <f>SUMIFS(Controle!$R:$R,Controle!$H:$H,produtos_escape2!$A1393,Controle!$Z:$Z,"2")</f>
        <v>0</v>
      </c>
      <c r="H1393" s="507">
        <f>SUMIFS(Controle!$R:$R,Controle!$H:$H,produtos_escape2!$A1393,Controle!$Z:$Z,"3")</f>
        <v>0</v>
      </c>
      <c r="I1393" s="507">
        <f>SUMIFS(Controle!$R:$R,Controle!$H:$H,produtos_escape2!$A1393,Controle!$Z:$Z,"4")</f>
        <v>0</v>
      </c>
      <c r="J1393" s="507">
        <f>SUMIFS(Controle!$R:$R,Controle!$H:$H,produtos_escape2!$A1393,Controle!$Z:$Z,"5")</f>
        <v>0</v>
      </c>
      <c r="K1393" s="507">
        <f>SUMIFS(Controle!$R:$R,Controle!$H:$H,produtos_escape2!$A1393,Controle!$Z:$Z,"6")</f>
        <v>0</v>
      </c>
      <c r="L1393" s="507">
        <f t="shared" si="45"/>
        <v>0</v>
      </c>
      <c r="M1393" s="381" t="s">
        <v>3367</v>
      </c>
      <c r="AF1393" s="84"/>
    </row>
    <row r="1394" spans="1:32" s="185" customFormat="1" ht="14.25" customHeight="1" thickBot="1">
      <c r="A1394" s="353">
        <v>33932</v>
      </c>
      <c r="B1394" s="194" t="s">
        <v>1575</v>
      </c>
      <c r="C1394" s="339">
        <f t="shared" si="46"/>
        <v>50000</v>
      </c>
      <c r="D1394" s="196" t="s">
        <v>624</v>
      </c>
      <c r="E1394" s="187" t="s">
        <v>7207</v>
      </c>
      <c r="F1394" s="507">
        <f>SUMIFS(Controle!$R:$R,Controle!$H:$H,produtos_escape2!$A1394,Controle!$Z:$Z,"1")</f>
        <v>0</v>
      </c>
      <c r="G1394" s="507">
        <f>SUMIFS(Controle!$R:$R,Controle!$H:$H,produtos_escape2!$A1394,Controle!$Z:$Z,"2")</f>
        <v>0</v>
      </c>
      <c r="H1394" s="507">
        <f>SUMIFS(Controle!$R:$R,Controle!$H:$H,produtos_escape2!$A1394,Controle!$Z:$Z,"3")</f>
        <v>0</v>
      </c>
      <c r="I1394" s="507">
        <f>SUMIFS(Controle!$R:$R,Controle!$H:$H,produtos_escape2!$A1394,Controle!$Z:$Z,"4")</f>
        <v>0</v>
      </c>
      <c r="J1394" s="507">
        <f>SUMIFS(Controle!$R:$R,Controle!$H:$H,produtos_escape2!$A1394,Controle!$Z:$Z,"5")</f>
        <v>0</v>
      </c>
      <c r="K1394" s="507">
        <f>SUMIFS(Controle!$R:$R,Controle!$H:$H,produtos_escape2!$A1394,Controle!$Z:$Z,"6")</f>
        <v>0</v>
      </c>
      <c r="L1394" s="507">
        <f t="shared" si="45"/>
        <v>0</v>
      </c>
      <c r="M1394" s="381" t="s">
        <v>5295</v>
      </c>
      <c r="AF1394" s="84"/>
    </row>
    <row r="1395" spans="1:32" s="185" customFormat="1" ht="14.25" customHeight="1" thickBot="1">
      <c r="A1395" s="353">
        <v>33960</v>
      </c>
      <c r="B1395" s="194" t="s">
        <v>10007</v>
      </c>
      <c r="C1395" s="339">
        <f t="shared" si="46"/>
        <v>20900</v>
      </c>
      <c r="D1395" s="196" t="s">
        <v>819</v>
      </c>
      <c r="E1395" s="187" t="s">
        <v>3608</v>
      </c>
      <c r="F1395" s="507">
        <f>SUMIFS(Controle!$R:$R,Controle!$H:$H,produtos_escape2!$A1395,Controle!$Z:$Z,"1")</f>
        <v>0</v>
      </c>
      <c r="G1395" s="507">
        <f>SUMIFS(Controle!$R:$R,Controle!$H:$H,produtos_escape2!$A1395,Controle!$Z:$Z,"2")</f>
        <v>10125</v>
      </c>
      <c r="H1395" s="507">
        <f>SUMIFS(Controle!$R:$R,Controle!$H:$H,produtos_escape2!$A1395,Controle!$Z:$Z,"3")</f>
        <v>7425</v>
      </c>
      <c r="I1395" s="507">
        <f>SUMIFS(Controle!$R:$R,Controle!$H:$H,produtos_escape2!$A1395,Controle!$Z:$Z,"4")</f>
        <v>0</v>
      </c>
      <c r="J1395" s="507">
        <f>SUMIFS(Controle!$R:$R,Controle!$H:$H,produtos_escape2!$A1395,Controle!$Z:$Z,"5")</f>
        <v>0</v>
      </c>
      <c r="K1395" s="507">
        <f>SUMIFS(Controle!$R:$R,Controle!$H:$H,produtos_escape2!$A1395,Controle!$Z:$Z,"6")</f>
        <v>11550</v>
      </c>
      <c r="L1395" s="507">
        <f t="shared" si="45"/>
        <v>29100</v>
      </c>
      <c r="M1395" s="381" t="s">
        <v>5296</v>
      </c>
      <c r="AF1395" s="84"/>
    </row>
    <row r="1396" spans="1:32" s="185" customFormat="1" ht="15.6" customHeight="1" thickBot="1">
      <c r="A1396" s="353">
        <v>33995</v>
      </c>
      <c r="B1396" s="194" t="s">
        <v>4400</v>
      </c>
      <c r="C1396" s="339">
        <f t="shared" si="46"/>
        <v>32480</v>
      </c>
      <c r="D1396" s="196" t="s">
        <v>819</v>
      </c>
      <c r="E1396" s="189" t="s">
        <v>3608</v>
      </c>
      <c r="F1396" s="507">
        <f>SUMIFS(Controle!$R:$R,Controle!$H:$H,produtos_escape2!$A1396,Controle!$Z:$Z,"1")</f>
        <v>0</v>
      </c>
      <c r="G1396" s="507">
        <f>SUMIFS(Controle!$R:$R,Controle!$H:$H,produtos_escape2!$A1396,Controle!$Z:$Z,"2")</f>
        <v>17520</v>
      </c>
      <c r="H1396" s="507">
        <f>SUMIFS(Controle!$R:$R,Controle!$H:$H,produtos_escape2!$A1396,Controle!$Z:$Z,"3")</f>
        <v>0</v>
      </c>
      <c r="I1396" s="507">
        <f>SUMIFS(Controle!$R:$R,Controle!$H:$H,produtos_escape2!$A1396,Controle!$Z:$Z,"4")</f>
        <v>0</v>
      </c>
      <c r="J1396" s="507">
        <f>SUMIFS(Controle!$R:$R,Controle!$H:$H,produtos_escape2!$A1396,Controle!$Z:$Z,"5")</f>
        <v>0</v>
      </c>
      <c r="K1396" s="507">
        <f>SUMIFS(Controle!$R:$R,Controle!$H:$H,produtos_escape2!$A1396,Controle!$Z:$Z,"6")</f>
        <v>0</v>
      </c>
      <c r="L1396" s="507">
        <f t="shared" si="45"/>
        <v>17520</v>
      </c>
      <c r="M1396" s="381" t="s">
        <v>5297</v>
      </c>
      <c r="AF1396" s="84"/>
    </row>
    <row r="1397" spans="1:32" s="185" customFormat="1" ht="14.25" customHeight="1" thickBot="1">
      <c r="A1397" s="353">
        <v>34000</v>
      </c>
      <c r="B1397" s="194" t="s">
        <v>1614</v>
      </c>
      <c r="C1397" s="339">
        <f t="shared" si="46"/>
        <v>50000</v>
      </c>
      <c r="D1397" s="196" t="s">
        <v>819</v>
      </c>
      <c r="E1397" s="187" t="s">
        <v>3608</v>
      </c>
      <c r="F1397" s="507">
        <f>SUMIFS(Controle!$R:$R,Controle!$H:$H,produtos_escape2!$A1397,Controle!$Z:$Z,"1")</f>
        <v>0</v>
      </c>
      <c r="G1397" s="507">
        <f>SUMIFS(Controle!$R:$R,Controle!$H:$H,produtos_escape2!$A1397,Controle!$Z:$Z,"2")</f>
        <v>0</v>
      </c>
      <c r="H1397" s="507">
        <f>SUMIFS(Controle!$R:$R,Controle!$H:$H,produtos_escape2!$A1397,Controle!$Z:$Z,"3")</f>
        <v>0</v>
      </c>
      <c r="I1397" s="507">
        <f>SUMIFS(Controle!$R:$R,Controle!$H:$H,produtos_escape2!$A1397,Controle!$Z:$Z,"4")</f>
        <v>0</v>
      </c>
      <c r="J1397" s="507">
        <f>SUMIFS(Controle!$R:$R,Controle!$H:$H,produtos_escape2!$A1397,Controle!$Z:$Z,"5")</f>
        <v>0</v>
      </c>
      <c r="K1397" s="507">
        <f>SUMIFS(Controle!$R:$R,Controle!$H:$H,produtos_escape2!$A1397,Controle!$Z:$Z,"6")</f>
        <v>0</v>
      </c>
      <c r="L1397" s="507">
        <f t="shared" si="45"/>
        <v>0</v>
      </c>
      <c r="M1397" s="381" t="s">
        <v>1614</v>
      </c>
      <c r="AF1397" s="84"/>
    </row>
    <row r="1398" spans="1:32" s="185" customFormat="1" ht="14.25" customHeight="1" thickBot="1">
      <c r="A1398" s="353">
        <v>34005</v>
      </c>
      <c r="B1398" s="194" t="s">
        <v>4049</v>
      </c>
      <c r="C1398" s="339">
        <f t="shared" si="46"/>
        <v>50000</v>
      </c>
      <c r="D1398" s="196" t="s">
        <v>548</v>
      </c>
      <c r="E1398" s="187" t="s">
        <v>3608</v>
      </c>
      <c r="F1398" s="507">
        <f>SUMIFS(Controle!$R:$R,Controle!$H:$H,produtos_escape2!$A1398,Controle!$Z:$Z,"1")</f>
        <v>0</v>
      </c>
      <c r="G1398" s="507">
        <f>SUMIFS(Controle!$R:$R,Controle!$H:$H,produtos_escape2!$A1398,Controle!$Z:$Z,"2")</f>
        <v>0</v>
      </c>
      <c r="H1398" s="507">
        <f>SUMIFS(Controle!$R:$R,Controle!$H:$H,produtos_escape2!$A1398,Controle!$Z:$Z,"3")</f>
        <v>0</v>
      </c>
      <c r="I1398" s="507">
        <f>SUMIFS(Controle!$R:$R,Controle!$H:$H,produtos_escape2!$A1398,Controle!$Z:$Z,"4")</f>
        <v>0</v>
      </c>
      <c r="J1398" s="507">
        <f>SUMIFS(Controle!$R:$R,Controle!$H:$H,produtos_escape2!$A1398,Controle!$Z:$Z,"5")</f>
        <v>0</v>
      </c>
      <c r="K1398" s="507">
        <f>SUMIFS(Controle!$R:$R,Controle!$H:$H,produtos_escape2!$A1398,Controle!$Z:$Z,"6")</f>
        <v>0</v>
      </c>
      <c r="L1398" s="507">
        <f t="shared" si="45"/>
        <v>0</v>
      </c>
      <c r="M1398" s="381" t="s">
        <v>5298</v>
      </c>
      <c r="AF1398" s="84"/>
    </row>
    <row r="1399" spans="1:32" s="185" customFormat="1" ht="14.25" customHeight="1" thickBot="1">
      <c r="A1399" s="333">
        <v>34007</v>
      </c>
      <c r="B1399" s="194" t="s">
        <v>2658</v>
      </c>
      <c r="C1399" s="339">
        <f t="shared" si="46"/>
        <v>50000</v>
      </c>
      <c r="D1399" s="196" t="s">
        <v>548</v>
      </c>
      <c r="E1399" s="187" t="s">
        <v>3608</v>
      </c>
      <c r="F1399" s="507">
        <f>SUMIFS(Controle!$R:$R,Controle!$H:$H,produtos_escape2!$A1399,Controle!$Z:$Z,"1")</f>
        <v>0</v>
      </c>
      <c r="G1399" s="507">
        <f>SUMIFS(Controle!$R:$R,Controle!$H:$H,produtos_escape2!$A1399,Controle!$Z:$Z,"2")</f>
        <v>0</v>
      </c>
      <c r="H1399" s="507">
        <f>SUMIFS(Controle!$R:$R,Controle!$H:$H,produtos_escape2!$A1399,Controle!$Z:$Z,"3")</f>
        <v>0</v>
      </c>
      <c r="I1399" s="507">
        <f>SUMIFS(Controle!$R:$R,Controle!$H:$H,produtos_escape2!$A1399,Controle!$Z:$Z,"4")</f>
        <v>0</v>
      </c>
      <c r="J1399" s="507">
        <f>SUMIFS(Controle!$R:$R,Controle!$H:$H,produtos_escape2!$A1399,Controle!$Z:$Z,"5")</f>
        <v>0</v>
      </c>
      <c r="K1399" s="507">
        <f>SUMIFS(Controle!$R:$R,Controle!$H:$H,produtos_escape2!$A1399,Controle!$Z:$Z,"6")</f>
        <v>0</v>
      </c>
      <c r="L1399" s="507">
        <f t="shared" si="45"/>
        <v>0</v>
      </c>
      <c r="M1399" s="381" t="s">
        <v>5299</v>
      </c>
      <c r="AF1399" s="84"/>
    </row>
    <row r="1400" spans="1:32" s="185" customFormat="1" ht="14.25" customHeight="1" thickBot="1">
      <c r="A1400" s="353">
        <v>34010</v>
      </c>
      <c r="B1400" s="338" t="s">
        <v>10165</v>
      </c>
      <c r="C1400" s="339">
        <f t="shared" si="46"/>
        <v>49570</v>
      </c>
      <c r="D1400" s="191" t="s">
        <v>548</v>
      </c>
      <c r="E1400" s="189"/>
      <c r="F1400" s="507">
        <f>SUMIFS(Controle!$R:$R,Controle!$H:$H,produtos_escape2!$A1400,Controle!$Z:$Z,"1")</f>
        <v>0</v>
      </c>
      <c r="G1400" s="507">
        <f>SUMIFS(Controle!$R:$R,Controle!$H:$H,produtos_escape2!$A1400,Controle!$Z:$Z,"2")</f>
        <v>0</v>
      </c>
      <c r="H1400" s="507">
        <f>SUMIFS(Controle!$R:$R,Controle!$H:$H,produtos_escape2!$A1400,Controle!$Z:$Z,"3")</f>
        <v>0</v>
      </c>
      <c r="I1400" s="507">
        <f>SUMIFS(Controle!$R:$R,Controle!$H:$H,produtos_escape2!$A1400,Controle!$Z:$Z,"4")</f>
        <v>0</v>
      </c>
      <c r="J1400" s="507">
        <f>SUMIFS(Controle!$R:$R,Controle!$H:$H,produtos_escape2!$A1400,Controle!$Z:$Z,"5")</f>
        <v>0</v>
      </c>
      <c r="K1400" s="507">
        <f>SUMIFS(Controle!$R:$R,Controle!$H:$H,produtos_escape2!$A1400,Controle!$Z:$Z,"6")</f>
        <v>430</v>
      </c>
      <c r="L1400" s="507">
        <f t="shared" si="45"/>
        <v>430</v>
      </c>
      <c r="M1400" s="381" t="s">
        <v>5300</v>
      </c>
      <c r="AF1400" s="84"/>
    </row>
    <row r="1401" spans="1:32" s="185" customFormat="1" ht="14.25" customHeight="1" thickBot="1">
      <c r="A1401" s="353">
        <v>34014</v>
      </c>
      <c r="B1401" s="194" t="s">
        <v>2659</v>
      </c>
      <c r="C1401" s="339">
        <f t="shared" si="46"/>
        <v>50000</v>
      </c>
      <c r="D1401" s="196" t="s">
        <v>548</v>
      </c>
      <c r="E1401" s="187" t="s">
        <v>3608</v>
      </c>
      <c r="F1401" s="507">
        <f>SUMIFS(Controle!$R:$R,Controle!$H:$H,produtos_escape2!$A1401,Controle!$Z:$Z,"1")</f>
        <v>0</v>
      </c>
      <c r="G1401" s="507">
        <f>SUMIFS(Controle!$R:$R,Controle!$H:$H,produtos_escape2!$A1401,Controle!$Z:$Z,"2")</f>
        <v>0</v>
      </c>
      <c r="H1401" s="507">
        <f>SUMIFS(Controle!$R:$R,Controle!$H:$H,produtos_escape2!$A1401,Controle!$Z:$Z,"3")</f>
        <v>0</v>
      </c>
      <c r="I1401" s="507">
        <f>SUMIFS(Controle!$R:$R,Controle!$H:$H,produtos_escape2!$A1401,Controle!$Z:$Z,"4")</f>
        <v>0</v>
      </c>
      <c r="J1401" s="507">
        <f>SUMIFS(Controle!$R:$R,Controle!$H:$H,produtos_escape2!$A1401,Controle!$Z:$Z,"5")</f>
        <v>0</v>
      </c>
      <c r="K1401" s="507">
        <f>SUMIFS(Controle!$R:$R,Controle!$H:$H,produtos_escape2!$A1401,Controle!$Z:$Z,"6")</f>
        <v>0</v>
      </c>
      <c r="L1401" s="507">
        <f t="shared" si="45"/>
        <v>0</v>
      </c>
      <c r="M1401" s="381" t="s">
        <v>5301</v>
      </c>
      <c r="AF1401" s="84"/>
    </row>
    <row r="1402" spans="1:32" s="185" customFormat="1" ht="14.25" customHeight="1" thickBot="1">
      <c r="A1402" s="353">
        <v>34023</v>
      </c>
      <c r="B1402" s="194" t="s">
        <v>4501</v>
      </c>
      <c r="C1402" s="339">
        <f t="shared" si="46"/>
        <v>50000</v>
      </c>
      <c r="D1402" s="196" t="s">
        <v>624</v>
      </c>
      <c r="E1402" s="187" t="s">
        <v>3608</v>
      </c>
      <c r="F1402" s="507">
        <f>SUMIFS(Controle!$R:$R,Controle!$H:$H,produtos_escape2!$A1402,Controle!$Z:$Z,"1")</f>
        <v>0</v>
      </c>
      <c r="G1402" s="507">
        <f>SUMIFS(Controle!$R:$R,Controle!$H:$H,produtos_escape2!$A1402,Controle!$Z:$Z,"2")</f>
        <v>0</v>
      </c>
      <c r="H1402" s="507">
        <f>SUMIFS(Controle!$R:$R,Controle!$H:$H,produtos_escape2!$A1402,Controle!$Z:$Z,"3")</f>
        <v>0</v>
      </c>
      <c r="I1402" s="507">
        <f>SUMIFS(Controle!$R:$R,Controle!$H:$H,produtos_escape2!$A1402,Controle!$Z:$Z,"4")</f>
        <v>0</v>
      </c>
      <c r="J1402" s="507">
        <f>SUMIFS(Controle!$R:$R,Controle!$H:$H,produtos_escape2!$A1402,Controle!$Z:$Z,"5")</f>
        <v>0</v>
      </c>
      <c r="K1402" s="507">
        <f>SUMIFS(Controle!$R:$R,Controle!$H:$H,produtos_escape2!$A1402,Controle!$Z:$Z,"6")</f>
        <v>0</v>
      </c>
      <c r="L1402" s="507">
        <f t="shared" si="45"/>
        <v>0</v>
      </c>
      <c r="M1402" s="381" t="s">
        <v>4597</v>
      </c>
      <c r="AF1402" s="84"/>
    </row>
    <row r="1403" spans="1:32" s="185" customFormat="1" ht="14.25" customHeight="1" thickBot="1">
      <c r="A1403" s="353">
        <v>34069</v>
      </c>
      <c r="B1403" s="194" t="s">
        <v>2660</v>
      </c>
      <c r="C1403" s="339">
        <f t="shared" si="46"/>
        <v>50000</v>
      </c>
      <c r="D1403" s="196" t="s">
        <v>548</v>
      </c>
      <c r="E1403" s="187" t="s">
        <v>3608</v>
      </c>
      <c r="F1403" s="507">
        <f>SUMIFS(Controle!$R:$R,Controle!$H:$H,produtos_escape2!$A1403,Controle!$Z:$Z,"1")</f>
        <v>0</v>
      </c>
      <c r="G1403" s="507">
        <f>SUMIFS(Controle!$R:$R,Controle!$H:$H,produtos_escape2!$A1403,Controle!$Z:$Z,"2")</f>
        <v>0</v>
      </c>
      <c r="H1403" s="507">
        <f>SUMIFS(Controle!$R:$R,Controle!$H:$H,produtos_escape2!$A1403,Controle!$Z:$Z,"3")</f>
        <v>0</v>
      </c>
      <c r="I1403" s="507">
        <f>SUMIFS(Controle!$R:$R,Controle!$H:$H,produtos_escape2!$A1403,Controle!$Z:$Z,"4")</f>
        <v>0</v>
      </c>
      <c r="J1403" s="507">
        <f>SUMIFS(Controle!$R:$R,Controle!$H:$H,produtos_escape2!$A1403,Controle!$Z:$Z,"5")</f>
        <v>0</v>
      </c>
      <c r="K1403" s="507">
        <f>SUMIFS(Controle!$R:$R,Controle!$H:$H,produtos_escape2!$A1403,Controle!$Z:$Z,"6")</f>
        <v>0</v>
      </c>
      <c r="L1403" s="507">
        <f t="shared" si="45"/>
        <v>0</v>
      </c>
      <c r="M1403" s="381" t="s">
        <v>5302</v>
      </c>
      <c r="AF1403" s="84"/>
    </row>
    <row r="1404" spans="1:32" s="185" customFormat="1" ht="14.25" customHeight="1" thickBot="1">
      <c r="A1404" s="353">
        <v>34084</v>
      </c>
      <c r="B1404" s="194" t="s">
        <v>8903</v>
      </c>
      <c r="C1404" s="339">
        <f t="shared" si="46"/>
        <v>0</v>
      </c>
      <c r="D1404" s="191" t="s">
        <v>624</v>
      </c>
      <c r="E1404" s="189" t="s">
        <v>7207</v>
      </c>
      <c r="F1404" s="507">
        <f>SUMIFS(Controle!$R:$R,Controle!$H:$H,produtos_escape2!$A1404,Controle!$Z:$Z,"1")</f>
        <v>0</v>
      </c>
      <c r="G1404" s="507">
        <f>SUMIFS(Controle!$R:$R,Controle!$H:$H,produtos_escape2!$A1404,Controle!$Z:$Z,"2")</f>
        <v>17600</v>
      </c>
      <c r="H1404" s="507">
        <f>SUMIFS(Controle!$R:$R,Controle!$H:$H,produtos_escape2!$A1404,Controle!$Z:$Z,"3")</f>
        <v>0</v>
      </c>
      <c r="I1404" s="507">
        <f>SUMIFS(Controle!$R:$R,Controle!$H:$H,produtos_escape2!$A1404,Controle!$Z:$Z,"4")</f>
        <v>32400</v>
      </c>
      <c r="J1404" s="507">
        <f>SUMIFS(Controle!$R:$R,Controle!$H:$H,produtos_escape2!$A1404,Controle!$Z:$Z,"5")</f>
        <v>0</v>
      </c>
      <c r="K1404" s="507">
        <f>SUMIFS(Controle!$R:$R,Controle!$H:$H,produtos_escape2!$A1404,Controle!$Z:$Z,"6")</f>
        <v>0</v>
      </c>
      <c r="L1404" s="507">
        <f t="shared" si="45"/>
        <v>50000</v>
      </c>
      <c r="M1404" s="381" t="s">
        <v>5303</v>
      </c>
      <c r="AF1404" s="84"/>
    </row>
    <row r="1405" spans="1:32" s="185" customFormat="1" ht="14.25" customHeight="1" thickBot="1">
      <c r="A1405" s="353">
        <v>34517</v>
      </c>
      <c r="B1405" s="194" t="s">
        <v>5800</v>
      </c>
      <c r="C1405" s="339">
        <f t="shared" si="46"/>
        <v>50000</v>
      </c>
      <c r="D1405" s="196" t="s">
        <v>624</v>
      </c>
      <c r="E1405" s="187" t="s">
        <v>7207</v>
      </c>
      <c r="F1405" s="507">
        <f>SUMIFS(Controle!$R:$R,Controle!$H:$H,produtos_escape2!$A1405,Controle!$Z:$Z,"1")</f>
        <v>0</v>
      </c>
      <c r="G1405" s="507">
        <f>SUMIFS(Controle!$R:$R,Controle!$H:$H,produtos_escape2!$A1405,Controle!$Z:$Z,"2")</f>
        <v>0</v>
      </c>
      <c r="H1405" s="507">
        <f>SUMIFS(Controle!$R:$R,Controle!$H:$H,produtos_escape2!$A1405,Controle!$Z:$Z,"3")</f>
        <v>0</v>
      </c>
      <c r="I1405" s="507">
        <f>SUMIFS(Controle!$R:$R,Controle!$H:$H,produtos_escape2!$A1405,Controle!$Z:$Z,"4")</f>
        <v>0</v>
      </c>
      <c r="J1405" s="507">
        <f>SUMIFS(Controle!$R:$R,Controle!$H:$H,produtos_escape2!$A1405,Controle!$Z:$Z,"5")</f>
        <v>0</v>
      </c>
      <c r="K1405" s="507">
        <f>SUMIFS(Controle!$R:$R,Controle!$H:$H,produtos_escape2!$A1405,Controle!$Z:$Z,"6")</f>
        <v>0</v>
      </c>
      <c r="L1405" s="507">
        <f t="shared" si="45"/>
        <v>0</v>
      </c>
      <c r="M1405" s="381" t="s">
        <v>5801</v>
      </c>
      <c r="AF1405" s="84"/>
    </row>
    <row r="1406" spans="1:32" s="185" customFormat="1" ht="14.25" customHeight="1" thickBot="1">
      <c r="A1406" s="353">
        <v>34534</v>
      </c>
      <c r="B1406" s="194" t="s">
        <v>4415</v>
      </c>
      <c r="C1406" s="339">
        <f t="shared" si="46"/>
        <v>16009</v>
      </c>
      <c r="D1406" s="196" t="s">
        <v>624</v>
      </c>
      <c r="E1406" s="187" t="s">
        <v>3608</v>
      </c>
      <c r="F1406" s="507">
        <f>SUMIFS(Controle!$R:$R,Controle!$H:$H,produtos_escape2!$A1406,Controle!$Z:$Z,"1")</f>
        <v>0</v>
      </c>
      <c r="G1406" s="507">
        <f>SUMIFS(Controle!$R:$R,Controle!$H:$H,produtos_escape2!$A1406,Controle!$Z:$Z,"2")</f>
        <v>17600</v>
      </c>
      <c r="H1406" s="507">
        <f>SUMIFS(Controle!$R:$R,Controle!$H:$H,produtos_escape2!$A1406,Controle!$Z:$Z,"3")</f>
        <v>8900</v>
      </c>
      <c r="I1406" s="507">
        <f>SUMIFS(Controle!$R:$R,Controle!$H:$H,produtos_escape2!$A1406,Controle!$Z:$Z,"4")</f>
        <v>0</v>
      </c>
      <c r="J1406" s="507">
        <f>SUMIFS(Controle!$R:$R,Controle!$H:$H,produtos_escape2!$A1406,Controle!$Z:$Z,"5")</f>
        <v>2991</v>
      </c>
      <c r="K1406" s="507">
        <f>SUMIFS(Controle!$R:$R,Controle!$H:$H,produtos_escape2!$A1406,Controle!$Z:$Z,"6")</f>
        <v>4500</v>
      </c>
      <c r="L1406" s="507">
        <f t="shared" si="45"/>
        <v>33991</v>
      </c>
      <c r="M1406" s="381" t="s">
        <v>5304</v>
      </c>
      <c r="AF1406" s="84"/>
    </row>
    <row r="1407" spans="1:32" s="185" customFormat="1" ht="14.25" customHeight="1" thickBot="1">
      <c r="A1407" s="333">
        <v>34535</v>
      </c>
      <c r="B1407" s="194" t="s">
        <v>2661</v>
      </c>
      <c r="C1407" s="339">
        <f t="shared" si="46"/>
        <v>48899.936000000002</v>
      </c>
      <c r="D1407" s="196" t="s">
        <v>548</v>
      </c>
      <c r="E1407" s="187" t="s">
        <v>3608</v>
      </c>
      <c r="F1407" s="507">
        <f>SUMIFS(Controle!$R:$R,Controle!$H:$H,produtos_escape2!$A1407,Controle!$Z:$Z,"1")</f>
        <v>0</v>
      </c>
      <c r="G1407" s="507">
        <f>SUMIFS(Controle!$R:$R,Controle!$H:$H,produtos_escape2!$A1407,Controle!$Z:$Z,"2")</f>
        <v>620.06399999999996</v>
      </c>
      <c r="H1407" s="507">
        <f>SUMIFS(Controle!$R:$R,Controle!$H:$H,produtos_escape2!$A1407,Controle!$Z:$Z,"3")</f>
        <v>0</v>
      </c>
      <c r="I1407" s="507">
        <f>SUMIFS(Controle!$R:$R,Controle!$H:$H,produtos_escape2!$A1407,Controle!$Z:$Z,"4")</f>
        <v>0</v>
      </c>
      <c r="J1407" s="507">
        <f>SUMIFS(Controle!$R:$R,Controle!$H:$H,produtos_escape2!$A1407,Controle!$Z:$Z,"5")</f>
        <v>0</v>
      </c>
      <c r="K1407" s="507">
        <f>SUMIFS(Controle!$R:$R,Controle!$H:$H,produtos_escape2!$A1407,Controle!$Z:$Z,"6")</f>
        <v>480</v>
      </c>
      <c r="L1407" s="507">
        <f t="shared" ref="L1407:L1470" si="48">SUM(F1407:K1407)</f>
        <v>1100.0639999999999</v>
      </c>
      <c r="M1407" s="381" t="s">
        <v>2661</v>
      </c>
      <c r="AF1407" s="84"/>
    </row>
    <row r="1408" spans="1:32" s="185" customFormat="1" ht="14.25" customHeight="1" thickBot="1">
      <c r="A1408" s="353">
        <v>34536</v>
      </c>
      <c r="B1408" s="338" t="s">
        <v>5767</v>
      </c>
      <c r="C1408" s="339">
        <f t="shared" si="46"/>
        <v>50000</v>
      </c>
      <c r="D1408" s="196" t="s">
        <v>2705</v>
      </c>
      <c r="E1408" s="187" t="s">
        <v>7207</v>
      </c>
      <c r="F1408" s="507">
        <f>SUMIFS(Controle!$R:$R,Controle!$H:$H,produtos_escape2!$A1408,Controle!$Z:$Z,"1")</f>
        <v>0</v>
      </c>
      <c r="G1408" s="507">
        <f>SUMIFS(Controle!$R:$R,Controle!$H:$H,produtos_escape2!$A1408,Controle!$Z:$Z,"2")</f>
        <v>0</v>
      </c>
      <c r="H1408" s="507">
        <f>SUMIFS(Controle!$R:$R,Controle!$H:$H,produtos_escape2!$A1408,Controle!$Z:$Z,"3")</f>
        <v>0</v>
      </c>
      <c r="I1408" s="507">
        <f>SUMIFS(Controle!$R:$R,Controle!$H:$H,produtos_escape2!$A1408,Controle!$Z:$Z,"4")</f>
        <v>0</v>
      </c>
      <c r="J1408" s="507">
        <f>SUMIFS(Controle!$R:$R,Controle!$H:$H,produtos_escape2!$A1408,Controle!$Z:$Z,"5")</f>
        <v>0</v>
      </c>
      <c r="K1408" s="507">
        <f>SUMIFS(Controle!$R:$R,Controle!$H:$H,produtos_escape2!$A1408,Controle!$Z:$Z,"6")</f>
        <v>0</v>
      </c>
      <c r="L1408" s="507">
        <f t="shared" si="48"/>
        <v>0</v>
      </c>
      <c r="M1408" s="381" t="s">
        <v>5768</v>
      </c>
      <c r="AF1408" s="84"/>
    </row>
    <row r="1409" spans="1:32" s="185" customFormat="1" ht="14.25" customHeight="1" thickBot="1">
      <c r="A1409" s="353">
        <v>34537</v>
      </c>
      <c r="B1409" s="194" t="s">
        <v>4152</v>
      </c>
      <c r="C1409" s="339">
        <f t="shared" si="46"/>
        <v>50000</v>
      </c>
      <c r="D1409" s="196" t="s">
        <v>747</v>
      </c>
      <c r="E1409" s="187" t="s">
        <v>7207</v>
      </c>
      <c r="F1409" s="507">
        <f>SUMIFS(Controle!$R:$R,Controle!$H:$H,produtos_escape2!$A1409,Controle!$Z:$Z,"1")</f>
        <v>0</v>
      </c>
      <c r="G1409" s="507">
        <f>SUMIFS(Controle!$R:$R,Controle!$H:$H,produtos_escape2!$A1409,Controle!$Z:$Z,"2")</f>
        <v>0</v>
      </c>
      <c r="H1409" s="507">
        <f>SUMIFS(Controle!$R:$R,Controle!$H:$H,produtos_escape2!$A1409,Controle!$Z:$Z,"3")</f>
        <v>0</v>
      </c>
      <c r="I1409" s="507">
        <f>SUMIFS(Controle!$R:$R,Controle!$H:$H,produtos_escape2!$A1409,Controle!$Z:$Z,"4")</f>
        <v>0</v>
      </c>
      <c r="J1409" s="507">
        <f>SUMIFS(Controle!$R:$R,Controle!$H:$H,produtos_escape2!$A1409,Controle!$Z:$Z,"5")</f>
        <v>0</v>
      </c>
      <c r="K1409" s="507">
        <f>SUMIFS(Controle!$R:$R,Controle!$H:$H,produtos_escape2!$A1409,Controle!$Z:$Z,"6")</f>
        <v>0</v>
      </c>
      <c r="L1409" s="507">
        <f t="shared" si="48"/>
        <v>0</v>
      </c>
      <c r="M1409" s="381" t="s">
        <v>4744</v>
      </c>
      <c r="AF1409" s="84"/>
    </row>
    <row r="1410" spans="1:32" s="185" customFormat="1" ht="14.25" customHeight="1" thickBot="1">
      <c r="A1410" s="353">
        <v>34548</v>
      </c>
      <c r="B1410" s="194" t="s">
        <v>2944</v>
      </c>
      <c r="C1410" s="339">
        <f t="shared" si="46"/>
        <v>50000</v>
      </c>
      <c r="D1410" s="196" t="s">
        <v>624</v>
      </c>
      <c r="E1410" s="187" t="s">
        <v>3608</v>
      </c>
      <c r="F1410" s="507">
        <f>SUMIFS(Controle!$R:$R,Controle!$H:$H,produtos_escape2!$A1410,Controle!$Z:$Z,"1")</f>
        <v>0</v>
      </c>
      <c r="G1410" s="507">
        <f>SUMIFS(Controle!$R:$R,Controle!$H:$H,produtos_escape2!$A1410,Controle!$Z:$Z,"2")</f>
        <v>0</v>
      </c>
      <c r="H1410" s="507">
        <f>SUMIFS(Controle!$R:$R,Controle!$H:$H,produtos_escape2!$A1410,Controle!$Z:$Z,"3")</f>
        <v>0</v>
      </c>
      <c r="I1410" s="507">
        <f>SUMIFS(Controle!$R:$R,Controle!$H:$H,produtos_escape2!$A1410,Controle!$Z:$Z,"4")</f>
        <v>0</v>
      </c>
      <c r="J1410" s="507">
        <f>SUMIFS(Controle!$R:$R,Controle!$H:$H,produtos_escape2!$A1410,Controle!$Z:$Z,"5")</f>
        <v>0</v>
      </c>
      <c r="K1410" s="507">
        <f>SUMIFS(Controle!$R:$R,Controle!$H:$H,produtos_escape2!$A1410,Controle!$Z:$Z,"6")</f>
        <v>0</v>
      </c>
      <c r="L1410" s="507">
        <f t="shared" si="48"/>
        <v>0</v>
      </c>
      <c r="M1410" s="381" t="s">
        <v>5305</v>
      </c>
      <c r="AF1410" s="84"/>
    </row>
    <row r="1411" spans="1:32" s="185" customFormat="1" ht="14.25" customHeight="1" thickBot="1">
      <c r="A1411" s="353">
        <v>34549</v>
      </c>
      <c r="B1411" s="194" t="s">
        <v>2662</v>
      </c>
      <c r="C1411" s="339">
        <f t="shared" si="46"/>
        <v>50000</v>
      </c>
      <c r="D1411" s="196" t="s">
        <v>624</v>
      </c>
      <c r="E1411" s="187" t="s">
        <v>3608</v>
      </c>
      <c r="F1411" s="507">
        <f>SUMIFS(Controle!$R:$R,Controle!$H:$H,produtos_escape2!$A1411,Controle!$Z:$Z,"1")</f>
        <v>0</v>
      </c>
      <c r="G1411" s="507">
        <f>SUMIFS(Controle!$R:$R,Controle!$H:$H,produtos_escape2!$A1411,Controle!$Z:$Z,"2")</f>
        <v>0</v>
      </c>
      <c r="H1411" s="507">
        <f>SUMIFS(Controle!$R:$R,Controle!$H:$H,produtos_escape2!$A1411,Controle!$Z:$Z,"3")</f>
        <v>0</v>
      </c>
      <c r="I1411" s="507">
        <f>SUMIFS(Controle!$R:$R,Controle!$H:$H,produtos_escape2!$A1411,Controle!$Z:$Z,"4")</f>
        <v>0</v>
      </c>
      <c r="J1411" s="507">
        <f>SUMIFS(Controle!$R:$R,Controle!$H:$H,produtos_escape2!$A1411,Controle!$Z:$Z,"5")</f>
        <v>0</v>
      </c>
      <c r="K1411" s="507">
        <f>SUMIFS(Controle!$R:$R,Controle!$H:$H,produtos_escape2!$A1411,Controle!$Z:$Z,"6")</f>
        <v>0</v>
      </c>
      <c r="L1411" s="507">
        <f t="shared" si="48"/>
        <v>0</v>
      </c>
      <c r="M1411" s="381" t="s">
        <v>5306</v>
      </c>
      <c r="AF1411" s="84"/>
    </row>
    <row r="1412" spans="1:32" s="185" customFormat="1" ht="14.25" customHeight="1" thickBot="1">
      <c r="A1412" s="353">
        <v>34564</v>
      </c>
      <c r="B1412" s="194" t="s">
        <v>1816</v>
      </c>
      <c r="C1412" s="339">
        <f t="shared" si="46"/>
        <v>50000</v>
      </c>
      <c r="D1412" s="191" t="s">
        <v>624</v>
      </c>
      <c r="E1412" s="189" t="s">
        <v>3608</v>
      </c>
      <c r="F1412" s="507">
        <f>SUMIFS(Controle!$R:$R,Controle!$H:$H,produtos_escape2!$A1412,Controle!$Z:$Z,"1")</f>
        <v>0</v>
      </c>
      <c r="G1412" s="507">
        <f>SUMIFS(Controle!$R:$R,Controle!$H:$H,produtos_escape2!$A1412,Controle!$Z:$Z,"2")</f>
        <v>0</v>
      </c>
      <c r="H1412" s="507">
        <f>SUMIFS(Controle!$R:$R,Controle!$H:$H,produtos_escape2!$A1412,Controle!$Z:$Z,"3")</f>
        <v>0</v>
      </c>
      <c r="I1412" s="507">
        <f>SUMIFS(Controle!$R:$R,Controle!$H:$H,produtos_escape2!$A1412,Controle!$Z:$Z,"4")</f>
        <v>0</v>
      </c>
      <c r="J1412" s="507">
        <f>SUMIFS(Controle!$R:$R,Controle!$H:$H,produtos_escape2!$A1412,Controle!$Z:$Z,"5")</f>
        <v>0</v>
      </c>
      <c r="K1412" s="507">
        <f>SUMIFS(Controle!$R:$R,Controle!$H:$H,produtos_escape2!$A1412,Controle!$Z:$Z,"6")</f>
        <v>0</v>
      </c>
      <c r="L1412" s="507">
        <f t="shared" si="48"/>
        <v>0</v>
      </c>
      <c r="M1412" s="381" t="s">
        <v>5307</v>
      </c>
      <c r="AF1412" s="84"/>
    </row>
    <row r="1413" spans="1:32" s="185" customFormat="1" ht="14.25" customHeight="1" thickBot="1">
      <c r="A1413" s="353">
        <v>34565</v>
      </c>
      <c r="B1413" s="194" t="s">
        <v>1817</v>
      </c>
      <c r="C1413" s="339">
        <f t="shared" si="46"/>
        <v>50000</v>
      </c>
      <c r="D1413" s="191" t="s">
        <v>624</v>
      </c>
      <c r="E1413" s="189" t="s">
        <v>3608</v>
      </c>
      <c r="F1413" s="507">
        <f>SUMIFS(Controle!$R:$R,Controle!$H:$H,produtos_escape2!$A1413,Controle!$Z:$Z,"1")</f>
        <v>0</v>
      </c>
      <c r="G1413" s="507">
        <f>SUMIFS(Controle!$R:$R,Controle!$H:$H,produtos_escape2!$A1413,Controle!$Z:$Z,"2")</f>
        <v>0</v>
      </c>
      <c r="H1413" s="507">
        <f>SUMIFS(Controle!$R:$R,Controle!$H:$H,produtos_escape2!$A1413,Controle!$Z:$Z,"3")</f>
        <v>0</v>
      </c>
      <c r="I1413" s="507">
        <f>SUMIFS(Controle!$R:$R,Controle!$H:$H,produtos_escape2!$A1413,Controle!$Z:$Z,"4")</f>
        <v>0</v>
      </c>
      <c r="J1413" s="507">
        <f>SUMIFS(Controle!$R:$R,Controle!$H:$H,produtos_escape2!$A1413,Controle!$Z:$Z,"5")</f>
        <v>0</v>
      </c>
      <c r="K1413" s="507">
        <f>SUMIFS(Controle!$R:$R,Controle!$H:$H,produtos_escape2!$A1413,Controle!$Z:$Z,"6")</f>
        <v>0</v>
      </c>
      <c r="L1413" s="507">
        <f t="shared" si="48"/>
        <v>0</v>
      </c>
      <c r="M1413" s="381" t="s">
        <v>5307</v>
      </c>
      <c r="AF1413" s="84"/>
    </row>
    <row r="1414" spans="1:32" s="185" customFormat="1" ht="14.25" customHeight="1" thickBot="1">
      <c r="A1414" s="353">
        <v>34566</v>
      </c>
      <c r="B1414" s="194" t="s">
        <v>1818</v>
      </c>
      <c r="C1414" s="339">
        <f t="shared" ref="C1414:C1478" si="49">50000-SUM(F1414:K1414)</f>
        <v>50000</v>
      </c>
      <c r="D1414" s="191" t="s">
        <v>624</v>
      </c>
      <c r="E1414" s="189" t="s">
        <v>3608</v>
      </c>
      <c r="F1414" s="507">
        <f>SUMIFS(Controle!$R:$R,Controle!$H:$H,produtos_escape2!$A1414,Controle!$Z:$Z,"1")</f>
        <v>0</v>
      </c>
      <c r="G1414" s="507">
        <f>SUMIFS(Controle!$R:$R,Controle!$H:$H,produtos_escape2!$A1414,Controle!$Z:$Z,"2")</f>
        <v>0</v>
      </c>
      <c r="H1414" s="507">
        <f>SUMIFS(Controle!$R:$R,Controle!$H:$H,produtos_escape2!$A1414,Controle!$Z:$Z,"3")</f>
        <v>0</v>
      </c>
      <c r="I1414" s="507">
        <f>SUMIFS(Controle!$R:$R,Controle!$H:$H,produtos_escape2!$A1414,Controle!$Z:$Z,"4")</f>
        <v>0</v>
      </c>
      <c r="J1414" s="507">
        <f>SUMIFS(Controle!$R:$R,Controle!$H:$H,produtos_escape2!$A1414,Controle!$Z:$Z,"5")</f>
        <v>0</v>
      </c>
      <c r="K1414" s="507">
        <f>SUMIFS(Controle!$R:$R,Controle!$H:$H,produtos_escape2!$A1414,Controle!$Z:$Z,"6")</f>
        <v>0</v>
      </c>
      <c r="L1414" s="507">
        <f t="shared" si="48"/>
        <v>0</v>
      </c>
      <c r="M1414" s="381" t="s">
        <v>5307</v>
      </c>
      <c r="AF1414" s="84"/>
    </row>
    <row r="1415" spans="1:32" s="185" customFormat="1" ht="14.25" customHeight="1" thickBot="1">
      <c r="A1415" s="333">
        <v>34567</v>
      </c>
      <c r="B1415" s="194" t="s">
        <v>1819</v>
      </c>
      <c r="C1415" s="339">
        <f t="shared" si="49"/>
        <v>50000</v>
      </c>
      <c r="D1415" s="191" t="s">
        <v>624</v>
      </c>
      <c r="E1415" s="189" t="s">
        <v>3608</v>
      </c>
      <c r="F1415" s="507">
        <f>SUMIFS(Controle!$R:$R,Controle!$H:$H,produtos_escape2!$A1415,Controle!$Z:$Z,"1")</f>
        <v>0</v>
      </c>
      <c r="G1415" s="507">
        <f>SUMIFS(Controle!$R:$R,Controle!$H:$H,produtos_escape2!$A1415,Controle!$Z:$Z,"2")</f>
        <v>0</v>
      </c>
      <c r="H1415" s="507">
        <f>SUMIFS(Controle!$R:$R,Controle!$H:$H,produtos_escape2!$A1415,Controle!$Z:$Z,"3")</f>
        <v>0</v>
      </c>
      <c r="I1415" s="507">
        <f>SUMIFS(Controle!$R:$R,Controle!$H:$H,produtos_escape2!$A1415,Controle!$Z:$Z,"4")</f>
        <v>0</v>
      </c>
      <c r="J1415" s="507">
        <f>SUMIFS(Controle!$R:$R,Controle!$H:$H,produtos_escape2!$A1415,Controle!$Z:$Z,"5")</f>
        <v>0</v>
      </c>
      <c r="K1415" s="507">
        <f>SUMIFS(Controle!$R:$R,Controle!$H:$H,produtos_escape2!$A1415,Controle!$Z:$Z,"6")</f>
        <v>0</v>
      </c>
      <c r="L1415" s="507">
        <f t="shared" si="48"/>
        <v>0</v>
      </c>
      <c r="M1415" s="381" t="s">
        <v>5307</v>
      </c>
      <c r="AF1415" s="84"/>
    </row>
    <row r="1416" spans="1:32" s="185" customFormat="1" ht="14.25" customHeight="1" thickBot="1">
      <c r="A1416" s="353">
        <v>34568</v>
      </c>
      <c r="B1416" s="338" t="s">
        <v>1820</v>
      </c>
      <c r="C1416" s="339">
        <f t="shared" si="49"/>
        <v>50000</v>
      </c>
      <c r="D1416" s="191" t="s">
        <v>624</v>
      </c>
      <c r="E1416" s="189" t="s">
        <v>3608</v>
      </c>
      <c r="F1416" s="507">
        <f>SUMIFS(Controle!$R:$R,Controle!$H:$H,produtos_escape2!$A1416,Controle!$Z:$Z,"1")</f>
        <v>0</v>
      </c>
      <c r="G1416" s="507">
        <f>SUMIFS(Controle!$R:$R,Controle!$H:$H,produtos_escape2!$A1416,Controle!$Z:$Z,"2")</f>
        <v>0</v>
      </c>
      <c r="H1416" s="507">
        <f>SUMIFS(Controle!$R:$R,Controle!$H:$H,produtos_escape2!$A1416,Controle!$Z:$Z,"3")</f>
        <v>0</v>
      </c>
      <c r="I1416" s="507">
        <f>SUMIFS(Controle!$R:$R,Controle!$H:$H,produtos_escape2!$A1416,Controle!$Z:$Z,"4")</f>
        <v>0</v>
      </c>
      <c r="J1416" s="507">
        <f>SUMIFS(Controle!$R:$R,Controle!$H:$H,produtos_escape2!$A1416,Controle!$Z:$Z,"5")</f>
        <v>0</v>
      </c>
      <c r="K1416" s="507">
        <f>SUMIFS(Controle!$R:$R,Controle!$H:$H,produtos_escape2!$A1416,Controle!$Z:$Z,"6")</f>
        <v>0</v>
      </c>
      <c r="L1416" s="507">
        <f t="shared" si="48"/>
        <v>0</v>
      </c>
      <c r="M1416" s="381" t="s">
        <v>5307</v>
      </c>
      <c r="AF1416" s="84"/>
    </row>
    <row r="1417" spans="1:32" s="185" customFormat="1" ht="14.25" customHeight="1" thickBot="1">
      <c r="A1417" s="353">
        <v>34569</v>
      </c>
      <c r="B1417" s="194" t="s">
        <v>1821</v>
      </c>
      <c r="C1417" s="339">
        <f t="shared" si="49"/>
        <v>50000</v>
      </c>
      <c r="D1417" s="191" t="s">
        <v>624</v>
      </c>
      <c r="E1417" s="189" t="s">
        <v>3608</v>
      </c>
      <c r="F1417" s="507">
        <f>SUMIFS(Controle!$R:$R,Controle!$H:$H,produtos_escape2!$A1417,Controle!$Z:$Z,"1")</f>
        <v>0</v>
      </c>
      <c r="G1417" s="507">
        <f>SUMIFS(Controle!$R:$R,Controle!$H:$H,produtos_escape2!$A1417,Controle!$Z:$Z,"2")</f>
        <v>0</v>
      </c>
      <c r="H1417" s="507">
        <f>SUMIFS(Controle!$R:$R,Controle!$H:$H,produtos_escape2!$A1417,Controle!$Z:$Z,"3")</f>
        <v>0</v>
      </c>
      <c r="I1417" s="507">
        <f>SUMIFS(Controle!$R:$R,Controle!$H:$H,produtos_escape2!$A1417,Controle!$Z:$Z,"4")</f>
        <v>0</v>
      </c>
      <c r="J1417" s="507">
        <f>SUMIFS(Controle!$R:$R,Controle!$H:$H,produtos_escape2!$A1417,Controle!$Z:$Z,"5")</f>
        <v>0</v>
      </c>
      <c r="K1417" s="507">
        <f>SUMIFS(Controle!$R:$R,Controle!$H:$H,produtos_escape2!$A1417,Controle!$Z:$Z,"6")</f>
        <v>0</v>
      </c>
      <c r="L1417" s="507">
        <f t="shared" si="48"/>
        <v>0</v>
      </c>
      <c r="M1417" s="381" t="s">
        <v>5307</v>
      </c>
      <c r="AF1417" s="84"/>
    </row>
    <row r="1418" spans="1:32" s="185" customFormat="1" ht="14.25" customHeight="1" thickBot="1">
      <c r="A1418" s="353">
        <v>34570</v>
      </c>
      <c r="B1418" s="194" t="s">
        <v>1822</v>
      </c>
      <c r="C1418" s="339">
        <f t="shared" si="49"/>
        <v>50000</v>
      </c>
      <c r="D1418" s="191" t="s">
        <v>624</v>
      </c>
      <c r="E1418" s="189" t="s">
        <v>3608</v>
      </c>
      <c r="F1418" s="507">
        <f>SUMIFS(Controle!$R:$R,Controle!$H:$H,produtos_escape2!$A1418,Controle!$Z:$Z,"1")</f>
        <v>0</v>
      </c>
      <c r="G1418" s="507">
        <f>SUMIFS(Controle!$R:$R,Controle!$H:$H,produtos_escape2!$A1418,Controle!$Z:$Z,"2")</f>
        <v>0</v>
      </c>
      <c r="H1418" s="507">
        <f>SUMIFS(Controle!$R:$R,Controle!$H:$H,produtos_escape2!$A1418,Controle!$Z:$Z,"3")</f>
        <v>0</v>
      </c>
      <c r="I1418" s="507">
        <f>SUMIFS(Controle!$R:$R,Controle!$H:$H,produtos_escape2!$A1418,Controle!$Z:$Z,"4")</f>
        <v>0</v>
      </c>
      <c r="J1418" s="507">
        <f>SUMIFS(Controle!$R:$R,Controle!$H:$H,produtos_escape2!$A1418,Controle!$Z:$Z,"5")</f>
        <v>0</v>
      </c>
      <c r="K1418" s="507">
        <f>SUMIFS(Controle!$R:$R,Controle!$H:$H,produtos_escape2!$A1418,Controle!$Z:$Z,"6")</f>
        <v>0</v>
      </c>
      <c r="L1418" s="507">
        <f t="shared" si="48"/>
        <v>0</v>
      </c>
      <c r="M1418" s="381" t="s">
        <v>5307</v>
      </c>
      <c r="AF1418" s="84"/>
    </row>
    <row r="1419" spans="1:32" s="185" customFormat="1" ht="14.25" customHeight="1" thickBot="1">
      <c r="A1419" s="353">
        <v>34591</v>
      </c>
      <c r="B1419" s="194" t="s">
        <v>1813</v>
      </c>
      <c r="C1419" s="339">
        <f t="shared" si="49"/>
        <v>48082.5</v>
      </c>
      <c r="D1419" s="196" t="s">
        <v>547</v>
      </c>
      <c r="E1419" s="187" t="s">
        <v>3608</v>
      </c>
      <c r="F1419" s="507">
        <f>SUMIFS(Controle!$R:$R,Controle!$H:$H,produtos_escape2!$A1419,Controle!$Z:$Z,"1")</f>
        <v>0</v>
      </c>
      <c r="G1419" s="507">
        <f>SUMIFS(Controle!$R:$R,Controle!$H:$H,produtos_escape2!$A1419,Controle!$Z:$Z,"2")</f>
        <v>0</v>
      </c>
      <c r="H1419" s="507">
        <f>SUMIFS(Controle!$R:$R,Controle!$H:$H,produtos_escape2!$A1419,Controle!$Z:$Z,"3")</f>
        <v>980.00000000000011</v>
      </c>
      <c r="I1419" s="507">
        <f>SUMIFS(Controle!$R:$R,Controle!$H:$H,produtos_escape2!$A1419,Controle!$Z:$Z,"4")</f>
        <v>0</v>
      </c>
      <c r="J1419" s="507">
        <f>SUMIFS(Controle!$R:$R,Controle!$H:$H,produtos_escape2!$A1419,Controle!$Z:$Z,"5")</f>
        <v>0</v>
      </c>
      <c r="K1419" s="507">
        <f>SUMIFS(Controle!$R:$R,Controle!$H:$H,produtos_escape2!$A1419,Controle!$Z:$Z,"6")</f>
        <v>937.5</v>
      </c>
      <c r="L1419" s="507">
        <f t="shared" si="48"/>
        <v>1917.5</v>
      </c>
      <c r="M1419" s="381" t="s">
        <v>1813</v>
      </c>
      <c r="AF1419" s="84"/>
    </row>
    <row r="1420" spans="1:32" s="185" customFormat="1" ht="14.25" customHeight="1" thickBot="1">
      <c r="A1420" s="353">
        <v>34595</v>
      </c>
      <c r="B1420" s="194" t="s">
        <v>4048</v>
      </c>
      <c r="C1420" s="339">
        <f t="shared" si="49"/>
        <v>50000</v>
      </c>
      <c r="D1420" s="196" t="s">
        <v>819</v>
      </c>
      <c r="E1420" s="187" t="s">
        <v>3608</v>
      </c>
      <c r="F1420" s="507">
        <f>SUMIFS(Controle!$R:$R,Controle!$H:$H,produtos_escape2!$A1420,Controle!$Z:$Z,"1")</f>
        <v>0</v>
      </c>
      <c r="G1420" s="507">
        <f>SUMIFS(Controle!$R:$R,Controle!$H:$H,produtos_escape2!$A1420,Controle!$Z:$Z,"2")</f>
        <v>0</v>
      </c>
      <c r="H1420" s="507">
        <f>SUMIFS(Controle!$R:$R,Controle!$H:$H,produtos_escape2!$A1420,Controle!$Z:$Z,"3")</f>
        <v>0</v>
      </c>
      <c r="I1420" s="507">
        <f>SUMIFS(Controle!$R:$R,Controle!$H:$H,produtos_escape2!$A1420,Controle!$Z:$Z,"4")</f>
        <v>0</v>
      </c>
      <c r="J1420" s="507">
        <f>SUMIFS(Controle!$R:$R,Controle!$H:$H,produtos_escape2!$A1420,Controle!$Z:$Z,"5")</f>
        <v>0</v>
      </c>
      <c r="K1420" s="507">
        <f>SUMIFS(Controle!$R:$R,Controle!$H:$H,produtos_escape2!$A1420,Controle!$Z:$Z,"6")</f>
        <v>0</v>
      </c>
      <c r="L1420" s="507">
        <f t="shared" si="48"/>
        <v>0</v>
      </c>
      <c r="M1420" s="381" t="s">
        <v>5308</v>
      </c>
      <c r="AF1420" s="84"/>
    </row>
    <row r="1421" spans="1:32" s="185" customFormat="1" ht="14.25" customHeight="1" thickBot="1">
      <c r="A1421" s="353">
        <v>34605</v>
      </c>
      <c r="B1421" s="194" t="s">
        <v>2663</v>
      </c>
      <c r="C1421" s="339">
        <f t="shared" si="49"/>
        <v>50000</v>
      </c>
      <c r="D1421" s="196" t="s">
        <v>729</v>
      </c>
      <c r="E1421" s="187" t="s">
        <v>3608</v>
      </c>
      <c r="F1421" s="507">
        <f>SUMIFS(Controle!$R:$R,Controle!$H:$H,produtos_escape2!$A1421,Controle!$Z:$Z,"1")</f>
        <v>0</v>
      </c>
      <c r="G1421" s="507">
        <f>SUMIFS(Controle!$R:$R,Controle!$H:$H,produtos_escape2!$A1421,Controle!$Z:$Z,"2")</f>
        <v>0</v>
      </c>
      <c r="H1421" s="507">
        <f>SUMIFS(Controle!$R:$R,Controle!$H:$H,produtos_escape2!$A1421,Controle!$Z:$Z,"3")</f>
        <v>0</v>
      </c>
      <c r="I1421" s="507">
        <f>SUMIFS(Controle!$R:$R,Controle!$H:$H,produtos_escape2!$A1421,Controle!$Z:$Z,"4")</f>
        <v>0</v>
      </c>
      <c r="J1421" s="507">
        <f>SUMIFS(Controle!$R:$R,Controle!$H:$H,produtos_escape2!$A1421,Controle!$Z:$Z,"5")</f>
        <v>0</v>
      </c>
      <c r="K1421" s="507">
        <f>SUMIFS(Controle!$R:$R,Controle!$H:$H,produtos_escape2!$A1421,Controle!$Z:$Z,"6")</f>
        <v>0</v>
      </c>
      <c r="L1421" s="507">
        <f t="shared" si="48"/>
        <v>0</v>
      </c>
      <c r="M1421" s="381" t="s">
        <v>5309</v>
      </c>
      <c r="AF1421" s="84"/>
    </row>
    <row r="1422" spans="1:32" s="185" customFormat="1" ht="14.25" customHeight="1" thickBot="1">
      <c r="A1422" s="353">
        <v>34609</v>
      </c>
      <c r="B1422" s="194" t="s">
        <v>7114</v>
      </c>
      <c r="C1422" s="339">
        <f t="shared" si="49"/>
        <v>50000</v>
      </c>
      <c r="D1422" s="196" t="s">
        <v>624</v>
      </c>
      <c r="E1422" s="187" t="s">
        <v>3608</v>
      </c>
      <c r="F1422" s="507">
        <f>SUMIFS(Controle!$R:$R,Controle!$H:$H,produtos_escape2!$A1422,Controle!$Z:$Z,"1")</f>
        <v>0</v>
      </c>
      <c r="G1422" s="507">
        <f>SUMIFS(Controle!$R:$R,Controle!$H:$H,produtos_escape2!$A1422,Controle!$Z:$Z,"2")</f>
        <v>0</v>
      </c>
      <c r="H1422" s="507">
        <f>SUMIFS(Controle!$R:$R,Controle!$H:$H,produtos_escape2!$A1422,Controle!$Z:$Z,"3")</f>
        <v>0</v>
      </c>
      <c r="I1422" s="507">
        <f>SUMIFS(Controle!$R:$R,Controle!$H:$H,produtos_escape2!$A1422,Controle!$Z:$Z,"4")</f>
        <v>0</v>
      </c>
      <c r="J1422" s="507">
        <f>SUMIFS(Controle!$R:$R,Controle!$H:$H,produtos_escape2!$A1422,Controle!$Z:$Z,"5")</f>
        <v>0</v>
      </c>
      <c r="K1422" s="507">
        <f>SUMIFS(Controle!$R:$R,Controle!$H:$H,produtos_escape2!$A1422,Controle!$Z:$Z,"6")</f>
        <v>0</v>
      </c>
      <c r="L1422" s="507">
        <f t="shared" si="48"/>
        <v>0</v>
      </c>
      <c r="M1422" s="381" t="s">
        <v>7115</v>
      </c>
      <c r="AF1422" s="84"/>
    </row>
    <row r="1423" spans="1:32" s="185" customFormat="1" ht="14.25" customHeight="1" thickBot="1">
      <c r="A1423" s="353">
        <v>34669</v>
      </c>
      <c r="B1423" s="194" t="s">
        <v>2664</v>
      </c>
      <c r="C1423" s="339">
        <f t="shared" si="49"/>
        <v>50000</v>
      </c>
      <c r="D1423" s="196" t="s">
        <v>1091</v>
      </c>
      <c r="E1423" s="187" t="s">
        <v>3608</v>
      </c>
      <c r="F1423" s="507">
        <f>SUMIFS(Controle!$R:$R,Controle!$H:$H,produtos_escape2!$A1423,Controle!$Z:$Z,"1")</f>
        <v>0</v>
      </c>
      <c r="G1423" s="507">
        <f>SUMIFS(Controle!$R:$R,Controle!$H:$H,produtos_escape2!$A1423,Controle!$Z:$Z,"2")</f>
        <v>0</v>
      </c>
      <c r="H1423" s="507">
        <f>SUMIFS(Controle!$R:$R,Controle!$H:$H,produtos_escape2!$A1423,Controle!$Z:$Z,"3")</f>
        <v>0</v>
      </c>
      <c r="I1423" s="507">
        <f>SUMIFS(Controle!$R:$R,Controle!$H:$H,produtos_escape2!$A1423,Controle!$Z:$Z,"4")</f>
        <v>0</v>
      </c>
      <c r="J1423" s="507">
        <f>SUMIFS(Controle!$R:$R,Controle!$H:$H,produtos_escape2!$A1423,Controle!$Z:$Z,"5")</f>
        <v>0</v>
      </c>
      <c r="K1423" s="507">
        <f>SUMIFS(Controle!$R:$R,Controle!$H:$H,produtos_escape2!$A1423,Controle!$Z:$Z,"6")</f>
        <v>0</v>
      </c>
      <c r="L1423" s="507">
        <f t="shared" si="48"/>
        <v>0</v>
      </c>
      <c r="M1423" s="381" t="s">
        <v>5310</v>
      </c>
      <c r="AF1423" s="84"/>
    </row>
    <row r="1424" spans="1:32" s="185" customFormat="1" ht="14.25" customHeight="1" thickBot="1">
      <c r="A1424" s="333">
        <v>34670</v>
      </c>
      <c r="B1424" s="194" t="s">
        <v>2765</v>
      </c>
      <c r="C1424" s="339">
        <f t="shared" si="49"/>
        <v>50000</v>
      </c>
      <c r="D1424" s="196" t="s">
        <v>1091</v>
      </c>
      <c r="E1424" s="187" t="s">
        <v>3608</v>
      </c>
      <c r="F1424" s="507">
        <f>SUMIFS(Controle!$R:$R,Controle!$H:$H,produtos_escape2!$A1424,Controle!$Z:$Z,"1")</f>
        <v>0</v>
      </c>
      <c r="G1424" s="507">
        <f>SUMIFS(Controle!$R:$R,Controle!$H:$H,produtos_escape2!$A1424,Controle!$Z:$Z,"2")</f>
        <v>0</v>
      </c>
      <c r="H1424" s="507">
        <f>SUMIFS(Controle!$R:$R,Controle!$H:$H,produtos_escape2!$A1424,Controle!$Z:$Z,"3")</f>
        <v>0</v>
      </c>
      <c r="I1424" s="507">
        <f>SUMIFS(Controle!$R:$R,Controle!$H:$H,produtos_escape2!$A1424,Controle!$Z:$Z,"4")</f>
        <v>0</v>
      </c>
      <c r="J1424" s="507">
        <f>SUMIFS(Controle!$R:$R,Controle!$H:$H,produtos_escape2!$A1424,Controle!$Z:$Z,"5")</f>
        <v>0</v>
      </c>
      <c r="K1424" s="507">
        <f>SUMIFS(Controle!$R:$R,Controle!$H:$H,produtos_escape2!$A1424,Controle!$Z:$Z,"6")</f>
        <v>0</v>
      </c>
      <c r="L1424" s="507">
        <f t="shared" si="48"/>
        <v>0</v>
      </c>
      <c r="M1424" s="381" t="s">
        <v>5311</v>
      </c>
      <c r="AF1424" s="84"/>
    </row>
    <row r="1425" spans="1:32" s="185" customFormat="1" ht="14.25" customHeight="1" thickBot="1">
      <c r="A1425" s="353">
        <v>34750</v>
      </c>
      <c r="B1425" s="338" t="s">
        <v>2840</v>
      </c>
      <c r="C1425" s="339">
        <f t="shared" si="49"/>
        <v>49909.5</v>
      </c>
      <c r="D1425" s="196" t="s">
        <v>547</v>
      </c>
      <c r="E1425" s="187" t="s">
        <v>3608</v>
      </c>
      <c r="F1425" s="507">
        <f>SUMIFS(Controle!$R:$R,Controle!$H:$H,produtos_escape2!$A1425,Controle!$Z:$Z,"1")</f>
        <v>0</v>
      </c>
      <c r="G1425" s="507">
        <f>SUMIFS(Controle!$R:$R,Controle!$H:$H,produtos_escape2!$A1425,Controle!$Z:$Z,"2")</f>
        <v>0</v>
      </c>
      <c r="H1425" s="507">
        <f>SUMIFS(Controle!$R:$R,Controle!$H:$H,produtos_escape2!$A1425,Controle!$Z:$Z,"3")</f>
        <v>0</v>
      </c>
      <c r="I1425" s="507">
        <f>SUMIFS(Controle!$R:$R,Controle!$H:$H,produtos_escape2!$A1425,Controle!$Z:$Z,"4")</f>
        <v>0</v>
      </c>
      <c r="J1425" s="507">
        <f>SUMIFS(Controle!$R:$R,Controle!$H:$H,produtos_escape2!$A1425,Controle!$Z:$Z,"5")</f>
        <v>0</v>
      </c>
      <c r="K1425" s="507">
        <f>SUMIFS(Controle!$R:$R,Controle!$H:$H,produtos_escape2!$A1425,Controle!$Z:$Z,"6")</f>
        <v>90.5</v>
      </c>
      <c r="L1425" s="507">
        <f t="shared" si="48"/>
        <v>90.5</v>
      </c>
      <c r="M1425" s="381" t="s">
        <v>2840</v>
      </c>
      <c r="AF1425" s="84"/>
    </row>
    <row r="1426" spans="1:32" s="185" customFormat="1" ht="14.25" customHeight="1" thickBot="1">
      <c r="A1426" s="353">
        <v>34770</v>
      </c>
      <c r="B1426" s="194" t="s">
        <v>3031</v>
      </c>
      <c r="C1426" s="339">
        <f t="shared" si="49"/>
        <v>50000</v>
      </c>
      <c r="D1426" s="191" t="s">
        <v>639</v>
      </c>
      <c r="E1426" s="189" t="s">
        <v>3608</v>
      </c>
      <c r="F1426" s="507">
        <f>SUMIFS(Controle!$R:$R,Controle!$H:$H,produtos_escape2!$A1426,Controle!$Z:$Z,"1")</f>
        <v>0</v>
      </c>
      <c r="G1426" s="507">
        <f>SUMIFS(Controle!$R:$R,Controle!$H:$H,produtos_escape2!$A1426,Controle!$Z:$Z,"2")</f>
        <v>0</v>
      </c>
      <c r="H1426" s="507">
        <f>SUMIFS(Controle!$R:$R,Controle!$H:$H,produtos_escape2!$A1426,Controle!$Z:$Z,"3")</f>
        <v>0</v>
      </c>
      <c r="I1426" s="507">
        <f>SUMIFS(Controle!$R:$R,Controle!$H:$H,produtos_escape2!$A1426,Controle!$Z:$Z,"4")</f>
        <v>0</v>
      </c>
      <c r="J1426" s="507">
        <f>SUMIFS(Controle!$R:$R,Controle!$H:$H,produtos_escape2!$A1426,Controle!$Z:$Z,"5")</f>
        <v>0</v>
      </c>
      <c r="K1426" s="507">
        <f>SUMIFS(Controle!$R:$R,Controle!$H:$H,produtos_escape2!$A1426,Controle!$Z:$Z,"6")</f>
        <v>0</v>
      </c>
      <c r="L1426" s="507">
        <f t="shared" si="48"/>
        <v>0</v>
      </c>
      <c r="M1426" s="381" t="s">
        <v>4590</v>
      </c>
      <c r="AF1426" s="84"/>
    </row>
    <row r="1427" spans="1:32" s="185" customFormat="1" ht="14.25" customHeight="1" thickBot="1">
      <c r="A1427" s="353">
        <v>34771</v>
      </c>
      <c r="B1427" s="194" t="s">
        <v>3724</v>
      </c>
      <c r="C1427" s="339">
        <f t="shared" si="49"/>
        <v>50000</v>
      </c>
      <c r="D1427" s="191" t="s">
        <v>639</v>
      </c>
      <c r="E1427" s="189" t="s">
        <v>3608</v>
      </c>
      <c r="F1427" s="507">
        <f>SUMIFS(Controle!$R:$R,Controle!$H:$H,produtos_escape2!$A1427,Controle!$Z:$Z,"1")</f>
        <v>0</v>
      </c>
      <c r="G1427" s="507">
        <f>SUMIFS(Controle!$R:$R,Controle!$H:$H,produtos_escape2!$A1427,Controle!$Z:$Z,"2")</f>
        <v>0</v>
      </c>
      <c r="H1427" s="507">
        <f>SUMIFS(Controle!$R:$R,Controle!$H:$H,produtos_escape2!$A1427,Controle!$Z:$Z,"3")</f>
        <v>0</v>
      </c>
      <c r="I1427" s="507">
        <f>SUMIFS(Controle!$R:$R,Controle!$H:$H,produtos_escape2!$A1427,Controle!$Z:$Z,"4")</f>
        <v>0</v>
      </c>
      <c r="J1427" s="507">
        <f>SUMIFS(Controle!$R:$R,Controle!$H:$H,produtos_escape2!$A1427,Controle!$Z:$Z,"5")</f>
        <v>0</v>
      </c>
      <c r="K1427" s="507">
        <f>SUMIFS(Controle!$R:$R,Controle!$H:$H,produtos_escape2!$A1427,Controle!$Z:$Z,"6")</f>
        <v>0</v>
      </c>
      <c r="L1427" s="507">
        <f t="shared" si="48"/>
        <v>0</v>
      </c>
      <c r="M1427" s="381" t="s">
        <v>4590</v>
      </c>
      <c r="AF1427" s="84"/>
    </row>
    <row r="1428" spans="1:32" s="185" customFormat="1" ht="14.25" customHeight="1" thickBot="1">
      <c r="A1428" s="353">
        <v>34800</v>
      </c>
      <c r="B1428" s="194" t="s">
        <v>7058</v>
      </c>
      <c r="C1428" s="339">
        <f t="shared" si="49"/>
        <v>50000</v>
      </c>
      <c r="D1428" s="196" t="s">
        <v>624</v>
      </c>
      <c r="E1428" s="189" t="s">
        <v>7207</v>
      </c>
      <c r="F1428" s="507">
        <f>SUMIFS(Controle!$R:$R,Controle!$H:$H,produtos_escape2!$A1428,Controle!$Z:$Z,"1")</f>
        <v>0</v>
      </c>
      <c r="G1428" s="507">
        <f>SUMIFS(Controle!$R:$R,Controle!$H:$H,produtos_escape2!$A1428,Controle!$Z:$Z,"2")</f>
        <v>0</v>
      </c>
      <c r="H1428" s="507">
        <f>SUMIFS(Controle!$R:$R,Controle!$H:$H,produtos_escape2!$A1428,Controle!$Z:$Z,"3")</f>
        <v>0</v>
      </c>
      <c r="I1428" s="507">
        <f>SUMIFS(Controle!$R:$R,Controle!$H:$H,produtos_escape2!$A1428,Controle!$Z:$Z,"4")</f>
        <v>0</v>
      </c>
      <c r="J1428" s="507">
        <f>SUMIFS(Controle!$R:$R,Controle!$H:$H,produtos_escape2!$A1428,Controle!$Z:$Z,"5")</f>
        <v>0</v>
      </c>
      <c r="K1428" s="507">
        <f>SUMIFS(Controle!$R:$R,Controle!$H:$H,produtos_escape2!$A1428,Controle!$Z:$Z,"6")</f>
        <v>0</v>
      </c>
      <c r="L1428" s="507">
        <f t="shared" si="48"/>
        <v>0</v>
      </c>
      <c r="M1428" s="381" t="s">
        <v>7059</v>
      </c>
      <c r="AF1428" s="84"/>
    </row>
    <row r="1429" spans="1:32" s="185" customFormat="1" ht="14.25" customHeight="1" thickBot="1">
      <c r="A1429" s="353">
        <v>34826</v>
      </c>
      <c r="B1429" s="194" t="s">
        <v>6827</v>
      </c>
      <c r="C1429" s="339">
        <f t="shared" si="49"/>
        <v>50000</v>
      </c>
      <c r="D1429" s="191" t="s">
        <v>624</v>
      </c>
      <c r="E1429" s="189" t="s">
        <v>7207</v>
      </c>
      <c r="F1429" s="507">
        <f>SUMIFS(Controle!$R:$R,Controle!$H:$H,produtos_escape2!$A1429,Controle!$Z:$Z,"1")</f>
        <v>0</v>
      </c>
      <c r="G1429" s="507">
        <f>SUMIFS(Controle!$R:$R,Controle!$H:$H,produtos_escape2!$A1429,Controle!$Z:$Z,"2")</f>
        <v>0</v>
      </c>
      <c r="H1429" s="507">
        <f>SUMIFS(Controle!$R:$R,Controle!$H:$H,produtos_escape2!$A1429,Controle!$Z:$Z,"3")</f>
        <v>0</v>
      </c>
      <c r="I1429" s="507">
        <f>SUMIFS(Controle!$R:$R,Controle!$H:$H,produtos_escape2!$A1429,Controle!$Z:$Z,"4")</f>
        <v>0</v>
      </c>
      <c r="J1429" s="507">
        <f>SUMIFS(Controle!$R:$R,Controle!$H:$H,produtos_escape2!$A1429,Controle!$Z:$Z,"5")</f>
        <v>0</v>
      </c>
      <c r="K1429" s="507">
        <f>SUMIFS(Controle!$R:$R,Controle!$H:$H,produtos_escape2!$A1429,Controle!$Z:$Z,"6")</f>
        <v>0</v>
      </c>
      <c r="L1429" s="507">
        <f t="shared" si="48"/>
        <v>0</v>
      </c>
      <c r="M1429" s="381" t="s">
        <v>6828</v>
      </c>
      <c r="AF1429" s="84"/>
    </row>
    <row r="1430" spans="1:32" s="185" customFormat="1" ht="14.25" customHeight="1" thickBot="1">
      <c r="A1430" s="353">
        <v>34827</v>
      </c>
      <c r="B1430" s="194" t="s">
        <v>6829</v>
      </c>
      <c r="C1430" s="339">
        <f t="shared" si="49"/>
        <v>50000</v>
      </c>
      <c r="D1430" s="191" t="s">
        <v>624</v>
      </c>
      <c r="E1430" s="189" t="s">
        <v>7207</v>
      </c>
      <c r="F1430" s="507">
        <f>SUMIFS(Controle!$R:$R,Controle!$H:$H,produtos_escape2!$A1430,Controle!$Z:$Z,"1")</f>
        <v>0</v>
      </c>
      <c r="G1430" s="507">
        <f>SUMIFS(Controle!$R:$R,Controle!$H:$H,produtos_escape2!$A1430,Controle!$Z:$Z,"2")</f>
        <v>0</v>
      </c>
      <c r="H1430" s="507">
        <f>SUMIFS(Controle!$R:$R,Controle!$H:$H,produtos_escape2!$A1430,Controle!$Z:$Z,"3")</f>
        <v>0</v>
      </c>
      <c r="I1430" s="507">
        <f>SUMIFS(Controle!$R:$R,Controle!$H:$H,produtos_escape2!$A1430,Controle!$Z:$Z,"4")</f>
        <v>0</v>
      </c>
      <c r="J1430" s="507">
        <f>SUMIFS(Controle!$R:$R,Controle!$H:$H,produtos_escape2!$A1430,Controle!$Z:$Z,"5")</f>
        <v>0</v>
      </c>
      <c r="K1430" s="507">
        <f>SUMIFS(Controle!$R:$R,Controle!$H:$H,produtos_escape2!$A1430,Controle!$Z:$Z,"6")</f>
        <v>0</v>
      </c>
      <c r="L1430" s="507">
        <f t="shared" si="48"/>
        <v>0</v>
      </c>
      <c r="M1430" s="381" t="s">
        <v>6828</v>
      </c>
      <c r="AF1430" s="84"/>
    </row>
    <row r="1431" spans="1:32" s="185" customFormat="1" ht="14.25" customHeight="1" thickBot="1">
      <c r="A1431" s="353">
        <v>34859</v>
      </c>
      <c r="B1431" s="194" t="s">
        <v>3345</v>
      </c>
      <c r="C1431" s="339">
        <f t="shared" si="49"/>
        <v>48296</v>
      </c>
      <c r="D1431" s="196" t="s">
        <v>837</v>
      </c>
      <c r="E1431" s="187" t="s">
        <v>3608</v>
      </c>
      <c r="F1431" s="507">
        <f>SUMIFS(Controle!$R:$R,Controle!$H:$H,produtos_escape2!$A1431,Controle!$Z:$Z,"1")</f>
        <v>0</v>
      </c>
      <c r="G1431" s="507">
        <f>SUMIFS(Controle!$R:$R,Controle!$H:$H,produtos_escape2!$A1431,Controle!$Z:$Z,"2")</f>
        <v>0</v>
      </c>
      <c r="H1431" s="507">
        <f>SUMIFS(Controle!$R:$R,Controle!$H:$H,produtos_escape2!$A1431,Controle!$Z:$Z,"3")</f>
        <v>0</v>
      </c>
      <c r="I1431" s="507">
        <f>SUMIFS(Controle!$R:$R,Controle!$H:$H,produtos_escape2!$A1431,Controle!$Z:$Z,"4")</f>
        <v>0</v>
      </c>
      <c r="J1431" s="507">
        <f>SUMIFS(Controle!$R:$R,Controle!$H:$H,produtos_escape2!$A1431,Controle!$Z:$Z,"5")</f>
        <v>0</v>
      </c>
      <c r="K1431" s="507">
        <f>SUMIFS(Controle!$R:$R,Controle!$H:$H,produtos_escape2!$A1431,Controle!$Z:$Z,"6")</f>
        <v>1704</v>
      </c>
      <c r="L1431" s="507">
        <f t="shared" si="48"/>
        <v>1704</v>
      </c>
      <c r="M1431" s="381" t="s">
        <v>5312</v>
      </c>
      <c r="AF1431" s="84"/>
    </row>
    <row r="1432" spans="1:32" s="185" customFormat="1" ht="14.25" customHeight="1" thickBot="1">
      <c r="A1432" s="353">
        <v>35010</v>
      </c>
      <c r="B1432" s="194" t="s">
        <v>3916</v>
      </c>
      <c r="C1432" s="339">
        <f t="shared" si="49"/>
        <v>50000</v>
      </c>
      <c r="D1432" s="196" t="s">
        <v>639</v>
      </c>
      <c r="E1432" s="189" t="s">
        <v>1739</v>
      </c>
      <c r="F1432" s="507">
        <f>SUMIFS(Controle!$R:$R,Controle!$H:$H,produtos_escape2!$A1432,Controle!$Z:$Z,"1")</f>
        <v>0</v>
      </c>
      <c r="G1432" s="507">
        <f>SUMIFS(Controle!$R:$R,Controle!$H:$H,produtos_escape2!$A1432,Controle!$Z:$Z,"2")</f>
        <v>0</v>
      </c>
      <c r="H1432" s="507">
        <f>SUMIFS(Controle!$R:$R,Controle!$H:$H,produtos_escape2!$A1432,Controle!$Z:$Z,"3")</f>
        <v>0</v>
      </c>
      <c r="I1432" s="507">
        <f>SUMIFS(Controle!$R:$R,Controle!$H:$H,produtos_escape2!$A1432,Controle!$Z:$Z,"4")</f>
        <v>0</v>
      </c>
      <c r="J1432" s="507">
        <f>SUMIFS(Controle!$R:$R,Controle!$H:$H,produtos_escape2!$A1432,Controle!$Z:$Z,"5")</f>
        <v>0</v>
      </c>
      <c r="K1432" s="507">
        <f>SUMIFS(Controle!$R:$R,Controle!$H:$H,produtos_escape2!$A1432,Controle!$Z:$Z,"6")</f>
        <v>0</v>
      </c>
      <c r="L1432" s="507">
        <f t="shared" si="48"/>
        <v>0</v>
      </c>
      <c r="M1432" s="381" t="s">
        <v>5313</v>
      </c>
      <c r="AF1432" s="84"/>
    </row>
    <row r="1433" spans="1:32" s="185" customFormat="1" ht="14.25" customHeight="1" thickBot="1">
      <c r="A1433" s="353">
        <v>35105</v>
      </c>
      <c r="B1433" s="194" t="s">
        <v>4441</v>
      </c>
      <c r="C1433" s="339">
        <f t="shared" si="49"/>
        <v>48574.400000000001</v>
      </c>
      <c r="D1433" s="191" t="s">
        <v>624</v>
      </c>
      <c r="E1433" s="189" t="s">
        <v>3608</v>
      </c>
      <c r="F1433" s="507">
        <f>SUMIFS(Controle!$R:$R,Controle!$H:$H,produtos_escape2!$A1433,Controle!$Z:$Z,"1")</f>
        <v>0</v>
      </c>
      <c r="G1433" s="507">
        <f>SUMIFS(Controle!$R:$R,Controle!$H:$H,produtos_escape2!$A1433,Controle!$Z:$Z,"2")</f>
        <v>0</v>
      </c>
      <c r="H1433" s="507">
        <f>SUMIFS(Controle!$R:$R,Controle!$H:$H,produtos_escape2!$A1433,Controle!$Z:$Z,"3")</f>
        <v>1425.6000000000001</v>
      </c>
      <c r="I1433" s="507">
        <f>SUMIFS(Controle!$R:$R,Controle!$H:$H,produtos_escape2!$A1433,Controle!$Z:$Z,"4")</f>
        <v>0</v>
      </c>
      <c r="J1433" s="507">
        <f>SUMIFS(Controle!$R:$R,Controle!$H:$H,produtos_escape2!$A1433,Controle!$Z:$Z,"5")</f>
        <v>0</v>
      </c>
      <c r="K1433" s="507">
        <f>SUMIFS(Controle!$R:$R,Controle!$H:$H,produtos_escape2!$A1433,Controle!$Z:$Z,"6")</f>
        <v>0</v>
      </c>
      <c r="L1433" s="507">
        <f t="shared" si="48"/>
        <v>1425.6000000000001</v>
      </c>
      <c r="M1433" s="381" t="s">
        <v>5314</v>
      </c>
      <c r="AF1433" s="84"/>
    </row>
    <row r="1434" spans="1:32" s="185" customFormat="1" ht="14.25" customHeight="1" thickBot="1">
      <c r="A1434" s="353">
        <v>35116</v>
      </c>
      <c r="B1434" s="194" t="s">
        <v>8950</v>
      </c>
      <c r="C1434" s="339">
        <f t="shared" si="49"/>
        <v>48810</v>
      </c>
      <c r="D1434" s="191" t="s">
        <v>624</v>
      </c>
      <c r="E1434" s="189" t="s">
        <v>3608</v>
      </c>
      <c r="F1434" s="507">
        <f>SUMIFS(Controle!$R:$R,Controle!$H:$H,produtos_escape2!$A1434,Controle!$Z:$Z,"1")</f>
        <v>0</v>
      </c>
      <c r="G1434" s="507">
        <f>SUMIFS(Controle!$R:$R,Controle!$H:$H,produtos_escape2!$A1434,Controle!$Z:$Z,"2")</f>
        <v>0</v>
      </c>
      <c r="H1434" s="507">
        <f>SUMIFS(Controle!$R:$R,Controle!$H:$H,produtos_escape2!$A1434,Controle!$Z:$Z,"3")</f>
        <v>0</v>
      </c>
      <c r="I1434" s="507">
        <f>SUMIFS(Controle!$R:$R,Controle!$H:$H,produtos_escape2!$A1434,Controle!$Z:$Z,"4")</f>
        <v>1190</v>
      </c>
      <c r="J1434" s="507">
        <f>SUMIFS(Controle!$R:$R,Controle!$H:$H,produtos_escape2!$A1434,Controle!$Z:$Z,"5")</f>
        <v>0</v>
      </c>
      <c r="K1434" s="507">
        <f>SUMIFS(Controle!$R:$R,Controle!$H:$H,produtos_escape2!$A1434,Controle!$Z:$Z,"6")</f>
        <v>0</v>
      </c>
      <c r="L1434" s="507">
        <f t="shared" si="48"/>
        <v>1190</v>
      </c>
      <c r="M1434" s="381" t="s">
        <v>5314</v>
      </c>
      <c r="AF1434" s="84"/>
    </row>
    <row r="1435" spans="1:32" s="185" customFormat="1" ht="14.25" customHeight="1" thickBot="1">
      <c r="A1435" s="353">
        <v>35175</v>
      </c>
      <c r="B1435" s="194" t="s">
        <v>7955</v>
      </c>
      <c r="C1435" s="339">
        <f t="shared" si="49"/>
        <v>50000</v>
      </c>
      <c r="D1435" s="191" t="s">
        <v>624</v>
      </c>
      <c r="E1435" s="189" t="s">
        <v>7207</v>
      </c>
      <c r="F1435" s="507">
        <f>SUMIFS(Controle!$R:$R,Controle!$H:$H,produtos_escape2!$A1435,Controle!$Z:$Z,"1")</f>
        <v>0</v>
      </c>
      <c r="G1435" s="507">
        <f>SUMIFS(Controle!$R:$R,Controle!$H:$H,produtos_escape2!$A1435,Controle!$Z:$Z,"2")</f>
        <v>0</v>
      </c>
      <c r="H1435" s="507">
        <f>SUMIFS(Controle!$R:$R,Controle!$H:$H,produtos_escape2!$A1435,Controle!$Z:$Z,"3")</f>
        <v>0</v>
      </c>
      <c r="I1435" s="507">
        <f>SUMIFS(Controle!$R:$R,Controle!$H:$H,produtos_escape2!$A1435,Controle!$Z:$Z,"4")</f>
        <v>0</v>
      </c>
      <c r="J1435" s="507">
        <f>SUMIFS(Controle!$R:$R,Controle!$H:$H,produtos_escape2!$A1435,Controle!$Z:$Z,"5")</f>
        <v>0</v>
      </c>
      <c r="K1435" s="507">
        <f>SUMIFS(Controle!$R:$R,Controle!$H:$H,produtos_escape2!$A1435,Controle!$Z:$Z,"6")</f>
        <v>0</v>
      </c>
      <c r="L1435" s="507">
        <f t="shared" si="48"/>
        <v>0</v>
      </c>
      <c r="M1435" s="381" t="s">
        <v>7956</v>
      </c>
      <c r="AF1435" s="84"/>
    </row>
    <row r="1436" spans="1:32" s="185" customFormat="1" ht="14.25" customHeight="1" thickBot="1">
      <c r="A1436" s="353">
        <v>35187</v>
      </c>
      <c r="B1436" s="194" t="s">
        <v>3438</v>
      </c>
      <c r="C1436" s="339">
        <f t="shared" si="49"/>
        <v>50000</v>
      </c>
      <c r="D1436" s="191" t="s">
        <v>1241</v>
      </c>
      <c r="E1436" s="189" t="s">
        <v>3608</v>
      </c>
      <c r="F1436" s="507">
        <f>SUMIFS(Controle!$R:$R,Controle!$H:$H,produtos_escape2!$A1436,Controle!$Z:$Z,"1")</f>
        <v>0</v>
      </c>
      <c r="G1436" s="507">
        <f>SUMIFS(Controle!$R:$R,Controle!$H:$H,produtos_escape2!$A1436,Controle!$Z:$Z,"2")</f>
        <v>0</v>
      </c>
      <c r="H1436" s="507">
        <f>SUMIFS(Controle!$R:$R,Controle!$H:$H,produtos_escape2!$A1436,Controle!$Z:$Z,"3")</f>
        <v>0</v>
      </c>
      <c r="I1436" s="507">
        <f>SUMIFS(Controle!$R:$R,Controle!$H:$H,produtos_escape2!$A1436,Controle!$Z:$Z,"4")</f>
        <v>0</v>
      </c>
      <c r="J1436" s="507">
        <f>SUMIFS(Controle!$R:$R,Controle!$H:$H,produtos_escape2!$A1436,Controle!$Z:$Z,"5")</f>
        <v>0</v>
      </c>
      <c r="K1436" s="507">
        <f>SUMIFS(Controle!$R:$R,Controle!$H:$H,produtos_escape2!$A1436,Controle!$Z:$Z,"6")</f>
        <v>0</v>
      </c>
      <c r="L1436" s="507">
        <f t="shared" si="48"/>
        <v>0</v>
      </c>
      <c r="M1436" s="381" t="s">
        <v>5315</v>
      </c>
      <c r="AF1436" s="84"/>
    </row>
    <row r="1437" spans="1:32" s="185" customFormat="1" ht="14.25" customHeight="1" thickBot="1">
      <c r="A1437" s="333">
        <v>35188</v>
      </c>
      <c r="B1437" s="194" t="s">
        <v>3437</v>
      </c>
      <c r="C1437" s="339">
        <f t="shared" si="49"/>
        <v>50000</v>
      </c>
      <c r="D1437" s="191" t="s">
        <v>1241</v>
      </c>
      <c r="E1437" s="189" t="s">
        <v>3608</v>
      </c>
      <c r="F1437" s="507">
        <f>SUMIFS(Controle!$R:$R,Controle!$H:$H,produtos_escape2!$A1437,Controle!$Z:$Z,"1")</f>
        <v>0</v>
      </c>
      <c r="G1437" s="507">
        <f>SUMIFS(Controle!$R:$R,Controle!$H:$H,produtos_escape2!$A1437,Controle!$Z:$Z,"2")</f>
        <v>0</v>
      </c>
      <c r="H1437" s="507">
        <f>SUMIFS(Controle!$R:$R,Controle!$H:$H,produtos_escape2!$A1437,Controle!$Z:$Z,"3")</f>
        <v>0</v>
      </c>
      <c r="I1437" s="507">
        <f>SUMIFS(Controle!$R:$R,Controle!$H:$H,produtos_escape2!$A1437,Controle!$Z:$Z,"4")</f>
        <v>0</v>
      </c>
      <c r="J1437" s="507">
        <f>SUMIFS(Controle!$R:$R,Controle!$H:$H,produtos_escape2!$A1437,Controle!$Z:$Z,"5")</f>
        <v>0</v>
      </c>
      <c r="K1437" s="507">
        <f>SUMIFS(Controle!$R:$R,Controle!$H:$H,produtos_escape2!$A1437,Controle!$Z:$Z,"6")</f>
        <v>0</v>
      </c>
      <c r="L1437" s="507">
        <f t="shared" si="48"/>
        <v>0</v>
      </c>
      <c r="M1437" s="381" t="s">
        <v>5316</v>
      </c>
      <c r="AF1437" s="84"/>
    </row>
    <row r="1438" spans="1:32" s="185" customFormat="1" ht="14.25" customHeight="1" thickBot="1">
      <c r="A1438" s="353">
        <v>35199</v>
      </c>
      <c r="B1438" s="338" t="s">
        <v>4239</v>
      </c>
      <c r="C1438" s="339">
        <f t="shared" si="49"/>
        <v>50000</v>
      </c>
      <c r="D1438" s="196" t="s">
        <v>848</v>
      </c>
      <c r="E1438" s="189" t="s">
        <v>1739</v>
      </c>
      <c r="F1438" s="507">
        <f>SUMIFS(Controle!$R:$R,Controle!$H:$H,produtos_escape2!$A1438,Controle!$Z:$Z,"1")</f>
        <v>0</v>
      </c>
      <c r="G1438" s="507">
        <f>SUMIFS(Controle!$R:$R,Controle!$H:$H,produtos_escape2!$A1438,Controle!$Z:$Z,"2")</f>
        <v>0</v>
      </c>
      <c r="H1438" s="507">
        <f>SUMIFS(Controle!$R:$R,Controle!$H:$H,produtos_escape2!$A1438,Controle!$Z:$Z,"3")</f>
        <v>0</v>
      </c>
      <c r="I1438" s="507">
        <f>SUMIFS(Controle!$R:$R,Controle!$H:$H,produtos_escape2!$A1438,Controle!$Z:$Z,"4")</f>
        <v>0</v>
      </c>
      <c r="J1438" s="507">
        <f>SUMIFS(Controle!$R:$R,Controle!$H:$H,produtos_escape2!$A1438,Controle!$Z:$Z,"5")</f>
        <v>0</v>
      </c>
      <c r="K1438" s="507">
        <f>SUMIFS(Controle!$R:$R,Controle!$H:$H,produtos_escape2!$A1438,Controle!$Z:$Z,"6")</f>
        <v>0</v>
      </c>
      <c r="L1438" s="507">
        <f t="shared" si="48"/>
        <v>0</v>
      </c>
      <c r="M1438" s="381" t="s">
        <v>5317</v>
      </c>
      <c r="AF1438" s="84"/>
    </row>
    <row r="1439" spans="1:32" s="185" customFormat="1" ht="14.25" customHeight="1" thickBot="1">
      <c r="A1439" s="353">
        <v>35209</v>
      </c>
      <c r="B1439" s="194" t="s">
        <v>7568</v>
      </c>
      <c r="C1439" s="339">
        <f t="shared" si="49"/>
        <v>48060</v>
      </c>
      <c r="D1439" s="196" t="s">
        <v>624</v>
      </c>
      <c r="E1439" s="189" t="s">
        <v>3608</v>
      </c>
      <c r="F1439" s="507">
        <f>SUMIFS(Controle!$R:$R,Controle!$H:$H,produtos_escape2!$A1439,Controle!$Z:$Z,"1")</f>
        <v>0</v>
      </c>
      <c r="G1439" s="507">
        <f>SUMIFS(Controle!$R:$R,Controle!$H:$H,produtos_escape2!$A1439,Controle!$Z:$Z,"2")</f>
        <v>1939.9999999999998</v>
      </c>
      <c r="H1439" s="507">
        <f>SUMIFS(Controle!$R:$R,Controle!$H:$H,produtos_escape2!$A1439,Controle!$Z:$Z,"3")</f>
        <v>0</v>
      </c>
      <c r="I1439" s="507">
        <f>SUMIFS(Controle!$R:$R,Controle!$H:$H,produtos_escape2!$A1439,Controle!$Z:$Z,"4")</f>
        <v>0</v>
      </c>
      <c r="J1439" s="507">
        <f>SUMIFS(Controle!$R:$R,Controle!$H:$H,produtos_escape2!$A1439,Controle!$Z:$Z,"5")</f>
        <v>0</v>
      </c>
      <c r="K1439" s="507">
        <f>SUMIFS(Controle!$R:$R,Controle!$H:$H,produtos_escape2!$A1439,Controle!$Z:$Z,"6")</f>
        <v>0</v>
      </c>
      <c r="L1439" s="507">
        <f t="shared" si="48"/>
        <v>1939.9999999999998</v>
      </c>
      <c r="M1439" s="381" t="s">
        <v>7569</v>
      </c>
      <c r="AF1439" s="84"/>
    </row>
    <row r="1440" spans="1:32" s="185" customFormat="1" ht="14.25" customHeight="1" thickBot="1">
      <c r="A1440" s="353">
        <v>35242</v>
      </c>
      <c r="B1440" s="194" t="s">
        <v>6916</v>
      </c>
      <c r="C1440" s="339">
        <f t="shared" si="49"/>
        <v>50000</v>
      </c>
      <c r="D1440" s="196" t="s">
        <v>819</v>
      </c>
      <c r="E1440" s="189" t="s">
        <v>3608</v>
      </c>
      <c r="F1440" s="507">
        <f>SUMIFS(Controle!$R:$R,Controle!$H:$H,produtos_escape2!$A1440,Controle!$Z:$Z,"1")</f>
        <v>0</v>
      </c>
      <c r="G1440" s="507">
        <f>SUMIFS(Controle!$R:$R,Controle!$H:$H,produtos_escape2!$A1440,Controle!$Z:$Z,"2")</f>
        <v>0</v>
      </c>
      <c r="H1440" s="507">
        <f>SUMIFS(Controle!$R:$R,Controle!$H:$H,produtos_escape2!$A1440,Controle!$Z:$Z,"3")</f>
        <v>0</v>
      </c>
      <c r="I1440" s="507">
        <f>SUMIFS(Controle!$R:$R,Controle!$H:$H,produtos_escape2!$A1440,Controle!$Z:$Z,"4")</f>
        <v>0</v>
      </c>
      <c r="J1440" s="507">
        <f>SUMIFS(Controle!$R:$R,Controle!$H:$H,produtos_escape2!$A1440,Controle!$Z:$Z,"5")</f>
        <v>0</v>
      </c>
      <c r="K1440" s="507">
        <f>SUMIFS(Controle!$R:$R,Controle!$H:$H,produtos_escape2!$A1440,Controle!$Z:$Z,"6")</f>
        <v>0</v>
      </c>
      <c r="L1440" s="507">
        <f t="shared" si="48"/>
        <v>0</v>
      </c>
      <c r="M1440" s="381" t="s">
        <v>6916</v>
      </c>
      <c r="AF1440" s="84"/>
    </row>
    <row r="1441" spans="1:32" s="185" customFormat="1" ht="14.25" customHeight="1" thickBot="1">
      <c r="A1441" s="353">
        <v>35246</v>
      </c>
      <c r="B1441" s="194" t="s">
        <v>3460</v>
      </c>
      <c r="C1441" s="339">
        <f t="shared" si="49"/>
        <v>50000</v>
      </c>
      <c r="D1441" s="196" t="s">
        <v>624</v>
      </c>
      <c r="E1441" s="189" t="s">
        <v>3608</v>
      </c>
      <c r="F1441" s="507">
        <f>SUMIFS(Controle!$R:$R,Controle!$H:$H,produtos_escape2!$A1441,Controle!$Z:$Z,"1")</f>
        <v>0</v>
      </c>
      <c r="G1441" s="507">
        <f>SUMIFS(Controle!$R:$R,Controle!$H:$H,produtos_escape2!$A1441,Controle!$Z:$Z,"2")</f>
        <v>0</v>
      </c>
      <c r="H1441" s="507">
        <f>SUMIFS(Controle!$R:$R,Controle!$H:$H,produtos_escape2!$A1441,Controle!$Z:$Z,"3")</f>
        <v>0</v>
      </c>
      <c r="I1441" s="507">
        <f>SUMIFS(Controle!$R:$R,Controle!$H:$H,produtos_escape2!$A1441,Controle!$Z:$Z,"4")</f>
        <v>0</v>
      </c>
      <c r="J1441" s="507">
        <f>SUMIFS(Controle!$R:$R,Controle!$H:$H,produtos_escape2!$A1441,Controle!$Z:$Z,"5")</f>
        <v>0</v>
      </c>
      <c r="K1441" s="507">
        <f>SUMIFS(Controle!$R:$R,Controle!$H:$H,produtos_escape2!$A1441,Controle!$Z:$Z,"6")</f>
        <v>0</v>
      </c>
      <c r="L1441" s="507">
        <f t="shared" si="48"/>
        <v>0</v>
      </c>
      <c r="M1441" s="381" t="s">
        <v>5318</v>
      </c>
      <c r="AF1441" s="84"/>
    </row>
    <row r="1442" spans="1:32" s="185" customFormat="1" ht="14.25" customHeight="1" thickBot="1">
      <c r="A1442" s="353">
        <v>35248</v>
      </c>
      <c r="B1442" s="194" t="s">
        <v>3539</v>
      </c>
      <c r="C1442" s="339">
        <f t="shared" si="49"/>
        <v>50000</v>
      </c>
      <c r="D1442" s="196" t="s">
        <v>624</v>
      </c>
      <c r="E1442" s="187" t="s">
        <v>3608</v>
      </c>
      <c r="F1442" s="507">
        <f>SUMIFS(Controle!$R:$R,Controle!$H:$H,produtos_escape2!$A1442,Controle!$Z:$Z,"1")</f>
        <v>0</v>
      </c>
      <c r="G1442" s="507">
        <f>SUMIFS(Controle!$R:$R,Controle!$H:$H,produtos_escape2!$A1442,Controle!$Z:$Z,"2")</f>
        <v>0</v>
      </c>
      <c r="H1442" s="507">
        <f>SUMIFS(Controle!$R:$R,Controle!$H:$H,produtos_escape2!$A1442,Controle!$Z:$Z,"3")</f>
        <v>0</v>
      </c>
      <c r="I1442" s="507">
        <f>SUMIFS(Controle!$R:$R,Controle!$H:$H,produtos_escape2!$A1442,Controle!$Z:$Z,"4")</f>
        <v>0</v>
      </c>
      <c r="J1442" s="507">
        <f>SUMIFS(Controle!$R:$R,Controle!$H:$H,produtos_escape2!$A1442,Controle!$Z:$Z,"5")</f>
        <v>0</v>
      </c>
      <c r="K1442" s="507">
        <f>SUMIFS(Controle!$R:$R,Controle!$H:$H,produtos_escape2!$A1442,Controle!$Z:$Z,"6")</f>
        <v>0</v>
      </c>
      <c r="L1442" s="507">
        <f t="shared" si="48"/>
        <v>0</v>
      </c>
      <c r="M1442" s="381" t="s">
        <v>5319</v>
      </c>
      <c r="AF1442" s="84"/>
    </row>
    <row r="1443" spans="1:32" s="185" customFormat="1" ht="14.25" customHeight="1" thickBot="1">
      <c r="A1443" s="353">
        <v>35251</v>
      </c>
      <c r="B1443" s="194" t="s">
        <v>3496</v>
      </c>
      <c r="C1443" s="339">
        <f t="shared" si="49"/>
        <v>50000</v>
      </c>
      <c r="D1443" s="196" t="s">
        <v>624</v>
      </c>
      <c r="E1443" s="187" t="s">
        <v>3608</v>
      </c>
      <c r="F1443" s="507">
        <f>SUMIFS(Controle!$R:$R,Controle!$H:$H,produtos_escape2!$A1443,Controle!$Z:$Z,"1")</f>
        <v>0</v>
      </c>
      <c r="G1443" s="507">
        <f>SUMIFS(Controle!$R:$R,Controle!$H:$H,produtos_escape2!$A1443,Controle!$Z:$Z,"2")</f>
        <v>0</v>
      </c>
      <c r="H1443" s="507">
        <f>SUMIFS(Controle!$R:$R,Controle!$H:$H,produtos_escape2!$A1443,Controle!$Z:$Z,"3")</f>
        <v>0</v>
      </c>
      <c r="I1443" s="507">
        <f>SUMIFS(Controle!$R:$R,Controle!$H:$H,produtos_escape2!$A1443,Controle!$Z:$Z,"4")</f>
        <v>0</v>
      </c>
      <c r="J1443" s="507">
        <f>SUMIFS(Controle!$R:$R,Controle!$H:$H,produtos_escape2!$A1443,Controle!$Z:$Z,"5")</f>
        <v>0</v>
      </c>
      <c r="K1443" s="507">
        <f>SUMIFS(Controle!$R:$R,Controle!$H:$H,produtos_escape2!$A1443,Controle!$Z:$Z,"6")</f>
        <v>0</v>
      </c>
      <c r="L1443" s="507">
        <f t="shared" si="48"/>
        <v>0</v>
      </c>
      <c r="M1443" s="381" t="s">
        <v>5320</v>
      </c>
      <c r="AF1443" s="84"/>
    </row>
    <row r="1444" spans="1:32" s="185" customFormat="1" ht="14.25" customHeight="1" thickBot="1">
      <c r="A1444" s="353">
        <v>35252</v>
      </c>
      <c r="B1444" s="194" t="s">
        <v>3497</v>
      </c>
      <c r="C1444" s="339">
        <f t="shared" si="49"/>
        <v>50000</v>
      </c>
      <c r="D1444" s="196" t="s">
        <v>624</v>
      </c>
      <c r="E1444" s="187" t="s">
        <v>3608</v>
      </c>
      <c r="F1444" s="507">
        <f>SUMIFS(Controle!$R:$R,Controle!$H:$H,produtos_escape2!$A1444,Controle!$Z:$Z,"1")</f>
        <v>0</v>
      </c>
      <c r="G1444" s="507">
        <f>SUMIFS(Controle!$R:$R,Controle!$H:$H,produtos_escape2!$A1444,Controle!$Z:$Z,"2")</f>
        <v>0</v>
      </c>
      <c r="H1444" s="507">
        <f>SUMIFS(Controle!$R:$R,Controle!$H:$H,produtos_escape2!$A1444,Controle!$Z:$Z,"3")</f>
        <v>0</v>
      </c>
      <c r="I1444" s="507">
        <f>SUMIFS(Controle!$R:$R,Controle!$H:$H,produtos_escape2!$A1444,Controle!$Z:$Z,"4")</f>
        <v>0</v>
      </c>
      <c r="J1444" s="507">
        <f>SUMIFS(Controle!$R:$R,Controle!$H:$H,produtos_escape2!$A1444,Controle!$Z:$Z,"5")</f>
        <v>0</v>
      </c>
      <c r="K1444" s="507">
        <f>SUMIFS(Controle!$R:$R,Controle!$H:$H,produtos_escape2!$A1444,Controle!$Z:$Z,"6")</f>
        <v>0</v>
      </c>
      <c r="L1444" s="507">
        <f t="shared" si="48"/>
        <v>0</v>
      </c>
      <c r="M1444" s="381" t="s">
        <v>5321</v>
      </c>
      <c r="AF1444" s="84"/>
    </row>
    <row r="1445" spans="1:32" s="185" customFormat="1" ht="14.25" customHeight="1" thickBot="1">
      <c r="A1445" s="353">
        <v>35267</v>
      </c>
      <c r="B1445" s="194" t="s">
        <v>9800</v>
      </c>
      <c r="C1445" s="339">
        <f t="shared" si="49"/>
        <v>50000</v>
      </c>
      <c r="D1445" s="196" t="s">
        <v>624</v>
      </c>
      <c r="E1445" s="187" t="s">
        <v>3608</v>
      </c>
      <c r="F1445" s="507">
        <f>SUMIFS(Controle!$R:$R,Controle!$H:$H,produtos_escape2!$A1445,Controle!$Z:$Z,"1")</f>
        <v>0</v>
      </c>
      <c r="G1445" s="507">
        <f>SUMIFS(Controle!$R:$R,Controle!$H:$H,produtos_escape2!$A1445,Controle!$Z:$Z,"2")</f>
        <v>0</v>
      </c>
      <c r="H1445" s="507">
        <f>SUMIFS(Controle!$R:$R,Controle!$H:$H,produtos_escape2!$A1445,Controle!$Z:$Z,"3")</f>
        <v>0</v>
      </c>
      <c r="I1445" s="507">
        <f>SUMIFS(Controle!$R:$R,Controle!$H:$H,produtos_escape2!$A1445,Controle!$Z:$Z,"4")</f>
        <v>0</v>
      </c>
      <c r="J1445" s="507">
        <f>SUMIFS(Controle!$R:$R,Controle!$H:$H,produtos_escape2!$A1445,Controle!$Z:$Z,"5")</f>
        <v>0</v>
      </c>
      <c r="K1445" s="507">
        <f>SUMIFS(Controle!$R:$R,Controle!$H:$H,produtos_escape2!$A1445,Controle!$Z:$Z,"6")</f>
        <v>0</v>
      </c>
      <c r="L1445" s="507">
        <f t="shared" si="48"/>
        <v>0</v>
      </c>
      <c r="M1445" s="381" t="s">
        <v>9801</v>
      </c>
      <c r="AF1445" s="84"/>
    </row>
    <row r="1446" spans="1:32" s="185" customFormat="1" ht="14.25" customHeight="1" thickBot="1">
      <c r="A1446" s="353">
        <v>35304</v>
      </c>
      <c r="B1446" s="194" t="s">
        <v>4250</v>
      </c>
      <c r="C1446" s="339">
        <f t="shared" si="49"/>
        <v>50000</v>
      </c>
      <c r="D1446" s="196" t="s">
        <v>624</v>
      </c>
      <c r="E1446" s="189" t="s">
        <v>1739</v>
      </c>
      <c r="F1446" s="507">
        <f>SUMIFS(Controle!$R:$R,Controle!$H:$H,produtos_escape2!$A1446,Controle!$Z:$Z,"1")</f>
        <v>0</v>
      </c>
      <c r="G1446" s="507">
        <f>SUMIFS(Controle!$R:$R,Controle!$H:$H,produtos_escape2!$A1446,Controle!$Z:$Z,"2")</f>
        <v>0</v>
      </c>
      <c r="H1446" s="507">
        <f>SUMIFS(Controle!$R:$R,Controle!$H:$H,produtos_escape2!$A1446,Controle!$Z:$Z,"3")</f>
        <v>0</v>
      </c>
      <c r="I1446" s="507">
        <f>SUMIFS(Controle!$R:$R,Controle!$H:$H,produtos_escape2!$A1446,Controle!$Z:$Z,"4")</f>
        <v>0</v>
      </c>
      <c r="J1446" s="507">
        <f>SUMIFS(Controle!$R:$R,Controle!$H:$H,produtos_escape2!$A1446,Controle!$Z:$Z,"5")</f>
        <v>0</v>
      </c>
      <c r="K1446" s="507">
        <f>SUMIFS(Controle!$R:$R,Controle!$H:$H,produtos_escape2!$A1446,Controle!$Z:$Z,"6")</f>
        <v>0</v>
      </c>
      <c r="L1446" s="507">
        <f t="shared" si="48"/>
        <v>0</v>
      </c>
      <c r="M1446" s="381" t="s">
        <v>5322</v>
      </c>
      <c r="AF1446" s="84"/>
    </row>
    <row r="1447" spans="1:32" s="185" customFormat="1" ht="14.25" customHeight="1" thickBot="1">
      <c r="A1447" s="353">
        <v>35450</v>
      </c>
      <c r="B1447" s="194" t="s">
        <v>3436</v>
      </c>
      <c r="C1447" s="339">
        <f t="shared" si="49"/>
        <v>39320</v>
      </c>
      <c r="D1447" s="196" t="s">
        <v>624</v>
      </c>
      <c r="E1447" s="187" t="s">
        <v>7207</v>
      </c>
      <c r="F1447" s="507">
        <f>SUMIFS(Controle!$R:$R,Controle!$H:$H,produtos_escape2!$A1447,Controle!$Z:$Z,"1")</f>
        <v>0</v>
      </c>
      <c r="G1447" s="507">
        <f>SUMIFS(Controle!$R:$R,Controle!$H:$H,produtos_escape2!$A1447,Controle!$Z:$Z,"2")</f>
        <v>10680</v>
      </c>
      <c r="H1447" s="507">
        <f>SUMIFS(Controle!$R:$R,Controle!$H:$H,produtos_escape2!$A1447,Controle!$Z:$Z,"3")</f>
        <v>0</v>
      </c>
      <c r="I1447" s="507">
        <f>SUMIFS(Controle!$R:$R,Controle!$H:$H,produtos_escape2!$A1447,Controle!$Z:$Z,"4")</f>
        <v>0</v>
      </c>
      <c r="J1447" s="507">
        <f>SUMIFS(Controle!$R:$R,Controle!$H:$H,produtos_escape2!$A1447,Controle!$Z:$Z,"5")</f>
        <v>0</v>
      </c>
      <c r="K1447" s="507">
        <f>SUMIFS(Controle!$R:$R,Controle!$H:$H,produtos_escape2!$A1447,Controle!$Z:$Z,"6")</f>
        <v>0</v>
      </c>
      <c r="L1447" s="507">
        <f t="shared" si="48"/>
        <v>10680</v>
      </c>
      <c r="M1447" s="381" t="s">
        <v>5323</v>
      </c>
      <c r="AF1447" s="84"/>
    </row>
    <row r="1448" spans="1:32" s="185" customFormat="1" ht="14.25" customHeight="1" thickBot="1">
      <c r="A1448" s="333">
        <v>35477</v>
      </c>
      <c r="B1448" s="194" t="s">
        <v>4104</v>
      </c>
      <c r="C1448" s="339">
        <f t="shared" si="49"/>
        <v>49406</v>
      </c>
      <c r="D1448" s="196" t="s">
        <v>624</v>
      </c>
      <c r="E1448" s="187" t="s">
        <v>7207</v>
      </c>
      <c r="F1448" s="507">
        <f>SUMIFS(Controle!$R:$R,Controle!$H:$H,produtos_escape2!$A1448,Controle!$Z:$Z,"1")</f>
        <v>0</v>
      </c>
      <c r="G1448" s="507">
        <f>SUMIFS(Controle!$R:$R,Controle!$H:$H,produtos_escape2!$A1448,Controle!$Z:$Z,"2")</f>
        <v>0</v>
      </c>
      <c r="H1448" s="507">
        <f>SUMIFS(Controle!$R:$R,Controle!$H:$H,produtos_escape2!$A1448,Controle!$Z:$Z,"3")</f>
        <v>594</v>
      </c>
      <c r="I1448" s="507">
        <f>SUMIFS(Controle!$R:$R,Controle!$H:$H,produtos_escape2!$A1448,Controle!$Z:$Z,"4")</f>
        <v>0</v>
      </c>
      <c r="J1448" s="507">
        <f>SUMIFS(Controle!$R:$R,Controle!$H:$H,produtos_escape2!$A1448,Controle!$Z:$Z,"5")</f>
        <v>0</v>
      </c>
      <c r="K1448" s="507">
        <f>SUMIFS(Controle!$R:$R,Controle!$H:$H,produtos_escape2!$A1448,Controle!$Z:$Z,"6")</f>
        <v>0</v>
      </c>
      <c r="L1448" s="507">
        <f t="shared" si="48"/>
        <v>594</v>
      </c>
      <c r="M1448" s="381" t="s">
        <v>4850</v>
      </c>
      <c r="AF1448" s="84"/>
    </row>
    <row r="1449" spans="1:32" s="185" customFormat="1" ht="14.25" customHeight="1" thickBot="1">
      <c r="A1449" s="353">
        <v>35478</v>
      </c>
      <c r="B1449" s="338" t="s">
        <v>4105</v>
      </c>
      <c r="C1449" s="339">
        <f t="shared" si="49"/>
        <v>48746</v>
      </c>
      <c r="D1449" s="196" t="s">
        <v>624</v>
      </c>
      <c r="E1449" s="187" t="s">
        <v>7207</v>
      </c>
      <c r="F1449" s="507">
        <f>SUMIFS(Controle!$R:$R,Controle!$H:$H,produtos_escape2!$A1449,Controle!$Z:$Z,"1")</f>
        <v>0</v>
      </c>
      <c r="G1449" s="507">
        <f>SUMIFS(Controle!$R:$R,Controle!$H:$H,produtos_escape2!$A1449,Controle!$Z:$Z,"2")</f>
        <v>1254</v>
      </c>
      <c r="H1449" s="507">
        <f>SUMIFS(Controle!$R:$R,Controle!$H:$H,produtos_escape2!$A1449,Controle!$Z:$Z,"3")</f>
        <v>0</v>
      </c>
      <c r="I1449" s="507">
        <f>SUMIFS(Controle!$R:$R,Controle!$H:$H,produtos_escape2!$A1449,Controle!$Z:$Z,"4")</f>
        <v>0</v>
      </c>
      <c r="J1449" s="507">
        <f>SUMIFS(Controle!$R:$R,Controle!$H:$H,produtos_escape2!$A1449,Controle!$Z:$Z,"5")</f>
        <v>0</v>
      </c>
      <c r="K1449" s="507">
        <f>SUMIFS(Controle!$R:$R,Controle!$H:$H,produtos_escape2!$A1449,Controle!$Z:$Z,"6")</f>
        <v>0</v>
      </c>
      <c r="L1449" s="507">
        <f t="shared" si="48"/>
        <v>1254</v>
      </c>
      <c r="M1449" s="381" t="s">
        <v>4850</v>
      </c>
      <c r="AF1449" s="84"/>
    </row>
    <row r="1450" spans="1:32" s="185" customFormat="1" ht="14.25" customHeight="1" thickBot="1">
      <c r="A1450" s="353">
        <v>35479</v>
      </c>
      <c r="B1450" s="194" t="s">
        <v>4106</v>
      </c>
      <c r="C1450" s="339">
        <f t="shared" si="49"/>
        <v>46203.1</v>
      </c>
      <c r="D1450" s="196" t="s">
        <v>624</v>
      </c>
      <c r="E1450" s="189" t="s">
        <v>7207</v>
      </c>
      <c r="F1450" s="507">
        <f>SUMIFS(Controle!$R:$R,Controle!$H:$H,produtos_escape2!$A1450,Controle!$Z:$Z,"1")</f>
        <v>0</v>
      </c>
      <c r="G1450" s="507">
        <f>SUMIFS(Controle!$R:$R,Controle!$H:$H,produtos_escape2!$A1450,Controle!$Z:$Z,"2")</f>
        <v>0</v>
      </c>
      <c r="H1450" s="507">
        <f>SUMIFS(Controle!$R:$R,Controle!$H:$H,produtos_escape2!$A1450,Controle!$Z:$Z,"3")</f>
        <v>2697</v>
      </c>
      <c r="I1450" s="507">
        <f>SUMIFS(Controle!$R:$R,Controle!$H:$H,produtos_escape2!$A1450,Controle!$Z:$Z,"4")</f>
        <v>1099.8999999999999</v>
      </c>
      <c r="J1450" s="507">
        <f>SUMIFS(Controle!$R:$R,Controle!$H:$H,produtos_escape2!$A1450,Controle!$Z:$Z,"5")</f>
        <v>0</v>
      </c>
      <c r="K1450" s="507">
        <f>SUMIFS(Controle!$R:$R,Controle!$H:$H,produtos_escape2!$A1450,Controle!$Z:$Z,"6")</f>
        <v>0</v>
      </c>
      <c r="L1450" s="507">
        <f t="shared" si="48"/>
        <v>3796.8999999999996</v>
      </c>
      <c r="M1450" s="381" t="s">
        <v>7347</v>
      </c>
      <c r="AF1450" s="84"/>
    </row>
    <row r="1451" spans="1:32" s="185" customFormat="1" ht="14.25" customHeight="1" thickBot="1">
      <c r="A1451" s="353">
        <v>35511</v>
      </c>
      <c r="B1451" s="194" t="s">
        <v>10324</v>
      </c>
      <c r="C1451" s="339">
        <f t="shared" si="49"/>
        <v>50000</v>
      </c>
      <c r="D1451" s="196" t="s">
        <v>624</v>
      </c>
      <c r="E1451" s="189" t="s">
        <v>1687</v>
      </c>
      <c r="F1451" s="507">
        <f>SUMIFS(Controle!$R:$R,Controle!$H:$H,produtos_escape2!$A1451,Controle!$Z:$Z,"1")</f>
        <v>0</v>
      </c>
      <c r="G1451" s="507">
        <f>SUMIFS(Controle!$R:$R,Controle!$H:$H,produtos_escape2!$A1451,Controle!$Z:$Z,"2")</f>
        <v>0</v>
      </c>
      <c r="H1451" s="507">
        <f>SUMIFS(Controle!$R:$R,Controle!$H:$H,produtos_escape2!$A1451,Controle!$Z:$Z,"3")</f>
        <v>0</v>
      </c>
      <c r="I1451" s="507">
        <f>SUMIFS(Controle!$R:$R,Controle!$H:$H,produtos_escape2!$A1451,Controle!$Z:$Z,"4")</f>
        <v>0</v>
      </c>
      <c r="J1451" s="507">
        <f>SUMIFS(Controle!$R:$R,Controle!$H:$H,produtos_escape2!$A1451,Controle!$Z:$Z,"5")</f>
        <v>0</v>
      </c>
      <c r="K1451" s="507">
        <f>SUMIFS(Controle!$R:$R,Controle!$H:$H,produtos_escape2!$A1451,Controle!$Z:$Z,"6")</f>
        <v>0</v>
      </c>
      <c r="L1451" s="507">
        <f t="shared" si="48"/>
        <v>0</v>
      </c>
      <c r="M1451" s="381" t="s">
        <v>10325</v>
      </c>
      <c r="AF1451" s="84"/>
    </row>
    <row r="1452" spans="1:32" s="185" customFormat="1" ht="14.25" customHeight="1" thickBot="1">
      <c r="A1452" s="353">
        <v>35709</v>
      </c>
      <c r="B1452" s="194" t="s">
        <v>7015</v>
      </c>
      <c r="C1452" s="339">
        <f t="shared" si="49"/>
        <v>50000</v>
      </c>
      <c r="D1452" s="196" t="s">
        <v>549</v>
      </c>
      <c r="E1452" s="189" t="s">
        <v>3608</v>
      </c>
      <c r="F1452" s="507">
        <f>SUMIFS(Controle!$R:$R,Controle!$H:$H,produtos_escape2!$A1452,Controle!$Z:$Z,"1")</f>
        <v>0</v>
      </c>
      <c r="G1452" s="507">
        <f>SUMIFS(Controle!$R:$R,Controle!$H:$H,produtos_escape2!$A1452,Controle!$Z:$Z,"2")</f>
        <v>0</v>
      </c>
      <c r="H1452" s="507">
        <f>SUMIFS(Controle!$R:$R,Controle!$H:$H,produtos_escape2!$A1452,Controle!$Z:$Z,"3")</f>
        <v>0</v>
      </c>
      <c r="I1452" s="507">
        <f>SUMIFS(Controle!$R:$R,Controle!$H:$H,produtos_escape2!$A1452,Controle!$Z:$Z,"4")</f>
        <v>0</v>
      </c>
      <c r="J1452" s="507">
        <f>SUMIFS(Controle!$R:$R,Controle!$H:$H,produtos_escape2!$A1452,Controle!$Z:$Z,"5")</f>
        <v>0</v>
      </c>
      <c r="K1452" s="507">
        <f>SUMIFS(Controle!$R:$R,Controle!$H:$H,produtos_escape2!$A1452,Controle!$Z:$Z,"6")</f>
        <v>0</v>
      </c>
      <c r="L1452" s="507">
        <f t="shared" si="48"/>
        <v>0</v>
      </c>
      <c r="M1452" s="381" t="s">
        <v>7016</v>
      </c>
      <c r="AF1452" s="84"/>
    </row>
    <row r="1453" spans="1:32" s="185" customFormat="1" ht="14.25" customHeight="1" thickBot="1">
      <c r="A1453" s="353">
        <v>35733</v>
      </c>
      <c r="B1453" s="194" t="s">
        <v>4307</v>
      </c>
      <c r="C1453" s="339">
        <f t="shared" si="49"/>
        <v>50000</v>
      </c>
      <c r="D1453" s="196" t="s">
        <v>624</v>
      </c>
      <c r="E1453" s="187" t="s">
        <v>3608</v>
      </c>
      <c r="F1453" s="507">
        <f>SUMIFS(Controle!$R:$R,Controle!$H:$H,produtos_escape2!$A1453,Controle!$Z:$Z,"1")</f>
        <v>0</v>
      </c>
      <c r="G1453" s="507">
        <f>SUMIFS(Controle!$R:$R,Controle!$H:$H,produtos_escape2!$A1453,Controle!$Z:$Z,"2")</f>
        <v>0</v>
      </c>
      <c r="H1453" s="507">
        <f>SUMIFS(Controle!$R:$R,Controle!$H:$H,produtos_escape2!$A1453,Controle!$Z:$Z,"3")</f>
        <v>0</v>
      </c>
      <c r="I1453" s="507">
        <f>SUMIFS(Controle!$R:$R,Controle!$H:$H,produtos_escape2!$A1453,Controle!$Z:$Z,"4")</f>
        <v>0</v>
      </c>
      <c r="J1453" s="507">
        <f>SUMIFS(Controle!$R:$R,Controle!$H:$H,produtos_escape2!$A1453,Controle!$Z:$Z,"5")</f>
        <v>0</v>
      </c>
      <c r="K1453" s="507">
        <f>SUMIFS(Controle!$R:$R,Controle!$H:$H,produtos_escape2!$A1453,Controle!$Z:$Z,"6")</f>
        <v>0</v>
      </c>
      <c r="L1453" s="507">
        <f t="shared" si="48"/>
        <v>0</v>
      </c>
      <c r="M1453" s="381" t="s">
        <v>5324</v>
      </c>
      <c r="AF1453" s="84"/>
    </row>
    <row r="1454" spans="1:32" s="185" customFormat="1" ht="14.25" customHeight="1" thickBot="1">
      <c r="A1454" s="353">
        <v>35744</v>
      </c>
      <c r="B1454" s="194" t="s">
        <v>7834</v>
      </c>
      <c r="C1454" s="339">
        <f t="shared" si="49"/>
        <v>49644.5</v>
      </c>
      <c r="D1454" s="196" t="s">
        <v>624</v>
      </c>
      <c r="E1454" s="187" t="s">
        <v>3608</v>
      </c>
      <c r="F1454" s="507">
        <f>SUMIFS(Controle!$R:$R,Controle!$H:$H,produtos_escape2!$A1454,Controle!$Z:$Z,"1")</f>
        <v>0</v>
      </c>
      <c r="G1454" s="507">
        <f>SUMIFS(Controle!$R:$R,Controle!$H:$H,produtos_escape2!$A1454,Controle!$Z:$Z,"2")</f>
        <v>355.5</v>
      </c>
      <c r="H1454" s="507">
        <f>SUMIFS(Controle!$R:$R,Controle!$H:$H,produtos_escape2!$A1454,Controle!$Z:$Z,"3")</f>
        <v>0</v>
      </c>
      <c r="I1454" s="507">
        <f>SUMIFS(Controle!$R:$R,Controle!$H:$H,produtos_escape2!$A1454,Controle!$Z:$Z,"4")</f>
        <v>0</v>
      </c>
      <c r="J1454" s="507">
        <f>SUMIFS(Controle!$R:$R,Controle!$H:$H,produtos_escape2!$A1454,Controle!$Z:$Z,"5")</f>
        <v>0</v>
      </c>
      <c r="K1454" s="507">
        <f>SUMIFS(Controle!$R:$R,Controle!$H:$H,produtos_escape2!$A1454,Controle!$Z:$Z,"6")</f>
        <v>0</v>
      </c>
      <c r="L1454" s="507">
        <f t="shared" si="48"/>
        <v>355.5</v>
      </c>
      <c r="M1454" s="381" t="s">
        <v>7835</v>
      </c>
      <c r="AF1454" s="84"/>
    </row>
    <row r="1455" spans="1:32" s="185" customFormat="1" ht="14.25" customHeight="1" thickBot="1">
      <c r="A1455" s="353">
        <v>35753</v>
      </c>
      <c r="B1455" s="194" t="s">
        <v>7938</v>
      </c>
      <c r="C1455" s="339">
        <f t="shared" si="49"/>
        <v>36408</v>
      </c>
      <c r="D1455" s="196" t="s">
        <v>624</v>
      </c>
      <c r="E1455" s="187" t="s">
        <v>7207</v>
      </c>
      <c r="F1455" s="507">
        <f>SUMIFS(Controle!$R:$R,Controle!$H:$H,produtos_escape2!$A1455,Controle!$Z:$Z,"1")</f>
        <v>0</v>
      </c>
      <c r="G1455" s="507">
        <f>SUMIFS(Controle!$R:$R,Controle!$H:$H,produtos_escape2!$A1455,Controle!$Z:$Z,"2")</f>
        <v>5068.7</v>
      </c>
      <c r="H1455" s="507">
        <f>SUMIFS(Controle!$R:$R,Controle!$H:$H,produtos_escape2!$A1455,Controle!$Z:$Z,"3")</f>
        <v>8523.3000000000011</v>
      </c>
      <c r="I1455" s="507">
        <f>SUMIFS(Controle!$R:$R,Controle!$H:$H,produtos_escape2!$A1455,Controle!$Z:$Z,"4")</f>
        <v>0</v>
      </c>
      <c r="J1455" s="507">
        <f>SUMIFS(Controle!$R:$R,Controle!$H:$H,produtos_escape2!$A1455,Controle!$Z:$Z,"5")</f>
        <v>0</v>
      </c>
      <c r="K1455" s="507">
        <f>SUMIFS(Controle!$R:$R,Controle!$H:$H,produtos_escape2!$A1455,Controle!$Z:$Z,"6")</f>
        <v>0</v>
      </c>
      <c r="L1455" s="507">
        <f t="shared" si="48"/>
        <v>13592</v>
      </c>
      <c r="M1455" s="381" t="s">
        <v>7939</v>
      </c>
      <c r="AF1455" s="84"/>
    </row>
    <row r="1456" spans="1:32" s="185" customFormat="1" ht="14.25" customHeight="1" thickBot="1">
      <c r="A1456" s="353">
        <v>35766</v>
      </c>
      <c r="B1456" s="194" t="s">
        <v>4047</v>
      </c>
      <c r="C1456" s="339">
        <f t="shared" si="49"/>
        <v>50000</v>
      </c>
      <c r="D1456" s="196" t="s">
        <v>624</v>
      </c>
      <c r="E1456" s="187" t="s">
        <v>3608</v>
      </c>
      <c r="F1456" s="507">
        <f>SUMIFS(Controle!$R:$R,Controle!$H:$H,produtos_escape2!$A1456,Controle!$Z:$Z,"1")</f>
        <v>0</v>
      </c>
      <c r="G1456" s="507">
        <f>SUMIFS(Controle!$R:$R,Controle!$H:$H,produtos_escape2!$A1456,Controle!$Z:$Z,"2")</f>
        <v>0</v>
      </c>
      <c r="H1456" s="507">
        <f>SUMIFS(Controle!$R:$R,Controle!$H:$H,produtos_escape2!$A1456,Controle!$Z:$Z,"3")</f>
        <v>0</v>
      </c>
      <c r="I1456" s="507">
        <f>SUMIFS(Controle!$R:$R,Controle!$H:$H,produtos_escape2!$A1456,Controle!$Z:$Z,"4")</f>
        <v>0</v>
      </c>
      <c r="J1456" s="507">
        <f>SUMIFS(Controle!$R:$R,Controle!$H:$H,produtos_escape2!$A1456,Controle!$Z:$Z,"5")</f>
        <v>0</v>
      </c>
      <c r="K1456" s="507">
        <f>SUMIFS(Controle!$R:$R,Controle!$H:$H,produtos_escape2!$A1456,Controle!$Z:$Z,"6")</f>
        <v>0</v>
      </c>
      <c r="L1456" s="507">
        <f t="shared" si="48"/>
        <v>0</v>
      </c>
      <c r="M1456" s="381" t="s">
        <v>5325</v>
      </c>
      <c r="AF1456" s="84"/>
    </row>
    <row r="1457" spans="1:32" s="185" customFormat="1" ht="14.25" customHeight="1" thickBot="1">
      <c r="A1457" s="353">
        <v>35771</v>
      </c>
      <c r="B1457" s="194" t="s">
        <v>4437</v>
      </c>
      <c r="C1457" s="339">
        <f t="shared" si="49"/>
        <v>47100</v>
      </c>
      <c r="D1457" s="196" t="s">
        <v>624</v>
      </c>
      <c r="E1457" s="187" t="s">
        <v>7207</v>
      </c>
      <c r="F1457" s="507">
        <f>SUMIFS(Controle!$R:$R,Controle!$H:$H,produtos_escape2!$A1457,Controle!$Z:$Z,"1")</f>
        <v>0</v>
      </c>
      <c r="G1457" s="507">
        <f>SUMIFS(Controle!$R:$R,Controle!$H:$H,produtos_escape2!$A1457,Controle!$Z:$Z,"2")</f>
        <v>2900</v>
      </c>
      <c r="H1457" s="507">
        <f>SUMIFS(Controle!$R:$R,Controle!$H:$H,produtos_escape2!$A1457,Controle!$Z:$Z,"3")</f>
        <v>0</v>
      </c>
      <c r="I1457" s="507">
        <f>SUMIFS(Controle!$R:$R,Controle!$H:$H,produtos_escape2!$A1457,Controle!$Z:$Z,"4")</f>
        <v>0</v>
      </c>
      <c r="J1457" s="507">
        <f>SUMIFS(Controle!$R:$R,Controle!$H:$H,produtos_escape2!$A1457,Controle!$Z:$Z,"5")</f>
        <v>0</v>
      </c>
      <c r="K1457" s="507">
        <f>SUMIFS(Controle!$R:$R,Controle!$H:$H,produtos_escape2!$A1457,Controle!$Z:$Z,"6")</f>
        <v>0</v>
      </c>
      <c r="L1457" s="507">
        <f t="shared" si="48"/>
        <v>2900</v>
      </c>
      <c r="M1457" s="381" t="s">
        <v>5326</v>
      </c>
      <c r="AF1457" s="84"/>
    </row>
    <row r="1458" spans="1:32" s="185" customFormat="1" ht="14.25" customHeight="1" thickBot="1">
      <c r="A1458" s="353">
        <v>35773</v>
      </c>
      <c r="B1458" s="194" t="s">
        <v>5772</v>
      </c>
      <c r="C1458" s="339">
        <f t="shared" si="49"/>
        <v>50000</v>
      </c>
      <c r="D1458" s="196" t="s">
        <v>628</v>
      </c>
      <c r="E1458" s="187" t="s">
        <v>7207</v>
      </c>
      <c r="F1458" s="507">
        <f>SUMIFS(Controle!$R:$R,Controle!$H:$H,produtos_escape2!$A1458,Controle!$Z:$Z,"1")</f>
        <v>0</v>
      </c>
      <c r="G1458" s="507">
        <f>SUMIFS(Controle!$R:$R,Controle!$H:$H,produtos_escape2!$A1458,Controle!$Z:$Z,"2")</f>
        <v>0</v>
      </c>
      <c r="H1458" s="507">
        <f>SUMIFS(Controle!$R:$R,Controle!$H:$H,produtos_escape2!$A1458,Controle!$Z:$Z,"3")</f>
        <v>0</v>
      </c>
      <c r="I1458" s="507">
        <f>SUMIFS(Controle!$R:$R,Controle!$H:$H,produtos_escape2!$A1458,Controle!$Z:$Z,"4")</f>
        <v>0</v>
      </c>
      <c r="J1458" s="507">
        <f>SUMIFS(Controle!$R:$R,Controle!$H:$H,produtos_escape2!$A1458,Controle!$Z:$Z,"5")</f>
        <v>0</v>
      </c>
      <c r="K1458" s="507">
        <f>SUMIFS(Controle!$R:$R,Controle!$H:$H,produtos_escape2!$A1458,Controle!$Z:$Z,"6")</f>
        <v>0</v>
      </c>
      <c r="L1458" s="507">
        <f t="shared" si="48"/>
        <v>0</v>
      </c>
      <c r="M1458" s="381" t="s">
        <v>5773</v>
      </c>
      <c r="AF1458" s="84"/>
    </row>
    <row r="1459" spans="1:32" s="185" customFormat="1" ht="17.25" customHeight="1" thickBot="1">
      <c r="A1459" s="353">
        <v>35774</v>
      </c>
      <c r="B1459" s="194" t="s">
        <v>9321</v>
      </c>
      <c r="C1459" s="339">
        <f t="shared" si="49"/>
        <v>42650</v>
      </c>
      <c r="D1459" s="196" t="s">
        <v>624</v>
      </c>
      <c r="E1459" s="187" t="s">
        <v>7207</v>
      </c>
      <c r="F1459" s="507">
        <f>SUMIFS(Controle!$R:$R,Controle!$H:$H,produtos_escape2!$A1459,Controle!$Z:$Z,"1")</f>
        <v>0</v>
      </c>
      <c r="G1459" s="507">
        <f>SUMIFS(Controle!$R:$R,Controle!$H:$H,produtos_escape2!$A1459,Controle!$Z:$Z,"2")</f>
        <v>0</v>
      </c>
      <c r="H1459" s="507">
        <f>SUMIFS(Controle!$R:$R,Controle!$H:$H,produtos_escape2!$A1459,Controle!$Z:$Z,"3")</f>
        <v>0</v>
      </c>
      <c r="I1459" s="507">
        <f>SUMIFS(Controle!$R:$R,Controle!$H:$H,produtos_escape2!$A1459,Controle!$Z:$Z,"4")</f>
        <v>0</v>
      </c>
      <c r="J1459" s="507">
        <f>SUMIFS(Controle!$R:$R,Controle!$H:$H,produtos_escape2!$A1459,Controle!$Z:$Z,"5")</f>
        <v>7350</v>
      </c>
      <c r="K1459" s="507">
        <f>SUMIFS(Controle!$R:$R,Controle!$H:$H,produtos_escape2!$A1459,Controle!$Z:$Z,"6")</f>
        <v>0</v>
      </c>
      <c r="L1459" s="507">
        <f t="shared" si="48"/>
        <v>7350</v>
      </c>
      <c r="M1459" s="381" t="s">
        <v>9319</v>
      </c>
      <c r="AF1459" s="84"/>
    </row>
    <row r="1460" spans="1:32" s="185" customFormat="1" ht="17.25" customHeight="1" thickBot="1">
      <c r="A1460" s="353">
        <v>35778</v>
      </c>
      <c r="B1460" s="194" t="s">
        <v>4406</v>
      </c>
      <c r="C1460" s="339">
        <f t="shared" si="49"/>
        <v>50000</v>
      </c>
      <c r="D1460" s="196" t="s">
        <v>624</v>
      </c>
      <c r="E1460" s="187" t="s">
        <v>3608</v>
      </c>
      <c r="F1460" s="507">
        <f>SUMIFS(Controle!$R:$R,Controle!$H:$H,produtos_escape2!$A1460,Controle!$Z:$Z,"1")</f>
        <v>0</v>
      </c>
      <c r="G1460" s="507">
        <f>SUMIFS(Controle!$R:$R,Controle!$H:$H,produtos_escape2!$A1460,Controle!$Z:$Z,"2")</f>
        <v>0</v>
      </c>
      <c r="H1460" s="507">
        <f>SUMIFS(Controle!$R:$R,Controle!$H:$H,produtos_escape2!$A1460,Controle!$Z:$Z,"3")</f>
        <v>0</v>
      </c>
      <c r="I1460" s="507">
        <f>SUMIFS(Controle!$R:$R,Controle!$H:$H,produtos_escape2!$A1460,Controle!$Z:$Z,"4")</f>
        <v>0</v>
      </c>
      <c r="J1460" s="507">
        <f>SUMIFS(Controle!$R:$R,Controle!$H:$H,produtos_escape2!$A1460,Controle!$Z:$Z,"5")</f>
        <v>0</v>
      </c>
      <c r="K1460" s="507">
        <f>SUMIFS(Controle!$R:$R,Controle!$H:$H,produtos_escape2!$A1460,Controle!$Z:$Z,"6")</f>
        <v>0</v>
      </c>
      <c r="L1460" s="507">
        <f t="shared" si="48"/>
        <v>0</v>
      </c>
      <c r="M1460" s="381" t="s">
        <v>5327</v>
      </c>
      <c r="AF1460" s="84"/>
    </row>
    <row r="1461" spans="1:32" s="185" customFormat="1" ht="19.5" customHeight="1" thickBot="1">
      <c r="A1461" s="353">
        <v>35779</v>
      </c>
      <c r="B1461" s="194" t="s">
        <v>6999</v>
      </c>
      <c r="C1461" s="339">
        <f t="shared" si="49"/>
        <v>50000</v>
      </c>
      <c r="D1461" s="196" t="s">
        <v>624</v>
      </c>
      <c r="E1461" s="187" t="s">
        <v>3608</v>
      </c>
      <c r="F1461" s="507">
        <f>SUMIFS(Controle!$R:$R,Controle!$H:$H,produtos_escape2!$A1461,Controle!$Z:$Z,"1")</f>
        <v>0</v>
      </c>
      <c r="G1461" s="507">
        <f>SUMIFS(Controle!$R:$R,Controle!$H:$H,produtos_escape2!$A1461,Controle!$Z:$Z,"2")</f>
        <v>0</v>
      </c>
      <c r="H1461" s="507">
        <f>SUMIFS(Controle!$R:$R,Controle!$H:$H,produtos_escape2!$A1461,Controle!$Z:$Z,"3")</f>
        <v>0</v>
      </c>
      <c r="I1461" s="507">
        <f>SUMIFS(Controle!$R:$R,Controle!$H:$H,produtos_escape2!$A1461,Controle!$Z:$Z,"4")</f>
        <v>0</v>
      </c>
      <c r="J1461" s="507">
        <f>SUMIFS(Controle!$R:$R,Controle!$H:$H,produtos_escape2!$A1461,Controle!$Z:$Z,"5")</f>
        <v>0</v>
      </c>
      <c r="K1461" s="507">
        <f>SUMIFS(Controle!$R:$R,Controle!$H:$H,produtos_escape2!$A1461,Controle!$Z:$Z,"6")</f>
        <v>0</v>
      </c>
      <c r="L1461" s="507">
        <f t="shared" si="48"/>
        <v>0</v>
      </c>
      <c r="M1461" s="381" t="s">
        <v>7000</v>
      </c>
      <c r="AF1461" s="84"/>
    </row>
    <row r="1462" spans="1:32" s="185" customFormat="1" ht="17.25" customHeight="1" thickBot="1">
      <c r="A1462" s="333">
        <v>35782</v>
      </c>
      <c r="B1462" s="194" t="s">
        <v>4134</v>
      </c>
      <c r="C1462" s="339">
        <f t="shared" si="49"/>
        <v>50000</v>
      </c>
      <c r="D1462" s="196" t="s">
        <v>624</v>
      </c>
      <c r="E1462" s="187" t="s">
        <v>3608</v>
      </c>
      <c r="F1462" s="507">
        <f>SUMIFS(Controle!$R:$R,Controle!$H:$H,produtos_escape2!$A1462,Controle!$Z:$Z,"1")</f>
        <v>0</v>
      </c>
      <c r="G1462" s="507">
        <f>SUMIFS(Controle!$R:$R,Controle!$H:$H,produtos_escape2!$A1462,Controle!$Z:$Z,"2")</f>
        <v>0</v>
      </c>
      <c r="H1462" s="507">
        <f>SUMIFS(Controle!$R:$R,Controle!$H:$H,produtos_escape2!$A1462,Controle!$Z:$Z,"3")</f>
        <v>0</v>
      </c>
      <c r="I1462" s="507">
        <f>SUMIFS(Controle!$R:$R,Controle!$H:$H,produtos_escape2!$A1462,Controle!$Z:$Z,"4")</f>
        <v>0</v>
      </c>
      <c r="J1462" s="507">
        <f>SUMIFS(Controle!$R:$R,Controle!$H:$H,produtos_escape2!$A1462,Controle!$Z:$Z,"5")</f>
        <v>0</v>
      </c>
      <c r="K1462" s="507">
        <f>SUMIFS(Controle!$R:$R,Controle!$H:$H,produtos_escape2!$A1462,Controle!$Z:$Z,"6")</f>
        <v>0</v>
      </c>
      <c r="L1462" s="507">
        <f t="shared" si="48"/>
        <v>0</v>
      </c>
      <c r="M1462" s="381" t="s">
        <v>5328</v>
      </c>
      <c r="AF1462" s="84"/>
    </row>
    <row r="1463" spans="1:32" s="185" customFormat="1" ht="17.25" customHeight="1" thickBot="1">
      <c r="A1463" s="333">
        <v>35809</v>
      </c>
      <c r="B1463" s="194" t="s">
        <v>8956</v>
      </c>
      <c r="C1463" s="339">
        <f t="shared" si="49"/>
        <v>49706.3</v>
      </c>
      <c r="D1463" s="196" t="s">
        <v>1726</v>
      </c>
      <c r="E1463" s="187" t="s">
        <v>7207</v>
      </c>
      <c r="F1463" s="507">
        <f>SUMIFS(Controle!$R:$R,Controle!$H:$H,produtos_escape2!$A1463,Controle!$Z:$Z,"1")</f>
        <v>0</v>
      </c>
      <c r="G1463" s="507">
        <f>SUMIFS(Controle!$R:$R,Controle!$H:$H,produtos_escape2!$A1463,Controle!$Z:$Z,"2")</f>
        <v>0</v>
      </c>
      <c r="H1463" s="507">
        <f>SUMIFS(Controle!$R:$R,Controle!$H:$H,produtos_escape2!$A1463,Controle!$Z:$Z,"3")</f>
        <v>0</v>
      </c>
      <c r="I1463" s="507">
        <f>SUMIFS(Controle!$R:$R,Controle!$H:$H,produtos_escape2!$A1463,Controle!$Z:$Z,"4")</f>
        <v>293.7</v>
      </c>
      <c r="J1463" s="507">
        <f>SUMIFS(Controle!$R:$R,Controle!$H:$H,produtos_escape2!$A1463,Controle!$Z:$Z,"5")</f>
        <v>0</v>
      </c>
      <c r="K1463" s="507">
        <f>SUMIFS(Controle!$R:$R,Controle!$H:$H,produtos_escape2!$A1463,Controle!$Z:$Z,"6")</f>
        <v>0</v>
      </c>
      <c r="L1463" s="507">
        <f t="shared" si="48"/>
        <v>293.7</v>
      </c>
      <c r="M1463" s="381" t="s">
        <v>8957</v>
      </c>
      <c r="AF1463" s="84"/>
    </row>
    <row r="1464" spans="1:32" s="185" customFormat="1" ht="17.25" customHeight="1" thickBot="1">
      <c r="A1464" s="333">
        <v>35888</v>
      </c>
      <c r="B1464" s="194" t="s">
        <v>9745</v>
      </c>
      <c r="C1464" s="339">
        <f t="shared" si="49"/>
        <v>50000</v>
      </c>
      <c r="D1464" s="196" t="s">
        <v>624</v>
      </c>
      <c r="E1464" s="187" t="s">
        <v>3608</v>
      </c>
      <c r="F1464" s="507">
        <f>SUMIFS(Controle!$R:$R,Controle!$H:$H,produtos_escape2!$A1464,Controle!$Z:$Z,"1")</f>
        <v>0</v>
      </c>
      <c r="G1464" s="507">
        <f>SUMIFS(Controle!$R:$R,Controle!$H:$H,produtos_escape2!$A1464,Controle!$Z:$Z,"2")</f>
        <v>0</v>
      </c>
      <c r="H1464" s="507">
        <f>SUMIFS(Controle!$R:$R,Controle!$H:$H,produtos_escape2!$A1464,Controle!$Z:$Z,"3")</f>
        <v>0</v>
      </c>
      <c r="I1464" s="507">
        <f>SUMIFS(Controle!$R:$R,Controle!$H:$H,produtos_escape2!$A1464,Controle!$Z:$Z,"4")</f>
        <v>0</v>
      </c>
      <c r="J1464" s="507">
        <f>SUMIFS(Controle!$R:$R,Controle!$H:$H,produtos_escape2!$A1464,Controle!$Z:$Z,"5")</f>
        <v>0</v>
      </c>
      <c r="K1464" s="507">
        <f>SUMIFS(Controle!$R:$R,Controle!$H:$H,produtos_escape2!$A1464,Controle!$Z:$Z,"6")</f>
        <v>0</v>
      </c>
      <c r="L1464" s="507">
        <f t="shared" si="48"/>
        <v>0</v>
      </c>
      <c r="M1464" s="381" t="s">
        <v>9744</v>
      </c>
      <c r="AF1464" s="84"/>
    </row>
    <row r="1465" spans="1:32" s="185" customFormat="1" ht="17.25" customHeight="1" thickBot="1">
      <c r="A1465" s="353">
        <v>35897</v>
      </c>
      <c r="B1465" s="194" t="s">
        <v>6986</v>
      </c>
      <c r="C1465" s="339">
        <f t="shared" si="49"/>
        <v>9109.5</v>
      </c>
      <c r="D1465" s="196" t="s">
        <v>624</v>
      </c>
      <c r="E1465" s="187" t="s">
        <v>3608</v>
      </c>
      <c r="F1465" s="507">
        <f>SUMIFS(Controle!$R:$R,Controle!$H:$H,produtos_escape2!$A1465,Controle!$Z:$Z,"1")</f>
        <v>0</v>
      </c>
      <c r="G1465" s="507">
        <f>SUMIFS(Controle!$R:$R,Controle!$H:$H,produtos_escape2!$A1465,Controle!$Z:$Z,"2")</f>
        <v>10125</v>
      </c>
      <c r="H1465" s="507">
        <f>SUMIFS(Controle!$R:$R,Controle!$H:$H,produtos_escape2!$A1465,Controle!$Z:$Z,"3")</f>
        <v>12450</v>
      </c>
      <c r="I1465" s="507">
        <f>SUMIFS(Controle!$R:$R,Controle!$H:$H,produtos_escape2!$A1465,Controle!$Z:$Z,"4")</f>
        <v>0</v>
      </c>
      <c r="J1465" s="507">
        <f>SUMIFS(Controle!$R:$R,Controle!$H:$H,produtos_escape2!$A1465,Controle!$Z:$Z,"5")</f>
        <v>0</v>
      </c>
      <c r="K1465" s="507">
        <f>SUMIFS(Controle!$R:$R,Controle!$H:$H,produtos_escape2!$A1465,Controle!$Z:$Z,"6")</f>
        <v>18315.5</v>
      </c>
      <c r="L1465" s="507">
        <f t="shared" si="48"/>
        <v>40890.5</v>
      </c>
      <c r="M1465" s="381" t="s">
        <v>6987</v>
      </c>
      <c r="AF1465" s="84"/>
    </row>
    <row r="1466" spans="1:32" s="185" customFormat="1" ht="17.25" customHeight="1" thickBot="1">
      <c r="A1466" s="353">
        <v>35898</v>
      </c>
      <c r="B1466" s="338" t="s">
        <v>4138</v>
      </c>
      <c r="C1466" s="339">
        <f t="shared" si="49"/>
        <v>50000</v>
      </c>
      <c r="D1466" s="196" t="s">
        <v>624</v>
      </c>
      <c r="E1466" s="187" t="s">
        <v>7207</v>
      </c>
      <c r="F1466" s="507">
        <f>SUMIFS(Controle!$R:$R,Controle!$H:$H,produtos_escape2!$A1466,Controle!$Z:$Z,"1")</f>
        <v>0</v>
      </c>
      <c r="G1466" s="507">
        <f>SUMIFS(Controle!$R:$R,Controle!$H:$H,produtos_escape2!$A1466,Controle!$Z:$Z,"2")</f>
        <v>0</v>
      </c>
      <c r="H1466" s="507">
        <f>SUMIFS(Controle!$R:$R,Controle!$H:$H,produtos_escape2!$A1466,Controle!$Z:$Z,"3")</f>
        <v>0</v>
      </c>
      <c r="I1466" s="507">
        <f>SUMIFS(Controle!$R:$R,Controle!$H:$H,produtos_escape2!$A1466,Controle!$Z:$Z,"4")</f>
        <v>0</v>
      </c>
      <c r="J1466" s="507">
        <f>SUMIFS(Controle!$R:$R,Controle!$H:$H,produtos_escape2!$A1466,Controle!$Z:$Z,"5")</f>
        <v>0</v>
      </c>
      <c r="K1466" s="507">
        <f>SUMIFS(Controle!$R:$R,Controle!$H:$H,produtos_escape2!$A1466,Controle!$Z:$Z,"6")</f>
        <v>0</v>
      </c>
      <c r="L1466" s="507">
        <f t="shared" si="48"/>
        <v>0</v>
      </c>
      <c r="M1466" s="381" t="s">
        <v>5329</v>
      </c>
      <c r="AF1466" s="84"/>
    </row>
    <row r="1467" spans="1:32" s="185" customFormat="1" ht="17.25" customHeight="1" thickBot="1">
      <c r="A1467" s="353">
        <v>35938</v>
      </c>
      <c r="B1467" s="338" t="s">
        <v>9320</v>
      </c>
      <c r="C1467" s="339">
        <f t="shared" si="49"/>
        <v>31587.5</v>
      </c>
      <c r="D1467" s="196" t="s">
        <v>624</v>
      </c>
      <c r="E1467" s="187" t="s">
        <v>3608</v>
      </c>
      <c r="F1467" s="507">
        <f>SUMIFS(Controle!$R:$R,Controle!$H:$H,produtos_escape2!$A1467,Controle!$Z:$Z,"1")</f>
        <v>0</v>
      </c>
      <c r="G1467" s="507">
        <f>SUMIFS(Controle!$R:$R,Controle!$H:$H,produtos_escape2!$A1467,Controle!$Z:$Z,"2")</f>
        <v>0</v>
      </c>
      <c r="H1467" s="507">
        <f>SUMIFS(Controle!$R:$R,Controle!$H:$H,produtos_escape2!$A1467,Controle!$Z:$Z,"3")</f>
        <v>0</v>
      </c>
      <c r="I1467" s="507">
        <f>SUMIFS(Controle!$R:$R,Controle!$H:$H,produtos_escape2!$A1467,Controle!$Z:$Z,"4")</f>
        <v>0</v>
      </c>
      <c r="J1467" s="507">
        <f>SUMIFS(Controle!$R:$R,Controle!$H:$H,produtos_escape2!$A1467,Controle!$Z:$Z,"5")</f>
        <v>15312.5</v>
      </c>
      <c r="K1467" s="507">
        <f>SUMIFS(Controle!$R:$R,Controle!$H:$H,produtos_escape2!$A1467,Controle!$Z:$Z,"6")</f>
        <v>3100</v>
      </c>
      <c r="L1467" s="507">
        <f t="shared" si="48"/>
        <v>18412.5</v>
      </c>
      <c r="M1467" s="381" t="s">
        <v>9319</v>
      </c>
      <c r="AF1467" s="84"/>
    </row>
    <row r="1468" spans="1:32" s="185" customFormat="1" ht="17.25" customHeight="1" thickBot="1">
      <c r="A1468" s="353">
        <v>36017</v>
      </c>
      <c r="B1468" s="194" t="s">
        <v>4467</v>
      </c>
      <c r="C1468" s="339">
        <f t="shared" si="49"/>
        <v>50000</v>
      </c>
      <c r="D1468" s="196" t="s">
        <v>624</v>
      </c>
      <c r="E1468" s="187" t="s">
        <v>3608</v>
      </c>
      <c r="F1468" s="507">
        <f>SUMIFS(Controle!$R:$R,Controle!$H:$H,produtos_escape2!$A1468,Controle!$Z:$Z,"1")</f>
        <v>0</v>
      </c>
      <c r="G1468" s="507">
        <f>SUMIFS(Controle!$R:$R,Controle!$H:$H,produtos_escape2!$A1468,Controle!$Z:$Z,"2")</f>
        <v>0</v>
      </c>
      <c r="H1468" s="507">
        <f>SUMIFS(Controle!$R:$R,Controle!$H:$H,produtos_escape2!$A1468,Controle!$Z:$Z,"3")</f>
        <v>0</v>
      </c>
      <c r="I1468" s="507">
        <f>SUMIFS(Controle!$R:$R,Controle!$H:$H,produtos_escape2!$A1468,Controle!$Z:$Z,"4")</f>
        <v>0</v>
      </c>
      <c r="J1468" s="507">
        <f>SUMIFS(Controle!$R:$R,Controle!$H:$H,produtos_escape2!$A1468,Controle!$Z:$Z,"5")</f>
        <v>0</v>
      </c>
      <c r="K1468" s="507">
        <f>SUMIFS(Controle!$R:$R,Controle!$H:$H,produtos_escape2!$A1468,Controle!$Z:$Z,"6")</f>
        <v>0</v>
      </c>
      <c r="L1468" s="507">
        <f t="shared" si="48"/>
        <v>0</v>
      </c>
      <c r="M1468" s="381" t="s">
        <v>5330</v>
      </c>
      <c r="AF1468" s="84"/>
    </row>
    <row r="1469" spans="1:32" s="185" customFormat="1" ht="17.25" customHeight="1" thickBot="1">
      <c r="A1469" s="353">
        <v>36048</v>
      </c>
      <c r="B1469" s="194" t="s">
        <v>5734</v>
      </c>
      <c r="C1469" s="339">
        <f t="shared" si="49"/>
        <v>17524.5</v>
      </c>
      <c r="D1469" s="196" t="s">
        <v>624</v>
      </c>
      <c r="E1469" s="187" t="s">
        <v>3608</v>
      </c>
      <c r="F1469" s="507">
        <f>SUMIFS(Controle!$R:$R,Controle!$H:$H,produtos_escape2!$A1469,Controle!$Z:$Z,"1")</f>
        <v>0</v>
      </c>
      <c r="G1469" s="507">
        <f>SUMIFS(Controle!$R:$R,Controle!$H:$H,produtos_escape2!$A1469,Controle!$Z:$Z,"2")</f>
        <v>336</v>
      </c>
      <c r="H1469" s="507">
        <f>SUMIFS(Controle!$R:$R,Controle!$H:$H,produtos_escape2!$A1469,Controle!$Z:$Z,"3")</f>
        <v>1975</v>
      </c>
      <c r="I1469" s="507">
        <f>SUMIFS(Controle!$R:$R,Controle!$H:$H,produtos_escape2!$A1469,Controle!$Z:$Z,"4")</f>
        <v>1206</v>
      </c>
      <c r="J1469" s="507">
        <f>SUMIFS(Controle!$R:$R,Controle!$H:$H,produtos_escape2!$A1469,Controle!$Z:$Z,"5")</f>
        <v>0</v>
      </c>
      <c r="K1469" s="507">
        <f>SUMIFS(Controle!$R:$R,Controle!$H:$H,produtos_escape2!$A1469,Controle!$Z:$Z,"6")</f>
        <v>28958.5</v>
      </c>
      <c r="L1469" s="507">
        <f t="shared" si="48"/>
        <v>32475.5</v>
      </c>
      <c r="M1469" s="381" t="s">
        <v>5736</v>
      </c>
      <c r="AF1469" s="84"/>
    </row>
    <row r="1470" spans="1:32" s="185" customFormat="1" ht="13.5" customHeight="1" thickBot="1">
      <c r="A1470" s="353">
        <v>36052</v>
      </c>
      <c r="B1470" s="194" t="s">
        <v>5739</v>
      </c>
      <c r="C1470" s="339">
        <f t="shared" si="49"/>
        <v>12504</v>
      </c>
      <c r="D1470" s="196" t="s">
        <v>624</v>
      </c>
      <c r="E1470" s="187" t="s">
        <v>3608</v>
      </c>
      <c r="F1470" s="507">
        <f>SUMIFS(Controle!$R:$R,Controle!$H:$H,produtos_escape2!$A1470,Controle!$Z:$Z,"1")</f>
        <v>0</v>
      </c>
      <c r="G1470" s="507">
        <f>SUMIFS(Controle!$R:$R,Controle!$H:$H,produtos_escape2!$A1470,Controle!$Z:$Z,"2")</f>
        <v>336</v>
      </c>
      <c r="H1470" s="507">
        <f>SUMIFS(Controle!$R:$R,Controle!$H:$H,produtos_escape2!$A1470,Controle!$Z:$Z,"3")</f>
        <v>1810</v>
      </c>
      <c r="I1470" s="507">
        <f>SUMIFS(Controle!$R:$R,Controle!$H:$H,produtos_escape2!$A1470,Controle!$Z:$Z,"4")</f>
        <v>0</v>
      </c>
      <c r="J1470" s="507">
        <f>SUMIFS(Controle!$R:$R,Controle!$H:$H,produtos_escape2!$A1470,Controle!$Z:$Z,"5")</f>
        <v>0</v>
      </c>
      <c r="K1470" s="507">
        <f>SUMIFS(Controle!$R:$R,Controle!$H:$H,produtos_escape2!$A1470,Controle!$Z:$Z,"6")</f>
        <v>35350</v>
      </c>
      <c r="L1470" s="507">
        <f t="shared" si="48"/>
        <v>37496</v>
      </c>
      <c r="M1470" s="381" t="s">
        <v>5738</v>
      </c>
      <c r="AF1470" s="84"/>
    </row>
    <row r="1471" spans="1:32" s="185" customFormat="1" ht="14.25" customHeight="1" thickBot="1">
      <c r="A1471" s="353">
        <v>36091</v>
      </c>
      <c r="B1471" s="194" t="s">
        <v>6851</v>
      </c>
      <c r="C1471" s="339">
        <f t="shared" si="49"/>
        <v>49860</v>
      </c>
      <c r="D1471" s="196" t="s">
        <v>547</v>
      </c>
      <c r="E1471" s="187" t="s">
        <v>3608</v>
      </c>
      <c r="F1471" s="507">
        <f>SUMIFS(Controle!$R:$R,Controle!$H:$H,produtos_escape2!$A1471,Controle!$Z:$Z,"1")</f>
        <v>0</v>
      </c>
      <c r="G1471" s="507">
        <f>SUMIFS(Controle!$R:$R,Controle!$H:$H,produtos_escape2!$A1471,Controle!$Z:$Z,"2")</f>
        <v>0</v>
      </c>
      <c r="H1471" s="507">
        <f>SUMIFS(Controle!$R:$R,Controle!$H:$H,produtos_escape2!$A1471,Controle!$Z:$Z,"3")</f>
        <v>0</v>
      </c>
      <c r="I1471" s="507">
        <f>SUMIFS(Controle!$R:$R,Controle!$H:$H,produtos_escape2!$A1471,Controle!$Z:$Z,"4")</f>
        <v>0</v>
      </c>
      <c r="J1471" s="507">
        <f>SUMIFS(Controle!$R:$R,Controle!$H:$H,produtos_escape2!$A1471,Controle!$Z:$Z,"5")</f>
        <v>0</v>
      </c>
      <c r="K1471" s="507">
        <f>SUMIFS(Controle!$R:$R,Controle!$H:$H,produtos_escape2!$A1471,Controle!$Z:$Z,"6")</f>
        <v>140</v>
      </c>
      <c r="L1471" s="507">
        <f t="shared" ref="L1471:L1534" si="50">SUM(F1471:K1471)</f>
        <v>140</v>
      </c>
      <c r="M1471" s="381" t="s">
        <v>6852</v>
      </c>
      <c r="AF1471" s="84"/>
    </row>
    <row r="1472" spans="1:32" s="185" customFormat="1" ht="17.25" customHeight="1" thickBot="1">
      <c r="A1472" s="353">
        <v>36092</v>
      </c>
      <c r="B1472" s="194" t="s">
        <v>6850</v>
      </c>
      <c r="C1472" s="339">
        <f t="shared" si="49"/>
        <v>50000</v>
      </c>
      <c r="D1472" s="196" t="s">
        <v>547</v>
      </c>
      <c r="E1472" s="187" t="s">
        <v>3608</v>
      </c>
      <c r="F1472" s="507">
        <f>SUMIFS(Controle!$R:$R,Controle!$H:$H,produtos_escape2!$A1472,Controle!$Z:$Z,"1")</f>
        <v>0</v>
      </c>
      <c r="G1472" s="507">
        <f>SUMIFS(Controle!$R:$R,Controle!$H:$H,produtos_escape2!$A1472,Controle!$Z:$Z,"2")</f>
        <v>0</v>
      </c>
      <c r="H1472" s="507">
        <f>SUMIFS(Controle!$R:$R,Controle!$H:$H,produtos_escape2!$A1472,Controle!$Z:$Z,"3")</f>
        <v>0</v>
      </c>
      <c r="I1472" s="507">
        <f>SUMIFS(Controle!$R:$R,Controle!$H:$H,produtos_escape2!$A1472,Controle!$Z:$Z,"4")</f>
        <v>0</v>
      </c>
      <c r="J1472" s="507">
        <f>SUMIFS(Controle!$R:$R,Controle!$H:$H,produtos_escape2!$A1472,Controle!$Z:$Z,"5")</f>
        <v>0</v>
      </c>
      <c r="K1472" s="507">
        <f>SUMIFS(Controle!$R:$R,Controle!$H:$H,produtos_escape2!$A1472,Controle!$Z:$Z,"6")</f>
        <v>0</v>
      </c>
      <c r="L1472" s="507">
        <f t="shared" si="50"/>
        <v>0</v>
      </c>
      <c r="M1472" s="381" t="s">
        <v>6853</v>
      </c>
      <c r="AF1472" s="84"/>
    </row>
    <row r="1473" spans="1:32" s="185" customFormat="1" ht="14.25" customHeight="1" thickBot="1">
      <c r="A1473" s="353">
        <v>36163</v>
      </c>
      <c r="B1473" s="194" t="s">
        <v>4366</v>
      </c>
      <c r="C1473" s="339">
        <f t="shared" si="49"/>
        <v>50000</v>
      </c>
      <c r="D1473" s="196" t="s">
        <v>624</v>
      </c>
      <c r="E1473" s="187" t="s">
        <v>3608</v>
      </c>
      <c r="F1473" s="507">
        <f>SUMIFS(Controle!$R:$R,Controle!$H:$H,produtos_escape2!$A1473,Controle!$Z:$Z,"1")</f>
        <v>0</v>
      </c>
      <c r="G1473" s="507">
        <f>SUMIFS(Controle!$R:$R,Controle!$H:$H,produtos_escape2!$A1473,Controle!$Z:$Z,"2")</f>
        <v>0</v>
      </c>
      <c r="H1473" s="507">
        <f>SUMIFS(Controle!$R:$R,Controle!$H:$H,produtos_escape2!$A1473,Controle!$Z:$Z,"3")</f>
        <v>0</v>
      </c>
      <c r="I1473" s="507">
        <f>SUMIFS(Controle!$R:$R,Controle!$H:$H,produtos_escape2!$A1473,Controle!$Z:$Z,"4")</f>
        <v>0</v>
      </c>
      <c r="J1473" s="507">
        <f>SUMIFS(Controle!$R:$R,Controle!$H:$H,produtos_escape2!$A1473,Controle!$Z:$Z,"5")</f>
        <v>0</v>
      </c>
      <c r="K1473" s="507">
        <f>SUMIFS(Controle!$R:$R,Controle!$H:$H,produtos_escape2!$A1473,Controle!$Z:$Z,"6")</f>
        <v>0</v>
      </c>
      <c r="L1473" s="507">
        <f t="shared" si="50"/>
        <v>0</v>
      </c>
      <c r="M1473" s="381" t="s">
        <v>5331</v>
      </c>
      <c r="AF1473" s="84"/>
    </row>
    <row r="1474" spans="1:32" s="185" customFormat="1" ht="14.25" customHeight="1" thickBot="1">
      <c r="A1474" s="353">
        <v>36169</v>
      </c>
      <c r="B1474" s="194" t="s">
        <v>5735</v>
      </c>
      <c r="C1474" s="339">
        <f t="shared" si="49"/>
        <v>6473</v>
      </c>
      <c r="D1474" s="196" t="s">
        <v>624</v>
      </c>
      <c r="E1474" s="187" t="s">
        <v>3608</v>
      </c>
      <c r="F1474" s="507">
        <f>SUMIFS(Controle!$R:$R,Controle!$H:$H,produtos_escape2!$A1474,Controle!$Z:$Z,"1")</f>
        <v>0</v>
      </c>
      <c r="G1474" s="507">
        <f>SUMIFS(Controle!$R:$R,Controle!$H:$H,produtos_escape2!$A1474,Controle!$Z:$Z,"2")</f>
        <v>336</v>
      </c>
      <c r="H1474" s="507">
        <f>SUMIFS(Controle!$R:$R,Controle!$H:$H,produtos_escape2!$A1474,Controle!$Z:$Z,"3")</f>
        <v>905</v>
      </c>
      <c r="I1474" s="507">
        <f>SUMIFS(Controle!$R:$R,Controle!$H:$H,produtos_escape2!$A1474,Controle!$Z:$Z,"4")</f>
        <v>1206</v>
      </c>
      <c r="J1474" s="507">
        <f>SUMIFS(Controle!$R:$R,Controle!$H:$H,produtos_escape2!$A1474,Controle!$Z:$Z,"5")</f>
        <v>0</v>
      </c>
      <c r="K1474" s="507">
        <f>SUMIFS(Controle!$R:$R,Controle!$H:$H,produtos_escape2!$A1474,Controle!$Z:$Z,"6")</f>
        <v>41080</v>
      </c>
      <c r="L1474" s="507">
        <f t="shared" si="50"/>
        <v>43527</v>
      </c>
      <c r="M1474" s="381" t="s">
        <v>5737</v>
      </c>
      <c r="AF1474" s="84"/>
    </row>
    <row r="1475" spans="1:32" s="185" customFormat="1" ht="14.25" customHeight="1" thickBot="1">
      <c r="A1475" s="353">
        <v>36195</v>
      </c>
      <c r="B1475" s="194" t="s">
        <v>6748</v>
      </c>
      <c r="C1475" s="339">
        <f t="shared" si="49"/>
        <v>50000</v>
      </c>
      <c r="D1475" s="196" t="s">
        <v>1255</v>
      </c>
      <c r="E1475" s="187" t="s">
        <v>3608</v>
      </c>
      <c r="F1475" s="507">
        <f>SUMIFS(Controle!$R:$R,Controle!$H:$H,produtos_escape2!$A1475,Controle!$Z:$Z,"1")</f>
        <v>0</v>
      </c>
      <c r="G1475" s="507">
        <f>SUMIFS(Controle!$R:$R,Controle!$H:$H,produtos_escape2!$A1475,Controle!$Z:$Z,"2")</f>
        <v>0</v>
      </c>
      <c r="H1475" s="507">
        <f>SUMIFS(Controle!$R:$R,Controle!$H:$H,produtos_escape2!$A1475,Controle!$Z:$Z,"3")</f>
        <v>0</v>
      </c>
      <c r="I1475" s="507">
        <f>SUMIFS(Controle!$R:$R,Controle!$H:$H,produtos_escape2!$A1475,Controle!$Z:$Z,"4")</f>
        <v>0</v>
      </c>
      <c r="J1475" s="507">
        <f>SUMIFS(Controle!$R:$R,Controle!$H:$H,produtos_escape2!$A1475,Controle!$Z:$Z,"5")</f>
        <v>0</v>
      </c>
      <c r="K1475" s="507">
        <f>SUMIFS(Controle!$R:$R,Controle!$H:$H,produtos_escape2!$A1475,Controle!$Z:$Z,"6")</f>
        <v>0</v>
      </c>
      <c r="L1475" s="507">
        <f t="shared" si="50"/>
        <v>0</v>
      </c>
      <c r="M1475" s="381" t="s">
        <v>6749</v>
      </c>
      <c r="AF1475" s="84"/>
    </row>
    <row r="1476" spans="1:32" s="185" customFormat="1" ht="14.25" customHeight="1" thickBot="1">
      <c r="A1476" s="333">
        <v>36200</v>
      </c>
      <c r="B1476" s="194" t="s">
        <v>7154</v>
      </c>
      <c r="C1476" s="339">
        <f t="shared" si="49"/>
        <v>50000</v>
      </c>
      <c r="D1476" s="196" t="s">
        <v>624</v>
      </c>
      <c r="E1476" s="187" t="s">
        <v>3608</v>
      </c>
      <c r="F1476" s="507">
        <f>SUMIFS(Controle!$R:$R,Controle!$H:$H,produtos_escape2!$A1476,Controle!$Z:$Z,"1")</f>
        <v>0</v>
      </c>
      <c r="G1476" s="507">
        <f>SUMIFS(Controle!$R:$R,Controle!$H:$H,produtos_escape2!$A1476,Controle!$Z:$Z,"2")</f>
        <v>0</v>
      </c>
      <c r="H1476" s="507">
        <f>SUMIFS(Controle!$R:$R,Controle!$H:$H,produtos_escape2!$A1476,Controle!$Z:$Z,"3")</f>
        <v>0</v>
      </c>
      <c r="I1476" s="507">
        <f>SUMIFS(Controle!$R:$R,Controle!$H:$H,produtos_escape2!$A1476,Controle!$Z:$Z,"4")</f>
        <v>0</v>
      </c>
      <c r="J1476" s="507">
        <f>SUMIFS(Controle!$R:$R,Controle!$H:$H,produtos_escape2!$A1476,Controle!$Z:$Z,"5")</f>
        <v>0</v>
      </c>
      <c r="K1476" s="507">
        <f>SUMIFS(Controle!$R:$R,Controle!$H:$H,produtos_escape2!$A1476,Controle!$Z:$Z,"6")</f>
        <v>0</v>
      </c>
      <c r="L1476" s="507">
        <f t="shared" si="50"/>
        <v>0</v>
      </c>
      <c r="M1476" s="381" t="s">
        <v>7153</v>
      </c>
      <c r="AF1476" s="84"/>
    </row>
    <row r="1477" spans="1:32" s="185" customFormat="1" ht="14.25" customHeight="1" thickBot="1">
      <c r="A1477" s="333">
        <v>36214</v>
      </c>
      <c r="B1477" s="194" t="s">
        <v>6661</v>
      </c>
      <c r="C1477" s="339">
        <f t="shared" ref="C1477" si="51">50000-SUM(F1477:K1477)</f>
        <v>48002</v>
      </c>
      <c r="D1477" s="196" t="s">
        <v>624</v>
      </c>
      <c r="E1477" s="187" t="s">
        <v>7207</v>
      </c>
      <c r="F1477" s="507">
        <f>SUMIFS(Controle!$R:$R,Controle!$H:$H,produtos_escape2!$A1477,Controle!$Z:$Z,"1")</f>
        <v>0</v>
      </c>
      <c r="G1477" s="507">
        <f>SUMIFS(Controle!$R:$R,Controle!$H:$H,produtos_escape2!$A1477,Controle!$Z:$Z,"2")</f>
        <v>0</v>
      </c>
      <c r="H1477" s="507">
        <f>SUMIFS(Controle!$R:$R,Controle!$H:$H,produtos_escape2!$A1477,Controle!$Z:$Z,"3")</f>
        <v>0</v>
      </c>
      <c r="I1477" s="507">
        <f>SUMIFS(Controle!$R:$R,Controle!$H:$H,produtos_escape2!$A1477,Controle!$Z:$Z,"4")</f>
        <v>0</v>
      </c>
      <c r="J1477" s="507">
        <f>SUMIFS(Controle!$R:$R,Controle!$H:$H,produtos_escape2!$A1477,Controle!$Z:$Z,"5")</f>
        <v>0</v>
      </c>
      <c r="K1477" s="507">
        <f>SUMIFS(Controle!$R:$R,Controle!$H:$H,produtos_escape2!$A1477,Controle!$Z:$Z,"6")</f>
        <v>1998</v>
      </c>
      <c r="L1477" s="507">
        <f t="shared" si="50"/>
        <v>1998</v>
      </c>
      <c r="M1477" s="381" t="s">
        <v>10409</v>
      </c>
      <c r="AF1477" s="84"/>
    </row>
    <row r="1478" spans="1:32" s="185" customFormat="1" ht="14.25" customHeight="1" thickBot="1">
      <c r="A1478" s="333">
        <v>36215</v>
      </c>
      <c r="B1478" s="194" t="s">
        <v>10408</v>
      </c>
      <c r="C1478" s="339">
        <f t="shared" si="49"/>
        <v>50000</v>
      </c>
      <c r="D1478" s="196" t="s">
        <v>624</v>
      </c>
      <c r="E1478" s="187" t="s">
        <v>7207</v>
      </c>
      <c r="F1478" s="507">
        <f>SUMIFS(Controle!$R:$R,Controle!$H:$H,produtos_escape2!$A1478,Controle!$Z:$Z,"1")</f>
        <v>0</v>
      </c>
      <c r="G1478" s="507">
        <f>SUMIFS(Controle!$R:$R,Controle!$H:$H,produtos_escape2!$A1478,Controle!$Z:$Z,"2")</f>
        <v>0</v>
      </c>
      <c r="H1478" s="507">
        <f>SUMIFS(Controle!$R:$R,Controle!$H:$H,produtos_escape2!$A1478,Controle!$Z:$Z,"3")</f>
        <v>0</v>
      </c>
      <c r="I1478" s="507">
        <f>SUMIFS(Controle!$R:$R,Controle!$H:$H,produtos_escape2!$A1478,Controle!$Z:$Z,"4")</f>
        <v>0</v>
      </c>
      <c r="J1478" s="507">
        <f>SUMIFS(Controle!$R:$R,Controle!$H:$H,produtos_escape2!$A1478,Controle!$Z:$Z,"5")</f>
        <v>0</v>
      </c>
      <c r="K1478" s="507">
        <f>SUMIFS(Controle!$R:$R,Controle!$H:$H,produtos_escape2!$A1478,Controle!$Z:$Z,"6")</f>
        <v>0</v>
      </c>
      <c r="L1478" s="507">
        <f t="shared" si="50"/>
        <v>0</v>
      </c>
      <c r="M1478" s="381" t="s">
        <v>10410</v>
      </c>
      <c r="AF1478" s="84"/>
    </row>
    <row r="1479" spans="1:32" s="185" customFormat="1" ht="14.25" customHeight="1" thickBot="1">
      <c r="A1479" s="333">
        <v>36306</v>
      </c>
      <c r="B1479" s="194" t="s">
        <v>6940</v>
      </c>
      <c r="C1479" s="339">
        <f t="shared" ref="C1479:C1543" si="52">50000-SUM(F1479:K1479)</f>
        <v>50000</v>
      </c>
      <c r="D1479" s="196" t="s">
        <v>624</v>
      </c>
      <c r="E1479" s="187" t="s">
        <v>3608</v>
      </c>
      <c r="F1479" s="507">
        <f>SUMIFS(Controle!$R:$R,Controle!$H:$H,produtos_escape2!$A1479,Controle!$Z:$Z,"1")</f>
        <v>0</v>
      </c>
      <c r="G1479" s="507">
        <f>SUMIFS(Controle!$R:$R,Controle!$H:$H,produtos_escape2!$A1479,Controle!$Z:$Z,"2")</f>
        <v>0</v>
      </c>
      <c r="H1479" s="507">
        <f>SUMIFS(Controle!$R:$R,Controle!$H:$H,produtos_escape2!$A1479,Controle!$Z:$Z,"3")</f>
        <v>0</v>
      </c>
      <c r="I1479" s="507">
        <f>SUMIFS(Controle!$R:$R,Controle!$H:$H,produtos_escape2!$A1479,Controle!$Z:$Z,"4")</f>
        <v>0</v>
      </c>
      <c r="J1479" s="507">
        <f>SUMIFS(Controle!$R:$R,Controle!$H:$H,produtos_escape2!$A1479,Controle!$Z:$Z,"5")</f>
        <v>0</v>
      </c>
      <c r="K1479" s="507">
        <f>SUMIFS(Controle!$R:$R,Controle!$H:$H,produtos_escape2!$A1479,Controle!$Z:$Z,"6")</f>
        <v>0</v>
      </c>
      <c r="L1479" s="507">
        <f t="shared" si="50"/>
        <v>0</v>
      </c>
      <c r="M1479" s="381" t="s">
        <v>6939</v>
      </c>
      <c r="AF1479" s="84"/>
    </row>
    <row r="1480" spans="1:32" s="185" customFormat="1" ht="14.25" customHeight="1" thickBot="1">
      <c r="A1480" s="333">
        <v>36309</v>
      </c>
      <c r="B1480" s="194" t="s">
        <v>7847</v>
      </c>
      <c r="C1480" s="339">
        <f t="shared" si="52"/>
        <v>49960</v>
      </c>
      <c r="D1480" s="196" t="s">
        <v>7846</v>
      </c>
      <c r="E1480" s="187" t="s">
        <v>3608</v>
      </c>
      <c r="F1480" s="507">
        <f>SUMIFS(Controle!$R:$R,Controle!$H:$H,produtos_escape2!$A1480,Controle!$Z:$Z,"1")</f>
        <v>0</v>
      </c>
      <c r="G1480" s="507">
        <f>SUMIFS(Controle!$R:$R,Controle!$H:$H,produtos_escape2!$A1480,Controle!$Z:$Z,"2")</f>
        <v>40</v>
      </c>
      <c r="H1480" s="507">
        <f>SUMIFS(Controle!$R:$R,Controle!$H:$H,produtos_escape2!$A1480,Controle!$Z:$Z,"3")</f>
        <v>0</v>
      </c>
      <c r="I1480" s="507">
        <f>SUMIFS(Controle!$R:$R,Controle!$H:$H,produtos_escape2!$A1480,Controle!$Z:$Z,"4")</f>
        <v>0</v>
      </c>
      <c r="J1480" s="507">
        <f>SUMIFS(Controle!$R:$R,Controle!$H:$H,produtos_escape2!$A1480,Controle!$Z:$Z,"5")</f>
        <v>0</v>
      </c>
      <c r="K1480" s="507">
        <f>SUMIFS(Controle!$R:$R,Controle!$H:$H,produtos_escape2!$A1480,Controle!$Z:$Z,"6")</f>
        <v>0</v>
      </c>
      <c r="L1480" s="507">
        <f t="shared" si="50"/>
        <v>40</v>
      </c>
      <c r="M1480" s="381" t="s">
        <v>7848</v>
      </c>
      <c r="AF1480" s="84"/>
    </row>
    <row r="1481" spans="1:32" s="185" customFormat="1" ht="14.25" customHeight="1" thickBot="1">
      <c r="A1481" s="353">
        <v>36515</v>
      </c>
      <c r="B1481" s="194" t="s">
        <v>6928</v>
      </c>
      <c r="C1481" s="339">
        <f t="shared" si="52"/>
        <v>50000</v>
      </c>
      <c r="D1481" s="191" t="s">
        <v>639</v>
      </c>
      <c r="E1481" s="189" t="s">
        <v>3608</v>
      </c>
      <c r="F1481" s="507">
        <f>SUMIFS(Controle!$R:$R,Controle!$H:$H,produtos_escape2!$A1481,Controle!$Z:$Z,"1")</f>
        <v>0</v>
      </c>
      <c r="G1481" s="507">
        <f>SUMIFS(Controle!$R:$R,Controle!$H:$H,produtos_escape2!$A1481,Controle!$Z:$Z,"2")</f>
        <v>0</v>
      </c>
      <c r="H1481" s="507">
        <f>SUMIFS(Controle!$R:$R,Controle!$H:$H,produtos_escape2!$A1481,Controle!$Z:$Z,"3")</f>
        <v>0</v>
      </c>
      <c r="I1481" s="507">
        <f>SUMIFS(Controle!$R:$R,Controle!$H:$H,produtos_escape2!$A1481,Controle!$Z:$Z,"4")</f>
        <v>0</v>
      </c>
      <c r="J1481" s="507">
        <f>SUMIFS(Controle!$R:$R,Controle!$H:$H,produtos_escape2!$A1481,Controle!$Z:$Z,"5")</f>
        <v>0</v>
      </c>
      <c r="K1481" s="507">
        <f>SUMIFS(Controle!$R:$R,Controle!$H:$H,produtos_escape2!$A1481,Controle!$Z:$Z,"6")</f>
        <v>0</v>
      </c>
      <c r="L1481" s="507">
        <f t="shared" si="50"/>
        <v>0</v>
      </c>
      <c r="M1481" s="381" t="s">
        <v>5201</v>
      </c>
      <c r="AF1481" s="84"/>
    </row>
    <row r="1482" spans="1:32" s="185" customFormat="1" ht="14.25" customHeight="1" thickBot="1">
      <c r="A1482" s="333">
        <v>36520</v>
      </c>
      <c r="B1482" s="194" t="s">
        <v>6834</v>
      </c>
      <c r="C1482" s="339">
        <f t="shared" si="52"/>
        <v>45224</v>
      </c>
      <c r="D1482" s="196" t="s">
        <v>1241</v>
      </c>
      <c r="E1482" s="187" t="s">
        <v>3608</v>
      </c>
      <c r="F1482" s="507">
        <f>SUMIFS(Controle!$R:$R,Controle!$H:$H,produtos_escape2!$A1482,Controle!$Z:$Z,"1")</f>
        <v>0</v>
      </c>
      <c r="G1482" s="507">
        <f>SUMIFS(Controle!$R:$R,Controle!$H:$H,produtos_escape2!$A1482,Controle!$Z:$Z,"2")</f>
        <v>4776</v>
      </c>
      <c r="H1482" s="507">
        <f>SUMIFS(Controle!$R:$R,Controle!$H:$H,produtos_escape2!$A1482,Controle!$Z:$Z,"3")</f>
        <v>0</v>
      </c>
      <c r="I1482" s="507">
        <f>SUMIFS(Controle!$R:$R,Controle!$H:$H,produtos_escape2!$A1482,Controle!$Z:$Z,"4")</f>
        <v>0</v>
      </c>
      <c r="J1482" s="507">
        <f>SUMIFS(Controle!$R:$R,Controle!$H:$H,produtos_escape2!$A1482,Controle!$Z:$Z,"5")</f>
        <v>0</v>
      </c>
      <c r="K1482" s="507">
        <f>SUMIFS(Controle!$R:$R,Controle!$H:$H,produtos_escape2!$A1482,Controle!$Z:$Z,"6")</f>
        <v>0</v>
      </c>
      <c r="L1482" s="507">
        <f t="shared" si="50"/>
        <v>4776</v>
      </c>
      <c r="M1482" s="381" t="s">
        <v>6833</v>
      </c>
      <c r="AF1482" s="84"/>
    </row>
    <row r="1483" spans="1:32" s="185" customFormat="1" ht="14.25" customHeight="1" thickBot="1">
      <c r="A1483" s="353">
        <v>36552</v>
      </c>
      <c r="B1483" s="194" t="s">
        <v>6950</v>
      </c>
      <c r="C1483" s="339">
        <f t="shared" si="52"/>
        <v>48624</v>
      </c>
      <c r="D1483" s="196" t="s">
        <v>624</v>
      </c>
      <c r="E1483" s="187" t="s">
        <v>3608</v>
      </c>
      <c r="F1483" s="507">
        <f>SUMIFS(Controle!$R:$R,Controle!$H:$H,produtos_escape2!$A1483,Controle!$Z:$Z,"1")</f>
        <v>0</v>
      </c>
      <c r="G1483" s="507">
        <f>SUMIFS(Controle!$R:$R,Controle!$H:$H,produtos_escape2!$A1483,Controle!$Z:$Z,"2")</f>
        <v>360</v>
      </c>
      <c r="H1483" s="507">
        <f>SUMIFS(Controle!$R:$R,Controle!$H:$H,produtos_escape2!$A1483,Controle!$Z:$Z,"3")</f>
        <v>416</v>
      </c>
      <c r="I1483" s="507">
        <f>SUMIFS(Controle!$R:$R,Controle!$H:$H,produtos_escape2!$A1483,Controle!$Z:$Z,"4")</f>
        <v>600</v>
      </c>
      <c r="J1483" s="507">
        <f>SUMIFS(Controle!$R:$R,Controle!$H:$H,produtos_escape2!$A1483,Controle!$Z:$Z,"5")</f>
        <v>0</v>
      </c>
      <c r="K1483" s="507">
        <f>SUMIFS(Controle!$R:$R,Controle!$H:$H,produtos_escape2!$A1483,Controle!$Z:$Z,"6")</f>
        <v>0</v>
      </c>
      <c r="L1483" s="507">
        <f t="shared" si="50"/>
        <v>1376</v>
      </c>
      <c r="M1483" s="381" t="s">
        <v>6951</v>
      </c>
      <c r="AF1483" s="84"/>
    </row>
    <row r="1484" spans="1:32" s="185" customFormat="1" ht="14.25" customHeight="1" thickBot="1">
      <c r="A1484" s="353">
        <v>36557</v>
      </c>
      <c r="B1484" s="194" t="s">
        <v>6906</v>
      </c>
      <c r="C1484" s="339">
        <f t="shared" si="52"/>
        <v>49220</v>
      </c>
      <c r="D1484" s="196" t="s">
        <v>548</v>
      </c>
      <c r="E1484" s="187" t="s">
        <v>3608</v>
      </c>
      <c r="F1484" s="507">
        <f>SUMIFS(Controle!$R:$R,Controle!$H:$H,produtos_escape2!$A1484,Controle!$Z:$Z,"1")</f>
        <v>0</v>
      </c>
      <c r="G1484" s="507">
        <f>SUMIFS(Controle!$R:$R,Controle!$H:$H,produtos_escape2!$A1484,Controle!$Z:$Z,"2")</f>
        <v>0</v>
      </c>
      <c r="H1484" s="507">
        <f>SUMIFS(Controle!$R:$R,Controle!$H:$H,produtos_escape2!$A1484,Controle!$Z:$Z,"3")</f>
        <v>0</v>
      </c>
      <c r="I1484" s="507">
        <f>SUMIFS(Controle!$R:$R,Controle!$H:$H,produtos_escape2!$A1484,Controle!$Z:$Z,"4")</f>
        <v>0</v>
      </c>
      <c r="J1484" s="507">
        <f>SUMIFS(Controle!$R:$R,Controle!$H:$H,produtos_escape2!$A1484,Controle!$Z:$Z,"5")</f>
        <v>780</v>
      </c>
      <c r="K1484" s="507">
        <f>SUMIFS(Controle!$R:$R,Controle!$H:$H,produtos_escape2!$A1484,Controle!$Z:$Z,"6")</f>
        <v>0</v>
      </c>
      <c r="L1484" s="507">
        <f t="shared" si="50"/>
        <v>780</v>
      </c>
      <c r="M1484" s="381" t="s">
        <v>5006</v>
      </c>
      <c r="AF1484" s="84"/>
    </row>
    <row r="1485" spans="1:32" s="185" customFormat="1" ht="14.25" customHeight="1" thickBot="1">
      <c r="A1485" s="353">
        <v>36573</v>
      </c>
      <c r="B1485" s="194" t="s">
        <v>10040</v>
      </c>
      <c r="C1485" s="339">
        <f t="shared" si="52"/>
        <v>47100</v>
      </c>
      <c r="D1485" s="196" t="s">
        <v>830</v>
      </c>
      <c r="E1485" s="187" t="s">
        <v>3608</v>
      </c>
      <c r="F1485" s="507">
        <f>SUMIFS(Controle!$R:$R,Controle!$H:$H,produtos_escape2!$A1485,Controle!$Z:$Z,"1")</f>
        <v>0</v>
      </c>
      <c r="G1485" s="507">
        <f>SUMIFS(Controle!$R:$R,Controle!$H:$H,produtos_escape2!$A1485,Controle!$Z:$Z,"2")</f>
        <v>0</v>
      </c>
      <c r="H1485" s="507">
        <f>SUMIFS(Controle!$R:$R,Controle!$H:$H,produtos_escape2!$A1485,Controle!$Z:$Z,"3")</f>
        <v>0</v>
      </c>
      <c r="I1485" s="507">
        <f>SUMIFS(Controle!$R:$R,Controle!$H:$H,produtos_escape2!$A1485,Controle!$Z:$Z,"4")</f>
        <v>0</v>
      </c>
      <c r="J1485" s="507">
        <f>SUMIFS(Controle!$R:$R,Controle!$H:$H,produtos_escape2!$A1485,Controle!$Z:$Z,"5")</f>
        <v>0</v>
      </c>
      <c r="K1485" s="507">
        <f>SUMIFS(Controle!$R:$R,Controle!$H:$H,produtos_escape2!$A1485,Controle!$Z:$Z,"6")</f>
        <v>2900</v>
      </c>
      <c r="L1485" s="507">
        <f t="shared" si="50"/>
        <v>2900</v>
      </c>
      <c r="M1485" s="381" t="s">
        <v>10041</v>
      </c>
      <c r="AF1485" s="84"/>
    </row>
    <row r="1486" spans="1:32" s="185" customFormat="1" ht="14.25" customHeight="1" thickBot="1">
      <c r="A1486" s="353">
        <v>36645</v>
      </c>
      <c r="B1486" s="194" t="s">
        <v>9733</v>
      </c>
      <c r="C1486" s="339">
        <f t="shared" si="52"/>
        <v>49229.036</v>
      </c>
      <c r="D1486" s="196" t="s">
        <v>624</v>
      </c>
      <c r="E1486" s="187" t="s">
        <v>3608</v>
      </c>
      <c r="F1486" s="507">
        <f>SUMIFS(Controle!$R:$R,Controle!$H:$H,produtos_escape2!$A1486,Controle!$Z:$Z,"1")</f>
        <v>0</v>
      </c>
      <c r="G1486" s="507">
        <f>SUMIFS(Controle!$R:$R,Controle!$H:$H,produtos_escape2!$A1486,Controle!$Z:$Z,"2")</f>
        <v>0</v>
      </c>
      <c r="H1486" s="507">
        <f>SUMIFS(Controle!$R:$R,Controle!$H:$H,produtos_escape2!$A1486,Controle!$Z:$Z,"3")</f>
        <v>0</v>
      </c>
      <c r="I1486" s="507">
        <f>SUMIFS(Controle!$R:$R,Controle!$H:$H,produtos_escape2!$A1486,Controle!$Z:$Z,"4")</f>
        <v>0</v>
      </c>
      <c r="J1486" s="507">
        <f>SUMIFS(Controle!$R:$R,Controle!$H:$H,produtos_escape2!$A1486,Controle!$Z:$Z,"5")</f>
        <v>0</v>
      </c>
      <c r="K1486" s="507">
        <f>SUMIFS(Controle!$R:$R,Controle!$H:$H,produtos_escape2!$A1486,Controle!$Z:$Z,"6")</f>
        <v>770.96400000000006</v>
      </c>
      <c r="L1486" s="507">
        <f t="shared" si="50"/>
        <v>770.96400000000006</v>
      </c>
      <c r="M1486" s="381" t="s">
        <v>9732</v>
      </c>
      <c r="AF1486" s="84"/>
    </row>
    <row r="1487" spans="1:32" s="185" customFormat="1" ht="14.25" customHeight="1" thickBot="1">
      <c r="A1487" s="353">
        <v>36745</v>
      </c>
      <c r="B1487" s="402" t="s">
        <v>8670</v>
      </c>
      <c r="C1487" s="339">
        <f t="shared" si="52"/>
        <v>43760</v>
      </c>
      <c r="D1487" s="196" t="s">
        <v>624</v>
      </c>
      <c r="E1487" s="189" t="s">
        <v>7207</v>
      </c>
      <c r="F1487" s="507">
        <f>SUMIFS(Controle!$R:$R,Controle!$H:$H,produtos_escape2!$A1487,Controle!$Z:$Z,"1")</f>
        <v>0</v>
      </c>
      <c r="G1487" s="507">
        <f>SUMIFS(Controle!$R:$R,Controle!$H:$H,produtos_escape2!$A1487,Controle!$Z:$Z,"2")</f>
        <v>0</v>
      </c>
      <c r="H1487" s="507">
        <f>SUMIFS(Controle!$R:$R,Controle!$H:$H,produtos_escape2!$A1487,Controle!$Z:$Z,"3")</f>
        <v>6240</v>
      </c>
      <c r="I1487" s="507">
        <f>SUMIFS(Controle!$R:$R,Controle!$H:$H,produtos_escape2!$A1487,Controle!$Z:$Z,"4")</f>
        <v>0</v>
      </c>
      <c r="J1487" s="507">
        <f>SUMIFS(Controle!$R:$R,Controle!$H:$H,produtos_escape2!$A1487,Controle!$Z:$Z,"5")</f>
        <v>0</v>
      </c>
      <c r="K1487" s="507">
        <f>SUMIFS(Controle!$R:$R,Controle!$H:$H,produtos_escape2!$A1487,Controle!$Z:$Z,"6")</f>
        <v>0</v>
      </c>
      <c r="L1487" s="507">
        <f t="shared" si="50"/>
        <v>6240</v>
      </c>
      <c r="M1487" s="381" t="s">
        <v>8671</v>
      </c>
      <c r="AF1487" s="84"/>
    </row>
    <row r="1488" spans="1:32" s="185" customFormat="1" ht="14.25" customHeight="1" thickBot="1">
      <c r="A1488" s="333">
        <v>36766</v>
      </c>
      <c r="B1488" s="194" t="s">
        <v>8514</v>
      </c>
      <c r="C1488" s="339">
        <f t="shared" si="52"/>
        <v>48810</v>
      </c>
      <c r="D1488" s="196" t="s">
        <v>624</v>
      </c>
      <c r="E1488" s="189" t="s">
        <v>7207</v>
      </c>
      <c r="F1488" s="507">
        <f>SUMIFS(Controle!$R:$R,Controle!$H:$H,produtos_escape2!$A1488,Controle!$Z:$Z,"1")</f>
        <v>0</v>
      </c>
      <c r="G1488" s="507">
        <f>SUMIFS(Controle!$R:$R,Controle!$H:$H,produtos_escape2!$A1488,Controle!$Z:$Z,"2")</f>
        <v>0</v>
      </c>
      <c r="H1488" s="507">
        <f>SUMIFS(Controle!$R:$R,Controle!$H:$H,produtos_escape2!$A1488,Controle!$Z:$Z,"3")</f>
        <v>1190</v>
      </c>
      <c r="I1488" s="507">
        <f>SUMIFS(Controle!$R:$R,Controle!$H:$H,produtos_escape2!$A1488,Controle!$Z:$Z,"4")</f>
        <v>0</v>
      </c>
      <c r="J1488" s="507">
        <f>SUMIFS(Controle!$R:$R,Controle!$H:$H,produtos_escape2!$A1488,Controle!$Z:$Z,"5")</f>
        <v>0</v>
      </c>
      <c r="K1488" s="507">
        <f>SUMIFS(Controle!$R:$R,Controle!$H:$H,produtos_escape2!$A1488,Controle!$Z:$Z,"6")</f>
        <v>0</v>
      </c>
      <c r="L1488" s="507">
        <f t="shared" si="50"/>
        <v>1190</v>
      </c>
      <c r="M1488" s="381" t="s">
        <v>8515</v>
      </c>
      <c r="AF1488" s="84"/>
    </row>
    <row r="1489" spans="1:32" s="185" customFormat="1" ht="14.25" customHeight="1" thickBot="1">
      <c r="A1489" s="333">
        <v>36916</v>
      </c>
      <c r="B1489" s="402" t="s">
        <v>8663</v>
      </c>
      <c r="C1489" s="339">
        <f t="shared" si="52"/>
        <v>47030</v>
      </c>
      <c r="D1489" s="196" t="s">
        <v>624</v>
      </c>
      <c r="E1489" s="189" t="s">
        <v>7207</v>
      </c>
      <c r="F1489" s="507">
        <f>SUMIFS(Controle!$R:$R,Controle!$H:$H,produtos_escape2!$A1489,Controle!$Z:$Z,"1")</f>
        <v>0</v>
      </c>
      <c r="G1489" s="507">
        <f>SUMIFS(Controle!$R:$R,Controle!$H:$H,produtos_escape2!$A1489,Controle!$Z:$Z,"2")</f>
        <v>0</v>
      </c>
      <c r="H1489" s="507">
        <f>SUMIFS(Controle!$R:$R,Controle!$H:$H,produtos_escape2!$A1489,Controle!$Z:$Z,"3")</f>
        <v>2970</v>
      </c>
      <c r="I1489" s="507">
        <f>SUMIFS(Controle!$R:$R,Controle!$H:$H,produtos_escape2!$A1489,Controle!$Z:$Z,"4")</f>
        <v>0</v>
      </c>
      <c r="J1489" s="507">
        <f>SUMIFS(Controle!$R:$R,Controle!$H:$H,produtos_escape2!$A1489,Controle!$Z:$Z,"5")</f>
        <v>0</v>
      </c>
      <c r="K1489" s="507">
        <f>SUMIFS(Controle!$R:$R,Controle!$H:$H,produtos_escape2!$A1489,Controle!$Z:$Z,"6")</f>
        <v>0</v>
      </c>
      <c r="L1489" s="507">
        <f t="shared" si="50"/>
        <v>2970</v>
      </c>
      <c r="M1489" s="381" t="s">
        <v>8662</v>
      </c>
      <c r="AF1489" s="84"/>
    </row>
    <row r="1490" spans="1:32" s="185" customFormat="1" ht="14.25" customHeight="1" thickBot="1">
      <c r="A1490" s="353">
        <v>36919</v>
      </c>
      <c r="B1490" s="194" t="s">
        <v>8308</v>
      </c>
      <c r="C1490" s="339">
        <f t="shared" ref="C1490" si="53">50000-SUM(F1490:K1490)</f>
        <v>40900</v>
      </c>
      <c r="D1490" s="196" t="s">
        <v>624</v>
      </c>
      <c r="E1490" s="187" t="s">
        <v>7207</v>
      </c>
      <c r="F1490" s="507">
        <f>SUMIFS(Controle!$R:$R,Controle!$H:$H,produtos_escape2!$A1490,Controle!$Z:$Z,"1")</f>
        <v>0</v>
      </c>
      <c r="G1490" s="507">
        <f>SUMIFS(Controle!$R:$R,Controle!$H:$H,produtos_escape2!$A1490,Controle!$Z:$Z,"2")</f>
        <v>0</v>
      </c>
      <c r="H1490" s="507">
        <f>SUMIFS(Controle!$R:$R,Controle!$H:$H,produtos_escape2!$A1490,Controle!$Z:$Z,"3")</f>
        <v>0</v>
      </c>
      <c r="I1490" s="507">
        <f>SUMIFS(Controle!$R:$R,Controle!$H:$H,produtos_escape2!$A1490,Controle!$Z:$Z,"4")</f>
        <v>0</v>
      </c>
      <c r="J1490" s="507">
        <f>SUMIFS(Controle!$R:$R,Controle!$H:$H,produtos_escape2!$A1490,Controle!$Z:$Z,"5")</f>
        <v>9100</v>
      </c>
      <c r="K1490" s="507">
        <f>SUMIFS(Controle!$R:$R,Controle!$H:$H,produtos_escape2!$A1490,Controle!$Z:$Z,"6")</f>
        <v>0</v>
      </c>
      <c r="L1490" s="507">
        <f t="shared" si="50"/>
        <v>9100</v>
      </c>
      <c r="M1490" s="381" t="s">
        <v>8309</v>
      </c>
      <c r="AF1490" s="84"/>
    </row>
    <row r="1491" spans="1:32" s="185" customFormat="1" ht="14.25" customHeight="1" thickBot="1">
      <c r="A1491" s="353">
        <v>36966</v>
      </c>
      <c r="B1491" s="194" t="s">
        <v>10582</v>
      </c>
      <c r="C1491" s="339">
        <f t="shared" si="52"/>
        <v>40040</v>
      </c>
      <c r="D1491" s="196" t="s">
        <v>624</v>
      </c>
      <c r="E1491" s="187" t="s">
        <v>7207</v>
      </c>
      <c r="F1491" s="507">
        <f>SUMIFS(Controle!$R:$R,Controle!$H:$H,produtos_escape2!$A1491,Controle!$Z:$Z,"1")</f>
        <v>0</v>
      </c>
      <c r="G1491" s="507">
        <f>SUMIFS(Controle!$R:$R,Controle!$H:$H,produtos_escape2!$A1491,Controle!$Z:$Z,"2")</f>
        <v>0</v>
      </c>
      <c r="H1491" s="507">
        <f>SUMIFS(Controle!$R:$R,Controle!$H:$H,produtos_escape2!$A1491,Controle!$Z:$Z,"3")</f>
        <v>0</v>
      </c>
      <c r="I1491" s="507">
        <f>SUMIFS(Controle!$R:$R,Controle!$H:$H,produtos_escape2!$A1491,Controle!$Z:$Z,"4")</f>
        <v>0</v>
      </c>
      <c r="J1491" s="507">
        <f>SUMIFS(Controle!$R:$R,Controle!$H:$H,produtos_escape2!$A1491,Controle!$Z:$Z,"5")</f>
        <v>0</v>
      </c>
      <c r="K1491" s="507">
        <f>SUMIFS(Controle!$R:$R,Controle!$H:$H,produtos_escape2!$A1491,Controle!$Z:$Z,"6")</f>
        <v>9960</v>
      </c>
      <c r="L1491" s="507">
        <f t="shared" si="50"/>
        <v>9960</v>
      </c>
      <c r="M1491" s="381" t="s">
        <v>10581</v>
      </c>
      <c r="AF1491" s="84"/>
    </row>
    <row r="1492" spans="1:32" s="185" customFormat="1" ht="14.25" customHeight="1" thickBot="1">
      <c r="A1492" s="353">
        <v>37003</v>
      </c>
      <c r="B1492" s="194" t="s">
        <v>9954</v>
      </c>
      <c r="C1492" s="339">
        <f t="shared" si="52"/>
        <v>50000</v>
      </c>
      <c r="D1492" s="196" t="s">
        <v>624</v>
      </c>
      <c r="E1492" s="187" t="s">
        <v>7207</v>
      </c>
      <c r="F1492" s="507">
        <f>SUMIFS(Controle!$R:$R,Controle!$H:$H,produtos_escape2!$A1492,Controle!$Z:$Z,"1")</f>
        <v>0</v>
      </c>
      <c r="G1492" s="507">
        <f>SUMIFS(Controle!$R:$R,Controle!$H:$H,produtos_escape2!$A1492,Controle!$Z:$Z,"2")</f>
        <v>0</v>
      </c>
      <c r="H1492" s="507">
        <f>SUMIFS(Controle!$R:$R,Controle!$H:$H,produtos_escape2!$A1492,Controle!$Z:$Z,"3")</f>
        <v>0</v>
      </c>
      <c r="I1492" s="507">
        <f>SUMIFS(Controle!$R:$R,Controle!$H:$H,produtos_escape2!$A1492,Controle!$Z:$Z,"4")</f>
        <v>0</v>
      </c>
      <c r="J1492" s="507">
        <f>SUMIFS(Controle!$R:$R,Controle!$H:$H,produtos_escape2!$A1492,Controle!$Z:$Z,"5")</f>
        <v>0</v>
      </c>
      <c r="K1492" s="507">
        <f>SUMIFS(Controle!$R:$R,Controle!$H:$H,produtos_escape2!$A1492,Controle!$Z:$Z,"6")</f>
        <v>0</v>
      </c>
      <c r="L1492" s="507">
        <f t="shared" si="50"/>
        <v>0</v>
      </c>
      <c r="M1492" s="381" t="s">
        <v>9955</v>
      </c>
      <c r="AF1492" s="84"/>
    </row>
    <row r="1493" spans="1:32" s="185" customFormat="1" ht="14.25" customHeight="1" thickBot="1">
      <c r="A1493" s="353">
        <v>37004</v>
      </c>
      <c r="B1493" s="194" t="s">
        <v>9956</v>
      </c>
      <c r="C1493" s="339">
        <f t="shared" si="52"/>
        <v>50000</v>
      </c>
      <c r="D1493" s="196" t="s">
        <v>624</v>
      </c>
      <c r="E1493" s="187" t="s">
        <v>7207</v>
      </c>
      <c r="F1493" s="507">
        <f>SUMIFS(Controle!$R:$R,Controle!$H:$H,produtos_escape2!$A1493,Controle!$Z:$Z,"1")</f>
        <v>0</v>
      </c>
      <c r="G1493" s="507">
        <f>SUMIFS(Controle!$R:$R,Controle!$H:$H,produtos_escape2!$A1493,Controle!$Z:$Z,"2")</f>
        <v>0</v>
      </c>
      <c r="H1493" s="507">
        <f>SUMIFS(Controle!$R:$R,Controle!$H:$H,produtos_escape2!$A1493,Controle!$Z:$Z,"3")</f>
        <v>0</v>
      </c>
      <c r="I1493" s="507">
        <f>SUMIFS(Controle!$R:$R,Controle!$H:$H,produtos_escape2!$A1493,Controle!$Z:$Z,"4")</f>
        <v>0</v>
      </c>
      <c r="J1493" s="507">
        <f>SUMIFS(Controle!$R:$R,Controle!$H:$H,produtos_escape2!$A1493,Controle!$Z:$Z,"5")</f>
        <v>0</v>
      </c>
      <c r="K1493" s="507">
        <f>SUMIFS(Controle!$R:$R,Controle!$H:$H,produtos_escape2!$A1493,Controle!$Z:$Z,"6")</f>
        <v>0</v>
      </c>
      <c r="L1493" s="507">
        <f t="shared" si="50"/>
        <v>0</v>
      </c>
      <c r="M1493" s="381" t="s">
        <v>9957</v>
      </c>
      <c r="AF1493" s="84"/>
    </row>
    <row r="1494" spans="1:32" s="185" customFormat="1" ht="14.25" customHeight="1" thickBot="1">
      <c r="A1494" s="353">
        <v>37005</v>
      </c>
      <c r="B1494" s="194" t="s">
        <v>9958</v>
      </c>
      <c r="C1494" s="339">
        <f t="shared" si="52"/>
        <v>50000</v>
      </c>
      <c r="D1494" s="196" t="s">
        <v>624</v>
      </c>
      <c r="E1494" s="187" t="s">
        <v>7207</v>
      </c>
      <c r="F1494" s="507">
        <f>SUMIFS(Controle!$R:$R,Controle!$H:$H,produtos_escape2!$A1494,Controle!$Z:$Z,"1")</f>
        <v>0</v>
      </c>
      <c r="G1494" s="507">
        <f>SUMIFS(Controle!$R:$R,Controle!$H:$H,produtos_escape2!$A1494,Controle!$Z:$Z,"2")</f>
        <v>0</v>
      </c>
      <c r="H1494" s="507">
        <f>SUMIFS(Controle!$R:$R,Controle!$H:$H,produtos_escape2!$A1494,Controle!$Z:$Z,"3")</f>
        <v>0</v>
      </c>
      <c r="I1494" s="507">
        <f>SUMIFS(Controle!$R:$R,Controle!$H:$H,produtos_escape2!$A1494,Controle!$Z:$Z,"4")</f>
        <v>0</v>
      </c>
      <c r="J1494" s="507">
        <f>SUMIFS(Controle!$R:$R,Controle!$H:$H,produtos_escape2!$A1494,Controle!$Z:$Z,"5")</f>
        <v>0</v>
      </c>
      <c r="K1494" s="507">
        <f>SUMIFS(Controle!$R:$R,Controle!$H:$H,produtos_escape2!$A1494,Controle!$Z:$Z,"6")</f>
        <v>0</v>
      </c>
      <c r="L1494" s="507">
        <f t="shared" si="50"/>
        <v>0</v>
      </c>
      <c r="M1494" s="381" t="s">
        <v>9959</v>
      </c>
      <c r="AF1494" s="84"/>
    </row>
    <row r="1495" spans="1:32" s="185" customFormat="1" ht="14.25" customHeight="1" thickBot="1">
      <c r="A1495" s="353">
        <v>37006</v>
      </c>
      <c r="B1495" s="194" t="s">
        <v>9960</v>
      </c>
      <c r="C1495" s="339">
        <f t="shared" si="52"/>
        <v>50000</v>
      </c>
      <c r="D1495" s="196" t="s">
        <v>624</v>
      </c>
      <c r="E1495" s="187" t="s">
        <v>7207</v>
      </c>
      <c r="F1495" s="507">
        <f>SUMIFS(Controle!$R:$R,Controle!$H:$H,produtos_escape2!$A1495,Controle!$Z:$Z,"1")</f>
        <v>0</v>
      </c>
      <c r="G1495" s="507">
        <f>SUMIFS(Controle!$R:$R,Controle!$H:$H,produtos_escape2!$A1495,Controle!$Z:$Z,"2")</f>
        <v>0</v>
      </c>
      <c r="H1495" s="507">
        <f>SUMIFS(Controle!$R:$R,Controle!$H:$H,produtos_escape2!$A1495,Controle!$Z:$Z,"3")</f>
        <v>0</v>
      </c>
      <c r="I1495" s="507">
        <f>SUMIFS(Controle!$R:$R,Controle!$H:$H,produtos_escape2!$A1495,Controle!$Z:$Z,"4")</f>
        <v>0</v>
      </c>
      <c r="J1495" s="507">
        <f>SUMIFS(Controle!$R:$R,Controle!$H:$H,produtos_escape2!$A1495,Controle!$Z:$Z,"5")</f>
        <v>0</v>
      </c>
      <c r="K1495" s="507">
        <f>SUMIFS(Controle!$R:$R,Controle!$H:$H,produtos_escape2!$A1495,Controle!$Z:$Z,"6")</f>
        <v>0</v>
      </c>
      <c r="L1495" s="507">
        <f t="shared" si="50"/>
        <v>0</v>
      </c>
      <c r="M1495" s="381" t="s">
        <v>9961</v>
      </c>
      <c r="AF1495" s="84"/>
    </row>
    <row r="1496" spans="1:32" s="185" customFormat="1" ht="14.25" customHeight="1" thickBot="1">
      <c r="A1496" s="353">
        <v>37007</v>
      </c>
      <c r="B1496" s="194" t="s">
        <v>9962</v>
      </c>
      <c r="C1496" s="339">
        <f t="shared" si="52"/>
        <v>50000</v>
      </c>
      <c r="D1496" s="196" t="s">
        <v>624</v>
      </c>
      <c r="E1496" s="187" t="s">
        <v>7207</v>
      </c>
      <c r="F1496" s="507">
        <f>SUMIFS(Controle!$R:$R,Controle!$H:$H,produtos_escape2!$A1496,Controle!$Z:$Z,"1")</f>
        <v>0</v>
      </c>
      <c r="G1496" s="507">
        <f>SUMIFS(Controle!$R:$R,Controle!$H:$H,produtos_escape2!$A1496,Controle!$Z:$Z,"2")</f>
        <v>0</v>
      </c>
      <c r="H1496" s="507">
        <f>SUMIFS(Controle!$R:$R,Controle!$H:$H,produtos_escape2!$A1496,Controle!$Z:$Z,"3")</f>
        <v>0</v>
      </c>
      <c r="I1496" s="507">
        <f>SUMIFS(Controle!$R:$R,Controle!$H:$H,produtos_escape2!$A1496,Controle!$Z:$Z,"4")</f>
        <v>0</v>
      </c>
      <c r="J1496" s="507">
        <f>SUMIFS(Controle!$R:$R,Controle!$H:$H,produtos_escape2!$A1496,Controle!$Z:$Z,"5")</f>
        <v>0</v>
      </c>
      <c r="K1496" s="507">
        <f>SUMIFS(Controle!$R:$R,Controle!$H:$H,produtos_escape2!$A1496,Controle!$Z:$Z,"6")</f>
        <v>0</v>
      </c>
      <c r="L1496" s="507">
        <f t="shared" si="50"/>
        <v>0</v>
      </c>
      <c r="M1496" s="381" t="s">
        <v>9963</v>
      </c>
      <c r="AF1496" s="84"/>
    </row>
    <row r="1497" spans="1:32" s="185" customFormat="1" ht="14.25" customHeight="1" thickBot="1">
      <c r="A1497" s="353">
        <v>37008</v>
      </c>
      <c r="B1497" s="194" t="s">
        <v>9964</v>
      </c>
      <c r="C1497" s="339">
        <f t="shared" si="52"/>
        <v>50000</v>
      </c>
      <c r="D1497" s="196" t="s">
        <v>624</v>
      </c>
      <c r="E1497" s="187" t="s">
        <v>7207</v>
      </c>
      <c r="F1497" s="507">
        <f>SUMIFS(Controle!$R:$R,Controle!$H:$H,produtos_escape2!$A1497,Controle!$Z:$Z,"1")</f>
        <v>0</v>
      </c>
      <c r="G1497" s="507">
        <f>SUMIFS(Controle!$R:$R,Controle!$H:$H,produtos_escape2!$A1497,Controle!$Z:$Z,"2")</f>
        <v>0</v>
      </c>
      <c r="H1497" s="507">
        <f>SUMIFS(Controle!$R:$R,Controle!$H:$H,produtos_escape2!$A1497,Controle!$Z:$Z,"3")</f>
        <v>0</v>
      </c>
      <c r="I1497" s="507">
        <f>SUMIFS(Controle!$R:$R,Controle!$H:$H,produtos_escape2!$A1497,Controle!$Z:$Z,"4")</f>
        <v>0</v>
      </c>
      <c r="J1497" s="507">
        <f>SUMIFS(Controle!$R:$R,Controle!$H:$H,produtos_escape2!$A1497,Controle!$Z:$Z,"5")</f>
        <v>0</v>
      </c>
      <c r="K1497" s="507">
        <f>SUMIFS(Controle!$R:$R,Controle!$H:$H,produtos_escape2!$A1497,Controle!$Z:$Z,"6")</f>
        <v>0</v>
      </c>
      <c r="L1497" s="507">
        <f t="shared" si="50"/>
        <v>0</v>
      </c>
      <c r="M1497" s="381" t="s">
        <v>9965</v>
      </c>
      <c r="AF1497" s="84"/>
    </row>
    <row r="1498" spans="1:32" s="185" customFormat="1" ht="14.25" customHeight="1" thickBot="1">
      <c r="A1498" s="353">
        <v>37009</v>
      </c>
      <c r="B1498" s="194" t="s">
        <v>9966</v>
      </c>
      <c r="C1498" s="339">
        <f t="shared" si="52"/>
        <v>50000</v>
      </c>
      <c r="D1498" s="196" t="s">
        <v>624</v>
      </c>
      <c r="E1498" s="187" t="s">
        <v>7207</v>
      </c>
      <c r="F1498" s="507">
        <f>SUMIFS(Controle!$R:$R,Controle!$H:$H,produtos_escape2!$A1498,Controle!$Z:$Z,"1")</f>
        <v>0</v>
      </c>
      <c r="G1498" s="507">
        <f>SUMIFS(Controle!$R:$R,Controle!$H:$H,produtos_escape2!$A1498,Controle!$Z:$Z,"2")</f>
        <v>0</v>
      </c>
      <c r="H1498" s="507">
        <f>SUMIFS(Controle!$R:$R,Controle!$H:$H,produtos_escape2!$A1498,Controle!$Z:$Z,"3")</f>
        <v>0</v>
      </c>
      <c r="I1498" s="507">
        <f>SUMIFS(Controle!$R:$R,Controle!$H:$H,produtos_escape2!$A1498,Controle!$Z:$Z,"4")</f>
        <v>0</v>
      </c>
      <c r="J1498" s="507">
        <f>SUMIFS(Controle!$R:$R,Controle!$H:$H,produtos_escape2!$A1498,Controle!$Z:$Z,"5")</f>
        <v>0</v>
      </c>
      <c r="K1498" s="507">
        <f>SUMIFS(Controle!$R:$R,Controle!$H:$H,produtos_escape2!$A1498,Controle!$Z:$Z,"6")</f>
        <v>0</v>
      </c>
      <c r="L1498" s="507">
        <f t="shared" si="50"/>
        <v>0</v>
      </c>
      <c r="M1498" s="381" t="s">
        <v>9967</v>
      </c>
      <c r="AF1498" s="84"/>
    </row>
    <row r="1499" spans="1:32" s="185" customFormat="1" ht="14.25" customHeight="1" thickBot="1">
      <c r="A1499" s="353">
        <v>37059</v>
      </c>
      <c r="B1499" s="194" t="s">
        <v>8564</v>
      </c>
      <c r="C1499" s="339">
        <f t="shared" si="52"/>
        <v>49566</v>
      </c>
      <c r="D1499" s="196" t="s">
        <v>1255</v>
      </c>
      <c r="E1499" s="187" t="s">
        <v>3608</v>
      </c>
      <c r="F1499" s="507">
        <f>SUMIFS(Controle!$R:$R,Controle!$H:$H,produtos_escape2!$A1499,Controle!$Z:$Z,"1")</f>
        <v>0</v>
      </c>
      <c r="G1499" s="507">
        <f>SUMIFS(Controle!$R:$R,Controle!$H:$H,produtos_escape2!$A1499,Controle!$Z:$Z,"2")</f>
        <v>0</v>
      </c>
      <c r="H1499" s="507">
        <f>SUMIFS(Controle!$R:$R,Controle!$H:$H,produtos_escape2!$A1499,Controle!$Z:$Z,"3")</f>
        <v>434</v>
      </c>
      <c r="I1499" s="507">
        <f>SUMIFS(Controle!$R:$R,Controle!$H:$H,produtos_escape2!$A1499,Controle!$Z:$Z,"4")</f>
        <v>0</v>
      </c>
      <c r="J1499" s="507">
        <f>SUMIFS(Controle!$R:$R,Controle!$H:$H,produtos_escape2!$A1499,Controle!$Z:$Z,"5")</f>
        <v>0</v>
      </c>
      <c r="K1499" s="507">
        <f>SUMIFS(Controle!$R:$R,Controle!$H:$H,produtos_escape2!$A1499,Controle!$Z:$Z,"6")</f>
        <v>0</v>
      </c>
      <c r="L1499" s="507">
        <f t="shared" si="50"/>
        <v>434</v>
      </c>
      <c r="M1499" s="381" t="s">
        <v>8565</v>
      </c>
      <c r="AF1499" s="84"/>
    </row>
    <row r="1500" spans="1:32" s="185" customFormat="1" ht="14.25" customHeight="1" thickBot="1">
      <c r="A1500" s="353">
        <v>37453</v>
      </c>
      <c r="B1500" s="194" t="s">
        <v>10370</v>
      </c>
      <c r="C1500" s="339">
        <f t="shared" si="52"/>
        <v>50000</v>
      </c>
      <c r="D1500" s="196" t="s">
        <v>819</v>
      </c>
      <c r="E1500" s="189" t="s">
        <v>3608</v>
      </c>
      <c r="F1500" s="507">
        <f>SUMIFS(Controle!$R:$R,Controle!$H:$H,produtos_escape2!$A1500,Controle!$Z:$Z,"1")</f>
        <v>0</v>
      </c>
      <c r="G1500" s="507">
        <f>SUMIFS(Controle!$R:$R,Controle!$H:$H,produtos_escape2!$A1500,Controle!$Z:$Z,"2")</f>
        <v>0</v>
      </c>
      <c r="H1500" s="507">
        <f>SUMIFS(Controle!$R:$R,Controle!$H:$H,produtos_escape2!$A1500,Controle!$Z:$Z,"3")</f>
        <v>0</v>
      </c>
      <c r="I1500" s="507">
        <f>SUMIFS(Controle!$R:$R,Controle!$H:$H,produtos_escape2!$A1500,Controle!$Z:$Z,"4")</f>
        <v>0</v>
      </c>
      <c r="J1500" s="507">
        <f>SUMIFS(Controle!$R:$R,Controle!$H:$H,produtos_escape2!$A1500,Controle!$Z:$Z,"5")</f>
        <v>0</v>
      </c>
      <c r="K1500" s="507">
        <f>SUMIFS(Controle!$R:$R,Controle!$H:$H,produtos_escape2!$A1500,Controle!$Z:$Z,"6")</f>
        <v>0</v>
      </c>
      <c r="L1500" s="507">
        <f t="shared" si="50"/>
        <v>0</v>
      </c>
      <c r="M1500" s="381" t="s">
        <v>10371</v>
      </c>
      <c r="AF1500" s="84"/>
    </row>
    <row r="1501" spans="1:32" s="185" customFormat="1" ht="14.25" customHeight="1" thickBot="1">
      <c r="A1501" s="353">
        <v>37456</v>
      </c>
      <c r="B1501" s="194" t="s">
        <v>9620</v>
      </c>
      <c r="C1501" s="339">
        <f t="shared" si="52"/>
        <v>50000</v>
      </c>
      <c r="D1501" s="196" t="s">
        <v>1255</v>
      </c>
      <c r="E1501" s="187" t="s">
        <v>7207</v>
      </c>
      <c r="F1501" s="507">
        <f>SUMIFS(Controle!$R:$R,Controle!$H:$H,produtos_escape2!$A1501,Controle!$Z:$Z,"1")</f>
        <v>0</v>
      </c>
      <c r="G1501" s="507">
        <f>SUMIFS(Controle!$R:$R,Controle!$H:$H,produtos_escape2!$A1501,Controle!$Z:$Z,"2")</f>
        <v>0</v>
      </c>
      <c r="H1501" s="507">
        <f>SUMIFS(Controle!$R:$R,Controle!$H:$H,produtos_escape2!$A1501,Controle!$Z:$Z,"3")</f>
        <v>0</v>
      </c>
      <c r="I1501" s="507">
        <f>SUMIFS(Controle!$R:$R,Controle!$H:$H,produtos_escape2!$A1501,Controle!$Z:$Z,"4")</f>
        <v>0</v>
      </c>
      <c r="J1501" s="507">
        <f>SUMIFS(Controle!$R:$R,Controle!$H:$H,produtos_escape2!$A1501,Controle!$Z:$Z,"5")</f>
        <v>0</v>
      </c>
      <c r="K1501" s="507">
        <f>SUMIFS(Controle!$R:$R,Controle!$H:$H,produtos_escape2!$A1501,Controle!$Z:$Z,"6")</f>
        <v>0</v>
      </c>
      <c r="L1501" s="507">
        <f t="shared" si="50"/>
        <v>0</v>
      </c>
      <c r="M1501" s="381" t="s">
        <v>9621</v>
      </c>
      <c r="AF1501" s="84"/>
    </row>
    <row r="1502" spans="1:32" s="185" customFormat="1" ht="14.25" customHeight="1" thickBot="1">
      <c r="A1502" s="353">
        <v>37502</v>
      </c>
      <c r="B1502" s="194" t="s">
        <v>10036</v>
      </c>
      <c r="C1502" s="339">
        <f t="shared" si="52"/>
        <v>50000</v>
      </c>
      <c r="D1502" s="196" t="s">
        <v>896</v>
      </c>
      <c r="E1502" s="187" t="s">
        <v>3608</v>
      </c>
      <c r="F1502" s="507">
        <f>SUMIFS(Controle!$R:$R,Controle!$H:$H,produtos_escape2!$A1502,Controle!$Z:$Z,"1")</f>
        <v>0</v>
      </c>
      <c r="G1502" s="507">
        <f>SUMIFS(Controle!$R:$R,Controle!$H:$H,produtos_escape2!$A1502,Controle!$Z:$Z,"2")</f>
        <v>0</v>
      </c>
      <c r="H1502" s="507">
        <f>SUMIFS(Controle!$R:$R,Controle!$H:$H,produtos_escape2!$A1502,Controle!$Z:$Z,"3")</f>
        <v>0</v>
      </c>
      <c r="I1502" s="507">
        <f>SUMIFS(Controle!$R:$R,Controle!$H:$H,produtos_escape2!$A1502,Controle!$Z:$Z,"4")</f>
        <v>0</v>
      </c>
      <c r="J1502" s="507">
        <f>SUMIFS(Controle!$R:$R,Controle!$H:$H,produtos_escape2!$A1502,Controle!$Z:$Z,"5")</f>
        <v>0</v>
      </c>
      <c r="K1502" s="507">
        <f>SUMIFS(Controle!$R:$R,Controle!$H:$H,produtos_escape2!$A1502,Controle!$Z:$Z,"6")</f>
        <v>0</v>
      </c>
      <c r="L1502" s="507">
        <f t="shared" si="50"/>
        <v>0</v>
      </c>
      <c r="M1502" s="381" t="s">
        <v>10037</v>
      </c>
      <c r="AF1502" s="84"/>
    </row>
    <row r="1503" spans="1:32" s="185" customFormat="1" ht="14.25" customHeight="1" thickBot="1">
      <c r="A1503" s="353">
        <v>39267</v>
      </c>
      <c r="B1503" s="194" t="s">
        <v>9394</v>
      </c>
      <c r="C1503" s="339">
        <f t="shared" si="52"/>
        <v>49654.400000000001</v>
      </c>
      <c r="D1503" s="196" t="s">
        <v>624</v>
      </c>
      <c r="E1503" s="187" t="s">
        <v>1687</v>
      </c>
      <c r="F1503" s="507">
        <f>SUMIFS(Controle!$R:$R,Controle!$H:$H,produtos_escape2!$A1503,Controle!$Z:$Z,"1")</f>
        <v>0</v>
      </c>
      <c r="G1503" s="507">
        <f>SUMIFS(Controle!$R:$R,Controle!$H:$H,produtos_escape2!$A1503,Controle!$Z:$Z,"2")</f>
        <v>0</v>
      </c>
      <c r="H1503" s="507">
        <f>SUMIFS(Controle!$R:$R,Controle!$H:$H,produtos_escape2!$A1503,Controle!$Z:$Z,"3")</f>
        <v>0</v>
      </c>
      <c r="I1503" s="507">
        <f>SUMIFS(Controle!$R:$R,Controle!$H:$H,produtos_escape2!$A1503,Controle!$Z:$Z,"4")</f>
        <v>345.6</v>
      </c>
      <c r="J1503" s="507">
        <f>SUMIFS(Controle!$R:$R,Controle!$H:$H,produtos_escape2!$A1503,Controle!$Z:$Z,"5")</f>
        <v>0</v>
      </c>
      <c r="K1503" s="507">
        <f>SUMIFS(Controle!$R:$R,Controle!$H:$H,produtos_escape2!$A1503,Controle!$Z:$Z,"6")</f>
        <v>0</v>
      </c>
      <c r="L1503" s="507">
        <f t="shared" si="50"/>
        <v>345.6</v>
      </c>
      <c r="M1503" s="381" t="s">
        <v>9395</v>
      </c>
      <c r="AF1503" s="84"/>
    </row>
    <row r="1504" spans="1:32" s="185" customFormat="1" ht="14.25" customHeight="1" thickBot="1">
      <c r="A1504" s="353">
        <v>39335</v>
      </c>
      <c r="B1504" s="194" t="s">
        <v>984</v>
      </c>
      <c r="C1504" s="339">
        <f t="shared" si="52"/>
        <v>50000</v>
      </c>
      <c r="D1504" s="196" t="s">
        <v>848</v>
      </c>
      <c r="E1504" s="187" t="s">
        <v>7207</v>
      </c>
      <c r="F1504" s="507">
        <f>SUMIFS(Controle!$R:$R,Controle!$H:$H,produtos_escape2!$A1504,Controle!$Z:$Z,"1")</f>
        <v>0</v>
      </c>
      <c r="G1504" s="507">
        <f>SUMIFS(Controle!$R:$R,Controle!$H:$H,produtos_escape2!$A1504,Controle!$Z:$Z,"2")</f>
        <v>0</v>
      </c>
      <c r="H1504" s="507">
        <f>SUMIFS(Controle!$R:$R,Controle!$H:$H,produtos_escape2!$A1504,Controle!$Z:$Z,"3")</f>
        <v>0</v>
      </c>
      <c r="I1504" s="507">
        <f>SUMIFS(Controle!$R:$R,Controle!$H:$H,produtos_escape2!$A1504,Controle!$Z:$Z,"4")</f>
        <v>0</v>
      </c>
      <c r="J1504" s="507">
        <f>SUMIFS(Controle!$R:$R,Controle!$H:$H,produtos_escape2!$A1504,Controle!$Z:$Z,"5")</f>
        <v>0</v>
      </c>
      <c r="K1504" s="507">
        <f>SUMIFS(Controle!$R:$R,Controle!$H:$H,produtos_escape2!$A1504,Controle!$Z:$Z,"6")</f>
        <v>0</v>
      </c>
      <c r="L1504" s="507">
        <f t="shared" si="50"/>
        <v>0</v>
      </c>
      <c r="M1504" s="381" t="s">
        <v>4560</v>
      </c>
      <c r="AF1504" s="84"/>
    </row>
    <row r="1505" spans="1:32" s="185" customFormat="1" ht="14.25" customHeight="1" thickBot="1">
      <c r="A1505" s="353">
        <v>40342</v>
      </c>
      <c r="B1505" s="338" t="s">
        <v>190</v>
      </c>
      <c r="C1505" s="339">
        <f t="shared" si="52"/>
        <v>50000</v>
      </c>
      <c r="D1505" s="196" t="s">
        <v>624</v>
      </c>
      <c r="E1505" s="187" t="s">
        <v>7207</v>
      </c>
      <c r="F1505" s="507">
        <f>SUMIFS(Controle!$R:$R,Controle!$H:$H,produtos_escape2!$A1505,Controle!$Z:$Z,"1")</f>
        <v>0</v>
      </c>
      <c r="G1505" s="507">
        <f>SUMIFS(Controle!$R:$R,Controle!$H:$H,produtos_escape2!$A1505,Controle!$Z:$Z,"2")</f>
        <v>0</v>
      </c>
      <c r="H1505" s="507">
        <f>SUMIFS(Controle!$R:$R,Controle!$H:$H,produtos_escape2!$A1505,Controle!$Z:$Z,"3")</f>
        <v>0</v>
      </c>
      <c r="I1505" s="507">
        <f>SUMIFS(Controle!$R:$R,Controle!$H:$H,produtos_escape2!$A1505,Controle!$Z:$Z,"4")</f>
        <v>0</v>
      </c>
      <c r="J1505" s="507">
        <f>SUMIFS(Controle!$R:$R,Controle!$H:$H,produtos_escape2!$A1505,Controle!$Z:$Z,"5")</f>
        <v>0</v>
      </c>
      <c r="K1505" s="507">
        <f>SUMIFS(Controle!$R:$R,Controle!$H:$H,produtos_escape2!$A1505,Controle!$Z:$Z,"6")</f>
        <v>0</v>
      </c>
      <c r="L1505" s="507">
        <f t="shared" si="50"/>
        <v>0</v>
      </c>
      <c r="M1505" s="381" t="s">
        <v>5332</v>
      </c>
      <c r="AF1505" s="84"/>
    </row>
    <row r="1506" spans="1:32" s="185" customFormat="1" ht="14.25" customHeight="1" thickBot="1">
      <c r="A1506" s="353">
        <v>40511</v>
      </c>
      <c r="B1506" s="338" t="s">
        <v>6747</v>
      </c>
      <c r="C1506" s="339">
        <f t="shared" si="52"/>
        <v>50000</v>
      </c>
      <c r="D1506" s="196" t="s">
        <v>550</v>
      </c>
      <c r="E1506" s="187" t="s">
        <v>7207</v>
      </c>
      <c r="F1506" s="507">
        <f>SUMIFS(Controle!$R:$R,Controle!$H:$H,produtos_escape2!$A1506,Controle!$Z:$Z,"1")</f>
        <v>0</v>
      </c>
      <c r="G1506" s="507">
        <f>SUMIFS(Controle!$R:$R,Controle!$H:$H,produtos_escape2!$A1506,Controle!$Z:$Z,"2")</f>
        <v>0</v>
      </c>
      <c r="H1506" s="507">
        <f>SUMIFS(Controle!$R:$R,Controle!$H:$H,produtos_escape2!$A1506,Controle!$Z:$Z,"3")</f>
        <v>0</v>
      </c>
      <c r="I1506" s="507">
        <f>SUMIFS(Controle!$R:$R,Controle!$H:$H,produtos_escape2!$A1506,Controle!$Z:$Z,"4")</f>
        <v>0</v>
      </c>
      <c r="J1506" s="507">
        <f>SUMIFS(Controle!$R:$R,Controle!$H:$H,produtos_escape2!$A1506,Controle!$Z:$Z,"5")</f>
        <v>0</v>
      </c>
      <c r="K1506" s="507">
        <f>SUMIFS(Controle!$R:$R,Controle!$H:$H,produtos_escape2!$A1506,Controle!$Z:$Z,"6")</f>
        <v>0</v>
      </c>
      <c r="L1506" s="507">
        <f t="shared" si="50"/>
        <v>0</v>
      </c>
      <c r="M1506" s="381" t="s">
        <v>4866</v>
      </c>
      <c r="AF1506" s="84"/>
    </row>
    <row r="1507" spans="1:32" s="185" customFormat="1" ht="14.25" customHeight="1" thickBot="1">
      <c r="A1507" s="353">
        <v>41310</v>
      </c>
      <c r="B1507" s="194" t="s">
        <v>133</v>
      </c>
      <c r="C1507" s="339">
        <f t="shared" si="52"/>
        <v>50000</v>
      </c>
      <c r="D1507" s="191" t="s">
        <v>624</v>
      </c>
      <c r="E1507" s="189" t="s">
        <v>1687</v>
      </c>
      <c r="F1507" s="507">
        <f>SUMIFS(Controle!$R:$R,Controle!$H:$H,produtos_escape2!$A1507,Controle!$Z:$Z,"1")</f>
        <v>0</v>
      </c>
      <c r="G1507" s="507">
        <f>SUMIFS(Controle!$R:$R,Controle!$H:$H,produtos_escape2!$A1507,Controle!$Z:$Z,"2")</f>
        <v>0</v>
      </c>
      <c r="H1507" s="507">
        <f>SUMIFS(Controle!$R:$R,Controle!$H:$H,produtos_escape2!$A1507,Controle!$Z:$Z,"3")</f>
        <v>0</v>
      </c>
      <c r="I1507" s="507">
        <f>SUMIFS(Controle!$R:$R,Controle!$H:$H,produtos_escape2!$A1507,Controle!$Z:$Z,"4")</f>
        <v>0</v>
      </c>
      <c r="J1507" s="507">
        <f>SUMIFS(Controle!$R:$R,Controle!$H:$H,produtos_escape2!$A1507,Controle!$Z:$Z,"5")</f>
        <v>0</v>
      </c>
      <c r="K1507" s="507">
        <f>SUMIFS(Controle!$R:$R,Controle!$H:$H,produtos_escape2!$A1507,Controle!$Z:$Z,"6")</f>
        <v>0</v>
      </c>
      <c r="L1507" s="507">
        <f t="shared" si="50"/>
        <v>0</v>
      </c>
      <c r="M1507" s="381" t="s">
        <v>5333</v>
      </c>
      <c r="AF1507" s="84"/>
    </row>
    <row r="1508" spans="1:32" s="185" customFormat="1" ht="14.25" customHeight="1" thickBot="1">
      <c r="A1508" s="353">
        <v>49041</v>
      </c>
      <c r="B1508" s="194" t="s">
        <v>376</v>
      </c>
      <c r="C1508" s="339">
        <f t="shared" si="52"/>
        <v>50000</v>
      </c>
      <c r="D1508" s="191" t="s">
        <v>624</v>
      </c>
      <c r="E1508" s="189" t="s">
        <v>1687</v>
      </c>
      <c r="F1508" s="507">
        <f>SUMIFS(Controle!$R:$R,Controle!$H:$H,produtos_escape2!$A1508,Controle!$Z:$Z,"1")</f>
        <v>0</v>
      </c>
      <c r="G1508" s="507">
        <f>SUMIFS(Controle!$R:$R,Controle!$H:$H,produtos_escape2!$A1508,Controle!$Z:$Z,"2")</f>
        <v>0</v>
      </c>
      <c r="H1508" s="507">
        <f>SUMIFS(Controle!$R:$R,Controle!$H:$H,produtos_escape2!$A1508,Controle!$Z:$Z,"3")</f>
        <v>0</v>
      </c>
      <c r="I1508" s="507">
        <f>SUMIFS(Controle!$R:$R,Controle!$H:$H,produtos_escape2!$A1508,Controle!$Z:$Z,"4")</f>
        <v>0</v>
      </c>
      <c r="J1508" s="507">
        <f>SUMIFS(Controle!$R:$R,Controle!$H:$H,produtos_escape2!$A1508,Controle!$Z:$Z,"5")</f>
        <v>0</v>
      </c>
      <c r="K1508" s="507">
        <f>SUMIFS(Controle!$R:$R,Controle!$H:$H,produtos_escape2!$A1508,Controle!$Z:$Z,"6")</f>
        <v>0</v>
      </c>
      <c r="L1508" s="507">
        <f t="shared" si="50"/>
        <v>0</v>
      </c>
      <c r="M1508" s="381" t="s">
        <v>376</v>
      </c>
      <c r="AF1508" s="84"/>
    </row>
    <row r="1509" spans="1:32" s="185" customFormat="1" ht="14.25" customHeight="1" thickBot="1">
      <c r="A1509" s="353">
        <v>49179</v>
      </c>
      <c r="B1509" s="194" t="s">
        <v>2665</v>
      </c>
      <c r="C1509" s="339">
        <f t="shared" si="52"/>
        <v>50000</v>
      </c>
      <c r="D1509" s="196" t="s">
        <v>624</v>
      </c>
      <c r="E1509" s="187" t="s">
        <v>7207</v>
      </c>
      <c r="F1509" s="507">
        <f>SUMIFS(Controle!$R:$R,Controle!$H:$H,produtos_escape2!$A1509,Controle!$Z:$Z,"1")</f>
        <v>0</v>
      </c>
      <c r="G1509" s="507">
        <f>SUMIFS(Controle!$R:$R,Controle!$H:$H,produtos_escape2!$A1509,Controle!$Z:$Z,"2")</f>
        <v>0</v>
      </c>
      <c r="H1509" s="507">
        <f>SUMIFS(Controle!$R:$R,Controle!$H:$H,produtos_escape2!$A1509,Controle!$Z:$Z,"3")</f>
        <v>0</v>
      </c>
      <c r="I1509" s="507">
        <f>SUMIFS(Controle!$R:$R,Controle!$H:$H,produtos_escape2!$A1509,Controle!$Z:$Z,"4")</f>
        <v>0</v>
      </c>
      <c r="J1509" s="507">
        <f>SUMIFS(Controle!$R:$R,Controle!$H:$H,produtos_escape2!$A1509,Controle!$Z:$Z,"5")</f>
        <v>0</v>
      </c>
      <c r="K1509" s="507">
        <f>SUMIFS(Controle!$R:$R,Controle!$H:$H,produtos_escape2!$A1509,Controle!$Z:$Z,"6")</f>
        <v>0</v>
      </c>
      <c r="L1509" s="507">
        <f t="shared" si="50"/>
        <v>0</v>
      </c>
      <c r="M1509" s="381" t="s">
        <v>4909</v>
      </c>
      <c r="AF1509" s="84"/>
    </row>
    <row r="1510" spans="1:32" s="185" customFormat="1" ht="14.25" customHeight="1" thickBot="1">
      <c r="A1510" s="353">
        <v>49185</v>
      </c>
      <c r="B1510" s="194" t="s">
        <v>2666</v>
      </c>
      <c r="C1510" s="339">
        <f t="shared" si="52"/>
        <v>40268.32</v>
      </c>
      <c r="D1510" s="196" t="s">
        <v>628</v>
      </c>
      <c r="E1510" s="187" t="s">
        <v>7207</v>
      </c>
      <c r="F1510" s="507">
        <f>SUMIFS(Controle!$R:$R,Controle!$H:$H,produtos_escape2!$A1510,Controle!$Z:$Z,"1")</f>
        <v>0</v>
      </c>
      <c r="G1510" s="507">
        <f>SUMIFS(Controle!$R:$R,Controle!$H:$H,produtos_escape2!$A1510,Controle!$Z:$Z,"2")</f>
        <v>4300</v>
      </c>
      <c r="H1510" s="507">
        <f>SUMIFS(Controle!$R:$R,Controle!$H:$H,produtos_escape2!$A1510,Controle!$Z:$Z,"3")</f>
        <v>0</v>
      </c>
      <c r="I1510" s="507">
        <f>SUMIFS(Controle!$R:$R,Controle!$H:$H,produtos_escape2!$A1510,Controle!$Z:$Z,"4")</f>
        <v>5431.6799999999994</v>
      </c>
      <c r="J1510" s="507">
        <f>SUMIFS(Controle!$R:$R,Controle!$H:$H,produtos_escape2!$A1510,Controle!$Z:$Z,"5")</f>
        <v>0</v>
      </c>
      <c r="K1510" s="507">
        <f>SUMIFS(Controle!$R:$R,Controle!$H:$H,produtos_escape2!$A1510,Controle!$Z:$Z,"6")</f>
        <v>0</v>
      </c>
      <c r="L1510" s="507">
        <f t="shared" si="50"/>
        <v>9731.68</v>
      </c>
      <c r="M1510" s="381" t="s">
        <v>5334</v>
      </c>
      <c r="AF1510" s="84"/>
    </row>
    <row r="1511" spans="1:32" s="185" customFormat="1" ht="14.25" customHeight="1" thickBot="1">
      <c r="A1511" s="333">
        <v>49242</v>
      </c>
      <c r="B1511" s="194" t="s">
        <v>1674</v>
      </c>
      <c r="C1511" s="339">
        <f t="shared" si="52"/>
        <v>44720</v>
      </c>
      <c r="D1511" s="191" t="s">
        <v>624</v>
      </c>
      <c r="E1511" s="189" t="s">
        <v>7207</v>
      </c>
      <c r="F1511" s="507">
        <f>SUMIFS(Controle!$R:$R,Controle!$H:$H,produtos_escape2!$A1511,Controle!$Z:$Z,"1")</f>
        <v>0</v>
      </c>
      <c r="G1511" s="507">
        <f>SUMIFS(Controle!$R:$R,Controle!$H:$H,produtos_escape2!$A1511,Controle!$Z:$Z,"2")</f>
        <v>1080</v>
      </c>
      <c r="H1511" s="507">
        <f>SUMIFS(Controle!$R:$R,Controle!$H:$H,produtos_escape2!$A1511,Controle!$Z:$Z,"3")</f>
        <v>4200</v>
      </c>
      <c r="I1511" s="507">
        <f>SUMIFS(Controle!$R:$R,Controle!$H:$H,produtos_escape2!$A1511,Controle!$Z:$Z,"4")</f>
        <v>0</v>
      </c>
      <c r="J1511" s="507">
        <f>SUMIFS(Controle!$R:$R,Controle!$H:$H,produtos_escape2!$A1511,Controle!$Z:$Z,"5")</f>
        <v>0</v>
      </c>
      <c r="K1511" s="507">
        <f>SUMIFS(Controle!$R:$R,Controle!$H:$H,produtos_escape2!$A1511,Controle!$Z:$Z,"6")</f>
        <v>0</v>
      </c>
      <c r="L1511" s="507">
        <f t="shared" si="50"/>
        <v>5280</v>
      </c>
      <c r="M1511" s="381" t="s">
        <v>5335</v>
      </c>
      <c r="AF1511" s="84"/>
    </row>
    <row r="1512" spans="1:32" s="185" customFormat="1" ht="14.25" customHeight="1" thickBot="1">
      <c r="A1512" s="353">
        <v>49243</v>
      </c>
      <c r="B1512" s="194" t="s">
        <v>1404</v>
      </c>
      <c r="C1512" s="339">
        <f t="shared" si="52"/>
        <v>48648.149120000002</v>
      </c>
      <c r="D1512" s="196" t="s">
        <v>624</v>
      </c>
      <c r="E1512" s="187" t="s">
        <v>7207</v>
      </c>
      <c r="F1512" s="507">
        <f>SUMIFS(Controle!$R:$R,Controle!$H:$H,produtos_escape2!$A1512,Controle!$Z:$Z,"1")</f>
        <v>0</v>
      </c>
      <c r="G1512" s="507">
        <f>SUMIFS(Controle!$R:$R,Controle!$H:$H,produtos_escape2!$A1512,Controle!$Z:$Z,"2")</f>
        <v>0</v>
      </c>
      <c r="H1512" s="507">
        <f>SUMIFS(Controle!$R:$R,Controle!$H:$H,produtos_escape2!$A1512,Controle!$Z:$Z,"3")</f>
        <v>1351.85088</v>
      </c>
      <c r="I1512" s="507">
        <f>SUMIFS(Controle!$R:$R,Controle!$H:$H,produtos_escape2!$A1512,Controle!$Z:$Z,"4")</f>
        <v>0</v>
      </c>
      <c r="J1512" s="507">
        <f>SUMIFS(Controle!$R:$R,Controle!$H:$H,produtos_escape2!$A1512,Controle!$Z:$Z,"5")</f>
        <v>0</v>
      </c>
      <c r="K1512" s="507">
        <f>SUMIFS(Controle!$R:$R,Controle!$H:$H,produtos_escape2!$A1512,Controle!$Z:$Z,"6")</f>
        <v>0</v>
      </c>
      <c r="L1512" s="507">
        <f t="shared" si="50"/>
        <v>1351.85088</v>
      </c>
      <c r="M1512" s="381" t="s">
        <v>5209</v>
      </c>
      <c r="AF1512" s="84"/>
    </row>
    <row r="1513" spans="1:32" s="185" customFormat="1" ht="14.25" customHeight="1" thickBot="1">
      <c r="A1513" s="353">
        <v>49468</v>
      </c>
      <c r="B1513" s="194" t="s">
        <v>476</v>
      </c>
      <c r="C1513" s="339">
        <f t="shared" si="52"/>
        <v>50000</v>
      </c>
      <c r="D1513" s="196"/>
      <c r="E1513" s="187"/>
      <c r="F1513" s="507">
        <f>SUMIFS(Controle!$R:$R,Controle!$H:$H,produtos_escape2!$A1513,Controle!$Z:$Z,"1")</f>
        <v>0</v>
      </c>
      <c r="G1513" s="507">
        <f>SUMIFS(Controle!$R:$R,Controle!$H:$H,produtos_escape2!$A1513,Controle!$Z:$Z,"2")</f>
        <v>0</v>
      </c>
      <c r="H1513" s="507">
        <f>SUMIFS(Controle!$R:$R,Controle!$H:$H,produtos_escape2!$A1513,Controle!$Z:$Z,"3")</f>
        <v>0</v>
      </c>
      <c r="I1513" s="507">
        <f>SUMIFS(Controle!$R:$R,Controle!$H:$H,produtos_escape2!$A1513,Controle!$Z:$Z,"4")</f>
        <v>0</v>
      </c>
      <c r="J1513" s="507">
        <f>SUMIFS(Controle!$R:$R,Controle!$H:$H,produtos_escape2!$A1513,Controle!$Z:$Z,"5")</f>
        <v>0</v>
      </c>
      <c r="K1513" s="507">
        <f>SUMIFS(Controle!$R:$R,Controle!$H:$H,produtos_escape2!$A1513,Controle!$Z:$Z,"6")</f>
        <v>0</v>
      </c>
      <c r="L1513" s="507">
        <f t="shared" si="50"/>
        <v>0</v>
      </c>
      <c r="M1513" s="381" t="s">
        <v>5336</v>
      </c>
      <c r="AF1513" s="84"/>
    </row>
    <row r="1514" spans="1:32" s="185" customFormat="1" ht="14.25" customHeight="1" thickBot="1">
      <c r="A1514" s="353">
        <v>49529</v>
      </c>
      <c r="B1514" s="338" t="s">
        <v>5779</v>
      </c>
      <c r="C1514" s="339">
        <f t="shared" si="52"/>
        <v>50000</v>
      </c>
      <c r="D1514" s="196" t="s">
        <v>624</v>
      </c>
      <c r="E1514" s="187" t="s">
        <v>7207</v>
      </c>
      <c r="F1514" s="507">
        <f>SUMIFS(Controle!$R:$R,Controle!$H:$H,produtos_escape2!$A1514,Controle!$Z:$Z,"1")</f>
        <v>0</v>
      </c>
      <c r="G1514" s="507">
        <f>SUMIFS(Controle!$R:$R,Controle!$H:$H,produtos_escape2!$A1514,Controle!$Z:$Z,"2")</f>
        <v>0</v>
      </c>
      <c r="H1514" s="507">
        <f>SUMIFS(Controle!$R:$R,Controle!$H:$H,produtos_escape2!$A1514,Controle!$Z:$Z,"3")</f>
        <v>0</v>
      </c>
      <c r="I1514" s="507">
        <f>SUMIFS(Controle!$R:$R,Controle!$H:$H,produtos_escape2!$A1514,Controle!$Z:$Z,"4")</f>
        <v>0</v>
      </c>
      <c r="J1514" s="507">
        <f>SUMIFS(Controle!$R:$R,Controle!$H:$H,produtos_escape2!$A1514,Controle!$Z:$Z,"5")</f>
        <v>0</v>
      </c>
      <c r="K1514" s="507">
        <f>SUMIFS(Controle!$R:$R,Controle!$H:$H,produtos_escape2!$A1514,Controle!$Z:$Z,"6")</f>
        <v>0</v>
      </c>
      <c r="L1514" s="507">
        <f t="shared" si="50"/>
        <v>0</v>
      </c>
      <c r="M1514" s="381" t="s">
        <v>5780</v>
      </c>
      <c r="AF1514" s="84"/>
    </row>
    <row r="1515" spans="1:32" s="185" customFormat="1" ht="14.25" customHeight="1" thickBot="1">
      <c r="A1515" s="353">
        <v>49697</v>
      </c>
      <c r="B1515" s="194" t="s">
        <v>265</v>
      </c>
      <c r="C1515" s="339">
        <f t="shared" si="52"/>
        <v>50000</v>
      </c>
      <c r="D1515" s="196" t="s">
        <v>624</v>
      </c>
      <c r="E1515" s="187" t="s">
        <v>1739</v>
      </c>
      <c r="F1515" s="507">
        <f>SUMIFS(Controle!$R:$R,Controle!$H:$H,produtos_escape2!$A1515,Controle!$Z:$Z,"1")</f>
        <v>0</v>
      </c>
      <c r="G1515" s="507">
        <f>SUMIFS(Controle!$R:$R,Controle!$H:$H,produtos_escape2!$A1515,Controle!$Z:$Z,"2")</f>
        <v>0</v>
      </c>
      <c r="H1515" s="507">
        <f>SUMIFS(Controle!$R:$R,Controle!$H:$H,produtos_escape2!$A1515,Controle!$Z:$Z,"3")</f>
        <v>0</v>
      </c>
      <c r="I1515" s="507">
        <f>SUMIFS(Controle!$R:$R,Controle!$H:$H,produtos_escape2!$A1515,Controle!$Z:$Z,"4")</f>
        <v>0</v>
      </c>
      <c r="J1515" s="507">
        <f>SUMIFS(Controle!$R:$R,Controle!$H:$H,produtos_escape2!$A1515,Controle!$Z:$Z,"5")</f>
        <v>0</v>
      </c>
      <c r="K1515" s="507">
        <f>SUMIFS(Controle!$R:$R,Controle!$H:$H,produtos_escape2!$A1515,Controle!$Z:$Z,"6")</f>
        <v>0</v>
      </c>
      <c r="L1515" s="507">
        <f t="shared" si="50"/>
        <v>0</v>
      </c>
      <c r="M1515" s="381" t="s">
        <v>265</v>
      </c>
      <c r="AF1515" s="84"/>
    </row>
    <row r="1516" spans="1:32" s="185" customFormat="1" ht="14.25" customHeight="1" thickBot="1">
      <c r="A1516" s="353">
        <v>49731</v>
      </c>
      <c r="B1516" s="194" t="s">
        <v>3523</v>
      </c>
      <c r="C1516" s="339">
        <f t="shared" si="52"/>
        <v>50000</v>
      </c>
      <c r="D1516" s="196" t="s">
        <v>624</v>
      </c>
      <c r="E1516" s="187" t="s">
        <v>7207</v>
      </c>
      <c r="F1516" s="507">
        <f>SUMIFS(Controle!$R:$R,Controle!$H:$H,produtos_escape2!$A1516,Controle!$Z:$Z,"1")</f>
        <v>0</v>
      </c>
      <c r="G1516" s="507">
        <f>SUMIFS(Controle!$R:$R,Controle!$H:$H,produtos_escape2!$A1516,Controle!$Z:$Z,"2")</f>
        <v>0</v>
      </c>
      <c r="H1516" s="507">
        <f>SUMIFS(Controle!$R:$R,Controle!$H:$H,produtos_escape2!$A1516,Controle!$Z:$Z,"3")</f>
        <v>0</v>
      </c>
      <c r="I1516" s="507">
        <f>SUMIFS(Controle!$R:$R,Controle!$H:$H,produtos_escape2!$A1516,Controle!$Z:$Z,"4")</f>
        <v>0</v>
      </c>
      <c r="J1516" s="507">
        <f>SUMIFS(Controle!$R:$R,Controle!$H:$H,produtos_escape2!$A1516,Controle!$Z:$Z,"5")</f>
        <v>0</v>
      </c>
      <c r="K1516" s="507">
        <f>SUMIFS(Controle!$R:$R,Controle!$H:$H,produtos_escape2!$A1516,Controle!$Z:$Z,"6")</f>
        <v>0</v>
      </c>
      <c r="L1516" s="507">
        <f t="shared" si="50"/>
        <v>0</v>
      </c>
      <c r="M1516" s="381" t="s">
        <v>5249</v>
      </c>
      <c r="AF1516" s="84"/>
    </row>
    <row r="1517" spans="1:32" s="185" customFormat="1" ht="14.25" customHeight="1" thickBot="1">
      <c r="A1517" s="353">
        <v>49736</v>
      </c>
      <c r="B1517" s="194" t="s">
        <v>742</v>
      </c>
      <c r="C1517" s="339">
        <f t="shared" si="52"/>
        <v>50000</v>
      </c>
      <c r="D1517" s="196" t="s">
        <v>837</v>
      </c>
      <c r="E1517" s="187" t="s">
        <v>1739</v>
      </c>
      <c r="F1517" s="507">
        <f>SUMIFS(Controle!$R:$R,Controle!$H:$H,produtos_escape2!$A1517,Controle!$Z:$Z,"1")</f>
        <v>0</v>
      </c>
      <c r="G1517" s="507">
        <f>SUMIFS(Controle!$R:$R,Controle!$H:$H,produtos_escape2!$A1517,Controle!$Z:$Z,"2")</f>
        <v>0</v>
      </c>
      <c r="H1517" s="507">
        <f>SUMIFS(Controle!$R:$R,Controle!$H:$H,produtos_escape2!$A1517,Controle!$Z:$Z,"3")</f>
        <v>0</v>
      </c>
      <c r="I1517" s="507">
        <f>SUMIFS(Controle!$R:$R,Controle!$H:$H,produtos_escape2!$A1517,Controle!$Z:$Z,"4")</f>
        <v>0</v>
      </c>
      <c r="J1517" s="507">
        <f>SUMIFS(Controle!$R:$R,Controle!$H:$H,produtos_escape2!$A1517,Controle!$Z:$Z,"5")</f>
        <v>0</v>
      </c>
      <c r="K1517" s="507">
        <f>SUMIFS(Controle!$R:$R,Controle!$H:$H,produtos_escape2!$A1517,Controle!$Z:$Z,"6")</f>
        <v>0</v>
      </c>
      <c r="L1517" s="507">
        <f t="shared" si="50"/>
        <v>0</v>
      </c>
      <c r="M1517" s="381" t="s">
        <v>5337</v>
      </c>
      <c r="AF1517" s="84"/>
    </row>
    <row r="1518" spans="1:32" s="185" customFormat="1" ht="14.25" customHeight="1" thickBot="1">
      <c r="A1518" s="353">
        <v>49740</v>
      </c>
      <c r="B1518" s="194" t="s">
        <v>500</v>
      </c>
      <c r="C1518" s="339">
        <f t="shared" si="52"/>
        <v>50000</v>
      </c>
      <c r="D1518" s="196"/>
      <c r="E1518" s="187"/>
      <c r="F1518" s="507">
        <f>SUMIFS(Controle!$R:$R,Controle!$H:$H,produtos_escape2!$A1518,Controle!$Z:$Z,"1")</f>
        <v>0</v>
      </c>
      <c r="G1518" s="507">
        <f>SUMIFS(Controle!$R:$R,Controle!$H:$H,produtos_escape2!$A1518,Controle!$Z:$Z,"2")</f>
        <v>0</v>
      </c>
      <c r="H1518" s="507">
        <f>SUMIFS(Controle!$R:$R,Controle!$H:$H,produtos_escape2!$A1518,Controle!$Z:$Z,"3")</f>
        <v>0</v>
      </c>
      <c r="I1518" s="507">
        <f>SUMIFS(Controle!$R:$R,Controle!$H:$H,produtos_escape2!$A1518,Controle!$Z:$Z,"4")</f>
        <v>0</v>
      </c>
      <c r="J1518" s="507">
        <f>SUMIFS(Controle!$R:$R,Controle!$H:$H,produtos_escape2!$A1518,Controle!$Z:$Z,"5")</f>
        <v>0</v>
      </c>
      <c r="K1518" s="507">
        <f>SUMIFS(Controle!$R:$R,Controle!$H:$H,produtos_escape2!$A1518,Controle!$Z:$Z,"6")</f>
        <v>0</v>
      </c>
      <c r="L1518" s="507">
        <f t="shared" si="50"/>
        <v>0</v>
      </c>
      <c r="M1518" s="381" t="s">
        <v>5338</v>
      </c>
      <c r="AF1518" s="84"/>
    </row>
    <row r="1519" spans="1:32" s="185" customFormat="1" ht="14.25" customHeight="1" thickBot="1">
      <c r="A1519" s="333">
        <v>49957</v>
      </c>
      <c r="B1519" s="194" t="s">
        <v>1110</v>
      </c>
      <c r="C1519" s="339">
        <f t="shared" si="52"/>
        <v>50000</v>
      </c>
      <c r="D1519" s="196" t="s">
        <v>624</v>
      </c>
      <c r="E1519" s="187"/>
      <c r="F1519" s="507">
        <f>SUMIFS(Controle!$R:$R,Controle!$H:$H,produtos_escape2!$A1519,Controle!$Z:$Z,"1")</f>
        <v>0</v>
      </c>
      <c r="G1519" s="507">
        <f>SUMIFS(Controle!$R:$R,Controle!$H:$H,produtos_escape2!$A1519,Controle!$Z:$Z,"2")</f>
        <v>0</v>
      </c>
      <c r="H1519" s="507">
        <f>SUMIFS(Controle!$R:$R,Controle!$H:$H,produtos_escape2!$A1519,Controle!$Z:$Z,"3")</f>
        <v>0</v>
      </c>
      <c r="I1519" s="507">
        <f>SUMIFS(Controle!$R:$R,Controle!$H:$H,produtos_escape2!$A1519,Controle!$Z:$Z,"4")</f>
        <v>0</v>
      </c>
      <c r="J1519" s="507">
        <f>SUMIFS(Controle!$R:$R,Controle!$H:$H,produtos_escape2!$A1519,Controle!$Z:$Z,"5")</f>
        <v>0</v>
      </c>
      <c r="K1519" s="507">
        <f>SUMIFS(Controle!$R:$R,Controle!$H:$H,produtos_escape2!$A1519,Controle!$Z:$Z,"6")</f>
        <v>0</v>
      </c>
      <c r="L1519" s="507">
        <f t="shared" si="50"/>
        <v>0</v>
      </c>
      <c r="M1519" s="381" t="s">
        <v>5339</v>
      </c>
      <c r="AF1519" s="84"/>
    </row>
    <row r="1520" spans="1:32" s="185" customFormat="1" ht="14.25" customHeight="1" thickBot="1">
      <c r="A1520" s="353">
        <v>50505</v>
      </c>
      <c r="B1520" s="194" t="s">
        <v>3622</v>
      </c>
      <c r="C1520" s="339">
        <f t="shared" si="52"/>
        <v>33235</v>
      </c>
      <c r="D1520" s="196" t="s">
        <v>624</v>
      </c>
      <c r="E1520" s="187" t="s">
        <v>7207</v>
      </c>
      <c r="F1520" s="507">
        <f>SUMIFS(Controle!$R:$R,Controle!$H:$H,produtos_escape2!$A1520,Controle!$Z:$Z,"1")</f>
        <v>0</v>
      </c>
      <c r="G1520" s="507">
        <f>SUMIFS(Controle!$R:$R,Controle!$H:$H,produtos_escape2!$A1520,Controle!$Z:$Z,"2")</f>
        <v>16765</v>
      </c>
      <c r="H1520" s="507">
        <f>SUMIFS(Controle!$R:$R,Controle!$H:$H,produtos_escape2!$A1520,Controle!$Z:$Z,"3")</f>
        <v>0</v>
      </c>
      <c r="I1520" s="507">
        <f>SUMIFS(Controle!$R:$R,Controle!$H:$H,produtos_escape2!$A1520,Controle!$Z:$Z,"4")</f>
        <v>0</v>
      </c>
      <c r="J1520" s="507">
        <f>SUMIFS(Controle!$R:$R,Controle!$H:$H,produtos_escape2!$A1520,Controle!$Z:$Z,"5")</f>
        <v>0</v>
      </c>
      <c r="K1520" s="507">
        <f>SUMIFS(Controle!$R:$R,Controle!$H:$H,produtos_escape2!$A1520,Controle!$Z:$Z,"6")</f>
        <v>0</v>
      </c>
      <c r="L1520" s="507">
        <f t="shared" si="50"/>
        <v>16765</v>
      </c>
      <c r="M1520" s="381" t="s">
        <v>5340</v>
      </c>
      <c r="AF1520" s="84"/>
    </row>
    <row r="1521" spans="1:32" s="185" customFormat="1" ht="14.25" customHeight="1" thickBot="1">
      <c r="A1521" s="353">
        <v>50585</v>
      </c>
      <c r="B1521" s="194" t="s">
        <v>529</v>
      </c>
      <c r="C1521" s="339">
        <f t="shared" si="52"/>
        <v>50000</v>
      </c>
      <c r="D1521" s="196"/>
      <c r="E1521" s="187"/>
      <c r="F1521" s="507">
        <f>SUMIFS(Controle!$R:$R,Controle!$H:$H,produtos_escape2!$A1521,Controle!$Z:$Z,"1")</f>
        <v>0</v>
      </c>
      <c r="G1521" s="507">
        <f>SUMIFS(Controle!$R:$R,Controle!$H:$H,produtos_escape2!$A1521,Controle!$Z:$Z,"2")</f>
        <v>0</v>
      </c>
      <c r="H1521" s="507">
        <f>SUMIFS(Controle!$R:$R,Controle!$H:$H,produtos_escape2!$A1521,Controle!$Z:$Z,"3")</f>
        <v>0</v>
      </c>
      <c r="I1521" s="507">
        <f>SUMIFS(Controle!$R:$R,Controle!$H:$H,produtos_escape2!$A1521,Controle!$Z:$Z,"4")</f>
        <v>0</v>
      </c>
      <c r="J1521" s="507">
        <f>SUMIFS(Controle!$R:$R,Controle!$H:$H,produtos_escape2!$A1521,Controle!$Z:$Z,"5")</f>
        <v>0</v>
      </c>
      <c r="K1521" s="507">
        <f>SUMIFS(Controle!$R:$R,Controle!$H:$H,produtos_escape2!$A1521,Controle!$Z:$Z,"6")</f>
        <v>0</v>
      </c>
      <c r="L1521" s="507">
        <f t="shared" si="50"/>
        <v>0</v>
      </c>
      <c r="M1521" s="381" t="s">
        <v>5341</v>
      </c>
      <c r="AF1521" s="84"/>
    </row>
    <row r="1522" spans="1:32" s="185" customFormat="1" ht="14.25" customHeight="1" thickBot="1">
      <c r="A1522" s="353">
        <v>50598</v>
      </c>
      <c r="B1522" s="338" t="s">
        <v>1513</v>
      </c>
      <c r="C1522" s="339">
        <f t="shared" si="52"/>
        <v>50000</v>
      </c>
      <c r="D1522" s="196" t="s">
        <v>624</v>
      </c>
      <c r="E1522" s="187" t="s">
        <v>7207</v>
      </c>
      <c r="F1522" s="507">
        <f>SUMIFS(Controle!$R:$R,Controle!$H:$H,produtos_escape2!$A1522,Controle!$Z:$Z,"1")</f>
        <v>0</v>
      </c>
      <c r="G1522" s="507">
        <f>SUMIFS(Controle!$R:$R,Controle!$H:$H,produtos_escape2!$A1522,Controle!$Z:$Z,"2")</f>
        <v>0</v>
      </c>
      <c r="H1522" s="507">
        <f>SUMIFS(Controle!$R:$R,Controle!$H:$H,produtos_escape2!$A1522,Controle!$Z:$Z,"3")</f>
        <v>0</v>
      </c>
      <c r="I1522" s="507">
        <f>SUMIFS(Controle!$R:$R,Controle!$H:$H,produtos_escape2!$A1522,Controle!$Z:$Z,"4")</f>
        <v>0</v>
      </c>
      <c r="J1522" s="507">
        <f>SUMIFS(Controle!$R:$R,Controle!$H:$H,produtos_escape2!$A1522,Controle!$Z:$Z,"5")</f>
        <v>0</v>
      </c>
      <c r="K1522" s="507">
        <f>SUMIFS(Controle!$R:$R,Controle!$H:$H,produtos_escape2!$A1522,Controle!$Z:$Z,"6")</f>
        <v>0</v>
      </c>
      <c r="L1522" s="507">
        <f t="shared" si="50"/>
        <v>0</v>
      </c>
      <c r="M1522" s="381" t="s">
        <v>5342</v>
      </c>
      <c r="AF1522" s="84"/>
    </row>
    <row r="1523" spans="1:32" s="185" customFormat="1" ht="14.25" customHeight="1" thickBot="1">
      <c r="A1523" s="353">
        <v>50689</v>
      </c>
      <c r="B1523" s="194" t="s">
        <v>827</v>
      </c>
      <c r="C1523" s="339">
        <f t="shared" si="52"/>
        <v>50000</v>
      </c>
      <c r="D1523" s="196" t="s">
        <v>624</v>
      </c>
      <c r="E1523" s="187" t="s">
        <v>1739</v>
      </c>
      <c r="F1523" s="507">
        <f>SUMIFS(Controle!$R:$R,Controle!$H:$H,produtos_escape2!$A1523,Controle!$Z:$Z,"1")</f>
        <v>0</v>
      </c>
      <c r="G1523" s="507">
        <f>SUMIFS(Controle!$R:$R,Controle!$H:$H,produtos_escape2!$A1523,Controle!$Z:$Z,"2")</f>
        <v>0</v>
      </c>
      <c r="H1523" s="507">
        <f>SUMIFS(Controle!$R:$R,Controle!$H:$H,produtos_escape2!$A1523,Controle!$Z:$Z,"3")</f>
        <v>0</v>
      </c>
      <c r="I1523" s="507">
        <f>SUMIFS(Controle!$R:$R,Controle!$H:$H,produtos_escape2!$A1523,Controle!$Z:$Z,"4")</f>
        <v>0</v>
      </c>
      <c r="J1523" s="507">
        <f>SUMIFS(Controle!$R:$R,Controle!$H:$H,produtos_escape2!$A1523,Controle!$Z:$Z,"5")</f>
        <v>0</v>
      </c>
      <c r="K1523" s="507">
        <f>SUMIFS(Controle!$R:$R,Controle!$H:$H,produtos_escape2!$A1523,Controle!$Z:$Z,"6")</f>
        <v>0</v>
      </c>
      <c r="L1523" s="507">
        <f t="shared" si="50"/>
        <v>0</v>
      </c>
      <c r="M1523" s="381" t="s">
        <v>4667</v>
      </c>
      <c r="AF1523" s="84"/>
    </row>
    <row r="1524" spans="1:32" s="185" customFormat="1" ht="14.25" customHeight="1" thickBot="1">
      <c r="A1524" s="353">
        <v>50691</v>
      </c>
      <c r="B1524" s="194" t="s">
        <v>5826</v>
      </c>
      <c r="C1524" s="339">
        <f t="shared" si="52"/>
        <v>50000</v>
      </c>
      <c r="D1524" s="196" t="s">
        <v>628</v>
      </c>
      <c r="E1524" s="187" t="s">
        <v>3608</v>
      </c>
      <c r="F1524" s="507">
        <f>SUMIFS(Controle!$R:$R,Controle!$H:$H,produtos_escape2!$A1524,Controle!$Z:$Z,"1")</f>
        <v>0</v>
      </c>
      <c r="G1524" s="507">
        <f>SUMIFS(Controle!$R:$R,Controle!$H:$H,produtos_escape2!$A1524,Controle!$Z:$Z,"2")</f>
        <v>0</v>
      </c>
      <c r="H1524" s="507">
        <f>SUMIFS(Controle!$R:$R,Controle!$H:$H,produtos_escape2!$A1524,Controle!$Z:$Z,"3")</f>
        <v>0</v>
      </c>
      <c r="I1524" s="507">
        <f>SUMIFS(Controle!$R:$R,Controle!$H:$H,produtos_escape2!$A1524,Controle!$Z:$Z,"4")</f>
        <v>0</v>
      </c>
      <c r="J1524" s="507">
        <f>SUMIFS(Controle!$R:$R,Controle!$H:$H,produtos_escape2!$A1524,Controle!$Z:$Z,"5")</f>
        <v>0</v>
      </c>
      <c r="K1524" s="507">
        <f>SUMIFS(Controle!$R:$R,Controle!$H:$H,produtos_escape2!$A1524,Controle!$Z:$Z,"6")</f>
        <v>0</v>
      </c>
      <c r="L1524" s="507">
        <f t="shared" si="50"/>
        <v>0</v>
      </c>
      <c r="M1524" s="381" t="s">
        <v>5823</v>
      </c>
      <c r="AF1524" s="84"/>
    </row>
    <row r="1525" spans="1:32" s="185" customFormat="1" ht="14.25" customHeight="1" thickBot="1">
      <c r="A1525" s="353">
        <v>50696</v>
      </c>
      <c r="B1525" s="194" t="s">
        <v>5825</v>
      </c>
      <c r="C1525" s="339">
        <f t="shared" si="52"/>
        <v>50000</v>
      </c>
      <c r="D1525" s="196" t="s">
        <v>628</v>
      </c>
      <c r="E1525" s="187" t="s">
        <v>3608</v>
      </c>
      <c r="F1525" s="507">
        <f>SUMIFS(Controle!$R:$R,Controle!$H:$H,produtos_escape2!$A1525,Controle!$Z:$Z,"1")</f>
        <v>0</v>
      </c>
      <c r="G1525" s="507">
        <f>SUMIFS(Controle!$R:$R,Controle!$H:$H,produtos_escape2!$A1525,Controle!$Z:$Z,"2")</f>
        <v>0</v>
      </c>
      <c r="H1525" s="507">
        <f>SUMIFS(Controle!$R:$R,Controle!$H:$H,produtos_escape2!$A1525,Controle!$Z:$Z,"3")</f>
        <v>0</v>
      </c>
      <c r="I1525" s="507">
        <f>SUMIFS(Controle!$R:$R,Controle!$H:$H,produtos_escape2!$A1525,Controle!$Z:$Z,"4")</f>
        <v>0</v>
      </c>
      <c r="J1525" s="507">
        <f>SUMIFS(Controle!$R:$R,Controle!$H:$H,produtos_escape2!$A1525,Controle!$Z:$Z,"5")</f>
        <v>0</v>
      </c>
      <c r="K1525" s="507">
        <f>SUMIFS(Controle!$R:$R,Controle!$H:$H,produtos_escape2!$A1525,Controle!$Z:$Z,"6")</f>
        <v>0</v>
      </c>
      <c r="L1525" s="507">
        <f t="shared" si="50"/>
        <v>0</v>
      </c>
      <c r="M1525" s="381" t="s">
        <v>5823</v>
      </c>
      <c r="AF1525" s="84"/>
    </row>
    <row r="1526" spans="1:32" s="185" customFormat="1" ht="14.25" customHeight="1" thickBot="1">
      <c r="A1526" s="353">
        <v>50700</v>
      </c>
      <c r="B1526" s="194" t="s">
        <v>5824</v>
      </c>
      <c r="C1526" s="339">
        <f t="shared" si="52"/>
        <v>50000</v>
      </c>
      <c r="D1526" s="196" t="s">
        <v>624</v>
      </c>
      <c r="E1526" s="187" t="s">
        <v>3608</v>
      </c>
      <c r="F1526" s="507">
        <f>SUMIFS(Controle!$R:$R,Controle!$H:$H,produtos_escape2!$A1526,Controle!$Z:$Z,"1")</f>
        <v>0</v>
      </c>
      <c r="G1526" s="507">
        <f>SUMIFS(Controle!$R:$R,Controle!$H:$H,produtos_escape2!$A1526,Controle!$Z:$Z,"2")</f>
        <v>0</v>
      </c>
      <c r="H1526" s="507">
        <f>SUMIFS(Controle!$R:$R,Controle!$H:$H,produtos_escape2!$A1526,Controle!$Z:$Z,"3")</f>
        <v>0</v>
      </c>
      <c r="I1526" s="507">
        <f>SUMIFS(Controle!$R:$R,Controle!$H:$H,produtos_escape2!$A1526,Controle!$Z:$Z,"4")</f>
        <v>0</v>
      </c>
      <c r="J1526" s="507">
        <f>SUMIFS(Controle!$R:$R,Controle!$H:$H,produtos_escape2!$A1526,Controle!$Z:$Z,"5")</f>
        <v>0</v>
      </c>
      <c r="K1526" s="507">
        <f>SUMIFS(Controle!$R:$R,Controle!$H:$H,produtos_escape2!$A1526,Controle!$Z:$Z,"6")</f>
        <v>0</v>
      </c>
      <c r="L1526" s="507">
        <f t="shared" si="50"/>
        <v>0</v>
      </c>
      <c r="M1526" s="381" t="s">
        <v>5823</v>
      </c>
      <c r="AF1526" s="84"/>
    </row>
    <row r="1527" spans="1:32" s="185" customFormat="1" ht="14.25" customHeight="1" thickBot="1">
      <c r="A1527" s="333">
        <v>50830</v>
      </c>
      <c r="B1527" s="194" t="s">
        <v>1343</v>
      </c>
      <c r="C1527" s="339">
        <f t="shared" si="52"/>
        <v>50000</v>
      </c>
      <c r="D1527" s="196" t="s">
        <v>624</v>
      </c>
      <c r="E1527" s="187" t="s">
        <v>7207</v>
      </c>
      <c r="F1527" s="507">
        <f>SUMIFS(Controle!$R:$R,Controle!$H:$H,produtos_escape2!$A1527,Controle!$Z:$Z,"1")</f>
        <v>0</v>
      </c>
      <c r="G1527" s="507">
        <f>SUMIFS(Controle!$R:$R,Controle!$H:$H,produtos_escape2!$A1527,Controle!$Z:$Z,"2")</f>
        <v>0</v>
      </c>
      <c r="H1527" s="507">
        <f>SUMIFS(Controle!$R:$R,Controle!$H:$H,produtos_escape2!$A1527,Controle!$Z:$Z,"3")</f>
        <v>0</v>
      </c>
      <c r="I1527" s="507">
        <f>SUMIFS(Controle!$R:$R,Controle!$H:$H,produtos_escape2!$A1527,Controle!$Z:$Z,"4")</f>
        <v>0</v>
      </c>
      <c r="J1527" s="507">
        <f>SUMIFS(Controle!$R:$R,Controle!$H:$H,produtos_escape2!$A1527,Controle!$Z:$Z,"5")</f>
        <v>0</v>
      </c>
      <c r="K1527" s="507">
        <f>SUMIFS(Controle!$R:$R,Controle!$H:$H,produtos_escape2!$A1527,Controle!$Z:$Z,"6")</f>
        <v>0</v>
      </c>
      <c r="L1527" s="507">
        <f t="shared" si="50"/>
        <v>0</v>
      </c>
      <c r="M1527" s="381" t="s">
        <v>5343</v>
      </c>
      <c r="AF1527" s="84"/>
    </row>
    <row r="1528" spans="1:32" s="185" customFormat="1" ht="14.25" customHeight="1" thickBot="1">
      <c r="A1528" s="353">
        <v>50853</v>
      </c>
      <c r="B1528" s="194" t="s">
        <v>2667</v>
      </c>
      <c r="C1528" s="339">
        <f t="shared" si="52"/>
        <v>50000</v>
      </c>
      <c r="D1528" s="196" t="s">
        <v>624</v>
      </c>
      <c r="E1528" s="187" t="s">
        <v>7207</v>
      </c>
      <c r="F1528" s="507">
        <f>SUMIFS(Controle!$R:$R,Controle!$H:$H,produtos_escape2!$A1528,Controle!$Z:$Z,"1")</f>
        <v>0</v>
      </c>
      <c r="G1528" s="507">
        <f>SUMIFS(Controle!$R:$R,Controle!$H:$H,produtos_escape2!$A1528,Controle!$Z:$Z,"2")</f>
        <v>0</v>
      </c>
      <c r="H1528" s="507">
        <f>SUMIFS(Controle!$R:$R,Controle!$H:$H,produtos_escape2!$A1528,Controle!$Z:$Z,"3")</f>
        <v>0</v>
      </c>
      <c r="I1528" s="507">
        <f>SUMIFS(Controle!$R:$R,Controle!$H:$H,produtos_escape2!$A1528,Controle!$Z:$Z,"4")</f>
        <v>0</v>
      </c>
      <c r="J1528" s="507">
        <f>SUMIFS(Controle!$R:$R,Controle!$H:$H,produtos_escape2!$A1528,Controle!$Z:$Z,"5")</f>
        <v>0</v>
      </c>
      <c r="K1528" s="507">
        <f>SUMIFS(Controle!$R:$R,Controle!$H:$H,produtos_escape2!$A1528,Controle!$Z:$Z,"6")</f>
        <v>0</v>
      </c>
      <c r="L1528" s="507">
        <f t="shared" si="50"/>
        <v>0</v>
      </c>
      <c r="M1528" s="381" t="s">
        <v>5344</v>
      </c>
      <c r="AF1528" s="84"/>
    </row>
    <row r="1529" spans="1:32" s="185" customFormat="1" ht="14.25" customHeight="1" thickBot="1">
      <c r="A1529" s="353">
        <v>50960</v>
      </c>
      <c r="B1529" s="194" t="s">
        <v>7771</v>
      </c>
      <c r="C1529" s="339">
        <f t="shared" si="52"/>
        <v>49900.2</v>
      </c>
      <c r="D1529" s="196" t="s">
        <v>624</v>
      </c>
      <c r="E1529" s="187" t="s">
        <v>7207</v>
      </c>
      <c r="F1529" s="507">
        <f>SUMIFS(Controle!$R:$R,Controle!$H:$H,produtos_escape2!$A1529,Controle!$Z:$Z,"1")</f>
        <v>0</v>
      </c>
      <c r="G1529" s="507">
        <f>SUMIFS(Controle!$R:$R,Controle!$H:$H,produtos_escape2!$A1529,Controle!$Z:$Z,"2")</f>
        <v>99.800000000000011</v>
      </c>
      <c r="H1529" s="507">
        <f>SUMIFS(Controle!$R:$R,Controle!$H:$H,produtos_escape2!$A1529,Controle!$Z:$Z,"3")</f>
        <v>0</v>
      </c>
      <c r="I1529" s="507">
        <f>SUMIFS(Controle!$R:$R,Controle!$H:$H,produtos_escape2!$A1529,Controle!$Z:$Z,"4")</f>
        <v>0</v>
      </c>
      <c r="J1529" s="507">
        <f>SUMIFS(Controle!$R:$R,Controle!$H:$H,produtos_escape2!$A1529,Controle!$Z:$Z,"5")</f>
        <v>0</v>
      </c>
      <c r="K1529" s="507">
        <f>SUMIFS(Controle!$R:$R,Controle!$H:$H,produtos_escape2!$A1529,Controle!$Z:$Z,"6")</f>
        <v>0</v>
      </c>
      <c r="L1529" s="507">
        <f t="shared" si="50"/>
        <v>99.800000000000011</v>
      </c>
      <c r="M1529" s="381" t="s">
        <v>258</v>
      </c>
      <c r="AF1529" s="84"/>
    </row>
    <row r="1530" spans="1:32" s="185" customFormat="1" ht="14.25" customHeight="1" thickBot="1">
      <c r="A1530" s="353">
        <v>51102</v>
      </c>
      <c r="B1530" s="194" t="s">
        <v>7178</v>
      </c>
      <c r="C1530" s="339">
        <f t="shared" si="52"/>
        <v>49300</v>
      </c>
      <c r="D1530" s="191" t="s">
        <v>624</v>
      </c>
      <c r="E1530" s="189" t="s">
        <v>7207</v>
      </c>
      <c r="F1530" s="507">
        <f>SUMIFS(Controle!$R:$R,Controle!$H:$H,produtos_escape2!$A1530,Controle!$Z:$Z,"1")</f>
        <v>0</v>
      </c>
      <c r="G1530" s="507">
        <f>SUMIFS(Controle!$R:$R,Controle!$H:$H,produtos_escape2!$A1530,Controle!$Z:$Z,"2")</f>
        <v>700</v>
      </c>
      <c r="H1530" s="507">
        <f>SUMIFS(Controle!$R:$R,Controle!$H:$H,produtos_escape2!$A1530,Controle!$Z:$Z,"3")</f>
        <v>0</v>
      </c>
      <c r="I1530" s="507">
        <f>SUMIFS(Controle!$R:$R,Controle!$H:$H,produtos_escape2!$A1530,Controle!$Z:$Z,"4")</f>
        <v>0</v>
      </c>
      <c r="J1530" s="507">
        <f>SUMIFS(Controle!$R:$R,Controle!$H:$H,produtos_escape2!$A1530,Controle!$Z:$Z,"5")</f>
        <v>0</v>
      </c>
      <c r="K1530" s="507">
        <f>SUMIFS(Controle!$R:$R,Controle!$H:$H,produtos_escape2!$A1530,Controle!$Z:$Z,"6")</f>
        <v>0</v>
      </c>
      <c r="L1530" s="507">
        <f t="shared" si="50"/>
        <v>700</v>
      </c>
      <c r="M1530" s="381" t="s">
        <v>7177</v>
      </c>
      <c r="AF1530" s="84"/>
    </row>
    <row r="1531" spans="1:32" s="185" customFormat="1" ht="14.25" customHeight="1" thickBot="1">
      <c r="A1531" s="353">
        <v>51130</v>
      </c>
      <c r="B1531" s="194" t="s">
        <v>1741</v>
      </c>
      <c r="C1531" s="339">
        <f t="shared" si="52"/>
        <v>50000</v>
      </c>
      <c r="D1531" s="191" t="s">
        <v>624</v>
      </c>
      <c r="E1531" s="189" t="s">
        <v>1739</v>
      </c>
      <c r="F1531" s="507">
        <f>SUMIFS(Controle!$R:$R,Controle!$H:$H,produtos_escape2!$A1531,Controle!$Z:$Z,"1")</f>
        <v>0</v>
      </c>
      <c r="G1531" s="507">
        <f>SUMIFS(Controle!$R:$R,Controle!$H:$H,produtos_escape2!$A1531,Controle!$Z:$Z,"2")</f>
        <v>0</v>
      </c>
      <c r="H1531" s="507">
        <f>SUMIFS(Controle!$R:$R,Controle!$H:$H,produtos_escape2!$A1531,Controle!$Z:$Z,"3")</f>
        <v>0</v>
      </c>
      <c r="I1531" s="507">
        <f>SUMIFS(Controle!$R:$R,Controle!$H:$H,produtos_escape2!$A1531,Controle!$Z:$Z,"4")</f>
        <v>0</v>
      </c>
      <c r="J1531" s="507">
        <f>SUMIFS(Controle!$R:$R,Controle!$H:$H,produtos_escape2!$A1531,Controle!$Z:$Z,"5")</f>
        <v>0</v>
      </c>
      <c r="K1531" s="507">
        <f>SUMIFS(Controle!$R:$R,Controle!$H:$H,produtos_escape2!$A1531,Controle!$Z:$Z,"6")</f>
        <v>0</v>
      </c>
      <c r="L1531" s="507">
        <f t="shared" si="50"/>
        <v>0</v>
      </c>
      <c r="M1531" s="381" t="s">
        <v>5345</v>
      </c>
      <c r="AF1531" s="84"/>
    </row>
    <row r="1532" spans="1:32" s="185" customFormat="1" ht="14.25" customHeight="1" thickBot="1">
      <c r="A1532" s="353">
        <v>51384</v>
      </c>
      <c r="B1532" s="194" t="s">
        <v>8522</v>
      </c>
      <c r="C1532" s="339">
        <f t="shared" si="52"/>
        <v>49825</v>
      </c>
      <c r="D1532" s="191" t="s">
        <v>624</v>
      </c>
      <c r="E1532" s="189" t="s">
        <v>1687</v>
      </c>
      <c r="F1532" s="507">
        <f>SUMIFS(Controle!$R:$R,Controle!$H:$H,produtos_escape2!$A1532,Controle!$Z:$Z,"1")</f>
        <v>0</v>
      </c>
      <c r="G1532" s="507">
        <f>SUMIFS(Controle!$R:$R,Controle!$H:$H,produtos_escape2!$A1532,Controle!$Z:$Z,"2")</f>
        <v>0</v>
      </c>
      <c r="H1532" s="507">
        <f>SUMIFS(Controle!$R:$R,Controle!$H:$H,produtos_escape2!$A1532,Controle!$Z:$Z,"3")</f>
        <v>65</v>
      </c>
      <c r="I1532" s="507">
        <f>SUMIFS(Controle!$R:$R,Controle!$H:$H,produtos_escape2!$A1532,Controle!$Z:$Z,"4")</f>
        <v>110</v>
      </c>
      <c r="J1532" s="507">
        <f>SUMIFS(Controle!$R:$R,Controle!$H:$H,produtos_escape2!$A1532,Controle!$Z:$Z,"5")</f>
        <v>0</v>
      </c>
      <c r="K1532" s="507">
        <f>SUMIFS(Controle!$R:$R,Controle!$H:$H,produtos_escape2!$A1532,Controle!$Z:$Z,"6")</f>
        <v>0</v>
      </c>
      <c r="L1532" s="507">
        <f t="shared" si="50"/>
        <v>175</v>
      </c>
      <c r="M1532" s="381" t="s">
        <v>8523</v>
      </c>
      <c r="AF1532" s="84"/>
    </row>
    <row r="1533" spans="1:32" s="185" customFormat="1" ht="14.25" customHeight="1" thickBot="1">
      <c r="A1533" s="353">
        <v>51453</v>
      </c>
      <c r="B1533" s="194" t="s">
        <v>3015</v>
      </c>
      <c r="C1533" s="339">
        <f t="shared" si="52"/>
        <v>19180</v>
      </c>
      <c r="D1533" s="196" t="s">
        <v>624</v>
      </c>
      <c r="E1533" s="187" t="s">
        <v>7207</v>
      </c>
      <c r="F1533" s="507">
        <f>SUMIFS(Controle!$R:$R,Controle!$H:$H,produtos_escape2!$A1533,Controle!$Z:$Z,"1")</f>
        <v>0</v>
      </c>
      <c r="G1533" s="507">
        <f>SUMIFS(Controle!$R:$R,Controle!$H:$H,produtos_escape2!$A1533,Controle!$Z:$Z,"2")</f>
        <v>0</v>
      </c>
      <c r="H1533" s="507">
        <f>SUMIFS(Controle!$R:$R,Controle!$H:$H,produtos_escape2!$A1533,Controle!$Z:$Z,"3")</f>
        <v>11400</v>
      </c>
      <c r="I1533" s="507">
        <f>SUMIFS(Controle!$R:$R,Controle!$H:$H,produtos_escape2!$A1533,Controle!$Z:$Z,"4")</f>
        <v>2100</v>
      </c>
      <c r="J1533" s="507">
        <f>SUMIFS(Controle!$R:$R,Controle!$H:$H,produtos_escape2!$A1533,Controle!$Z:$Z,"5")</f>
        <v>0</v>
      </c>
      <c r="K1533" s="507">
        <f>SUMIFS(Controle!$R:$R,Controle!$H:$H,produtos_escape2!$A1533,Controle!$Z:$Z,"6")</f>
        <v>17320</v>
      </c>
      <c r="L1533" s="507">
        <f t="shared" si="50"/>
        <v>30820</v>
      </c>
      <c r="M1533" s="381" t="s">
        <v>5346</v>
      </c>
      <c r="AF1533" s="84"/>
    </row>
    <row r="1534" spans="1:32" s="185" customFormat="1" ht="14.25" customHeight="1" thickBot="1">
      <c r="A1534" s="353">
        <v>52018</v>
      </c>
      <c r="B1534" s="194" t="s">
        <v>1503</v>
      </c>
      <c r="C1534" s="339">
        <f t="shared" si="52"/>
        <v>44363</v>
      </c>
      <c r="D1534" s="196" t="s">
        <v>624</v>
      </c>
      <c r="E1534" s="187" t="s">
        <v>3608</v>
      </c>
      <c r="F1534" s="507">
        <f>SUMIFS(Controle!$R:$R,Controle!$H:$H,produtos_escape2!$A1534,Controle!$Z:$Z,"1")</f>
        <v>0</v>
      </c>
      <c r="G1534" s="507">
        <f>SUMIFS(Controle!$R:$R,Controle!$H:$H,produtos_escape2!$A1534,Controle!$Z:$Z,"2")</f>
        <v>5637</v>
      </c>
      <c r="H1534" s="507">
        <f>SUMIFS(Controle!$R:$R,Controle!$H:$H,produtos_escape2!$A1534,Controle!$Z:$Z,"3")</f>
        <v>0</v>
      </c>
      <c r="I1534" s="507">
        <f>SUMIFS(Controle!$R:$R,Controle!$H:$H,produtos_escape2!$A1534,Controle!$Z:$Z,"4")</f>
        <v>0</v>
      </c>
      <c r="J1534" s="507">
        <f>SUMIFS(Controle!$R:$R,Controle!$H:$H,produtos_escape2!$A1534,Controle!$Z:$Z,"5")</f>
        <v>0</v>
      </c>
      <c r="K1534" s="507">
        <f>SUMIFS(Controle!$R:$R,Controle!$H:$H,produtos_escape2!$A1534,Controle!$Z:$Z,"6")</f>
        <v>0</v>
      </c>
      <c r="L1534" s="507">
        <f t="shared" si="50"/>
        <v>5637</v>
      </c>
      <c r="M1534" s="381" t="s">
        <v>1503</v>
      </c>
      <c r="AF1534" s="84"/>
    </row>
    <row r="1535" spans="1:32" s="185" customFormat="1" ht="14.25" customHeight="1" thickBot="1">
      <c r="A1535" s="353">
        <v>52859</v>
      </c>
      <c r="B1535" s="338" t="s">
        <v>744</v>
      </c>
      <c r="C1535" s="339">
        <f t="shared" si="52"/>
        <v>50000</v>
      </c>
      <c r="D1535" s="196" t="s">
        <v>624</v>
      </c>
      <c r="E1535" s="187" t="s">
        <v>1739</v>
      </c>
      <c r="F1535" s="507">
        <f>SUMIFS(Controle!$R:$R,Controle!$H:$H,produtos_escape2!$A1535,Controle!$Z:$Z,"1")</f>
        <v>0</v>
      </c>
      <c r="G1535" s="507">
        <f>SUMIFS(Controle!$R:$R,Controle!$H:$H,produtos_escape2!$A1535,Controle!$Z:$Z,"2")</f>
        <v>0</v>
      </c>
      <c r="H1535" s="507">
        <f>SUMIFS(Controle!$R:$R,Controle!$H:$H,produtos_escape2!$A1535,Controle!$Z:$Z,"3")</f>
        <v>0</v>
      </c>
      <c r="I1535" s="507">
        <f>SUMIFS(Controle!$R:$R,Controle!$H:$H,produtos_escape2!$A1535,Controle!$Z:$Z,"4")</f>
        <v>0</v>
      </c>
      <c r="J1535" s="507">
        <f>SUMIFS(Controle!$R:$R,Controle!$H:$H,produtos_escape2!$A1535,Controle!$Z:$Z,"5")</f>
        <v>0</v>
      </c>
      <c r="K1535" s="507">
        <f>SUMIFS(Controle!$R:$R,Controle!$H:$H,produtos_escape2!$A1535,Controle!$Z:$Z,"6")</f>
        <v>0</v>
      </c>
      <c r="L1535" s="507">
        <f t="shared" ref="L1535:L1598" si="54">SUM(F1535:K1535)</f>
        <v>0</v>
      </c>
      <c r="M1535" s="381" t="s">
        <v>5347</v>
      </c>
      <c r="AF1535" s="84"/>
    </row>
    <row r="1536" spans="1:32" s="185" customFormat="1" ht="14.25" customHeight="1" thickBot="1">
      <c r="A1536" s="353">
        <v>52944</v>
      </c>
      <c r="B1536" s="194" t="s">
        <v>3477</v>
      </c>
      <c r="C1536" s="339">
        <f t="shared" si="52"/>
        <v>50000</v>
      </c>
      <c r="D1536" s="196" t="s">
        <v>848</v>
      </c>
      <c r="E1536" s="187" t="s">
        <v>1739</v>
      </c>
      <c r="F1536" s="507">
        <f>SUMIFS(Controle!$R:$R,Controle!$H:$H,produtos_escape2!$A1536,Controle!$Z:$Z,"1")</f>
        <v>0</v>
      </c>
      <c r="G1536" s="507">
        <f>SUMIFS(Controle!$R:$R,Controle!$H:$H,produtos_escape2!$A1536,Controle!$Z:$Z,"2")</f>
        <v>0</v>
      </c>
      <c r="H1536" s="507">
        <f>SUMIFS(Controle!$R:$R,Controle!$H:$H,produtos_escape2!$A1536,Controle!$Z:$Z,"3")</f>
        <v>0</v>
      </c>
      <c r="I1536" s="507">
        <f>SUMIFS(Controle!$R:$R,Controle!$H:$H,produtos_escape2!$A1536,Controle!$Z:$Z,"4")</f>
        <v>0</v>
      </c>
      <c r="J1536" s="507">
        <f>SUMIFS(Controle!$R:$R,Controle!$H:$H,produtos_escape2!$A1536,Controle!$Z:$Z,"5")</f>
        <v>0</v>
      </c>
      <c r="K1536" s="507">
        <f>SUMIFS(Controle!$R:$R,Controle!$H:$H,produtos_escape2!$A1536,Controle!$Z:$Z,"6")</f>
        <v>0</v>
      </c>
      <c r="L1536" s="507">
        <f t="shared" si="54"/>
        <v>0</v>
      </c>
      <c r="M1536" s="381" t="s">
        <v>4799</v>
      </c>
      <c r="AF1536" s="84"/>
    </row>
    <row r="1537" spans="1:32" s="185" customFormat="1" ht="14.25" customHeight="1" thickBot="1">
      <c r="A1537" s="353">
        <v>52990</v>
      </c>
      <c r="B1537" s="194" t="s">
        <v>8331</v>
      </c>
      <c r="C1537" s="339">
        <f t="shared" si="52"/>
        <v>49758</v>
      </c>
      <c r="D1537" s="196" t="s">
        <v>624</v>
      </c>
      <c r="E1537" s="187" t="s">
        <v>7207</v>
      </c>
      <c r="F1537" s="507">
        <f>SUMIFS(Controle!$R:$R,Controle!$H:$H,produtos_escape2!$A1537,Controle!$Z:$Z,"1")</f>
        <v>0</v>
      </c>
      <c r="G1537" s="507">
        <f>SUMIFS(Controle!$R:$R,Controle!$H:$H,produtos_escape2!$A1537,Controle!$Z:$Z,"2")</f>
        <v>0</v>
      </c>
      <c r="H1537" s="507">
        <f>SUMIFS(Controle!$R:$R,Controle!$H:$H,produtos_escape2!$A1537,Controle!$Z:$Z,"3")</f>
        <v>242</v>
      </c>
      <c r="I1537" s="507">
        <f>SUMIFS(Controle!$R:$R,Controle!$H:$H,produtos_escape2!$A1537,Controle!$Z:$Z,"4")</f>
        <v>0</v>
      </c>
      <c r="J1537" s="507">
        <f>SUMIFS(Controle!$R:$R,Controle!$H:$H,produtos_escape2!$A1537,Controle!$Z:$Z,"5")</f>
        <v>0</v>
      </c>
      <c r="K1537" s="507">
        <f>SUMIFS(Controle!$R:$R,Controle!$H:$H,produtos_escape2!$A1537,Controle!$Z:$Z,"6")</f>
        <v>0</v>
      </c>
      <c r="L1537" s="507">
        <f t="shared" si="54"/>
        <v>242</v>
      </c>
      <c r="M1537" s="381" t="s">
        <v>8332</v>
      </c>
      <c r="AF1537" s="84"/>
    </row>
    <row r="1538" spans="1:32" s="185" customFormat="1" ht="14.25" customHeight="1" thickBot="1">
      <c r="A1538" s="333">
        <v>53092</v>
      </c>
      <c r="B1538" s="194" t="s">
        <v>988</v>
      </c>
      <c r="C1538" s="339">
        <f t="shared" si="52"/>
        <v>50000</v>
      </c>
      <c r="D1538" s="196" t="s">
        <v>624</v>
      </c>
      <c r="E1538" s="187" t="s">
        <v>1739</v>
      </c>
      <c r="F1538" s="507">
        <f>SUMIFS(Controle!$R:$R,Controle!$H:$H,produtos_escape2!$A1538,Controle!$Z:$Z,"1")</f>
        <v>0</v>
      </c>
      <c r="G1538" s="507">
        <f>SUMIFS(Controle!$R:$R,Controle!$H:$H,produtos_escape2!$A1538,Controle!$Z:$Z,"2")</f>
        <v>0</v>
      </c>
      <c r="H1538" s="507">
        <f>SUMIFS(Controle!$R:$R,Controle!$H:$H,produtos_escape2!$A1538,Controle!$Z:$Z,"3")</f>
        <v>0</v>
      </c>
      <c r="I1538" s="507">
        <f>SUMIFS(Controle!$R:$R,Controle!$H:$H,produtos_escape2!$A1538,Controle!$Z:$Z,"4")</f>
        <v>0</v>
      </c>
      <c r="J1538" s="507">
        <f>SUMIFS(Controle!$R:$R,Controle!$H:$H,produtos_escape2!$A1538,Controle!$Z:$Z,"5")</f>
        <v>0</v>
      </c>
      <c r="K1538" s="507">
        <f>SUMIFS(Controle!$R:$R,Controle!$H:$H,produtos_escape2!$A1538,Controle!$Z:$Z,"6")</f>
        <v>0</v>
      </c>
      <c r="L1538" s="507">
        <f t="shared" si="54"/>
        <v>0</v>
      </c>
      <c r="M1538" s="381" t="s">
        <v>5348</v>
      </c>
      <c r="AF1538" s="84"/>
    </row>
    <row r="1539" spans="1:32" s="185" customFormat="1" ht="14.25" customHeight="1" thickBot="1">
      <c r="A1539" s="353">
        <v>53099</v>
      </c>
      <c r="B1539" s="194" t="s">
        <v>993</v>
      </c>
      <c r="C1539" s="339">
        <f t="shared" si="52"/>
        <v>50000</v>
      </c>
      <c r="D1539" s="196" t="s">
        <v>624</v>
      </c>
      <c r="E1539" s="187" t="s">
        <v>1739</v>
      </c>
      <c r="F1539" s="507">
        <f>SUMIFS(Controle!$R:$R,Controle!$H:$H,produtos_escape2!$A1539,Controle!$Z:$Z,"1")</f>
        <v>0</v>
      </c>
      <c r="G1539" s="507">
        <f>SUMIFS(Controle!$R:$R,Controle!$H:$H,produtos_escape2!$A1539,Controle!$Z:$Z,"2")</f>
        <v>0</v>
      </c>
      <c r="H1539" s="507">
        <f>SUMIFS(Controle!$R:$R,Controle!$H:$H,produtos_escape2!$A1539,Controle!$Z:$Z,"3")</f>
        <v>0</v>
      </c>
      <c r="I1539" s="507">
        <f>SUMIFS(Controle!$R:$R,Controle!$H:$H,produtos_escape2!$A1539,Controle!$Z:$Z,"4")</f>
        <v>0</v>
      </c>
      <c r="J1539" s="507">
        <f>SUMIFS(Controle!$R:$R,Controle!$H:$H,produtos_escape2!$A1539,Controle!$Z:$Z,"5")</f>
        <v>0</v>
      </c>
      <c r="K1539" s="507">
        <f>SUMIFS(Controle!$R:$R,Controle!$H:$H,produtos_escape2!$A1539,Controle!$Z:$Z,"6")</f>
        <v>0</v>
      </c>
      <c r="L1539" s="507">
        <f t="shared" si="54"/>
        <v>0</v>
      </c>
      <c r="M1539" s="381" t="s">
        <v>5349</v>
      </c>
      <c r="AF1539" s="84"/>
    </row>
    <row r="1540" spans="1:32" s="185" customFormat="1" ht="14.25" customHeight="1" thickBot="1">
      <c r="A1540" s="353">
        <v>53315</v>
      </c>
      <c r="B1540" s="194" t="s">
        <v>2668</v>
      </c>
      <c r="C1540" s="339">
        <f t="shared" si="52"/>
        <v>50000</v>
      </c>
      <c r="D1540" s="196" t="s">
        <v>624</v>
      </c>
      <c r="E1540" s="187" t="s">
        <v>7207</v>
      </c>
      <c r="F1540" s="507">
        <f>SUMIFS(Controle!$R:$R,Controle!$H:$H,produtos_escape2!$A1540,Controle!$Z:$Z,"1")</f>
        <v>0</v>
      </c>
      <c r="G1540" s="507">
        <f>SUMIFS(Controle!$R:$R,Controle!$H:$H,produtos_escape2!$A1540,Controle!$Z:$Z,"2")</f>
        <v>0</v>
      </c>
      <c r="H1540" s="507">
        <f>SUMIFS(Controle!$R:$R,Controle!$H:$H,produtos_escape2!$A1540,Controle!$Z:$Z,"3")</f>
        <v>0</v>
      </c>
      <c r="I1540" s="507">
        <f>SUMIFS(Controle!$R:$R,Controle!$H:$H,produtos_escape2!$A1540,Controle!$Z:$Z,"4")</f>
        <v>0</v>
      </c>
      <c r="J1540" s="507">
        <f>SUMIFS(Controle!$R:$R,Controle!$H:$H,produtos_escape2!$A1540,Controle!$Z:$Z,"5")</f>
        <v>0</v>
      </c>
      <c r="K1540" s="507">
        <f>SUMIFS(Controle!$R:$R,Controle!$H:$H,produtos_escape2!$A1540,Controle!$Z:$Z,"6")</f>
        <v>0</v>
      </c>
      <c r="L1540" s="507">
        <f t="shared" si="54"/>
        <v>0</v>
      </c>
      <c r="M1540" s="381" t="s">
        <v>5350</v>
      </c>
      <c r="AF1540" s="84"/>
    </row>
    <row r="1541" spans="1:32" s="185" customFormat="1" ht="14.25" customHeight="1" thickBot="1">
      <c r="A1541" s="353">
        <v>53317</v>
      </c>
      <c r="B1541" s="194" t="s">
        <v>2669</v>
      </c>
      <c r="C1541" s="339">
        <f t="shared" si="52"/>
        <v>50000</v>
      </c>
      <c r="D1541" s="196" t="s">
        <v>624</v>
      </c>
      <c r="E1541" s="187" t="s">
        <v>7207</v>
      </c>
      <c r="F1541" s="507">
        <f>SUMIFS(Controle!$R:$R,Controle!$H:$H,produtos_escape2!$A1541,Controle!$Z:$Z,"1")</f>
        <v>0</v>
      </c>
      <c r="G1541" s="507">
        <f>SUMIFS(Controle!$R:$R,Controle!$H:$H,produtos_escape2!$A1541,Controle!$Z:$Z,"2")</f>
        <v>0</v>
      </c>
      <c r="H1541" s="507">
        <f>SUMIFS(Controle!$R:$R,Controle!$H:$H,produtos_escape2!$A1541,Controle!$Z:$Z,"3")</f>
        <v>0</v>
      </c>
      <c r="I1541" s="507">
        <f>SUMIFS(Controle!$R:$R,Controle!$H:$H,produtos_escape2!$A1541,Controle!$Z:$Z,"4")</f>
        <v>0</v>
      </c>
      <c r="J1541" s="507">
        <f>SUMIFS(Controle!$R:$R,Controle!$H:$H,produtos_escape2!$A1541,Controle!$Z:$Z,"5")</f>
        <v>0</v>
      </c>
      <c r="K1541" s="507">
        <f>SUMIFS(Controle!$R:$R,Controle!$H:$H,produtos_escape2!$A1541,Controle!$Z:$Z,"6")</f>
        <v>0</v>
      </c>
      <c r="L1541" s="507">
        <f t="shared" si="54"/>
        <v>0</v>
      </c>
      <c r="M1541" s="381" t="s">
        <v>5351</v>
      </c>
      <c r="AF1541" s="84"/>
    </row>
    <row r="1542" spans="1:32" s="185" customFormat="1" ht="14.25" customHeight="1" thickBot="1">
      <c r="A1542" s="353">
        <v>53388</v>
      </c>
      <c r="B1542" s="194" t="s">
        <v>836</v>
      </c>
      <c r="C1542" s="339">
        <f t="shared" si="52"/>
        <v>50000</v>
      </c>
      <c r="D1542" s="196" t="s">
        <v>837</v>
      </c>
      <c r="E1542" s="187" t="s">
        <v>1739</v>
      </c>
      <c r="F1542" s="507">
        <f>SUMIFS(Controle!$R:$R,Controle!$H:$H,produtos_escape2!$A1542,Controle!$Z:$Z,"1")</f>
        <v>0</v>
      </c>
      <c r="G1542" s="507">
        <f>SUMIFS(Controle!$R:$R,Controle!$H:$H,produtos_escape2!$A1542,Controle!$Z:$Z,"2")</f>
        <v>0</v>
      </c>
      <c r="H1542" s="507">
        <f>SUMIFS(Controle!$R:$R,Controle!$H:$H,produtos_escape2!$A1542,Controle!$Z:$Z,"3")</f>
        <v>0</v>
      </c>
      <c r="I1542" s="507">
        <f>SUMIFS(Controle!$R:$R,Controle!$H:$H,produtos_escape2!$A1542,Controle!$Z:$Z,"4")</f>
        <v>0</v>
      </c>
      <c r="J1542" s="507">
        <f>SUMIFS(Controle!$R:$R,Controle!$H:$H,produtos_escape2!$A1542,Controle!$Z:$Z,"5")</f>
        <v>0</v>
      </c>
      <c r="K1542" s="507">
        <f>SUMIFS(Controle!$R:$R,Controle!$H:$H,produtos_escape2!$A1542,Controle!$Z:$Z,"6")</f>
        <v>0</v>
      </c>
      <c r="L1542" s="507">
        <f t="shared" si="54"/>
        <v>0</v>
      </c>
      <c r="M1542" s="381" t="s">
        <v>5352</v>
      </c>
      <c r="AF1542" s="84"/>
    </row>
    <row r="1543" spans="1:32" s="185" customFormat="1" ht="14.25" customHeight="1" thickBot="1">
      <c r="A1543" s="353">
        <v>53520</v>
      </c>
      <c r="B1543" s="194" t="s">
        <v>745</v>
      </c>
      <c r="C1543" s="339">
        <f t="shared" si="52"/>
        <v>50000</v>
      </c>
      <c r="D1543" s="196" t="s">
        <v>624</v>
      </c>
      <c r="E1543" s="187" t="s">
        <v>1739</v>
      </c>
      <c r="F1543" s="507">
        <f>SUMIFS(Controle!$R:$R,Controle!$H:$H,produtos_escape2!$A1543,Controle!$Z:$Z,"1")</f>
        <v>0</v>
      </c>
      <c r="G1543" s="507">
        <f>SUMIFS(Controle!$R:$R,Controle!$H:$H,produtos_escape2!$A1543,Controle!$Z:$Z,"2")</f>
        <v>0</v>
      </c>
      <c r="H1543" s="507">
        <f>SUMIFS(Controle!$R:$R,Controle!$H:$H,produtos_escape2!$A1543,Controle!$Z:$Z,"3")</f>
        <v>0</v>
      </c>
      <c r="I1543" s="507">
        <f>SUMIFS(Controle!$R:$R,Controle!$H:$H,produtos_escape2!$A1543,Controle!$Z:$Z,"4")</f>
        <v>0</v>
      </c>
      <c r="J1543" s="507">
        <f>SUMIFS(Controle!$R:$R,Controle!$H:$H,produtos_escape2!$A1543,Controle!$Z:$Z,"5")</f>
        <v>0</v>
      </c>
      <c r="K1543" s="507">
        <f>SUMIFS(Controle!$R:$R,Controle!$H:$H,produtos_escape2!$A1543,Controle!$Z:$Z,"6")</f>
        <v>0</v>
      </c>
      <c r="L1543" s="507">
        <f t="shared" si="54"/>
        <v>0</v>
      </c>
      <c r="M1543" s="381" t="s">
        <v>5353</v>
      </c>
      <c r="AF1543" s="84"/>
    </row>
    <row r="1544" spans="1:32" s="185" customFormat="1" ht="14.25" customHeight="1" thickBot="1">
      <c r="A1544" s="353">
        <v>53925</v>
      </c>
      <c r="B1544" s="338" t="s">
        <v>2670</v>
      </c>
      <c r="C1544" s="339">
        <f t="shared" ref="C1544:C1607" si="55">50000-SUM(F1544:K1544)</f>
        <v>50000</v>
      </c>
      <c r="D1544" s="196" t="s">
        <v>624</v>
      </c>
      <c r="E1544" s="187" t="s">
        <v>7207</v>
      </c>
      <c r="F1544" s="507">
        <f>SUMIFS(Controle!$R:$R,Controle!$H:$H,produtos_escape2!$A1544,Controle!$Z:$Z,"1")</f>
        <v>0</v>
      </c>
      <c r="G1544" s="507">
        <f>SUMIFS(Controle!$R:$R,Controle!$H:$H,produtos_escape2!$A1544,Controle!$Z:$Z,"2")</f>
        <v>0</v>
      </c>
      <c r="H1544" s="507">
        <f>SUMIFS(Controle!$R:$R,Controle!$H:$H,produtos_escape2!$A1544,Controle!$Z:$Z,"3")</f>
        <v>0</v>
      </c>
      <c r="I1544" s="507">
        <f>SUMIFS(Controle!$R:$R,Controle!$H:$H,produtos_escape2!$A1544,Controle!$Z:$Z,"4")</f>
        <v>0</v>
      </c>
      <c r="J1544" s="507">
        <f>SUMIFS(Controle!$R:$R,Controle!$H:$H,produtos_escape2!$A1544,Controle!$Z:$Z,"5")</f>
        <v>0</v>
      </c>
      <c r="K1544" s="507">
        <f>SUMIFS(Controle!$R:$R,Controle!$H:$H,produtos_escape2!$A1544,Controle!$Z:$Z,"6")</f>
        <v>0</v>
      </c>
      <c r="L1544" s="507">
        <f t="shared" si="54"/>
        <v>0</v>
      </c>
      <c r="M1544" s="381" t="s">
        <v>5354</v>
      </c>
      <c r="AF1544" s="84"/>
    </row>
    <row r="1545" spans="1:32" s="185" customFormat="1" ht="14.25" customHeight="1" thickBot="1">
      <c r="A1545" s="353">
        <v>58285</v>
      </c>
      <c r="B1545" s="194" t="s">
        <v>10004</v>
      </c>
      <c r="C1545" s="339">
        <f t="shared" si="55"/>
        <v>28720</v>
      </c>
      <c r="D1545" s="196" t="s">
        <v>624</v>
      </c>
      <c r="E1545" s="187" t="s">
        <v>7207</v>
      </c>
      <c r="F1545" s="507">
        <f>SUMIFS(Controle!$R:$R,Controle!$H:$H,produtos_escape2!$A1545,Controle!$Z:$Z,"1")</f>
        <v>0</v>
      </c>
      <c r="G1545" s="507">
        <f>SUMIFS(Controle!$R:$R,Controle!$H:$H,produtos_escape2!$A1545,Controle!$Z:$Z,"2")</f>
        <v>9680</v>
      </c>
      <c r="H1545" s="507">
        <f>SUMIFS(Controle!$R:$R,Controle!$H:$H,produtos_escape2!$A1545,Controle!$Z:$Z,"3")</f>
        <v>0</v>
      </c>
      <c r="I1545" s="507">
        <f>SUMIFS(Controle!$R:$R,Controle!$H:$H,produtos_escape2!$A1545,Controle!$Z:$Z,"4")</f>
        <v>0</v>
      </c>
      <c r="J1545" s="507">
        <f>SUMIFS(Controle!$R:$R,Controle!$H:$H,produtos_escape2!$A1545,Controle!$Z:$Z,"5")</f>
        <v>0</v>
      </c>
      <c r="K1545" s="507">
        <f>SUMIFS(Controle!$R:$R,Controle!$H:$H,produtos_escape2!$A1545,Controle!$Z:$Z,"6")</f>
        <v>11600</v>
      </c>
      <c r="L1545" s="507">
        <f t="shared" si="54"/>
        <v>21280</v>
      </c>
      <c r="M1545" s="381" t="s">
        <v>5145</v>
      </c>
      <c r="AF1545" s="84"/>
    </row>
    <row r="1546" spans="1:32" s="185" customFormat="1" ht="14.25" customHeight="1" thickBot="1">
      <c r="A1546" s="333">
        <v>58322</v>
      </c>
      <c r="B1546" s="194" t="s">
        <v>199</v>
      </c>
      <c r="C1546" s="339">
        <f t="shared" si="55"/>
        <v>50000</v>
      </c>
      <c r="D1546" s="196" t="s">
        <v>624</v>
      </c>
      <c r="E1546" s="187" t="s">
        <v>1739</v>
      </c>
      <c r="F1546" s="507">
        <f>SUMIFS(Controle!$R:$R,Controle!$H:$H,produtos_escape2!$A1546,Controle!$Z:$Z,"1")</f>
        <v>0</v>
      </c>
      <c r="G1546" s="507">
        <f>SUMIFS(Controle!$R:$R,Controle!$H:$H,produtos_escape2!$A1546,Controle!$Z:$Z,"2")</f>
        <v>0</v>
      </c>
      <c r="H1546" s="507">
        <f>SUMIFS(Controle!$R:$R,Controle!$H:$H,produtos_escape2!$A1546,Controle!$Z:$Z,"3")</f>
        <v>0</v>
      </c>
      <c r="I1546" s="507">
        <f>SUMIFS(Controle!$R:$R,Controle!$H:$H,produtos_escape2!$A1546,Controle!$Z:$Z,"4")</f>
        <v>0</v>
      </c>
      <c r="J1546" s="507">
        <f>SUMIFS(Controle!$R:$R,Controle!$H:$H,produtos_escape2!$A1546,Controle!$Z:$Z,"5")</f>
        <v>0</v>
      </c>
      <c r="K1546" s="507">
        <f>SUMIFS(Controle!$R:$R,Controle!$H:$H,produtos_escape2!$A1546,Controle!$Z:$Z,"6")</f>
        <v>0</v>
      </c>
      <c r="L1546" s="507">
        <f t="shared" si="54"/>
        <v>0</v>
      </c>
      <c r="M1546" s="381" t="s">
        <v>199</v>
      </c>
      <c r="AF1546" s="84"/>
    </row>
    <row r="1547" spans="1:32" s="185" customFormat="1" ht="14.25" customHeight="1" thickBot="1">
      <c r="A1547" s="353">
        <v>58408</v>
      </c>
      <c r="B1547" s="194" t="s">
        <v>42</v>
      </c>
      <c r="C1547" s="339">
        <f t="shared" si="55"/>
        <v>50000</v>
      </c>
      <c r="D1547" s="196" t="s">
        <v>624</v>
      </c>
      <c r="E1547" s="187" t="s">
        <v>1739</v>
      </c>
      <c r="F1547" s="507">
        <f>SUMIFS(Controle!$R:$R,Controle!$H:$H,produtos_escape2!$A1547,Controle!$Z:$Z,"1")</f>
        <v>0</v>
      </c>
      <c r="G1547" s="507">
        <f>SUMIFS(Controle!$R:$R,Controle!$H:$H,produtos_escape2!$A1547,Controle!$Z:$Z,"2")</f>
        <v>0</v>
      </c>
      <c r="H1547" s="507">
        <f>SUMIFS(Controle!$R:$R,Controle!$H:$H,produtos_escape2!$A1547,Controle!$Z:$Z,"3")</f>
        <v>0</v>
      </c>
      <c r="I1547" s="507">
        <f>SUMIFS(Controle!$R:$R,Controle!$H:$H,produtos_escape2!$A1547,Controle!$Z:$Z,"4")</f>
        <v>0</v>
      </c>
      <c r="J1547" s="507">
        <f>SUMIFS(Controle!$R:$R,Controle!$H:$H,produtos_escape2!$A1547,Controle!$Z:$Z,"5")</f>
        <v>0</v>
      </c>
      <c r="K1547" s="507">
        <f>SUMIFS(Controle!$R:$R,Controle!$H:$H,produtos_escape2!$A1547,Controle!$Z:$Z,"6")</f>
        <v>0</v>
      </c>
      <c r="L1547" s="507">
        <f t="shared" si="54"/>
        <v>0</v>
      </c>
      <c r="M1547" s="381" t="s">
        <v>42</v>
      </c>
      <c r="AF1547" s="84"/>
    </row>
    <row r="1548" spans="1:32" s="185" customFormat="1" ht="14.25" customHeight="1" thickBot="1">
      <c r="A1548" s="353">
        <v>58742</v>
      </c>
      <c r="B1548" s="194" t="s">
        <v>2671</v>
      </c>
      <c r="C1548" s="339">
        <f t="shared" si="55"/>
        <v>50000</v>
      </c>
      <c r="D1548" s="196" t="s">
        <v>624</v>
      </c>
      <c r="E1548" s="187" t="s">
        <v>7207</v>
      </c>
      <c r="F1548" s="507">
        <f>SUMIFS(Controle!$R:$R,Controle!$H:$H,produtos_escape2!$A1548,Controle!$Z:$Z,"1")</f>
        <v>0</v>
      </c>
      <c r="G1548" s="507">
        <f>SUMIFS(Controle!$R:$R,Controle!$H:$H,produtos_escape2!$A1548,Controle!$Z:$Z,"2")</f>
        <v>0</v>
      </c>
      <c r="H1548" s="507">
        <f>SUMIFS(Controle!$R:$R,Controle!$H:$H,produtos_escape2!$A1548,Controle!$Z:$Z,"3")</f>
        <v>0</v>
      </c>
      <c r="I1548" s="507">
        <f>SUMIFS(Controle!$R:$R,Controle!$H:$H,produtos_escape2!$A1548,Controle!$Z:$Z,"4")</f>
        <v>0</v>
      </c>
      <c r="J1548" s="507">
        <f>SUMIFS(Controle!$R:$R,Controle!$H:$H,produtos_escape2!$A1548,Controle!$Z:$Z,"5")</f>
        <v>0</v>
      </c>
      <c r="K1548" s="507">
        <f>SUMIFS(Controle!$R:$R,Controle!$H:$H,produtos_escape2!$A1548,Controle!$Z:$Z,"6")</f>
        <v>0</v>
      </c>
      <c r="L1548" s="507">
        <f t="shared" si="54"/>
        <v>0</v>
      </c>
      <c r="M1548" s="381" t="s">
        <v>4909</v>
      </c>
      <c r="AF1548" s="84"/>
    </row>
    <row r="1549" spans="1:32" s="185" customFormat="1" ht="14.25" customHeight="1" thickBot="1">
      <c r="A1549" s="353">
        <v>61046</v>
      </c>
      <c r="B1549" s="194" t="s">
        <v>1434</v>
      </c>
      <c r="C1549" s="339">
        <f t="shared" si="55"/>
        <v>50000</v>
      </c>
      <c r="D1549" s="196" t="s">
        <v>548</v>
      </c>
      <c r="E1549" s="187" t="s">
        <v>3608</v>
      </c>
      <c r="F1549" s="507">
        <f>SUMIFS(Controle!$R:$R,Controle!$H:$H,produtos_escape2!$A1549,Controle!$Z:$Z,"1")</f>
        <v>0</v>
      </c>
      <c r="G1549" s="507">
        <f>SUMIFS(Controle!$R:$R,Controle!$H:$H,produtos_escape2!$A1549,Controle!$Z:$Z,"2")</f>
        <v>0</v>
      </c>
      <c r="H1549" s="507">
        <f>SUMIFS(Controle!$R:$R,Controle!$H:$H,produtos_escape2!$A1549,Controle!$Z:$Z,"3")</f>
        <v>0</v>
      </c>
      <c r="I1549" s="507">
        <f>SUMIFS(Controle!$R:$R,Controle!$H:$H,produtos_escape2!$A1549,Controle!$Z:$Z,"4")</f>
        <v>0</v>
      </c>
      <c r="J1549" s="507">
        <f>SUMIFS(Controle!$R:$R,Controle!$H:$H,produtos_escape2!$A1549,Controle!$Z:$Z,"5")</f>
        <v>0</v>
      </c>
      <c r="K1549" s="507">
        <f>SUMIFS(Controle!$R:$R,Controle!$H:$H,produtos_escape2!$A1549,Controle!$Z:$Z,"6")</f>
        <v>0</v>
      </c>
      <c r="L1549" s="507">
        <f t="shared" si="54"/>
        <v>0</v>
      </c>
      <c r="M1549" s="381" t="s">
        <v>5224</v>
      </c>
      <c r="AF1549" s="84"/>
    </row>
    <row r="1550" spans="1:32" s="185" customFormat="1" ht="14.25" customHeight="1" thickBot="1">
      <c r="A1550" s="353">
        <v>62883</v>
      </c>
      <c r="B1550" s="194" t="s">
        <v>1041</v>
      </c>
      <c r="C1550" s="339">
        <f t="shared" si="55"/>
        <v>50000</v>
      </c>
      <c r="D1550" s="196" t="s">
        <v>624</v>
      </c>
      <c r="E1550" s="187" t="s">
        <v>7207</v>
      </c>
      <c r="F1550" s="507">
        <f>SUMIFS(Controle!$R:$R,Controle!$H:$H,produtos_escape2!$A1550,Controle!$Z:$Z,"1")</f>
        <v>0</v>
      </c>
      <c r="G1550" s="507">
        <f>SUMIFS(Controle!$R:$R,Controle!$H:$H,produtos_escape2!$A1550,Controle!$Z:$Z,"2")</f>
        <v>0</v>
      </c>
      <c r="H1550" s="507">
        <f>SUMIFS(Controle!$R:$R,Controle!$H:$H,produtos_escape2!$A1550,Controle!$Z:$Z,"3")</f>
        <v>0</v>
      </c>
      <c r="I1550" s="507">
        <f>SUMIFS(Controle!$R:$R,Controle!$H:$H,produtos_escape2!$A1550,Controle!$Z:$Z,"4")</f>
        <v>0</v>
      </c>
      <c r="J1550" s="507">
        <f>SUMIFS(Controle!$R:$R,Controle!$H:$H,produtos_escape2!$A1550,Controle!$Z:$Z,"5")</f>
        <v>0</v>
      </c>
      <c r="K1550" s="507">
        <f>SUMIFS(Controle!$R:$R,Controle!$H:$H,produtos_escape2!$A1550,Controle!$Z:$Z,"6")</f>
        <v>0</v>
      </c>
      <c r="L1550" s="507">
        <f t="shared" si="54"/>
        <v>0</v>
      </c>
      <c r="M1550" s="381" t="s">
        <v>5355</v>
      </c>
      <c r="AF1550" s="84"/>
    </row>
    <row r="1551" spans="1:32" s="185" customFormat="1" ht="14.25" customHeight="1" thickBot="1">
      <c r="A1551" s="353">
        <v>62934</v>
      </c>
      <c r="B1551" s="194" t="s">
        <v>746</v>
      </c>
      <c r="C1551" s="339">
        <f t="shared" si="55"/>
        <v>50000</v>
      </c>
      <c r="D1551" s="196" t="s">
        <v>747</v>
      </c>
      <c r="E1551" s="187" t="s">
        <v>7207</v>
      </c>
      <c r="F1551" s="507">
        <f>SUMIFS(Controle!$R:$R,Controle!$H:$H,produtos_escape2!$A1551,Controle!$Z:$Z,"1")</f>
        <v>0</v>
      </c>
      <c r="G1551" s="507">
        <f>SUMIFS(Controle!$R:$R,Controle!$H:$H,produtos_escape2!$A1551,Controle!$Z:$Z,"2")</f>
        <v>0</v>
      </c>
      <c r="H1551" s="507">
        <f>SUMIFS(Controle!$R:$R,Controle!$H:$H,produtos_escape2!$A1551,Controle!$Z:$Z,"3")</f>
        <v>0</v>
      </c>
      <c r="I1551" s="507">
        <f>SUMIFS(Controle!$R:$R,Controle!$H:$H,produtos_escape2!$A1551,Controle!$Z:$Z,"4")</f>
        <v>0</v>
      </c>
      <c r="J1551" s="507">
        <f>SUMIFS(Controle!$R:$R,Controle!$H:$H,produtos_escape2!$A1551,Controle!$Z:$Z,"5")</f>
        <v>0</v>
      </c>
      <c r="K1551" s="507">
        <f>SUMIFS(Controle!$R:$R,Controle!$H:$H,produtos_escape2!$A1551,Controle!$Z:$Z,"6")</f>
        <v>0</v>
      </c>
      <c r="L1551" s="507">
        <f t="shared" si="54"/>
        <v>0</v>
      </c>
      <c r="M1551" s="381" t="s">
        <v>5356</v>
      </c>
      <c r="AF1551" s="84"/>
    </row>
    <row r="1552" spans="1:32" s="185" customFormat="1" ht="14.25" customHeight="1" thickBot="1">
      <c r="A1552" s="353">
        <v>63074</v>
      </c>
      <c r="B1552" s="338" t="s">
        <v>260</v>
      </c>
      <c r="C1552" s="339">
        <f t="shared" si="55"/>
        <v>50000</v>
      </c>
      <c r="D1552" s="196"/>
      <c r="E1552" s="187"/>
      <c r="F1552" s="507">
        <f>SUMIFS(Controle!$R:$R,Controle!$H:$H,produtos_escape2!$A1552,Controle!$Z:$Z,"1")</f>
        <v>0</v>
      </c>
      <c r="G1552" s="507">
        <f>SUMIFS(Controle!$R:$R,Controle!$H:$H,produtos_escape2!$A1552,Controle!$Z:$Z,"2")</f>
        <v>0</v>
      </c>
      <c r="H1552" s="507">
        <f>SUMIFS(Controle!$R:$R,Controle!$H:$H,produtos_escape2!$A1552,Controle!$Z:$Z,"3")</f>
        <v>0</v>
      </c>
      <c r="I1552" s="507">
        <f>SUMIFS(Controle!$R:$R,Controle!$H:$H,produtos_escape2!$A1552,Controle!$Z:$Z,"4")</f>
        <v>0</v>
      </c>
      <c r="J1552" s="507">
        <f>SUMIFS(Controle!$R:$R,Controle!$H:$H,produtos_escape2!$A1552,Controle!$Z:$Z,"5")</f>
        <v>0</v>
      </c>
      <c r="K1552" s="507">
        <f>SUMIFS(Controle!$R:$R,Controle!$H:$H,produtos_escape2!$A1552,Controle!$Z:$Z,"6")</f>
        <v>0</v>
      </c>
      <c r="L1552" s="507">
        <f t="shared" si="54"/>
        <v>0</v>
      </c>
      <c r="M1552" s="381" t="s">
        <v>260</v>
      </c>
      <c r="AF1552" s="84"/>
    </row>
    <row r="1553" spans="1:32" s="185" customFormat="1" ht="14.25" customHeight="1" thickBot="1">
      <c r="A1553" s="353">
        <v>63075</v>
      </c>
      <c r="B1553" s="194" t="s">
        <v>262</v>
      </c>
      <c r="C1553" s="339">
        <f t="shared" si="55"/>
        <v>50000</v>
      </c>
      <c r="D1553" s="196"/>
      <c r="E1553" s="187"/>
      <c r="F1553" s="507">
        <f>SUMIFS(Controle!$R:$R,Controle!$H:$H,produtos_escape2!$A1553,Controle!$Z:$Z,"1")</f>
        <v>0</v>
      </c>
      <c r="G1553" s="507">
        <f>SUMIFS(Controle!$R:$R,Controle!$H:$H,produtos_escape2!$A1553,Controle!$Z:$Z,"2")</f>
        <v>0</v>
      </c>
      <c r="H1553" s="507">
        <f>SUMIFS(Controle!$R:$R,Controle!$H:$H,produtos_escape2!$A1553,Controle!$Z:$Z,"3")</f>
        <v>0</v>
      </c>
      <c r="I1553" s="507">
        <f>SUMIFS(Controle!$R:$R,Controle!$H:$H,produtos_escape2!$A1553,Controle!$Z:$Z,"4")</f>
        <v>0</v>
      </c>
      <c r="J1553" s="507">
        <f>SUMIFS(Controle!$R:$R,Controle!$H:$H,produtos_escape2!$A1553,Controle!$Z:$Z,"5")</f>
        <v>0</v>
      </c>
      <c r="K1553" s="507">
        <f>SUMIFS(Controle!$R:$R,Controle!$H:$H,produtos_escape2!$A1553,Controle!$Z:$Z,"6")</f>
        <v>0</v>
      </c>
      <c r="L1553" s="507">
        <f t="shared" si="54"/>
        <v>0</v>
      </c>
      <c r="M1553" s="381" t="s">
        <v>262</v>
      </c>
      <c r="AF1553" s="84"/>
    </row>
    <row r="1554" spans="1:32" s="185" customFormat="1" ht="15" customHeight="1" thickBot="1">
      <c r="A1554" s="333">
        <v>63149</v>
      </c>
      <c r="B1554" s="194" t="s">
        <v>2672</v>
      </c>
      <c r="C1554" s="339">
        <f t="shared" si="55"/>
        <v>50000</v>
      </c>
      <c r="D1554" s="196" t="s">
        <v>624</v>
      </c>
      <c r="E1554" s="187" t="s">
        <v>7207</v>
      </c>
      <c r="F1554" s="507">
        <f>SUMIFS(Controle!$R:$R,Controle!$H:$H,produtos_escape2!$A1554,Controle!$Z:$Z,"1")</f>
        <v>0</v>
      </c>
      <c r="G1554" s="507">
        <f>SUMIFS(Controle!$R:$R,Controle!$H:$H,produtos_escape2!$A1554,Controle!$Z:$Z,"2")</f>
        <v>0</v>
      </c>
      <c r="H1554" s="507">
        <f>SUMIFS(Controle!$R:$R,Controle!$H:$H,produtos_escape2!$A1554,Controle!$Z:$Z,"3")</f>
        <v>0</v>
      </c>
      <c r="I1554" s="507">
        <f>SUMIFS(Controle!$R:$R,Controle!$H:$H,produtos_escape2!$A1554,Controle!$Z:$Z,"4")</f>
        <v>0</v>
      </c>
      <c r="J1554" s="507">
        <f>SUMIFS(Controle!$R:$R,Controle!$H:$H,produtos_escape2!$A1554,Controle!$Z:$Z,"5")</f>
        <v>0</v>
      </c>
      <c r="K1554" s="507">
        <f>SUMIFS(Controle!$R:$R,Controle!$H:$H,produtos_escape2!$A1554,Controle!$Z:$Z,"6")</f>
        <v>0</v>
      </c>
      <c r="L1554" s="507">
        <f t="shared" si="54"/>
        <v>0</v>
      </c>
      <c r="M1554" s="381" t="s">
        <v>4731</v>
      </c>
      <c r="AF1554" s="84"/>
    </row>
    <row r="1555" spans="1:32" s="185" customFormat="1" ht="14.25" customHeight="1" thickBot="1">
      <c r="A1555" s="353">
        <v>63295</v>
      </c>
      <c r="B1555" s="194" t="s">
        <v>8002</v>
      </c>
      <c r="C1555" s="339">
        <f t="shared" si="55"/>
        <v>36459</v>
      </c>
      <c r="D1555" s="196" t="s">
        <v>624</v>
      </c>
      <c r="E1555" s="187" t="s">
        <v>7207</v>
      </c>
      <c r="F1555" s="507">
        <f>SUMIFS(Controle!$R:$R,Controle!$H:$H,produtos_escape2!$A1555,Controle!$Z:$Z,"1")</f>
        <v>0</v>
      </c>
      <c r="G1555" s="507">
        <f>SUMIFS(Controle!$R:$R,Controle!$H:$H,produtos_escape2!$A1555,Controle!$Z:$Z,"2")</f>
        <v>1841</v>
      </c>
      <c r="H1555" s="507">
        <f>SUMIFS(Controle!$R:$R,Controle!$H:$H,produtos_escape2!$A1555,Controle!$Z:$Z,"3")</f>
        <v>0</v>
      </c>
      <c r="I1555" s="507">
        <f>SUMIFS(Controle!$R:$R,Controle!$H:$H,produtos_escape2!$A1555,Controle!$Z:$Z,"4")</f>
        <v>4800</v>
      </c>
      <c r="J1555" s="507">
        <f>SUMIFS(Controle!$R:$R,Controle!$H:$H,produtos_escape2!$A1555,Controle!$Z:$Z,"5")</f>
        <v>0</v>
      </c>
      <c r="K1555" s="507">
        <f>SUMIFS(Controle!$R:$R,Controle!$H:$H,produtos_escape2!$A1555,Controle!$Z:$Z,"6")</f>
        <v>6900</v>
      </c>
      <c r="L1555" s="507">
        <f t="shared" si="54"/>
        <v>13541</v>
      </c>
      <c r="M1555" s="381" t="s">
        <v>8003</v>
      </c>
      <c r="AF1555" s="84"/>
    </row>
    <row r="1556" spans="1:32" s="185" customFormat="1" ht="14.25" customHeight="1" thickBot="1">
      <c r="A1556" s="353">
        <v>65391</v>
      </c>
      <c r="B1556" s="194" t="s">
        <v>844</v>
      </c>
      <c r="C1556" s="339">
        <f t="shared" si="55"/>
        <v>50000</v>
      </c>
      <c r="D1556" s="196" t="s">
        <v>729</v>
      </c>
      <c r="E1556" s="187" t="s">
        <v>1739</v>
      </c>
      <c r="F1556" s="507">
        <f>SUMIFS(Controle!$R:$R,Controle!$H:$H,produtos_escape2!$A1556,Controle!$Z:$Z,"1")</f>
        <v>0</v>
      </c>
      <c r="G1556" s="507">
        <f>SUMIFS(Controle!$R:$R,Controle!$H:$H,produtos_escape2!$A1556,Controle!$Z:$Z,"2")</f>
        <v>0</v>
      </c>
      <c r="H1556" s="507">
        <f>SUMIFS(Controle!$R:$R,Controle!$H:$H,produtos_escape2!$A1556,Controle!$Z:$Z,"3")</f>
        <v>0</v>
      </c>
      <c r="I1556" s="507">
        <f>SUMIFS(Controle!$R:$R,Controle!$H:$H,produtos_escape2!$A1556,Controle!$Z:$Z,"4")</f>
        <v>0</v>
      </c>
      <c r="J1556" s="507">
        <f>SUMIFS(Controle!$R:$R,Controle!$H:$H,produtos_escape2!$A1556,Controle!$Z:$Z,"5")</f>
        <v>0</v>
      </c>
      <c r="K1556" s="507">
        <f>SUMIFS(Controle!$R:$R,Controle!$H:$H,produtos_escape2!$A1556,Controle!$Z:$Z,"6")</f>
        <v>0</v>
      </c>
      <c r="L1556" s="507">
        <f t="shared" si="54"/>
        <v>0</v>
      </c>
      <c r="M1556" s="381" t="s">
        <v>4515</v>
      </c>
      <c r="AF1556" s="84"/>
    </row>
    <row r="1557" spans="1:32" s="185" customFormat="1" ht="14.25" customHeight="1" thickBot="1">
      <c r="A1557" s="353">
        <v>65422</v>
      </c>
      <c r="B1557" s="194" t="s">
        <v>165</v>
      </c>
      <c r="C1557" s="339">
        <f t="shared" si="55"/>
        <v>50000</v>
      </c>
      <c r="D1557" s="196" t="s">
        <v>624</v>
      </c>
      <c r="E1557" s="187"/>
      <c r="F1557" s="507">
        <f>SUMIFS(Controle!$R:$R,Controle!$H:$H,produtos_escape2!$A1557,Controle!$Z:$Z,"1")</f>
        <v>0</v>
      </c>
      <c r="G1557" s="507">
        <f>SUMIFS(Controle!$R:$R,Controle!$H:$H,produtos_escape2!$A1557,Controle!$Z:$Z,"2")</f>
        <v>0</v>
      </c>
      <c r="H1557" s="507">
        <f>SUMIFS(Controle!$R:$R,Controle!$H:$H,produtos_escape2!$A1557,Controle!$Z:$Z,"3")</f>
        <v>0</v>
      </c>
      <c r="I1557" s="507">
        <f>SUMIFS(Controle!$R:$R,Controle!$H:$H,produtos_escape2!$A1557,Controle!$Z:$Z,"4")</f>
        <v>0</v>
      </c>
      <c r="J1557" s="507">
        <f>SUMIFS(Controle!$R:$R,Controle!$H:$H,produtos_escape2!$A1557,Controle!$Z:$Z,"5")</f>
        <v>0</v>
      </c>
      <c r="K1557" s="507">
        <f>SUMIFS(Controle!$R:$R,Controle!$H:$H,produtos_escape2!$A1557,Controle!$Z:$Z,"6")</f>
        <v>0</v>
      </c>
      <c r="L1557" s="507">
        <f t="shared" si="54"/>
        <v>0</v>
      </c>
      <c r="M1557" s="381" t="s">
        <v>165</v>
      </c>
      <c r="AF1557" s="84"/>
    </row>
    <row r="1558" spans="1:32" s="185" customFormat="1" ht="14.25" customHeight="1" thickBot="1">
      <c r="A1558" s="353">
        <v>65647</v>
      </c>
      <c r="B1558" s="194" t="s">
        <v>91</v>
      </c>
      <c r="C1558" s="339">
        <f t="shared" si="55"/>
        <v>50000</v>
      </c>
      <c r="D1558" s="196" t="s">
        <v>624</v>
      </c>
      <c r="E1558" s="187" t="s">
        <v>7207</v>
      </c>
      <c r="F1558" s="507">
        <f>SUMIFS(Controle!$R:$R,Controle!$H:$H,produtos_escape2!$A1558,Controle!$Z:$Z,"1")</f>
        <v>0</v>
      </c>
      <c r="G1558" s="507">
        <f>SUMIFS(Controle!$R:$R,Controle!$H:$H,produtos_escape2!$A1558,Controle!$Z:$Z,"2")</f>
        <v>0</v>
      </c>
      <c r="H1558" s="507">
        <f>SUMIFS(Controle!$R:$R,Controle!$H:$H,produtos_escape2!$A1558,Controle!$Z:$Z,"3")</f>
        <v>0</v>
      </c>
      <c r="I1558" s="507">
        <f>SUMIFS(Controle!$R:$R,Controle!$H:$H,produtos_escape2!$A1558,Controle!$Z:$Z,"4")</f>
        <v>0</v>
      </c>
      <c r="J1558" s="507">
        <f>SUMIFS(Controle!$R:$R,Controle!$H:$H,produtos_escape2!$A1558,Controle!$Z:$Z,"5")</f>
        <v>0</v>
      </c>
      <c r="K1558" s="507">
        <f>SUMIFS(Controle!$R:$R,Controle!$H:$H,produtos_escape2!$A1558,Controle!$Z:$Z,"6")</f>
        <v>0</v>
      </c>
      <c r="L1558" s="507">
        <f t="shared" si="54"/>
        <v>0</v>
      </c>
      <c r="M1558" s="381" t="s">
        <v>5357</v>
      </c>
      <c r="AF1558" s="84"/>
    </row>
    <row r="1559" spans="1:32" s="185" customFormat="1" ht="14.25" customHeight="1" thickBot="1">
      <c r="A1559" s="353">
        <v>65666</v>
      </c>
      <c r="B1559" s="194" t="s">
        <v>5806</v>
      </c>
      <c r="C1559" s="339">
        <f t="shared" si="55"/>
        <v>36620</v>
      </c>
      <c r="D1559" s="196" t="s">
        <v>853</v>
      </c>
      <c r="E1559" s="187" t="s">
        <v>1739</v>
      </c>
      <c r="F1559" s="507">
        <f>SUMIFS(Controle!$R:$R,Controle!$H:$H,produtos_escape2!$A1559,Controle!$Z:$Z,"1")</f>
        <v>0</v>
      </c>
      <c r="G1559" s="507">
        <f>SUMIFS(Controle!$R:$R,Controle!$H:$H,produtos_escape2!$A1559,Controle!$Z:$Z,"2")</f>
        <v>4440</v>
      </c>
      <c r="H1559" s="507">
        <f>SUMIFS(Controle!$R:$R,Controle!$H:$H,produtos_escape2!$A1559,Controle!$Z:$Z,"3")</f>
        <v>0</v>
      </c>
      <c r="I1559" s="507">
        <f>SUMIFS(Controle!$R:$R,Controle!$H:$H,produtos_escape2!$A1559,Controle!$Z:$Z,"4")</f>
        <v>4440</v>
      </c>
      <c r="J1559" s="507">
        <f>SUMIFS(Controle!$R:$R,Controle!$H:$H,produtos_escape2!$A1559,Controle!$Z:$Z,"5")</f>
        <v>0</v>
      </c>
      <c r="K1559" s="507">
        <f>SUMIFS(Controle!$R:$R,Controle!$H:$H,produtos_escape2!$A1559,Controle!$Z:$Z,"6")</f>
        <v>4500</v>
      </c>
      <c r="L1559" s="507">
        <f t="shared" si="54"/>
        <v>13380</v>
      </c>
      <c r="M1559" s="381" t="s">
        <v>5358</v>
      </c>
      <c r="AF1559" s="84"/>
    </row>
    <row r="1560" spans="1:32" s="185" customFormat="1" ht="14.25" customHeight="1" thickBot="1">
      <c r="A1560" s="353">
        <v>69774</v>
      </c>
      <c r="B1560" s="338" t="s">
        <v>1798</v>
      </c>
      <c r="C1560" s="339">
        <f t="shared" si="55"/>
        <v>50000</v>
      </c>
      <c r="D1560" s="191" t="s">
        <v>624</v>
      </c>
      <c r="E1560" s="189" t="s">
        <v>7207</v>
      </c>
      <c r="F1560" s="507">
        <f>SUMIFS(Controle!$R:$R,Controle!$H:$H,produtos_escape2!$A1560,Controle!$Z:$Z,"1")</f>
        <v>0</v>
      </c>
      <c r="G1560" s="507">
        <f>SUMIFS(Controle!$R:$R,Controle!$H:$H,produtos_escape2!$A1560,Controle!$Z:$Z,"2")</f>
        <v>0</v>
      </c>
      <c r="H1560" s="507">
        <f>SUMIFS(Controle!$R:$R,Controle!$H:$H,produtos_escape2!$A1560,Controle!$Z:$Z,"3")</f>
        <v>0</v>
      </c>
      <c r="I1560" s="507">
        <f>SUMIFS(Controle!$R:$R,Controle!$H:$H,produtos_escape2!$A1560,Controle!$Z:$Z,"4")</f>
        <v>0</v>
      </c>
      <c r="J1560" s="507">
        <f>SUMIFS(Controle!$R:$R,Controle!$H:$H,produtos_escape2!$A1560,Controle!$Z:$Z,"5")</f>
        <v>0</v>
      </c>
      <c r="K1560" s="507">
        <f>SUMIFS(Controle!$R:$R,Controle!$H:$H,produtos_escape2!$A1560,Controle!$Z:$Z,"6")</f>
        <v>0</v>
      </c>
      <c r="L1560" s="507">
        <f t="shared" si="54"/>
        <v>0</v>
      </c>
      <c r="M1560" s="381" t="s">
        <v>5359</v>
      </c>
      <c r="AF1560" s="84"/>
    </row>
    <row r="1561" spans="1:32" s="185" customFormat="1" ht="14.25" customHeight="1" thickBot="1">
      <c r="A1561" s="353">
        <v>73074</v>
      </c>
      <c r="B1561" s="194" t="s">
        <v>586</v>
      </c>
      <c r="C1561" s="339">
        <f t="shared" si="55"/>
        <v>50000</v>
      </c>
      <c r="D1561" s="196"/>
      <c r="E1561" s="187" t="s">
        <v>1739</v>
      </c>
      <c r="F1561" s="507">
        <f>SUMIFS(Controle!$R:$R,Controle!$H:$H,produtos_escape2!$A1561,Controle!$Z:$Z,"1")</f>
        <v>0</v>
      </c>
      <c r="G1561" s="507">
        <f>SUMIFS(Controle!$R:$R,Controle!$H:$H,produtos_escape2!$A1561,Controle!$Z:$Z,"2")</f>
        <v>0</v>
      </c>
      <c r="H1561" s="507">
        <f>SUMIFS(Controle!$R:$R,Controle!$H:$H,produtos_escape2!$A1561,Controle!$Z:$Z,"3")</f>
        <v>0</v>
      </c>
      <c r="I1561" s="507">
        <f>SUMIFS(Controle!$R:$R,Controle!$H:$H,produtos_escape2!$A1561,Controle!$Z:$Z,"4")</f>
        <v>0</v>
      </c>
      <c r="J1561" s="507">
        <f>SUMIFS(Controle!$R:$R,Controle!$H:$H,produtos_escape2!$A1561,Controle!$Z:$Z,"5")</f>
        <v>0</v>
      </c>
      <c r="K1561" s="507">
        <f>SUMIFS(Controle!$R:$R,Controle!$H:$H,produtos_escape2!$A1561,Controle!$Z:$Z,"6")</f>
        <v>0</v>
      </c>
      <c r="L1561" s="507">
        <f t="shared" si="54"/>
        <v>0</v>
      </c>
      <c r="M1561" s="381" t="s">
        <v>5360</v>
      </c>
      <c r="AF1561" s="84"/>
    </row>
    <row r="1562" spans="1:32" s="185" customFormat="1" ht="14.25" customHeight="1" thickBot="1">
      <c r="A1562" s="333">
        <v>73319</v>
      </c>
      <c r="B1562" s="194" t="s">
        <v>46</v>
      </c>
      <c r="C1562" s="339">
        <f t="shared" si="55"/>
        <v>50000</v>
      </c>
      <c r="D1562" s="196"/>
      <c r="E1562" s="187"/>
      <c r="F1562" s="507">
        <f>SUMIFS(Controle!$R:$R,Controle!$H:$H,produtos_escape2!$A1562,Controle!$Z:$Z,"1")</f>
        <v>0</v>
      </c>
      <c r="G1562" s="507">
        <f>SUMIFS(Controle!$R:$R,Controle!$H:$H,produtos_escape2!$A1562,Controle!$Z:$Z,"2")</f>
        <v>0</v>
      </c>
      <c r="H1562" s="507">
        <f>SUMIFS(Controle!$R:$R,Controle!$H:$H,produtos_escape2!$A1562,Controle!$Z:$Z,"3")</f>
        <v>0</v>
      </c>
      <c r="I1562" s="507">
        <f>SUMIFS(Controle!$R:$R,Controle!$H:$H,produtos_escape2!$A1562,Controle!$Z:$Z,"4")</f>
        <v>0</v>
      </c>
      <c r="J1562" s="507">
        <f>SUMIFS(Controle!$R:$R,Controle!$H:$H,produtos_escape2!$A1562,Controle!$Z:$Z,"5")</f>
        <v>0</v>
      </c>
      <c r="K1562" s="507">
        <f>SUMIFS(Controle!$R:$R,Controle!$H:$H,produtos_escape2!$A1562,Controle!$Z:$Z,"6")</f>
        <v>0</v>
      </c>
      <c r="L1562" s="507">
        <f t="shared" si="54"/>
        <v>0</v>
      </c>
      <c r="M1562" s="381" t="s">
        <v>4883</v>
      </c>
      <c r="AF1562" s="84"/>
    </row>
    <row r="1563" spans="1:32" s="185" customFormat="1" ht="14.25" customHeight="1" thickBot="1">
      <c r="A1563" s="353">
        <v>73521</v>
      </c>
      <c r="B1563" s="194" t="s">
        <v>1496</v>
      </c>
      <c r="C1563" s="339">
        <f t="shared" si="55"/>
        <v>50000</v>
      </c>
      <c r="D1563" s="196"/>
      <c r="E1563" s="187"/>
      <c r="F1563" s="507">
        <f>SUMIFS(Controle!$R:$R,Controle!$H:$H,produtos_escape2!$A1563,Controle!$Z:$Z,"1")</f>
        <v>0</v>
      </c>
      <c r="G1563" s="507">
        <f>SUMIFS(Controle!$R:$R,Controle!$H:$H,produtos_escape2!$A1563,Controle!$Z:$Z,"2")</f>
        <v>0</v>
      </c>
      <c r="H1563" s="507">
        <f>SUMIFS(Controle!$R:$R,Controle!$H:$H,produtos_escape2!$A1563,Controle!$Z:$Z,"3")</f>
        <v>0</v>
      </c>
      <c r="I1563" s="507">
        <f>SUMIFS(Controle!$R:$R,Controle!$H:$H,produtos_escape2!$A1563,Controle!$Z:$Z,"4")</f>
        <v>0</v>
      </c>
      <c r="J1563" s="507">
        <f>SUMIFS(Controle!$R:$R,Controle!$H:$H,produtos_escape2!$A1563,Controle!$Z:$Z,"5")</f>
        <v>0</v>
      </c>
      <c r="K1563" s="507">
        <f>SUMIFS(Controle!$R:$R,Controle!$H:$H,produtos_escape2!$A1563,Controle!$Z:$Z,"6")</f>
        <v>0</v>
      </c>
      <c r="L1563" s="507">
        <f t="shared" si="54"/>
        <v>0</v>
      </c>
      <c r="M1563" s="381" t="s">
        <v>5286</v>
      </c>
      <c r="AF1563" s="84"/>
    </row>
    <row r="1564" spans="1:32" s="185" customFormat="1" ht="14.25" customHeight="1" thickBot="1">
      <c r="A1564" s="353">
        <v>73584</v>
      </c>
      <c r="B1564" s="194" t="s">
        <v>148</v>
      </c>
      <c r="C1564" s="339">
        <f t="shared" si="55"/>
        <v>50000</v>
      </c>
      <c r="D1564" s="196"/>
      <c r="E1564" s="187"/>
      <c r="F1564" s="507">
        <f>SUMIFS(Controle!$R:$R,Controle!$H:$H,produtos_escape2!$A1564,Controle!$Z:$Z,"1")</f>
        <v>0</v>
      </c>
      <c r="G1564" s="507">
        <f>SUMIFS(Controle!$R:$R,Controle!$H:$H,produtos_escape2!$A1564,Controle!$Z:$Z,"2")</f>
        <v>0</v>
      </c>
      <c r="H1564" s="507">
        <f>SUMIFS(Controle!$R:$R,Controle!$H:$H,produtos_escape2!$A1564,Controle!$Z:$Z,"3")</f>
        <v>0</v>
      </c>
      <c r="I1564" s="507">
        <f>SUMIFS(Controle!$R:$R,Controle!$H:$H,produtos_escape2!$A1564,Controle!$Z:$Z,"4")</f>
        <v>0</v>
      </c>
      <c r="J1564" s="507">
        <f>SUMIFS(Controle!$R:$R,Controle!$H:$H,produtos_escape2!$A1564,Controle!$Z:$Z,"5")</f>
        <v>0</v>
      </c>
      <c r="K1564" s="507">
        <f>SUMIFS(Controle!$R:$R,Controle!$H:$H,produtos_escape2!$A1564,Controle!$Z:$Z,"6")</f>
        <v>0</v>
      </c>
      <c r="L1564" s="507">
        <f t="shared" si="54"/>
        <v>0</v>
      </c>
      <c r="M1564" s="381" t="s">
        <v>5361</v>
      </c>
      <c r="AF1564" s="84"/>
    </row>
    <row r="1565" spans="1:32" s="185" customFormat="1" ht="14.25" customHeight="1" thickBot="1">
      <c r="A1565" s="353">
        <v>73627</v>
      </c>
      <c r="B1565" s="194" t="s">
        <v>2673</v>
      </c>
      <c r="C1565" s="339">
        <f t="shared" si="55"/>
        <v>50000</v>
      </c>
      <c r="D1565" s="196" t="s">
        <v>624</v>
      </c>
      <c r="E1565" s="187" t="s">
        <v>3608</v>
      </c>
      <c r="F1565" s="507">
        <f>SUMIFS(Controle!$R:$R,Controle!$H:$H,produtos_escape2!$A1565,Controle!$Z:$Z,"1")</f>
        <v>0</v>
      </c>
      <c r="G1565" s="507">
        <f>SUMIFS(Controle!$R:$R,Controle!$H:$H,produtos_escape2!$A1565,Controle!$Z:$Z,"2")</f>
        <v>0</v>
      </c>
      <c r="H1565" s="507">
        <f>SUMIFS(Controle!$R:$R,Controle!$H:$H,produtos_escape2!$A1565,Controle!$Z:$Z,"3")</f>
        <v>0</v>
      </c>
      <c r="I1565" s="507">
        <f>SUMIFS(Controle!$R:$R,Controle!$H:$H,produtos_escape2!$A1565,Controle!$Z:$Z,"4")</f>
        <v>0</v>
      </c>
      <c r="J1565" s="507">
        <f>SUMIFS(Controle!$R:$R,Controle!$H:$H,produtos_escape2!$A1565,Controle!$Z:$Z,"5")</f>
        <v>0</v>
      </c>
      <c r="K1565" s="507">
        <f>SUMIFS(Controle!$R:$R,Controle!$H:$H,produtos_escape2!$A1565,Controle!$Z:$Z,"6")</f>
        <v>0</v>
      </c>
      <c r="L1565" s="507">
        <f t="shared" si="54"/>
        <v>0</v>
      </c>
      <c r="M1565" s="381" t="s">
        <v>5362</v>
      </c>
      <c r="AF1565" s="84"/>
    </row>
    <row r="1566" spans="1:32" s="185" customFormat="1" ht="14.25" customHeight="1" thickBot="1">
      <c r="A1566" s="353">
        <v>73703</v>
      </c>
      <c r="B1566" s="194" t="s">
        <v>184</v>
      </c>
      <c r="C1566" s="339">
        <f t="shared" si="55"/>
        <v>50000</v>
      </c>
      <c r="D1566" s="196"/>
      <c r="E1566" s="187"/>
      <c r="F1566" s="507">
        <f>SUMIFS(Controle!$R:$R,Controle!$H:$H,produtos_escape2!$A1566,Controle!$Z:$Z,"1")</f>
        <v>0</v>
      </c>
      <c r="G1566" s="507">
        <f>SUMIFS(Controle!$R:$R,Controle!$H:$H,produtos_escape2!$A1566,Controle!$Z:$Z,"2")</f>
        <v>0</v>
      </c>
      <c r="H1566" s="507">
        <f>SUMIFS(Controle!$R:$R,Controle!$H:$H,produtos_escape2!$A1566,Controle!$Z:$Z,"3")</f>
        <v>0</v>
      </c>
      <c r="I1566" s="507">
        <f>SUMIFS(Controle!$R:$R,Controle!$H:$H,produtos_escape2!$A1566,Controle!$Z:$Z,"4")</f>
        <v>0</v>
      </c>
      <c r="J1566" s="507">
        <f>SUMIFS(Controle!$R:$R,Controle!$H:$H,produtos_escape2!$A1566,Controle!$Z:$Z,"5")</f>
        <v>0</v>
      </c>
      <c r="K1566" s="507">
        <f>SUMIFS(Controle!$R:$R,Controle!$H:$H,produtos_escape2!$A1566,Controle!$Z:$Z,"6")</f>
        <v>0</v>
      </c>
      <c r="L1566" s="507">
        <f t="shared" si="54"/>
        <v>0</v>
      </c>
      <c r="M1566" s="381" t="s">
        <v>5363</v>
      </c>
      <c r="AF1566" s="84"/>
    </row>
    <row r="1567" spans="1:32" s="185" customFormat="1" ht="14.25" customHeight="1" thickBot="1">
      <c r="A1567" s="353">
        <v>75217</v>
      </c>
      <c r="B1567" s="194" t="s">
        <v>9388</v>
      </c>
      <c r="C1567" s="339">
        <f t="shared" si="55"/>
        <v>48680</v>
      </c>
      <c r="D1567" s="196" t="s">
        <v>624</v>
      </c>
      <c r="E1567" s="187" t="s">
        <v>1687</v>
      </c>
      <c r="F1567" s="507">
        <f>SUMIFS(Controle!$R:$R,Controle!$H:$H,produtos_escape2!$A1567,Controle!$Z:$Z,"1")</f>
        <v>0</v>
      </c>
      <c r="G1567" s="507">
        <f>SUMIFS(Controle!$R:$R,Controle!$H:$H,produtos_escape2!$A1567,Controle!$Z:$Z,"2")</f>
        <v>0</v>
      </c>
      <c r="H1567" s="507">
        <f>SUMIFS(Controle!$R:$R,Controle!$H:$H,produtos_escape2!$A1567,Controle!$Z:$Z,"3")</f>
        <v>0</v>
      </c>
      <c r="I1567" s="507">
        <f>SUMIFS(Controle!$R:$R,Controle!$H:$H,produtos_escape2!$A1567,Controle!$Z:$Z,"4")</f>
        <v>0</v>
      </c>
      <c r="J1567" s="507">
        <f>SUMIFS(Controle!$R:$R,Controle!$H:$H,produtos_escape2!$A1567,Controle!$Z:$Z,"5")</f>
        <v>0</v>
      </c>
      <c r="K1567" s="507">
        <f>SUMIFS(Controle!$R:$R,Controle!$H:$H,produtos_escape2!$A1567,Controle!$Z:$Z,"6")</f>
        <v>1320</v>
      </c>
      <c r="L1567" s="507">
        <f t="shared" si="54"/>
        <v>1320</v>
      </c>
      <c r="M1567" s="381" t="s">
        <v>9389</v>
      </c>
      <c r="AF1567" s="84"/>
    </row>
    <row r="1568" spans="1:32" s="185" customFormat="1" ht="14.25" customHeight="1" thickBot="1">
      <c r="A1568" s="353">
        <v>75726</v>
      </c>
      <c r="B1568" s="194" t="s">
        <v>5835</v>
      </c>
      <c r="C1568" s="339">
        <f t="shared" si="55"/>
        <v>50000</v>
      </c>
      <c r="D1568" s="196" t="s">
        <v>833</v>
      </c>
      <c r="E1568" s="187" t="s">
        <v>7207</v>
      </c>
      <c r="F1568" s="507">
        <f>SUMIFS(Controle!$R:$R,Controle!$H:$H,produtos_escape2!$A1568,Controle!$Z:$Z,"1")</f>
        <v>0</v>
      </c>
      <c r="G1568" s="507">
        <f>SUMIFS(Controle!$R:$R,Controle!$H:$H,produtos_escape2!$A1568,Controle!$Z:$Z,"2")</f>
        <v>0</v>
      </c>
      <c r="H1568" s="507">
        <f>SUMIFS(Controle!$R:$R,Controle!$H:$H,produtos_escape2!$A1568,Controle!$Z:$Z,"3")</f>
        <v>0</v>
      </c>
      <c r="I1568" s="507">
        <f>SUMIFS(Controle!$R:$R,Controle!$H:$H,produtos_escape2!$A1568,Controle!$Z:$Z,"4")</f>
        <v>0</v>
      </c>
      <c r="J1568" s="507">
        <f>SUMIFS(Controle!$R:$R,Controle!$H:$H,produtos_escape2!$A1568,Controle!$Z:$Z,"5")</f>
        <v>0</v>
      </c>
      <c r="K1568" s="507">
        <f>SUMIFS(Controle!$R:$R,Controle!$H:$H,produtos_escape2!$A1568,Controle!$Z:$Z,"6")</f>
        <v>0</v>
      </c>
      <c r="L1568" s="507">
        <f t="shared" si="54"/>
        <v>0</v>
      </c>
      <c r="M1568" s="381" t="s">
        <v>4550</v>
      </c>
      <c r="AF1568" s="84"/>
    </row>
    <row r="1569" spans="1:32" s="185" customFormat="1" ht="14.25" customHeight="1" thickBot="1">
      <c r="A1569" s="353">
        <v>76695</v>
      </c>
      <c r="B1569" s="194" t="s">
        <v>2674</v>
      </c>
      <c r="C1569" s="339">
        <f t="shared" si="55"/>
        <v>50000</v>
      </c>
      <c r="D1569" s="196" t="s">
        <v>628</v>
      </c>
      <c r="E1569" s="187" t="s">
        <v>7207</v>
      </c>
      <c r="F1569" s="507">
        <f>SUMIFS(Controle!$R:$R,Controle!$H:$H,produtos_escape2!$A1569,Controle!$Z:$Z,"1")</f>
        <v>0</v>
      </c>
      <c r="G1569" s="507">
        <f>SUMIFS(Controle!$R:$R,Controle!$H:$H,produtos_escape2!$A1569,Controle!$Z:$Z,"2")</f>
        <v>0</v>
      </c>
      <c r="H1569" s="507">
        <f>SUMIFS(Controle!$R:$R,Controle!$H:$H,produtos_escape2!$A1569,Controle!$Z:$Z,"3")</f>
        <v>0</v>
      </c>
      <c r="I1569" s="507">
        <f>SUMIFS(Controle!$R:$R,Controle!$H:$H,produtos_escape2!$A1569,Controle!$Z:$Z,"4")</f>
        <v>0</v>
      </c>
      <c r="J1569" s="507">
        <f>SUMIFS(Controle!$R:$R,Controle!$H:$H,produtos_escape2!$A1569,Controle!$Z:$Z,"5")</f>
        <v>0</v>
      </c>
      <c r="K1569" s="507">
        <f>SUMIFS(Controle!$R:$R,Controle!$H:$H,produtos_escape2!$A1569,Controle!$Z:$Z,"6")</f>
        <v>0</v>
      </c>
      <c r="L1569" s="507">
        <f t="shared" si="54"/>
        <v>0</v>
      </c>
      <c r="M1569" s="381" t="s">
        <v>5364</v>
      </c>
      <c r="AF1569" s="84"/>
    </row>
    <row r="1570" spans="1:32" s="185" customFormat="1" ht="14.25" customHeight="1" thickBot="1">
      <c r="A1570" s="353">
        <v>77787</v>
      </c>
      <c r="B1570" s="338" t="s">
        <v>470</v>
      </c>
      <c r="C1570" s="339">
        <f t="shared" si="55"/>
        <v>50000</v>
      </c>
      <c r="D1570" s="196" t="s">
        <v>624</v>
      </c>
      <c r="E1570" s="187" t="s">
        <v>7207</v>
      </c>
      <c r="F1570" s="507">
        <f>SUMIFS(Controle!$R:$R,Controle!$H:$H,produtos_escape2!$A1570,Controle!$Z:$Z,"1")</f>
        <v>0</v>
      </c>
      <c r="G1570" s="507">
        <f>SUMIFS(Controle!$R:$R,Controle!$H:$H,produtos_escape2!$A1570,Controle!$Z:$Z,"2")</f>
        <v>0</v>
      </c>
      <c r="H1570" s="507">
        <f>SUMIFS(Controle!$R:$R,Controle!$H:$H,produtos_escape2!$A1570,Controle!$Z:$Z,"3")</f>
        <v>0</v>
      </c>
      <c r="I1570" s="507">
        <f>SUMIFS(Controle!$R:$R,Controle!$H:$H,produtos_escape2!$A1570,Controle!$Z:$Z,"4")</f>
        <v>0</v>
      </c>
      <c r="J1570" s="507">
        <f>SUMIFS(Controle!$R:$R,Controle!$H:$H,produtos_escape2!$A1570,Controle!$Z:$Z,"5")</f>
        <v>0</v>
      </c>
      <c r="K1570" s="507">
        <f>SUMIFS(Controle!$R:$R,Controle!$H:$H,produtos_escape2!$A1570,Controle!$Z:$Z,"6")</f>
        <v>0</v>
      </c>
      <c r="L1570" s="507">
        <f t="shared" si="54"/>
        <v>0</v>
      </c>
      <c r="M1570" s="381" t="s">
        <v>5359</v>
      </c>
      <c r="AF1570" s="84"/>
    </row>
    <row r="1571" spans="1:32" s="185" customFormat="1" ht="14.25" customHeight="1" thickBot="1">
      <c r="A1571" s="333">
        <v>77814</v>
      </c>
      <c r="B1571" s="194" t="s">
        <v>152</v>
      </c>
      <c r="C1571" s="339">
        <f t="shared" si="55"/>
        <v>50000</v>
      </c>
      <c r="D1571" s="191" t="s">
        <v>624</v>
      </c>
      <c r="E1571" s="189" t="s">
        <v>7207</v>
      </c>
      <c r="F1571" s="507">
        <f>SUMIFS(Controle!$R:$R,Controle!$H:$H,produtos_escape2!$A1571,Controle!$Z:$Z,"1")</f>
        <v>0</v>
      </c>
      <c r="G1571" s="507">
        <f>SUMIFS(Controle!$R:$R,Controle!$H:$H,produtos_escape2!$A1571,Controle!$Z:$Z,"2")</f>
        <v>0</v>
      </c>
      <c r="H1571" s="507">
        <f>SUMIFS(Controle!$R:$R,Controle!$H:$H,produtos_escape2!$A1571,Controle!$Z:$Z,"3")</f>
        <v>0</v>
      </c>
      <c r="I1571" s="507">
        <f>SUMIFS(Controle!$R:$R,Controle!$H:$H,produtos_escape2!$A1571,Controle!$Z:$Z,"4")</f>
        <v>0</v>
      </c>
      <c r="J1571" s="507">
        <f>SUMIFS(Controle!$R:$R,Controle!$H:$H,produtos_escape2!$A1571,Controle!$Z:$Z,"5")</f>
        <v>0</v>
      </c>
      <c r="K1571" s="507">
        <f>SUMIFS(Controle!$R:$R,Controle!$H:$H,produtos_escape2!$A1571,Controle!$Z:$Z,"6")</f>
        <v>0</v>
      </c>
      <c r="L1571" s="507">
        <f t="shared" si="54"/>
        <v>0</v>
      </c>
      <c r="M1571" s="381" t="s">
        <v>5365</v>
      </c>
      <c r="AF1571" s="84"/>
    </row>
    <row r="1572" spans="1:32" s="185" customFormat="1" ht="14.25" customHeight="1" thickBot="1">
      <c r="A1572" s="353">
        <v>77866</v>
      </c>
      <c r="B1572" s="194" t="s">
        <v>3468</v>
      </c>
      <c r="C1572" s="339">
        <f t="shared" si="55"/>
        <v>50000</v>
      </c>
      <c r="D1572" s="196" t="s">
        <v>624</v>
      </c>
      <c r="E1572" s="189" t="s">
        <v>7207</v>
      </c>
      <c r="F1572" s="507">
        <f>SUMIFS(Controle!$R:$R,Controle!$H:$H,produtos_escape2!$A1572,Controle!$Z:$Z,"1")</f>
        <v>0</v>
      </c>
      <c r="G1572" s="507">
        <f>SUMIFS(Controle!$R:$R,Controle!$H:$H,produtos_escape2!$A1572,Controle!$Z:$Z,"2")</f>
        <v>0</v>
      </c>
      <c r="H1572" s="507">
        <f>SUMIFS(Controle!$R:$R,Controle!$H:$H,produtos_escape2!$A1572,Controle!$Z:$Z,"3")</f>
        <v>0</v>
      </c>
      <c r="I1572" s="507">
        <f>SUMIFS(Controle!$R:$R,Controle!$H:$H,produtos_escape2!$A1572,Controle!$Z:$Z,"4")</f>
        <v>0</v>
      </c>
      <c r="J1572" s="507">
        <f>SUMIFS(Controle!$R:$R,Controle!$H:$H,produtos_escape2!$A1572,Controle!$Z:$Z,"5")</f>
        <v>0</v>
      </c>
      <c r="K1572" s="507">
        <f>SUMIFS(Controle!$R:$R,Controle!$H:$H,produtos_escape2!$A1572,Controle!$Z:$Z,"6")</f>
        <v>0</v>
      </c>
      <c r="L1572" s="507">
        <f t="shared" si="54"/>
        <v>0</v>
      </c>
      <c r="M1572" s="381" t="s">
        <v>5366</v>
      </c>
      <c r="AF1572" s="84"/>
    </row>
    <row r="1573" spans="1:32" s="185" customFormat="1" ht="14.25" customHeight="1" thickBot="1">
      <c r="A1573" s="353">
        <v>77868</v>
      </c>
      <c r="B1573" s="194" t="s">
        <v>3469</v>
      </c>
      <c r="C1573" s="339">
        <f t="shared" si="55"/>
        <v>50000</v>
      </c>
      <c r="D1573" s="196" t="s">
        <v>624</v>
      </c>
      <c r="E1573" s="189" t="s">
        <v>7207</v>
      </c>
      <c r="F1573" s="507">
        <f>SUMIFS(Controle!$R:$R,Controle!$H:$H,produtos_escape2!$A1573,Controle!$Z:$Z,"1")</f>
        <v>0</v>
      </c>
      <c r="G1573" s="507">
        <f>SUMIFS(Controle!$R:$R,Controle!$H:$H,produtos_escape2!$A1573,Controle!$Z:$Z,"2")</f>
        <v>0</v>
      </c>
      <c r="H1573" s="507">
        <f>SUMIFS(Controle!$R:$R,Controle!$H:$H,produtos_escape2!$A1573,Controle!$Z:$Z,"3")</f>
        <v>0</v>
      </c>
      <c r="I1573" s="507">
        <f>SUMIFS(Controle!$R:$R,Controle!$H:$H,produtos_escape2!$A1573,Controle!$Z:$Z,"4")</f>
        <v>0</v>
      </c>
      <c r="J1573" s="507">
        <f>SUMIFS(Controle!$R:$R,Controle!$H:$H,produtos_escape2!$A1573,Controle!$Z:$Z,"5")</f>
        <v>0</v>
      </c>
      <c r="K1573" s="507">
        <f>SUMIFS(Controle!$R:$R,Controle!$H:$H,produtos_escape2!$A1573,Controle!$Z:$Z,"6")</f>
        <v>0</v>
      </c>
      <c r="L1573" s="507">
        <f t="shared" si="54"/>
        <v>0</v>
      </c>
      <c r="M1573" s="381" t="s">
        <v>5367</v>
      </c>
      <c r="AF1573" s="84"/>
    </row>
    <row r="1574" spans="1:32" s="185" customFormat="1" ht="14.25" customHeight="1" thickBot="1">
      <c r="A1574" s="353">
        <v>77884</v>
      </c>
      <c r="B1574" s="194" t="s">
        <v>1006</v>
      </c>
      <c r="C1574" s="339">
        <f t="shared" si="55"/>
        <v>50000</v>
      </c>
      <c r="D1574" s="196" t="s">
        <v>624</v>
      </c>
      <c r="E1574" s="187" t="s">
        <v>1739</v>
      </c>
      <c r="F1574" s="507">
        <f>SUMIFS(Controle!$R:$R,Controle!$H:$H,produtos_escape2!$A1574,Controle!$Z:$Z,"1")</f>
        <v>0</v>
      </c>
      <c r="G1574" s="507">
        <f>SUMIFS(Controle!$R:$R,Controle!$H:$H,produtos_escape2!$A1574,Controle!$Z:$Z,"2")</f>
        <v>0</v>
      </c>
      <c r="H1574" s="507">
        <f>SUMIFS(Controle!$R:$R,Controle!$H:$H,produtos_escape2!$A1574,Controle!$Z:$Z,"3")</f>
        <v>0</v>
      </c>
      <c r="I1574" s="507">
        <f>SUMIFS(Controle!$R:$R,Controle!$H:$H,produtos_escape2!$A1574,Controle!$Z:$Z,"4")</f>
        <v>0</v>
      </c>
      <c r="J1574" s="507">
        <f>SUMIFS(Controle!$R:$R,Controle!$H:$H,produtos_escape2!$A1574,Controle!$Z:$Z,"5")</f>
        <v>0</v>
      </c>
      <c r="K1574" s="507">
        <f>SUMIFS(Controle!$R:$R,Controle!$H:$H,produtos_escape2!$A1574,Controle!$Z:$Z,"6")</f>
        <v>0</v>
      </c>
      <c r="L1574" s="507">
        <f t="shared" si="54"/>
        <v>0</v>
      </c>
      <c r="M1574" s="381" t="s">
        <v>1006</v>
      </c>
      <c r="AF1574" s="84"/>
    </row>
    <row r="1575" spans="1:32" s="185" customFormat="1" ht="14.25" customHeight="1" thickBot="1">
      <c r="A1575" s="353">
        <v>78319</v>
      </c>
      <c r="B1575" s="194" t="s">
        <v>990</v>
      </c>
      <c r="C1575" s="339">
        <f t="shared" si="55"/>
        <v>50000</v>
      </c>
      <c r="D1575" s="196" t="s">
        <v>624</v>
      </c>
      <c r="E1575" s="187" t="s">
        <v>1739</v>
      </c>
      <c r="F1575" s="507">
        <f>SUMIFS(Controle!$R:$R,Controle!$H:$H,produtos_escape2!$A1575,Controle!$Z:$Z,"1")</f>
        <v>0</v>
      </c>
      <c r="G1575" s="507">
        <f>SUMIFS(Controle!$R:$R,Controle!$H:$H,produtos_escape2!$A1575,Controle!$Z:$Z,"2")</f>
        <v>0</v>
      </c>
      <c r="H1575" s="507">
        <f>SUMIFS(Controle!$R:$R,Controle!$H:$H,produtos_escape2!$A1575,Controle!$Z:$Z,"3")</f>
        <v>0</v>
      </c>
      <c r="I1575" s="507">
        <f>SUMIFS(Controle!$R:$R,Controle!$H:$H,produtos_escape2!$A1575,Controle!$Z:$Z,"4")</f>
        <v>0</v>
      </c>
      <c r="J1575" s="507">
        <f>SUMIFS(Controle!$R:$R,Controle!$H:$H,produtos_escape2!$A1575,Controle!$Z:$Z,"5")</f>
        <v>0</v>
      </c>
      <c r="K1575" s="507">
        <f>SUMIFS(Controle!$R:$R,Controle!$H:$H,produtos_escape2!$A1575,Controle!$Z:$Z,"6")</f>
        <v>0</v>
      </c>
      <c r="L1575" s="507">
        <f t="shared" si="54"/>
        <v>0</v>
      </c>
      <c r="M1575" s="381" t="s">
        <v>5368</v>
      </c>
      <c r="AF1575" s="84"/>
    </row>
    <row r="1576" spans="1:32" s="185" customFormat="1" ht="14.25" customHeight="1" thickBot="1">
      <c r="A1576" s="353">
        <v>78320</v>
      </c>
      <c r="B1576" s="194" t="s">
        <v>989</v>
      </c>
      <c r="C1576" s="339">
        <f t="shared" si="55"/>
        <v>50000</v>
      </c>
      <c r="D1576" s="196" t="s">
        <v>624</v>
      </c>
      <c r="E1576" s="187" t="s">
        <v>1739</v>
      </c>
      <c r="F1576" s="507">
        <f>SUMIFS(Controle!$R:$R,Controle!$H:$H,produtos_escape2!$A1576,Controle!$Z:$Z,"1")</f>
        <v>0</v>
      </c>
      <c r="G1576" s="507">
        <f>SUMIFS(Controle!$R:$R,Controle!$H:$H,produtos_escape2!$A1576,Controle!$Z:$Z,"2")</f>
        <v>0</v>
      </c>
      <c r="H1576" s="507">
        <f>SUMIFS(Controle!$R:$R,Controle!$H:$H,produtos_escape2!$A1576,Controle!$Z:$Z,"3")</f>
        <v>0</v>
      </c>
      <c r="I1576" s="507">
        <f>SUMIFS(Controle!$R:$R,Controle!$H:$H,produtos_escape2!$A1576,Controle!$Z:$Z,"4")</f>
        <v>0</v>
      </c>
      <c r="J1576" s="507">
        <f>SUMIFS(Controle!$R:$R,Controle!$H:$H,produtos_escape2!$A1576,Controle!$Z:$Z,"5")</f>
        <v>0</v>
      </c>
      <c r="K1576" s="507">
        <f>SUMIFS(Controle!$R:$R,Controle!$H:$H,produtos_escape2!$A1576,Controle!$Z:$Z,"6")</f>
        <v>0</v>
      </c>
      <c r="L1576" s="507">
        <f t="shared" si="54"/>
        <v>0</v>
      </c>
      <c r="M1576" s="381" t="s">
        <v>5369</v>
      </c>
      <c r="AF1576" s="84"/>
    </row>
    <row r="1577" spans="1:32" s="185" customFormat="1" ht="14.25" customHeight="1" thickBot="1">
      <c r="A1577" s="353">
        <v>79176</v>
      </c>
      <c r="B1577" s="194" t="s">
        <v>748</v>
      </c>
      <c r="C1577" s="339">
        <f t="shared" si="55"/>
        <v>50000</v>
      </c>
      <c r="D1577" s="196" t="s">
        <v>624</v>
      </c>
      <c r="E1577" s="187" t="s">
        <v>1739</v>
      </c>
      <c r="F1577" s="507">
        <f>SUMIFS(Controle!$R:$R,Controle!$H:$H,produtos_escape2!$A1577,Controle!$Z:$Z,"1")</f>
        <v>0</v>
      </c>
      <c r="G1577" s="507">
        <f>SUMIFS(Controle!$R:$R,Controle!$H:$H,produtos_escape2!$A1577,Controle!$Z:$Z,"2")</f>
        <v>0</v>
      </c>
      <c r="H1577" s="507">
        <f>SUMIFS(Controle!$R:$R,Controle!$H:$H,produtos_escape2!$A1577,Controle!$Z:$Z,"3")</f>
        <v>0</v>
      </c>
      <c r="I1577" s="507">
        <f>SUMIFS(Controle!$R:$R,Controle!$H:$H,produtos_escape2!$A1577,Controle!$Z:$Z,"4")</f>
        <v>0</v>
      </c>
      <c r="J1577" s="507">
        <f>SUMIFS(Controle!$R:$R,Controle!$H:$H,produtos_escape2!$A1577,Controle!$Z:$Z,"5")</f>
        <v>0</v>
      </c>
      <c r="K1577" s="507">
        <f>SUMIFS(Controle!$R:$R,Controle!$H:$H,produtos_escape2!$A1577,Controle!$Z:$Z,"6")</f>
        <v>0</v>
      </c>
      <c r="L1577" s="507">
        <f t="shared" si="54"/>
        <v>0</v>
      </c>
      <c r="M1577" s="381" t="s">
        <v>5370</v>
      </c>
      <c r="AF1577" s="84"/>
    </row>
    <row r="1578" spans="1:32" s="185" customFormat="1" ht="14.25" customHeight="1" thickBot="1">
      <c r="A1578" s="353">
        <v>90002</v>
      </c>
      <c r="B1578" s="338" t="s">
        <v>3723</v>
      </c>
      <c r="C1578" s="339">
        <f t="shared" si="55"/>
        <v>50000</v>
      </c>
      <c r="D1578" s="196" t="s">
        <v>548</v>
      </c>
      <c r="E1578" s="187" t="s">
        <v>3608</v>
      </c>
      <c r="F1578" s="507">
        <f>SUMIFS(Controle!$R:$R,Controle!$H:$H,produtos_escape2!$A1578,Controle!$Z:$Z,"1")</f>
        <v>0</v>
      </c>
      <c r="G1578" s="507">
        <f>SUMIFS(Controle!$R:$R,Controle!$H:$H,produtos_escape2!$A1578,Controle!$Z:$Z,"2")</f>
        <v>0</v>
      </c>
      <c r="H1578" s="507">
        <f>SUMIFS(Controle!$R:$R,Controle!$H:$H,produtos_escape2!$A1578,Controle!$Z:$Z,"3")</f>
        <v>0</v>
      </c>
      <c r="I1578" s="507">
        <f>SUMIFS(Controle!$R:$R,Controle!$H:$H,produtos_escape2!$A1578,Controle!$Z:$Z,"4")</f>
        <v>0</v>
      </c>
      <c r="J1578" s="507">
        <f>SUMIFS(Controle!$R:$R,Controle!$H:$H,produtos_escape2!$A1578,Controle!$Z:$Z,"5")</f>
        <v>0</v>
      </c>
      <c r="K1578" s="507">
        <f>SUMIFS(Controle!$R:$R,Controle!$H:$H,produtos_escape2!$A1578,Controle!$Z:$Z,"6")</f>
        <v>0</v>
      </c>
      <c r="L1578" s="507">
        <f t="shared" si="54"/>
        <v>0</v>
      </c>
      <c r="M1578" s="381" t="s">
        <v>3723</v>
      </c>
      <c r="AF1578" s="84"/>
    </row>
    <row r="1579" spans="1:32" s="185" customFormat="1" ht="14.25" customHeight="1" thickBot="1">
      <c r="A1579" s="333">
        <v>90005</v>
      </c>
      <c r="B1579" s="194" t="s">
        <v>3683</v>
      </c>
      <c r="C1579" s="339">
        <f t="shared" si="55"/>
        <v>49946</v>
      </c>
      <c r="D1579" s="196" t="s">
        <v>624</v>
      </c>
      <c r="E1579" s="187" t="s">
        <v>3608</v>
      </c>
      <c r="F1579" s="507">
        <f>SUMIFS(Controle!$R:$R,Controle!$H:$H,produtos_escape2!$A1579,Controle!$Z:$Z,"1")</f>
        <v>0</v>
      </c>
      <c r="G1579" s="507">
        <f>SUMIFS(Controle!$R:$R,Controle!$H:$H,produtos_escape2!$A1579,Controle!$Z:$Z,"2")</f>
        <v>0</v>
      </c>
      <c r="H1579" s="507">
        <f>SUMIFS(Controle!$R:$R,Controle!$H:$H,produtos_escape2!$A1579,Controle!$Z:$Z,"3")</f>
        <v>54</v>
      </c>
      <c r="I1579" s="507">
        <f>SUMIFS(Controle!$R:$R,Controle!$H:$H,produtos_escape2!$A1579,Controle!$Z:$Z,"4")</f>
        <v>0</v>
      </c>
      <c r="J1579" s="507">
        <f>SUMIFS(Controle!$R:$R,Controle!$H:$H,produtos_escape2!$A1579,Controle!$Z:$Z,"5")</f>
        <v>0</v>
      </c>
      <c r="K1579" s="507">
        <f>SUMIFS(Controle!$R:$R,Controle!$H:$H,produtos_escape2!$A1579,Controle!$Z:$Z,"6")</f>
        <v>0</v>
      </c>
      <c r="L1579" s="507">
        <f t="shared" si="54"/>
        <v>54</v>
      </c>
      <c r="M1579" s="381" t="s">
        <v>3683</v>
      </c>
      <c r="AF1579" s="84"/>
    </row>
    <row r="1580" spans="1:32" s="185" customFormat="1" ht="14.25" customHeight="1" thickBot="1">
      <c r="A1580" s="353">
        <v>90007</v>
      </c>
      <c r="B1580" s="194" t="s">
        <v>195</v>
      </c>
      <c r="C1580" s="339">
        <f t="shared" si="55"/>
        <v>50000</v>
      </c>
      <c r="D1580" s="196" t="s">
        <v>725</v>
      </c>
      <c r="E1580" s="187" t="s">
        <v>3608</v>
      </c>
      <c r="F1580" s="507">
        <f>SUMIFS(Controle!$R:$R,Controle!$H:$H,produtos_escape2!$A1580,Controle!$Z:$Z,"1")</f>
        <v>0</v>
      </c>
      <c r="G1580" s="507">
        <f>SUMIFS(Controle!$R:$R,Controle!$H:$H,produtos_escape2!$A1580,Controle!$Z:$Z,"2")</f>
        <v>0</v>
      </c>
      <c r="H1580" s="507">
        <f>SUMIFS(Controle!$R:$R,Controle!$H:$H,produtos_escape2!$A1580,Controle!$Z:$Z,"3")</f>
        <v>0</v>
      </c>
      <c r="I1580" s="507">
        <f>SUMIFS(Controle!$R:$R,Controle!$H:$H,produtos_escape2!$A1580,Controle!$Z:$Z,"4")</f>
        <v>0</v>
      </c>
      <c r="J1580" s="507">
        <f>SUMIFS(Controle!$R:$R,Controle!$H:$H,produtos_escape2!$A1580,Controle!$Z:$Z,"5")</f>
        <v>0</v>
      </c>
      <c r="K1580" s="507">
        <f>SUMIFS(Controle!$R:$R,Controle!$H:$H,produtos_escape2!$A1580,Controle!$Z:$Z,"6")</f>
        <v>0</v>
      </c>
      <c r="L1580" s="507">
        <f t="shared" si="54"/>
        <v>0</v>
      </c>
      <c r="M1580" s="381" t="s">
        <v>195</v>
      </c>
      <c r="AF1580" s="84"/>
    </row>
    <row r="1581" spans="1:32" s="185" customFormat="1" ht="14.25" customHeight="1" thickBot="1">
      <c r="A1581" s="353">
        <v>90008</v>
      </c>
      <c r="B1581" s="194" t="s">
        <v>1460</v>
      </c>
      <c r="C1581" s="339">
        <f t="shared" si="55"/>
        <v>50000</v>
      </c>
      <c r="D1581" s="196" t="s">
        <v>547</v>
      </c>
      <c r="E1581" s="187" t="s">
        <v>3608</v>
      </c>
      <c r="F1581" s="507">
        <f>SUMIFS(Controle!$R:$R,Controle!$H:$H,produtos_escape2!$A1581,Controle!$Z:$Z,"1")</f>
        <v>0</v>
      </c>
      <c r="G1581" s="507">
        <f>SUMIFS(Controle!$R:$R,Controle!$H:$H,produtos_escape2!$A1581,Controle!$Z:$Z,"2")</f>
        <v>0</v>
      </c>
      <c r="H1581" s="507">
        <f>SUMIFS(Controle!$R:$R,Controle!$H:$H,produtos_escape2!$A1581,Controle!$Z:$Z,"3")</f>
        <v>0</v>
      </c>
      <c r="I1581" s="507">
        <f>SUMIFS(Controle!$R:$R,Controle!$H:$H,produtos_escape2!$A1581,Controle!$Z:$Z,"4")</f>
        <v>0</v>
      </c>
      <c r="J1581" s="507">
        <f>SUMIFS(Controle!$R:$R,Controle!$H:$H,produtos_escape2!$A1581,Controle!$Z:$Z,"5")</f>
        <v>0</v>
      </c>
      <c r="K1581" s="507">
        <f>SUMIFS(Controle!$R:$R,Controle!$H:$H,produtos_escape2!$A1581,Controle!$Z:$Z,"6")</f>
        <v>0</v>
      </c>
      <c r="L1581" s="507">
        <f t="shared" si="54"/>
        <v>0</v>
      </c>
      <c r="M1581" s="381" t="s">
        <v>5371</v>
      </c>
      <c r="AF1581" s="84"/>
    </row>
    <row r="1582" spans="1:32" s="185" customFormat="1" ht="14.25" customHeight="1" thickBot="1">
      <c r="A1582" s="353">
        <v>90011</v>
      </c>
      <c r="B1582" s="194" t="s">
        <v>211</v>
      </c>
      <c r="C1582" s="339">
        <f t="shared" si="55"/>
        <v>47876</v>
      </c>
      <c r="D1582" s="196" t="s">
        <v>547</v>
      </c>
      <c r="E1582" s="187"/>
      <c r="F1582" s="507">
        <f>SUMIFS(Controle!$R:$R,Controle!$H:$H,produtos_escape2!$A1582,Controle!$Z:$Z,"1")</f>
        <v>0</v>
      </c>
      <c r="G1582" s="507">
        <f>SUMIFS(Controle!$R:$R,Controle!$H:$H,produtos_escape2!$A1582,Controle!$Z:$Z,"2")</f>
        <v>0</v>
      </c>
      <c r="H1582" s="507">
        <f>SUMIFS(Controle!$R:$R,Controle!$H:$H,produtos_escape2!$A1582,Controle!$Z:$Z,"3")</f>
        <v>0</v>
      </c>
      <c r="I1582" s="507">
        <f>SUMIFS(Controle!$R:$R,Controle!$H:$H,produtos_escape2!$A1582,Controle!$Z:$Z,"4")</f>
        <v>0</v>
      </c>
      <c r="J1582" s="507">
        <f>SUMIFS(Controle!$R:$R,Controle!$H:$H,produtos_escape2!$A1582,Controle!$Z:$Z,"5")</f>
        <v>0</v>
      </c>
      <c r="K1582" s="507">
        <f>SUMIFS(Controle!$R:$R,Controle!$H:$H,produtos_escape2!$A1582,Controle!$Z:$Z,"6")</f>
        <v>2124</v>
      </c>
      <c r="L1582" s="507">
        <f t="shared" si="54"/>
        <v>2124</v>
      </c>
      <c r="M1582" s="381" t="s">
        <v>5372</v>
      </c>
      <c r="AF1582" s="84"/>
    </row>
    <row r="1583" spans="1:32" s="185" customFormat="1" ht="14.25" customHeight="1" thickBot="1">
      <c r="A1583" s="353">
        <v>90014</v>
      </c>
      <c r="B1583" s="194" t="s">
        <v>1242</v>
      </c>
      <c r="C1583" s="339">
        <f t="shared" si="55"/>
        <v>50000</v>
      </c>
      <c r="D1583" s="196" t="s">
        <v>725</v>
      </c>
      <c r="E1583" s="187" t="s">
        <v>3608</v>
      </c>
      <c r="F1583" s="507">
        <f>SUMIFS(Controle!$R:$R,Controle!$H:$H,produtos_escape2!$A1583,Controle!$Z:$Z,"1")</f>
        <v>0</v>
      </c>
      <c r="G1583" s="507">
        <f>SUMIFS(Controle!$R:$R,Controle!$H:$H,produtos_escape2!$A1583,Controle!$Z:$Z,"2")</f>
        <v>0</v>
      </c>
      <c r="H1583" s="507">
        <f>SUMIFS(Controle!$R:$R,Controle!$H:$H,produtos_escape2!$A1583,Controle!$Z:$Z,"3")</f>
        <v>0</v>
      </c>
      <c r="I1583" s="507">
        <f>SUMIFS(Controle!$R:$R,Controle!$H:$H,produtos_escape2!$A1583,Controle!$Z:$Z,"4")</f>
        <v>0</v>
      </c>
      <c r="J1583" s="507">
        <f>SUMIFS(Controle!$R:$R,Controle!$H:$H,produtos_escape2!$A1583,Controle!$Z:$Z,"5")</f>
        <v>0</v>
      </c>
      <c r="K1583" s="507">
        <f>SUMIFS(Controle!$R:$R,Controle!$H:$H,produtos_escape2!$A1583,Controle!$Z:$Z,"6")</f>
        <v>0</v>
      </c>
      <c r="L1583" s="507">
        <f t="shared" si="54"/>
        <v>0</v>
      </c>
      <c r="M1583" s="381" t="s">
        <v>1242</v>
      </c>
      <c r="AF1583" s="84"/>
    </row>
    <row r="1584" spans="1:32" s="185" customFormat="1" ht="14.25" customHeight="1" thickBot="1">
      <c r="A1584" s="353">
        <v>90020</v>
      </c>
      <c r="B1584" s="194" t="s">
        <v>3881</v>
      </c>
      <c r="C1584" s="339">
        <f t="shared" si="55"/>
        <v>50000</v>
      </c>
      <c r="D1584" s="196" t="s">
        <v>547</v>
      </c>
      <c r="E1584" s="187" t="s">
        <v>3608</v>
      </c>
      <c r="F1584" s="507">
        <f>SUMIFS(Controle!$R:$R,Controle!$H:$H,produtos_escape2!$A1584,Controle!$Z:$Z,"1")</f>
        <v>0</v>
      </c>
      <c r="G1584" s="507">
        <f>SUMIFS(Controle!$R:$R,Controle!$H:$H,produtos_escape2!$A1584,Controle!$Z:$Z,"2")</f>
        <v>0</v>
      </c>
      <c r="H1584" s="507">
        <f>SUMIFS(Controle!$R:$R,Controle!$H:$H,produtos_escape2!$A1584,Controle!$Z:$Z,"3")</f>
        <v>0</v>
      </c>
      <c r="I1584" s="507">
        <f>SUMIFS(Controle!$R:$R,Controle!$H:$H,produtos_escape2!$A1584,Controle!$Z:$Z,"4")</f>
        <v>0</v>
      </c>
      <c r="J1584" s="507">
        <f>SUMIFS(Controle!$R:$R,Controle!$H:$H,produtos_escape2!$A1584,Controle!$Z:$Z,"5")</f>
        <v>0</v>
      </c>
      <c r="K1584" s="507">
        <f>SUMIFS(Controle!$R:$R,Controle!$H:$H,produtos_escape2!$A1584,Controle!$Z:$Z,"6")</f>
        <v>0</v>
      </c>
      <c r="L1584" s="507">
        <f t="shared" si="54"/>
        <v>0</v>
      </c>
      <c r="M1584" s="381" t="s">
        <v>5373</v>
      </c>
      <c r="AF1584" s="84"/>
    </row>
    <row r="1585" spans="1:32" s="185" customFormat="1" ht="14.25" customHeight="1" thickBot="1">
      <c r="A1585" s="353">
        <v>90021</v>
      </c>
      <c r="B1585" s="194" t="s">
        <v>1526</v>
      </c>
      <c r="C1585" s="339">
        <f t="shared" si="55"/>
        <v>50000</v>
      </c>
      <c r="D1585" s="196" t="s">
        <v>549</v>
      </c>
      <c r="E1585" s="187" t="s">
        <v>3608</v>
      </c>
      <c r="F1585" s="507">
        <f>SUMIFS(Controle!$R:$R,Controle!$H:$H,produtos_escape2!$A1585,Controle!$Z:$Z,"1")</f>
        <v>0</v>
      </c>
      <c r="G1585" s="507">
        <f>SUMIFS(Controle!$R:$R,Controle!$H:$H,produtos_escape2!$A1585,Controle!$Z:$Z,"2")</f>
        <v>0</v>
      </c>
      <c r="H1585" s="507">
        <f>SUMIFS(Controle!$R:$R,Controle!$H:$H,produtos_escape2!$A1585,Controle!$Z:$Z,"3")</f>
        <v>0</v>
      </c>
      <c r="I1585" s="507">
        <f>SUMIFS(Controle!$R:$R,Controle!$H:$H,produtos_escape2!$A1585,Controle!$Z:$Z,"4")</f>
        <v>0</v>
      </c>
      <c r="J1585" s="507">
        <f>SUMIFS(Controle!$R:$R,Controle!$H:$H,produtos_escape2!$A1585,Controle!$Z:$Z,"5")</f>
        <v>0</v>
      </c>
      <c r="K1585" s="507">
        <f>SUMIFS(Controle!$R:$R,Controle!$H:$H,produtos_escape2!$A1585,Controle!$Z:$Z,"6")</f>
        <v>0</v>
      </c>
      <c r="L1585" s="507">
        <f t="shared" si="54"/>
        <v>0</v>
      </c>
      <c r="M1585" s="381" t="s">
        <v>1526</v>
      </c>
      <c r="AF1585" s="84"/>
    </row>
    <row r="1586" spans="1:32" s="185" customFormat="1" ht="14.25" customHeight="1" thickBot="1">
      <c r="A1586" s="353">
        <v>90024</v>
      </c>
      <c r="B1586" s="338" t="s">
        <v>1378</v>
      </c>
      <c r="C1586" s="339">
        <f t="shared" si="55"/>
        <v>50000</v>
      </c>
      <c r="D1586" s="196" t="s">
        <v>547</v>
      </c>
      <c r="E1586" s="187" t="s">
        <v>3608</v>
      </c>
      <c r="F1586" s="507">
        <f>SUMIFS(Controle!$R:$R,Controle!$H:$H,produtos_escape2!$A1586,Controle!$Z:$Z,"1")</f>
        <v>0</v>
      </c>
      <c r="G1586" s="507">
        <f>SUMIFS(Controle!$R:$R,Controle!$H:$H,produtos_escape2!$A1586,Controle!$Z:$Z,"2")</f>
        <v>0</v>
      </c>
      <c r="H1586" s="507">
        <f>SUMIFS(Controle!$R:$R,Controle!$H:$H,produtos_escape2!$A1586,Controle!$Z:$Z,"3")</f>
        <v>0</v>
      </c>
      <c r="I1586" s="507">
        <f>SUMIFS(Controle!$R:$R,Controle!$H:$H,produtos_escape2!$A1586,Controle!$Z:$Z,"4")</f>
        <v>0</v>
      </c>
      <c r="J1586" s="507">
        <f>SUMIFS(Controle!$R:$R,Controle!$H:$H,produtos_escape2!$A1586,Controle!$Z:$Z,"5")</f>
        <v>0</v>
      </c>
      <c r="K1586" s="507">
        <f>SUMIFS(Controle!$R:$R,Controle!$H:$H,produtos_escape2!$A1586,Controle!$Z:$Z,"6")</f>
        <v>0</v>
      </c>
      <c r="L1586" s="507">
        <f t="shared" si="54"/>
        <v>0</v>
      </c>
      <c r="M1586" s="381" t="s">
        <v>1378</v>
      </c>
      <c r="AF1586" s="84"/>
    </row>
    <row r="1587" spans="1:32" s="185" customFormat="1" ht="14.25" customHeight="1" thickBot="1">
      <c r="A1587" s="333">
        <v>90025</v>
      </c>
      <c r="B1587" s="194" t="s">
        <v>243</v>
      </c>
      <c r="C1587" s="339">
        <f t="shared" si="55"/>
        <v>50000</v>
      </c>
      <c r="D1587" s="196" t="s">
        <v>547</v>
      </c>
      <c r="E1587" s="187" t="s">
        <v>3608</v>
      </c>
      <c r="F1587" s="507">
        <f>SUMIFS(Controle!$R:$R,Controle!$H:$H,produtos_escape2!$A1587,Controle!$Z:$Z,"1")</f>
        <v>0</v>
      </c>
      <c r="G1587" s="507">
        <f>SUMIFS(Controle!$R:$R,Controle!$H:$H,produtos_escape2!$A1587,Controle!$Z:$Z,"2")</f>
        <v>0</v>
      </c>
      <c r="H1587" s="507">
        <f>SUMIFS(Controle!$R:$R,Controle!$H:$H,produtos_escape2!$A1587,Controle!$Z:$Z,"3")</f>
        <v>0</v>
      </c>
      <c r="I1587" s="507">
        <f>SUMIFS(Controle!$R:$R,Controle!$H:$H,produtos_escape2!$A1587,Controle!$Z:$Z,"4")</f>
        <v>0</v>
      </c>
      <c r="J1587" s="507">
        <f>SUMIFS(Controle!$R:$R,Controle!$H:$H,produtos_escape2!$A1587,Controle!$Z:$Z,"5")</f>
        <v>0</v>
      </c>
      <c r="K1587" s="507">
        <f>SUMIFS(Controle!$R:$R,Controle!$H:$H,produtos_escape2!$A1587,Controle!$Z:$Z,"6")</f>
        <v>0</v>
      </c>
      <c r="L1587" s="507">
        <f t="shared" si="54"/>
        <v>0</v>
      </c>
      <c r="M1587" s="381" t="s">
        <v>5374</v>
      </c>
      <c r="AF1587" s="84"/>
    </row>
    <row r="1588" spans="1:32" s="185" customFormat="1" ht="14.25" customHeight="1" thickBot="1">
      <c r="A1588" s="353">
        <v>90027</v>
      </c>
      <c r="B1588" s="194" t="s">
        <v>1703</v>
      </c>
      <c r="C1588" s="339">
        <f t="shared" si="55"/>
        <v>50000</v>
      </c>
      <c r="D1588" s="196" t="s">
        <v>548</v>
      </c>
      <c r="E1588" s="187" t="s">
        <v>3608</v>
      </c>
      <c r="F1588" s="507">
        <f>SUMIFS(Controle!$R:$R,Controle!$H:$H,produtos_escape2!$A1588,Controle!$Z:$Z,"1")</f>
        <v>0</v>
      </c>
      <c r="G1588" s="507">
        <f>SUMIFS(Controle!$R:$R,Controle!$H:$H,produtos_escape2!$A1588,Controle!$Z:$Z,"2")</f>
        <v>0</v>
      </c>
      <c r="H1588" s="507">
        <f>SUMIFS(Controle!$R:$R,Controle!$H:$H,produtos_escape2!$A1588,Controle!$Z:$Z,"3")</f>
        <v>0</v>
      </c>
      <c r="I1588" s="507">
        <f>SUMIFS(Controle!$R:$R,Controle!$H:$H,produtos_escape2!$A1588,Controle!$Z:$Z,"4")</f>
        <v>0</v>
      </c>
      <c r="J1588" s="507">
        <f>SUMIFS(Controle!$R:$R,Controle!$H:$H,produtos_escape2!$A1588,Controle!$Z:$Z,"5")</f>
        <v>0</v>
      </c>
      <c r="K1588" s="507">
        <f>SUMIFS(Controle!$R:$R,Controle!$H:$H,produtos_escape2!$A1588,Controle!$Z:$Z,"6")</f>
        <v>0</v>
      </c>
      <c r="L1588" s="507">
        <f t="shared" si="54"/>
        <v>0</v>
      </c>
      <c r="M1588" s="381" t="s">
        <v>1703</v>
      </c>
      <c r="AF1588" s="84"/>
    </row>
    <row r="1589" spans="1:32" s="185" customFormat="1" ht="14.25" customHeight="1" thickBot="1">
      <c r="A1589" s="353">
        <v>90028</v>
      </c>
      <c r="B1589" s="194" t="s">
        <v>110</v>
      </c>
      <c r="C1589" s="339">
        <f t="shared" si="55"/>
        <v>43966.5</v>
      </c>
      <c r="D1589" s="196" t="s">
        <v>894</v>
      </c>
      <c r="E1589" s="187" t="s">
        <v>3608</v>
      </c>
      <c r="F1589" s="507">
        <f>SUMIFS(Controle!$R:$R,Controle!$H:$H,produtos_escape2!$A1589,Controle!$Z:$Z,"1")</f>
        <v>0</v>
      </c>
      <c r="G1589" s="507">
        <f>SUMIFS(Controle!$R:$R,Controle!$H:$H,produtos_escape2!$A1589,Controle!$Z:$Z,"2")</f>
        <v>0</v>
      </c>
      <c r="H1589" s="507">
        <f>SUMIFS(Controle!$R:$R,Controle!$H:$H,produtos_escape2!$A1589,Controle!$Z:$Z,"3")</f>
        <v>825</v>
      </c>
      <c r="I1589" s="507">
        <f>SUMIFS(Controle!$R:$R,Controle!$H:$H,produtos_escape2!$A1589,Controle!$Z:$Z,"4")</f>
        <v>979.99999999999989</v>
      </c>
      <c r="J1589" s="507">
        <f>SUMIFS(Controle!$R:$R,Controle!$H:$H,produtos_escape2!$A1589,Controle!$Z:$Z,"5")</f>
        <v>0</v>
      </c>
      <c r="K1589" s="507">
        <f>SUMIFS(Controle!$R:$R,Controle!$H:$H,produtos_escape2!$A1589,Controle!$Z:$Z,"6")</f>
        <v>4228.5</v>
      </c>
      <c r="L1589" s="507">
        <f t="shared" si="54"/>
        <v>6033.5</v>
      </c>
      <c r="M1589" s="381" t="s">
        <v>110</v>
      </c>
      <c r="AF1589" s="84"/>
    </row>
    <row r="1590" spans="1:32" s="185" customFormat="1" ht="14.25" customHeight="1" thickBot="1">
      <c r="A1590" s="353">
        <v>90029</v>
      </c>
      <c r="B1590" s="194" t="s">
        <v>3613</v>
      </c>
      <c r="C1590" s="339">
        <f t="shared" si="55"/>
        <v>49814.2</v>
      </c>
      <c r="D1590" s="196" t="s">
        <v>548</v>
      </c>
      <c r="E1590" s="187" t="s">
        <v>3608</v>
      </c>
      <c r="F1590" s="507">
        <f>SUMIFS(Controle!$R:$R,Controle!$H:$H,produtos_escape2!$A1590,Controle!$Z:$Z,"1")</f>
        <v>0</v>
      </c>
      <c r="G1590" s="507">
        <f>SUMIFS(Controle!$R:$R,Controle!$H:$H,produtos_escape2!$A1590,Controle!$Z:$Z,"2")</f>
        <v>0</v>
      </c>
      <c r="H1590" s="507">
        <f>SUMIFS(Controle!$R:$R,Controle!$H:$H,produtos_escape2!$A1590,Controle!$Z:$Z,"3")</f>
        <v>185.79999999999998</v>
      </c>
      <c r="I1590" s="507">
        <f>SUMIFS(Controle!$R:$R,Controle!$H:$H,produtos_escape2!$A1590,Controle!$Z:$Z,"4")</f>
        <v>0</v>
      </c>
      <c r="J1590" s="507">
        <f>SUMIFS(Controle!$R:$R,Controle!$H:$H,produtos_escape2!$A1590,Controle!$Z:$Z,"5")</f>
        <v>0</v>
      </c>
      <c r="K1590" s="507">
        <f>SUMIFS(Controle!$R:$R,Controle!$H:$H,produtos_escape2!$A1590,Controle!$Z:$Z,"6")</f>
        <v>0</v>
      </c>
      <c r="L1590" s="507">
        <f t="shared" si="54"/>
        <v>185.79999999999998</v>
      </c>
      <c r="M1590" s="381" t="s">
        <v>5375</v>
      </c>
      <c r="AF1590" s="84"/>
    </row>
    <row r="1591" spans="1:32" s="185" customFormat="1" ht="14.25" customHeight="1" thickBot="1">
      <c r="A1591" s="353">
        <v>90032</v>
      </c>
      <c r="B1591" s="194" t="s">
        <v>1000</v>
      </c>
      <c r="C1591" s="339">
        <f t="shared" si="55"/>
        <v>120.5</v>
      </c>
      <c r="D1591" s="196" t="s">
        <v>547</v>
      </c>
      <c r="E1591" s="187" t="s">
        <v>3608</v>
      </c>
      <c r="F1591" s="507">
        <f>SUMIFS(Controle!$R:$R,Controle!$H:$H,produtos_escape2!$A1591,Controle!$Z:$Z,"1")</f>
        <v>0</v>
      </c>
      <c r="G1591" s="507">
        <f>SUMIFS(Controle!$R:$R,Controle!$H:$H,produtos_escape2!$A1591,Controle!$Z:$Z,"2")</f>
        <v>5094</v>
      </c>
      <c r="H1591" s="507">
        <f>SUMIFS(Controle!$R:$R,Controle!$H:$H,produtos_escape2!$A1591,Controle!$Z:$Z,"3")</f>
        <v>8700</v>
      </c>
      <c r="I1591" s="507">
        <f>SUMIFS(Controle!$R:$R,Controle!$H:$H,produtos_escape2!$A1591,Controle!$Z:$Z,"4")</f>
        <v>9800</v>
      </c>
      <c r="J1591" s="507">
        <f>SUMIFS(Controle!$R:$R,Controle!$H:$H,produtos_escape2!$A1591,Controle!$Z:$Z,"5")</f>
        <v>1928</v>
      </c>
      <c r="K1591" s="507">
        <f>SUMIFS(Controle!$R:$R,Controle!$H:$H,produtos_escape2!$A1591,Controle!$Z:$Z,"6")</f>
        <v>24357.5</v>
      </c>
      <c r="L1591" s="507">
        <f t="shared" si="54"/>
        <v>49879.5</v>
      </c>
      <c r="M1591" s="381" t="s">
        <v>1000</v>
      </c>
      <c r="AF1591" s="84"/>
    </row>
    <row r="1592" spans="1:32" s="185" customFormat="1" ht="14.25" customHeight="1" thickBot="1">
      <c r="A1592" s="353">
        <v>90039</v>
      </c>
      <c r="B1592" s="194" t="s">
        <v>945</v>
      </c>
      <c r="C1592" s="339">
        <f t="shared" si="55"/>
        <v>52</v>
      </c>
      <c r="D1592" s="196" t="s">
        <v>547</v>
      </c>
      <c r="E1592" s="187" t="s">
        <v>3608</v>
      </c>
      <c r="F1592" s="507">
        <f>SUMIFS(Controle!$R:$R,Controle!$H:$H,produtos_escape2!$A1592,Controle!$Z:$Z,"1")</f>
        <v>0</v>
      </c>
      <c r="G1592" s="507">
        <f>SUMIFS(Controle!$R:$R,Controle!$H:$H,produtos_escape2!$A1592,Controle!$Z:$Z,"2")</f>
        <v>0</v>
      </c>
      <c r="H1592" s="507">
        <f>SUMIFS(Controle!$R:$R,Controle!$H:$H,produtos_escape2!$A1592,Controle!$Z:$Z,"3")</f>
        <v>21000</v>
      </c>
      <c r="I1592" s="507">
        <f>SUMIFS(Controle!$R:$R,Controle!$H:$H,produtos_escape2!$A1592,Controle!$Z:$Z,"4")</f>
        <v>11040</v>
      </c>
      <c r="J1592" s="507">
        <f>SUMIFS(Controle!$R:$R,Controle!$H:$H,produtos_escape2!$A1592,Controle!$Z:$Z,"5")</f>
        <v>14268</v>
      </c>
      <c r="K1592" s="507">
        <f>SUMIFS(Controle!$R:$R,Controle!$H:$H,produtos_escape2!$A1592,Controle!$Z:$Z,"6")</f>
        <v>3640</v>
      </c>
      <c r="L1592" s="507">
        <f t="shared" si="54"/>
        <v>49948</v>
      </c>
      <c r="M1592" s="381" t="s">
        <v>945</v>
      </c>
      <c r="AF1592" s="84"/>
    </row>
    <row r="1593" spans="1:32" s="185" customFormat="1" ht="14.25" customHeight="1" thickBot="1">
      <c r="A1593" s="353">
        <v>90040</v>
      </c>
      <c r="B1593" s="194" t="s">
        <v>1370</v>
      </c>
      <c r="C1593" s="339">
        <f t="shared" si="55"/>
        <v>49912.466666666667</v>
      </c>
      <c r="D1593" s="196" t="s">
        <v>725</v>
      </c>
      <c r="E1593" s="187" t="s">
        <v>3608</v>
      </c>
      <c r="F1593" s="507">
        <f>SUMIFS(Controle!$R:$R,Controle!$H:$H,produtos_escape2!$A1593,Controle!$Z:$Z,"1")</f>
        <v>0</v>
      </c>
      <c r="G1593" s="507">
        <f>SUMIFS(Controle!$R:$R,Controle!$H:$H,produtos_escape2!$A1593,Controle!$Z:$Z,"2")</f>
        <v>0</v>
      </c>
      <c r="H1593" s="507">
        <f>SUMIFS(Controle!$R:$R,Controle!$H:$H,produtos_escape2!$A1593,Controle!$Z:$Z,"3")</f>
        <v>0</v>
      </c>
      <c r="I1593" s="507">
        <f>SUMIFS(Controle!$R:$R,Controle!$H:$H,produtos_escape2!$A1593,Controle!$Z:$Z,"4")</f>
        <v>0</v>
      </c>
      <c r="J1593" s="507">
        <f>SUMIFS(Controle!$R:$R,Controle!$H:$H,produtos_escape2!$A1593,Controle!$Z:$Z,"5")</f>
        <v>0</v>
      </c>
      <c r="K1593" s="507">
        <f>SUMIFS(Controle!$R:$R,Controle!$H:$H,produtos_escape2!$A1593,Controle!$Z:$Z,"6")</f>
        <v>87.533333333333331</v>
      </c>
      <c r="L1593" s="507">
        <f t="shared" si="54"/>
        <v>87.533333333333331</v>
      </c>
      <c r="M1593" s="381" t="s">
        <v>5376</v>
      </c>
      <c r="AF1593" s="84"/>
    </row>
    <row r="1594" spans="1:32" s="185" customFormat="1" ht="14.25" customHeight="1" thickBot="1">
      <c r="A1594" s="353">
        <v>90042</v>
      </c>
      <c r="B1594" s="338" t="s">
        <v>2804</v>
      </c>
      <c r="C1594" s="339">
        <f t="shared" si="55"/>
        <v>50000</v>
      </c>
      <c r="D1594" s="196" t="s">
        <v>725</v>
      </c>
      <c r="E1594" s="187" t="s">
        <v>3608</v>
      </c>
      <c r="F1594" s="507">
        <f>SUMIFS(Controle!$R:$R,Controle!$H:$H,produtos_escape2!$A1594,Controle!$Z:$Z,"1")</f>
        <v>0</v>
      </c>
      <c r="G1594" s="507">
        <f>SUMIFS(Controle!$R:$R,Controle!$H:$H,produtos_escape2!$A1594,Controle!$Z:$Z,"2")</f>
        <v>0</v>
      </c>
      <c r="H1594" s="507">
        <f>SUMIFS(Controle!$R:$R,Controle!$H:$H,produtos_escape2!$A1594,Controle!$Z:$Z,"3")</f>
        <v>0</v>
      </c>
      <c r="I1594" s="507">
        <f>SUMIFS(Controle!$R:$R,Controle!$H:$H,produtos_escape2!$A1594,Controle!$Z:$Z,"4")</f>
        <v>0</v>
      </c>
      <c r="J1594" s="507">
        <f>SUMIFS(Controle!$R:$R,Controle!$H:$H,produtos_escape2!$A1594,Controle!$Z:$Z,"5")</f>
        <v>0</v>
      </c>
      <c r="K1594" s="507">
        <f>SUMIFS(Controle!$R:$R,Controle!$H:$H,produtos_escape2!$A1594,Controle!$Z:$Z,"6")</f>
        <v>0</v>
      </c>
      <c r="L1594" s="507">
        <f t="shared" si="54"/>
        <v>0</v>
      </c>
      <c r="M1594" s="381" t="s">
        <v>2804</v>
      </c>
      <c r="AF1594" s="84"/>
    </row>
    <row r="1595" spans="1:32" s="185" customFormat="1" ht="14.25" customHeight="1" thickBot="1">
      <c r="A1595" s="333">
        <v>90043</v>
      </c>
      <c r="B1595" s="194" t="s">
        <v>1469</v>
      </c>
      <c r="C1595" s="339">
        <f t="shared" si="55"/>
        <v>50000</v>
      </c>
      <c r="D1595" s="196" t="s">
        <v>547</v>
      </c>
      <c r="E1595" s="187" t="s">
        <v>3608</v>
      </c>
      <c r="F1595" s="507">
        <f>SUMIFS(Controle!$R:$R,Controle!$H:$H,produtos_escape2!$A1595,Controle!$Z:$Z,"1")</f>
        <v>0</v>
      </c>
      <c r="G1595" s="507">
        <f>SUMIFS(Controle!$R:$R,Controle!$H:$H,produtos_escape2!$A1595,Controle!$Z:$Z,"2")</f>
        <v>0</v>
      </c>
      <c r="H1595" s="507">
        <f>SUMIFS(Controle!$R:$R,Controle!$H:$H,produtos_escape2!$A1595,Controle!$Z:$Z,"3")</f>
        <v>0</v>
      </c>
      <c r="I1595" s="507">
        <f>SUMIFS(Controle!$R:$R,Controle!$H:$H,produtos_escape2!$A1595,Controle!$Z:$Z,"4")</f>
        <v>0</v>
      </c>
      <c r="J1595" s="507">
        <f>SUMIFS(Controle!$R:$R,Controle!$H:$H,produtos_escape2!$A1595,Controle!$Z:$Z,"5")</f>
        <v>0</v>
      </c>
      <c r="K1595" s="507">
        <f>SUMIFS(Controle!$R:$R,Controle!$H:$H,produtos_escape2!$A1595,Controle!$Z:$Z,"6")</f>
        <v>0</v>
      </c>
      <c r="L1595" s="507">
        <f t="shared" si="54"/>
        <v>0</v>
      </c>
      <c r="M1595" s="381" t="s">
        <v>1469</v>
      </c>
      <c r="AF1595" s="84"/>
    </row>
    <row r="1596" spans="1:32" s="185" customFormat="1" ht="14.25" customHeight="1" thickBot="1">
      <c r="A1596" s="353">
        <v>90044</v>
      </c>
      <c r="B1596" s="194" t="s">
        <v>10107</v>
      </c>
      <c r="C1596" s="339">
        <f t="shared" si="55"/>
        <v>49953</v>
      </c>
      <c r="D1596" s="196" t="s">
        <v>547</v>
      </c>
      <c r="E1596" s="189" t="s">
        <v>3608</v>
      </c>
      <c r="F1596" s="507">
        <f>SUMIFS(Controle!$R:$R,Controle!$H:$H,produtos_escape2!$A1596,Controle!$Z:$Z,"1")</f>
        <v>0</v>
      </c>
      <c r="G1596" s="507">
        <f>SUMIFS(Controle!$R:$R,Controle!$H:$H,produtos_escape2!$A1596,Controle!$Z:$Z,"2")</f>
        <v>0</v>
      </c>
      <c r="H1596" s="507">
        <f>SUMIFS(Controle!$R:$R,Controle!$H:$H,produtos_escape2!$A1596,Controle!$Z:$Z,"3")</f>
        <v>0</v>
      </c>
      <c r="I1596" s="507">
        <f>SUMIFS(Controle!$R:$R,Controle!$H:$H,produtos_escape2!$A1596,Controle!$Z:$Z,"4")</f>
        <v>0</v>
      </c>
      <c r="J1596" s="507">
        <f>SUMIFS(Controle!$R:$R,Controle!$H:$H,produtos_escape2!$A1596,Controle!$Z:$Z,"5")</f>
        <v>0</v>
      </c>
      <c r="K1596" s="507">
        <f>SUMIFS(Controle!$R:$R,Controle!$H:$H,produtos_escape2!$A1596,Controle!$Z:$Z,"6")</f>
        <v>47</v>
      </c>
      <c r="L1596" s="507">
        <f t="shared" si="54"/>
        <v>47</v>
      </c>
      <c r="M1596" s="381" t="s">
        <v>10108</v>
      </c>
      <c r="AF1596" s="84"/>
    </row>
    <row r="1597" spans="1:32" s="185" customFormat="1" ht="14.25" customHeight="1" thickBot="1">
      <c r="A1597" s="353">
        <v>90060</v>
      </c>
      <c r="B1597" s="194" t="s">
        <v>1021</v>
      </c>
      <c r="C1597" s="339">
        <f t="shared" si="55"/>
        <v>50000</v>
      </c>
      <c r="D1597" s="196" t="s">
        <v>725</v>
      </c>
      <c r="E1597" s="187"/>
      <c r="F1597" s="507">
        <f>SUMIFS(Controle!$R:$R,Controle!$H:$H,produtos_escape2!$A1597,Controle!$Z:$Z,"1")</f>
        <v>0</v>
      </c>
      <c r="G1597" s="507">
        <f>SUMIFS(Controle!$R:$R,Controle!$H:$H,produtos_escape2!$A1597,Controle!$Z:$Z,"2")</f>
        <v>0</v>
      </c>
      <c r="H1597" s="507">
        <f>SUMIFS(Controle!$R:$R,Controle!$H:$H,produtos_escape2!$A1597,Controle!$Z:$Z,"3")</f>
        <v>0</v>
      </c>
      <c r="I1597" s="507">
        <f>SUMIFS(Controle!$R:$R,Controle!$H:$H,produtos_escape2!$A1597,Controle!$Z:$Z,"4")</f>
        <v>0</v>
      </c>
      <c r="J1597" s="507">
        <f>SUMIFS(Controle!$R:$R,Controle!$H:$H,produtos_escape2!$A1597,Controle!$Z:$Z,"5")</f>
        <v>0</v>
      </c>
      <c r="K1597" s="507">
        <f>SUMIFS(Controle!$R:$R,Controle!$H:$H,produtos_escape2!$A1597,Controle!$Z:$Z,"6")</f>
        <v>0</v>
      </c>
      <c r="L1597" s="507">
        <f t="shared" si="54"/>
        <v>0</v>
      </c>
      <c r="M1597" s="381" t="s">
        <v>1021</v>
      </c>
      <c r="AF1597" s="84"/>
    </row>
    <row r="1598" spans="1:32" s="185" customFormat="1" ht="14.25" customHeight="1" thickBot="1">
      <c r="A1598" s="353">
        <v>90062</v>
      </c>
      <c r="B1598" s="194" t="s">
        <v>1080</v>
      </c>
      <c r="C1598" s="339">
        <f t="shared" si="55"/>
        <v>50000</v>
      </c>
      <c r="D1598" s="196" t="s">
        <v>548</v>
      </c>
      <c r="E1598" s="187" t="s">
        <v>3608</v>
      </c>
      <c r="F1598" s="507">
        <f>SUMIFS(Controle!$R:$R,Controle!$H:$H,produtos_escape2!$A1598,Controle!$Z:$Z,"1")</f>
        <v>0</v>
      </c>
      <c r="G1598" s="507">
        <f>SUMIFS(Controle!$R:$R,Controle!$H:$H,produtos_escape2!$A1598,Controle!$Z:$Z,"2")</f>
        <v>0</v>
      </c>
      <c r="H1598" s="507">
        <f>SUMIFS(Controle!$R:$R,Controle!$H:$H,produtos_escape2!$A1598,Controle!$Z:$Z,"3")</f>
        <v>0</v>
      </c>
      <c r="I1598" s="507">
        <f>SUMIFS(Controle!$R:$R,Controle!$H:$H,produtos_escape2!$A1598,Controle!$Z:$Z,"4")</f>
        <v>0</v>
      </c>
      <c r="J1598" s="507">
        <f>SUMIFS(Controle!$R:$R,Controle!$H:$H,produtos_escape2!$A1598,Controle!$Z:$Z,"5")</f>
        <v>0</v>
      </c>
      <c r="K1598" s="507">
        <f>SUMIFS(Controle!$R:$R,Controle!$H:$H,produtos_escape2!$A1598,Controle!$Z:$Z,"6")</f>
        <v>0</v>
      </c>
      <c r="L1598" s="507">
        <f t="shared" si="54"/>
        <v>0</v>
      </c>
      <c r="M1598" s="381" t="s">
        <v>1080</v>
      </c>
      <c r="AF1598" s="84"/>
    </row>
    <row r="1599" spans="1:32" s="185" customFormat="1" ht="14.25" customHeight="1" thickBot="1">
      <c r="A1599" s="353">
        <v>90063</v>
      </c>
      <c r="B1599" s="194" t="s">
        <v>1052</v>
      </c>
      <c r="C1599" s="339">
        <f t="shared" si="55"/>
        <v>50000</v>
      </c>
      <c r="D1599" s="196" t="s">
        <v>547</v>
      </c>
      <c r="E1599" s="187" t="s">
        <v>3608</v>
      </c>
      <c r="F1599" s="507">
        <f>SUMIFS(Controle!$R:$R,Controle!$H:$H,produtos_escape2!$A1599,Controle!$Z:$Z,"1")</f>
        <v>0</v>
      </c>
      <c r="G1599" s="507">
        <f>SUMIFS(Controle!$R:$R,Controle!$H:$H,produtos_escape2!$A1599,Controle!$Z:$Z,"2")</f>
        <v>0</v>
      </c>
      <c r="H1599" s="507">
        <f>SUMIFS(Controle!$R:$R,Controle!$H:$H,produtos_escape2!$A1599,Controle!$Z:$Z,"3")</f>
        <v>0</v>
      </c>
      <c r="I1599" s="507">
        <f>SUMIFS(Controle!$R:$R,Controle!$H:$H,produtos_escape2!$A1599,Controle!$Z:$Z,"4")</f>
        <v>0</v>
      </c>
      <c r="J1599" s="507">
        <f>SUMIFS(Controle!$R:$R,Controle!$H:$H,produtos_escape2!$A1599,Controle!$Z:$Z,"5")</f>
        <v>0</v>
      </c>
      <c r="K1599" s="507">
        <f>SUMIFS(Controle!$R:$R,Controle!$H:$H,produtos_escape2!$A1599,Controle!$Z:$Z,"6")</f>
        <v>0</v>
      </c>
      <c r="L1599" s="507">
        <f t="shared" ref="L1599:L1662" si="56">SUM(F1599:K1599)</f>
        <v>0</v>
      </c>
      <c r="M1599" s="381" t="s">
        <v>1052</v>
      </c>
      <c r="AF1599" s="84"/>
    </row>
    <row r="1600" spans="1:32" s="185" customFormat="1" ht="14.25" customHeight="1" thickBot="1">
      <c r="A1600" s="353">
        <v>90070</v>
      </c>
      <c r="B1600" s="194" t="s">
        <v>534</v>
      </c>
      <c r="C1600" s="339">
        <f t="shared" si="55"/>
        <v>49510.400000000001</v>
      </c>
      <c r="D1600" s="196" t="s">
        <v>548</v>
      </c>
      <c r="E1600" s="187" t="s">
        <v>3608</v>
      </c>
      <c r="F1600" s="507">
        <f>SUMIFS(Controle!$R:$R,Controle!$H:$H,produtos_escape2!$A1600,Controle!$Z:$Z,"1")</f>
        <v>0</v>
      </c>
      <c r="G1600" s="507">
        <f>SUMIFS(Controle!$R:$R,Controle!$H:$H,produtos_escape2!$A1600,Controle!$Z:$Z,"2")</f>
        <v>0</v>
      </c>
      <c r="H1600" s="507">
        <f>SUMIFS(Controle!$R:$R,Controle!$H:$H,produtos_escape2!$A1600,Controle!$Z:$Z,"3")</f>
        <v>240</v>
      </c>
      <c r="I1600" s="507">
        <f>SUMIFS(Controle!$R:$R,Controle!$H:$H,produtos_escape2!$A1600,Controle!$Z:$Z,"4")</f>
        <v>180</v>
      </c>
      <c r="J1600" s="507">
        <f>SUMIFS(Controle!$R:$R,Controle!$H:$H,produtos_escape2!$A1600,Controle!$Z:$Z,"5")</f>
        <v>0</v>
      </c>
      <c r="K1600" s="507">
        <f>SUMIFS(Controle!$R:$R,Controle!$H:$H,produtos_escape2!$A1600,Controle!$Z:$Z,"6")</f>
        <v>69.599999999999994</v>
      </c>
      <c r="L1600" s="507">
        <f t="shared" si="56"/>
        <v>489.6</v>
      </c>
      <c r="M1600" s="381" t="s">
        <v>534</v>
      </c>
      <c r="AF1600" s="84"/>
    </row>
    <row r="1601" spans="1:32" s="185" customFormat="1" ht="14.25" customHeight="1" thickBot="1">
      <c r="A1601" s="353">
        <v>90071</v>
      </c>
      <c r="B1601" s="194" t="s">
        <v>1144</v>
      </c>
      <c r="C1601" s="339">
        <f t="shared" si="55"/>
        <v>50000</v>
      </c>
      <c r="D1601" s="196" t="s">
        <v>725</v>
      </c>
      <c r="E1601" s="187" t="s">
        <v>3608</v>
      </c>
      <c r="F1601" s="507">
        <f>SUMIFS(Controle!$R:$R,Controle!$H:$H,produtos_escape2!$A1601,Controle!$Z:$Z,"1")</f>
        <v>0</v>
      </c>
      <c r="G1601" s="507">
        <f>SUMIFS(Controle!$R:$R,Controle!$H:$H,produtos_escape2!$A1601,Controle!$Z:$Z,"2")</f>
        <v>0</v>
      </c>
      <c r="H1601" s="507">
        <f>SUMIFS(Controle!$R:$R,Controle!$H:$H,produtos_escape2!$A1601,Controle!$Z:$Z,"3")</f>
        <v>0</v>
      </c>
      <c r="I1601" s="507">
        <f>SUMIFS(Controle!$R:$R,Controle!$H:$H,produtos_escape2!$A1601,Controle!$Z:$Z,"4")</f>
        <v>0</v>
      </c>
      <c r="J1601" s="507">
        <f>SUMIFS(Controle!$R:$R,Controle!$H:$H,produtos_escape2!$A1601,Controle!$Z:$Z,"5")</f>
        <v>0</v>
      </c>
      <c r="K1601" s="507">
        <f>SUMIFS(Controle!$R:$R,Controle!$H:$H,produtos_escape2!$A1601,Controle!$Z:$Z,"6")</f>
        <v>0</v>
      </c>
      <c r="L1601" s="507">
        <f t="shared" si="56"/>
        <v>0</v>
      </c>
      <c r="M1601" s="381" t="s">
        <v>1144</v>
      </c>
      <c r="AF1601" s="84"/>
    </row>
    <row r="1602" spans="1:32" s="185" customFormat="1" ht="14.25" customHeight="1" thickBot="1">
      <c r="A1602" s="353">
        <v>90072</v>
      </c>
      <c r="B1602" s="194" t="s">
        <v>3662</v>
      </c>
      <c r="C1602" s="339">
        <f t="shared" si="55"/>
        <v>50000</v>
      </c>
      <c r="D1602" s="196" t="s">
        <v>548</v>
      </c>
      <c r="E1602" s="187" t="s">
        <v>3608</v>
      </c>
      <c r="F1602" s="507">
        <f>SUMIFS(Controle!$R:$R,Controle!$H:$H,produtos_escape2!$A1602,Controle!$Z:$Z,"1")</f>
        <v>0</v>
      </c>
      <c r="G1602" s="507">
        <f>SUMIFS(Controle!$R:$R,Controle!$H:$H,produtos_escape2!$A1602,Controle!$Z:$Z,"2")</f>
        <v>0</v>
      </c>
      <c r="H1602" s="507">
        <f>SUMIFS(Controle!$R:$R,Controle!$H:$H,produtos_escape2!$A1602,Controle!$Z:$Z,"3")</f>
        <v>0</v>
      </c>
      <c r="I1602" s="507">
        <f>SUMIFS(Controle!$R:$R,Controle!$H:$H,produtos_escape2!$A1602,Controle!$Z:$Z,"4")</f>
        <v>0</v>
      </c>
      <c r="J1602" s="507">
        <f>SUMIFS(Controle!$R:$R,Controle!$H:$H,produtos_escape2!$A1602,Controle!$Z:$Z,"5")</f>
        <v>0</v>
      </c>
      <c r="K1602" s="507">
        <f>SUMIFS(Controle!$R:$R,Controle!$H:$H,produtos_escape2!$A1602,Controle!$Z:$Z,"6")</f>
        <v>0</v>
      </c>
      <c r="L1602" s="507">
        <f t="shared" si="56"/>
        <v>0</v>
      </c>
      <c r="M1602" s="381" t="s">
        <v>3662</v>
      </c>
      <c r="AF1602" s="84"/>
    </row>
    <row r="1603" spans="1:32" s="185" customFormat="1" ht="14.25" customHeight="1" thickBot="1">
      <c r="A1603" s="353">
        <v>90074</v>
      </c>
      <c r="B1603" s="338" t="s">
        <v>1256</v>
      </c>
      <c r="C1603" s="339">
        <f t="shared" si="55"/>
        <v>49790</v>
      </c>
      <c r="D1603" s="196" t="s">
        <v>547</v>
      </c>
      <c r="E1603" s="187" t="s">
        <v>3608</v>
      </c>
      <c r="F1603" s="507">
        <f>SUMIFS(Controle!$R:$R,Controle!$H:$H,produtos_escape2!$A1603,Controle!$Z:$Z,"1")</f>
        <v>0</v>
      </c>
      <c r="G1603" s="507">
        <f>SUMIFS(Controle!$R:$R,Controle!$H:$H,produtos_escape2!$A1603,Controle!$Z:$Z,"2")</f>
        <v>0</v>
      </c>
      <c r="H1603" s="507">
        <f>SUMIFS(Controle!$R:$R,Controle!$H:$H,produtos_escape2!$A1603,Controle!$Z:$Z,"3")</f>
        <v>0</v>
      </c>
      <c r="I1603" s="507">
        <f>SUMIFS(Controle!$R:$R,Controle!$H:$H,produtos_escape2!$A1603,Controle!$Z:$Z,"4")</f>
        <v>0</v>
      </c>
      <c r="J1603" s="507">
        <f>SUMIFS(Controle!$R:$R,Controle!$H:$H,produtos_escape2!$A1603,Controle!$Z:$Z,"5")</f>
        <v>0</v>
      </c>
      <c r="K1603" s="507">
        <f>SUMIFS(Controle!$R:$R,Controle!$H:$H,produtos_escape2!$A1603,Controle!$Z:$Z,"6")</f>
        <v>210</v>
      </c>
      <c r="L1603" s="507">
        <f t="shared" si="56"/>
        <v>210</v>
      </c>
      <c r="M1603" s="381" t="s">
        <v>1256</v>
      </c>
      <c r="AF1603" s="84"/>
    </row>
    <row r="1604" spans="1:32" s="185" customFormat="1" ht="14.25" customHeight="1" thickBot="1">
      <c r="A1604" s="333">
        <v>90075</v>
      </c>
      <c r="B1604" s="194" t="s">
        <v>1081</v>
      </c>
      <c r="C1604" s="339">
        <f t="shared" si="55"/>
        <v>50000</v>
      </c>
      <c r="D1604" s="196" t="s">
        <v>725</v>
      </c>
      <c r="E1604" s="187" t="s">
        <v>3608</v>
      </c>
      <c r="F1604" s="507">
        <f>SUMIFS(Controle!$R:$R,Controle!$H:$H,produtos_escape2!$A1604,Controle!$Z:$Z,"1")</f>
        <v>0</v>
      </c>
      <c r="G1604" s="507">
        <f>SUMIFS(Controle!$R:$R,Controle!$H:$H,produtos_escape2!$A1604,Controle!$Z:$Z,"2")</f>
        <v>0</v>
      </c>
      <c r="H1604" s="507">
        <f>SUMIFS(Controle!$R:$R,Controle!$H:$H,produtos_escape2!$A1604,Controle!$Z:$Z,"3")</f>
        <v>0</v>
      </c>
      <c r="I1604" s="507">
        <f>SUMIFS(Controle!$R:$R,Controle!$H:$H,produtos_escape2!$A1604,Controle!$Z:$Z,"4")</f>
        <v>0</v>
      </c>
      <c r="J1604" s="507">
        <f>SUMIFS(Controle!$R:$R,Controle!$H:$H,produtos_escape2!$A1604,Controle!$Z:$Z,"5")</f>
        <v>0</v>
      </c>
      <c r="K1604" s="507">
        <f>SUMIFS(Controle!$R:$R,Controle!$H:$H,produtos_escape2!$A1604,Controle!$Z:$Z,"6")</f>
        <v>0</v>
      </c>
      <c r="L1604" s="507">
        <f t="shared" si="56"/>
        <v>0</v>
      </c>
      <c r="M1604" s="381" t="s">
        <v>1081</v>
      </c>
      <c r="AF1604" s="84"/>
    </row>
    <row r="1605" spans="1:32" s="185" customFormat="1" ht="14.25" customHeight="1" thickBot="1">
      <c r="A1605" s="353">
        <v>90076</v>
      </c>
      <c r="B1605" s="194" t="s">
        <v>1558</v>
      </c>
      <c r="C1605" s="339">
        <f t="shared" si="55"/>
        <v>50000</v>
      </c>
      <c r="D1605" s="196" t="s">
        <v>547</v>
      </c>
      <c r="E1605" s="187" t="s">
        <v>3608</v>
      </c>
      <c r="F1605" s="507">
        <f>SUMIFS(Controle!$R:$R,Controle!$H:$H,produtos_escape2!$A1605,Controle!$Z:$Z,"1")</f>
        <v>0</v>
      </c>
      <c r="G1605" s="507">
        <f>SUMIFS(Controle!$R:$R,Controle!$H:$H,produtos_escape2!$A1605,Controle!$Z:$Z,"2")</f>
        <v>0</v>
      </c>
      <c r="H1605" s="507">
        <f>SUMIFS(Controle!$R:$R,Controle!$H:$H,produtos_escape2!$A1605,Controle!$Z:$Z,"3")</f>
        <v>0</v>
      </c>
      <c r="I1605" s="507">
        <f>SUMIFS(Controle!$R:$R,Controle!$H:$H,produtos_escape2!$A1605,Controle!$Z:$Z,"4")</f>
        <v>0</v>
      </c>
      <c r="J1605" s="507">
        <f>SUMIFS(Controle!$R:$R,Controle!$H:$H,produtos_escape2!$A1605,Controle!$Z:$Z,"5")</f>
        <v>0</v>
      </c>
      <c r="K1605" s="507">
        <f>SUMIFS(Controle!$R:$R,Controle!$H:$H,produtos_escape2!$A1605,Controle!$Z:$Z,"6")</f>
        <v>0</v>
      </c>
      <c r="L1605" s="507">
        <f t="shared" si="56"/>
        <v>0</v>
      </c>
      <c r="M1605" s="381" t="s">
        <v>1558</v>
      </c>
      <c r="AF1605" s="84"/>
    </row>
    <row r="1606" spans="1:32" s="185" customFormat="1" ht="14.25" customHeight="1" thickBot="1">
      <c r="A1606" s="353">
        <v>90077</v>
      </c>
      <c r="B1606" s="194" t="s">
        <v>1397</v>
      </c>
      <c r="C1606" s="339">
        <f t="shared" si="55"/>
        <v>50000</v>
      </c>
      <c r="D1606" s="196" t="s">
        <v>725</v>
      </c>
      <c r="E1606" s="187" t="s">
        <v>3608</v>
      </c>
      <c r="F1606" s="507">
        <f>SUMIFS(Controle!$R:$R,Controle!$H:$H,produtos_escape2!$A1606,Controle!$Z:$Z,"1")</f>
        <v>0</v>
      </c>
      <c r="G1606" s="507">
        <f>SUMIFS(Controle!$R:$R,Controle!$H:$H,produtos_escape2!$A1606,Controle!$Z:$Z,"2")</f>
        <v>0</v>
      </c>
      <c r="H1606" s="507">
        <f>SUMIFS(Controle!$R:$R,Controle!$H:$H,produtos_escape2!$A1606,Controle!$Z:$Z,"3")</f>
        <v>0</v>
      </c>
      <c r="I1606" s="507">
        <f>SUMIFS(Controle!$R:$R,Controle!$H:$H,produtos_escape2!$A1606,Controle!$Z:$Z,"4")</f>
        <v>0</v>
      </c>
      <c r="J1606" s="507">
        <f>SUMIFS(Controle!$R:$R,Controle!$H:$H,produtos_escape2!$A1606,Controle!$Z:$Z,"5")</f>
        <v>0</v>
      </c>
      <c r="K1606" s="507">
        <f>SUMIFS(Controle!$R:$R,Controle!$H:$H,produtos_escape2!$A1606,Controle!$Z:$Z,"6")</f>
        <v>0</v>
      </c>
      <c r="L1606" s="507">
        <f t="shared" si="56"/>
        <v>0</v>
      </c>
      <c r="M1606" s="381" t="s">
        <v>1397</v>
      </c>
      <c r="AF1606" s="84"/>
    </row>
    <row r="1607" spans="1:32" s="185" customFormat="1" ht="14.25" customHeight="1" thickBot="1">
      <c r="A1607" s="353">
        <v>90078</v>
      </c>
      <c r="B1607" s="194" t="s">
        <v>647</v>
      </c>
      <c r="C1607" s="339">
        <f t="shared" si="55"/>
        <v>50000</v>
      </c>
      <c r="D1607" s="196" t="s">
        <v>548</v>
      </c>
      <c r="E1607" s="187" t="s">
        <v>3608</v>
      </c>
      <c r="F1607" s="507">
        <f>SUMIFS(Controle!$R:$R,Controle!$H:$H,produtos_escape2!$A1607,Controle!$Z:$Z,"1")</f>
        <v>0</v>
      </c>
      <c r="G1607" s="507">
        <f>SUMIFS(Controle!$R:$R,Controle!$H:$H,produtos_escape2!$A1607,Controle!$Z:$Z,"2")</f>
        <v>0</v>
      </c>
      <c r="H1607" s="507">
        <f>SUMIFS(Controle!$R:$R,Controle!$H:$H,produtos_escape2!$A1607,Controle!$Z:$Z,"3")</f>
        <v>0</v>
      </c>
      <c r="I1607" s="507">
        <f>SUMIFS(Controle!$R:$R,Controle!$H:$H,produtos_escape2!$A1607,Controle!$Z:$Z,"4")</f>
        <v>0</v>
      </c>
      <c r="J1607" s="507">
        <f>SUMIFS(Controle!$R:$R,Controle!$H:$H,produtos_escape2!$A1607,Controle!$Z:$Z,"5")</f>
        <v>0</v>
      </c>
      <c r="K1607" s="507">
        <f>SUMIFS(Controle!$R:$R,Controle!$H:$H,produtos_escape2!$A1607,Controle!$Z:$Z,"6")</f>
        <v>0</v>
      </c>
      <c r="L1607" s="507">
        <f t="shared" si="56"/>
        <v>0</v>
      </c>
      <c r="M1607" s="381" t="s">
        <v>5377</v>
      </c>
      <c r="AF1607" s="84"/>
    </row>
    <row r="1608" spans="1:32" s="185" customFormat="1" ht="14.25" customHeight="1" thickBot="1">
      <c r="A1608" s="353">
        <v>90079</v>
      </c>
      <c r="B1608" s="194" t="s">
        <v>1269</v>
      </c>
      <c r="C1608" s="339">
        <f t="shared" ref="C1608:C1671" si="57">50000-SUM(F1608:K1608)</f>
        <v>50000</v>
      </c>
      <c r="D1608" s="196" t="s">
        <v>547</v>
      </c>
      <c r="E1608" s="187" t="s">
        <v>3608</v>
      </c>
      <c r="F1608" s="507">
        <f>SUMIFS(Controle!$R:$R,Controle!$H:$H,produtos_escape2!$A1608,Controle!$Z:$Z,"1")</f>
        <v>0</v>
      </c>
      <c r="G1608" s="507">
        <f>SUMIFS(Controle!$R:$R,Controle!$H:$H,produtos_escape2!$A1608,Controle!$Z:$Z,"2")</f>
        <v>0</v>
      </c>
      <c r="H1608" s="507">
        <f>SUMIFS(Controle!$R:$R,Controle!$H:$H,produtos_escape2!$A1608,Controle!$Z:$Z,"3")</f>
        <v>0</v>
      </c>
      <c r="I1608" s="507">
        <f>SUMIFS(Controle!$R:$R,Controle!$H:$H,produtos_escape2!$A1608,Controle!$Z:$Z,"4")</f>
        <v>0</v>
      </c>
      <c r="J1608" s="507">
        <f>SUMIFS(Controle!$R:$R,Controle!$H:$H,produtos_escape2!$A1608,Controle!$Z:$Z,"5")</f>
        <v>0</v>
      </c>
      <c r="K1608" s="507">
        <f>SUMIFS(Controle!$R:$R,Controle!$H:$H,produtos_escape2!$A1608,Controle!$Z:$Z,"6")</f>
        <v>0</v>
      </c>
      <c r="L1608" s="507">
        <f t="shared" si="56"/>
        <v>0</v>
      </c>
      <c r="M1608" s="381" t="s">
        <v>1269</v>
      </c>
      <c r="AF1608" s="84"/>
    </row>
    <row r="1609" spans="1:32" s="185" customFormat="1" ht="14.25" customHeight="1" thickBot="1">
      <c r="A1609" s="353">
        <v>90080</v>
      </c>
      <c r="B1609" s="194" t="s">
        <v>446</v>
      </c>
      <c r="C1609" s="339">
        <f t="shared" si="57"/>
        <v>50000</v>
      </c>
      <c r="D1609" s="196" t="s">
        <v>547</v>
      </c>
      <c r="E1609" s="187" t="s">
        <v>3608</v>
      </c>
      <c r="F1609" s="507">
        <f>SUMIFS(Controle!$R:$R,Controle!$H:$H,produtos_escape2!$A1609,Controle!$Z:$Z,"1")</f>
        <v>0</v>
      </c>
      <c r="G1609" s="507">
        <f>SUMIFS(Controle!$R:$R,Controle!$H:$H,produtos_escape2!$A1609,Controle!$Z:$Z,"2")</f>
        <v>0</v>
      </c>
      <c r="H1609" s="507">
        <f>SUMIFS(Controle!$R:$R,Controle!$H:$H,produtos_escape2!$A1609,Controle!$Z:$Z,"3")</f>
        <v>0</v>
      </c>
      <c r="I1609" s="507">
        <f>SUMIFS(Controle!$R:$R,Controle!$H:$H,produtos_escape2!$A1609,Controle!$Z:$Z,"4")</f>
        <v>0</v>
      </c>
      <c r="J1609" s="507">
        <f>SUMIFS(Controle!$R:$R,Controle!$H:$H,produtos_escape2!$A1609,Controle!$Z:$Z,"5")</f>
        <v>0</v>
      </c>
      <c r="K1609" s="507">
        <f>SUMIFS(Controle!$R:$R,Controle!$H:$H,produtos_escape2!$A1609,Controle!$Z:$Z,"6")</f>
        <v>0</v>
      </c>
      <c r="L1609" s="507">
        <f t="shared" si="56"/>
        <v>0</v>
      </c>
      <c r="M1609" s="381" t="s">
        <v>446</v>
      </c>
      <c r="AF1609" s="84"/>
    </row>
    <row r="1610" spans="1:32" s="185" customFormat="1" ht="14.25" customHeight="1" thickBot="1">
      <c r="A1610" s="353">
        <v>90088</v>
      </c>
      <c r="B1610" s="194" t="s">
        <v>1263</v>
      </c>
      <c r="C1610" s="339">
        <f t="shared" si="57"/>
        <v>50000</v>
      </c>
      <c r="D1610" s="196" t="s">
        <v>548</v>
      </c>
      <c r="E1610" s="187" t="s">
        <v>3608</v>
      </c>
      <c r="F1610" s="507">
        <f>SUMIFS(Controle!$R:$R,Controle!$H:$H,produtos_escape2!$A1610,Controle!$Z:$Z,"1")</f>
        <v>0</v>
      </c>
      <c r="G1610" s="507">
        <f>SUMIFS(Controle!$R:$R,Controle!$H:$H,produtos_escape2!$A1610,Controle!$Z:$Z,"2")</f>
        <v>0</v>
      </c>
      <c r="H1610" s="507">
        <f>SUMIFS(Controle!$R:$R,Controle!$H:$H,produtos_escape2!$A1610,Controle!$Z:$Z,"3")</f>
        <v>0</v>
      </c>
      <c r="I1610" s="507">
        <f>SUMIFS(Controle!$R:$R,Controle!$H:$H,produtos_escape2!$A1610,Controle!$Z:$Z,"4")</f>
        <v>0</v>
      </c>
      <c r="J1610" s="507">
        <f>SUMIFS(Controle!$R:$R,Controle!$H:$H,produtos_escape2!$A1610,Controle!$Z:$Z,"5")</f>
        <v>0</v>
      </c>
      <c r="K1610" s="507">
        <f>SUMIFS(Controle!$R:$R,Controle!$H:$H,produtos_escape2!$A1610,Controle!$Z:$Z,"6")</f>
        <v>0</v>
      </c>
      <c r="L1610" s="507">
        <f t="shared" si="56"/>
        <v>0</v>
      </c>
      <c r="M1610" s="381" t="s">
        <v>5378</v>
      </c>
      <c r="AF1610" s="84"/>
    </row>
    <row r="1611" spans="1:32" s="185" customFormat="1" ht="14.25" customHeight="1" thickBot="1">
      <c r="A1611" s="353">
        <v>90094</v>
      </c>
      <c r="B1611" s="338" t="s">
        <v>235</v>
      </c>
      <c r="C1611" s="339">
        <f t="shared" si="57"/>
        <v>50000</v>
      </c>
      <c r="D1611" s="196" t="s">
        <v>547</v>
      </c>
      <c r="E1611" s="187" t="s">
        <v>3608</v>
      </c>
      <c r="F1611" s="507">
        <f>SUMIFS(Controle!$R:$R,Controle!$H:$H,produtos_escape2!$A1611,Controle!$Z:$Z,"1")</f>
        <v>0</v>
      </c>
      <c r="G1611" s="507">
        <f>SUMIFS(Controle!$R:$R,Controle!$H:$H,produtos_escape2!$A1611,Controle!$Z:$Z,"2")</f>
        <v>0</v>
      </c>
      <c r="H1611" s="507">
        <f>SUMIFS(Controle!$R:$R,Controle!$H:$H,produtos_escape2!$A1611,Controle!$Z:$Z,"3")</f>
        <v>0</v>
      </c>
      <c r="I1611" s="507">
        <f>SUMIFS(Controle!$R:$R,Controle!$H:$H,produtos_escape2!$A1611,Controle!$Z:$Z,"4")</f>
        <v>0</v>
      </c>
      <c r="J1611" s="507">
        <f>SUMIFS(Controle!$R:$R,Controle!$H:$H,produtos_escape2!$A1611,Controle!$Z:$Z,"5")</f>
        <v>0</v>
      </c>
      <c r="K1611" s="507">
        <f>SUMIFS(Controle!$R:$R,Controle!$H:$H,produtos_escape2!$A1611,Controle!$Z:$Z,"6")</f>
        <v>0</v>
      </c>
      <c r="L1611" s="507">
        <f t="shared" si="56"/>
        <v>0</v>
      </c>
      <c r="M1611" s="381" t="s">
        <v>235</v>
      </c>
      <c r="AF1611" s="84"/>
    </row>
    <row r="1612" spans="1:32" s="185" customFormat="1" ht="14.25" customHeight="1" thickBot="1">
      <c r="A1612" s="333">
        <v>90095</v>
      </c>
      <c r="B1612" s="194" t="s">
        <v>430</v>
      </c>
      <c r="C1612" s="339">
        <f t="shared" si="57"/>
        <v>50000</v>
      </c>
      <c r="D1612" s="196" t="s">
        <v>548</v>
      </c>
      <c r="E1612" s="187" t="s">
        <v>3608</v>
      </c>
      <c r="F1612" s="507">
        <f>SUMIFS(Controle!$R:$R,Controle!$H:$H,produtos_escape2!$A1612,Controle!$Z:$Z,"1")</f>
        <v>0</v>
      </c>
      <c r="G1612" s="507">
        <f>SUMIFS(Controle!$R:$R,Controle!$H:$H,produtos_escape2!$A1612,Controle!$Z:$Z,"2")</f>
        <v>0</v>
      </c>
      <c r="H1612" s="507">
        <f>SUMIFS(Controle!$R:$R,Controle!$H:$H,produtos_escape2!$A1612,Controle!$Z:$Z,"3")</f>
        <v>0</v>
      </c>
      <c r="I1612" s="507">
        <f>SUMIFS(Controle!$R:$R,Controle!$H:$H,produtos_escape2!$A1612,Controle!$Z:$Z,"4")</f>
        <v>0</v>
      </c>
      <c r="J1612" s="507">
        <f>SUMIFS(Controle!$R:$R,Controle!$H:$H,produtos_escape2!$A1612,Controle!$Z:$Z,"5")</f>
        <v>0</v>
      </c>
      <c r="K1612" s="507">
        <f>SUMIFS(Controle!$R:$R,Controle!$H:$H,produtos_escape2!$A1612,Controle!$Z:$Z,"6")</f>
        <v>0</v>
      </c>
      <c r="L1612" s="507">
        <f t="shared" si="56"/>
        <v>0</v>
      </c>
      <c r="M1612" s="381" t="s">
        <v>5379</v>
      </c>
      <c r="AF1612" s="84"/>
    </row>
    <row r="1613" spans="1:32" s="185" customFormat="1" ht="14.25" customHeight="1" thickBot="1">
      <c r="A1613" s="353">
        <v>90099</v>
      </c>
      <c r="B1613" s="194" t="s">
        <v>1085</v>
      </c>
      <c r="C1613" s="339">
        <f t="shared" si="57"/>
        <v>50000</v>
      </c>
      <c r="D1613" s="196" t="s">
        <v>806</v>
      </c>
      <c r="E1613" s="187" t="s">
        <v>3608</v>
      </c>
      <c r="F1613" s="507">
        <f>SUMIFS(Controle!$R:$R,Controle!$H:$H,produtos_escape2!$A1613,Controle!$Z:$Z,"1")</f>
        <v>0</v>
      </c>
      <c r="G1613" s="507">
        <f>SUMIFS(Controle!$R:$R,Controle!$H:$H,produtos_escape2!$A1613,Controle!$Z:$Z,"2")</f>
        <v>0</v>
      </c>
      <c r="H1613" s="507">
        <f>SUMIFS(Controle!$R:$R,Controle!$H:$H,produtos_escape2!$A1613,Controle!$Z:$Z,"3")</f>
        <v>0</v>
      </c>
      <c r="I1613" s="507">
        <f>SUMIFS(Controle!$R:$R,Controle!$H:$H,produtos_escape2!$A1613,Controle!$Z:$Z,"4")</f>
        <v>0</v>
      </c>
      <c r="J1613" s="507">
        <f>SUMIFS(Controle!$R:$R,Controle!$H:$H,produtos_escape2!$A1613,Controle!$Z:$Z,"5")</f>
        <v>0</v>
      </c>
      <c r="K1613" s="507">
        <f>SUMIFS(Controle!$R:$R,Controle!$H:$H,produtos_escape2!$A1613,Controle!$Z:$Z,"6")</f>
        <v>0</v>
      </c>
      <c r="L1613" s="507">
        <f t="shared" si="56"/>
        <v>0</v>
      </c>
      <c r="M1613" s="381" t="s">
        <v>1085</v>
      </c>
      <c r="AF1613" s="84"/>
    </row>
    <row r="1614" spans="1:32" s="185" customFormat="1" ht="14.25" customHeight="1" thickBot="1">
      <c r="A1614" s="353">
        <v>90100</v>
      </c>
      <c r="B1614" s="194" t="s">
        <v>1337</v>
      </c>
      <c r="C1614" s="339">
        <f t="shared" si="57"/>
        <v>50000</v>
      </c>
      <c r="D1614" s="196" t="s">
        <v>725</v>
      </c>
      <c r="E1614" s="187" t="s">
        <v>3608</v>
      </c>
      <c r="F1614" s="507">
        <f>SUMIFS(Controle!$R:$R,Controle!$H:$H,produtos_escape2!$A1614,Controle!$Z:$Z,"1")</f>
        <v>0</v>
      </c>
      <c r="G1614" s="507">
        <f>SUMIFS(Controle!$R:$R,Controle!$H:$H,produtos_escape2!$A1614,Controle!$Z:$Z,"2")</f>
        <v>0</v>
      </c>
      <c r="H1614" s="507">
        <f>SUMIFS(Controle!$R:$R,Controle!$H:$H,produtos_escape2!$A1614,Controle!$Z:$Z,"3")</f>
        <v>0</v>
      </c>
      <c r="I1614" s="507">
        <f>SUMIFS(Controle!$R:$R,Controle!$H:$H,produtos_escape2!$A1614,Controle!$Z:$Z,"4")</f>
        <v>0</v>
      </c>
      <c r="J1614" s="507">
        <f>SUMIFS(Controle!$R:$R,Controle!$H:$H,produtos_escape2!$A1614,Controle!$Z:$Z,"5")</f>
        <v>0</v>
      </c>
      <c r="K1614" s="507">
        <f>SUMIFS(Controle!$R:$R,Controle!$H:$H,produtos_escape2!$A1614,Controle!$Z:$Z,"6")</f>
        <v>0</v>
      </c>
      <c r="L1614" s="507">
        <f t="shared" si="56"/>
        <v>0</v>
      </c>
      <c r="M1614" s="381" t="s">
        <v>1337</v>
      </c>
      <c r="AF1614" s="84"/>
    </row>
    <row r="1615" spans="1:32" s="185" customFormat="1" ht="14.25" customHeight="1" thickBot="1">
      <c r="A1615" s="353">
        <v>90101</v>
      </c>
      <c r="B1615" s="194" t="s">
        <v>1487</v>
      </c>
      <c r="C1615" s="339">
        <f t="shared" si="57"/>
        <v>50000</v>
      </c>
      <c r="D1615" s="196" t="s">
        <v>725</v>
      </c>
      <c r="E1615" s="187" t="s">
        <v>3608</v>
      </c>
      <c r="F1615" s="507">
        <f>SUMIFS(Controle!$R:$R,Controle!$H:$H,produtos_escape2!$A1615,Controle!$Z:$Z,"1")</f>
        <v>0</v>
      </c>
      <c r="G1615" s="507">
        <f>SUMIFS(Controle!$R:$R,Controle!$H:$H,produtos_escape2!$A1615,Controle!$Z:$Z,"2")</f>
        <v>0</v>
      </c>
      <c r="H1615" s="507">
        <f>SUMIFS(Controle!$R:$R,Controle!$H:$H,produtos_escape2!$A1615,Controle!$Z:$Z,"3")</f>
        <v>0</v>
      </c>
      <c r="I1615" s="507">
        <f>SUMIFS(Controle!$R:$R,Controle!$H:$H,produtos_escape2!$A1615,Controle!$Z:$Z,"4")</f>
        <v>0</v>
      </c>
      <c r="J1615" s="507">
        <f>SUMIFS(Controle!$R:$R,Controle!$H:$H,produtos_escape2!$A1615,Controle!$Z:$Z,"5")</f>
        <v>0</v>
      </c>
      <c r="K1615" s="507">
        <f>SUMIFS(Controle!$R:$R,Controle!$H:$H,produtos_escape2!$A1615,Controle!$Z:$Z,"6")</f>
        <v>0</v>
      </c>
      <c r="L1615" s="507">
        <f t="shared" si="56"/>
        <v>0</v>
      </c>
      <c r="M1615" s="381" t="s">
        <v>1487</v>
      </c>
      <c r="AF1615" s="84"/>
    </row>
    <row r="1616" spans="1:32" s="185" customFormat="1" ht="14.25" customHeight="1" thickBot="1">
      <c r="A1616" s="353">
        <v>90104</v>
      </c>
      <c r="B1616" s="194" t="s">
        <v>1381</v>
      </c>
      <c r="C1616" s="339">
        <f t="shared" si="57"/>
        <v>50000</v>
      </c>
      <c r="D1616" s="196" t="s">
        <v>547</v>
      </c>
      <c r="E1616" s="187" t="s">
        <v>3608</v>
      </c>
      <c r="F1616" s="507">
        <f>SUMIFS(Controle!$R:$R,Controle!$H:$H,produtos_escape2!$A1616,Controle!$Z:$Z,"1")</f>
        <v>0</v>
      </c>
      <c r="G1616" s="507">
        <f>SUMIFS(Controle!$R:$R,Controle!$H:$H,produtos_escape2!$A1616,Controle!$Z:$Z,"2")</f>
        <v>0</v>
      </c>
      <c r="H1616" s="507">
        <f>SUMIFS(Controle!$R:$R,Controle!$H:$H,produtos_escape2!$A1616,Controle!$Z:$Z,"3")</f>
        <v>0</v>
      </c>
      <c r="I1616" s="507">
        <f>SUMIFS(Controle!$R:$R,Controle!$H:$H,produtos_escape2!$A1616,Controle!$Z:$Z,"4")</f>
        <v>0</v>
      </c>
      <c r="J1616" s="507">
        <f>SUMIFS(Controle!$R:$R,Controle!$H:$H,produtos_escape2!$A1616,Controle!$Z:$Z,"5")</f>
        <v>0</v>
      </c>
      <c r="K1616" s="507">
        <f>SUMIFS(Controle!$R:$R,Controle!$H:$H,produtos_escape2!$A1616,Controle!$Z:$Z,"6")</f>
        <v>0</v>
      </c>
      <c r="L1616" s="507">
        <f t="shared" si="56"/>
        <v>0</v>
      </c>
      <c r="M1616" s="381" t="s">
        <v>1381</v>
      </c>
      <c r="AF1616" s="84"/>
    </row>
    <row r="1617" spans="1:32" s="185" customFormat="1" ht="14.25" customHeight="1" thickBot="1">
      <c r="A1617" s="353">
        <v>90105</v>
      </c>
      <c r="B1617" s="194" t="s">
        <v>508</v>
      </c>
      <c r="C1617" s="339">
        <f t="shared" si="57"/>
        <v>50000</v>
      </c>
      <c r="D1617" s="196" t="s">
        <v>894</v>
      </c>
      <c r="E1617" s="187" t="s">
        <v>3608</v>
      </c>
      <c r="F1617" s="507">
        <f>SUMIFS(Controle!$R:$R,Controle!$H:$H,produtos_escape2!$A1617,Controle!$Z:$Z,"1")</f>
        <v>0</v>
      </c>
      <c r="G1617" s="507">
        <f>SUMIFS(Controle!$R:$R,Controle!$H:$H,produtos_escape2!$A1617,Controle!$Z:$Z,"2")</f>
        <v>0</v>
      </c>
      <c r="H1617" s="507">
        <f>SUMIFS(Controle!$R:$R,Controle!$H:$H,produtos_escape2!$A1617,Controle!$Z:$Z,"3")</f>
        <v>0</v>
      </c>
      <c r="I1617" s="507">
        <f>SUMIFS(Controle!$R:$R,Controle!$H:$H,produtos_escape2!$A1617,Controle!$Z:$Z,"4")</f>
        <v>0</v>
      </c>
      <c r="J1617" s="507">
        <f>SUMIFS(Controle!$R:$R,Controle!$H:$H,produtos_escape2!$A1617,Controle!$Z:$Z,"5")</f>
        <v>0</v>
      </c>
      <c r="K1617" s="507">
        <f>SUMIFS(Controle!$R:$R,Controle!$H:$H,produtos_escape2!$A1617,Controle!$Z:$Z,"6")</f>
        <v>0</v>
      </c>
      <c r="L1617" s="507">
        <f t="shared" si="56"/>
        <v>0</v>
      </c>
      <c r="M1617" s="381" t="s">
        <v>5380</v>
      </c>
      <c r="AF1617" s="84"/>
    </row>
    <row r="1618" spans="1:32" s="185" customFormat="1" ht="14.25" customHeight="1" thickBot="1">
      <c r="A1618" s="353">
        <v>90106</v>
      </c>
      <c r="B1618" s="194" t="s">
        <v>347</v>
      </c>
      <c r="C1618" s="339">
        <f t="shared" si="57"/>
        <v>43355.15</v>
      </c>
      <c r="D1618" s="196" t="s">
        <v>725</v>
      </c>
      <c r="E1618" s="187" t="s">
        <v>3608</v>
      </c>
      <c r="F1618" s="507">
        <f>SUMIFS(Controle!$R:$R,Controle!$H:$H,produtos_escape2!$A1618,Controle!$Z:$Z,"1")</f>
        <v>0</v>
      </c>
      <c r="G1618" s="507">
        <f>SUMIFS(Controle!$R:$R,Controle!$H:$H,produtos_escape2!$A1618,Controle!$Z:$Z,"2")</f>
        <v>0</v>
      </c>
      <c r="H1618" s="507">
        <f>SUMIFS(Controle!$R:$R,Controle!$H:$H,produtos_escape2!$A1618,Controle!$Z:$Z,"3")</f>
        <v>1950.2</v>
      </c>
      <c r="I1618" s="507">
        <f>SUMIFS(Controle!$R:$R,Controle!$H:$H,produtos_escape2!$A1618,Controle!$Z:$Z,"4")</f>
        <v>2218.8000000000002</v>
      </c>
      <c r="J1618" s="507">
        <f>SUMIFS(Controle!$R:$R,Controle!$H:$H,produtos_escape2!$A1618,Controle!$Z:$Z,"5")</f>
        <v>0</v>
      </c>
      <c r="K1618" s="507">
        <f>SUMIFS(Controle!$R:$R,Controle!$H:$H,produtos_escape2!$A1618,Controle!$Z:$Z,"6")</f>
        <v>2475.85</v>
      </c>
      <c r="L1618" s="507">
        <f t="shared" si="56"/>
        <v>6644.85</v>
      </c>
      <c r="M1618" s="381" t="s">
        <v>347</v>
      </c>
      <c r="AF1618" s="84"/>
    </row>
    <row r="1619" spans="1:32" s="185" customFormat="1" ht="14.25" customHeight="1" thickBot="1">
      <c r="A1619" s="353">
        <v>90111</v>
      </c>
      <c r="B1619" s="338" t="s">
        <v>1063</v>
      </c>
      <c r="C1619" s="339">
        <f t="shared" si="57"/>
        <v>23340</v>
      </c>
      <c r="D1619" s="196" t="s">
        <v>547</v>
      </c>
      <c r="E1619" s="187" t="s">
        <v>3608</v>
      </c>
      <c r="F1619" s="507">
        <f>SUMIFS(Controle!$R:$R,Controle!$H:$H,produtos_escape2!$A1619,Controle!$Z:$Z,"1")</f>
        <v>0</v>
      </c>
      <c r="G1619" s="507">
        <f>SUMIFS(Controle!$R:$R,Controle!$H:$H,produtos_escape2!$A1619,Controle!$Z:$Z,"2")</f>
        <v>0</v>
      </c>
      <c r="H1619" s="507">
        <f>SUMIFS(Controle!$R:$R,Controle!$H:$H,produtos_escape2!$A1619,Controle!$Z:$Z,"3")</f>
        <v>6160.0000000000009</v>
      </c>
      <c r="I1619" s="507">
        <f>SUMIFS(Controle!$R:$R,Controle!$H:$H,produtos_escape2!$A1619,Controle!$Z:$Z,"4")</f>
        <v>1400</v>
      </c>
      <c r="J1619" s="507">
        <f>SUMIFS(Controle!$R:$R,Controle!$H:$H,produtos_escape2!$A1619,Controle!$Z:$Z,"5")</f>
        <v>3360</v>
      </c>
      <c r="K1619" s="507">
        <f>SUMIFS(Controle!$R:$R,Controle!$H:$H,produtos_escape2!$A1619,Controle!$Z:$Z,"6")</f>
        <v>15740</v>
      </c>
      <c r="L1619" s="507">
        <f t="shared" si="56"/>
        <v>26660</v>
      </c>
      <c r="M1619" s="381" t="s">
        <v>1063</v>
      </c>
      <c r="AF1619" s="84"/>
    </row>
    <row r="1620" spans="1:32" s="185" customFormat="1" ht="14.25" customHeight="1" thickBot="1">
      <c r="A1620" s="333">
        <v>90122</v>
      </c>
      <c r="B1620" s="194" t="s">
        <v>1277</v>
      </c>
      <c r="C1620" s="339">
        <f t="shared" si="57"/>
        <v>50000</v>
      </c>
      <c r="D1620" s="196" t="s">
        <v>547</v>
      </c>
      <c r="E1620" s="187" t="s">
        <v>3608</v>
      </c>
      <c r="F1620" s="507">
        <f>SUMIFS(Controle!$R:$R,Controle!$H:$H,produtos_escape2!$A1620,Controle!$Z:$Z,"1")</f>
        <v>0</v>
      </c>
      <c r="G1620" s="507">
        <f>SUMIFS(Controle!$R:$R,Controle!$H:$H,produtos_escape2!$A1620,Controle!$Z:$Z,"2")</f>
        <v>0</v>
      </c>
      <c r="H1620" s="507">
        <f>SUMIFS(Controle!$R:$R,Controle!$H:$H,produtos_escape2!$A1620,Controle!$Z:$Z,"3")</f>
        <v>0</v>
      </c>
      <c r="I1620" s="507">
        <f>SUMIFS(Controle!$R:$R,Controle!$H:$H,produtos_escape2!$A1620,Controle!$Z:$Z,"4")</f>
        <v>0</v>
      </c>
      <c r="J1620" s="507">
        <f>SUMIFS(Controle!$R:$R,Controle!$H:$H,produtos_escape2!$A1620,Controle!$Z:$Z,"5")</f>
        <v>0</v>
      </c>
      <c r="K1620" s="507">
        <f>SUMIFS(Controle!$R:$R,Controle!$H:$H,produtos_escape2!$A1620,Controle!$Z:$Z,"6")</f>
        <v>0</v>
      </c>
      <c r="L1620" s="507">
        <f t="shared" si="56"/>
        <v>0</v>
      </c>
      <c r="M1620" s="381" t="s">
        <v>1277</v>
      </c>
      <c r="AF1620" s="84"/>
    </row>
    <row r="1621" spans="1:32" s="185" customFormat="1" ht="14.25" customHeight="1" thickBot="1">
      <c r="A1621" s="353">
        <v>90123</v>
      </c>
      <c r="B1621" s="194" t="s">
        <v>1275</v>
      </c>
      <c r="C1621" s="339">
        <f t="shared" si="57"/>
        <v>50000</v>
      </c>
      <c r="D1621" s="196" t="s">
        <v>725</v>
      </c>
      <c r="E1621" s="187" t="s">
        <v>3608</v>
      </c>
      <c r="F1621" s="507">
        <f>SUMIFS(Controle!$R:$R,Controle!$H:$H,produtos_escape2!$A1621,Controle!$Z:$Z,"1")</f>
        <v>0</v>
      </c>
      <c r="G1621" s="507">
        <f>SUMIFS(Controle!$R:$R,Controle!$H:$H,produtos_escape2!$A1621,Controle!$Z:$Z,"2")</f>
        <v>0</v>
      </c>
      <c r="H1621" s="507">
        <f>SUMIFS(Controle!$R:$R,Controle!$H:$H,produtos_escape2!$A1621,Controle!$Z:$Z,"3")</f>
        <v>0</v>
      </c>
      <c r="I1621" s="507">
        <f>SUMIFS(Controle!$R:$R,Controle!$H:$H,produtos_escape2!$A1621,Controle!$Z:$Z,"4")</f>
        <v>0</v>
      </c>
      <c r="J1621" s="507">
        <f>SUMIFS(Controle!$R:$R,Controle!$H:$H,produtos_escape2!$A1621,Controle!$Z:$Z,"5")</f>
        <v>0</v>
      </c>
      <c r="K1621" s="507">
        <f>SUMIFS(Controle!$R:$R,Controle!$H:$H,produtos_escape2!$A1621,Controle!$Z:$Z,"6")</f>
        <v>0</v>
      </c>
      <c r="L1621" s="507">
        <f t="shared" si="56"/>
        <v>0</v>
      </c>
      <c r="M1621" s="381" t="s">
        <v>1275</v>
      </c>
      <c r="AF1621" s="84"/>
    </row>
    <row r="1622" spans="1:32" s="185" customFormat="1" ht="14.25" customHeight="1" thickBot="1">
      <c r="A1622" s="353">
        <v>90124</v>
      </c>
      <c r="B1622" s="194" t="s">
        <v>1120</v>
      </c>
      <c r="C1622" s="339">
        <f t="shared" si="57"/>
        <v>49818.400000000001</v>
      </c>
      <c r="D1622" s="196" t="s">
        <v>725</v>
      </c>
      <c r="E1622" s="187" t="s">
        <v>3608</v>
      </c>
      <c r="F1622" s="507">
        <f>SUMIFS(Controle!$R:$R,Controle!$H:$H,produtos_escape2!$A1622,Controle!$Z:$Z,"1")</f>
        <v>0</v>
      </c>
      <c r="G1622" s="507">
        <f>SUMIFS(Controle!$R:$R,Controle!$H:$H,produtos_escape2!$A1622,Controle!$Z:$Z,"2")</f>
        <v>0</v>
      </c>
      <c r="H1622" s="507">
        <f>SUMIFS(Controle!$R:$R,Controle!$H:$H,produtos_escape2!$A1622,Controle!$Z:$Z,"3")</f>
        <v>102</v>
      </c>
      <c r="I1622" s="507">
        <f>SUMIFS(Controle!$R:$R,Controle!$H:$H,produtos_escape2!$A1622,Controle!$Z:$Z,"4")</f>
        <v>79.600000000000009</v>
      </c>
      <c r="J1622" s="507">
        <f>SUMIFS(Controle!$R:$R,Controle!$H:$H,produtos_escape2!$A1622,Controle!$Z:$Z,"5")</f>
        <v>0</v>
      </c>
      <c r="K1622" s="507">
        <f>SUMIFS(Controle!$R:$R,Controle!$H:$H,produtos_escape2!$A1622,Controle!$Z:$Z,"6")</f>
        <v>0</v>
      </c>
      <c r="L1622" s="507">
        <f t="shared" si="56"/>
        <v>181.60000000000002</v>
      </c>
      <c r="M1622" s="381" t="s">
        <v>1120</v>
      </c>
      <c r="AF1622" s="84"/>
    </row>
    <row r="1623" spans="1:32" s="185" customFormat="1" ht="14.25" customHeight="1" thickBot="1">
      <c r="A1623" s="353">
        <v>90125</v>
      </c>
      <c r="B1623" s="194" t="s">
        <v>3988</v>
      </c>
      <c r="C1623" s="339">
        <f t="shared" si="57"/>
        <v>50000</v>
      </c>
      <c r="D1623" s="196" t="s">
        <v>548</v>
      </c>
      <c r="E1623" s="187" t="s">
        <v>3608</v>
      </c>
      <c r="F1623" s="507">
        <f>SUMIFS(Controle!$R:$R,Controle!$H:$H,produtos_escape2!$A1623,Controle!$Z:$Z,"1")</f>
        <v>0</v>
      </c>
      <c r="G1623" s="507">
        <f>SUMIFS(Controle!$R:$R,Controle!$H:$H,produtos_escape2!$A1623,Controle!$Z:$Z,"2")</f>
        <v>0</v>
      </c>
      <c r="H1623" s="507">
        <f>SUMIFS(Controle!$R:$R,Controle!$H:$H,produtos_escape2!$A1623,Controle!$Z:$Z,"3")</f>
        <v>0</v>
      </c>
      <c r="I1623" s="507">
        <f>SUMIFS(Controle!$R:$R,Controle!$H:$H,produtos_escape2!$A1623,Controle!$Z:$Z,"4")</f>
        <v>0</v>
      </c>
      <c r="J1623" s="507">
        <f>SUMIFS(Controle!$R:$R,Controle!$H:$H,produtos_escape2!$A1623,Controle!$Z:$Z,"5")</f>
        <v>0</v>
      </c>
      <c r="K1623" s="507">
        <f>SUMIFS(Controle!$R:$R,Controle!$H:$H,produtos_escape2!$A1623,Controle!$Z:$Z,"6")</f>
        <v>0</v>
      </c>
      <c r="L1623" s="507">
        <f t="shared" si="56"/>
        <v>0</v>
      </c>
      <c r="M1623" s="381" t="s">
        <v>3988</v>
      </c>
      <c r="AF1623" s="84"/>
    </row>
    <row r="1624" spans="1:32" s="185" customFormat="1" ht="14.25" customHeight="1" thickBot="1">
      <c r="A1624" s="353">
        <v>90126</v>
      </c>
      <c r="B1624" s="194" t="s">
        <v>222</v>
      </c>
      <c r="C1624" s="339">
        <f t="shared" si="57"/>
        <v>48991.205000000002</v>
      </c>
      <c r="D1624" s="196" t="s">
        <v>547</v>
      </c>
      <c r="E1624" s="187" t="s">
        <v>3608</v>
      </c>
      <c r="F1624" s="507">
        <f>SUMIFS(Controle!$R:$R,Controle!$H:$H,produtos_escape2!$A1624,Controle!$Z:$Z,"1")</f>
        <v>0</v>
      </c>
      <c r="G1624" s="507">
        <f>SUMIFS(Controle!$R:$R,Controle!$H:$H,produtos_escape2!$A1624,Controle!$Z:$Z,"2")</f>
        <v>0</v>
      </c>
      <c r="H1624" s="507">
        <f>SUMIFS(Controle!$R:$R,Controle!$H:$H,produtos_escape2!$A1624,Controle!$Z:$Z,"3")</f>
        <v>314.40000000000003</v>
      </c>
      <c r="I1624" s="507">
        <f>SUMIFS(Controle!$R:$R,Controle!$H:$H,produtos_escape2!$A1624,Controle!$Z:$Z,"4")</f>
        <v>252</v>
      </c>
      <c r="J1624" s="507">
        <f>SUMIFS(Controle!$R:$R,Controle!$H:$H,produtos_escape2!$A1624,Controle!$Z:$Z,"5")</f>
        <v>0</v>
      </c>
      <c r="K1624" s="507">
        <f>SUMIFS(Controle!$R:$R,Controle!$H:$H,produtos_escape2!$A1624,Controle!$Z:$Z,"6")</f>
        <v>442.39499999999998</v>
      </c>
      <c r="L1624" s="507">
        <f t="shared" si="56"/>
        <v>1008.7950000000001</v>
      </c>
      <c r="M1624" s="381" t="s">
        <v>222</v>
      </c>
      <c r="AF1624" s="84"/>
    </row>
    <row r="1625" spans="1:32" s="185" customFormat="1" ht="14.25" customHeight="1" thickBot="1">
      <c r="A1625" s="353">
        <v>90134</v>
      </c>
      <c r="B1625" s="194" t="s">
        <v>3006</v>
      </c>
      <c r="C1625" s="339">
        <f t="shared" si="57"/>
        <v>50000</v>
      </c>
      <c r="D1625" s="196" t="s">
        <v>548</v>
      </c>
      <c r="E1625" s="187" t="s">
        <v>3608</v>
      </c>
      <c r="F1625" s="507">
        <f>SUMIFS(Controle!$R:$R,Controle!$H:$H,produtos_escape2!$A1625,Controle!$Z:$Z,"1")</f>
        <v>0</v>
      </c>
      <c r="G1625" s="507">
        <f>SUMIFS(Controle!$R:$R,Controle!$H:$H,produtos_escape2!$A1625,Controle!$Z:$Z,"2")</f>
        <v>0</v>
      </c>
      <c r="H1625" s="507">
        <f>SUMIFS(Controle!$R:$R,Controle!$H:$H,produtos_escape2!$A1625,Controle!$Z:$Z,"3")</f>
        <v>0</v>
      </c>
      <c r="I1625" s="507">
        <f>SUMIFS(Controle!$R:$R,Controle!$H:$H,produtos_escape2!$A1625,Controle!$Z:$Z,"4")</f>
        <v>0</v>
      </c>
      <c r="J1625" s="507">
        <f>SUMIFS(Controle!$R:$R,Controle!$H:$H,produtos_escape2!$A1625,Controle!$Z:$Z,"5")</f>
        <v>0</v>
      </c>
      <c r="K1625" s="507">
        <f>SUMIFS(Controle!$R:$R,Controle!$H:$H,produtos_escape2!$A1625,Controle!$Z:$Z,"6")</f>
        <v>0</v>
      </c>
      <c r="L1625" s="507">
        <f t="shared" si="56"/>
        <v>0</v>
      </c>
      <c r="M1625" s="381" t="s">
        <v>3006</v>
      </c>
      <c r="AF1625" s="84"/>
    </row>
    <row r="1626" spans="1:32" s="185" customFormat="1" ht="14.25" customHeight="1" thickBot="1">
      <c r="A1626" s="353">
        <v>90136</v>
      </c>
      <c r="B1626" s="194" t="s">
        <v>914</v>
      </c>
      <c r="C1626" s="339">
        <f t="shared" si="57"/>
        <v>50000</v>
      </c>
      <c r="D1626" s="196" t="s">
        <v>548</v>
      </c>
      <c r="E1626" s="187" t="s">
        <v>3608</v>
      </c>
      <c r="F1626" s="507">
        <f>SUMIFS(Controle!$R:$R,Controle!$H:$H,produtos_escape2!$A1626,Controle!$Z:$Z,"1")</f>
        <v>0</v>
      </c>
      <c r="G1626" s="507">
        <f>SUMIFS(Controle!$R:$R,Controle!$H:$H,produtos_escape2!$A1626,Controle!$Z:$Z,"2")</f>
        <v>0</v>
      </c>
      <c r="H1626" s="507">
        <f>SUMIFS(Controle!$R:$R,Controle!$H:$H,produtos_escape2!$A1626,Controle!$Z:$Z,"3")</f>
        <v>0</v>
      </c>
      <c r="I1626" s="507">
        <f>SUMIFS(Controle!$R:$R,Controle!$H:$H,produtos_escape2!$A1626,Controle!$Z:$Z,"4")</f>
        <v>0</v>
      </c>
      <c r="J1626" s="507">
        <f>SUMIFS(Controle!$R:$R,Controle!$H:$H,produtos_escape2!$A1626,Controle!$Z:$Z,"5")</f>
        <v>0</v>
      </c>
      <c r="K1626" s="507">
        <f>SUMIFS(Controle!$R:$R,Controle!$H:$H,produtos_escape2!$A1626,Controle!$Z:$Z,"6")</f>
        <v>0</v>
      </c>
      <c r="L1626" s="507">
        <f t="shared" si="56"/>
        <v>0</v>
      </c>
      <c r="M1626" s="381" t="s">
        <v>5381</v>
      </c>
      <c r="AF1626" s="84"/>
    </row>
    <row r="1627" spans="1:32" s="185" customFormat="1" ht="14.25" customHeight="1" thickBot="1">
      <c r="A1627" s="353">
        <v>90141</v>
      </c>
      <c r="B1627" s="338" t="s">
        <v>66</v>
      </c>
      <c r="C1627" s="339">
        <f t="shared" si="57"/>
        <v>50000</v>
      </c>
      <c r="D1627" s="196" t="s">
        <v>548</v>
      </c>
      <c r="E1627" s="187" t="s">
        <v>3608</v>
      </c>
      <c r="F1627" s="507">
        <f>SUMIFS(Controle!$R:$R,Controle!$H:$H,produtos_escape2!$A1627,Controle!$Z:$Z,"1")</f>
        <v>0</v>
      </c>
      <c r="G1627" s="507">
        <f>SUMIFS(Controle!$R:$R,Controle!$H:$H,produtos_escape2!$A1627,Controle!$Z:$Z,"2")</f>
        <v>0</v>
      </c>
      <c r="H1627" s="507">
        <f>SUMIFS(Controle!$R:$R,Controle!$H:$H,produtos_escape2!$A1627,Controle!$Z:$Z,"3")</f>
        <v>0</v>
      </c>
      <c r="I1627" s="507">
        <f>SUMIFS(Controle!$R:$R,Controle!$H:$H,produtos_escape2!$A1627,Controle!$Z:$Z,"4")</f>
        <v>0</v>
      </c>
      <c r="J1627" s="507">
        <f>SUMIFS(Controle!$R:$R,Controle!$H:$H,produtos_escape2!$A1627,Controle!$Z:$Z,"5")</f>
        <v>0</v>
      </c>
      <c r="K1627" s="507">
        <f>SUMIFS(Controle!$R:$R,Controle!$H:$H,produtos_escape2!$A1627,Controle!$Z:$Z,"6")</f>
        <v>0</v>
      </c>
      <c r="L1627" s="507">
        <f t="shared" si="56"/>
        <v>0</v>
      </c>
      <c r="M1627" s="381" t="s">
        <v>66</v>
      </c>
      <c r="AF1627" s="84"/>
    </row>
    <row r="1628" spans="1:32" s="185" customFormat="1" ht="14.25" customHeight="1" thickBot="1">
      <c r="A1628" s="333">
        <v>90150</v>
      </c>
      <c r="B1628" s="194" t="s">
        <v>2780</v>
      </c>
      <c r="C1628" s="339">
        <f t="shared" si="57"/>
        <v>50000</v>
      </c>
      <c r="D1628" s="196" t="s">
        <v>624</v>
      </c>
      <c r="E1628" s="187" t="s">
        <v>3608</v>
      </c>
      <c r="F1628" s="507">
        <f>SUMIFS(Controle!$R:$R,Controle!$H:$H,produtos_escape2!$A1628,Controle!$Z:$Z,"1")</f>
        <v>0</v>
      </c>
      <c r="G1628" s="507">
        <f>SUMIFS(Controle!$R:$R,Controle!$H:$H,produtos_escape2!$A1628,Controle!$Z:$Z,"2")</f>
        <v>0</v>
      </c>
      <c r="H1628" s="507">
        <f>SUMIFS(Controle!$R:$R,Controle!$H:$H,produtos_escape2!$A1628,Controle!$Z:$Z,"3")</f>
        <v>0</v>
      </c>
      <c r="I1628" s="507">
        <f>SUMIFS(Controle!$R:$R,Controle!$H:$H,produtos_escape2!$A1628,Controle!$Z:$Z,"4")</f>
        <v>0</v>
      </c>
      <c r="J1628" s="507">
        <f>SUMIFS(Controle!$R:$R,Controle!$H:$H,produtos_escape2!$A1628,Controle!$Z:$Z,"5")</f>
        <v>0</v>
      </c>
      <c r="K1628" s="507">
        <f>SUMIFS(Controle!$R:$R,Controle!$H:$H,produtos_escape2!$A1628,Controle!$Z:$Z,"6")</f>
        <v>0</v>
      </c>
      <c r="L1628" s="507">
        <f t="shared" si="56"/>
        <v>0</v>
      </c>
      <c r="M1628" s="381" t="s">
        <v>2780</v>
      </c>
      <c r="AF1628" s="84"/>
    </row>
    <row r="1629" spans="1:32" s="185" customFormat="1" ht="14.25" customHeight="1" thickBot="1">
      <c r="A1629" s="353">
        <v>90152</v>
      </c>
      <c r="B1629" s="194" t="s">
        <v>898</v>
      </c>
      <c r="C1629" s="339">
        <f t="shared" si="57"/>
        <v>49736.4</v>
      </c>
      <c r="D1629" s="196" t="s">
        <v>547</v>
      </c>
      <c r="E1629" s="187" t="s">
        <v>3608</v>
      </c>
      <c r="F1629" s="507">
        <f>SUMIFS(Controle!$R:$R,Controle!$H:$H,produtos_escape2!$A1629,Controle!$Z:$Z,"1")</f>
        <v>0</v>
      </c>
      <c r="G1629" s="507">
        <f>SUMIFS(Controle!$R:$R,Controle!$H:$H,produtos_escape2!$A1629,Controle!$Z:$Z,"2")</f>
        <v>0</v>
      </c>
      <c r="H1629" s="507">
        <f>SUMIFS(Controle!$R:$R,Controle!$H:$H,produtos_escape2!$A1629,Controle!$Z:$Z,"3")</f>
        <v>159</v>
      </c>
      <c r="I1629" s="507">
        <f>SUMIFS(Controle!$R:$R,Controle!$H:$H,produtos_escape2!$A1629,Controle!$Z:$Z,"4")</f>
        <v>0</v>
      </c>
      <c r="J1629" s="507">
        <f>SUMIFS(Controle!$R:$R,Controle!$H:$H,produtos_escape2!$A1629,Controle!$Z:$Z,"5")</f>
        <v>0</v>
      </c>
      <c r="K1629" s="507">
        <f>SUMIFS(Controle!$R:$R,Controle!$H:$H,produtos_escape2!$A1629,Controle!$Z:$Z,"6")</f>
        <v>104.60000000000001</v>
      </c>
      <c r="L1629" s="507">
        <f t="shared" si="56"/>
        <v>263.60000000000002</v>
      </c>
      <c r="M1629" s="381" t="s">
        <v>898</v>
      </c>
      <c r="AF1629" s="84"/>
    </row>
    <row r="1630" spans="1:32" s="185" customFormat="1" ht="14.25" customHeight="1" thickBot="1">
      <c r="A1630" s="353">
        <v>90153</v>
      </c>
      <c r="B1630" s="194" t="s">
        <v>225</v>
      </c>
      <c r="C1630" s="339">
        <f t="shared" si="57"/>
        <v>48255</v>
      </c>
      <c r="D1630" s="196" t="s">
        <v>547</v>
      </c>
      <c r="E1630" s="187" t="s">
        <v>3608</v>
      </c>
      <c r="F1630" s="507">
        <f>SUMIFS(Controle!$R:$R,Controle!$H:$H,produtos_escape2!$A1630,Controle!$Z:$Z,"1")</f>
        <v>0</v>
      </c>
      <c r="G1630" s="507">
        <f>SUMIFS(Controle!$R:$R,Controle!$H:$H,produtos_escape2!$A1630,Controle!$Z:$Z,"2")</f>
        <v>0</v>
      </c>
      <c r="H1630" s="507">
        <f>SUMIFS(Controle!$R:$R,Controle!$H:$H,produtos_escape2!$A1630,Controle!$Z:$Z,"3")</f>
        <v>1745</v>
      </c>
      <c r="I1630" s="507">
        <f>SUMIFS(Controle!$R:$R,Controle!$H:$H,produtos_escape2!$A1630,Controle!$Z:$Z,"4")</f>
        <v>0</v>
      </c>
      <c r="J1630" s="507">
        <f>SUMIFS(Controle!$R:$R,Controle!$H:$H,produtos_escape2!$A1630,Controle!$Z:$Z,"5")</f>
        <v>0</v>
      </c>
      <c r="K1630" s="507">
        <f>SUMIFS(Controle!$R:$R,Controle!$H:$H,produtos_escape2!$A1630,Controle!$Z:$Z,"6")</f>
        <v>0</v>
      </c>
      <c r="L1630" s="507">
        <f t="shared" si="56"/>
        <v>1745</v>
      </c>
      <c r="M1630" s="381" t="s">
        <v>225</v>
      </c>
      <c r="AF1630" s="84"/>
    </row>
    <row r="1631" spans="1:32" s="185" customFormat="1" ht="14.25" customHeight="1" thickBot="1">
      <c r="A1631" s="353">
        <v>90154</v>
      </c>
      <c r="B1631" s="194" t="s">
        <v>13</v>
      </c>
      <c r="C1631" s="339">
        <f t="shared" si="57"/>
        <v>50000</v>
      </c>
      <c r="D1631" s="196" t="s">
        <v>547</v>
      </c>
      <c r="E1631" s="187" t="s">
        <v>3608</v>
      </c>
      <c r="F1631" s="507">
        <f>SUMIFS(Controle!$R:$R,Controle!$H:$H,produtos_escape2!$A1631,Controle!$Z:$Z,"1")</f>
        <v>0</v>
      </c>
      <c r="G1631" s="507">
        <f>SUMIFS(Controle!$R:$R,Controle!$H:$H,produtos_escape2!$A1631,Controle!$Z:$Z,"2")</f>
        <v>0</v>
      </c>
      <c r="H1631" s="507">
        <f>SUMIFS(Controle!$R:$R,Controle!$H:$H,produtos_escape2!$A1631,Controle!$Z:$Z,"3")</f>
        <v>0</v>
      </c>
      <c r="I1631" s="507">
        <f>SUMIFS(Controle!$R:$R,Controle!$H:$H,produtos_escape2!$A1631,Controle!$Z:$Z,"4")</f>
        <v>0</v>
      </c>
      <c r="J1631" s="507">
        <f>SUMIFS(Controle!$R:$R,Controle!$H:$H,produtos_escape2!$A1631,Controle!$Z:$Z,"5")</f>
        <v>0</v>
      </c>
      <c r="K1631" s="507">
        <f>SUMIFS(Controle!$R:$R,Controle!$H:$H,produtos_escape2!$A1631,Controle!$Z:$Z,"6")</f>
        <v>0</v>
      </c>
      <c r="L1631" s="507">
        <f t="shared" si="56"/>
        <v>0</v>
      </c>
      <c r="M1631" s="381" t="s">
        <v>13</v>
      </c>
      <c r="AF1631" s="84"/>
    </row>
    <row r="1632" spans="1:32" s="185" customFormat="1" ht="14.25" customHeight="1" thickBot="1">
      <c r="A1632" s="353">
        <v>90155</v>
      </c>
      <c r="B1632" s="194" t="s">
        <v>457</v>
      </c>
      <c r="C1632" s="339">
        <f t="shared" si="57"/>
        <v>50000</v>
      </c>
      <c r="D1632" s="196" t="s">
        <v>548</v>
      </c>
      <c r="E1632" s="187" t="s">
        <v>3608</v>
      </c>
      <c r="F1632" s="507">
        <f>SUMIFS(Controle!$R:$R,Controle!$H:$H,produtos_escape2!$A1632,Controle!$Z:$Z,"1")</f>
        <v>0</v>
      </c>
      <c r="G1632" s="507">
        <f>SUMIFS(Controle!$R:$R,Controle!$H:$H,produtos_escape2!$A1632,Controle!$Z:$Z,"2")</f>
        <v>0</v>
      </c>
      <c r="H1632" s="507">
        <f>SUMIFS(Controle!$R:$R,Controle!$H:$H,produtos_escape2!$A1632,Controle!$Z:$Z,"3")</f>
        <v>0</v>
      </c>
      <c r="I1632" s="507">
        <f>SUMIFS(Controle!$R:$R,Controle!$H:$H,produtos_escape2!$A1632,Controle!$Z:$Z,"4")</f>
        <v>0</v>
      </c>
      <c r="J1632" s="507">
        <f>SUMIFS(Controle!$R:$R,Controle!$H:$H,produtos_escape2!$A1632,Controle!$Z:$Z,"5")</f>
        <v>0</v>
      </c>
      <c r="K1632" s="507">
        <f>SUMIFS(Controle!$R:$R,Controle!$H:$H,produtos_escape2!$A1632,Controle!$Z:$Z,"6")</f>
        <v>0</v>
      </c>
      <c r="L1632" s="507">
        <f t="shared" si="56"/>
        <v>0</v>
      </c>
      <c r="M1632" s="381" t="s">
        <v>5382</v>
      </c>
      <c r="AF1632" s="84"/>
    </row>
    <row r="1633" spans="1:32" s="185" customFormat="1" ht="14.25" customHeight="1" thickBot="1">
      <c r="A1633" s="353">
        <v>90158</v>
      </c>
      <c r="B1633" s="194" t="s">
        <v>234</v>
      </c>
      <c r="C1633" s="339">
        <f t="shared" si="57"/>
        <v>50000</v>
      </c>
      <c r="D1633" s="196"/>
      <c r="E1633" s="187" t="s">
        <v>3608</v>
      </c>
      <c r="F1633" s="507">
        <f>SUMIFS(Controle!$R:$R,Controle!$H:$H,produtos_escape2!$A1633,Controle!$Z:$Z,"1")</f>
        <v>0</v>
      </c>
      <c r="G1633" s="507">
        <f>SUMIFS(Controle!$R:$R,Controle!$H:$H,produtos_escape2!$A1633,Controle!$Z:$Z,"2")</f>
        <v>0</v>
      </c>
      <c r="H1633" s="507">
        <f>SUMIFS(Controle!$R:$R,Controle!$H:$H,produtos_escape2!$A1633,Controle!$Z:$Z,"3")</f>
        <v>0</v>
      </c>
      <c r="I1633" s="507">
        <f>SUMIFS(Controle!$R:$R,Controle!$H:$H,produtos_escape2!$A1633,Controle!$Z:$Z,"4")</f>
        <v>0</v>
      </c>
      <c r="J1633" s="507">
        <f>SUMIFS(Controle!$R:$R,Controle!$H:$H,produtos_escape2!$A1633,Controle!$Z:$Z,"5")</f>
        <v>0</v>
      </c>
      <c r="K1633" s="507">
        <f>SUMIFS(Controle!$R:$R,Controle!$H:$H,produtos_escape2!$A1633,Controle!$Z:$Z,"6")</f>
        <v>0</v>
      </c>
      <c r="L1633" s="507">
        <f t="shared" si="56"/>
        <v>0</v>
      </c>
      <c r="M1633" s="381" t="s">
        <v>5383</v>
      </c>
      <c r="AF1633" s="84"/>
    </row>
    <row r="1634" spans="1:32" s="185" customFormat="1" ht="14.25" customHeight="1" thickBot="1">
      <c r="A1634" s="353">
        <v>90159</v>
      </c>
      <c r="B1634" s="194" t="s">
        <v>1318</v>
      </c>
      <c r="C1634" s="339">
        <f t="shared" si="57"/>
        <v>49928.13</v>
      </c>
      <c r="D1634" s="196" t="s">
        <v>725</v>
      </c>
      <c r="E1634" s="187" t="s">
        <v>3608</v>
      </c>
      <c r="F1634" s="507">
        <f>SUMIFS(Controle!$R:$R,Controle!$H:$H,produtos_escape2!$A1634,Controle!$Z:$Z,"1")</f>
        <v>0</v>
      </c>
      <c r="G1634" s="507">
        <f>SUMIFS(Controle!$R:$R,Controle!$H:$H,produtos_escape2!$A1634,Controle!$Z:$Z,"2")</f>
        <v>30</v>
      </c>
      <c r="H1634" s="507">
        <f>SUMIFS(Controle!$R:$R,Controle!$H:$H,produtos_escape2!$A1634,Controle!$Z:$Z,"3")</f>
        <v>41.870000000000005</v>
      </c>
      <c r="I1634" s="507">
        <f>SUMIFS(Controle!$R:$R,Controle!$H:$H,produtos_escape2!$A1634,Controle!$Z:$Z,"4")</f>
        <v>0</v>
      </c>
      <c r="J1634" s="507">
        <f>SUMIFS(Controle!$R:$R,Controle!$H:$H,produtos_escape2!$A1634,Controle!$Z:$Z,"5")</f>
        <v>0</v>
      </c>
      <c r="K1634" s="507">
        <f>SUMIFS(Controle!$R:$R,Controle!$H:$H,produtos_escape2!$A1634,Controle!$Z:$Z,"6")</f>
        <v>0</v>
      </c>
      <c r="L1634" s="507">
        <f t="shared" si="56"/>
        <v>71.87</v>
      </c>
      <c r="M1634" s="381" t="s">
        <v>1318</v>
      </c>
      <c r="AF1634" s="84"/>
    </row>
    <row r="1635" spans="1:32" s="185" customFormat="1" ht="14.25" customHeight="1" thickBot="1">
      <c r="A1635" s="353">
        <v>90161</v>
      </c>
      <c r="B1635" s="338" t="s">
        <v>1386</v>
      </c>
      <c r="C1635" s="339">
        <f t="shared" si="57"/>
        <v>50000</v>
      </c>
      <c r="D1635" s="196" t="s">
        <v>806</v>
      </c>
      <c r="E1635" s="187" t="s">
        <v>3608</v>
      </c>
      <c r="F1635" s="507">
        <f>SUMIFS(Controle!$R:$R,Controle!$H:$H,produtos_escape2!$A1635,Controle!$Z:$Z,"1")</f>
        <v>0</v>
      </c>
      <c r="G1635" s="507">
        <f>SUMIFS(Controle!$R:$R,Controle!$H:$H,produtos_escape2!$A1635,Controle!$Z:$Z,"2")</f>
        <v>0</v>
      </c>
      <c r="H1635" s="507">
        <f>SUMIFS(Controle!$R:$R,Controle!$H:$H,produtos_escape2!$A1635,Controle!$Z:$Z,"3")</f>
        <v>0</v>
      </c>
      <c r="I1635" s="507">
        <f>SUMIFS(Controle!$R:$R,Controle!$H:$H,produtos_escape2!$A1635,Controle!$Z:$Z,"4")</f>
        <v>0</v>
      </c>
      <c r="J1635" s="507">
        <f>SUMIFS(Controle!$R:$R,Controle!$H:$H,produtos_escape2!$A1635,Controle!$Z:$Z,"5")</f>
        <v>0</v>
      </c>
      <c r="K1635" s="507">
        <f>SUMIFS(Controle!$R:$R,Controle!$H:$H,produtos_escape2!$A1635,Controle!$Z:$Z,"6")</f>
        <v>0</v>
      </c>
      <c r="L1635" s="507">
        <f t="shared" si="56"/>
        <v>0</v>
      </c>
      <c r="M1635" s="381" t="s">
        <v>1386</v>
      </c>
      <c r="AF1635" s="84"/>
    </row>
    <row r="1636" spans="1:32" s="185" customFormat="1" ht="14.25" customHeight="1" thickBot="1">
      <c r="A1636" s="333">
        <v>90167</v>
      </c>
      <c r="B1636" s="194" t="s">
        <v>1809</v>
      </c>
      <c r="C1636" s="339">
        <f t="shared" si="57"/>
        <v>50000</v>
      </c>
      <c r="D1636" s="196" t="s">
        <v>547</v>
      </c>
      <c r="E1636" s="187" t="s">
        <v>3608</v>
      </c>
      <c r="F1636" s="507">
        <f>SUMIFS(Controle!$R:$R,Controle!$H:$H,produtos_escape2!$A1636,Controle!$Z:$Z,"1")</f>
        <v>0</v>
      </c>
      <c r="G1636" s="507">
        <f>SUMIFS(Controle!$R:$R,Controle!$H:$H,produtos_escape2!$A1636,Controle!$Z:$Z,"2")</f>
        <v>0</v>
      </c>
      <c r="H1636" s="507">
        <f>SUMIFS(Controle!$R:$R,Controle!$H:$H,produtos_escape2!$A1636,Controle!$Z:$Z,"3")</f>
        <v>0</v>
      </c>
      <c r="I1636" s="507">
        <f>SUMIFS(Controle!$R:$R,Controle!$H:$H,produtos_escape2!$A1636,Controle!$Z:$Z,"4")</f>
        <v>0</v>
      </c>
      <c r="J1636" s="507">
        <f>SUMIFS(Controle!$R:$R,Controle!$H:$H,produtos_escape2!$A1636,Controle!$Z:$Z,"5")</f>
        <v>0</v>
      </c>
      <c r="K1636" s="507">
        <f>SUMIFS(Controle!$R:$R,Controle!$H:$H,produtos_escape2!$A1636,Controle!$Z:$Z,"6")</f>
        <v>0</v>
      </c>
      <c r="L1636" s="507">
        <f t="shared" si="56"/>
        <v>0</v>
      </c>
      <c r="M1636" s="381" t="s">
        <v>1809</v>
      </c>
      <c r="AF1636" s="84"/>
    </row>
    <row r="1637" spans="1:32" s="185" customFormat="1" ht="14.25" customHeight="1" thickBot="1">
      <c r="A1637" s="353">
        <v>90170</v>
      </c>
      <c r="B1637" s="194" t="s">
        <v>293</v>
      </c>
      <c r="C1637" s="339">
        <f t="shared" si="57"/>
        <v>48740</v>
      </c>
      <c r="D1637" s="196" t="s">
        <v>547</v>
      </c>
      <c r="E1637" s="187" t="s">
        <v>3608</v>
      </c>
      <c r="F1637" s="507">
        <f>SUMIFS(Controle!$R:$R,Controle!$H:$H,produtos_escape2!$A1637,Controle!$Z:$Z,"1")</f>
        <v>0</v>
      </c>
      <c r="G1637" s="507">
        <f>SUMIFS(Controle!$R:$R,Controle!$H:$H,produtos_escape2!$A1637,Controle!$Z:$Z,"2")</f>
        <v>1260</v>
      </c>
      <c r="H1637" s="507">
        <f>SUMIFS(Controle!$R:$R,Controle!$H:$H,produtos_escape2!$A1637,Controle!$Z:$Z,"3")</f>
        <v>0</v>
      </c>
      <c r="I1637" s="507">
        <f>SUMIFS(Controle!$R:$R,Controle!$H:$H,produtos_escape2!$A1637,Controle!$Z:$Z,"4")</f>
        <v>0</v>
      </c>
      <c r="J1637" s="507">
        <f>SUMIFS(Controle!$R:$R,Controle!$H:$H,produtos_escape2!$A1637,Controle!$Z:$Z,"5")</f>
        <v>0</v>
      </c>
      <c r="K1637" s="507">
        <f>SUMIFS(Controle!$R:$R,Controle!$H:$H,produtos_escape2!$A1637,Controle!$Z:$Z,"6")</f>
        <v>0</v>
      </c>
      <c r="L1637" s="507">
        <f t="shared" si="56"/>
        <v>1260</v>
      </c>
      <c r="M1637" s="381" t="s">
        <v>5384</v>
      </c>
      <c r="AF1637" s="84"/>
    </row>
    <row r="1638" spans="1:32" s="185" customFormat="1" ht="14.25" customHeight="1" thickBot="1">
      <c r="A1638" s="353">
        <v>90171</v>
      </c>
      <c r="B1638" s="194" t="s">
        <v>1221</v>
      </c>
      <c r="C1638" s="339">
        <f t="shared" si="57"/>
        <v>49632</v>
      </c>
      <c r="D1638" s="196" t="s">
        <v>548</v>
      </c>
      <c r="E1638" s="187" t="s">
        <v>3608</v>
      </c>
      <c r="F1638" s="507">
        <f>SUMIFS(Controle!$R:$R,Controle!$H:$H,produtos_escape2!$A1638,Controle!$Z:$Z,"1")</f>
        <v>0</v>
      </c>
      <c r="G1638" s="507">
        <f>SUMIFS(Controle!$R:$R,Controle!$H:$H,produtos_escape2!$A1638,Controle!$Z:$Z,"2")</f>
        <v>368</v>
      </c>
      <c r="H1638" s="507">
        <f>SUMIFS(Controle!$R:$R,Controle!$H:$H,produtos_escape2!$A1638,Controle!$Z:$Z,"3")</f>
        <v>0</v>
      </c>
      <c r="I1638" s="507">
        <f>SUMIFS(Controle!$R:$R,Controle!$H:$H,produtos_escape2!$A1638,Controle!$Z:$Z,"4")</f>
        <v>0</v>
      </c>
      <c r="J1638" s="507">
        <f>SUMIFS(Controle!$R:$R,Controle!$H:$H,produtos_escape2!$A1638,Controle!$Z:$Z,"5")</f>
        <v>0</v>
      </c>
      <c r="K1638" s="507">
        <f>SUMIFS(Controle!$R:$R,Controle!$H:$H,produtos_escape2!$A1638,Controle!$Z:$Z,"6")</f>
        <v>0</v>
      </c>
      <c r="L1638" s="507">
        <f t="shared" si="56"/>
        <v>368</v>
      </c>
      <c r="M1638" s="381" t="s">
        <v>1221</v>
      </c>
      <c r="AF1638" s="84"/>
    </row>
    <row r="1639" spans="1:32" s="185" customFormat="1" ht="14.25" customHeight="1" thickBot="1">
      <c r="A1639" s="353">
        <v>90172</v>
      </c>
      <c r="B1639" s="194" t="s">
        <v>316</v>
      </c>
      <c r="C1639" s="339">
        <f t="shared" si="57"/>
        <v>49922.5</v>
      </c>
      <c r="D1639" s="196" t="s">
        <v>548</v>
      </c>
      <c r="E1639" s="187" t="s">
        <v>3608</v>
      </c>
      <c r="F1639" s="507">
        <f>SUMIFS(Controle!$R:$R,Controle!$H:$H,produtos_escape2!$A1639,Controle!$Z:$Z,"1")</f>
        <v>0</v>
      </c>
      <c r="G1639" s="507">
        <f>SUMIFS(Controle!$R:$R,Controle!$H:$H,produtos_escape2!$A1639,Controle!$Z:$Z,"2")</f>
        <v>77.5</v>
      </c>
      <c r="H1639" s="507">
        <f>SUMIFS(Controle!$R:$R,Controle!$H:$H,produtos_escape2!$A1639,Controle!$Z:$Z,"3")</f>
        <v>0</v>
      </c>
      <c r="I1639" s="507">
        <f>SUMIFS(Controle!$R:$R,Controle!$H:$H,produtos_escape2!$A1639,Controle!$Z:$Z,"4")</f>
        <v>0</v>
      </c>
      <c r="J1639" s="507">
        <f>SUMIFS(Controle!$R:$R,Controle!$H:$H,produtos_escape2!$A1639,Controle!$Z:$Z,"5")</f>
        <v>0</v>
      </c>
      <c r="K1639" s="507">
        <f>SUMIFS(Controle!$R:$R,Controle!$H:$H,produtos_escape2!$A1639,Controle!$Z:$Z,"6")</f>
        <v>0</v>
      </c>
      <c r="L1639" s="507">
        <f t="shared" si="56"/>
        <v>77.5</v>
      </c>
      <c r="M1639" s="381" t="s">
        <v>316</v>
      </c>
      <c r="AF1639" s="84"/>
    </row>
    <row r="1640" spans="1:32" s="185" customFormat="1" ht="14.25" customHeight="1" thickBot="1">
      <c r="A1640" s="353">
        <v>90179</v>
      </c>
      <c r="B1640" s="194" t="s">
        <v>3032</v>
      </c>
      <c r="C1640" s="339">
        <f t="shared" si="57"/>
        <v>50000</v>
      </c>
      <c r="D1640" s="191" t="s">
        <v>725</v>
      </c>
      <c r="E1640" s="189" t="s">
        <v>3608</v>
      </c>
      <c r="F1640" s="507">
        <f>SUMIFS(Controle!$R:$R,Controle!$H:$H,produtos_escape2!$A1640,Controle!$Z:$Z,"1")</f>
        <v>0</v>
      </c>
      <c r="G1640" s="507">
        <f>SUMIFS(Controle!$R:$R,Controle!$H:$H,produtos_escape2!$A1640,Controle!$Z:$Z,"2")</f>
        <v>0</v>
      </c>
      <c r="H1640" s="507">
        <f>SUMIFS(Controle!$R:$R,Controle!$H:$H,produtos_escape2!$A1640,Controle!$Z:$Z,"3")</f>
        <v>0</v>
      </c>
      <c r="I1640" s="507">
        <f>SUMIFS(Controle!$R:$R,Controle!$H:$H,produtos_escape2!$A1640,Controle!$Z:$Z,"4")</f>
        <v>0</v>
      </c>
      <c r="J1640" s="507">
        <f>SUMIFS(Controle!$R:$R,Controle!$H:$H,produtos_escape2!$A1640,Controle!$Z:$Z,"5")</f>
        <v>0</v>
      </c>
      <c r="K1640" s="507">
        <f>SUMIFS(Controle!$R:$R,Controle!$H:$H,produtos_escape2!$A1640,Controle!$Z:$Z,"6")</f>
        <v>0</v>
      </c>
      <c r="L1640" s="507">
        <f t="shared" si="56"/>
        <v>0</v>
      </c>
      <c r="M1640" s="381" t="s">
        <v>3032</v>
      </c>
      <c r="AF1640" s="84"/>
    </row>
    <row r="1641" spans="1:32" s="185" customFormat="1" ht="14.25" customHeight="1" thickBot="1">
      <c r="A1641" s="353">
        <v>90185</v>
      </c>
      <c r="B1641" s="194" t="s">
        <v>1086</v>
      </c>
      <c r="C1641" s="339">
        <f t="shared" si="57"/>
        <v>48515</v>
      </c>
      <c r="D1641" s="196" t="s">
        <v>725</v>
      </c>
      <c r="E1641" s="187" t="s">
        <v>3608</v>
      </c>
      <c r="F1641" s="507">
        <f>SUMIFS(Controle!$R:$R,Controle!$H:$H,produtos_escape2!$A1641,Controle!$Z:$Z,"1")</f>
        <v>0</v>
      </c>
      <c r="G1641" s="507">
        <f>SUMIFS(Controle!$R:$R,Controle!$H:$H,produtos_escape2!$A1641,Controle!$Z:$Z,"2")</f>
        <v>0</v>
      </c>
      <c r="H1641" s="507">
        <f>SUMIFS(Controle!$R:$R,Controle!$H:$H,produtos_escape2!$A1641,Controle!$Z:$Z,"3")</f>
        <v>0</v>
      </c>
      <c r="I1641" s="507">
        <f>SUMIFS(Controle!$R:$R,Controle!$H:$H,produtos_escape2!$A1641,Controle!$Z:$Z,"4")</f>
        <v>0</v>
      </c>
      <c r="J1641" s="507">
        <f>SUMIFS(Controle!$R:$R,Controle!$H:$H,produtos_escape2!$A1641,Controle!$Z:$Z,"5")</f>
        <v>1485</v>
      </c>
      <c r="K1641" s="507">
        <f>SUMIFS(Controle!$R:$R,Controle!$H:$H,produtos_escape2!$A1641,Controle!$Z:$Z,"6")</f>
        <v>0</v>
      </c>
      <c r="L1641" s="507">
        <f t="shared" si="56"/>
        <v>1485</v>
      </c>
      <c r="M1641" s="381" t="s">
        <v>1086</v>
      </c>
      <c r="AF1641" s="84"/>
    </row>
    <row r="1642" spans="1:32" s="185" customFormat="1" ht="14.25" customHeight="1" thickBot="1">
      <c r="A1642" s="353">
        <v>90188</v>
      </c>
      <c r="B1642" s="194" t="s">
        <v>1219</v>
      </c>
      <c r="C1642" s="339">
        <f t="shared" si="57"/>
        <v>49670</v>
      </c>
      <c r="D1642" s="196" t="s">
        <v>725</v>
      </c>
      <c r="E1642" s="187" t="s">
        <v>3608</v>
      </c>
      <c r="F1642" s="507">
        <f>SUMIFS(Controle!$R:$R,Controle!$H:$H,produtos_escape2!$A1642,Controle!$Z:$Z,"1")</f>
        <v>0</v>
      </c>
      <c r="G1642" s="507">
        <f>SUMIFS(Controle!$R:$R,Controle!$H:$H,produtos_escape2!$A1642,Controle!$Z:$Z,"2")</f>
        <v>0</v>
      </c>
      <c r="H1642" s="507">
        <f>SUMIFS(Controle!$R:$R,Controle!$H:$H,produtos_escape2!$A1642,Controle!$Z:$Z,"3")</f>
        <v>0</v>
      </c>
      <c r="I1642" s="507">
        <f>SUMIFS(Controle!$R:$R,Controle!$H:$H,produtos_escape2!$A1642,Controle!$Z:$Z,"4")</f>
        <v>330</v>
      </c>
      <c r="J1642" s="507">
        <f>SUMIFS(Controle!$R:$R,Controle!$H:$H,produtos_escape2!$A1642,Controle!$Z:$Z,"5")</f>
        <v>0</v>
      </c>
      <c r="K1642" s="507">
        <f>SUMIFS(Controle!$R:$R,Controle!$H:$H,produtos_escape2!$A1642,Controle!$Z:$Z,"6")</f>
        <v>0</v>
      </c>
      <c r="L1642" s="507">
        <f t="shared" si="56"/>
        <v>330</v>
      </c>
      <c r="M1642" s="381" t="s">
        <v>1219</v>
      </c>
      <c r="AF1642" s="84"/>
    </row>
    <row r="1643" spans="1:32" s="185" customFormat="1" ht="14.25" customHeight="1" thickBot="1">
      <c r="A1643" s="353">
        <v>90189</v>
      </c>
      <c r="B1643" s="338" t="s">
        <v>1184</v>
      </c>
      <c r="C1643" s="339">
        <f t="shared" si="57"/>
        <v>50000</v>
      </c>
      <c r="D1643" s="196" t="s">
        <v>725</v>
      </c>
      <c r="E1643" s="187" t="s">
        <v>3608</v>
      </c>
      <c r="F1643" s="507">
        <f>SUMIFS(Controle!$R:$R,Controle!$H:$H,produtos_escape2!$A1643,Controle!$Z:$Z,"1")</f>
        <v>0</v>
      </c>
      <c r="G1643" s="507">
        <f>SUMIFS(Controle!$R:$R,Controle!$H:$H,produtos_escape2!$A1643,Controle!$Z:$Z,"2")</f>
        <v>0</v>
      </c>
      <c r="H1643" s="507">
        <f>SUMIFS(Controle!$R:$R,Controle!$H:$H,produtos_escape2!$A1643,Controle!$Z:$Z,"3")</f>
        <v>0</v>
      </c>
      <c r="I1643" s="507">
        <f>SUMIFS(Controle!$R:$R,Controle!$H:$H,produtos_escape2!$A1643,Controle!$Z:$Z,"4")</f>
        <v>0</v>
      </c>
      <c r="J1643" s="507">
        <f>SUMIFS(Controle!$R:$R,Controle!$H:$H,produtos_escape2!$A1643,Controle!$Z:$Z,"5")</f>
        <v>0</v>
      </c>
      <c r="K1643" s="507">
        <f>SUMIFS(Controle!$R:$R,Controle!$H:$H,produtos_escape2!$A1643,Controle!$Z:$Z,"6")</f>
        <v>0</v>
      </c>
      <c r="L1643" s="507">
        <f t="shared" si="56"/>
        <v>0</v>
      </c>
      <c r="M1643" s="381" t="s">
        <v>1184</v>
      </c>
      <c r="AF1643" s="84"/>
    </row>
    <row r="1644" spans="1:32" s="185" customFormat="1" ht="14.25" customHeight="1" thickBot="1">
      <c r="A1644" s="333">
        <v>90191</v>
      </c>
      <c r="B1644" s="194" t="s">
        <v>128</v>
      </c>
      <c r="C1644" s="339">
        <f t="shared" si="57"/>
        <v>49588.4</v>
      </c>
      <c r="D1644" s="196" t="s">
        <v>547</v>
      </c>
      <c r="E1644" s="187" t="s">
        <v>3608</v>
      </c>
      <c r="F1644" s="507">
        <f>SUMIFS(Controle!$R:$R,Controle!$H:$H,produtos_escape2!$A1644,Controle!$Z:$Z,"1")</f>
        <v>0</v>
      </c>
      <c r="G1644" s="507">
        <f>SUMIFS(Controle!$R:$R,Controle!$H:$H,produtos_escape2!$A1644,Controle!$Z:$Z,"2")</f>
        <v>0</v>
      </c>
      <c r="H1644" s="507">
        <f>SUMIFS(Controle!$R:$R,Controle!$H:$H,produtos_escape2!$A1644,Controle!$Z:$Z,"3")</f>
        <v>411.6</v>
      </c>
      <c r="I1644" s="507">
        <f>SUMIFS(Controle!$R:$R,Controle!$H:$H,produtos_escape2!$A1644,Controle!$Z:$Z,"4")</f>
        <v>0</v>
      </c>
      <c r="J1644" s="507">
        <f>SUMIFS(Controle!$R:$R,Controle!$H:$H,produtos_escape2!$A1644,Controle!$Z:$Z,"5")</f>
        <v>0</v>
      </c>
      <c r="K1644" s="507">
        <f>SUMIFS(Controle!$R:$R,Controle!$H:$H,produtos_escape2!$A1644,Controle!$Z:$Z,"6")</f>
        <v>0</v>
      </c>
      <c r="L1644" s="507">
        <f t="shared" si="56"/>
        <v>411.6</v>
      </c>
      <c r="M1644" s="381" t="s">
        <v>128</v>
      </c>
      <c r="AF1644" s="84"/>
    </row>
    <row r="1645" spans="1:32" s="185" customFormat="1" ht="14.25" customHeight="1" thickBot="1">
      <c r="A1645" s="333">
        <v>90192</v>
      </c>
      <c r="B1645" s="194" t="s">
        <v>9700</v>
      </c>
      <c r="C1645" s="339">
        <f t="shared" si="57"/>
        <v>49208.5</v>
      </c>
      <c r="D1645" s="196" t="s">
        <v>547</v>
      </c>
      <c r="E1645" s="187" t="s">
        <v>3608</v>
      </c>
      <c r="F1645" s="507">
        <f>SUMIFS(Controle!$R:$R,Controle!$H:$H,produtos_escape2!$A1645,Controle!$Z:$Z,"1")</f>
        <v>0</v>
      </c>
      <c r="G1645" s="507">
        <f>SUMIFS(Controle!$R:$R,Controle!$H:$H,produtos_escape2!$A1645,Controle!$Z:$Z,"2")</f>
        <v>0</v>
      </c>
      <c r="H1645" s="507">
        <f>SUMIFS(Controle!$R:$R,Controle!$H:$H,produtos_escape2!$A1645,Controle!$Z:$Z,"3")</f>
        <v>0</v>
      </c>
      <c r="I1645" s="507">
        <f>SUMIFS(Controle!$R:$R,Controle!$H:$H,produtos_escape2!$A1645,Controle!$Z:$Z,"4")</f>
        <v>0</v>
      </c>
      <c r="J1645" s="507">
        <f>SUMIFS(Controle!$R:$R,Controle!$H:$H,produtos_escape2!$A1645,Controle!$Z:$Z,"5")</f>
        <v>260</v>
      </c>
      <c r="K1645" s="507">
        <f>SUMIFS(Controle!$R:$R,Controle!$H:$H,produtos_escape2!$A1645,Controle!$Z:$Z,"6")</f>
        <v>531.5</v>
      </c>
      <c r="L1645" s="507">
        <f t="shared" si="56"/>
        <v>791.5</v>
      </c>
      <c r="M1645" s="381" t="s">
        <v>9699</v>
      </c>
      <c r="AF1645" s="84"/>
    </row>
    <row r="1646" spans="1:32" s="185" customFormat="1" ht="14.25" customHeight="1" thickBot="1">
      <c r="A1646" s="353">
        <v>90196</v>
      </c>
      <c r="B1646" s="194" t="s">
        <v>1472</v>
      </c>
      <c r="C1646" s="339">
        <f t="shared" si="57"/>
        <v>47630</v>
      </c>
      <c r="D1646" s="196" t="s">
        <v>547</v>
      </c>
      <c r="E1646" s="187" t="s">
        <v>3608</v>
      </c>
      <c r="F1646" s="507">
        <f>SUMIFS(Controle!$R:$R,Controle!$H:$H,produtos_escape2!$A1646,Controle!$Z:$Z,"1")</f>
        <v>0</v>
      </c>
      <c r="G1646" s="507">
        <f>SUMIFS(Controle!$R:$R,Controle!$H:$H,produtos_escape2!$A1646,Controle!$Z:$Z,"2")</f>
        <v>2370</v>
      </c>
      <c r="H1646" s="507">
        <f>SUMIFS(Controle!$R:$R,Controle!$H:$H,produtos_escape2!$A1646,Controle!$Z:$Z,"3")</f>
        <v>0</v>
      </c>
      <c r="I1646" s="507">
        <f>SUMIFS(Controle!$R:$R,Controle!$H:$H,produtos_escape2!$A1646,Controle!$Z:$Z,"4")</f>
        <v>0</v>
      </c>
      <c r="J1646" s="507">
        <f>SUMIFS(Controle!$R:$R,Controle!$H:$H,produtos_escape2!$A1646,Controle!$Z:$Z,"5")</f>
        <v>0</v>
      </c>
      <c r="K1646" s="507">
        <f>SUMIFS(Controle!$R:$R,Controle!$H:$H,produtos_escape2!$A1646,Controle!$Z:$Z,"6")</f>
        <v>0</v>
      </c>
      <c r="L1646" s="507">
        <f t="shared" si="56"/>
        <v>2370</v>
      </c>
      <c r="M1646" s="381" t="s">
        <v>5385</v>
      </c>
      <c r="AF1646" s="84"/>
    </row>
    <row r="1647" spans="1:32" s="185" customFormat="1" ht="14.25" customHeight="1" thickBot="1">
      <c r="A1647" s="353">
        <v>90199</v>
      </c>
      <c r="B1647" s="194" t="s">
        <v>416</v>
      </c>
      <c r="C1647" s="339">
        <f t="shared" si="57"/>
        <v>50000</v>
      </c>
      <c r="D1647" s="196"/>
      <c r="E1647" s="187"/>
      <c r="F1647" s="507">
        <f>SUMIFS(Controle!$R:$R,Controle!$H:$H,produtos_escape2!$A1647,Controle!$Z:$Z,"1")</f>
        <v>0</v>
      </c>
      <c r="G1647" s="507">
        <f>SUMIFS(Controle!$R:$R,Controle!$H:$H,produtos_escape2!$A1647,Controle!$Z:$Z,"2")</f>
        <v>0</v>
      </c>
      <c r="H1647" s="507">
        <f>SUMIFS(Controle!$R:$R,Controle!$H:$H,produtos_escape2!$A1647,Controle!$Z:$Z,"3")</f>
        <v>0</v>
      </c>
      <c r="I1647" s="507">
        <f>SUMIFS(Controle!$R:$R,Controle!$H:$H,produtos_escape2!$A1647,Controle!$Z:$Z,"4")</f>
        <v>0</v>
      </c>
      <c r="J1647" s="507">
        <f>SUMIFS(Controle!$R:$R,Controle!$H:$H,produtos_escape2!$A1647,Controle!$Z:$Z,"5")</f>
        <v>0</v>
      </c>
      <c r="K1647" s="507">
        <f>SUMIFS(Controle!$R:$R,Controle!$H:$H,produtos_escape2!$A1647,Controle!$Z:$Z,"6")</f>
        <v>0</v>
      </c>
      <c r="L1647" s="507">
        <f t="shared" si="56"/>
        <v>0</v>
      </c>
      <c r="M1647" s="381" t="s">
        <v>416</v>
      </c>
      <c r="AF1647" s="84"/>
    </row>
    <row r="1648" spans="1:32" s="185" customFormat="1" ht="14.25" customHeight="1" thickBot="1">
      <c r="A1648" s="353">
        <v>90202</v>
      </c>
      <c r="B1648" s="194" t="s">
        <v>1534</v>
      </c>
      <c r="C1648" s="339">
        <f t="shared" si="57"/>
        <v>50000</v>
      </c>
      <c r="D1648" s="196" t="s">
        <v>547</v>
      </c>
      <c r="E1648" s="187" t="s">
        <v>3608</v>
      </c>
      <c r="F1648" s="507">
        <f>SUMIFS(Controle!$R:$R,Controle!$H:$H,produtos_escape2!$A1648,Controle!$Z:$Z,"1")</f>
        <v>0</v>
      </c>
      <c r="G1648" s="507">
        <f>SUMIFS(Controle!$R:$R,Controle!$H:$H,produtos_escape2!$A1648,Controle!$Z:$Z,"2")</f>
        <v>0</v>
      </c>
      <c r="H1648" s="507">
        <f>SUMIFS(Controle!$R:$R,Controle!$H:$H,produtos_escape2!$A1648,Controle!$Z:$Z,"3")</f>
        <v>0</v>
      </c>
      <c r="I1648" s="507">
        <f>SUMIFS(Controle!$R:$R,Controle!$H:$H,produtos_escape2!$A1648,Controle!$Z:$Z,"4")</f>
        <v>0</v>
      </c>
      <c r="J1648" s="507">
        <f>SUMIFS(Controle!$R:$R,Controle!$H:$H,produtos_escape2!$A1648,Controle!$Z:$Z,"5")</f>
        <v>0</v>
      </c>
      <c r="K1648" s="507">
        <f>SUMIFS(Controle!$R:$R,Controle!$H:$H,produtos_escape2!$A1648,Controle!$Z:$Z,"6")</f>
        <v>0</v>
      </c>
      <c r="L1648" s="507">
        <f t="shared" si="56"/>
        <v>0</v>
      </c>
      <c r="M1648" s="381" t="s">
        <v>5386</v>
      </c>
      <c r="AF1648" s="84"/>
    </row>
    <row r="1649" spans="1:32" s="185" customFormat="1" ht="14.25" customHeight="1" thickBot="1">
      <c r="A1649" s="353">
        <v>90203</v>
      </c>
      <c r="B1649" s="194" t="s">
        <v>65</v>
      </c>
      <c r="C1649" s="339">
        <f t="shared" si="57"/>
        <v>19465</v>
      </c>
      <c r="D1649" s="191" t="s">
        <v>547</v>
      </c>
      <c r="E1649" s="189" t="s">
        <v>3608</v>
      </c>
      <c r="F1649" s="507">
        <f>SUMIFS(Controle!$R:$R,Controle!$H:$H,produtos_escape2!$A1649,Controle!$Z:$Z,"1")</f>
        <v>0</v>
      </c>
      <c r="G1649" s="507">
        <f>SUMIFS(Controle!$R:$R,Controle!$H:$H,produtos_escape2!$A1649,Controle!$Z:$Z,"2")</f>
        <v>2760</v>
      </c>
      <c r="H1649" s="507">
        <f>SUMIFS(Controle!$R:$R,Controle!$H:$H,produtos_escape2!$A1649,Controle!$Z:$Z,"3")</f>
        <v>15800</v>
      </c>
      <c r="I1649" s="507">
        <f>SUMIFS(Controle!$R:$R,Controle!$H:$H,produtos_escape2!$A1649,Controle!$Z:$Z,"4")</f>
        <v>11975</v>
      </c>
      <c r="J1649" s="507">
        <f>SUMIFS(Controle!$R:$R,Controle!$H:$H,produtos_escape2!$A1649,Controle!$Z:$Z,"5")</f>
        <v>0</v>
      </c>
      <c r="K1649" s="507">
        <f>SUMIFS(Controle!$R:$R,Controle!$H:$H,produtos_escape2!$A1649,Controle!$Z:$Z,"6")</f>
        <v>0</v>
      </c>
      <c r="L1649" s="507">
        <f t="shared" si="56"/>
        <v>30535</v>
      </c>
      <c r="M1649" s="381" t="s">
        <v>65</v>
      </c>
      <c r="AF1649" s="84"/>
    </row>
    <row r="1650" spans="1:32" s="185" customFormat="1" ht="14.25" customHeight="1" thickBot="1">
      <c r="A1650" s="353">
        <v>90204</v>
      </c>
      <c r="B1650" s="194" t="s">
        <v>1249</v>
      </c>
      <c r="C1650" s="339">
        <f t="shared" si="57"/>
        <v>50000</v>
      </c>
      <c r="D1650" s="196" t="s">
        <v>1250</v>
      </c>
      <c r="E1650" s="187" t="s">
        <v>3608</v>
      </c>
      <c r="F1650" s="507">
        <f>SUMIFS(Controle!$R:$R,Controle!$H:$H,produtos_escape2!$A1650,Controle!$Z:$Z,"1")</f>
        <v>0</v>
      </c>
      <c r="G1650" s="507">
        <f>SUMIFS(Controle!$R:$R,Controle!$H:$H,produtos_escape2!$A1650,Controle!$Z:$Z,"2")</f>
        <v>0</v>
      </c>
      <c r="H1650" s="507">
        <f>SUMIFS(Controle!$R:$R,Controle!$H:$H,produtos_escape2!$A1650,Controle!$Z:$Z,"3")</f>
        <v>0</v>
      </c>
      <c r="I1650" s="507">
        <f>SUMIFS(Controle!$R:$R,Controle!$H:$H,produtos_escape2!$A1650,Controle!$Z:$Z,"4")</f>
        <v>0</v>
      </c>
      <c r="J1650" s="507">
        <f>SUMIFS(Controle!$R:$R,Controle!$H:$H,produtos_escape2!$A1650,Controle!$Z:$Z,"5")</f>
        <v>0</v>
      </c>
      <c r="K1650" s="507">
        <f>SUMIFS(Controle!$R:$R,Controle!$H:$H,produtos_escape2!$A1650,Controle!$Z:$Z,"6")</f>
        <v>0</v>
      </c>
      <c r="L1650" s="507">
        <f t="shared" si="56"/>
        <v>0</v>
      </c>
      <c r="M1650" s="381" t="s">
        <v>1249</v>
      </c>
      <c r="AF1650" s="84"/>
    </row>
    <row r="1651" spans="1:32" s="185" customFormat="1" ht="14.25" customHeight="1" thickBot="1">
      <c r="A1651" s="353">
        <v>90206</v>
      </c>
      <c r="B1651" s="194" t="s">
        <v>922</v>
      </c>
      <c r="C1651" s="339">
        <f t="shared" si="57"/>
        <v>50000</v>
      </c>
      <c r="D1651" s="196" t="s">
        <v>725</v>
      </c>
      <c r="E1651" s="187" t="s">
        <v>3608</v>
      </c>
      <c r="F1651" s="507">
        <f>SUMIFS(Controle!$R:$R,Controle!$H:$H,produtos_escape2!$A1651,Controle!$Z:$Z,"1")</f>
        <v>0</v>
      </c>
      <c r="G1651" s="507">
        <f>SUMIFS(Controle!$R:$R,Controle!$H:$H,produtos_escape2!$A1651,Controle!$Z:$Z,"2")</f>
        <v>0</v>
      </c>
      <c r="H1651" s="507">
        <f>SUMIFS(Controle!$R:$R,Controle!$H:$H,produtos_escape2!$A1651,Controle!$Z:$Z,"3")</f>
        <v>0</v>
      </c>
      <c r="I1651" s="507">
        <f>SUMIFS(Controle!$R:$R,Controle!$H:$H,produtos_escape2!$A1651,Controle!$Z:$Z,"4")</f>
        <v>0</v>
      </c>
      <c r="J1651" s="507">
        <f>SUMIFS(Controle!$R:$R,Controle!$H:$H,produtos_escape2!$A1651,Controle!$Z:$Z,"5")</f>
        <v>0</v>
      </c>
      <c r="K1651" s="507">
        <f>SUMIFS(Controle!$R:$R,Controle!$H:$H,produtos_escape2!$A1651,Controle!$Z:$Z,"6")</f>
        <v>0</v>
      </c>
      <c r="L1651" s="507">
        <f t="shared" si="56"/>
        <v>0</v>
      </c>
      <c r="M1651" s="381" t="s">
        <v>922</v>
      </c>
      <c r="AF1651" s="84"/>
    </row>
    <row r="1652" spans="1:32" s="185" customFormat="1" ht="14.25" customHeight="1" thickBot="1">
      <c r="A1652" s="353">
        <v>90207</v>
      </c>
      <c r="B1652" s="338" t="s">
        <v>1066</v>
      </c>
      <c r="C1652" s="339">
        <f t="shared" si="57"/>
        <v>12400</v>
      </c>
      <c r="D1652" s="196" t="s">
        <v>547</v>
      </c>
      <c r="E1652" s="187" t="s">
        <v>3608</v>
      </c>
      <c r="F1652" s="507">
        <f>SUMIFS(Controle!$R:$R,Controle!$H:$H,produtos_escape2!$A1652,Controle!$Z:$Z,"1")</f>
        <v>0</v>
      </c>
      <c r="G1652" s="507">
        <f>SUMIFS(Controle!$R:$R,Controle!$H:$H,produtos_escape2!$A1652,Controle!$Z:$Z,"2")</f>
        <v>2820</v>
      </c>
      <c r="H1652" s="507">
        <f>SUMIFS(Controle!$R:$R,Controle!$H:$H,produtos_escape2!$A1652,Controle!$Z:$Z,"3")</f>
        <v>1720</v>
      </c>
      <c r="I1652" s="507">
        <f>SUMIFS(Controle!$R:$R,Controle!$H:$H,produtos_escape2!$A1652,Controle!$Z:$Z,"4")</f>
        <v>0</v>
      </c>
      <c r="J1652" s="507">
        <f>SUMIFS(Controle!$R:$R,Controle!$H:$H,produtos_escape2!$A1652,Controle!$Z:$Z,"5")</f>
        <v>2820</v>
      </c>
      <c r="K1652" s="507">
        <f>SUMIFS(Controle!$R:$R,Controle!$H:$H,produtos_escape2!$A1652,Controle!$Z:$Z,"6")</f>
        <v>30240</v>
      </c>
      <c r="L1652" s="507">
        <f t="shared" si="56"/>
        <v>37600</v>
      </c>
      <c r="M1652" s="381" t="s">
        <v>1066</v>
      </c>
      <c r="AF1652" s="84"/>
    </row>
    <row r="1653" spans="1:32" s="185" customFormat="1" ht="14.25" customHeight="1" thickBot="1">
      <c r="A1653" s="333">
        <v>90209</v>
      </c>
      <c r="B1653" s="194" t="s">
        <v>455</v>
      </c>
      <c r="C1653" s="339">
        <f t="shared" si="57"/>
        <v>50000</v>
      </c>
      <c r="D1653" s="196" t="s">
        <v>547</v>
      </c>
      <c r="E1653" s="187" t="s">
        <v>3608</v>
      </c>
      <c r="F1653" s="507">
        <f>SUMIFS(Controle!$R:$R,Controle!$H:$H,produtos_escape2!$A1653,Controle!$Z:$Z,"1")</f>
        <v>0</v>
      </c>
      <c r="G1653" s="507">
        <f>SUMIFS(Controle!$R:$R,Controle!$H:$H,produtos_escape2!$A1653,Controle!$Z:$Z,"2")</f>
        <v>0</v>
      </c>
      <c r="H1653" s="507">
        <f>SUMIFS(Controle!$R:$R,Controle!$H:$H,produtos_escape2!$A1653,Controle!$Z:$Z,"3")</f>
        <v>0</v>
      </c>
      <c r="I1653" s="507">
        <f>SUMIFS(Controle!$R:$R,Controle!$H:$H,produtos_escape2!$A1653,Controle!$Z:$Z,"4")</f>
        <v>0</v>
      </c>
      <c r="J1653" s="507">
        <f>SUMIFS(Controle!$R:$R,Controle!$H:$H,produtos_escape2!$A1653,Controle!$Z:$Z,"5")</f>
        <v>0</v>
      </c>
      <c r="K1653" s="507">
        <f>SUMIFS(Controle!$R:$R,Controle!$H:$H,produtos_escape2!$A1653,Controle!$Z:$Z,"6")</f>
        <v>0</v>
      </c>
      <c r="L1653" s="507">
        <f t="shared" si="56"/>
        <v>0</v>
      </c>
      <c r="M1653" s="381" t="s">
        <v>455</v>
      </c>
      <c r="AF1653" s="84"/>
    </row>
    <row r="1654" spans="1:32" s="185" customFormat="1" ht="14.25" customHeight="1" thickBot="1">
      <c r="A1654" s="353">
        <v>90210</v>
      </c>
      <c r="B1654" s="194" t="s">
        <v>5830</v>
      </c>
      <c r="C1654" s="339">
        <f t="shared" si="57"/>
        <v>50000</v>
      </c>
      <c r="D1654" s="196" t="s">
        <v>725</v>
      </c>
      <c r="E1654" s="187" t="s">
        <v>3608</v>
      </c>
      <c r="F1654" s="507">
        <f>SUMIFS(Controle!$R:$R,Controle!$H:$H,produtos_escape2!$A1654,Controle!$Z:$Z,"1")</f>
        <v>0</v>
      </c>
      <c r="G1654" s="507">
        <f>SUMIFS(Controle!$R:$R,Controle!$H:$H,produtos_escape2!$A1654,Controle!$Z:$Z,"2")</f>
        <v>0</v>
      </c>
      <c r="H1654" s="507">
        <f>SUMIFS(Controle!$R:$R,Controle!$H:$H,produtos_escape2!$A1654,Controle!$Z:$Z,"3")</f>
        <v>0</v>
      </c>
      <c r="I1654" s="507">
        <f>SUMIFS(Controle!$R:$R,Controle!$H:$H,produtos_escape2!$A1654,Controle!$Z:$Z,"4")</f>
        <v>0</v>
      </c>
      <c r="J1654" s="507">
        <f>SUMIFS(Controle!$R:$R,Controle!$H:$H,produtos_escape2!$A1654,Controle!$Z:$Z,"5")</f>
        <v>0</v>
      </c>
      <c r="K1654" s="507">
        <f>SUMIFS(Controle!$R:$R,Controle!$H:$H,produtos_escape2!$A1654,Controle!$Z:$Z,"6")</f>
        <v>0</v>
      </c>
      <c r="L1654" s="507">
        <f t="shared" si="56"/>
        <v>0</v>
      </c>
      <c r="M1654" s="381" t="s">
        <v>5829</v>
      </c>
      <c r="AF1654" s="84"/>
    </row>
    <row r="1655" spans="1:32" s="185" customFormat="1" ht="14.25" customHeight="1" thickBot="1">
      <c r="A1655" s="353">
        <v>90213</v>
      </c>
      <c r="B1655" s="194" t="s">
        <v>319</v>
      </c>
      <c r="C1655" s="339">
        <f t="shared" si="57"/>
        <v>50000</v>
      </c>
      <c r="D1655" s="196" t="s">
        <v>547</v>
      </c>
      <c r="E1655" s="187" t="s">
        <v>3608</v>
      </c>
      <c r="F1655" s="507">
        <f>SUMIFS(Controle!$R:$R,Controle!$H:$H,produtos_escape2!$A1655,Controle!$Z:$Z,"1")</f>
        <v>0</v>
      </c>
      <c r="G1655" s="507">
        <f>SUMIFS(Controle!$R:$R,Controle!$H:$H,produtos_escape2!$A1655,Controle!$Z:$Z,"2")</f>
        <v>0</v>
      </c>
      <c r="H1655" s="507">
        <f>SUMIFS(Controle!$R:$R,Controle!$H:$H,produtos_escape2!$A1655,Controle!$Z:$Z,"3")</f>
        <v>0</v>
      </c>
      <c r="I1655" s="507">
        <f>SUMIFS(Controle!$R:$R,Controle!$H:$H,produtos_escape2!$A1655,Controle!$Z:$Z,"4")</f>
        <v>0</v>
      </c>
      <c r="J1655" s="507">
        <f>SUMIFS(Controle!$R:$R,Controle!$H:$H,produtos_escape2!$A1655,Controle!$Z:$Z,"5")</f>
        <v>0</v>
      </c>
      <c r="K1655" s="507">
        <f>SUMIFS(Controle!$R:$R,Controle!$H:$H,produtos_escape2!$A1655,Controle!$Z:$Z,"6")</f>
        <v>0</v>
      </c>
      <c r="L1655" s="507">
        <f t="shared" si="56"/>
        <v>0</v>
      </c>
      <c r="M1655" s="381" t="s">
        <v>319</v>
      </c>
      <c r="AF1655" s="84"/>
    </row>
    <row r="1656" spans="1:32" s="185" customFormat="1" ht="14.25" customHeight="1" thickBot="1">
      <c r="A1656" s="353">
        <v>90215</v>
      </c>
      <c r="B1656" s="194" t="s">
        <v>247</v>
      </c>
      <c r="C1656" s="339">
        <f t="shared" si="57"/>
        <v>50000</v>
      </c>
      <c r="D1656" s="196" t="s">
        <v>547</v>
      </c>
      <c r="E1656" s="187" t="s">
        <v>3608</v>
      </c>
      <c r="F1656" s="507">
        <f>SUMIFS(Controle!$R:$R,Controle!$H:$H,produtos_escape2!$A1656,Controle!$Z:$Z,"1")</f>
        <v>0</v>
      </c>
      <c r="G1656" s="507">
        <f>SUMIFS(Controle!$R:$R,Controle!$H:$H,produtos_escape2!$A1656,Controle!$Z:$Z,"2")</f>
        <v>0</v>
      </c>
      <c r="H1656" s="507">
        <f>SUMIFS(Controle!$R:$R,Controle!$H:$H,produtos_escape2!$A1656,Controle!$Z:$Z,"3")</f>
        <v>0</v>
      </c>
      <c r="I1656" s="507">
        <f>SUMIFS(Controle!$R:$R,Controle!$H:$H,produtos_escape2!$A1656,Controle!$Z:$Z,"4")</f>
        <v>0</v>
      </c>
      <c r="J1656" s="507">
        <f>SUMIFS(Controle!$R:$R,Controle!$H:$H,produtos_escape2!$A1656,Controle!$Z:$Z,"5")</f>
        <v>0</v>
      </c>
      <c r="K1656" s="507">
        <f>SUMIFS(Controle!$R:$R,Controle!$H:$H,produtos_escape2!$A1656,Controle!$Z:$Z,"6")</f>
        <v>0</v>
      </c>
      <c r="L1656" s="507">
        <f t="shared" si="56"/>
        <v>0</v>
      </c>
      <c r="M1656" s="381" t="s">
        <v>5387</v>
      </c>
      <c r="AF1656" s="84"/>
    </row>
    <row r="1657" spans="1:32" s="185" customFormat="1" ht="14.25" customHeight="1" thickBot="1">
      <c r="A1657" s="353">
        <v>90218</v>
      </c>
      <c r="B1657" s="194" t="s">
        <v>53</v>
      </c>
      <c r="C1657" s="339">
        <f t="shared" si="57"/>
        <v>50000</v>
      </c>
      <c r="D1657" s="196" t="s">
        <v>547</v>
      </c>
      <c r="E1657" s="187" t="s">
        <v>3608</v>
      </c>
      <c r="F1657" s="507">
        <f>SUMIFS(Controle!$R:$R,Controle!$H:$H,produtos_escape2!$A1657,Controle!$Z:$Z,"1")</f>
        <v>0</v>
      </c>
      <c r="G1657" s="507">
        <f>SUMIFS(Controle!$R:$R,Controle!$H:$H,produtos_escape2!$A1657,Controle!$Z:$Z,"2")</f>
        <v>0</v>
      </c>
      <c r="H1657" s="507">
        <f>SUMIFS(Controle!$R:$R,Controle!$H:$H,produtos_escape2!$A1657,Controle!$Z:$Z,"3")</f>
        <v>0</v>
      </c>
      <c r="I1657" s="507">
        <f>SUMIFS(Controle!$R:$R,Controle!$H:$H,produtos_escape2!$A1657,Controle!$Z:$Z,"4")</f>
        <v>0</v>
      </c>
      <c r="J1657" s="507">
        <f>SUMIFS(Controle!$R:$R,Controle!$H:$H,produtos_escape2!$A1657,Controle!$Z:$Z,"5")</f>
        <v>0</v>
      </c>
      <c r="K1657" s="507">
        <f>SUMIFS(Controle!$R:$R,Controle!$H:$H,produtos_escape2!$A1657,Controle!$Z:$Z,"6")</f>
        <v>0</v>
      </c>
      <c r="L1657" s="507">
        <f t="shared" si="56"/>
        <v>0</v>
      </c>
      <c r="M1657" s="381" t="s">
        <v>53</v>
      </c>
      <c r="AF1657" s="84"/>
    </row>
    <row r="1658" spans="1:32" s="185" customFormat="1" ht="14.25" customHeight="1" thickBot="1">
      <c r="A1658" s="353">
        <v>90220</v>
      </c>
      <c r="B1658" s="194" t="s">
        <v>2675</v>
      </c>
      <c r="C1658" s="339">
        <f t="shared" si="57"/>
        <v>42106.5</v>
      </c>
      <c r="D1658" s="196" t="s">
        <v>547</v>
      </c>
      <c r="E1658" s="187" t="s">
        <v>3608</v>
      </c>
      <c r="F1658" s="507">
        <f>SUMIFS(Controle!$R:$R,Controle!$H:$H,produtos_escape2!$A1658,Controle!$Z:$Z,"1")</f>
        <v>0</v>
      </c>
      <c r="G1658" s="507">
        <f>SUMIFS(Controle!$R:$R,Controle!$H:$H,produtos_escape2!$A1658,Controle!$Z:$Z,"2")</f>
        <v>648.5</v>
      </c>
      <c r="H1658" s="507">
        <f>SUMIFS(Controle!$R:$R,Controle!$H:$H,produtos_escape2!$A1658,Controle!$Z:$Z,"3")</f>
        <v>805.00000000000011</v>
      </c>
      <c r="I1658" s="507">
        <f>SUMIFS(Controle!$R:$R,Controle!$H:$H,produtos_escape2!$A1658,Controle!$Z:$Z,"4")</f>
        <v>0</v>
      </c>
      <c r="J1658" s="507">
        <f>SUMIFS(Controle!$R:$R,Controle!$H:$H,produtos_escape2!$A1658,Controle!$Z:$Z,"5")</f>
        <v>0</v>
      </c>
      <c r="K1658" s="507">
        <f>SUMIFS(Controle!$R:$R,Controle!$H:$H,produtos_escape2!$A1658,Controle!$Z:$Z,"6")</f>
        <v>6440.0000000000009</v>
      </c>
      <c r="L1658" s="507">
        <f t="shared" si="56"/>
        <v>7893.5000000000009</v>
      </c>
      <c r="M1658" s="381" t="s">
        <v>5388</v>
      </c>
      <c r="AF1658" s="84"/>
    </row>
    <row r="1659" spans="1:32" s="185" customFormat="1" ht="14.25" customHeight="1" thickBot="1">
      <c r="A1659" s="353">
        <v>90221</v>
      </c>
      <c r="B1659" s="194" t="s">
        <v>1566</v>
      </c>
      <c r="C1659" s="339">
        <f t="shared" si="57"/>
        <v>45720</v>
      </c>
      <c r="D1659" s="196" t="s">
        <v>547</v>
      </c>
      <c r="E1659" s="187" t="s">
        <v>3608</v>
      </c>
      <c r="F1659" s="507">
        <f>SUMIFS(Controle!$R:$R,Controle!$H:$H,produtos_escape2!$A1659,Controle!$Z:$Z,"1")</f>
        <v>0</v>
      </c>
      <c r="G1659" s="507">
        <f>SUMIFS(Controle!$R:$R,Controle!$H:$H,produtos_escape2!$A1659,Controle!$Z:$Z,"2")</f>
        <v>0</v>
      </c>
      <c r="H1659" s="507">
        <f>SUMIFS(Controle!$R:$R,Controle!$H:$H,produtos_escape2!$A1659,Controle!$Z:$Z,"3")</f>
        <v>0</v>
      </c>
      <c r="I1659" s="507">
        <f>SUMIFS(Controle!$R:$R,Controle!$H:$H,produtos_escape2!$A1659,Controle!$Z:$Z,"4")</f>
        <v>0</v>
      </c>
      <c r="J1659" s="507">
        <f>SUMIFS(Controle!$R:$R,Controle!$H:$H,produtos_escape2!$A1659,Controle!$Z:$Z,"5")</f>
        <v>0</v>
      </c>
      <c r="K1659" s="507">
        <f>SUMIFS(Controle!$R:$R,Controle!$H:$H,produtos_escape2!$A1659,Controle!$Z:$Z,"6")</f>
        <v>4280</v>
      </c>
      <c r="L1659" s="507">
        <f t="shared" si="56"/>
        <v>4280</v>
      </c>
      <c r="M1659" s="381" t="s">
        <v>1566</v>
      </c>
      <c r="AF1659" s="84"/>
    </row>
    <row r="1660" spans="1:32" s="185" customFormat="1" ht="14.25" customHeight="1" thickBot="1">
      <c r="A1660" s="353">
        <v>90225</v>
      </c>
      <c r="B1660" s="194" t="s">
        <v>1247</v>
      </c>
      <c r="C1660" s="339">
        <f t="shared" si="57"/>
        <v>49672.016000000003</v>
      </c>
      <c r="D1660" s="196" t="s">
        <v>725</v>
      </c>
      <c r="E1660" s="187" t="s">
        <v>3608</v>
      </c>
      <c r="F1660" s="507">
        <f>SUMIFS(Controle!$R:$R,Controle!$H:$H,produtos_escape2!$A1660,Controle!$Z:$Z,"1")</f>
        <v>0</v>
      </c>
      <c r="G1660" s="507">
        <f>SUMIFS(Controle!$R:$R,Controle!$H:$H,produtos_escape2!$A1660,Controle!$Z:$Z,"2")</f>
        <v>327.98399999999998</v>
      </c>
      <c r="H1660" s="507">
        <f>SUMIFS(Controle!$R:$R,Controle!$H:$H,produtos_escape2!$A1660,Controle!$Z:$Z,"3")</f>
        <v>0</v>
      </c>
      <c r="I1660" s="507">
        <f>SUMIFS(Controle!$R:$R,Controle!$H:$H,produtos_escape2!$A1660,Controle!$Z:$Z,"4")</f>
        <v>0</v>
      </c>
      <c r="J1660" s="507">
        <f>SUMIFS(Controle!$R:$R,Controle!$H:$H,produtos_escape2!$A1660,Controle!$Z:$Z,"5")</f>
        <v>0</v>
      </c>
      <c r="K1660" s="507">
        <f>SUMIFS(Controle!$R:$R,Controle!$H:$H,produtos_escape2!$A1660,Controle!$Z:$Z,"6")</f>
        <v>0</v>
      </c>
      <c r="L1660" s="507">
        <f t="shared" si="56"/>
        <v>327.98399999999998</v>
      </c>
      <c r="M1660" s="381" t="s">
        <v>1247</v>
      </c>
      <c r="AF1660" s="84"/>
    </row>
    <row r="1661" spans="1:32" s="185" customFormat="1" ht="14.25" customHeight="1" thickBot="1">
      <c r="A1661" s="333">
        <v>90226</v>
      </c>
      <c r="B1661" s="338" t="s">
        <v>1463</v>
      </c>
      <c r="C1661" s="339">
        <f t="shared" si="57"/>
        <v>49907.5</v>
      </c>
      <c r="D1661" s="196" t="s">
        <v>725</v>
      </c>
      <c r="E1661" s="187" t="s">
        <v>3608</v>
      </c>
      <c r="F1661" s="507">
        <f>SUMIFS(Controle!$R:$R,Controle!$H:$H,produtos_escape2!$A1661,Controle!$Z:$Z,"1")</f>
        <v>0</v>
      </c>
      <c r="G1661" s="507">
        <f>SUMIFS(Controle!$R:$R,Controle!$H:$H,produtos_escape2!$A1661,Controle!$Z:$Z,"2")</f>
        <v>92.5</v>
      </c>
      <c r="H1661" s="507">
        <f>SUMIFS(Controle!$R:$R,Controle!$H:$H,produtos_escape2!$A1661,Controle!$Z:$Z,"3")</f>
        <v>0</v>
      </c>
      <c r="I1661" s="507">
        <f>SUMIFS(Controle!$R:$R,Controle!$H:$H,produtos_escape2!$A1661,Controle!$Z:$Z,"4")</f>
        <v>0</v>
      </c>
      <c r="J1661" s="507">
        <f>SUMIFS(Controle!$R:$R,Controle!$H:$H,produtos_escape2!$A1661,Controle!$Z:$Z,"5")</f>
        <v>0</v>
      </c>
      <c r="K1661" s="507">
        <f>SUMIFS(Controle!$R:$R,Controle!$H:$H,produtos_escape2!$A1661,Controle!$Z:$Z,"6")</f>
        <v>0</v>
      </c>
      <c r="L1661" s="507">
        <f t="shared" si="56"/>
        <v>92.5</v>
      </c>
      <c r="M1661" s="381" t="s">
        <v>1463</v>
      </c>
      <c r="AF1661" s="84"/>
    </row>
    <row r="1662" spans="1:32" s="185" customFormat="1" ht="14.25" customHeight="1" thickBot="1">
      <c r="A1662" s="353">
        <v>90230</v>
      </c>
      <c r="B1662" s="194" t="s">
        <v>192</v>
      </c>
      <c r="C1662" s="339">
        <f t="shared" si="57"/>
        <v>44500</v>
      </c>
      <c r="D1662" s="196" t="s">
        <v>549</v>
      </c>
      <c r="E1662" s="187" t="s">
        <v>3608</v>
      </c>
      <c r="F1662" s="507">
        <f>SUMIFS(Controle!$R:$R,Controle!$H:$H,produtos_escape2!$A1662,Controle!$Z:$Z,"1")</f>
        <v>0</v>
      </c>
      <c r="G1662" s="507">
        <f>SUMIFS(Controle!$R:$R,Controle!$H:$H,produtos_escape2!$A1662,Controle!$Z:$Z,"2")</f>
        <v>0</v>
      </c>
      <c r="H1662" s="507">
        <f>SUMIFS(Controle!$R:$R,Controle!$H:$H,produtos_escape2!$A1662,Controle!$Z:$Z,"3")</f>
        <v>0</v>
      </c>
      <c r="I1662" s="507">
        <f>SUMIFS(Controle!$R:$R,Controle!$H:$H,produtos_escape2!$A1662,Controle!$Z:$Z,"4")</f>
        <v>5500</v>
      </c>
      <c r="J1662" s="507">
        <f>SUMIFS(Controle!$R:$R,Controle!$H:$H,produtos_escape2!$A1662,Controle!$Z:$Z,"5")</f>
        <v>0</v>
      </c>
      <c r="K1662" s="507">
        <f>SUMIFS(Controle!$R:$R,Controle!$H:$H,produtos_escape2!$A1662,Controle!$Z:$Z,"6")</f>
        <v>0</v>
      </c>
      <c r="L1662" s="507">
        <f t="shared" si="56"/>
        <v>5500</v>
      </c>
      <c r="M1662" s="381" t="s">
        <v>192</v>
      </c>
      <c r="AF1662" s="84"/>
    </row>
    <row r="1663" spans="1:32" s="185" customFormat="1" ht="14.25" customHeight="1" thickBot="1">
      <c r="A1663" s="353">
        <v>90240</v>
      </c>
      <c r="B1663" s="194" t="s">
        <v>109</v>
      </c>
      <c r="C1663" s="339">
        <f t="shared" si="57"/>
        <v>50000</v>
      </c>
      <c r="D1663" s="196" t="s">
        <v>547</v>
      </c>
      <c r="E1663" s="187" t="s">
        <v>3608</v>
      </c>
      <c r="F1663" s="507">
        <f>SUMIFS(Controle!$R:$R,Controle!$H:$H,produtos_escape2!$A1663,Controle!$Z:$Z,"1")</f>
        <v>0</v>
      </c>
      <c r="G1663" s="507">
        <f>SUMIFS(Controle!$R:$R,Controle!$H:$H,produtos_escape2!$A1663,Controle!$Z:$Z,"2")</f>
        <v>0</v>
      </c>
      <c r="H1663" s="507">
        <f>SUMIFS(Controle!$R:$R,Controle!$H:$H,produtos_escape2!$A1663,Controle!$Z:$Z,"3")</f>
        <v>0</v>
      </c>
      <c r="I1663" s="507">
        <f>SUMIFS(Controle!$R:$R,Controle!$H:$H,produtos_escape2!$A1663,Controle!$Z:$Z,"4")</f>
        <v>0</v>
      </c>
      <c r="J1663" s="507">
        <f>SUMIFS(Controle!$R:$R,Controle!$H:$H,produtos_escape2!$A1663,Controle!$Z:$Z,"5")</f>
        <v>0</v>
      </c>
      <c r="K1663" s="507">
        <f>SUMIFS(Controle!$R:$R,Controle!$H:$H,produtos_escape2!$A1663,Controle!$Z:$Z,"6")</f>
        <v>0</v>
      </c>
      <c r="L1663" s="507">
        <f t="shared" ref="L1663:L1726" si="58">SUM(F1663:K1663)</f>
        <v>0</v>
      </c>
      <c r="M1663" s="381" t="s">
        <v>5389</v>
      </c>
      <c r="AF1663" s="84"/>
    </row>
    <row r="1664" spans="1:32" s="185" customFormat="1" ht="14.25" customHeight="1" thickBot="1">
      <c r="A1664" s="353">
        <v>90244</v>
      </c>
      <c r="B1664" s="194" t="s">
        <v>1099</v>
      </c>
      <c r="C1664" s="339">
        <f t="shared" si="57"/>
        <v>50000</v>
      </c>
      <c r="D1664" s="196" t="s">
        <v>725</v>
      </c>
      <c r="E1664" s="187" t="s">
        <v>3608</v>
      </c>
      <c r="F1664" s="507">
        <f>SUMIFS(Controle!$R:$R,Controle!$H:$H,produtos_escape2!$A1664,Controle!$Z:$Z,"1")</f>
        <v>0</v>
      </c>
      <c r="G1664" s="507">
        <f>SUMIFS(Controle!$R:$R,Controle!$H:$H,produtos_escape2!$A1664,Controle!$Z:$Z,"2")</f>
        <v>0</v>
      </c>
      <c r="H1664" s="507">
        <f>SUMIFS(Controle!$R:$R,Controle!$H:$H,produtos_escape2!$A1664,Controle!$Z:$Z,"3")</f>
        <v>0</v>
      </c>
      <c r="I1664" s="507">
        <f>SUMIFS(Controle!$R:$R,Controle!$H:$H,produtos_escape2!$A1664,Controle!$Z:$Z,"4")</f>
        <v>0</v>
      </c>
      <c r="J1664" s="507">
        <f>SUMIFS(Controle!$R:$R,Controle!$H:$H,produtos_escape2!$A1664,Controle!$Z:$Z,"5")</f>
        <v>0</v>
      </c>
      <c r="K1664" s="507">
        <f>SUMIFS(Controle!$R:$R,Controle!$H:$H,produtos_escape2!$A1664,Controle!$Z:$Z,"6")</f>
        <v>0</v>
      </c>
      <c r="L1664" s="507">
        <f t="shared" si="58"/>
        <v>0</v>
      </c>
      <c r="M1664" s="381" t="s">
        <v>1099</v>
      </c>
      <c r="AF1664" s="84"/>
    </row>
    <row r="1665" spans="1:32" s="185" customFormat="1" ht="14.25" customHeight="1" thickBot="1">
      <c r="A1665" s="353">
        <v>90245</v>
      </c>
      <c r="B1665" s="194" t="s">
        <v>4402</v>
      </c>
      <c r="C1665" s="339">
        <f t="shared" si="57"/>
        <v>50000</v>
      </c>
      <c r="D1665" s="196" t="s">
        <v>894</v>
      </c>
      <c r="E1665" s="187" t="s">
        <v>3608</v>
      </c>
      <c r="F1665" s="507">
        <f>SUMIFS(Controle!$R:$R,Controle!$H:$H,produtos_escape2!$A1665,Controle!$Z:$Z,"1")</f>
        <v>0</v>
      </c>
      <c r="G1665" s="507">
        <f>SUMIFS(Controle!$R:$R,Controle!$H:$H,produtos_escape2!$A1665,Controle!$Z:$Z,"2")</f>
        <v>0</v>
      </c>
      <c r="H1665" s="507">
        <f>SUMIFS(Controle!$R:$R,Controle!$H:$H,produtos_escape2!$A1665,Controle!$Z:$Z,"3")</f>
        <v>0</v>
      </c>
      <c r="I1665" s="507">
        <f>SUMIFS(Controle!$R:$R,Controle!$H:$H,produtos_escape2!$A1665,Controle!$Z:$Z,"4")</f>
        <v>0</v>
      </c>
      <c r="J1665" s="507">
        <f>SUMIFS(Controle!$R:$R,Controle!$H:$H,produtos_escape2!$A1665,Controle!$Z:$Z,"5")</f>
        <v>0</v>
      </c>
      <c r="K1665" s="507">
        <f>SUMIFS(Controle!$R:$R,Controle!$H:$H,produtos_escape2!$A1665,Controle!$Z:$Z,"6")</f>
        <v>0</v>
      </c>
      <c r="L1665" s="507">
        <f t="shared" si="58"/>
        <v>0</v>
      </c>
      <c r="M1665" s="381" t="s">
        <v>4402</v>
      </c>
      <c r="AF1665" s="84"/>
    </row>
    <row r="1666" spans="1:32" s="185" customFormat="1" ht="14.25" customHeight="1" thickBot="1">
      <c r="A1666" s="353">
        <v>90251</v>
      </c>
      <c r="B1666" s="194" t="s">
        <v>596</v>
      </c>
      <c r="C1666" s="339">
        <f t="shared" si="57"/>
        <v>49872</v>
      </c>
      <c r="D1666" s="196" t="s">
        <v>725</v>
      </c>
      <c r="E1666" s="187" t="s">
        <v>3608</v>
      </c>
      <c r="F1666" s="507">
        <f>SUMIFS(Controle!$R:$R,Controle!$H:$H,produtos_escape2!$A1666,Controle!$Z:$Z,"1")</f>
        <v>0</v>
      </c>
      <c r="G1666" s="507">
        <f>SUMIFS(Controle!$R:$R,Controle!$H:$H,produtos_escape2!$A1666,Controle!$Z:$Z,"2")</f>
        <v>0</v>
      </c>
      <c r="H1666" s="507">
        <f>SUMIFS(Controle!$R:$R,Controle!$H:$H,produtos_escape2!$A1666,Controle!$Z:$Z,"3")</f>
        <v>0</v>
      </c>
      <c r="I1666" s="507">
        <f>SUMIFS(Controle!$R:$R,Controle!$H:$H,produtos_escape2!$A1666,Controle!$Z:$Z,"4")</f>
        <v>128</v>
      </c>
      <c r="J1666" s="507">
        <f>SUMIFS(Controle!$R:$R,Controle!$H:$H,produtos_escape2!$A1666,Controle!$Z:$Z,"5")</f>
        <v>0</v>
      </c>
      <c r="K1666" s="507">
        <f>SUMIFS(Controle!$R:$R,Controle!$H:$H,produtos_escape2!$A1666,Controle!$Z:$Z,"6")</f>
        <v>0</v>
      </c>
      <c r="L1666" s="507">
        <f t="shared" si="58"/>
        <v>128</v>
      </c>
      <c r="M1666" s="381" t="s">
        <v>5390</v>
      </c>
      <c r="AF1666" s="84"/>
    </row>
    <row r="1667" spans="1:32" s="185" customFormat="1" ht="14.25" customHeight="1" thickBot="1">
      <c r="A1667" s="353">
        <v>90252</v>
      </c>
      <c r="B1667" s="194" t="s">
        <v>3033</v>
      </c>
      <c r="C1667" s="339">
        <f t="shared" si="57"/>
        <v>50000</v>
      </c>
      <c r="D1667" s="191" t="s">
        <v>547</v>
      </c>
      <c r="E1667" s="189" t="s">
        <v>3608</v>
      </c>
      <c r="F1667" s="507">
        <f>SUMIFS(Controle!$R:$R,Controle!$H:$H,produtos_escape2!$A1667,Controle!$Z:$Z,"1")</f>
        <v>0</v>
      </c>
      <c r="G1667" s="507">
        <f>SUMIFS(Controle!$R:$R,Controle!$H:$H,produtos_escape2!$A1667,Controle!$Z:$Z,"2")</f>
        <v>0</v>
      </c>
      <c r="H1667" s="507">
        <f>SUMIFS(Controle!$R:$R,Controle!$H:$H,produtos_escape2!$A1667,Controle!$Z:$Z,"3")</f>
        <v>0</v>
      </c>
      <c r="I1667" s="507">
        <f>SUMIFS(Controle!$R:$R,Controle!$H:$H,produtos_escape2!$A1667,Controle!$Z:$Z,"4")</f>
        <v>0</v>
      </c>
      <c r="J1667" s="507">
        <f>SUMIFS(Controle!$R:$R,Controle!$H:$H,produtos_escape2!$A1667,Controle!$Z:$Z,"5")</f>
        <v>0</v>
      </c>
      <c r="K1667" s="507">
        <f>SUMIFS(Controle!$R:$R,Controle!$H:$H,produtos_escape2!$A1667,Controle!$Z:$Z,"6")</f>
        <v>0</v>
      </c>
      <c r="L1667" s="507">
        <f t="shared" si="58"/>
        <v>0</v>
      </c>
      <c r="M1667" s="381" t="s">
        <v>5391</v>
      </c>
      <c r="AF1667" s="84"/>
    </row>
    <row r="1668" spans="1:32" s="185" customFormat="1" ht="14.25" customHeight="1" thickBot="1">
      <c r="A1668" s="353">
        <v>90253</v>
      </c>
      <c r="B1668" s="194" t="s">
        <v>194</v>
      </c>
      <c r="C1668" s="339">
        <f t="shared" si="57"/>
        <v>49921.279999999999</v>
      </c>
      <c r="D1668" s="196" t="s">
        <v>725</v>
      </c>
      <c r="E1668" s="187" t="s">
        <v>3608</v>
      </c>
      <c r="F1668" s="507">
        <f>SUMIFS(Controle!$R:$R,Controle!$H:$H,produtos_escape2!$A1668,Controle!$Z:$Z,"1")</f>
        <v>0</v>
      </c>
      <c r="G1668" s="507">
        <f>SUMIFS(Controle!$R:$R,Controle!$H:$H,produtos_escape2!$A1668,Controle!$Z:$Z,"2")</f>
        <v>78.72</v>
      </c>
      <c r="H1668" s="507">
        <f>SUMIFS(Controle!$R:$R,Controle!$H:$H,produtos_escape2!$A1668,Controle!$Z:$Z,"3")</f>
        <v>0</v>
      </c>
      <c r="I1668" s="507">
        <f>SUMIFS(Controle!$R:$R,Controle!$H:$H,produtos_escape2!$A1668,Controle!$Z:$Z,"4")</f>
        <v>0</v>
      </c>
      <c r="J1668" s="507">
        <f>SUMIFS(Controle!$R:$R,Controle!$H:$H,produtos_escape2!$A1668,Controle!$Z:$Z,"5")</f>
        <v>0</v>
      </c>
      <c r="K1668" s="507">
        <f>SUMIFS(Controle!$R:$R,Controle!$H:$H,produtos_escape2!$A1668,Controle!$Z:$Z,"6")</f>
        <v>0</v>
      </c>
      <c r="L1668" s="507">
        <f t="shared" si="58"/>
        <v>78.72</v>
      </c>
      <c r="M1668" s="381" t="s">
        <v>194</v>
      </c>
      <c r="AF1668" s="84"/>
    </row>
    <row r="1669" spans="1:32" s="185" customFormat="1" ht="14.25" customHeight="1" thickBot="1">
      <c r="A1669" s="333">
        <v>90254</v>
      </c>
      <c r="B1669" s="338" t="s">
        <v>1481</v>
      </c>
      <c r="C1669" s="339">
        <f t="shared" si="57"/>
        <v>50000</v>
      </c>
      <c r="D1669" s="196" t="s">
        <v>548</v>
      </c>
      <c r="E1669" s="187" t="s">
        <v>3608</v>
      </c>
      <c r="F1669" s="507">
        <f>SUMIFS(Controle!$R:$R,Controle!$H:$H,produtos_escape2!$A1669,Controle!$Z:$Z,"1")</f>
        <v>0</v>
      </c>
      <c r="G1669" s="507">
        <f>SUMIFS(Controle!$R:$R,Controle!$H:$H,produtos_escape2!$A1669,Controle!$Z:$Z,"2")</f>
        <v>0</v>
      </c>
      <c r="H1669" s="507">
        <f>SUMIFS(Controle!$R:$R,Controle!$H:$H,produtos_escape2!$A1669,Controle!$Z:$Z,"3")</f>
        <v>0</v>
      </c>
      <c r="I1669" s="507">
        <f>SUMIFS(Controle!$R:$R,Controle!$H:$H,produtos_escape2!$A1669,Controle!$Z:$Z,"4")</f>
        <v>0</v>
      </c>
      <c r="J1669" s="507">
        <f>SUMIFS(Controle!$R:$R,Controle!$H:$H,produtos_escape2!$A1669,Controle!$Z:$Z,"5")</f>
        <v>0</v>
      </c>
      <c r="K1669" s="507">
        <f>SUMIFS(Controle!$R:$R,Controle!$H:$H,produtos_escape2!$A1669,Controle!$Z:$Z,"6")</f>
        <v>0</v>
      </c>
      <c r="L1669" s="507">
        <f t="shared" si="58"/>
        <v>0</v>
      </c>
      <c r="M1669" s="381" t="s">
        <v>1481</v>
      </c>
      <c r="AF1669" s="84"/>
    </row>
    <row r="1670" spans="1:32" s="185" customFormat="1" ht="14.25" customHeight="1" thickBot="1">
      <c r="A1670" s="353">
        <v>90255</v>
      </c>
      <c r="B1670" s="194" t="s">
        <v>3611</v>
      </c>
      <c r="C1670" s="339">
        <f t="shared" si="57"/>
        <v>41919.199999999997</v>
      </c>
      <c r="D1670" s="196" t="s">
        <v>547</v>
      </c>
      <c r="E1670" s="187" t="s">
        <v>3608</v>
      </c>
      <c r="F1670" s="507">
        <f>SUMIFS(Controle!$R:$R,Controle!$H:$H,produtos_escape2!$A1670,Controle!$Z:$Z,"1")</f>
        <v>0</v>
      </c>
      <c r="G1670" s="507">
        <f>SUMIFS(Controle!$R:$R,Controle!$H:$H,produtos_escape2!$A1670,Controle!$Z:$Z,"2")</f>
        <v>2052.8000000000002</v>
      </c>
      <c r="H1670" s="507">
        <f>SUMIFS(Controle!$R:$R,Controle!$H:$H,produtos_escape2!$A1670,Controle!$Z:$Z,"3")</f>
        <v>2094</v>
      </c>
      <c r="I1670" s="507">
        <f>SUMIFS(Controle!$R:$R,Controle!$H:$H,produtos_escape2!$A1670,Controle!$Z:$Z,"4")</f>
        <v>984</v>
      </c>
      <c r="J1670" s="507">
        <f>SUMIFS(Controle!$R:$R,Controle!$H:$H,produtos_escape2!$A1670,Controle!$Z:$Z,"5")</f>
        <v>0</v>
      </c>
      <c r="K1670" s="507">
        <f>SUMIFS(Controle!$R:$R,Controle!$H:$H,produtos_escape2!$A1670,Controle!$Z:$Z,"6")</f>
        <v>2950</v>
      </c>
      <c r="L1670" s="507">
        <f t="shared" si="58"/>
        <v>8080.8</v>
      </c>
      <c r="M1670" s="381" t="s">
        <v>5775</v>
      </c>
      <c r="AF1670" s="84"/>
    </row>
    <row r="1671" spans="1:32" s="185" customFormat="1" ht="14.25" customHeight="1" thickBot="1">
      <c r="A1671" s="353">
        <v>90256</v>
      </c>
      <c r="B1671" s="194" t="s">
        <v>1003</v>
      </c>
      <c r="C1671" s="339">
        <f t="shared" si="57"/>
        <v>50000</v>
      </c>
      <c r="D1671" s="196" t="s">
        <v>548</v>
      </c>
      <c r="E1671" s="187" t="s">
        <v>3608</v>
      </c>
      <c r="F1671" s="507">
        <f>SUMIFS(Controle!$R:$R,Controle!$H:$H,produtos_escape2!$A1671,Controle!$Z:$Z,"1")</f>
        <v>0</v>
      </c>
      <c r="G1671" s="507">
        <f>SUMIFS(Controle!$R:$R,Controle!$H:$H,produtos_escape2!$A1671,Controle!$Z:$Z,"2")</f>
        <v>0</v>
      </c>
      <c r="H1671" s="507">
        <f>SUMIFS(Controle!$R:$R,Controle!$H:$H,produtos_escape2!$A1671,Controle!$Z:$Z,"3")</f>
        <v>0</v>
      </c>
      <c r="I1671" s="507">
        <f>SUMIFS(Controle!$R:$R,Controle!$H:$H,produtos_escape2!$A1671,Controle!$Z:$Z,"4")</f>
        <v>0</v>
      </c>
      <c r="J1671" s="507">
        <f>SUMIFS(Controle!$R:$R,Controle!$H:$H,produtos_escape2!$A1671,Controle!$Z:$Z,"5")</f>
        <v>0</v>
      </c>
      <c r="K1671" s="507">
        <f>SUMIFS(Controle!$R:$R,Controle!$H:$H,produtos_escape2!$A1671,Controle!$Z:$Z,"6")</f>
        <v>0</v>
      </c>
      <c r="L1671" s="507">
        <f t="shared" si="58"/>
        <v>0</v>
      </c>
      <c r="M1671" s="381" t="s">
        <v>1003</v>
      </c>
      <c r="AF1671" s="84"/>
    </row>
    <row r="1672" spans="1:32" s="185" customFormat="1" ht="14.25" customHeight="1" thickBot="1">
      <c r="A1672" s="353">
        <v>90257</v>
      </c>
      <c r="B1672" s="194" t="s">
        <v>191</v>
      </c>
      <c r="C1672" s="339">
        <f t="shared" ref="C1672:C1736" si="59">50000-SUM(F1672:K1672)</f>
        <v>45410</v>
      </c>
      <c r="D1672" s="196" t="s">
        <v>549</v>
      </c>
      <c r="E1672" s="187" t="s">
        <v>3608</v>
      </c>
      <c r="F1672" s="507">
        <f>SUMIFS(Controle!$R:$R,Controle!$H:$H,produtos_escape2!$A1672,Controle!$Z:$Z,"1")</f>
        <v>0</v>
      </c>
      <c r="G1672" s="507">
        <f>SUMIFS(Controle!$R:$R,Controle!$H:$H,produtos_escape2!$A1672,Controle!$Z:$Z,"2")</f>
        <v>4590</v>
      </c>
      <c r="H1672" s="507">
        <f>SUMIFS(Controle!$R:$R,Controle!$H:$H,produtos_escape2!$A1672,Controle!$Z:$Z,"3")</f>
        <v>0</v>
      </c>
      <c r="I1672" s="507">
        <f>SUMIFS(Controle!$R:$R,Controle!$H:$H,produtos_escape2!$A1672,Controle!$Z:$Z,"4")</f>
        <v>0</v>
      </c>
      <c r="J1672" s="507">
        <f>SUMIFS(Controle!$R:$R,Controle!$H:$H,produtos_escape2!$A1672,Controle!$Z:$Z,"5")</f>
        <v>0</v>
      </c>
      <c r="K1672" s="507">
        <f>SUMIFS(Controle!$R:$R,Controle!$H:$H,produtos_escape2!$A1672,Controle!$Z:$Z,"6")</f>
        <v>0</v>
      </c>
      <c r="L1672" s="507">
        <f t="shared" si="58"/>
        <v>4590</v>
      </c>
      <c r="M1672" s="381" t="s">
        <v>191</v>
      </c>
      <c r="AF1672" s="84"/>
    </row>
    <row r="1673" spans="1:32" s="185" customFormat="1" ht="14.25" customHeight="1" thickBot="1">
      <c r="A1673" s="353">
        <v>90258</v>
      </c>
      <c r="B1673" s="194" t="s">
        <v>129</v>
      </c>
      <c r="C1673" s="339">
        <f t="shared" si="59"/>
        <v>50000</v>
      </c>
      <c r="D1673" s="196" t="s">
        <v>547</v>
      </c>
      <c r="E1673" s="187" t="s">
        <v>3608</v>
      </c>
      <c r="F1673" s="507">
        <f>SUMIFS(Controle!$R:$R,Controle!$H:$H,produtos_escape2!$A1673,Controle!$Z:$Z,"1")</f>
        <v>0</v>
      </c>
      <c r="G1673" s="507">
        <f>SUMIFS(Controle!$R:$R,Controle!$H:$H,produtos_escape2!$A1673,Controle!$Z:$Z,"2")</f>
        <v>0</v>
      </c>
      <c r="H1673" s="507">
        <f>SUMIFS(Controle!$R:$R,Controle!$H:$H,produtos_escape2!$A1673,Controle!$Z:$Z,"3")</f>
        <v>0</v>
      </c>
      <c r="I1673" s="507">
        <f>SUMIFS(Controle!$R:$R,Controle!$H:$H,produtos_escape2!$A1673,Controle!$Z:$Z,"4")</f>
        <v>0</v>
      </c>
      <c r="J1673" s="507">
        <f>SUMIFS(Controle!$R:$R,Controle!$H:$H,produtos_escape2!$A1673,Controle!$Z:$Z,"5")</f>
        <v>0</v>
      </c>
      <c r="K1673" s="507">
        <f>SUMIFS(Controle!$R:$R,Controle!$H:$H,produtos_escape2!$A1673,Controle!$Z:$Z,"6")</f>
        <v>0</v>
      </c>
      <c r="L1673" s="507">
        <f t="shared" si="58"/>
        <v>0</v>
      </c>
      <c r="M1673" s="381" t="s">
        <v>5392</v>
      </c>
    </row>
    <row r="1674" spans="1:32" s="185" customFormat="1" ht="14.25" customHeight="1" thickBot="1">
      <c r="A1674" s="353">
        <v>90259</v>
      </c>
      <c r="B1674" s="194" t="s">
        <v>1022</v>
      </c>
      <c r="C1674" s="339">
        <f t="shared" si="59"/>
        <v>667</v>
      </c>
      <c r="D1674" s="196" t="s">
        <v>547</v>
      </c>
      <c r="E1674" s="187" t="s">
        <v>3608</v>
      </c>
      <c r="F1674" s="507">
        <f>SUMIFS(Controle!$R:$R,Controle!$H:$H,produtos_escape2!$A1674,Controle!$Z:$Z,"1")</f>
        <v>0</v>
      </c>
      <c r="G1674" s="507">
        <f>SUMIFS(Controle!$R:$R,Controle!$H:$H,produtos_escape2!$A1674,Controle!$Z:$Z,"2")</f>
        <v>8028.0000000000009</v>
      </c>
      <c r="H1674" s="507">
        <f>SUMIFS(Controle!$R:$R,Controle!$H:$H,produtos_escape2!$A1674,Controle!$Z:$Z,"3")</f>
        <v>16350</v>
      </c>
      <c r="I1674" s="507">
        <f>SUMIFS(Controle!$R:$R,Controle!$H:$H,produtos_escape2!$A1674,Controle!$Z:$Z,"4")</f>
        <v>18875</v>
      </c>
      <c r="J1674" s="507">
        <f>SUMIFS(Controle!$R:$R,Controle!$H:$H,produtos_escape2!$A1674,Controle!$Z:$Z,"5")</f>
        <v>6080</v>
      </c>
      <c r="K1674" s="507">
        <f>SUMIFS(Controle!$R:$R,Controle!$H:$H,produtos_escape2!$A1674,Controle!$Z:$Z,"6")</f>
        <v>0</v>
      </c>
      <c r="L1674" s="507">
        <f t="shared" si="58"/>
        <v>49333</v>
      </c>
      <c r="M1674" s="381" t="s">
        <v>1022</v>
      </c>
    </row>
    <row r="1675" spans="1:32" s="185" customFormat="1" ht="14.25" customHeight="1" thickBot="1">
      <c r="A1675" s="353">
        <v>90260</v>
      </c>
      <c r="B1675" s="194" t="s">
        <v>1464</v>
      </c>
      <c r="C1675" s="339">
        <f t="shared" si="59"/>
        <v>44349</v>
      </c>
      <c r="D1675" s="196" t="s">
        <v>547</v>
      </c>
      <c r="E1675" s="187" t="s">
        <v>3608</v>
      </c>
      <c r="F1675" s="507">
        <f>SUMIFS(Controle!$R:$R,Controle!$H:$H,produtos_escape2!$A1675,Controle!$Z:$Z,"1")</f>
        <v>0</v>
      </c>
      <c r="G1675" s="507">
        <f>SUMIFS(Controle!$R:$R,Controle!$H:$H,produtos_escape2!$A1675,Controle!$Z:$Z,"2")</f>
        <v>3129</v>
      </c>
      <c r="H1675" s="507">
        <f>SUMIFS(Controle!$R:$R,Controle!$H:$H,produtos_escape2!$A1675,Controle!$Z:$Z,"3")</f>
        <v>1872</v>
      </c>
      <c r="I1675" s="507">
        <f>SUMIFS(Controle!$R:$R,Controle!$H:$H,produtos_escape2!$A1675,Controle!$Z:$Z,"4")</f>
        <v>0</v>
      </c>
      <c r="J1675" s="507">
        <f>SUMIFS(Controle!$R:$R,Controle!$H:$H,produtos_escape2!$A1675,Controle!$Z:$Z,"5")</f>
        <v>0</v>
      </c>
      <c r="K1675" s="507">
        <f>SUMIFS(Controle!$R:$R,Controle!$H:$H,produtos_escape2!$A1675,Controle!$Z:$Z,"6")</f>
        <v>650</v>
      </c>
      <c r="L1675" s="507">
        <f t="shared" si="58"/>
        <v>5651</v>
      </c>
      <c r="M1675" s="381" t="s">
        <v>5393</v>
      </c>
    </row>
    <row r="1676" spans="1:32" s="185" customFormat="1" ht="14.25" customHeight="1" thickBot="1">
      <c r="A1676" s="353">
        <v>90261</v>
      </c>
      <c r="B1676" s="194" t="s">
        <v>55</v>
      </c>
      <c r="C1676" s="339">
        <f t="shared" si="59"/>
        <v>48805</v>
      </c>
      <c r="D1676" s="196" t="s">
        <v>547</v>
      </c>
      <c r="E1676" s="187" t="s">
        <v>3608</v>
      </c>
      <c r="F1676" s="507">
        <f>SUMIFS(Controle!$R:$R,Controle!$H:$H,produtos_escape2!$A1676,Controle!$Z:$Z,"1")</f>
        <v>0</v>
      </c>
      <c r="G1676" s="507">
        <f>SUMIFS(Controle!$R:$R,Controle!$H:$H,produtos_escape2!$A1676,Controle!$Z:$Z,"2")</f>
        <v>0</v>
      </c>
      <c r="H1676" s="507">
        <f>SUMIFS(Controle!$R:$R,Controle!$H:$H,produtos_escape2!$A1676,Controle!$Z:$Z,"3")</f>
        <v>0</v>
      </c>
      <c r="I1676" s="507">
        <f>SUMIFS(Controle!$R:$R,Controle!$H:$H,produtos_escape2!$A1676,Controle!$Z:$Z,"4")</f>
        <v>0</v>
      </c>
      <c r="J1676" s="507">
        <f>SUMIFS(Controle!$R:$R,Controle!$H:$H,produtos_escape2!$A1676,Controle!$Z:$Z,"5")</f>
        <v>239</v>
      </c>
      <c r="K1676" s="507">
        <f>SUMIFS(Controle!$R:$R,Controle!$H:$H,produtos_escape2!$A1676,Controle!$Z:$Z,"6")</f>
        <v>956</v>
      </c>
      <c r="L1676" s="507">
        <f t="shared" si="58"/>
        <v>1195</v>
      </c>
      <c r="M1676" s="381" t="s">
        <v>55</v>
      </c>
    </row>
    <row r="1677" spans="1:32" s="185" customFormat="1" ht="14.25" customHeight="1" thickBot="1">
      <c r="A1677" s="333">
        <v>90262</v>
      </c>
      <c r="B1677" s="338" t="s">
        <v>12</v>
      </c>
      <c r="C1677" s="339">
        <f t="shared" si="59"/>
        <v>307</v>
      </c>
      <c r="D1677" s="196" t="s">
        <v>547</v>
      </c>
      <c r="E1677" s="187" t="s">
        <v>3608</v>
      </c>
      <c r="F1677" s="507">
        <f>SUMIFS(Controle!$R:$R,Controle!$H:$H,produtos_escape2!$A1677,Controle!$Z:$Z,"1")</f>
        <v>0</v>
      </c>
      <c r="G1677" s="507">
        <f>SUMIFS(Controle!$R:$R,Controle!$H:$H,produtos_escape2!$A1677,Controle!$Z:$Z,"2")</f>
        <v>0</v>
      </c>
      <c r="H1677" s="507">
        <f>SUMIFS(Controle!$R:$R,Controle!$H:$H,produtos_escape2!$A1677,Controle!$Z:$Z,"3")</f>
        <v>18400</v>
      </c>
      <c r="I1677" s="507">
        <f>SUMIFS(Controle!$R:$R,Controle!$H:$H,produtos_escape2!$A1677,Controle!$Z:$Z,"4")</f>
        <v>31293</v>
      </c>
      <c r="J1677" s="507">
        <f>SUMIFS(Controle!$R:$R,Controle!$H:$H,produtos_escape2!$A1677,Controle!$Z:$Z,"5")</f>
        <v>0</v>
      </c>
      <c r="K1677" s="507">
        <f>SUMIFS(Controle!$R:$R,Controle!$H:$H,produtos_escape2!$A1677,Controle!$Z:$Z,"6")</f>
        <v>0</v>
      </c>
      <c r="L1677" s="507">
        <f t="shared" si="58"/>
        <v>49693</v>
      </c>
      <c r="M1677" s="381" t="s">
        <v>5718</v>
      </c>
    </row>
    <row r="1678" spans="1:32" s="185" customFormat="1" ht="14.25" customHeight="1" thickBot="1">
      <c r="A1678" s="353">
        <v>90263</v>
      </c>
      <c r="B1678" s="194" t="s">
        <v>1522</v>
      </c>
      <c r="C1678" s="339">
        <f t="shared" si="59"/>
        <v>50000</v>
      </c>
      <c r="D1678" s="196" t="s">
        <v>547</v>
      </c>
      <c r="E1678" s="187" t="s">
        <v>3608</v>
      </c>
      <c r="F1678" s="507">
        <f>SUMIFS(Controle!$R:$R,Controle!$H:$H,produtos_escape2!$A1678,Controle!$Z:$Z,"1")</f>
        <v>0</v>
      </c>
      <c r="G1678" s="507">
        <f>SUMIFS(Controle!$R:$R,Controle!$H:$H,produtos_escape2!$A1678,Controle!$Z:$Z,"2")</f>
        <v>0</v>
      </c>
      <c r="H1678" s="507">
        <f>SUMIFS(Controle!$R:$R,Controle!$H:$H,produtos_escape2!$A1678,Controle!$Z:$Z,"3")</f>
        <v>0</v>
      </c>
      <c r="I1678" s="507">
        <f>SUMIFS(Controle!$R:$R,Controle!$H:$H,produtos_escape2!$A1678,Controle!$Z:$Z,"4")</f>
        <v>0</v>
      </c>
      <c r="J1678" s="507">
        <f>SUMIFS(Controle!$R:$R,Controle!$H:$H,produtos_escape2!$A1678,Controle!$Z:$Z,"5")</f>
        <v>0</v>
      </c>
      <c r="K1678" s="507">
        <f>SUMIFS(Controle!$R:$R,Controle!$H:$H,produtos_escape2!$A1678,Controle!$Z:$Z,"6")</f>
        <v>0</v>
      </c>
      <c r="L1678" s="507">
        <f t="shared" si="58"/>
        <v>0</v>
      </c>
      <c r="M1678" s="381" t="s">
        <v>1522</v>
      </c>
    </row>
    <row r="1679" spans="1:32" s="185" customFormat="1" ht="14.25" customHeight="1" thickBot="1">
      <c r="A1679" s="353">
        <v>90265</v>
      </c>
      <c r="B1679" s="194" t="s">
        <v>282</v>
      </c>
      <c r="C1679" s="339">
        <f t="shared" si="59"/>
        <v>50000</v>
      </c>
      <c r="D1679" s="196"/>
      <c r="E1679" s="187" t="s">
        <v>3608</v>
      </c>
      <c r="F1679" s="507">
        <f>SUMIFS(Controle!$R:$R,Controle!$H:$H,produtos_escape2!$A1679,Controle!$Z:$Z,"1")</f>
        <v>0</v>
      </c>
      <c r="G1679" s="507">
        <f>SUMIFS(Controle!$R:$R,Controle!$H:$H,produtos_escape2!$A1679,Controle!$Z:$Z,"2")</f>
        <v>0</v>
      </c>
      <c r="H1679" s="507">
        <f>SUMIFS(Controle!$R:$R,Controle!$H:$H,produtos_escape2!$A1679,Controle!$Z:$Z,"3")</f>
        <v>0</v>
      </c>
      <c r="I1679" s="507">
        <f>SUMIFS(Controle!$R:$R,Controle!$H:$H,produtos_escape2!$A1679,Controle!$Z:$Z,"4")</f>
        <v>0</v>
      </c>
      <c r="J1679" s="507">
        <f>SUMIFS(Controle!$R:$R,Controle!$H:$H,produtos_escape2!$A1679,Controle!$Z:$Z,"5")</f>
        <v>0</v>
      </c>
      <c r="K1679" s="507">
        <f>SUMIFS(Controle!$R:$R,Controle!$H:$H,produtos_escape2!$A1679,Controle!$Z:$Z,"6")</f>
        <v>0</v>
      </c>
      <c r="L1679" s="507">
        <f t="shared" si="58"/>
        <v>0</v>
      </c>
      <c r="M1679" s="381" t="s">
        <v>282</v>
      </c>
    </row>
    <row r="1680" spans="1:32" s="185" customFormat="1" ht="14.25" customHeight="1" thickBot="1">
      <c r="A1680" s="353">
        <v>90270</v>
      </c>
      <c r="B1680" s="194" t="s">
        <v>2676</v>
      </c>
      <c r="C1680" s="339">
        <f t="shared" si="59"/>
        <v>27200</v>
      </c>
      <c r="D1680" s="196" t="s">
        <v>624</v>
      </c>
      <c r="E1680" s="187" t="s">
        <v>3608</v>
      </c>
      <c r="F1680" s="507">
        <f>SUMIFS(Controle!$R:$R,Controle!$H:$H,produtos_escape2!$A1680,Controle!$Z:$Z,"1")</f>
        <v>0</v>
      </c>
      <c r="G1680" s="507">
        <f>SUMIFS(Controle!$R:$R,Controle!$H:$H,produtos_escape2!$A1680,Controle!$Z:$Z,"2")</f>
        <v>0</v>
      </c>
      <c r="H1680" s="507">
        <f>SUMIFS(Controle!$R:$R,Controle!$H:$H,produtos_escape2!$A1680,Controle!$Z:$Z,"3")</f>
        <v>0</v>
      </c>
      <c r="I1680" s="507">
        <f>SUMIFS(Controle!$R:$R,Controle!$H:$H,produtos_escape2!$A1680,Controle!$Z:$Z,"4")</f>
        <v>0</v>
      </c>
      <c r="J1680" s="507">
        <f>SUMIFS(Controle!$R:$R,Controle!$H:$H,produtos_escape2!$A1680,Controle!$Z:$Z,"5")</f>
        <v>0</v>
      </c>
      <c r="K1680" s="507">
        <f>SUMIFS(Controle!$R:$R,Controle!$H:$H,produtos_escape2!$A1680,Controle!$Z:$Z,"6")</f>
        <v>22800</v>
      </c>
      <c r="L1680" s="507">
        <f t="shared" si="58"/>
        <v>22800</v>
      </c>
      <c r="M1680" s="381" t="s">
        <v>2676</v>
      </c>
    </row>
    <row r="1681" spans="1:13" s="185" customFormat="1" ht="14.25" customHeight="1" thickBot="1">
      <c r="A1681" s="353">
        <v>90271</v>
      </c>
      <c r="B1681" s="194" t="s">
        <v>1067</v>
      </c>
      <c r="C1681" s="339">
        <f t="shared" si="59"/>
        <v>50000</v>
      </c>
      <c r="D1681" s="196" t="s">
        <v>547</v>
      </c>
      <c r="E1681" s="187" t="s">
        <v>3608</v>
      </c>
      <c r="F1681" s="507">
        <f>SUMIFS(Controle!$R:$R,Controle!$H:$H,produtos_escape2!$A1681,Controle!$Z:$Z,"1")</f>
        <v>0</v>
      </c>
      <c r="G1681" s="507">
        <f>SUMIFS(Controle!$R:$R,Controle!$H:$H,produtos_escape2!$A1681,Controle!$Z:$Z,"2")</f>
        <v>0</v>
      </c>
      <c r="H1681" s="507">
        <f>SUMIFS(Controle!$R:$R,Controle!$H:$H,produtos_escape2!$A1681,Controle!$Z:$Z,"3")</f>
        <v>0</v>
      </c>
      <c r="I1681" s="507">
        <f>SUMIFS(Controle!$R:$R,Controle!$H:$H,produtos_escape2!$A1681,Controle!$Z:$Z,"4")</f>
        <v>0</v>
      </c>
      <c r="J1681" s="507">
        <f>SUMIFS(Controle!$R:$R,Controle!$H:$H,produtos_escape2!$A1681,Controle!$Z:$Z,"5")</f>
        <v>0</v>
      </c>
      <c r="K1681" s="507">
        <f>SUMIFS(Controle!$R:$R,Controle!$H:$H,produtos_escape2!$A1681,Controle!$Z:$Z,"6")</f>
        <v>0</v>
      </c>
      <c r="L1681" s="507">
        <f t="shared" si="58"/>
        <v>0</v>
      </c>
      <c r="M1681" s="381" t="s">
        <v>5717</v>
      </c>
    </row>
    <row r="1682" spans="1:13" s="185" customFormat="1" ht="14.25" customHeight="1" thickBot="1">
      <c r="A1682" s="353">
        <v>90277</v>
      </c>
      <c r="B1682" s="194" t="s">
        <v>3674</v>
      </c>
      <c r="C1682" s="339">
        <f t="shared" si="59"/>
        <v>50000</v>
      </c>
      <c r="D1682" s="191" t="s">
        <v>548</v>
      </c>
      <c r="E1682" s="189" t="s">
        <v>3608</v>
      </c>
      <c r="F1682" s="507">
        <f>SUMIFS(Controle!$R:$R,Controle!$H:$H,produtos_escape2!$A1682,Controle!$Z:$Z,"1")</f>
        <v>0</v>
      </c>
      <c r="G1682" s="507">
        <f>SUMIFS(Controle!$R:$R,Controle!$H:$H,produtos_escape2!$A1682,Controle!$Z:$Z,"2")</f>
        <v>0</v>
      </c>
      <c r="H1682" s="507">
        <f>SUMIFS(Controle!$R:$R,Controle!$H:$H,produtos_escape2!$A1682,Controle!$Z:$Z,"3")</f>
        <v>0</v>
      </c>
      <c r="I1682" s="507">
        <f>SUMIFS(Controle!$R:$R,Controle!$H:$H,produtos_escape2!$A1682,Controle!$Z:$Z,"4")</f>
        <v>0</v>
      </c>
      <c r="J1682" s="507">
        <f>SUMIFS(Controle!$R:$R,Controle!$H:$H,produtos_escape2!$A1682,Controle!$Z:$Z,"5")</f>
        <v>0</v>
      </c>
      <c r="K1682" s="507">
        <f>SUMIFS(Controle!$R:$R,Controle!$H:$H,produtos_escape2!$A1682,Controle!$Z:$Z,"6")</f>
        <v>0</v>
      </c>
      <c r="L1682" s="507">
        <f t="shared" si="58"/>
        <v>0</v>
      </c>
      <c r="M1682" s="381" t="s">
        <v>3674</v>
      </c>
    </row>
    <row r="1683" spans="1:13" s="185" customFormat="1" ht="14.25" customHeight="1" thickBot="1">
      <c r="A1683" s="353">
        <v>90279</v>
      </c>
      <c r="B1683" s="194" t="s">
        <v>601</v>
      </c>
      <c r="C1683" s="339">
        <f t="shared" si="59"/>
        <v>50000</v>
      </c>
      <c r="D1683" s="191" t="s">
        <v>547</v>
      </c>
      <c r="E1683" s="189" t="s">
        <v>3608</v>
      </c>
      <c r="F1683" s="507">
        <f>SUMIFS(Controle!$R:$R,Controle!$H:$H,produtos_escape2!$A1683,Controle!$Z:$Z,"1")</f>
        <v>0</v>
      </c>
      <c r="G1683" s="507">
        <f>SUMIFS(Controle!$R:$R,Controle!$H:$H,produtos_escape2!$A1683,Controle!$Z:$Z,"2")</f>
        <v>0</v>
      </c>
      <c r="H1683" s="507">
        <f>SUMIFS(Controle!$R:$R,Controle!$H:$H,produtos_escape2!$A1683,Controle!$Z:$Z,"3")</f>
        <v>0</v>
      </c>
      <c r="I1683" s="507">
        <f>SUMIFS(Controle!$R:$R,Controle!$H:$H,produtos_escape2!$A1683,Controle!$Z:$Z,"4")</f>
        <v>0</v>
      </c>
      <c r="J1683" s="507">
        <f>SUMIFS(Controle!$R:$R,Controle!$H:$H,produtos_escape2!$A1683,Controle!$Z:$Z,"5")</f>
        <v>0</v>
      </c>
      <c r="K1683" s="507">
        <f>SUMIFS(Controle!$R:$R,Controle!$H:$H,produtos_escape2!$A1683,Controle!$Z:$Z,"6")</f>
        <v>0</v>
      </c>
      <c r="L1683" s="507">
        <f t="shared" si="58"/>
        <v>0</v>
      </c>
      <c r="M1683" s="381" t="s">
        <v>5716</v>
      </c>
    </row>
    <row r="1684" spans="1:13" s="185" customFormat="1" ht="14.25" customHeight="1" thickBot="1">
      <c r="A1684" s="353">
        <v>90283</v>
      </c>
      <c r="B1684" s="194" t="s">
        <v>486</v>
      </c>
      <c r="C1684" s="339">
        <f t="shared" si="59"/>
        <v>50000</v>
      </c>
      <c r="D1684" s="196" t="s">
        <v>725</v>
      </c>
      <c r="E1684" s="187" t="s">
        <v>3608</v>
      </c>
      <c r="F1684" s="507">
        <f>SUMIFS(Controle!$R:$R,Controle!$H:$H,produtos_escape2!$A1684,Controle!$Z:$Z,"1")</f>
        <v>0</v>
      </c>
      <c r="G1684" s="507">
        <f>SUMIFS(Controle!$R:$R,Controle!$H:$H,produtos_escape2!$A1684,Controle!$Z:$Z,"2")</f>
        <v>0</v>
      </c>
      <c r="H1684" s="507">
        <f>SUMIFS(Controle!$R:$R,Controle!$H:$H,produtos_escape2!$A1684,Controle!$Z:$Z,"3")</f>
        <v>0</v>
      </c>
      <c r="I1684" s="507">
        <f>SUMIFS(Controle!$R:$R,Controle!$H:$H,produtos_escape2!$A1684,Controle!$Z:$Z,"4")</f>
        <v>0</v>
      </c>
      <c r="J1684" s="507">
        <f>SUMIFS(Controle!$R:$R,Controle!$H:$H,produtos_escape2!$A1684,Controle!$Z:$Z,"5")</f>
        <v>0</v>
      </c>
      <c r="K1684" s="507">
        <f>SUMIFS(Controle!$R:$R,Controle!$H:$H,produtos_escape2!$A1684,Controle!$Z:$Z,"6")</f>
        <v>0</v>
      </c>
      <c r="L1684" s="507">
        <f t="shared" si="58"/>
        <v>0</v>
      </c>
      <c r="M1684" s="381" t="s">
        <v>486</v>
      </c>
    </row>
    <row r="1685" spans="1:13" s="185" customFormat="1" ht="14.25" customHeight="1" thickBot="1">
      <c r="A1685" s="333">
        <v>90284</v>
      </c>
      <c r="B1685" s="338" t="s">
        <v>67</v>
      </c>
      <c r="C1685" s="339">
        <f t="shared" si="59"/>
        <v>50000</v>
      </c>
      <c r="D1685" s="196" t="s">
        <v>548</v>
      </c>
      <c r="E1685" s="187" t="s">
        <v>3608</v>
      </c>
      <c r="F1685" s="507">
        <f>SUMIFS(Controle!$R:$R,Controle!$H:$H,produtos_escape2!$A1685,Controle!$Z:$Z,"1")</f>
        <v>0</v>
      </c>
      <c r="G1685" s="507">
        <f>SUMIFS(Controle!$R:$R,Controle!$H:$H,produtos_escape2!$A1685,Controle!$Z:$Z,"2")</f>
        <v>0</v>
      </c>
      <c r="H1685" s="507">
        <f>SUMIFS(Controle!$R:$R,Controle!$H:$H,produtos_escape2!$A1685,Controle!$Z:$Z,"3")</f>
        <v>0</v>
      </c>
      <c r="I1685" s="507">
        <f>SUMIFS(Controle!$R:$R,Controle!$H:$H,produtos_escape2!$A1685,Controle!$Z:$Z,"4")</f>
        <v>0</v>
      </c>
      <c r="J1685" s="507">
        <f>SUMIFS(Controle!$R:$R,Controle!$H:$H,produtos_escape2!$A1685,Controle!$Z:$Z,"5")</f>
        <v>0</v>
      </c>
      <c r="K1685" s="507">
        <f>SUMIFS(Controle!$R:$R,Controle!$H:$H,produtos_escape2!$A1685,Controle!$Z:$Z,"6")</f>
        <v>0</v>
      </c>
      <c r="L1685" s="507">
        <f t="shared" si="58"/>
        <v>0</v>
      </c>
      <c r="M1685" s="381" t="s">
        <v>67</v>
      </c>
    </row>
    <row r="1686" spans="1:13" s="185" customFormat="1" ht="14.25" customHeight="1" thickBot="1">
      <c r="A1686" s="353">
        <v>90286</v>
      </c>
      <c r="B1686" s="194" t="s">
        <v>482</v>
      </c>
      <c r="C1686" s="339">
        <f t="shared" si="59"/>
        <v>48725</v>
      </c>
      <c r="D1686" s="196" t="s">
        <v>548</v>
      </c>
      <c r="E1686" s="187" t="s">
        <v>3608</v>
      </c>
      <c r="F1686" s="507">
        <f>SUMIFS(Controle!$R:$R,Controle!$H:$H,produtos_escape2!$A1686,Controle!$Z:$Z,"1")</f>
        <v>0</v>
      </c>
      <c r="G1686" s="507">
        <f>SUMIFS(Controle!$R:$R,Controle!$H:$H,produtos_escape2!$A1686,Controle!$Z:$Z,"2")</f>
        <v>0</v>
      </c>
      <c r="H1686" s="507">
        <f>SUMIFS(Controle!$R:$R,Controle!$H:$H,produtos_escape2!$A1686,Controle!$Z:$Z,"3")</f>
        <v>675</v>
      </c>
      <c r="I1686" s="507">
        <f>SUMIFS(Controle!$R:$R,Controle!$H:$H,produtos_escape2!$A1686,Controle!$Z:$Z,"4")</f>
        <v>0</v>
      </c>
      <c r="J1686" s="507">
        <f>SUMIFS(Controle!$R:$R,Controle!$H:$H,produtos_escape2!$A1686,Controle!$Z:$Z,"5")</f>
        <v>0</v>
      </c>
      <c r="K1686" s="507">
        <f>SUMIFS(Controle!$R:$R,Controle!$H:$H,produtos_escape2!$A1686,Controle!$Z:$Z,"6")</f>
        <v>600</v>
      </c>
      <c r="L1686" s="507">
        <f t="shared" si="58"/>
        <v>1275</v>
      </c>
      <c r="M1686" s="381" t="s">
        <v>5394</v>
      </c>
    </row>
    <row r="1687" spans="1:13" s="185" customFormat="1" ht="14.25" customHeight="1" thickBot="1">
      <c r="A1687" s="353">
        <v>90288</v>
      </c>
      <c r="B1687" s="194" t="s">
        <v>392</v>
      </c>
      <c r="C1687" s="339">
        <f t="shared" si="59"/>
        <v>50000</v>
      </c>
      <c r="D1687" s="196" t="s">
        <v>725</v>
      </c>
      <c r="E1687" s="187" t="s">
        <v>3608</v>
      </c>
      <c r="F1687" s="507">
        <f>SUMIFS(Controle!$R:$R,Controle!$H:$H,produtos_escape2!$A1687,Controle!$Z:$Z,"1")</f>
        <v>0</v>
      </c>
      <c r="G1687" s="507">
        <f>SUMIFS(Controle!$R:$R,Controle!$H:$H,produtos_escape2!$A1687,Controle!$Z:$Z,"2")</f>
        <v>0</v>
      </c>
      <c r="H1687" s="507">
        <f>SUMIFS(Controle!$R:$R,Controle!$H:$H,produtos_escape2!$A1687,Controle!$Z:$Z,"3")</f>
        <v>0</v>
      </c>
      <c r="I1687" s="507">
        <f>SUMIFS(Controle!$R:$R,Controle!$H:$H,produtos_escape2!$A1687,Controle!$Z:$Z,"4")</f>
        <v>0</v>
      </c>
      <c r="J1687" s="507">
        <f>SUMIFS(Controle!$R:$R,Controle!$H:$H,produtos_escape2!$A1687,Controle!$Z:$Z,"5")</f>
        <v>0</v>
      </c>
      <c r="K1687" s="507">
        <f>SUMIFS(Controle!$R:$R,Controle!$H:$H,produtos_escape2!$A1687,Controle!$Z:$Z,"6")</f>
        <v>0</v>
      </c>
      <c r="L1687" s="507">
        <f t="shared" si="58"/>
        <v>0</v>
      </c>
      <c r="M1687" s="381" t="s">
        <v>392</v>
      </c>
    </row>
    <row r="1688" spans="1:13" s="185" customFormat="1" ht="14.25" customHeight="1" thickBot="1">
      <c r="A1688" s="353">
        <v>90289</v>
      </c>
      <c r="B1688" s="194" t="s">
        <v>255</v>
      </c>
      <c r="C1688" s="339">
        <f t="shared" si="59"/>
        <v>50000</v>
      </c>
      <c r="D1688" s="196" t="s">
        <v>624</v>
      </c>
      <c r="E1688" s="187" t="s">
        <v>3608</v>
      </c>
      <c r="F1688" s="507">
        <f>SUMIFS(Controle!$R:$R,Controle!$H:$H,produtos_escape2!$A1688,Controle!$Z:$Z,"1")</f>
        <v>0</v>
      </c>
      <c r="G1688" s="507">
        <f>SUMIFS(Controle!$R:$R,Controle!$H:$H,produtos_escape2!$A1688,Controle!$Z:$Z,"2")</f>
        <v>0</v>
      </c>
      <c r="H1688" s="507">
        <f>SUMIFS(Controle!$R:$R,Controle!$H:$H,produtos_escape2!$A1688,Controle!$Z:$Z,"3")</f>
        <v>0</v>
      </c>
      <c r="I1688" s="507">
        <f>SUMIFS(Controle!$R:$R,Controle!$H:$H,produtos_escape2!$A1688,Controle!$Z:$Z,"4")</f>
        <v>0</v>
      </c>
      <c r="J1688" s="507">
        <f>SUMIFS(Controle!$R:$R,Controle!$H:$H,produtos_escape2!$A1688,Controle!$Z:$Z,"5")</f>
        <v>0</v>
      </c>
      <c r="K1688" s="507">
        <f>SUMIFS(Controle!$R:$R,Controle!$H:$H,produtos_escape2!$A1688,Controle!$Z:$Z,"6")</f>
        <v>0</v>
      </c>
      <c r="L1688" s="507">
        <f t="shared" si="58"/>
        <v>0</v>
      </c>
      <c r="M1688" s="381" t="s">
        <v>255</v>
      </c>
    </row>
    <row r="1689" spans="1:13" s="185" customFormat="1" ht="14.25" customHeight="1" thickBot="1">
      <c r="A1689" s="353">
        <v>90291</v>
      </c>
      <c r="B1689" s="194" t="s">
        <v>1220</v>
      </c>
      <c r="C1689" s="339">
        <f t="shared" si="59"/>
        <v>49882.400000000001</v>
      </c>
      <c r="D1689" s="196" t="s">
        <v>725</v>
      </c>
      <c r="E1689" s="187" t="s">
        <v>3608</v>
      </c>
      <c r="F1689" s="507">
        <f>SUMIFS(Controle!$R:$R,Controle!$H:$H,produtos_escape2!$A1689,Controle!$Z:$Z,"1")</f>
        <v>0</v>
      </c>
      <c r="G1689" s="507">
        <f>SUMIFS(Controle!$R:$R,Controle!$H:$H,produtos_escape2!$A1689,Controle!$Z:$Z,"2")</f>
        <v>27</v>
      </c>
      <c r="H1689" s="507">
        <f>SUMIFS(Controle!$R:$R,Controle!$H:$H,produtos_escape2!$A1689,Controle!$Z:$Z,"3")</f>
        <v>90.6</v>
      </c>
      <c r="I1689" s="507">
        <f>SUMIFS(Controle!$R:$R,Controle!$H:$H,produtos_escape2!$A1689,Controle!$Z:$Z,"4")</f>
        <v>0</v>
      </c>
      <c r="J1689" s="507">
        <f>SUMIFS(Controle!$R:$R,Controle!$H:$H,produtos_escape2!$A1689,Controle!$Z:$Z,"5")</f>
        <v>0</v>
      </c>
      <c r="K1689" s="507">
        <f>SUMIFS(Controle!$R:$R,Controle!$H:$H,produtos_escape2!$A1689,Controle!$Z:$Z,"6")</f>
        <v>0</v>
      </c>
      <c r="L1689" s="507">
        <f t="shared" si="58"/>
        <v>117.6</v>
      </c>
      <c r="M1689" s="381" t="s">
        <v>1220</v>
      </c>
    </row>
    <row r="1690" spans="1:13" s="185" customFormat="1" ht="14.25" customHeight="1" thickBot="1">
      <c r="A1690" s="353">
        <v>90292</v>
      </c>
      <c r="B1690" s="194" t="s">
        <v>913</v>
      </c>
      <c r="C1690" s="339">
        <f t="shared" si="59"/>
        <v>49694</v>
      </c>
      <c r="D1690" s="196" t="s">
        <v>894</v>
      </c>
      <c r="E1690" s="187" t="s">
        <v>3608</v>
      </c>
      <c r="F1690" s="507">
        <f>SUMIFS(Controle!$R:$R,Controle!$H:$H,produtos_escape2!$A1690,Controle!$Z:$Z,"1")</f>
        <v>0</v>
      </c>
      <c r="G1690" s="507">
        <f>SUMIFS(Controle!$R:$R,Controle!$H:$H,produtos_escape2!$A1690,Controle!$Z:$Z,"2")</f>
        <v>306</v>
      </c>
      <c r="H1690" s="507">
        <f>SUMIFS(Controle!$R:$R,Controle!$H:$H,produtos_escape2!$A1690,Controle!$Z:$Z,"3")</f>
        <v>0</v>
      </c>
      <c r="I1690" s="507">
        <f>SUMIFS(Controle!$R:$R,Controle!$H:$H,produtos_escape2!$A1690,Controle!$Z:$Z,"4")</f>
        <v>0</v>
      </c>
      <c r="J1690" s="507">
        <f>SUMIFS(Controle!$R:$R,Controle!$H:$H,produtos_escape2!$A1690,Controle!$Z:$Z,"5")</f>
        <v>0</v>
      </c>
      <c r="K1690" s="507">
        <f>SUMIFS(Controle!$R:$R,Controle!$H:$H,produtos_escape2!$A1690,Controle!$Z:$Z,"6")</f>
        <v>0</v>
      </c>
      <c r="L1690" s="507">
        <f t="shared" si="58"/>
        <v>306</v>
      </c>
      <c r="M1690" s="381" t="s">
        <v>913</v>
      </c>
    </row>
    <row r="1691" spans="1:13" s="185" customFormat="1" ht="14.25" customHeight="1" thickBot="1">
      <c r="A1691" s="353">
        <v>90295</v>
      </c>
      <c r="B1691" s="194" t="s">
        <v>1462</v>
      </c>
      <c r="C1691" s="339">
        <f t="shared" si="59"/>
        <v>49649.65</v>
      </c>
      <c r="D1691" s="196" t="s">
        <v>725</v>
      </c>
      <c r="E1691" s="187" t="s">
        <v>3608</v>
      </c>
      <c r="F1691" s="507">
        <f>SUMIFS(Controle!$R:$R,Controle!$H:$H,produtos_escape2!$A1691,Controle!$Z:$Z,"1")</f>
        <v>0</v>
      </c>
      <c r="G1691" s="507">
        <f>SUMIFS(Controle!$R:$R,Controle!$H:$H,produtos_escape2!$A1691,Controle!$Z:$Z,"2")</f>
        <v>0</v>
      </c>
      <c r="H1691" s="507">
        <f>SUMIFS(Controle!$R:$R,Controle!$H:$H,produtos_escape2!$A1691,Controle!$Z:$Z,"3")</f>
        <v>350.34999999999997</v>
      </c>
      <c r="I1691" s="507">
        <f>SUMIFS(Controle!$R:$R,Controle!$H:$H,produtos_escape2!$A1691,Controle!$Z:$Z,"4")</f>
        <v>0</v>
      </c>
      <c r="J1691" s="507">
        <f>SUMIFS(Controle!$R:$R,Controle!$H:$H,produtos_escape2!$A1691,Controle!$Z:$Z,"5")</f>
        <v>0</v>
      </c>
      <c r="K1691" s="507">
        <f>SUMIFS(Controle!$R:$R,Controle!$H:$H,produtos_escape2!$A1691,Controle!$Z:$Z,"6")</f>
        <v>0</v>
      </c>
      <c r="L1691" s="507">
        <f t="shared" si="58"/>
        <v>350.34999999999997</v>
      </c>
      <c r="M1691" s="381" t="s">
        <v>1462</v>
      </c>
    </row>
    <row r="1692" spans="1:13" s="185" customFormat="1" ht="14.25" customHeight="1" thickBot="1">
      <c r="A1692" s="333">
        <v>90297</v>
      </c>
      <c r="B1692" s="194" t="s">
        <v>7418</v>
      </c>
      <c r="C1692" s="339">
        <f t="shared" si="59"/>
        <v>49628</v>
      </c>
      <c r="D1692" s="196" t="s">
        <v>624</v>
      </c>
      <c r="E1692" s="187" t="s">
        <v>3608</v>
      </c>
      <c r="F1692" s="507">
        <f>SUMIFS(Controle!$R:$R,Controle!$H:$H,produtos_escape2!$A1692,Controle!$Z:$Z,"1")</f>
        <v>0</v>
      </c>
      <c r="G1692" s="507">
        <f>SUMIFS(Controle!$R:$R,Controle!$H:$H,produtos_escape2!$A1692,Controle!$Z:$Z,"2")</f>
        <v>372</v>
      </c>
      <c r="H1692" s="507">
        <f>SUMIFS(Controle!$R:$R,Controle!$H:$H,produtos_escape2!$A1692,Controle!$Z:$Z,"3")</f>
        <v>0</v>
      </c>
      <c r="I1692" s="507">
        <f>SUMIFS(Controle!$R:$R,Controle!$H:$H,produtos_escape2!$A1692,Controle!$Z:$Z,"4")</f>
        <v>0</v>
      </c>
      <c r="J1692" s="507">
        <f>SUMIFS(Controle!$R:$R,Controle!$H:$H,produtos_escape2!$A1692,Controle!$Z:$Z,"5")</f>
        <v>0</v>
      </c>
      <c r="K1692" s="507">
        <f>SUMIFS(Controle!$R:$R,Controle!$H:$H,produtos_escape2!$A1692,Controle!$Z:$Z,"6")</f>
        <v>0</v>
      </c>
      <c r="L1692" s="507">
        <f t="shared" si="58"/>
        <v>372</v>
      </c>
      <c r="M1692" s="381" t="s">
        <v>5775</v>
      </c>
    </row>
    <row r="1693" spans="1:13" s="185" customFormat="1" ht="14.25" customHeight="1" thickBot="1">
      <c r="A1693" s="353">
        <v>90298</v>
      </c>
      <c r="B1693" s="194" t="s">
        <v>256</v>
      </c>
      <c r="C1693" s="339">
        <f t="shared" si="59"/>
        <v>50000</v>
      </c>
      <c r="D1693" s="196"/>
      <c r="E1693" s="187" t="s">
        <v>3608</v>
      </c>
      <c r="F1693" s="507">
        <f>SUMIFS(Controle!$R:$R,Controle!$H:$H,produtos_escape2!$A1693,Controle!$Z:$Z,"1")</f>
        <v>0</v>
      </c>
      <c r="G1693" s="507">
        <f>SUMIFS(Controle!$R:$R,Controle!$H:$H,produtos_escape2!$A1693,Controle!$Z:$Z,"2")</f>
        <v>0</v>
      </c>
      <c r="H1693" s="507">
        <f>SUMIFS(Controle!$R:$R,Controle!$H:$H,produtos_escape2!$A1693,Controle!$Z:$Z,"3")</f>
        <v>0</v>
      </c>
      <c r="I1693" s="507">
        <f>SUMIFS(Controle!$R:$R,Controle!$H:$H,produtos_escape2!$A1693,Controle!$Z:$Z,"4")</f>
        <v>0</v>
      </c>
      <c r="J1693" s="507">
        <f>SUMIFS(Controle!$R:$R,Controle!$H:$H,produtos_escape2!$A1693,Controle!$Z:$Z,"5")</f>
        <v>0</v>
      </c>
      <c r="K1693" s="507">
        <f>SUMIFS(Controle!$R:$R,Controle!$H:$H,produtos_escape2!$A1693,Controle!$Z:$Z,"6")</f>
        <v>0</v>
      </c>
      <c r="L1693" s="507">
        <f t="shared" si="58"/>
        <v>0</v>
      </c>
      <c r="M1693" s="381" t="s">
        <v>256</v>
      </c>
    </row>
    <row r="1694" spans="1:13" s="185" customFormat="1" ht="14.25" customHeight="1" thickBot="1">
      <c r="A1694" s="333">
        <v>90300</v>
      </c>
      <c r="B1694" s="338" t="s">
        <v>3495</v>
      </c>
      <c r="C1694" s="339">
        <f t="shared" si="59"/>
        <v>49681</v>
      </c>
      <c r="D1694" s="196" t="s">
        <v>725</v>
      </c>
      <c r="E1694" s="187" t="s">
        <v>3608</v>
      </c>
      <c r="F1694" s="507">
        <f>SUMIFS(Controle!$R:$R,Controle!$H:$H,produtos_escape2!$A1694,Controle!$Z:$Z,"1")</f>
        <v>0</v>
      </c>
      <c r="G1694" s="507">
        <f>SUMIFS(Controle!$R:$R,Controle!$H:$H,produtos_escape2!$A1694,Controle!$Z:$Z,"2")</f>
        <v>0</v>
      </c>
      <c r="H1694" s="507">
        <f>SUMIFS(Controle!$R:$R,Controle!$H:$H,produtos_escape2!$A1694,Controle!$Z:$Z,"3")</f>
        <v>0</v>
      </c>
      <c r="I1694" s="507">
        <f>SUMIFS(Controle!$R:$R,Controle!$H:$H,produtos_escape2!$A1694,Controle!$Z:$Z,"4")</f>
        <v>0</v>
      </c>
      <c r="J1694" s="507">
        <f>SUMIFS(Controle!$R:$R,Controle!$H:$H,produtos_escape2!$A1694,Controle!$Z:$Z,"5")</f>
        <v>0</v>
      </c>
      <c r="K1694" s="507">
        <f>SUMIFS(Controle!$R:$R,Controle!$H:$H,produtos_escape2!$A1694,Controle!$Z:$Z,"6")</f>
        <v>319</v>
      </c>
      <c r="L1694" s="507">
        <f t="shared" si="58"/>
        <v>319</v>
      </c>
      <c r="M1694" s="381" t="s">
        <v>3495</v>
      </c>
    </row>
    <row r="1695" spans="1:13" s="185" customFormat="1" ht="14.25" customHeight="1" thickBot="1">
      <c r="A1695" s="353">
        <v>90301</v>
      </c>
      <c r="B1695" s="194" t="s">
        <v>113</v>
      </c>
      <c r="C1695" s="339">
        <f t="shared" si="59"/>
        <v>50000</v>
      </c>
      <c r="D1695" s="196" t="s">
        <v>547</v>
      </c>
      <c r="E1695" s="187" t="s">
        <v>3608</v>
      </c>
      <c r="F1695" s="507">
        <f>SUMIFS(Controle!$R:$R,Controle!$H:$H,produtos_escape2!$A1695,Controle!$Z:$Z,"1")</f>
        <v>0</v>
      </c>
      <c r="G1695" s="507">
        <f>SUMIFS(Controle!$R:$R,Controle!$H:$H,produtos_escape2!$A1695,Controle!$Z:$Z,"2")</f>
        <v>0</v>
      </c>
      <c r="H1695" s="507">
        <f>SUMIFS(Controle!$R:$R,Controle!$H:$H,produtos_escape2!$A1695,Controle!$Z:$Z,"3")</f>
        <v>0</v>
      </c>
      <c r="I1695" s="507">
        <f>SUMIFS(Controle!$R:$R,Controle!$H:$H,produtos_escape2!$A1695,Controle!$Z:$Z,"4")</f>
        <v>0</v>
      </c>
      <c r="J1695" s="507">
        <f>SUMIFS(Controle!$R:$R,Controle!$H:$H,produtos_escape2!$A1695,Controle!$Z:$Z,"5")</f>
        <v>0</v>
      </c>
      <c r="K1695" s="507">
        <f>SUMIFS(Controle!$R:$R,Controle!$H:$H,produtos_escape2!$A1695,Controle!$Z:$Z,"6")</f>
        <v>0</v>
      </c>
      <c r="L1695" s="507">
        <f t="shared" si="58"/>
        <v>0</v>
      </c>
      <c r="M1695" s="381" t="s">
        <v>113</v>
      </c>
    </row>
    <row r="1696" spans="1:13" s="185" customFormat="1" ht="14.25" customHeight="1" thickBot="1">
      <c r="A1696" s="353">
        <v>90302</v>
      </c>
      <c r="B1696" s="194" t="s">
        <v>519</v>
      </c>
      <c r="C1696" s="339">
        <f t="shared" si="59"/>
        <v>50000</v>
      </c>
      <c r="D1696" s="196" t="s">
        <v>547</v>
      </c>
      <c r="E1696" s="187" t="s">
        <v>3608</v>
      </c>
      <c r="F1696" s="507">
        <f>SUMIFS(Controle!$R:$R,Controle!$H:$H,produtos_escape2!$A1696,Controle!$Z:$Z,"1")</f>
        <v>0</v>
      </c>
      <c r="G1696" s="507">
        <f>SUMIFS(Controle!$R:$R,Controle!$H:$H,produtos_escape2!$A1696,Controle!$Z:$Z,"2")</f>
        <v>0</v>
      </c>
      <c r="H1696" s="507">
        <f>SUMIFS(Controle!$R:$R,Controle!$H:$H,produtos_escape2!$A1696,Controle!$Z:$Z,"3")</f>
        <v>0</v>
      </c>
      <c r="I1696" s="507">
        <f>SUMIFS(Controle!$R:$R,Controle!$H:$H,produtos_escape2!$A1696,Controle!$Z:$Z,"4")</f>
        <v>0</v>
      </c>
      <c r="J1696" s="507">
        <f>SUMIFS(Controle!$R:$R,Controle!$H:$H,produtos_escape2!$A1696,Controle!$Z:$Z,"5")</f>
        <v>0</v>
      </c>
      <c r="K1696" s="507">
        <f>SUMIFS(Controle!$R:$R,Controle!$H:$H,produtos_escape2!$A1696,Controle!$Z:$Z,"6")</f>
        <v>0</v>
      </c>
      <c r="L1696" s="507">
        <f t="shared" si="58"/>
        <v>0</v>
      </c>
      <c r="M1696" s="381" t="s">
        <v>5715</v>
      </c>
    </row>
    <row r="1697" spans="1:13" s="185" customFormat="1" ht="14.25" customHeight="1" thickBot="1">
      <c r="A1697" s="333">
        <v>90307</v>
      </c>
      <c r="B1697" s="194" t="s">
        <v>7416</v>
      </c>
      <c r="C1697" s="339">
        <f t="shared" si="59"/>
        <v>49949.3</v>
      </c>
      <c r="D1697" s="196" t="s">
        <v>725</v>
      </c>
      <c r="E1697" s="187" t="s">
        <v>3608</v>
      </c>
      <c r="F1697" s="507">
        <f>SUMIFS(Controle!$R:$R,Controle!$H:$H,produtos_escape2!$A1697,Controle!$Z:$Z,"1")</f>
        <v>0</v>
      </c>
      <c r="G1697" s="507">
        <f>SUMIFS(Controle!$R:$R,Controle!$H:$H,produtos_escape2!$A1697,Controle!$Z:$Z,"2")</f>
        <v>50.7</v>
      </c>
      <c r="H1697" s="507">
        <f>SUMIFS(Controle!$R:$R,Controle!$H:$H,produtos_escape2!$A1697,Controle!$Z:$Z,"3")</f>
        <v>0</v>
      </c>
      <c r="I1697" s="507">
        <f>SUMIFS(Controle!$R:$R,Controle!$H:$H,produtos_escape2!$A1697,Controle!$Z:$Z,"4")</f>
        <v>0</v>
      </c>
      <c r="J1697" s="507">
        <f>SUMIFS(Controle!$R:$R,Controle!$H:$H,produtos_escape2!$A1697,Controle!$Z:$Z,"5")</f>
        <v>0</v>
      </c>
      <c r="K1697" s="507">
        <f>SUMIFS(Controle!$R:$R,Controle!$H:$H,produtos_escape2!$A1697,Controle!$Z:$Z,"6")</f>
        <v>0</v>
      </c>
      <c r="L1697" s="507">
        <f t="shared" si="58"/>
        <v>50.7</v>
      </c>
      <c r="M1697" s="381" t="s">
        <v>7417</v>
      </c>
    </row>
    <row r="1698" spans="1:13" s="185" customFormat="1" ht="14.25" customHeight="1" thickBot="1">
      <c r="A1698" s="353">
        <v>90313</v>
      </c>
      <c r="B1698" s="194" t="s">
        <v>3983</v>
      </c>
      <c r="C1698" s="339">
        <f t="shared" si="59"/>
        <v>49770</v>
      </c>
      <c r="D1698" s="196" t="s">
        <v>547</v>
      </c>
      <c r="E1698" s="187" t="s">
        <v>3608</v>
      </c>
      <c r="F1698" s="507">
        <f>SUMIFS(Controle!$R:$R,Controle!$H:$H,produtos_escape2!$A1698,Controle!$Z:$Z,"1")</f>
        <v>0</v>
      </c>
      <c r="G1698" s="507">
        <f>SUMIFS(Controle!$R:$R,Controle!$H:$H,produtos_escape2!$A1698,Controle!$Z:$Z,"2")</f>
        <v>0</v>
      </c>
      <c r="H1698" s="507">
        <f>SUMIFS(Controle!$R:$R,Controle!$H:$H,produtos_escape2!$A1698,Controle!$Z:$Z,"3")</f>
        <v>0</v>
      </c>
      <c r="I1698" s="507">
        <f>SUMIFS(Controle!$R:$R,Controle!$H:$H,produtos_escape2!$A1698,Controle!$Z:$Z,"4")</f>
        <v>0</v>
      </c>
      <c r="J1698" s="507">
        <f>SUMIFS(Controle!$R:$R,Controle!$H:$H,produtos_escape2!$A1698,Controle!$Z:$Z,"5")</f>
        <v>0</v>
      </c>
      <c r="K1698" s="507">
        <f>SUMIFS(Controle!$R:$R,Controle!$H:$H,produtos_escape2!$A1698,Controle!$Z:$Z,"6")</f>
        <v>230</v>
      </c>
      <c r="L1698" s="507">
        <f t="shared" si="58"/>
        <v>230</v>
      </c>
      <c r="M1698" s="381" t="s">
        <v>5395</v>
      </c>
    </row>
    <row r="1699" spans="1:13" s="185" customFormat="1" ht="14.25" customHeight="1" thickBot="1">
      <c r="A1699" s="353">
        <v>90314</v>
      </c>
      <c r="B1699" s="194" t="s">
        <v>2677</v>
      </c>
      <c r="C1699" s="339">
        <f t="shared" si="59"/>
        <v>50000</v>
      </c>
      <c r="D1699" s="196" t="s">
        <v>547</v>
      </c>
      <c r="E1699" s="187" t="s">
        <v>3608</v>
      </c>
      <c r="F1699" s="507">
        <f>SUMIFS(Controle!$R:$R,Controle!$H:$H,produtos_escape2!$A1699,Controle!$Z:$Z,"1")</f>
        <v>0</v>
      </c>
      <c r="G1699" s="507">
        <f>SUMIFS(Controle!$R:$R,Controle!$H:$H,produtos_escape2!$A1699,Controle!$Z:$Z,"2")</f>
        <v>0</v>
      </c>
      <c r="H1699" s="507">
        <f>SUMIFS(Controle!$R:$R,Controle!$H:$H,produtos_escape2!$A1699,Controle!$Z:$Z,"3")</f>
        <v>0</v>
      </c>
      <c r="I1699" s="507">
        <f>SUMIFS(Controle!$R:$R,Controle!$H:$H,produtos_escape2!$A1699,Controle!$Z:$Z,"4")</f>
        <v>0</v>
      </c>
      <c r="J1699" s="507">
        <f>SUMIFS(Controle!$R:$R,Controle!$H:$H,produtos_escape2!$A1699,Controle!$Z:$Z,"5")</f>
        <v>0</v>
      </c>
      <c r="K1699" s="507">
        <f>SUMIFS(Controle!$R:$R,Controle!$H:$H,produtos_escape2!$A1699,Controle!$Z:$Z,"6")</f>
        <v>0</v>
      </c>
      <c r="L1699" s="507">
        <f t="shared" si="58"/>
        <v>0</v>
      </c>
      <c r="M1699" s="381" t="s">
        <v>2677</v>
      </c>
    </row>
    <row r="1700" spans="1:13" s="185" customFormat="1" ht="14.25" customHeight="1" thickBot="1">
      <c r="A1700" s="353">
        <v>90315</v>
      </c>
      <c r="B1700" s="194" t="s">
        <v>1023</v>
      </c>
      <c r="C1700" s="339">
        <f t="shared" si="59"/>
        <v>25.599999999998545</v>
      </c>
      <c r="D1700" s="196" t="s">
        <v>547</v>
      </c>
      <c r="E1700" s="187" t="s">
        <v>3608</v>
      </c>
      <c r="F1700" s="507">
        <f>SUMIFS(Controle!$R:$R,Controle!$H:$H,produtos_escape2!$A1700,Controle!$Z:$Z,"1")</f>
        <v>0</v>
      </c>
      <c r="G1700" s="507">
        <f>SUMIFS(Controle!$R:$R,Controle!$H:$H,produtos_escape2!$A1700,Controle!$Z:$Z,"2")</f>
        <v>3600</v>
      </c>
      <c r="H1700" s="507">
        <f>SUMIFS(Controle!$R:$R,Controle!$H:$H,produtos_escape2!$A1700,Controle!$Z:$Z,"3")</f>
        <v>30000</v>
      </c>
      <c r="I1700" s="507">
        <f>SUMIFS(Controle!$R:$R,Controle!$H:$H,produtos_escape2!$A1700,Controle!$Z:$Z,"4")</f>
        <v>16000</v>
      </c>
      <c r="J1700" s="507">
        <f>SUMIFS(Controle!$R:$R,Controle!$H:$H,produtos_escape2!$A1700,Controle!$Z:$Z,"5")</f>
        <v>0</v>
      </c>
      <c r="K1700" s="507">
        <f>SUMIFS(Controle!$R:$R,Controle!$H:$H,produtos_escape2!$A1700,Controle!$Z:$Z,"6")</f>
        <v>374.4</v>
      </c>
      <c r="L1700" s="507">
        <f t="shared" si="58"/>
        <v>49974.400000000001</v>
      </c>
      <c r="M1700" s="381" t="s">
        <v>1023</v>
      </c>
    </row>
    <row r="1701" spans="1:13" s="185" customFormat="1" ht="14.25" customHeight="1" thickBot="1">
      <c r="A1701" s="353">
        <v>90320</v>
      </c>
      <c r="B1701" s="403" t="s">
        <v>115</v>
      </c>
      <c r="C1701" s="339">
        <f t="shared" si="59"/>
        <v>50000</v>
      </c>
      <c r="D1701" s="196" t="s">
        <v>725</v>
      </c>
      <c r="E1701" s="187" t="s">
        <v>3608</v>
      </c>
      <c r="F1701" s="507">
        <f>SUMIFS(Controle!$R:$R,Controle!$H:$H,produtos_escape2!$A1701,Controle!$Z:$Z,"1")</f>
        <v>0</v>
      </c>
      <c r="G1701" s="507">
        <f>SUMIFS(Controle!$R:$R,Controle!$H:$H,produtos_escape2!$A1701,Controle!$Z:$Z,"2")</f>
        <v>0</v>
      </c>
      <c r="H1701" s="507">
        <f>SUMIFS(Controle!$R:$R,Controle!$H:$H,produtos_escape2!$A1701,Controle!$Z:$Z,"3")</f>
        <v>0</v>
      </c>
      <c r="I1701" s="507">
        <f>SUMIFS(Controle!$R:$R,Controle!$H:$H,produtos_escape2!$A1701,Controle!$Z:$Z,"4")</f>
        <v>0</v>
      </c>
      <c r="J1701" s="507">
        <f>SUMIFS(Controle!$R:$R,Controle!$H:$H,produtos_escape2!$A1701,Controle!$Z:$Z,"5")</f>
        <v>0</v>
      </c>
      <c r="K1701" s="507">
        <f>SUMIFS(Controle!$R:$R,Controle!$H:$H,produtos_escape2!$A1701,Controle!$Z:$Z,"6")</f>
        <v>0</v>
      </c>
      <c r="L1701" s="507">
        <f t="shared" si="58"/>
        <v>0</v>
      </c>
      <c r="M1701" s="381" t="s">
        <v>115</v>
      </c>
    </row>
    <row r="1702" spans="1:13" s="185" customFormat="1" ht="14.25" customHeight="1" thickBot="1">
      <c r="A1702" s="353">
        <v>90324</v>
      </c>
      <c r="B1702" s="194" t="s">
        <v>1801</v>
      </c>
      <c r="C1702" s="339">
        <f t="shared" si="59"/>
        <v>50000</v>
      </c>
      <c r="D1702" s="191" t="s">
        <v>624</v>
      </c>
      <c r="E1702" s="189" t="s">
        <v>3608</v>
      </c>
      <c r="F1702" s="507">
        <f>SUMIFS(Controle!$R:$R,Controle!$H:$H,produtos_escape2!$A1702,Controle!$Z:$Z,"1")</f>
        <v>0</v>
      </c>
      <c r="G1702" s="507">
        <f>SUMIFS(Controle!$R:$R,Controle!$H:$H,produtos_escape2!$A1702,Controle!$Z:$Z,"2")</f>
        <v>0</v>
      </c>
      <c r="H1702" s="507">
        <f>SUMIFS(Controle!$R:$R,Controle!$H:$H,produtos_escape2!$A1702,Controle!$Z:$Z,"3")</f>
        <v>0</v>
      </c>
      <c r="I1702" s="507">
        <f>SUMIFS(Controle!$R:$R,Controle!$H:$H,produtos_escape2!$A1702,Controle!$Z:$Z,"4")</f>
        <v>0</v>
      </c>
      <c r="J1702" s="507">
        <f>SUMIFS(Controle!$R:$R,Controle!$H:$H,produtos_escape2!$A1702,Controle!$Z:$Z,"5")</f>
        <v>0</v>
      </c>
      <c r="K1702" s="507">
        <f>SUMIFS(Controle!$R:$R,Controle!$H:$H,produtos_escape2!$A1702,Controle!$Z:$Z,"6")</f>
        <v>0</v>
      </c>
      <c r="L1702" s="507">
        <f t="shared" si="58"/>
        <v>0</v>
      </c>
      <c r="M1702" s="381" t="s">
        <v>1801</v>
      </c>
    </row>
    <row r="1703" spans="1:13" s="185" customFormat="1" ht="14.25" customHeight="1" thickBot="1">
      <c r="A1703" s="333">
        <v>90326</v>
      </c>
      <c r="B1703" s="338" t="s">
        <v>1145</v>
      </c>
      <c r="C1703" s="339">
        <f t="shared" si="59"/>
        <v>50000</v>
      </c>
      <c r="D1703" s="196" t="s">
        <v>725</v>
      </c>
      <c r="E1703" s="187" t="s">
        <v>3608</v>
      </c>
      <c r="F1703" s="507">
        <f>SUMIFS(Controle!$R:$R,Controle!$H:$H,produtos_escape2!$A1703,Controle!$Z:$Z,"1")</f>
        <v>0</v>
      </c>
      <c r="G1703" s="507">
        <f>SUMIFS(Controle!$R:$R,Controle!$H:$H,produtos_escape2!$A1703,Controle!$Z:$Z,"2")</f>
        <v>0</v>
      </c>
      <c r="H1703" s="507">
        <f>SUMIFS(Controle!$R:$R,Controle!$H:$H,produtos_escape2!$A1703,Controle!$Z:$Z,"3")</f>
        <v>0</v>
      </c>
      <c r="I1703" s="507">
        <f>SUMIFS(Controle!$R:$R,Controle!$H:$H,produtos_escape2!$A1703,Controle!$Z:$Z,"4")</f>
        <v>0</v>
      </c>
      <c r="J1703" s="507">
        <f>SUMIFS(Controle!$R:$R,Controle!$H:$H,produtos_escape2!$A1703,Controle!$Z:$Z,"5")</f>
        <v>0</v>
      </c>
      <c r="K1703" s="507">
        <f>SUMIFS(Controle!$R:$R,Controle!$H:$H,produtos_escape2!$A1703,Controle!$Z:$Z,"6")</f>
        <v>0</v>
      </c>
      <c r="L1703" s="507">
        <f t="shared" si="58"/>
        <v>0</v>
      </c>
      <c r="M1703" s="381" t="s">
        <v>1145</v>
      </c>
    </row>
    <row r="1704" spans="1:13" s="185" customFormat="1" ht="14.25" customHeight="1" thickBot="1">
      <c r="A1704" s="353">
        <v>90327</v>
      </c>
      <c r="B1704" s="194" t="s">
        <v>244</v>
      </c>
      <c r="C1704" s="339">
        <f t="shared" si="59"/>
        <v>50000</v>
      </c>
      <c r="D1704" s="196" t="s">
        <v>725</v>
      </c>
      <c r="E1704" s="187" t="s">
        <v>3608</v>
      </c>
      <c r="F1704" s="507">
        <f>SUMIFS(Controle!$R:$R,Controle!$H:$H,produtos_escape2!$A1704,Controle!$Z:$Z,"1")</f>
        <v>0</v>
      </c>
      <c r="G1704" s="507">
        <f>SUMIFS(Controle!$R:$R,Controle!$H:$H,produtos_escape2!$A1704,Controle!$Z:$Z,"2")</f>
        <v>0</v>
      </c>
      <c r="H1704" s="507">
        <f>SUMIFS(Controle!$R:$R,Controle!$H:$H,produtos_escape2!$A1704,Controle!$Z:$Z,"3")</f>
        <v>0</v>
      </c>
      <c r="I1704" s="507">
        <f>SUMIFS(Controle!$R:$R,Controle!$H:$H,produtos_escape2!$A1704,Controle!$Z:$Z,"4")</f>
        <v>0</v>
      </c>
      <c r="J1704" s="507">
        <f>SUMIFS(Controle!$R:$R,Controle!$H:$H,produtos_escape2!$A1704,Controle!$Z:$Z,"5")</f>
        <v>0</v>
      </c>
      <c r="K1704" s="507">
        <f>SUMIFS(Controle!$R:$R,Controle!$H:$H,produtos_escape2!$A1704,Controle!$Z:$Z,"6")</f>
        <v>0</v>
      </c>
      <c r="L1704" s="507">
        <f t="shared" si="58"/>
        <v>0</v>
      </c>
      <c r="M1704" s="381" t="s">
        <v>5396</v>
      </c>
    </row>
    <row r="1705" spans="1:13" s="185" customFormat="1" ht="14.25" customHeight="1" thickBot="1">
      <c r="A1705" s="353">
        <v>90330</v>
      </c>
      <c r="B1705" s="194" t="s">
        <v>8938</v>
      </c>
      <c r="C1705" s="339">
        <f t="shared" si="59"/>
        <v>50000</v>
      </c>
      <c r="D1705" s="196" t="s">
        <v>806</v>
      </c>
      <c r="E1705" s="187" t="s">
        <v>3608</v>
      </c>
      <c r="F1705" s="507">
        <f>SUMIFS(Controle!$R:$R,Controle!$H:$H,produtos_escape2!$A1705,Controle!$Z:$Z,"1")</f>
        <v>0</v>
      </c>
      <c r="G1705" s="507">
        <f>SUMIFS(Controle!$R:$R,Controle!$H:$H,produtos_escape2!$A1705,Controle!$Z:$Z,"2")</f>
        <v>0</v>
      </c>
      <c r="H1705" s="507">
        <f>SUMIFS(Controle!$R:$R,Controle!$H:$H,produtos_escape2!$A1705,Controle!$Z:$Z,"3")</f>
        <v>0</v>
      </c>
      <c r="I1705" s="507">
        <f>SUMIFS(Controle!$R:$R,Controle!$H:$H,produtos_escape2!$A1705,Controle!$Z:$Z,"4")</f>
        <v>0</v>
      </c>
      <c r="J1705" s="507">
        <f>SUMIFS(Controle!$R:$R,Controle!$H:$H,produtos_escape2!$A1705,Controle!$Z:$Z,"5")</f>
        <v>0</v>
      </c>
      <c r="K1705" s="507">
        <f>SUMIFS(Controle!$R:$R,Controle!$H:$H,produtos_escape2!$A1705,Controle!$Z:$Z,"6")</f>
        <v>0</v>
      </c>
      <c r="L1705" s="507">
        <f t="shared" si="58"/>
        <v>0</v>
      </c>
      <c r="M1705" s="381" t="s">
        <v>33</v>
      </c>
    </row>
    <row r="1706" spans="1:13" s="185" customFormat="1" ht="14.25" customHeight="1" thickBot="1">
      <c r="A1706" s="353">
        <v>90336</v>
      </c>
      <c r="B1706" s="194" t="s">
        <v>3895</v>
      </c>
      <c r="C1706" s="339">
        <f t="shared" si="59"/>
        <v>50000</v>
      </c>
      <c r="D1706" s="196" t="s">
        <v>1060</v>
      </c>
      <c r="E1706" s="187" t="s">
        <v>3608</v>
      </c>
      <c r="F1706" s="507">
        <f>SUMIFS(Controle!$R:$R,Controle!$H:$H,produtos_escape2!$A1706,Controle!$Z:$Z,"1")</f>
        <v>0</v>
      </c>
      <c r="G1706" s="507">
        <f>SUMIFS(Controle!$R:$R,Controle!$H:$H,produtos_escape2!$A1706,Controle!$Z:$Z,"2")</f>
        <v>0</v>
      </c>
      <c r="H1706" s="507">
        <f>SUMIFS(Controle!$R:$R,Controle!$H:$H,produtos_escape2!$A1706,Controle!$Z:$Z,"3")</f>
        <v>0</v>
      </c>
      <c r="I1706" s="507">
        <f>SUMIFS(Controle!$R:$R,Controle!$H:$H,produtos_escape2!$A1706,Controle!$Z:$Z,"4")</f>
        <v>0</v>
      </c>
      <c r="J1706" s="507">
        <f>SUMIFS(Controle!$R:$R,Controle!$H:$H,produtos_escape2!$A1706,Controle!$Z:$Z,"5")</f>
        <v>0</v>
      </c>
      <c r="K1706" s="507">
        <f>SUMIFS(Controle!$R:$R,Controle!$H:$H,produtos_escape2!$A1706,Controle!$Z:$Z,"6")</f>
        <v>0</v>
      </c>
      <c r="L1706" s="507">
        <f t="shared" si="58"/>
        <v>0</v>
      </c>
      <c r="M1706" s="381" t="s">
        <v>3895</v>
      </c>
    </row>
    <row r="1707" spans="1:13" s="185" customFormat="1" ht="14.25" customHeight="1" thickBot="1">
      <c r="A1707" s="353">
        <v>90337</v>
      </c>
      <c r="B1707" s="194" t="s">
        <v>3896</v>
      </c>
      <c r="C1707" s="339">
        <f t="shared" ref="C1707" si="60">50000-SUM(F1707:K1707)</f>
        <v>50000</v>
      </c>
      <c r="D1707" s="196" t="s">
        <v>725</v>
      </c>
      <c r="E1707" s="187" t="s">
        <v>3608</v>
      </c>
      <c r="F1707" s="507">
        <f>SUMIFS(Controle!$R:$R,Controle!$H:$H,produtos_escape2!$A1707,Controle!$Z:$Z,"1")</f>
        <v>0</v>
      </c>
      <c r="G1707" s="507">
        <f>SUMIFS(Controle!$R:$R,Controle!$H:$H,produtos_escape2!$A1707,Controle!$Z:$Z,"2")</f>
        <v>0</v>
      </c>
      <c r="H1707" s="507">
        <f>SUMIFS(Controle!$R:$R,Controle!$H:$H,produtos_escape2!$A1707,Controle!$Z:$Z,"3")</f>
        <v>0</v>
      </c>
      <c r="I1707" s="507">
        <f>SUMIFS(Controle!$R:$R,Controle!$H:$H,produtos_escape2!$A1707,Controle!$Z:$Z,"4")</f>
        <v>0</v>
      </c>
      <c r="J1707" s="507">
        <f>SUMIFS(Controle!$R:$R,Controle!$H:$H,produtos_escape2!$A1707,Controle!$Z:$Z,"5")</f>
        <v>0</v>
      </c>
      <c r="K1707" s="507">
        <f>SUMIFS(Controle!$R:$R,Controle!$H:$H,produtos_escape2!$A1707,Controle!$Z:$Z,"6")</f>
        <v>0</v>
      </c>
      <c r="L1707" s="507">
        <f t="shared" si="58"/>
        <v>0</v>
      </c>
      <c r="M1707" s="381" t="s">
        <v>3896</v>
      </c>
    </row>
    <row r="1708" spans="1:13" s="185" customFormat="1" ht="14.25" customHeight="1" thickBot="1">
      <c r="A1708" s="353">
        <v>90338</v>
      </c>
      <c r="B1708" s="194" t="s">
        <v>10505</v>
      </c>
      <c r="C1708" s="339">
        <f t="shared" si="59"/>
        <v>49910.2</v>
      </c>
      <c r="D1708" s="196" t="s">
        <v>725</v>
      </c>
      <c r="E1708" s="187" t="s">
        <v>3608</v>
      </c>
      <c r="F1708" s="507">
        <f>SUMIFS(Controle!$R:$R,Controle!$H:$H,produtos_escape2!$A1708,Controle!$Z:$Z,"1")</f>
        <v>0</v>
      </c>
      <c r="G1708" s="507">
        <f>SUMIFS(Controle!$R:$R,Controle!$H:$H,produtos_escape2!$A1708,Controle!$Z:$Z,"2")</f>
        <v>0</v>
      </c>
      <c r="H1708" s="507">
        <f>SUMIFS(Controle!$R:$R,Controle!$H:$H,produtos_escape2!$A1708,Controle!$Z:$Z,"3")</f>
        <v>0</v>
      </c>
      <c r="I1708" s="507">
        <f>SUMIFS(Controle!$R:$R,Controle!$H:$H,produtos_escape2!$A1708,Controle!$Z:$Z,"4")</f>
        <v>0</v>
      </c>
      <c r="J1708" s="507">
        <f>SUMIFS(Controle!$R:$R,Controle!$H:$H,produtos_escape2!$A1708,Controle!$Z:$Z,"5")</f>
        <v>0</v>
      </c>
      <c r="K1708" s="507">
        <f>SUMIFS(Controle!$R:$R,Controle!$H:$H,produtos_escape2!$A1708,Controle!$Z:$Z,"6")</f>
        <v>89.800000000000011</v>
      </c>
      <c r="L1708" s="507">
        <f t="shared" si="58"/>
        <v>89.800000000000011</v>
      </c>
      <c r="M1708" s="381" t="s">
        <v>10504</v>
      </c>
    </row>
    <row r="1709" spans="1:13" s="185" customFormat="1" ht="14.25" customHeight="1" thickBot="1">
      <c r="A1709" s="353">
        <v>90342</v>
      </c>
      <c r="B1709" s="194" t="s">
        <v>1320</v>
      </c>
      <c r="C1709" s="339">
        <f t="shared" si="59"/>
        <v>50000</v>
      </c>
      <c r="D1709" s="196" t="s">
        <v>894</v>
      </c>
      <c r="E1709" s="187" t="s">
        <v>3608</v>
      </c>
      <c r="F1709" s="507">
        <f>SUMIFS(Controle!$R:$R,Controle!$H:$H,produtos_escape2!$A1709,Controle!$Z:$Z,"1")</f>
        <v>0</v>
      </c>
      <c r="G1709" s="507">
        <f>SUMIFS(Controle!$R:$R,Controle!$H:$H,produtos_escape2!$A1709,Controle!$Z:$Z,"2")</f>
        <v>0</v>
      </c>
      <c r="H1709" s="507">
        <f>SUMIFS(Controle!$R:$R,Controle!$H:$H,produtos_escape2!$A1709,Controle!$Z:$Z,"3")</f>
        <v>0</v>
      </c>
      <c r="I1709" s="507">
        <f>SUMIFS(Controle!$R:$R,Controle!$H:$H,produtos_escape2!$A1709,Controle!$Z:$Z,"4")</f>
        <v>0</v>
      </c>
      <c r="J1709" s="507">
        <f>SUMIFS(Controle!$R:$R,Controle!$H:$H,produtos_escape2!$A1709,Controle!$Z:$Z,"5")</f>
        <v>0</v>
      </c>
      <c r="K1709" s="507">
        <f>SUMIFS(Controle!$R:$R,Controle!$H:$H,produtos_escape2!$A1709,Controle!$Z:$Z,"6")</f>
        <v>0</v>
      </c>
      <c r="L1709" s="507">
        <f t="shared" si="58"/>
        <v>0</v>
      </c>
      <c r="M1709" s="381" t="s">
        <v>1320</v>
      </c>
    </row>
    <row r="1710" spans="1:13" s="185" customFormat="1" ht="14.25" customHeight="1" thickBot="1">
      <c r="A1710" s="353">
        <v>90343</v>
      </c>
      <c r="B1710" s="194" t="s">
        <v>3415</v>
      </c>
      <c r="C1710" s="339">
        <f t="shared" si="59"/>
        <v>49581.3</v>
      </c>
      <c r="D1710" s="196" t="s">
        <v>894</v>
      </c>
      <c r="E1710" s="187" t="s">
        <v>3608</v>
      </c>
      <c r="F1710" s="507">
        <f>SUMIFS(Controle!$R:$R,Controle!$H:$H,produtos_escape2!$A1710,Controle!$Z:$Z,"1")</f>
        <v>0</v>
      </c>
      <c r="G1710" s="507">
        <f>SUMIFS(Controle!$R:$R,Controle!$H:$H,produtos_escape2!$A1710,Controle!$Z:$Z,"2")</f>
        <v>273.7</v>
      </c>
      <c r="H1710" s="507">
        <f>SUMIFS(Controle!$R:$R,Controle!$H:$H,produtos_escape2!$A1710,Controle!$Z:$Z,"3")</f>
        <v>0</v>
      </c>
      <c r="I1710" s="507">
        <f>SUMIFS(Controle!$R:$R,Controle!$H:$H,produtos_escape2!$A1710,Controle!$Z:$Z,"4")</f>
        <v>0</v>
      </c>
      <c r="J1710" s="507">
        <f>SUMIFS(Controle!$R:$R,Controle!$H:$H,produtos_escape2!$A1710,Controle!$Z:$Z,"5")</f>
        <v>145</v>
      </c>
      <c r="K1710" s="507">
        <f>SUMIFS(Controle!$R:$R,Controle!$H:$H,produtos_escape2!$A1710,Controle!$Z:$Z,"6")</f>
        <v>0</v>
      </c>
      <c r="L1710" s="507">
        <f t="shared" si="58"/>
        <v>418.7</v>
      </c>
      <c r="M1710" s="381" t="s">
        <v>5397</v>
      </c>
    </row>
    <row r="1711" spans="1:13" s="185" customFormat="1" ht="14.25" customHeight="1" thickBot="1">
      <c r="A1711" s="353">
        <v>90344</v>
      </c>
      <c r="B1711" s="402" t="s">
        <v>7124</v>
      </c>
      <c r="C1711" s="339">
        <f t="shared" si="59"/>
        <v>49805.4</v>
      </c>
      <c r="D1711" s="196" t="s">
        <v>548</v>
      </c>
      <c r="E1711" s="187" t="s">
        <v>3608</v>
      </c>
      <c r="F1711" s="507">
        <f>SUMIFS(Controle!$R:$R,Controle!$H:$H,produtos_escape2!$A1711,Controle!$Z:$Z,"1")</f>
        <v>0</v>
      </c>
      <c r="G1711" s="507">
        <f>SUMIFS(Controle!$R:$R,Controle!$H:$H,produtos_escape2!$A1711,Controle!$Z:$Z,"2")</f>
        <v>119.60000000000001</v>
      </c>
      <c r="H1711" s="507">
        <f>SUMIFS(Controle!$R:$R,Controle!$H:$H,produtos_escape2!$A1711,Controle!$Z:$Z,"3")</f>
        <v>0</v>
      </c>
      <c r="I1711" s="507">
        <f>SUMIFS(Controle!$R:$R,Controle!$H:$H,produtos_escape2!$A1711,Controle!$Z:$Z,"4")</f>
        <v>75</v>
      </c>
      <c r="J1711" s="507">
        <f>SUMIFS(Controle!$R:$R,Controle!$H:$H,produtos_escape2!$A1711,Controle!$Z:$Z,"5")</f>
        <v>0</v>
      </c>
      <c r="K1711" s="507">
        <f>SUMIFS(Controle!$R:$R,Controle!$H:$H,produtos_escape2!$A1711,Controle!$Z:$Z,"6")</f>
        <v>0</v>
      </c>
      <c r="L1711" s="507">
        <f t="shared" si="58"/>
        <v>194.60000000000002</v>
      </c>
      <c r="M1711" s="381" t="s">
        <v>7123</v>
      </c>
    </row>
    <row r="1712" spans="1:13" s="185" customFormat="1" ht="14.25" customHeight="1" thickBot="1">
      <c r="A1712" s="353">
        <v>90347</v>
      </c>
      <c r="B1712" s="194" t="s">
        <v>3921</v>
      </c>
      <c r="C1712" s="339">
        <f t="shared" si="59"/>
        <v>50000</v>
      </c>
      <c r="D1712" s="196" t="s">
        <v>894</v>
      </c>
      <c r="E1712" s="187" t="s">
        <v>3608</v>
      </c>
      <c r="F1712" s="507">
        <f>SUMIFS(Controle!$R:$R,Controle!$H:$H,produtos_escape2!$A1712,Controle!$Z:$Z,"1")</f>
        <v>0</v>
      </c>
      <c r="G1712" s="507">
        <f>SUMIFS(Controle!$R:$R,Controle!$H:$H,produtos_escape2!$A1712,Controle!$Z:$Z,"2")</f>
        <v>0</v>
      </c>
      <c r="H1712" s="507">
        <f>SUMIFS(Controle!$R:$R,Controle!$H:$H,produtos_escape2!$A1712,Controle!$Z:$Z,"3")</f>
        <v>0</v>
      </c>
      <c r="I1712" s="507">
        <f>SUMIFS(Controle!$R:$R,Controle!$H:$H,produtos_escape2!$A1712,Controle!$Z:$Z,"4")</f>
        <v>0</v>
      </c>
      <c r="J1712" s="507">
        <f>SUMIFS(Controle!$R:$R,Controle!$H:$H,produtos_escape2!$A1712,Controle!$Z:$Z,"5")</f>
        <v>0</v>
      </c>
      <c r="K1712" s="507">
        <f>SUMIFS(Controle!$R:$R,Controle!$H:$H,produtos_escape2!$A1712,Controle!$Z:$Z,"6")</f>
        <v>0</v>
      </c>
      <c r="L1712" s="507">
        <f t="shared" si="58"/>
        <v>0</v>
      </c>
      <c r="M1712" s="381" t="s">
        <v>5398</v>
      </c>
    </row>
    <row r="1713" spans="1:13" s="185" customFormat="1" ht="14.25" customHeight="1" thickBot="1">
      <c r="A1713" s="333">
        <v>90350</v>
      </c>
      <c r="B1713" s="194" t="s">
        <v>5883</v>
      </c>
      <c r="C1713" s="339">
        <f t="shared" si="59"/>
        <v>50000</v>
      </c>
      <c r="D1713" s="196" t="s">
        <v>548</v>
      </c>
      <c r="E1713" s="189" t="s">
        <v>3608</v>
      </c>
      <c r="F1713" s="507">
        <f>SUMIFS(Controle!$R:$R,Controle!$H:$H,produtos_escape2!$A1713,Controle!$Z:$Z,"1")</f>
        <v>0</v>
      </c>
      <c r="G1713" s="507">
        <f>SUMIFS(Controle!$R:$R,Controle!$H:$H,produtos_escape2!$A1713,Controle!$Z:$Z,"2")</f>
        <v>0</v>
      </c>
      <c r="H1713" s="507">
        <f>SUMIFS(Controle!$R:$R,Controle!$H:$H,produtos_escape2!$A1713,Controle!$Z:$Z,"3")</f>
        <v>0</v>
      </c>
      <c r="I1713" s="507">
        <f>SUMIFS(Controle!$R:$R,Controle!$H:$H,produtos_escape2!$A1713,Controle!$Z:$Z,"4")</f>
        <v>0</v>
      </c>
      <c r="J1713" s="507">
        <f>SUMIFS(Controle!$R:$R,Controle!$H:$H,produtos_escape2!$A1713,Controle!$Z:$Z,"5")</f>
        <v>0</v>
      </c>
      <c r="K1713" s="507">
        <f>SUMIFS(Controle!$R:$R,Controle!$H:$H,produtos_escape2!$A1713,Controle!$Z:$Z,"6")</f>
        <v>0</v>
      </c>
      <c r="L1713" s="507">
        <f t="shared" si="58"/>
        <v>0</v>
      </c>
      <c r="M1713" s="381" t="s">
        <v>4513</v>
      </c>
    </row>
    <row r="1714" spans="1:13" s="185" customFormat="1" ht="14.25" customHeight="1" thickBot="1">
      <c r="A1714" s="353">
        <v>90351</v>
      </c>
      <c r="B1714" s="338" t="s">
        <v>1317</v>
      </c>
      <c r="C1714" s="339">
        <f t="shared" si="59"/>
        <v>50000</v>
      </c>
      <c r="D1714" s="196" t="s">
        <v>725</v>
      </c>
      <c r="E1714" s="187" t="s">
        <v>3608</v>
      </c>
      <c r="F1714" s="507">
        <f>SUMIFS(Controle!$R:$R,Controle!$H:$H,produtos_escape2!$A1714,Controle!$Z:$Z,"1")</f>
        <v>0</v>
      </c>
      <c r="G1714" s="507">
        <f>SUMIFS(Controle!$R:$R,Controle!$H:$H,produtos_escape2!$A1714,Controle!$Z:$Z,"2")</f>
        <v>0</v>
      </c>
      <c r="H1714" s="507">
        <f>SUMIFS(Controle!$R:$R,Controle!$H:$H,produtos_escape2!$A1714,Controle!$Z:$Z,"3")</f>
        <v>0</v>
      </c>
      <c r="I1714" s="507">
        <f>SUMIFS(Controle!$R:$R,Controle!$H:$H,produtos_escape2!$A1714,Controle!$Z:$Z,"4")</f>
        <v>0</v>
      </c>
      <c r="J1714" s="507">
        <f>SUMIFS(Controle!$R:$R,Controle!$H:$H,produtos_escape2!$A1714,Controle!$Z:$Z,"5")</f>
        <v>0</v>
      </c>
      <c r="K1714" s="507">
        <f>SUMIFS(Controle!$R:$R,Controle!$H:$H,produtos_escape2!$A1714,Controle!$Z:$Z,"6")</f>
        <v>0</v>
      </c>
      <c r="L1714" s="507">
        <f t="shared" si="58"/>
        <v>0</v>
      </c>
      <c r="M1714" s="381" t="s">
        <v>1317</v>
      </c>
    </row>
    <row r="1715" spans="1:13" s="185" customFormat="1" ht="14.25" customHeight="1" thickBot="1">
      <c r="A1715" s="353">
        <v>90352</v>
      </c>
      <c r="B1715" s="194" t="s">
        <v>193</v>
      </c>
      <c r="C1715" s="339">
        <f t="shared" si="59"/>
        <v>50000</v>
      </c>
      <c r="D1715" s="196"/>
      <c r="E1715" s="187" t="s">
        <v>3608</v>
      </c>
      <c r="F1715" s="507">
        <f>SUMIFS(Controle!$R:$R,Controle!$H:$H,produtos_escape2!$A1715,Controle!$Z:$Z,"1")</f>
        <v>0</v>
      </c>
      <c r="G1715" s="507">
        <f>SUMIFS(Controle!$R:$R,Controle!$H:$H,produtos_escape2!$A1715,Controle!$Z:$Z,"2")</f>
        <v>0</v>
      </c>
      <c r="H1715" s="507">
        <f>SUMIFS(Controle!$R:$R,Controle!$H:$H,produtos_escape2!$A1715,Controle!$Z:$Z,"3")</f>
        <v>0</v>
      </c>
      <c r="I1715" s="507">
        <f>SUMIFS(Controle!$R:$R,Controle!$H:$H,produtos_escape2!$A1715,Controle!$Z:$Z,"4")</f>
        <v>0</v>
      </c>
      <c r="J1715" s="507">
        <f>SUMIFS(Controle!$R:$R,Controle!$H:$H,produtos_escape2!$A1715,Controle!$Z:$Z,"5")</f>
        <v>0</v>
      </c>
      <c r="K1715" s="507">
        <f>SUMIFS(Controle!$R:$R,Controle!$H:$H,produtos_escape2!$A1715,Controle!$Z:$Z,"6")</f>
        <v>0</v>
      </c>
      <c r="L1715" s="507">
        <f t="shared" si="58"/>
        <v>0</v>
      </c>
      <c r="M1715" s="381" t="s">
        <v>5399</v>
      </c>
    </row>
    <row r="1716" spans="1:13" s="185" customFormat="1" ht="14.25" customHeight="1" thickBot="1">
      <c r="A1716" s="353">
        <v>90354</v>
      </c>
      <c r="B1716" s="194" t="s">
        <v>1511</v>
      </c>
      <c r="C1716" s="339">
        <f t="shared" si="59"/>
        <v>39313.9</v>
      </c>
      <c r="D1716" s="196" t="s">
        <v>548</v>
      </c>
      <c r="E1716" s="187" t="s">
        <v>3608</v>
      </c>
      <c r="F1716" s="507">
        <f>SUMIFS(Controle!$R:$R,Controle!$H:$H,produtos_escape2!$A1716,Controle!$Z:$Z,"1")</f>
        <v>0</v>
      </c>
      <c r="G1716" s="507">
        <f>SUMIFS(Controle!$R:$R,Controle!$H:$H,produtos_escape2!$A1716,Controle!$Z:$Z,"2")</f>
        <v>2793.6</v>
      </c>
      <c r="H1716" s="507">
        <f>SUMIFS(Controle!$R:$R,Controle!$H:$H,produtos_escape2!$A1716,Controle!$Z:$Z,"3")</f>
        <v>2637</v>
      </c>
      <c r="I1716" s="507">
        <f>SUMIFS(Controle!$R:$R,Controle!$H:$H,produtos_escape2!$A1716,Controle!$Z:$Z,"4")</f>
        <v>1260</v>
      </c>
      <c r="J1716" s="507">
        <f>SUMIFS(Controle!$R:$R,Controle!$H:$H,produtos_escape2!$A1716,Controle!$Z:$Z,"5")</f>
        <v>0</v>
      </c>
      <c r="K1716" s="507">
        <f>SUMIFS(Controle!$R:$R,Controle!$H:$H,produtos_escape2!$A1716,Controle!$Z:$Z,"6")</f>
        <v>3995.5</v>
      </c>
      <c r="L1716" s="507">
        <f t="shared" si="58"/>
        <v>10686.1</v>
      </c>
      <c r="M1716" s="381" t="s">
        <v>5400</v>
      </c>
    </row>
    <row r="1717" spans="1:13" s="185" customFormat="1" ht="14.25" customHeight="1" thickBot="1">
      <c r="A1717" s="353">
        <v>90355</v>
      </c>
      <c r="B1717" s="194" t="s">
        <v>2809</v>
      </c>
      <c r="C1717" s="339">
        <f t="shared" si="59"/>
        <v>50000</v>
      </c>
      <c r="D1717" s="196" t="s">
        <v>725</v>
      </c>
      <c r="E1717" s="187" t="s">
        <v>3608</v>
      </c>
      <c r="F1717" s="507">
        <f>SUMIFS(Controle!$R:$R,Controle!$H:$H,produtos_escape2!$A1717,Controle!$Z:$Z,"1")</f>
        <v>0</v>
      </c>
      <c r="G1717" s="507">
        <f>SUMIFS(Controle!$R:$R,Controle!$H:$H,produtos_escape2!$A1717,Controle!$Z:$Z,"2")</f>
        <v>0</v>
      </c>
      <c r="H1717" s="507">
        <f>SUMIFS(Controle!$R:$R,Controle!$H:$H,produtos_escape2!$A1717,Controle!$Z:$Z,"3")</f>
        <v>0</v>
      </c>
      <c r="I1717" s="507">
        <f>SUMIFS(Controle!$R:$R,Controle!$H:$H,produtos_escape2!$A1717,Controle!$Z:$Z,"4")</f>
        <v>0</v>
      </c>
      <c r="J1717" s="507">
        <f>SUMIFS(Controle!$R:$R,Controle!$H:$H,produtos_escape2!$A1717,Controle!$Z:$Z,"5")</f>
        <v>0</v>
      </c>
      <c r="K1717" s="507">
        <f>SUMIFS(Controle!$R:$R,Controle!$H:$H,produtos_escape2!$A1717,Controle!$Z:$Z,"6")</f>
        <v>0</v>
      </c>
      <c r="L1717" s="507">
        <f t="shared" si="58"/>
        <v>0</v>
      </c>
      <c r="M1717" s="381" t="s">
        <v>2809</v>
      </c>
    </row>
    <row r="1718" spans="1:13" s="185" customFormat="1" ht="14.25" customHeight="1" thickBot="1">
      <c r="A1718" s="353">
        <v>90362</v>
      </c>
      <c r="B1718" s="194" t="s">
        <v>1274</v>
      </c>
      <c r="C1718" s="339">
        <f t="shared" si="59"/>
        <v>50000</v>
      </c>
      <c r="D1718" s="196" t="s">
        <v>725</v>
      </c>
      <c r="E1718" s="187" t="s">
        <v>3608</v>
      </c>
      <c r="F1718" s="507">
        <f>SUMIFS(Controle!$R:$R,Controle!$H:$H,produtos_escape2!$A1718,Controle!$Z:$Z,"1")</f>
        <v>0</v>
      </c>
      <c r="G1718" s="507">
        <f>SUMIFS(Controle!$R:$R,Controle!$H:$H,produtos_escape2!$A1718,Controle!$Z:$Z,"2")</f>
        <v>0</v>
      </c>
      <c r="H1718" s="507">
        <f>SUMIFS(Controle!$R:$R,Controle!$H:$H,produtos_escape2!$A1718,Controle!$Z:$Z,"3")</f>
        <v>0</v>
      </c>
      <c r="I1718" s="507">
        <f>SUMIFS(Controle!$R:$R,Controle!$H:$H,produtos_escape2!$A1718,Controle!$Z:$Z,"4")</f>
        <v>0</v>
      </c>
      <c r="J1718" s="507">
        <f>SUMIFS(Controle!$R:$R,Controle!$H:$H,produtos_escape2!$A1718,Controle!$Z:$Z,"5")</f>
        <v>0</v>
      </c>
      <c r="K1718" s="507">
        <f>SUMIFS(Controle!$R:$R,Controle!$H:$H,produtos_escape2!$A1718,Controle!$Z:$Z,"6")</f>
        <v>0</v>
      </c>
      <c r="L1718" s="507">
        <f t="shared" si="58"/>
        <v>0</v>
      </c>
      <c r="M1718" s="381" t="s">
        <v>1274</v>
      </c>
    </row>
    <row r="1719" spans="1:13" s="185" customFormat="1" ht="14.25" customHeight="1" thickBot="1">
      <c r="A1719" s="353">
        <v>90380</v>
      </c>
      <c r="B1719" s="194" t="s">
        <v>1258</v>
      </c>
      <c r="C1719" s="339">
        <f t="shared" si="59"/>
        <v>50000</v>
      </c>
      <c r="D1719" s="196" t="s">
        <v>725</v>
      </c>
      <c r="E1719" s="187" t="s">
        <v>3608</v>
      </c>
      <c r="F1719" s="507">
        <f>SUMIFS(Controle!$R:$R,Controle!$H:$H,produtos_escape2!$A1719,Controle!$Z:$Z,"1")</f>
        <v>0</v>
      </c>
      <c r="G1719" s="507">
        <f>SUMIFS(Controle!$R:$R,Controle!$H:$H,produtos_escape2!$A1719,Controle!$Z:$Z,"2")</f>
        <v>0</v>
      </c>
      <c r="H1719" s="507">
        <f>SUMIFS(Controle!$R:$R,Controle!$H:$H,produtos_escape2!$A1719,Controle!$Z:$Z,"3")</f>
        <v>0</v>
      </c>
      <c r="I1719" s="507">
        <f>SUMIFS(Controle!$R:$R,Controle!$H:$H,produtos_escape2!$A1719,Controle!$Z:$Z,"4")</f>
        <v>0</v>
      </c>
      <c r="J1719" s="507">
        <f>SUMIFS(Controle!$R:$R,Controle!$H:$H,produtos_escape2!$A1719,Controle!$Z:$Z,"5")</f>
        <v>0</v>
      </c>
      <c r="K1719" s="507">
        <f>SUMIFS(Controle!$R:$R,Controle!$H:$H,produtos_escape2!$A1719,Controle!$Z:$Z,"6")</f>
        <v>0</v>
      </c>
      <c r="L1719" s="507">
        <f t="shared" si="58"/>
        <v>0</v>
      </c>
      <c r="M1719" s="381" t="s">
        <v>1258</v>
      </c>
    </row>
    <row r="1720" spans="1:13" s="185" customFormat="1" ht="14.25" customHeight="1" thickBot="1">
      <c r="A1720" s="353">
        <v>90381</v>
      </c>
      <c r="B1720" s="194" t="s">
        <v>978</v>
      </c>
      <c r="C1720" s="339">
        <f t="shared" si="59"/>
        <v>50000</v>
      </c>
      <c r="D1720" s="196" t="s">
        <v>547</v>
      </c>
      <c r="E1720" s="187" t="s">
        <v>3608</v>
      </c>
      <c r="F1720" s="507">
        <f>SUMIFS(Controle!$R:$R,Controle!$H:$H,produtos_escape2!$A1720,Controle!$Z:$Z,"1")</f>
        <v>0</v>
      </c>
      <c r="G1720" s="507">
        <f>SUMIFS(Controle!$R:$R,Controle!$H:$H,produtos_escape2!$A1720,Controle!$Z:$Z,"2")</f>
        <v>0</v>
      </c>
      <c r="H1720" s="507">
        <f>SUMIFS(Controle!$R:$R,Controle!$H:$H,produtos_escape2!$A1720,Controle!$Z:$Z,"3")</f>
        <v>0</v>
      </c>
      <c r="I1720" s="507">
        <f>SUMIFS(Controle!$R:$R,Controle!$H:$H,produtos_escape2!$A1720,Controle!$Z:$Z,"4")</f>
        <v>0</v>
      </c>
      <c r="J1720" s="507">
        <f>SUMIFS(Controle!$R:$R,Controle!$H:$H,produtos_escape2!$A1720,Controle!$Z:$Z,"5")</f>
        <v>0</v>
      </c>
      <c r="K1720" s="507">
        <f>SUMIFS(Controle!$R:$R,Controle!$H:$H,produtos_escape2!$A1720,Controle!$Z:$Z,"6")</f>
        <v>0</v>
      </c>
      <c r="L1720" s="507">
        <f t="shared" si="58"/>
        <v>0</v>
      </c>
      <c r="M1720" s="381" t="s">
        <v>978</v>
      </c>
    </row>
    <row r="1721" spans="1:13" s="185" customFormat="1" ht="14.25" customHeight="1" thickBot="1">
      <c r="A1721" s="333">
        <v>90389</v>
      </c>
      <c r="B1721" s="194" t="s">
        <v>125</v>
      </c>
      <c r="C1721" s="339">
        <f t="shared" si="59"/>
        <v>50000</v>
      </c>
      <c r="D1721" s="196"/>
      <c r="E1721" s="187"/>
      <c r="F1721" s="507">
        <f>SUMIFS(Controle!$R:$R,Controle!$H:$H,produtos_escape2!$A1721,Controle!$Z:$Z,"1")</f>
        <v>0</v>
      </c>
      <c r="G1721" s="507">
        <f>SUMIFS(Controle!$R:$R,Controle!$H:$H,produtos_escape2!$A1721,Controle!$Z:$Z,"2")</f>
        <v>0</v>
      </c>
      <c r="H1721" s="507">
        <f>SUMIFS(Controle!$R:$R,Controle!$H:$H,produtos_escape2!$A1721,Controle!$Z:$Z,"3")</f>
        <v>0</v>
      </c>
      <c r="I1721" s="507">
        <f>SUMIFS(Controle!$R:$R,Controle!$H:$H,produtos_escape2!$A1721,Controle!$Z:$Z,"4")</f>
        <v>0</v>
      </c>
      <c r="J1721" s="507">
        <f>SUMIFS(Controle!$R:$R,Controle!$H:$H,produtos_escape2!$A1721,Controle!$Z:$Z,"5")</f>
        <v>0</v>
      </c>
      <c r="K1721" s="507">
        <f>SUMIFS(Controle!$R:$R,Controle!$H:$H,produtos_escape2!$A1721,Controle!$Z:$Z,"6")</f>
        <v>0</v>
      </c>
      <c r="L1721" s="507">
        <f t="shared" si="58"/>
        <v>0</v>
      </c>
      <c r="M1721" s="381" t="s">
        <v>5713</v>
      </c>
    </row>
    <row r="1722" spans="1:13" s="185" customFormat="1" ht="14.25" customHeight="1" thickBot="1">
      <c r="A1722" s="353">
        <v>90390</v>
      </c>
      <c r="B1722" s="338" t="s">
        <v>1431</v>
      </c>
      <c r="C1722" s="339">
        <f t="shared" si="59"/>
        <v>50000</v>
      </c>
      <c r="D1722" s="196" t="s">
        <v>624</v>
      </c>
      <c r="E1722" s="187" t="s">
        <v>3608</v>
      </c>
      <c r="F1722" s="507">
        <f>SUMIFS(Controle!$R:$R,Controle!$H:$H,produtos_escape2!$A1722,Controle!$Z:$Z,"1")</f>
        <v>0</v>
      </c>
      <c r="G1722" s="507">
        <f>SUMIFS(Controle!$R:$R,Controle!$H:$H,produtos_escape2!$A1722,Controle!$Z:$Z,"2")</f>
        <v>0</v>
      </c>
      <c r="H1722" s="507">
        <f>SUMIFS(Controle!$R:$R,Controle!$H:$H,produtos_escape2!$A1722,Controle!$Z:$Z,"3")</f>
        <v>0</v>
      </c>
      <c r="I1722" s="507">
        <f>SUMIFS(Controle!$R:$R,Controle!$H:$H,produtos_escape2!$A1722,Controle!$Z:$Z,"4")</f>
        <v>0</v>
      </c>
      <c r="J1722" s="507">
        <f>SUMIFS(Controle!$R:$R,Controle!$H:$H,produtos_escape2!$A1722,Controle!$Z:$Z,"5")</f>
        <v>0</v>
      </c>
      <c r="K1722" s="507">
        <f>SUMIFS(Controle!$R:$R,Controle!$H:$H,produtos_escape2!$A1722,Controle!$Z:$Z,"6")</f>
        <v>0</v>
      </c>
      <c r="L1722" s="507">
        <f t="shared" si="58"/>
        <v>0</v>
      </c>
      <c r="M1722" s="381" t="s">
        <v>1431</v>
      </c>
    </row>
    <row r="1723" spans="1:13" s="185" customFormat="1" ht="14.25" customHeight="1" thickBot="1">
      <c r="A1723" s="353">
        <v>90391</v>
      </c>
      <c r="B1723" s="194" t="s">
        <v>1545</v>
      </c>
      <c r="C1723" s="339">
        <f t="shared" si="59"/>
        <v>50000</v>
      </c>
      <c r="D1723" s="196" t="s">
        <v>725</v>
      </c>
      <c r="E1723" s="187" t="s">
        <v>3608</v>
      </c>
      <c r="F1723" s="507">
        <f>SUMIFS(Controle!$R:$R,Controle!$H:$H,produtos_escape2!$A1723,Controle!$Z:$Z,"1")</f>
        <v>0</v>
      </c>
      <c r="G1723" s="507">
        <f>SUMIFS(Controle!$R:$R,Controle!$H:$H,produtos_escape2!$A1723,Controle!$Z:$Z,"2")</f>
        <v>0</v>
      </c>
      <c r="H1723" s="507">
        <f>SUMIFS(Controle!$R:$R,Controle!$H:$H,produtos_escape2!$A1723,Controle!$Z:$Z,"3")</f>
        <v>0</v>
      </c>
      <c r="I1723" s="507">
        <f>SUMIFS(Controle!$R:$R,Controle!$H:$H,produtos_escape2!$A1723,Controle!$Z:$Z,"4")</f>
        <v>0</v>
      </c>
      <c r="J1723" s="507">
        <f>SUMIFS(Controle!$R:$R,Controle!$H:$H,produtos_escape2!$A1723,Controle!$Z:$Z,"5")</f>
        <v>0</v>
      </c>
      <c r="K1723" s="507">
        <f>SUMIFS(Controle!$R:$R,Controle!$H:$H,produtos_escape2!$A1723,Controle!$Z:$Z,"6")</f>
        <v>0</v>
      </c>
      <c r="L1723" s="507">
        <f t="shared" si="58"/>
        <v>0</v>
      </c>
      <c r="M1723" s="381" t="s">
        <v>1545</v>
      </c>
    </row>
    <row r="1724" spans="1:13" s="185" customFormat="1" ht="14.25" customHeight="1" thickBot="1">
      <c r="A1724" s="353">
        <v>90393</v>
      </c>
      <c r="B1724" s="194" t="s">
        <v>1730</v>
      </c>
      <c r="C1724" s="339">
        <f t="shared" si="59"/>
        <v>50000</v>
      </c>
      <c r="D1724" s="196" t="s">
        <v>725</v>
      </c>
      <c r="E1724" s="187" t="s">
        <v>3608</v>
      </c>
      <c r="F1724" s="507">
        <f>SUMIFS(Controle!$R:$R,Controle!$H:$H,produtos_escape2!$A1724,Controle!$Z:$Z,"1")</f>
        <v>0</v>
      </c>
      <c r="G1724" s="507">
        <f>SUMIFS(Controle!$R:$R,Controle!$H:$H,produtos_escape2!$A1724,Controle!$Z:$Z,"2")</f>
        <v>0</v>
      </c>
      <c r="H1724" s="507">
        <f>SUMIFS(Controle!$R:$R,Controle!$H:$H,produtos_escape2!$A1724,Controle!$Z:$Z,"3")</f>
        <v>0</v>
      </c>
      <c r="I1724" s="507">
        <f>SUMIFS(Controle!$R:$R,Controle!$H:$H,produtos_escape2!$A1724,Controle!$Z:$Z,"4")</f>
        <v>0</v>
      </c>
      <c r="J1724" s="507">
        <f>SUMIFS(Controle!$R:$R,Controle!$H:$H,produtos_escape2!$A1724,Controle!$Z:$Z,"5")</f>
        <v>0</v>
      </c>
      <c r="K1724" s="507">
        <f>SUMIFS(Controle!$R:$R,Controle!$H:$H,produtos_escape2!$A1724,Controle!$Z:$Z,"6")</f>
        <v>0</v>
      </c>
      <c r="L1724" s="507">
        <f t="shared" si="58"/>
        <v>0</v>
      </c>
      <c r="M1724" s="381" t="s">
        <v>1730</v>
      </c>
    </row>
    <row r="1725" spans="1:13" s="185" customFormat="1" ht="14.25" customHeight="1" thickBot="1">
      <c r="A1725" s="353">
        <v>90411</v>
      </c>
      <c r="B1725" s="194" t="s">
        <v>230</v>
      </c>
      <c r="C1725" s="339">
        <f t="shared" si="59"/>
        <v>50000</v>
      </c>
      <c r="D1725" s="196"/>
      <c r="E1725" s="187" t="s">
        <v>3608</v>
      </c>
      <c r="F1725" s="507">
        <f>SUMIFS(Controle!$R:$R,Controle!$H:$H,produtos_escape2!$A1725,Controle!$Z:$Z,"1")</f>
        <v>0</v>
      </c>
      <c r="G1725" s="507">
        <f>SUMIFS(Controle!$R:$R,Controle!$H:$H,produtos_escape2!$A1725,Controle!$Z:$Z,"2")</f>
        <v>0</v>
      </c>
      <c r="H1725" s="507">
        <f>SUMIFS(Controle!$R:$R,Controle!$H:$H,produtos_escape2!$A1725,Controle!$Z:$Z,"3")</f>
        <v>0</v>
      </c>
      <c r="I1725" s="507">
        <f>SUMIFS(Controle!$R:$R,Controle!$H:$H,produtos_escape2!$A1725,Controle!$Z:$Z,"4")</f>
        <v>0</v>
      </c>
      <c r="J1725" s="507">
        <f>SUMIFS(Controle!$R:$R,Controle!$H:$H,produtos_escape2!$A1725,Controle!$Z:$Z,"5")</f>
        <v>0</v>
      </c>
      <c r="K1725" s="507">
        <f>SUMIFS(Controle!$R:$R,Controle!$H:$H,produtos_escape2!$A1725,Controle!$Z:$Z,"6")</f>
        <v>0</v>
      </c>
      <c r="L1725" s="507">
        <f t="shared" si="58"/>
        <v>0</v>
      </c>
      <c r="M1725" s="381" t="s">
        <v>230</v>
      </c>
    </row>
    <row r="1726" spans="1:13" s="185" customFormat="1" ht="14.25" customHeight="1" thickBot="1">
      <c r="A1726" s="353">
        <v>90413</v>
      </c>
      <c r="B1726" s="194" t="s">
        <v>1375</v>
      </c>
      <c r="C1726" s="339">
        <f t="shared" si="59"/>
        <v>46416</v>
      </c>
      <c r="D1726" s="196" t="s">
        <v>624</v>
      </c>
      <c r="E1726" s="187" t="s">
        <v>3608</v>
      </c>
      <c r="F1726" s="507">
        <f>SUMIFS(Controle!$R:$R,Controle!$H:$H,produtos_escape2!$A1726,Controle!$Z:$Z,"1")</f>
        <v>0</v>
      </c>
      <c r="G1726" s="507">
        <f>SUMIFS(Controle!$R:$R,Controle!$H:$H,produtos_escape2!$A1726,Controle!$Z:$Z,"2")</f>
        <v>0</v>
      </c>
      <c r="H1726" s="507">
        <f>SUMIFS(Controle!$R:$R,Controle!$H:$H,produtos_escape2!$A1726,Controle!$Z:$Z,"3")</f>
        <v>980</v>
      </c>
      <c r="I1726" s="507">
        <f>SUMIFS(Controle!$R:$R,Controle!$H:$H,produtos_escape2!$A1726,Controle!$Z:$Z,"4")</f>
        <v>0</v>
      </c>
      <c r="J1726" s="507">
        <f>SUMIFS(Controle!$R:$R,Controle!$H:$H,produtos_escape2!$A1726,Controle!$Z:$Z,"5")</f>
        <v>0</v>
      </c>
      <c r="K1726" s="507">
        <f>SUMIFS(Controle!$R:$R,Controle!$H:$H,produtos_escape2!$A1726,Controle!$Z:$Z,"6")</f>
        <v>2604</v>
      </c>
      <c r="L1726" s="507">
        <f t="shared" si="58"/>
        <v>3584</v>
      </c>
      <c r="M1726" s="381" t="s">
        <v>5714</v>
      </c>
    </row>
    <row r="1727" spans="1:13" s="185" customFormat="1" ht="14.25" customHeight="1" thickBot="1">
      <c r="A1727" s="353">
        <v>90421</v>
      </c>
      <c r="B1727" s="194" t="s">
        <v>284</v>
      </c>
      <c r="C1727" s="339">
        <f t="shared" si="59"/>
        <v>50000</v>
      </c>
      <c r="D1727" s="196" t="s">
        <v>725</v>
      </c>
      <c r="E1727" s="187" t="s">
        <v>3608</v>
      </c>
      <c r="F1727" s="507">
        <f>SUMIFS(Controle!$R:$R,Controle!$H:$H,produtos_escape2!$A1727,Controle!$Z:$Z,"1")</f>
        <v>0</v>
      </c>
      <c r="G1727" s="507">
        <f>SUMIFS(Controle!$R:$R,Controle!$H:$H,produtos_escape2!$A1727,Controle!$Z:$Z,"2")</f>
        <v>0</v>
      </c>
      <c r="H1727" s="507">
        <f>SUMIFS(Controle!$R:$R,Controle!$H:$H,produtos_escape2!$A1727,Controle!$Z:$Z,"3")</f>
        <v>0</v>
      </c>
      <c r="I1727" s="507">
        <f>SUMIFS(Controle!$R:$R,Controle!$H:$H,produtos_escape2!$A1727,Controle!$Z:$Z,"4")</f>
        <v>0</v>
      </c>
      <c r="J1727" s="507">
        <f>SUMIFS(Controle!$R:$R,Controle!$H:$H,produtos_escape2!$A1727,Controle!$Z:$Z,"5")</f>
        <v>0</v>
      </c>
      <c r="K1727" s="507">
        <f>SUMIFS(Controle!$R:$R,Controle!$H:$H,produtos_escape2!$A1727,Controle!$Z:$Z,"6")</f>
        <v>0</v>
      </c>
      <c r="L1727" s="507">
        <f t="shared" ref="L1727:L1790" si="61">SUM(F1727:K1727)</f>
        <v>0</v>
      </c>
      <c r="M1727" s="381" t="s">
        <v>284</v>
      </c>
    </row>
    <row r="1728" spans="1:13" s="185" customFormat="1" ht="14.25" customHeight="1" thickBot="1">
      <c r="A1728" s="353">
        <v>90422</v>
      </c>
      <c r="B1728" s="194" t="s">
        <v>1245</v>
      </c>
      <c r="C1728" s="339">
        <f t="shared" si="59"/>
        <v>50000</v>
      </c>
      <c r="D1728" s="196" t="s">
        <v>725</v>
      </c>
      <c r="E1728" s="187" t="s">
        <v>3608</v>
      </c>
      <c r="F1728" s="507">
        <f>SUMIFS(Controle!$R:$R,Controle!$H:$H,produtos_escape2!$A1728,Controle!$Z:$Z,"1")</f>
        <v>0</v>
      </c>
      <c r="G1728" s="507">
        <f>SUMIFS(Controle!$R:$R,Controle!$H:$H,produtos_escape2!$A1728,Controle!$Z:$Z,"2")</f>
        <v>0</v>
      </c>
      <c r="H1728" s="507">
        <f>SUMIFS(Controle!$R:$R,Controle!$H:$H,produtos_escape2!$A1728,Controle!$Z:$Z,"3")</f>
        <v>0</v>
      </c>
      <c r="I1728" s="507">
        <f>SUMIFS(Controle!$R:$R,Controle!$H:$H,produtos_escape2!$A1728,Controle!$Z:$Z,"4")</f>
        <v>0</v>
      </c>
      <c r="J1728" s="507">
        <f>SUMIFS(Controle!$R:$R,Controle!$H:$H,produtos_escape2!$A1728,Controle!$Z:$Z,"5")</f>
        <v>0</v>
      </c>
      <c r="K1728" s="507">
        <f>SUMIFS(Controle!$R:$R,Controle!$H:$H,produtos_escape2!$A1728,Controle!$Z:$Z,"6")</f>
        <v>0</v>
      </c>
      <c r="L1728" s="507">
        <f t="shared" si="61"/>
        <v>0</v>
      </c>
      <c r="M1728" s="381" t="s">
        <v>1245</v>
      </c>
    </row>
    <row r="1729" spans="1:13" s="185" customFormat="1" ht="14.25" customHeight="1" thickBot="1">
      <c r="A1729" s="333">
        <v>90423</v>
      </c>
      <c r="B1729" s="194" t="s">
        <v>520</v>
      </c>
      <c r="C1729" s="339">
        <f t="shared" si="59"/>
        <v>50000</v>
      </c>
      <c r="D1729" s="196" t="s">
        <v>725</v>
      </c>
      <c r="E1729" s="187" t="s">
        <v>3608</v>
      </c>
      <c r="F1729" s="507">
        <f>SUMIFS(Controle!$R:$R,Controle!$H:$H,produtos_escape2!$A1729,Controle!$Z:$Z,"1")</f>
        <v>0</v>
      </c>
      <c r="G1729" s="507">
        <f>SUMIFS(Controle!$R:$R,Controle!$H:$H,produtos_escape2!$A1729,Controle!$Z:$Z,"2")</f>
        <v>0</v>
      </c>
      <c r="H1729" s="507">
        <f>SUMIFS(Controle!$R:$R,Controle!$H:$H,produtos_escape2!$A1729,Controle!$Z:$Z,"3")</f>
        <v>0</v>
      </c>
      <c r="I1729" s="507">
        <f>SUMIFS(Controle!$R:$R,Controle!$H:$H,produtos_escape2!$A1729,Controle!$Z:$Z,"4")</f>
        <v>0</v>
      </c>
      <c r="J1729" s="507">
        <f>SUMIFS(Controle!$R:$R,Controle!$H:$H,produtos_escape2!$A1729,Controle!$Z:$Z,"5")</f>
        <v>0</v>
      </c>
      <c r="K1729" s="507">
        <f>SUMIFS(Controle!$R:$R,Controle!$H:$H,produtos_escape2!$A1729,Controle!$Z:$Z,"6")</f>
        <v>0</v>
      </c>
      <c r="L1729" s="507">
        <f t="shared" si="61"/>
        <v>0</v>
      </c>
      <c r="M1729" s="381" t="s">
        <v>5401</v>
      </c>
    </row>
    <row r="1730" spans="1:13" s="185" customFormat="1" ht="14.25" customHeight="1" thickBot="1">
      <c r="A1730" s="353">
        <v>90424</v>
      </c>
      <c r="B1730" s="338" t="s">
        <v>2767</v>
      </c>
      <c r="C1730" s="339">
        <f t="shared" si="59"/>
        <v>50000</v>
      </c>
      <c r="D1730" s="196" t="s">
        <v>624</v>
      </c>
      <c r="E1730" s="187" t="s">
        <v>3608</v>
      </c>
      <c r="F1730" s="507">
        <f>SUMIFS(Controle!$R:$R,Controle!$H:$H,produtos_escape2!$A1730,Controle!$Z:$Z,"1")</f>
        <v>0</v>
      </c>
      <c r="G1730" s="507">
        <f>SUMIFS(Controle!$R:$R,Controle!$H:$H,produtos_escape2!$A1730,Controle!$Z:$Z,"2")</f>
        <v>0</v>
      </c>
      <c r="H1730" s="507">
        <f>SUMIFS(Controle!$R:$R,Controle!$H:$H,produtos_escape2!$A1730,Controle!$Z:$Z,"3")</f>
        <v>0</v>
      </c>
      <c r="I1730" s="507">
        <f>SUMIFS(Controle!$R:$R,Controle!$H:$H,produtos_escape2!$A1730,Controle!$Z:$Z,"4")</f>
        <v>0</v>
      </c>
      <c r="J1730" s="507">
        <f>SUMIFS(Controle!$R:$R,Controle!$H:$H,produtos_escape2!$A1730,Controle!$Z:$Z,"5")</f>
        <v>0</v>
      </c>
      <c r="K1730" s="507">
        <f>SUMIFS(Controle!$R:$R,Controle!$H:$H,produtos_escape2!$A1730,Controle!$Z:$Z,"6")</f>
        <v>0</v>
      </c>
      <c r="L1730" s="507">
        <f t="shared" si="61"/>
        <v>0</v>
      </c>
      <c r="M1730" s="381" t="s">
        <v>2767</v>
      </c>
    </row>
    <row r="1731" spans="1:13" s="185" customFormat="1" ht="14.25" customHeight="1" thickBot="1">
      <c r="A1731" s="353">
        <v>90425</v>
      </c>
      <c r="B1731" s="194" t="s">
        <v>2768</v>
      </c>
      <c r="C1731" s="339">
        <f t="shared" si="59"/>
        <v>50000</v>
      </c>
      <c r="D1731" s="196" t="s">
        <v>624</v>
      </c>
      <c r="E1731" s="187" t="s">
        <v>3608</v>
      </c>
      <c r="F1731" s="507">
        <f>SUMIFS(Controle!$R:$R,Controle!$H:$H,produtos_escape2!$A1731,Controle!$Z:$Z,"1")</f>
        <v>0</v>
      </c>
      <c r="G1731" s="507">
        <f>SUMIFS(Controle!$R:$R,Controle!$H:$H,produtos_escape2!$A1731,Controle!$Z:$Z,"2")</f>
        <v>0</v>
      </c>
      <c r="H1731" s="507">
        <f>SUMIFS(Controle!$R:$R,Controle!$H:$H,produtos_escape2!$A1731,Controle!$Z:$Z,"3")</f>
        <v>0</v>
      </c>
      <c r="I1731" s="507">
        <f>SUMIFS(Controle!$R:$R,Controle!$H:$H,produtos_escape2!$A1731,Controle!$Z:$Z,"4")</f>
        <v>0</v>
      </c>
      <c r="J1731" s="507">
        <f>SUMIFS(Controle!$R:$R,Controle!$H:$H,produtos_escape2!$A1731,Controle!$Z:$Z,"5")</f>
        <v>0</v>
      </c>
      <c r="K1731" s="507">
        <f>SUMIFS(Controle!$R:$R,Controle!$H:$H,produtos_escape2!$A1731,Controle!$Z:$Z,"6")</f>
        <v>0</v>
      </c>
      <c r="L1731" s="507">
        <f t="shared" si="61"/>
        <v>0</v>
      </c>
      <c r="M1731" s="381" t="s">
        <v>5402</v>
      </c>
    </row>
    <row r="1732" spans="1:13" s="185" customFormat="1" ht="14.25" customHeight="1" thickBot="1">
      <c r="A1732" s="353">
        <v>90426</v>
      </c>
      <c r="B1732" s="194" t="s">
        <v>227</v>
      </c>
      <c r="C1732" s="339">
        <f t="shared" si="59"/>
        <v>32618</v>
      </c>
      <c r="D1732" s="196" t="s">
        <v>624</v>
      </c>
      <c r="E1732" s="187" t="s">
        <v>3608</v>
      </c>
      <c r="F1732" s="507">
        <f>SUMIFS(Controle!$R:$R,Controle!$H:$H,produtos_escape2!$A1732,Controle!$Z:$Z,"1")</f>
        <v>0</v>
      </c>
      <c r="G1732" s="507">
        <f>SUMIFS(Controle!$R:$R,Controle!$H:$H,produtos_escape2!$A1732,Controle!$Z:$Z,"2")</f>
        <v>0</v>
      </c>
      <c r="H1732" s="507">
        <f>SUMIFS(Controle!$R:$R,Controle!$H:$H,produtos_escape2!$A1732,Controle!$Z:$Z,"3")</f>
        <v>0</v>
      </c>
      <c r="I1732" s="507">
        <f>SUMIFS(Controle!$R:$R,Controle!$H:$H,produtos_escape2!$A1732,Controle!$Z:$Z,"4")</f>
        <v>0</v>
      </c>
      <c r="J1732" s="507">
        <f>SUMIFS(Controle!$R:$R,Controle!$H:$H,produtos_escape2!$A1732,Controle!$Z:$Z,"5")</f>
        <v>0</v>
      </c>
      <c r="K1732" s="507">
        <f>SUMIFS(Controle!$R:$R,Controle!$H:$H,produtos_escape2!$A1732,Controle!$Z:$Z,"6")</f>
        <v>17382</v>
      </c>
      <c r="L1732" s="507">
        <f t="shared" si="61"/>
        <v>17382</v>
      </c>
      <c r="M1732" s="381" t="s">
        <v>5403</v>
      </c>
    </row>
    <row r="1733" spans="1:13" s="185" customFormat="1" ht="14.25" customHeight="1" thickBot="1">
      <c r="A1733" s="353">
        <v>90427</v>
      </c>
      <c r="B1733" s="194" t="s">
        <v>226</v>
      </c>
      <c r="C1733" s="339">
        <f t="shared" si="59"/>
        <v>50000</v>
      </c>
      <c r="D1733" s="196" t="s">
        <v>624</v>
      </c>
      <c r="E1733" s="187" t="s">
        <v>3608</v>
      </c>
      <c r="F1733" s="507">
        <f>SUMIFS(Controle!$R:$R,Controle!$H:$H,produtos_escape2!$A1733,Controle!$Z:$Z,"1")</f>
        <v>0</v>
      </c>
      <c r="G1733" s="507">
        <f>SUMIFS(Controle!$R:$R,Controle!$H:$H,produtos_escape2!$A1733,Controle!$Z:$Z,"2")</f>
        <v>0</v>
      </c>
      <c r="H1733" s="507">
        <f>SUMIFS(Controle!$R:$R,Controle!$H:$H,produtos_escape2!$A1733,Controle!$Z:$Z,"3")</f>
        <v>0</v>
      </c>
      <c r="I1733" s="507">
        <f>SUMIFS(Controle!$R:$R,Controle!$H:$H,produtos_escape2!$A1733,Controle!$Z:$Z,"4")</f>
        <v>0</v>
      </c>
      <c r="J1733" s="507">
        <f>SUMIFS(Controle!$R:$R,Controle!$H:$H,produtos_escape2!$A1733,Controle!$Z:$Z,"5")</f>
        <v>0</v>
      </c>
      <c r="K1733" s="507">
        <f>SUMIFS(Controle!$R:$R,Controle!$H:$H,produtos_escape2!$A1733,Controle!$Z:$Z,"6")</f>
        <v>0</v>
      </c>
      <c r="L1733" s="507">
        <f t="shared" si="61"/>
        <v>0</v>
      </c>
      <c r="M1733" s="381" t="s">
        <v>5404</v>
      </c>
    </row>
    <row r="1734" spans="1:13" s="185" customFormat="1" ht="14.25" customHeight="1" thickBot="1">
      <c r="A1734" s="353">
        <v>90428</v>
      </c>
      <c r="B1734" s="194" t="s">
        <v>538</v>
      </c>
      <c r="C1734" s="339">
        <f t="shared" si="59"/>
        <v>50000</v>
      </c>
      <c r="D1734" s="196" t="s">
        <v>624</v>
      </c>
      <c r="E1734" s="187" t="s">
        <v>3608</v>
      </c>
      <c r="F1734" s="507">
        <f>SUMIFS(Controle!$R:$R,Controle!$H:$H,produtos_escape2!$A1734,Controle!$Z:$Z,"1")</f>
        <v>0</v>
      </c>
      <c r="G1734" s="507">
        <f>SUMIFS(Controle!$R:$R,Controle!$H:$H,produtos_escape2!$A1734,Controle!$Z:$Z,"2")</f>
        <v>0</v>
      </c>
      <c r="H1734" s="507">
        <f>SUMIFS(Controle!$R:$R,Controle!$H:$H,produtos_escape2!$A1734,Controle!$Z:$Z,"3")</f>
        <v>0</v>
      </c>
      <c r="I1734" s="507">
        <f>SUMIFS(Controle!$R:$R,Controle!$H:$H,produtos_escape2!$A1734,Controle!$Z:$Z,"4")</f>
        <v>0</v>
      </c>
      <c r="J1734" s="507">
        <f>SUMIFS(Controle!$R:$R,Controle!$H:$H,produtos_escape2!$A1734,Controle!$Z:$Z,"5")</f>
        <v>0</v>
      </c>
      <c r="K1734" s="507">
        <f>SUMIFS(Controle!$R:$R,Controle!$H:$H,produtos_escape2!$A1734,Controle!$Z:$Z,"6")</f>
        <v>0</v>
      </c>
      <c r="L1734" s="507">
        <f t="shared" si="61"/>
        <v>0</v>
      </c>
      <c r="M1734" s="381" t="s">
        <v>5405</v>
      </c>
    </row>
    <row r="1735" spans="1:13" s="185" customFormat="1" ht="14.25" customHeight="1" thickBot="1">
      <c r="A1735" s="353">
        <v>90440</v>
      </c>
      <c r="B1735" s="194" t="s">
        <v>386</v>
      </c>
      <c r="C1735" s="339">
        <f t="shared" si="59"/>
        <v>50000</v>
      </c>
      <c r="D1735" s="196" t="s">
        <v>624</v>
      </c>
      <c r="E1735" s="187" t="s">
        <v>3608</v>
      </c>
      <c r="F1735" s="507">
        <f>SUMIFS(Controle!$R:$R,Controle!$H:$H,produtos_escape2!$A1735,Controle!$Z:$Z,"1")</f>
        <v>0</v>
      </c>
      <c r="G1735" s="507">
        <f>SUMIFS(Controle!$R:$R,Controle!$H:$H,produtos_escape2!$A1735,Controle!$Z:$Z,"2")</f>
        <v>0</v>
      </c>
      <c r="H1735" s="507">
        <f>SUMIFS(Controle!$R:$R,Controle!$H:$H,produtos_escape2!$A1735,Controle!$Z:$Z,"3")</f>
        <v>0</v>
      </c>
      <c r="I1735" s="507">
        <f>SUMIFS(Controle!$R:$R,Controle!$H:$H,produtos_escape2!$A1735,Controle!$Z:$Z,"4")</f>
        <v>0</v>
      </c>
      <c r="J1735" s="507">
        <f>SUMIFS(Controle!$R:$R,Controle!$H:$H,produtos_escape2!$A1735,Controle!$Z:$Z,"5")</f>
        <v>0</v>
      </c>
      <c r="K1735" s="507">
        <f>SUMIFS(Controle!$R:$R,Controle!$H:$H,produtos_escape2!$A1735,Controle!$Z:$Z,"6")</f>
        <v>0</v>
      </c>
      <c r="L1735" s="507">
        <f t="shared" si="61"/>
        <v>0</v>
      </c>
      <c r="M1735" s="381" t="s">
        <v>5406</v>
      </c>
    </row>
    <row r="1736" spans="1:13" s="185" customFormat="1" ht="14.25" customHeight="1" thickBot="1">
      <c r="A1736" s="353">
        <v>90456</v>
      </c>
      <c r="B1736" s="194" t="s">
        <v>1523</v>
      </c>
      <c r="C1736" s="339">
        <f t="shared" si="59"/>
        <v>50000</v>
      </c>
      <c r="D1736" s="196" t="s">
        <v>547</v>
      </c>
      <c r="E1736" s="187" t="s">
        <v>3608</v>
      </c>
      <c r="F1736" s="507">
        <f>SUMIFS(Controle!$R:$R,Controle!$H:$H,produtos_escape2!$A1736,Controle!$Z:$Z,"1")</f>
        <v>0</v>
      </c>
      <c r="G1736" s="507">
        <f>SUMIFS(Controle!$R:$R,Controle!$H:$H,produtos_escape2!$A1736,Controle!$Z:$Z,"2")</f>
        <v>0</v>
      </c>
      <c r="H1736" s="507">
        <f>SUMIFS(Controle!$R:$R,Controle!$H:$H,produtos_escape2!$A1736,Controle!$Z:$Z,"3")</f>
        <v>0</v>
      </c>
      <c r="I1736" s="507">
        <f>SUMIFS(Controle!$R:$R,Controle!$H:$H,produtos_escape2!$A1736,Controle!$Z:$Z,"4")</f>
        <v>0</v>
      </c>
      <c r="J1736" s="507">
        <f>SUMIFS(Controle!$R:$R,Controle!$H:$H,produtos_escape2!$A1736,Controle!$Z:$Z,"5")</f>
        <v>0</v>
      </c>
      <c r="K1736" s="507">
        <f>SUMIFS(Controle!$R:$R,Controle!$H:$H,produtos_escape2!$A1736,Controle!$Z:$Z,"6")</f>
        <v>0</v>
      </c>
      <c r="L1736" s="507">
        <f t="shared" si="61"/>
        <v>0</v>
      </c>
      <c r="M1736" s="381" t="s">
        <v>5407</v>
      </c>
    </row>
    <row r="1737" spans="1:13" s="185" customFormat="1" ht="14.25" customHeight="1" thickBot="1">
      <c r="A1737" s="333">
        <v>90457</v>
      </c>
      <c r="B1737" s="194" t="s">
        <v>1229</v>
      </c>
      <c r="C1737" s="339">
        <f t="shared" ref="C1737:C1800" si="62">50000-SUM(F1737:K1737)</f>
        <v>50000</v>
      </c>
      <c r="D1737" s="196" t="s">
        <v>547</v>
      </c>
      <c r="E1737" s="187" t="s">
        <v>3608</v>
      </c>
      <c r="F1737" s="507">
        <f>SUMIFS(Controle!$R:$R,Controle!$H:$H,produtos_escape2!$A1737,Controle!$Z:$Z,"1")</f>
        <v>0</v>
      </c>
      <c r="G1737" s="507">
        <f>SUMIFS(Controle!$R:$R,Controle!$H:$H,produtos_escape2!$A1737,Controle!$Z:$Z,"2")</f>
        <v>0</v>
      </c>
      <c r="H1737" s="507">
        <f>SUMIFS(Controle!$R:$R,Controle!$H:$H,produtos_escape2!$A1737,Controle!$Z:$Z,"3")</f>
        <v>0</v>
      </c>
      <c r="I1737" s="507">
        <f>SUMIFS(Controle!$R:$R,Controle!$H:$H,produtos_escape2!$A1737,Controle!$Z:$Z,"4")</f>
        <v>0</v>
      </c>
      <c r="J1737" s="507">
        <f>SUMIFS(Controle!$R:$R,Controle!$H:$H,produtos_escape2!$A1737,Controle!$Z:$Z,"5")</f>
        <v>0</v>
      </c>
      <c r="K1737" s="507">
        <f>SUMIFS(Controle!$R:$R,Controle!$H:$H,produtos_escape2!$A1737,Controle!$Z:$Z,"6")</f>
        <v>0</v>
      </c>
      <c r="L1737" s="507">
        <f t="shared" si="61"/>
        <v>0</v>
      </c>
      <c r="M1737" s="381" t="s">
        <v>1229</v>
      </c>
    </row>
    <row r="1738" spans="1:13" s="185" customFormat="1" ht="14.25" customHeight="1" thickBot="1">
      <c r="A1738" s="353">
        <v>90458</v>
      </c>
      <c r="B1738" s="338" t="s">
        <v>594</v>
      </c>
      <c r="C1738" s="339">
        <f t="shared" si="62"/>
        <v>27002</v>
      </c>
      <c r="D1738" s="196" t="s">
        <v>549</v>
      </c>
      <c r="E1738" s="187" t="s">
        <v>3608</v>
      </c>
      <c r="F1738" s="507">
        <f>SUMIFS(Controle!$R:$R,Controle!$H:$H,produtos_escape2!$A1738,Controle!$Z:$Z,"1")</f>
        <v>0</v>
      </c>
      <c r="G1738" s="507">
        <f>SUMIFS(Controle!$R:$R,Controle!$H:$H,produtos_escape2!$A1738,Controle!$Z:$Z,"2")</f>
        <v>0</v>
      </c>
      <c r="H1738" s="507">
        <f>SUMIFS(Controle!$R:$R,Controle!$H:$H,produtos_escape2!$A1738,Controle!$Z:$Z,"3")</f>
        <v>0</v>
      </c>
      <c r="I1738" s="507">
        <f>SUMIFS(Controle!$R:$R,Controle!$H:$H,produtos_escape2!$A1738,Controle!$Z:$Z,"4")</f>
        <v>2098</v>
      </c>
      <c r="J1738" s="507">
        <f>SUMIFS(Controle!$R:$R,Controle!$H:$H,produtos_escape2!$A1738,Controle!$Z:$Z,"5")</f>
        <v>6150</v>
      </c>
      <c r="K1738" s="507">
        <f>SUMIFS(Controle!$R:$R,Controle!$H:$H,produtos_escape2!$A1738,Controle!$Z:$Z,"6")</f>
        <v>14750</v>
      </c>
      <c r="L1738" s="507">
        <f t="shared" si="61"/>
        <v>22998</v>
      </c>
      <c r="M1738" s="381" t="s">
        <v>594</v>
      </c>
    </row>
    <row r="1739" spans="1:13" s="185" customFormat="1" ht="14.25" customHeight="1" thickBot="1">
      <c r="A1739" s="353">
        <v>90459</v>
      </c>
      <c r="B1739" s="194" t="s">
        <v>210</v>
      </c>
      <c r="C1739" s="339">
        <f t="shared" si="62"/>
        <v>50000</v>
      </c>
      <c r="D1739" s="196" t="s">
        <v>547</v>
      </c>
      <c r="E1739" s="187" t="s">
        <v>3608</v>
      </c>
      <c r="F1739" s="507">
        <f>SUMIFS(Controle!$R:$R,Controle!$H:$H,produtos_escape2!$A1739,Controle!$Z:$Z,"1")</f>
        <v>0</v>
      </c>
      <c r="G1739" s="507">
        <f>SUMIFS(Controle!$R:$R,Controle!$H:$H,produtos_escape2!$A1739,Controle!$Z:$Z,"2")</f>
        <v>0</v>
      </c>
      <c r="H1739" s="507">
        <f>SUMIFS(Controle!$R:$R,Controle!$H:$H,produtos_escape2!$A1739,Controle!$Z:$Z,"3")</f>
        <v>0</v>
      </c>
      <c r="I1739" s="507">
        <f>SUMIFS(Controle!$R:$R,Controle!$H:$H,produtos_escape2!$A1739,Controle!$Z:$Z,"4")</f>
        <v>0</v>
      </c>
      <c r="J1739" s="507">
        <f>SUMIFS(Controle!$R:$R,Controle!$H:$H,produtos_escape2!$A1739,Controle!$Z:$Z,"5")</f>
        <v>0</v>
      </c>
      <c r="K1739" s="507">
        <f>SUMIFS(Controle!$R:$R,Controle!$H:$H,produtos_escape2!$A1739,Controle!$Z:$Z,"6")</f>
        <v>0</v>
      </c>
      <c r="L1739" s="507">
        <f t="shared" si="61"/>
        <v>0</v>
      </c>
      <c r="M1739" s="381" t="s">
        <v>210</v>
      </c>
    </row>
    <row r="1740" spans="1:13" s="185" customFormat="1" ht="14.25" customHeight="1" thickBot="1">
      <c r="A1740" s="353">
        <v>90460</v>
      </c>
      <c r="B1740" s="194" t="s">
        <v>1253</v>
      </c>
      <c r="C1740" s="339">
        <f t="shared" si="62"/>
        <v>50000</v>
      </c>
      <c r="D1740" s="196" t="s">
        <v>547</v>
      </c>
      <c r="E1740" s="187" t="s">
        <v>3608</v>
      </c>
      <c r="F1740" s="507">
        <f>SUMIFS(Controle!$R:$R,Controle!$H:$H,produtos_escape2!$A1740,Controle!$Z:$Z,"1")</f>
        <v>0</v>
      </c>
      <c r="G1740" s="507">
        <f>SUMIFS(Controle!$R:$R,Controle!$H:$H,produtos_escape2!$A1740,Controle!$Z:$Z,"2")</f>
        <v>0</v>
      </c>
      <c r="H1740" s="507">
        <f>SUMIFS(Controle!$R:$R,Controle!$H:$H,produtos_escape2!$A1740,Controle!$Z:$Z,"3")</f>
        <v>0</v>
      </c>
      <c r="I1740" s="507">
        <f>SUMIFS(Controle!$R:$R,Controle!$H:$H,produtos_escape2!$A1740,Controle!$Z:$Z,"4")</f>
        <v>0</v>
      </c>
      <c r="J1740" s="507">
        <f>SUMIFS(Controle!$R:$R,Controle!$H:$H,produtos_escape2!$A1740,Controle!$Z:$Z,"5")</f>
        <v>0</v>
      </c>
      <c r="K1740" s="507">
        <f>SUMIFS(Controle!$R:$R,Controle!$H:$H,produtos_escape2!$A1740,Controle!$Z:$Z,"6")</f>
        <v>0</v>
      </c>
      <c r="L1740" s="507">
        <f t="shared" si="61"/>
        <v>0</v>
      </c>
      <c r="M1740" s="381" t="s">
        <v>5408</v>
      </c>
    </row>
    <row r="1741" spans="1:13" s="185" customFormat="1" ht="14.25" customHeight="1" thickBot="1">
      <c r="A1741" s="353">
        <v>90461</v>
      </c>
      <c r="B1741" s="194" t="s">
        <v>531</v>
      </c>
      <c r="C1741" s="339">
        <f t="shared" si="62"/>
        <v>50000</v>
      </c>
      <c r="D1741" s="196" t="s">
        <v>547</v>
      </c>
      <c r="E1741" s="187" t="s">
        <v>3608</v>
      </c>
      <c r="F1741" s="507">
        <f>SUMIFS(Controle!$R:$R,Controle!$H:$H,produtos_escape2!$A1741,Controle!$Z:$Z,"1")</f>
        <v>0</v>
      </c>
      <c r="G1741" s="507">
        <f>SUMIFS(Controle!$R:$R,Controle!$H:$H,produtos_escape2!$A1741,Controle!$Z:$Z,"2")</f>
        <v>0</v>
      </c>
      <c r="H1741" s="507">
        <f>SUMIFS(Controle!$R:$R,Controle!$H:$H,produtos_escape2!$A1741,Controle!$Z:$Z,"3")</f>
        <v>0</v>
      </c>
      <c r="I1741" s="507">
        <f>SUMIFS(Controle!$R:$R,Controle!$H:$H,produtos_escape2!$A1741,Controle!$Z:$Z,"4")</f>
        <v>0</v>
      </c>
      <c r="J1741" s="507">
        <f>SUMIFS(Controle!$R:$R,Controle!$H:$H,produtos_escape2!$A1741,Controle!$Z:$Z,"5")</f>
        <v>0</v>
      </c>
      <c r="K1741" s="507">
        <f>SUMIFS(Controle!$R:$R,Controle!$H:$H,produtos_escape2!$A1741,Controle!$Z:$Z,"6")</f>
        <v>0</v>
      </c>
      <c r="L1741" s="507">
        <f t="shared" si="61"/>
        <v>0</v>
      </c>
      <c r="M1741" s="381" t="s">
        <v>5409</v>
      </c>
    </row>
    <row r="1742" spans="1:13" s="185" customFormat="1" ht="14.25" customHeight="1" thickBot="1">
      <c r="A1742" s="353">
        <v>90462</v>
      </c>
      <c r="B1742" s="194" t="s">
        <v>1666</v>
      </c>
      <c r="C1742" s="339">
        <f t="shared" si="62"/>
        <v>50000</v>
      </c>
      <c r="D1742" s="196" t="s">
        <v>624</v>
      </c>
      <c r="E1742" s="187" t="s">
        <v>3608</v>
      </c>
      <c r="F1742" s="507">
        <f>SUMIFS(Controle!$R:$R,Controle!$H:$H,produtos_escape2!$A1742,Controle!$Z:$Z,"1")</f>
        <v>0</v>
      </c>
      <c r="G1742" s="507">
        <f>SUMIFS(Controle!$R:$R,Controle!$H:$H,produtos_escape2!$A1742,Controle!$Z:$Z,"2")</f>
        <v>0</v>
      </c>
      <c r="H1742" s="507">
        <f>SUMIFS(Controle!$R:$R,Controle!$H:$H,produtos_escape2!$A1742,Controle!$Z:$Z,"3")</f>
        <v>0</v>
      </c>
      <c r="I1742" s="507">
        <f>SUMIFS(Controle!$R:$R,Controle!$H:$H,produtos_escape2!$A1742,Controle!$Z:$Z,"4")</f>
        <v>0</v>
      </c>
      <c r="J1742" s="507">
        <f>SUMIFS(Controle!$R:$R,Controle!$H:$H,produtos_escape2!$A1742,Controle!$Z:$Z,"5")</f>
        <v>0</v>
      </c>
      <c r="K1742" s="507">
        <f>SUMIFS(Controle!$R:$R,Controle!$H:$H,produtos_escape2!$A1742,Controle!$Z:$Z,"6")</f>
        <v>0</v>
      </c>
      <c r="L1742" s="507">
        <f t="shared" si="61"/>
        <v>0</v>
      </c>
      <c r="M1742" s="381" t="s">
        <v>1666</v>
      </c>
    </row>
    <row r="1743" spans="1:13" s="185" customFormat="1" ht="14.25" customHeight="1" thickBot="1">
      <c r="A1743" s="353">
        <v>90471</v>
      </c>
      <c r="B1743" s="194" t="s">
        <v>1111</v>
      </c>
      <c r="C1743" s="339">
        <f t="shared" si="62"/>
        <v>50000</v>
      </c>
      <c r="D1743" s="196" t="s">
        <v>548</v>
      </c>
      <c r="E1743" s="187" t="s">
        <v>3608</v>
      </c>
      <c r="F1743" s="507">
        <f>SUMIFS(Controle!$R:$R,Controle!$H:$H,produtos_escape2!$A1743,Controle!$Z:$Z,"1")</f>
        <v>0</v>
      </c>
      <c r="G1743" s="507">
        <f>SUMIFS(Controle!$R:$R,Controle!$H:$H,produtos_escape2!$A1743,Controle!$Z:$Z,"2")</f>
        <v>0</v>
      </c>
      <c r="H1743" s="507">
        <f>SUMIFS(Controle!$R:$R,Controle!$H:$H,produtos_escape2!$A1743,Controle!$Z:$Z,"3")</f>
        <v>0</v>
      </c>
      <c r="I1743" s="507">
        <f>SUMIFS(Controle!$R:$R,Controle!$H:$H,produtos_escape2!$A1743,Controle!$Z:$Z,"4")</f>
        <v>0</v>
      </c>
      <c r="J1743" s="507">
        <f>SUMIFS(Controle!$R:$R,Controle!$H:$H,produtos_escape2!$A1743,Controle!$Z:$Z,"5")</f>
        <v>0</v>
      </c>
      <c r="K1743" s="507">
        <f>SUMIFS(Controle!$R:$R,Controle!$H:$H,produtos_escape2!$A1743,Controle!$Z:$Z,"6")</f>
        <v>0</v>
      </c>
      <c r="L1743" s="507">
        <f t="shared" si="61"/>
        <v>0</v>
      </c>
      <c r="M1743" s="381" t="s">
        <v>5410</v>
      </c>
    </row>
    <row r="1744" spans="1:13" s="185" customFormat="1" ht="14.25" customHeight="1" thickBot="1">
      <c r="A1744" s="353">
        <v>90481</v>
      </c>
      <c r="B1744" s="194" t="s">
        <v>394</v>
      </c>
      <c r="C1744" s="339">
        <f t="shared" si="62"/>
        <v>50000</v>
      </c>
      <c r="D1744" s="196" t="s">
        <v>725</v>
      </c>
      <c r="E1744" s="187" t="s">
        <v>3608</v>
      </c>
      <c r="F1744" s="507">
        <f>SUMIFS(Controle!$R:$R,Controle!$H:$H,produtos_escape2!$A1744,Controle!$Z:$Z,"1")</f>
        <v>0</v>
      </c>
      <c r="G1744" s="507">
        <f>SUMIFS(Controle!$R:$R,Controle!$H:$H,produtos_escape2!$A1744,Controle!$Z:$Z,"2")</f>
        <v>0</v>
      </c>
      <c r="H1744" s="507">
        <f>SUMIFS(Controle!$R:$R,Controle!$H:$H,produtos_escape2!$A1744,Controle!$Z:$Z,"3")</f>
        <v>0</v>
      </c>
      <c r="I1744" s="507">
        <f>SUMIFS(Controle!$R:$R,Controle!$H:$H,produtos_escape2!$A1744,Controle!$Z:$Z,"4")</f>
        <v>0</v>
      </c>
      <c r="J1744" s="507">
        <f>SUMIFS(Controle!$R:$R,Controle!$H:$H,produtos_escape2!$A1744,Controle!$Z:$Z,"5")</f>
        <v>0</v>
      </c>
      <c r="K1744" s="507">
        <f>SUMIFS(Controle!$R:$R,Controle!$H:$H,produtos_escape2!$A1744,Controle!$Z:$Z,"6")</f>
        <v>0</v>
      </c>
      <c r="L1744" s="507">
        <f t="shared" si="61"/>
        <v>0</v>
      </c>
      <c r="M1744" s="381" t="s">
        <v>5411</v>
      </c>
    </row>
    <row r="1745" spans="1:13" s="185" customFormat="1" ht="14.25" customHeight="1" thickBot="1">
      <c r="A1745" s="333">
        <v>90482</v>
      </c>
      <c r="B1745" s="194" t="s">
        <v>1266</v>
      </c>
      <c r="C1745" s="339">
        <f t="shared" si="62"/>
        <v>48342.400000000001</v>
      </c>
      <c r="D1745" s="196" t="s">
        <v>547</v>
      </c>
      <c r="E1745" s="187" t="s">
        <v>3608</v>
      </c>
      <c r="F1745" s="507">
        <f>SUMIFS(Controle!$R:$R,Controle!$H:$H,produtos_escape2!$A1745,Controle!$Z:$Z,"1")</f>
        <v>0</v>
      </c>
      <c r="G1745" s="507">
        <f>SUMIFS(Controle!$R:$R,Controle!$H:$H,produtos_escape2!$A1745,Controle!$Z:$Z,"2")</f>
        <v>0</v>
      </c>
      <c r="H1745" s="507">
        <f>SUMIFS(Controle!$R:$R,Controle!$H:$H,produtos_escape2!$A1745,Controle!$Z:$Z,"3")</f>
        <v>0</v>
      </c>
      <c r="I1745" s="507">
        <f>SUMIFS(Controle!$R:$R,Controle!$H:$H,produtos_escape2!$A1745,Controle!$Z:$Z,"4")</f>
        <v>0</v>
      </c>
      <c r="J1745" s="507">
        <f>SUMIFS(Controle!$R:$R,Controle!$H:$H,produtos_escape2!$A1745,Controle!$Z:$Z,"5")</f>
        <v>0</v>
      </c>
      <c r="K1745" s="507">
        <f>SUMIFS(Controle!$R:$R,Controle!$H:$H,produtos_escape2!$A1745,Controle!$Z:$Z,"6")</f>
        <v>1657.6</v>
      </c>
      <c r="L1745" s="507">
        <f t="shared" si="61"/>
        <v>1657.6</v>
      </c>
      <c r="M1745" s="381" t="s">
        <v>1266</v>
      </c>
    </row>
    <row r="1746" spans="1:13" s="185" customFormat="1" ht="14.25" customHeight="1" thickBot="1">
      <c r="A1746" s="353">
        <v>90491</v>
      </c>
      <c r="B1746" s="338" t="s">
        <v>1457</v>
      </c>
      <c r="C1746" s="339">
        <f t="shared" si="62"/>
        <v>50000</v>
      </c>
      <c r="D1746" s="196" t="s">
        <v>1456</v>
      </c>
      <c r="E1746" s="187" t="s">
        <v>3608</v>
      </c>
      <c r="F1746" s="507">
        <f>SUMIFS(Controle!$R:$R,Controle!$H:$H,produtos_escape2!$A1746,Controle!$Z:$Z,"1")</f>
        <v>0</v>
      </c>
      <c r="G1746" s="507">
        <f>SUMIFS(Controle!$R:$R,Controle!$H:$H,produtos_escape2!$A1746,Controle!$Z:$Z,"2")</f>
        <v>0</v>
      </c>
      <c r="H1746" s="507">
        <f>SUMIFS(Controle!$R:$R,Controle!$H:$H,produtos_escape2!$A1746,Controle!$Z:$Z,"3")</f>
        <v>0</v>
      </c>
      <c r="I1746" s="507">
        <f>SUMIFS(Controle!$R:$R,Controle!$H:$H,produtos_escape2!$A1746,Controle!$Z:$Z,"4")</f>
        <v>0</v>
      </c>
      <c r="J1746" s="507">
        <f>SUMIFS(Controle!$R:$R,Controle!$H:$H,produtos_escape2!$A1746,Controle!$Z:$Z,"5")</f>
        <v>0</v>
      </c>
      <c r="K1746" s="507">
        <f>SUMIFS(Controle!$R:$R,Controle!$H:$H,produtos_escape2!$A1746,Controle!$Z:$Z,"6")</f>
        <v>0</v>
      </c>
      <c r="L1746" s="507">
        <f t="shared" si="61"/>
        <v>0</v>
      </c>
      <c r="M1746" s="381" t="s">
        <v>1457</v>
      </c>
    </row>
    <row r="1747" spans="1:13" s="185" customFormat="1" ht="14.25" customHeight="1" thickBot="1">
      <c r="A1747" s="353">
        <v>90496</v>
      </c>
      <c r="B1747" s="194" t="s">
        <v>595</v>
      </c>
      <c r="C1747" s="339">
        <f t="shared" si="62"/>
        <v>50000</v>
      </c>
      <c r="D1747" s="196" t="s">
        <v>547</v>
      </c>
      <c r="E1747" s="187" t="s">
        <v>3608</v>
      </c>
      <c r="F1747" s="507">
        <f>SUMIFS(Controle!$R:$R,Controle!$H:$H,produtos_escape2!$A1747,Controle!$Z:$Z,"1")</f>
        <v>0</v>
      </c>
      <c r="G1747" s="507">
        <f>SUMIFS(Controle!$R:$R,Controle!$H:$H,produtos_escape2!$A1747,Controle!$Z:$Z,"2")</f>
        <v>0</v>
      </c>
      <c r="H1747" s="507">
        <f>SUMIFS(Controle!$R:$R,Controle!$H:$H,produtos_escape2!$A1747,Controle!$Z:$Z,"3")</f>
        <v>0</v>
      </c>
      <c r="I1747" s="507">
        <f>SUMIFS(Controle!$R:$R,Controle!$H:$H,produtos_escape2!$A1747,Controle!$Z:$Z,"4")</f>
        <v>0</v>
      </c>
      <c r="J1747" s="507">
        <f>SUMIFS(Controle!$R:$R,Controle!$H:$H,produtos_escape2!$A1747,Controle!$Z:$Z,"5")</f>
        <v>0</v>
      </c>
      <c r="K1747" s="507">
        <f>SUMIFS(Controle!$R:$R,Controle!$H:$H,produtos_escape2!$A1747,Controle!$Z:$Z,"6")</f>
        <v>0</v>
      </c>
      <c r="L1747" s="507">
        <f t="shared" si="61"/>
        <v>0</v>
      </c>
      <c r="M1747" s="381" t="s">
        <v>595</v>
      </c>
    </row>
    <row r="1748" spans="1:13" s="185" customFormat="1" ht="14.25" customHeight="1" thickBot="1">
      <c r="A1748" s="353">
        <v>90497</v>
      </c>
      <c r="B1748" s="194" t="s">
        <v>2764</v>
      </c>
      <c r="C1748" s="339">
        <f t="shared" si="62"/>
        <v>50000</v>
      </c>
      <c r="D1748" s="196" t="s">
        <v>549</v>
      </c>
      <c r="E1748" s="187" t="s">
        <v>3608</v>
      </c>
      <c r="F1748" s="507">
        <f>SUMIFS(Controle!$R:$R,Controle!$H:$H,produtos_escape2!$A1748,Controle!$Z:$Z,"1")</f>
        <v>0</v>
      </c>
      <c r="G1748" s="507">
        <f>SUMIFS(Controle!$R:$R,Controle!$H:$H,produtos_escape2!$A1748,Controle!$Z:$Z,"2")</f>
        <v>0</v>
      </c>
      <c r="H1748" s="507">
        <f>SUMIFS(Controle!$R:$R,Controle!$H:$H,produtos_escape2!$A1748,Controle!$Z:$Z,"3")</f>
        <v>0</v>
      </c>
      <c r="I1748" s="507">
        <f>SUMIFS(Controle!$R:$R,Controle!$H:$H,produtos_escape2!$A1748,Controle!$Z:$Z,"4")</f>
        <v>0</v>
      </c>
      <c r="J1748" s="507">
        <f>SUMIFS(Controle!$R:$R,Controle!$H:$H,produtos_escape2!$A1748,Controle!$Z:$Z,"5")</f>
        <v>0</v>
      </c>
      <c r="K1748" s="507">
        <f>SUMIFS(Controle!$R:$R,Controle!$H:$H,produtos_escape2!$A1748,Controle!$Z:$Z,"6")</f>
        <v>0</v>
      </c>
      <c r="L1748" s="507">
        <f t="shared" si="61"/>
        <v>0</v>
      </c>
      <c r="M1748" s="381" t="s">
        <v>2764</v>
      </c>
    </row>
    <row r="1749" spans="1:13" s="185" customFormat="1" ht="14.25" customHeight="1" thickBot="1">
      <c r="A1749" s="353">
        <v>90500</v>
      </c>
      <c r="B1749" s="194" t="s">
        <v>1059</v>
      </c>
      <c r="C1749" s="339">
        <f t="shared" si="62"/>
        <v>49779.8</v>
      </c>
      <c r="D1749" s="196" t="s">
        <v>1060</v>
      </c>
      <c r="E1749" s="187" t="s">
        <v>3608</v>
      </c>
      <c r="F1749" s="507">
        <f>SUMIFS(Controle!$R:$R,Controle!$H:$H,produtos_escape2!$A1749,Controle!$Z:$Z,"1")</f>
        <v>0</v>
      </c>
      <c r="G1749" s="507">
        <f>SUMIFS(Controle!$R:$R,Controle!$H:$H,produtos_escape2!$A1749,Controle!$Z:$Z,"2")</f>
        <v>160.19999999999999</v>
      </c>
      <c r="H1749" s="507">
        <f>SUMIFS(Controle!$R:$R,Controle!$H:$H,produtos_escape2!$A1749,Controle!$Z:$Z,"3")</f>
        <v>0</v>
      </c>
      <c r="I1749" s="507">
        <f>SUMIFS(Controle!$R:$R,Controle!$H:$H,produtos_escape2!$A1749,Controle!$Z:$Z,"4")</f>
        <v>60</v>
      </c>
      <c r="J1749" s="507">
        <f>SUMIFS(Controle!$R:$R,Controle!$H:$H,produtos_escape2!$A1749,Controle!$Z:$Z,"5")</f>
        <v>0</v>
      </c>
      <c r="K1749" s="507">
        <f>SUMIFS(Controle!$R:$R,Controle!$H:$H,produtos_escape2!$A1749,Controle!$Z:$Z,"6")</f>
        <v>0</v>
      </c>
      <c r="L1749" s="507">
        <f t="shared" si="61"/>
        <v>220.2</v>
      </c>
      <c r="M1749" s="381" t="s">
        <v>1059</v>
      </c>
    </row>
    <row r="1750" spans="1:13" s="185" customFormat="1" ht="14.25" customHeight="1" thickBot="1">
      <c r="A1750" s="353">
        <v>90502</v>
      </c>
      <c r="B1750" s="194" t="s">
        <v>1473</v>
      </c>
      <c r="C1750" s="339">
        <f t="shared" si="62"/>
        <v>50000</v>
      </c>
      <c r="D1750" s="196" t="s">
        <v>624</v>
      </c>
      <c r="E1750" s="187" t="s">
        <v>3608</v>
      </c>
      <c r="F1750" s="507">
        <f>SUMIFS(Controle!$R:$R,Controle!$H:$H,produtos_escape2!$A1750,Controle!$Z:$Z,"1")</f>
        <v>0</v>
      </c>
      <c r="G1750" s="507">
        <f>SUMIFS(Controle!$R:$R,Controle!$H:$H,produtos_escape2!$A1750,Controle!$Z:$Z,"2")</f>
        <v>0</v>
      </c>
      <c r="H1750" s="507">
        <f>SUMIFS(Controle!$R:$R,Controle!$H:$H,produtos_escape2!$A1750,Controle!$Z:$Z,"3")</f>
        <v>0</v>
      </c>
      <c r="I1750" s="507">
        <f>SUMIFS(Controle!$R:$R,Controle!$H:$H,produtos_escape2!$A1750,Controle!$Z:$Z,"4")</f>
        <v>0</v>
      </c>
      <c r="J1750" s="507">
        <f>SUMIFS(Controle!$R:$R,Controle!$H:$H,produtos_escape2!$A1750,Controle!$Z:$Z,"5")</f>
        <v>0</v>
      </c>
      <c r="K1750" s="507">
        <f>SUMIFS(Controle!$R:$R,Controle!$H:$H,produtos_escape2!$A1750,Controle!$Z:$Z,"6")</f>
        <v>0</v>
      </c>
      <c r="L1750" s="507">
        <f t="shared" si="61"/>
        <v>0</v>
      </c>
      <c r="M1750" s="381" t="s">
        <v>1473</v>
      </c>
    </row>
    <row r="1751" spans="1:13" s="185" customFormat="1" ht="14.25" customHeight="1" thickBot="1">
      <c r="A1751" s="353">
        <v>90504</v>
      </c>
      <c r="B1751" s="194" t="s">
        <v>899</v>
      </c>
      <c r="C1751" s="339">
        <f t="shared" si="62"/>
        <v>50000</v>
      </c>
      <c r="D1751" s="196" t="s">
        <v>548</v>
      </c>
      <c r="E1751" s="187" t="s">
        <v>3608</v>
      </c>
      <c r="F1751" s="507">
        <f>SUMIFS(Controle!$R:$R,Controle!$H:$H,produtos_escape2!$A1751,Controle!$Z:$Z,"1")</f>
        <v>0</v>
      </c>
      <c r="G1751" s="507">
        <f>SUMIFS(Controle!$R:$R,Controle!$H:$H,produtos_escape2!$A1751,Controle!$Z:$Z,"2")</f>
        <v>0</v>
      </c>
      <c r="H1751" s="507">
        <f>SUMIFS(Controle!$R:$R,Controle!$H:$H,produtos_escape2!$A1751,Controle!$Z:$Z,"3")</f>
        <v>0</v>
      </c>
      <c r="I1751" s="507">
        <f>SUMIFS(Controle!$R:$R,Controle!$H:$H,produtos_escape2!$A1751,Controle!$Z:$Z,"4")</f>
        <v>0</v>
      </c>
      <c r="J1751" s="507">
        <f>SUMIFS(Controle!$R:$R,Controle!$H:$H,produtos_escape2!$A1751,Controle!$Z:$Z,"5")</f>
        <v>0</v>
      </c>
      <c r="K1751" s="507">
        <f>SUMIFS(Controle!$R:$R,Controle!$H:$H,produtos_escape2!$A1751,Controle!$Z:$Z,"6")</f>
        <v>0</v>
      </c>
      <c r="L1751" s="507">
        <f t="shared" si="61"/>
        <v>0</v>
      </c>
      <c r="M1751" s="381" t="s">
        <v>899</v>
      </c>
    </row>
    <row r="1752" spans="1:13" s="185" customFormat="1" ht="14.25" customHeight="1" thickBot="1">
      <c r="A1752" s="353">
        <v>90505</v>
      </c>
      <c r="B1752" s="194" t="s">
        <v>1342</v>
      </c>
      <c r="C1752" s="339">
        <f t="shared" si="62"/>
        <v>49660</v>
      </c>
      <c r="D1752" s="196" t="s">
        <v>548</v>
      </c>
      <c r="E1752" s="187" t="s">
        <v>3608</v>
      </c>
      <c r="F1752" s="507">
        <f>SUMIFS(Controle!$R:$R,Controle!$H:$H,produtos_escape2!$A1752,Controle!$Z:$Z,"1")</f>
        <v>0</v>
      </c>
      <c r="G1752" s="507">
        <f>SUMIFS(Controle!$R:$R,Controle!$H:$H,produtos_escape2!$A1752,Controle!$Z:$Z,"2")</f>
        <v>340</v>
      </c>
      <c r="H1752" s="507">
        <f>SUMIFS(Controle!$R:$R,Controle!$H:$H,produtos_escape2!$A1752,Controle!$Z:$Z,"3")</f>
        <v>0</v>
      </c>
      <c r="I1752" s="507">
        <f>SUMIFS(Controle!$R:$R,Controle!$H:$H,produtos_escape2!$A1752,Controle!$Z:$Z,"4")</f>
        <v>0</v>
      </c>
      <c r="J1752" s="507">
        <f>SUMIFS(Controle!$R:$R,Controle!$H:$H,produtos_escape2!$A1752,Controle!$Z:$Z,"5")</f>
        <v>0</v>
      </c>
      <c r="K1752" s="507">
        <f>SUMIFS(Controle!$R:$R,Controle!$H:$H,produtos_escape2!$A1752,Controle!$Z:$Z,"6")</f>
        <v>0</v>
      </c>
      <c r="L1752" s="507">
        <f t="shared" si="61"/>
        <v>340</v>
      </c>
      <c r="M1752" s="381" t="s">
        <v>1342</v>
      </c>
    </row>
    <row r="1753" spans="1:13" s="185" customFormat="1" ht="14.25" customHeight="1" thickBot="1">
      <c r="A1753" s="333">
        <v>90513</v>
      </c>
      <c r="B1753" s="194" t="s">
        <v>1468</v>
      </c>
      <c r="C1753" s="339">
        <f t="shared" si="62"/>
        <v>50000</v>
      </c>
      <c r="D1753" s="196" t="s">
        <v>624</v>
      </c>
      <c r="E1753" s="187" t="s">
        <v>3608</v>
      </c>
      <c r="F1753" s="507">
        <f>SUMIFS(Controle!$R:$R,Controle!$H:$H,produtos_escape2!$A1753,Controle!$Z:$Z,"1")</f>
        <v>0</v>
      </c>
      <c r="G1753" s="507">
        <f>SUMIFS(Controle!$R:$R,Controle!$H:$H,produtos_escape2!$A1753,Controle!$Z:$Z,"2")</f>
        <v>0</v>
      </c>
      <c r="H1753" s="507">
        <f>SUMIFS(Controle!$R:$R,Controle!$H:$H,produtos_escape2!$A1753,Controle!$Z:$Z,"3")</f>
        <v>0</v>
      </c>
      <c r="I1753" s="507">
        <f>SUMIFS(Controle!$R:$R,Controle!$H:$H,produtos_escape2!$A1753,Controle!$Z:$Z,"4")</f>
        <v>0</v>
      </c>
      <c r="J1753" s="507">
        <f>SUMIFS(Controle!$R:$R,Controle!$H:$H,produtos_escape2!$A1753,Controle!$Z:$Z,"5")</f>
        <v>0</v>
      </c>
      <c r="K1753" s="507">
        <f>SUMIFS(Controle!$R:$R,Controle!$H:$H,produtos_escape2!$A1753,Controle!$Z:$Z,"6")</f>
        <v>0</v>
      </c>
      <c r="L1753" s="507">
        <f t="shared" si="61"/>
        <v>0</v>
      </c>
      <c r="M1753" s="381" t="s">
        <v>1468</v>
      </c>
    </row>
    <row r="1754" spans="1:13" s="185" customFormat="1" ht="14.25" customHeight="1" thickBot="1">
      <c r="A1754" s="353">
        <v>90514</v>
      </c>
      <c r="B1754" s="338" t="s">
        <v>36</v>
      </c>
      <c r="C1754" s="339">
        <f t="shared" si="62"/>
        <v>50000</v>
      </c>
      <c r="D1754" s="196"/>
      <c r="E1754" s="187" t="s">
        <v>3608</v>
      </c>
      <c r="F1754" s="507">
        <f>SUMIFS(Controle!$R:$R,Controle!$H:$H,produtos_escape2!$A1754,Controle!$Z:$Z,"1")</f>
        <v>0</v>
      </c>
      <c r="G1754" s="507">
        <f>SUMIFS(Controle!$R:$R,Controle!$H:$H,produtos_escape2!$A1754,Controle!$Z:$Z,"2")</f>
        <v>0</v>
      </c>
      <c r="H1754" s="507">
        <f>SUMIFS(Controle!$R:$R,Controle!$H:$H,produtos_escape2!$A1754,Controle!$Z:$Z,"3")</f>
        <v>0</v>
      </c>
      <c r="I1754" s="507">
        <f>SUMIFS(Controle!$R:$R,Controle!$H:$H,produtos_escape2!$A1754,Controle!$Z:$Z,"4")</f>
        <v>0</v>
      </c>
      <c r="J1754" s="507">
        <f>SUMIFS(Controle!$R:$R,Controle!$H:$H,produtos_escape2!$A1754,Controle!$Z:$Z,"5")</f>
        <v>0</v>
      </c>
      <c r="K1754" s="507">
        <f>SUMIFS(Controle!$R:$R,Controle!$H:$H,produtos_escape2!$A1754,Controle!$Z:$Z,"6")</f>
        <v>0</v>
      </c>
      <c r="L1754" s="507">
        <f t="shared" si="61"/>
        <v>0</v>
      </c>
      <c r="M1754" s="381" t="s">
        <v>36</v>
      </c>
    </row>
    <row r="1755" spans="1:13" s="185" customFormat="1" ht="14.25" customHeight="1" thickBot="1">
      <c r="A1755" s="353">
        <v>90519</v>
      </c>
      <c r="B1755" s="194" t="s">
        <v>11</v>
      </c>
      <c r="C1755" s="339">
        <f t="shared" si="62"/>
        <v>50000</v>
      </c>
      <c r="D1755" s="196"/>
      <c r="E1755" s="187" t="s">
        <v>3608</v>
      </c>
      <c r="F1755" s="507">
        <f>SUMIFS(Controle!$R:$R,Controle!$H:$H,produtos_escape2!$A1755,Controle!$Z:$Z,"1")</f>
        <v>0</v>
      </c>
      <c r="G1755" s="507">
        <f>SUMIFS(Controle!$R:$R,Controle!$H:$H,produtos_escape2!$A1755,Controle!$Z:$Z,"2")</f>
        <v>0</v>
      </c>
      <c r="H1755" s="507">
        <f>SUMIFS(Controle!$R:$R,Controle!$H:$H,produtos_escape2!$A1755,Controle!$Z:$Z,"3")</f>
        <v>0</v>
      </c>
      <c r="I1755" s="507">
        <f>SUMIFS(Controle!$R:$R,Controle!$H:$H,produtos_escape2!$A1755,Controle!$Z:$Z,"4")</f>
        <v>0</v>
      </c>
      <c r="J1755" s="507">
        <f>SUMIFS(Controle!$R:$R,Controle!$H:$H,produtos_escape2!$A1755,Controle!$Z:$Z,"5")</f>
        <v>0</v>
      </c>
      <c r="K1755" s="507">
        <f>SUMIFS(Controle!$R:$R,Controle!$H:$H,produtos_escape2!$A1755,Controle!$Z:$Z,"6")</f>
        <v>0</v>
      </c>
      <c r="L1755" s="507">
        <f t="shared" si="61"/>
        <v>0</v>
      </c>
      <c r="M1755" s="381" t="s">
        <v>11</v>
      </c>
    </row>
    <row r="1756" spans="1:13" s="185" customFormat="1" ht="14.25" customHeight="1" thickBot="1">
      <c r="A1756" s="353">
        <v>90520</v>
      </c>
      <c r="B1756" s="194" t="s">
        <v>1546</v>
      </c>
      <c r="C1756" s="339">
        <f t="shared" si="62"/>
        <v>50000</v>
      </c>
      <c r="D1756" s="196" t="s">
        <v>725</v>
      </c>
      <c r="E1756" s="187" t="s">
        <v>3608</v>
      </c>
      <c r="F1756" s="507">
        <f>SUMIFS(Controle!$R:$R,Controle!$H:$H,produtos_escape2!$A1756,Controle!$Z:$Z,"1")</f>
        <v>0</v>
      </c>
      <c r="G1756" s="507">
        <f>SUMIFS(Controle!$R:$R,Controle!$H:$H,produtos_escape2!$A1756,Controle!$Z:$Z,"2")</f>
        <v>0</v>
      </c>
      <c r="H1756" s="507">
        <f>SUMIFS(Controle!$R:$R,Controle!$H:$H,produtos_escape2!$A1756,Controle!$Z:$Z,"3")</f>
        <v>0</v>
      </c>
      <c r="I1756" s="507">
        <f>SUMIFS(Controle!$R:$R,Controle!$H:$H,produtos_escape2!$A1756,Controle!$Z:$Z,"4")</f>
        <v>0</v>
      </c>
      <c r="J1756" s="507">
        <f>SUMIFS(Controle!$R:$R,Controle!$H:$H,produtos_escape2!$A1756,Controle!$Z:$Z,"5")</f>
        <v>0</v>
      </c>
      <c r="K1756" s="507">
        <f>SUMIFS(Controle!$R:$R,Controle!$H:$H,produtos_escape2!$A1756,Controle!$Z:$Z,"6")</f>
        <v>0</v>
      </c>
      <c r="L1756" s="507">
        <f t="shared" si="61"/>
        <v>0</v>
      </c>
      <c r="M1756" s="381" t="s">
        <v>1546</v>
      </c>
    </row>
    <row r="1757" spans="1:13" s="185" customFormat="1" ht="14.25" customHeight="1" thickBot="1">
      <c r="A1757" s="353">
        <v>90522</v>
      </c>
      <c r="B1757" s="194" t="s">
        <v>1811</v>
      </c>
      <c r="C1757" s="339">
        <f t="shared" si="62"/>
        <v>50000</v>
      </c>
      <c r="D1757" s="191" t="s">
        <v>548</v>
      </c>
      <c r="E1757" s="189" t="s">
        <v>3608</v>
      </c>
      <c r="F1757" s="507">
        <f>SUMIFS(Controle!$R:$R,Controle!$H:$H,produtos_escape2!$A1757,Controle!$Z:$Z,"1")</f>
        <v>0</v>
      </c>
      <c r="G1757" s="507">
        <f>SUMIFS(Controle!$R:$R,Controle!$H:$H,produtos_escape2!$A1757,Controle!$Z:$Z,"2")</f>
        <v>0</v>
      </c>
      <c r="H1757" s="507">
        <f>SUMIFS(Controle!$R:$R,Controle!$H:$H,produtos_escape2!$A1757,Controle!$Z:$Z,"3")</f>
        <v>0</v>
      </c>
      <c r="I1757" s="507">
        <f>SUMIFS(Controle!$R:$R,Controle!$H:$H,produtos_escape2!$A1757,Controle!$Z:$Z,"4")</f>
        <v>0</v>
      </c>
      <c r="J1757" s="507">
        <f>SUMIFS(Controle!$R:$R,Controle!$H:$H,produtos_escape2!$A1757,Controle!$Z:$Z,"5")</f>
        <v>0</v>
      </c>
      <c r="K1757" s="507">
        <f>SUMIFS(Controle!$R:$R,Controle!$H:$H,produtos_escape2!$A1757,Controle!$Z:$Z,"6")</f>
        <v>0</v>
      </c>
      <c r="L1757" s="507">
        <f t="shared" si="61"/>
        <v>0</v>
      </c>
      <c r="M1757" s="381" t="s">
        <v>5412</v>
      </c>
    </row>
    <row r="1758" spans="1:13" s="185" customFormat="1" ht="14.25" customHeight="1" thickBot="1">
      <c r="A1758" s="353">
        <v>90524</v>
      </c>
      <c r="B1758" s="194" t="s">
        <v>1251</v>
      </c>
      <c r="C1758" s="339">
        <f t="shared" si="62"/>
        <v>49855</v>
      </c>
      <c r="D1758" s="196" t="s">
        <v>725</v>
      </c>
      <c r="E1758" s="187" t="s">
        <v>3608</v>
      </c>
      <c r="F1758" s="507">
        <f>SUMIFS(Controle!$R:$R,Controle!$H:$H,produtos_escape2!$A1758,Controle!$Z:$Z,"1")</f>
        <v>0</v>
      </c>
      <c r="G1758" s="507">
        <f>SUMIFS(Controle!$R:$R,Controle!$H:$H,produtos_escape2!$A1758,Controle!$Z:$Z,"2")</f>
        <v>0</v>
      </c>
      <c r="H1758" s="507">
        <f>SUMIFS(Controle!$R:$R,Controle!$H:$H,produtos_escape2!$A1758,Controle!$Z:$Z,"3")</f>
        <v>0</v>
      </c>
      <c r="I1758" s="507">
        <f>SUMIFS(Controle!$R:$R,Controle!$H:$H,produtos_escape2!$A1758,Controle!$Z:$Z,"4")</f>
        <v>145</v>
      </c>
      <c r="J1758" s="507">
        <f>SUMIFS(Controle!$R:$R,Controle!$H:$H,produtos_escape2!$A1758,Controle!$Z:$Z,"5")</f>
        <v>0</v>
      </c>
      <c r="K1758" s="507">
        <f>SUMIFS(Controle!$R:$R,Controle!$H:$H,produtos_escape2!$A1758,Controle!$Z:$Z,"6")</f>
        <v>0</v>
      </c>
      <c r="L1758" s="507">
        <f t="shared" si="61"/>
        <v>145</v>
      </c>
      <c r="M1758" s="381" t="s">
        <v>1251</v>
      </c>
    </row>
    <row r="1759" spans="1:13" s="185" customFormat="1" ht="14.25" customHeight="1" thickBot="1">
      <c r="A1759" s="353">
        <v>90526</v>
      </c>
      <c r="B1759" s="194" t="s">
        <v>808</v>
      </c>
      <c r="C1759" s="339">
        <f t="shared" si="62"/>
        <v>49260.5</v>
      </c>
      <c r="D1759" s="196" t="s">
        <v>547</v>
      </c>
      <c r="E1759" s="187" t="s">
        <v>3608</v>
      </c>
      <c r="F1759" s="507">
        <f>SUMIFS(Controle!$R:$R,Controle!$H:$H,produtos_escape2!$A1759,Controle!$Z:$Z,"1")</f>
        <v>0</v>
      </c>
      <c r="G1759" s="507">
        <f>SUMIFS(Controle!$R:$R,Controle!$H:$H,produtos_escape2!$A1759,Controle!$Z:$Z,"2")</f>
        <v>739.5</v>
      </c>
      <c r="H1759" s="507">
        <f>SUMIFS(Controle!$R:$R,Controle!$H:$H,produtos_escape2!$A1759,Controle!$Z:$Z,"3")</f>
        <v>0</v>
      </c>
      <c r="I1759" s="507">
        <f>SUMIFS(Controle!$R:$R,Controle!$H:$H,produtos_escape2!$A1759,Controle!$Z:$Z,"4")</f>
        <v>0</v>
      </c>
      <c r="J1759" s="507">
        <f>SUMIFS(Controle!$R:$R,Controle!$H:$H,produtos_escape2!$A1759,Controle!$Z:$Z,"5")</f>
        <v>0</v>
      </c>
      <c r="K1759" s="507">
        <f>SUMIFS(Controle!$R:$R,Controle!$H:$H,produtos_escape2!$A1759,Controle!$Z:$Z,"6")</f>
        <v>0</v>
      </c>
      <c r="L1759" s="507">
        <f t="shared" si="61"/>
        <v>739.5</v>
      </c>
      <c r="M1759" s="381" t="s">
        <v>808</v>
      </c>
    </row>
    <row r="1760" spans="1:13" s="185" customFormat="1" ht="14.25" customHeight="1" thickBot="1">
      <c r="A1760" s="353">
        <v>90528</v>
      </c>
      <c r="B1760" s="194" t="s">
        <v>3623</v>
      </c>
      <c r="C1760" s="339">
        <f t="shared" si="62"/>
        <v>49188.4</v>
      </c>
      <c r="D1760" s="196" t="s">
        <v>547</v>
      </c>
      <c r="E1760" s="187" t="s">
        <v>3608</v>
      </c>
      <c r="F1760" s="507">
        <f>SUMIFS(Controle!$R:$R,Controle!$H:$H,produtos_escape2!$A1760,Controle!$Z:$Z,"1")</f>
        <v>0</v>
      </c>
      <c r="G1760" s="507">
        <f>SUMIFS(Controle!$R:$R,Controle!$H:$H,produtos_escape2!$A1760,Controle!$Z:$Z,"2")</f>
        <v>0</v>
      </c>
      <c r="H1760" s="507">
        <f>SUMIFS(Controle!$R:$R,Controle!$H:$H,produtos_escape2!$A1760,Controle!$Z:$Z,"3")</f>
        <v>0</v>
      </c>
      <c r="I1760" s="507">
        <f>SUMIFS(Controle!$R:$R,Controle!$H:$H,produtos_escape2!$A1760,Controle!$Z:$Z,"4")</f>
        <v>0</v>
      </c>
      <c r="J1760" s="507">
        <f>SUMIFS(Controle!$R:$R,Controle!$H:$H,produtos_escape2!$A1760,Controle!$Z:$Z,"5")</f>
        <v>0</v>
      </c>
      <c r="K1760" s="507">
        <f>SUMIFS(Controle!$R:$R,Controle!$H:$H,produtos_escape2!$A1760,Controle!$Z:$Z,"6")</f>
        <v>811.59999999999991</v>
      </c>
      <c r="L1760" s="507">
        <f t="shared" si="61"/>
        <v>811.59999999999991</v>
      </c>
      <c r="M1760" s="381" t="s">
        <v>3623</v>
      </c>
    </row>
    <row r="1761" spans="1:13" s="185" customFormat="1" ht="14.25" customHeight="1" thickBot="1">
      <c r="A1761" s="333">
        <v>90529</v>
      </c>
      <c r="B1761" s="194" t="s">
        <v>648</v>
      </c>
      <c r="C1761" s="339">
        <f t="shared" si="62"/>
        <v>50000</v>
      </c>
      <c r="D1761" s="196" t="s">
        <v>1060</v>
      </c>
      <c r="E1761" s="187" t="s">
        <v>3608</v>
      </c>
      <c r="F1761" s="507">
        <f>SUMIFS(Controle!$R:$R,Controle!$H:$H,produtos_escape2!$A1761,Controle!$Z:$Z,"1")</f>
        <v>0</v>
      </c>
      <c r="G1761" s="507">
        <f>SUMIFS(Controle!$R:$R,Controle!$H:$H,produtos_escape2!$A1761,Controle!$Z:$Z,"2")</f>
        <v>0</v>
      </c>
      <c r="H1761" s="507">
        <f>SUMIFS(Controle!$R:$R,Controle!$H:$H,produtos_escape2!$A1761,Controle!$Z:$Z,"3")</f>
        <v>0</v>
      </c>
      <c r="I1761" s="507">
        <f>SUMIFS(Controle!$R:$R,Controle!$H:$H,produtos_escape2!$A1761,Controle!$Z:$Z,"4")</f>
        <v>0</v>
      </c>
      <c r="J1761" s="507">
        <f>SUMIFS(Controle!$R:$R,Controle!$H:$H,produtos_escape2!$A1761,Controle!$Z:$Z,"5")</f>
        <v>0</v>
      </c>
      <c r="K1761" s="507">
        <f>SUMIFS(Controle!$R:$R,Controle!$H:$H,produtos_escape2!$A1761,Controle!$Z:$Z,"6")</f>
        <v>0</v>
      </c>
      <c r="L1761" s="507">
        <f t="shared" si="61"/>
        <v>0</v>
      </c>
      <c r="M1761" s="381" t="s">
        <v>5413</v>
      </c>
    </row>
    <row r="1762" spans="1:13" s="185" customFormat="1" ht="14.25" customHeight="1" thickBot="1">
      <c r="A1762" s="353">
        <v>90530</v>
      </c>
      <c r="B1762" s="338" t="s">
        <v>2770</v>
      </c>
      <c r="C1762" s="339">
        <f t="shared" si="62"/>
        <v>50000</v>
      </c>
      <c r="D1762" s="191" t="s">
        <v>547</v>
      </c>
      <c r="E1762" s="189" t="s">
        <v>3608</v>
      </c>
      <c r="F1762" s="507">
        <f>SUMIFS(Controle!$R:$R,Controle!$H:$H,produtos_escape2!$A1762,Controle!$Z:$Z,"1")</f>
        <v>0</v>
      </c>
      <c r="G1762" s="507">
        <f>SUMIFS(Controle!$R:$R,Controle!$H:$H,produtos_escape2!$A1762,Controle!$Z:$Z,"2")</f>
        <v>0</v>
      </c>
      <c r="H1762" s="507">
        <f>SUMIFS(Controle!$R:$R,Controle!$H:$H,produtos_escape2!$A1762,Controle!$Z:$Z,"3")</f>
        <v>0</v>
      </c>
      <c r="I1762" s="507">
        <f>SUMIFS(Controle!$R:$R,Controle!$H:$H,produtos_escape2!$A1762,Controle!$Z:$Z,"4")</f>
        <v>0</v>
      </c>
      <c r="J1762" s="507">
        <f>SUMIFS(Controle!$R:$R,Controle!$H:$H,produtos_escape2!$A1762,Controle!$Z:$Z,"5")</f>
        <v>0</v>
      </c>
      <c r="K1762" s="507">
        <f>SUMIFS(Controle!$R:$R,Controle!$H:$H,produtos_escape2!$A1762,Controle!$Z:$Z,"6")</f>
        <v>0</v>
      </c>
      <c r="L1762" s="507">
        <f t="shared" si="61"/>
        <v>0</v>
      </c>
      <c r="M1762" s="381" t="s">
        <v>2770</v>
      </c>
    </row>
    <row r="1763" spans="1:13" s="185" customFormat="1" ht="14.25" customHeight="1" thickBot="1">
      <c r="A1763" s="353">
        <v>90531</v>
      </c>
      <c r="B1763" s="194" t="s">
        <v>127</v>
      </c>
      <c r="C1763" s="339">
        <f t="shared" si="62"/>
        <v>50000</v>
      </c>
      <c r="D1763" s="196" t="s">
        <v>547</v>
      </c>
      <c r="E1763" s="187" t="s">
        <v>3608</v>
      </c>
      <c r="F1763" s="507">
        <f>SUMIFS(Controle!$R:$R,Controle!$H:$H,produtos_escape2!$A1763,Controle!$Z:$Z,"1")</f>
        <v>0</v>
      </c>
      <c r="G1763" s="507">
        <f>SUMIFS(Controle!$R:$R,Controle!$H:$H,produtos_escape2!$A1763,Controle!$Z:$Z,"2")</f>
        <v>0</v>
      </c>
      <c r="H1763" s="507">
        <f>SUMIFS(Controle!$R:$R,Controle!$H:$H,produtos_escape2!$A1763,Controle!$Z:$Z,"3")</f>
        <v>0</v>
      </c>
      <c r="I1763" s="507">
        <f>SUMIFS(Controle!$R:$R,Controle!$H:$H,produtos_escape2!$A1763,Controle!$Z:$Z,"4")</f>
        <v>0</v>
      </c>
      <c r="J1763" s="507">
        <f>SUMIFS(Controle!$R:$R,Controle!$H:$H,produtos_escape2!$A1763,Controle!$Z:$Z,"5")</f>
        <v>0</v>
      </c>
      <c r="K1763" s="507">
        <f>SUMIFS(Controle!$R:$R,Controle!$H:$H,produtos_escape2!$A1763,Controle!$Z:$Z,"6")</f>
        <v>0</v>
      </c>
      <c r="L1763" s="507">
        <f t="shared" si="61"/>
        <v>0</v>
      </c>
      <c r="M1763" s="381" t="s">
        <v>127</v>
      </c>
    </row>
    <row r="1764" spans="1:13" s="185" customFormat="1" ht="14.25" customHeight="1" thickBot="1">
      <c r="A1764" s="353">
        <v>90533</v>
      </c>
      <c r="B1764" s="194" t="s">
        <v>979</v>
      </c>
      <c r="C1764" s="339">
        <f t="shared" si="62"/>
        <v>49010</v>
      </c>
      <c r="D1764" s="196" t="s">
        <v>547</v>
      </c>
      <c r="E1764" s="187" t="s">
        <v>3608</v>
      </c>
      <c r="F1764" s="507">
        <f>SUMIFS(Controle!$R:$R,Controle!$H:$H,produtos_escape2!$A1764,Controle!$Z:$Z,"1")</f>
        <v>0</v>
      </c>
      <c r="G1764" s="507">
        <f>SUMIFS(Controle!$R:$R,Controle!$H:$H,produtos_escape2!$A1764,Controle!$Z:$Z,"2")</f>
        <v>990</v>
      </c>
      <c r="H1764" s="507">
        <f>SUMIFS(Controle!$R:$R,Controle!$H:$H,produtos_escape2!$A1764,Controle!$Z:$Z,"3")</f>
        <v>0</v>
      </c>
      <c r="I1764" s="507">
        <f>SUMIFS(Controle!$R:$R,Controle!$H:$H,produtos_escape2!$A1764,Controle!$Z:$Z,"4")</f>
        <v>0</v>
      </c>
      <c r="J1764" s="507">
        <f>SUMIFS(Controle!$R:$R,Controle!$H:$H,produtos_escape2!$A1764,Controle!$Z:$Z,"5")</f>
        <v>0</v>
      </c>
      <c r="K1764" s="507">
        <f>SUMIFS(Controle!$R:$R,Controle!$H:$H,produtos_escape2!$A1764,Controle!$Z:$Z,"6")</f>
        <v>0</v>
      </c>
      <c r="L1764" s="507">
        <f t="shared" si="61"/>
        <v>990</v>
      </c>
      <c r="M1764" s="381" t="s">
        <v>979</v>
      </c>
    </row>
    <row r="1765" spans="1:13" s="185" customFormat="1" ht="14.25" customHeight="1" thickBot="1">
      <c r="A1765" s="353">
        <v>90534</v>
      </c>
      <c r="B1765" s="194" t="s">
        <v>1142</v>
      </c>
      <c r="C1765" s="339">
        <f t="shared" si="62"/>
        <v>50000</v>
      </c>
      <c r="D1765" s="196" t="s">
        <v>725</v>
      </c>
      <c r="E1765" s="187" t="s">
        <v>3608</v>
      </c>
      <c r="F1765" s="507">
        <f>SUMIFS(Controle!$R:$R,Controle!$H:$H,produtos_escape2!$A1765,Controle!$Z:$Z,"1")</f>
        <v>0</v>
      </c>
      <c r="G1765" s="507">
        <f>SUMIFS(Controle!$R:$R,Controle!$H:$H,produtos_escape2!$A1765,Controle!$Z:$Z,"2")</f>
        <v>0</v>
      </c>
      <c r="H1765" s="507">
        <f>SUMIFS(Controle!$R:$R,Controle!$H:$H,produtos_escape2!$A1765,Controle!$Z:$Z,"3")</f>
        <v>0</v>
      </c>
      <c r="I1765" s="507">
        <f>SUMIFS(Controle!$R:$R,Controle!$H:$H,produtos_escape2!$A1765,Controle!$Z:$Z,"4")</f>
        <v>0</v>
      </c>
      <c r="J1765" s="507">
        <f>SUMIFS(Controle!$R:$R,Controle!$H:$H,produtos_escape2!$A1765,Controle!$Z:$Z,"5")</f>
        <v>0</v>
      </c>
      <c r="K1765" s="507">
        <f>SUMIFS(Controle!$R:$R,Controle!$H:$H,produtos_escape2!$A1765,Controle!$Z:$Z,"6")</f>
        <v>0</v>
      </c>
      <c r="L1765" s="507">
        <f t="shared" si="61"/>
        <v>0</v>
      </c>
      <c r="M1765" s="381" t="s">
        <v>1142</v>
      </c>
    </row>
    <row r="1766" spans="1:13" s="185" customFormat="1" ht="14.25" customHeight="1" thickBot="1">
      <c r="A1766" s="353">
        <v>90540</v>
      </c>
      <c r="B1766" s="194" t="s">
        <v>458</v>
      </c>
      <c r="C1766" s="339">
        <f t="shared" si="62"/>
        <v>50000</v>
      </c>
      <c r="D1766" s="196" t="s">
        <v>624</v>
      </c>
      <c r="E1766" s="187" t="s">
        <v>3608</v>
      </c>
      <c r="F1766" s="507">
        <f>SUMIFS(Controle!$R:$R,Controle!$H:$H,produtos_escape2!$A1766,Controle!$Z:$Z,"1")</f>
        <v>0</v>
      </c>
      <c r="G1766" s="507">
        <f>SUMIFS(Controle!$R:$R,Controle!$H:$H,produtos_escape2!$A1766,Controle!$Z:$Z,"2")</f>
        <v>0</v>
      </c>
      <c r="H1766" s="507">
        <f>SUMIFS(Controle!$R:$R,Controle!$H:$H,produtos_escape2!$A1766,Controle!$Z:$Z,"3")</f>
        <v>0</v>
      </c>
      <c r="I1766" s="507">
        <f>SUMIFS(Controle!$R:$R,Controle!$H:$H,produtos_escape2!$A1766,Controle!$Z:$Z,"4")</f>
        <v>0</v>
      </c>
      <c r="J1766" s="507">
        <f>SUMIFS(Controle!$R:$R,Controle!$H:$H,produtos_escape2!$A1766,Controle!$Z:$Z,"5")</f>
        <v>0</v>
      </c>
      <c r="K1766" s="507">
        <f>SUMIFS(Controle!$R:$R,Controle!$H:$H,produtos_escape2!$A1766,Controle!$Z:$Z,"6")</f>
        <v>0</v>
      </c>
      <c r="L1766" s="507">
        <f t="shared" si="61"/>
        <v>0</v>
      </c>
      <c r="M1766" s="381" t="s">
        <v>5712</v>
      </c>
    </row>
    <row r="1767" spans="1:13" s="185" customFormat="1" ht="14.25" customHeight="1" thickBot="1">
      <c r="A1767" s="353">
        <v>90541</v>
      </c>
      <c r="B1767" s="194" t="s">
        <v>317</v>
      </c>
      <c r="C1767" s="339">
        <f t="shared" si="62"/>
        <v>50000</v>
      </c>
      <c r="D1767" s="196" t="s">
        <v>653</v>
      </c>
      <c r="E1767" s="187" t="s">
        <v>3608</v>
      </c>
      <c r="F1767" s="507">
        <f>SUMIFS(Controle!$R:$R,Controle!$H:$H,produtos_escape2!$A1767,Controle!$Z:$Z,"1")</f>
        <v>0</v>
      </c>
      <c r="G1767" s="507">
        <f>SUMIFS(Controle!$R:$R,Controle!$H:$H,produtos_escape2!$A1767,Controle!$Z:$Z,"2")</f>
        <v>0</v>
      </c>
      <c r="H1767" s="507">
        <f>SUMIFS(Controle!$R:$R,Controle!$H:$H,produtos_escape2!$A1767,Controle!$Z:$Z,"3")</f>
        <v>0</v>
      </c>
      <c r="I1767" s="507">
        <f>SUMIFS(Controle!$R:$R,Controle!$H:$H,produtos_escape2!$A1767,Controle!$Z:$Z,"4")</f>
        <v>0</v>
      </c>
      <c r="J1767" s="507">
        <f>SUMIFS(Controle!$R:$R,Controle!$H:$H,produtos_escape2!$A1767,Controle!$Z:$Z,"5")</f>
        <v>0</v>
      </c>
      <c r="K1767" s="507">
        <f>SUMIFS(Controle!$R:$R,Controle!$H:$H,produtos_escape2!$A1767,Controle!$Z:$Z,"6")</f>
        <v>0</v>
      </c>
      <c r="L1767" s="507">
        <f t="shared" si="61"/>
        <v>0</v>
      </c>
      <c r="M1767" s="381" t="s">
        <v>5711</v>
      </c>
    </row>
    <row r="1768" spans="1:13" s="185" customFormat="1" ht="14.25" customHeight="1" thickBot="1">
      <c r="A1768" s="353">
        <v>90550</v>
      </c>
      <c r="B1768" s="194" t="s">
        <v>1140</v>
      </c>
      <c r="C1768" s="339">
        <f t="shared" si="62"/>
        <v>46981.760000000002</v>
      </c>
      <c r="D1768" s="196" t="s">
        <v>547</v>
      </c>
      <c r="E1768" s="187" t="s">
        <v>3608</v>
      </c>
      <c r="F1768" s="507">
        <f>SUMIFS(Controle!$R:$R,Controle!$H:$H,produtos_escape2!$A1768,Controle!$Z:$Z,"1")</f>
        <v>0</v>
      </c>
      <c r="G1768" s="507">
        <f>SUMIFS(Controle!$R:$R,Controle!$H:$H,produtos_escape2!$A1768,Controle!$Z:$Z,"2")</f>
        <v>726</v>
      </c>
      <c r="H1768" s="507">
        <f>SUMIFS(Controle!$R:$R,Controle!$H:$H,produtos_escape2!$A1768,Controle!$Z:$Z,"3")</f>
        <v>626.24</v>
      </c>
      <c r="I1768" s="507">
        <f>SUMIFS(Controle!$R:$R,Controle!$H:$H,produtos_escape2!$A1768,Controle!$Z:$Z,"4")</f>
        <v>0</v>
      </c>
      <c r="J1768" s="507">
        <f>SUMIFS(Controle!$R:$R,Controle!$H:$H,produtos_escape2!$A1768,Controle!$Z:$Z,"5")</f>
        <v>1110</v>
      </c>
      <c r="K1768" s="507">
        <f>SUMIFS(Controle!$R:$R,Controle!$H:$H,produtos_escape2!$A1768,Controle!$Z:$Z,"6")</f>
        <v>556</v>
      </c>
      <c r="L1768" s="507">
        <f t="shared" si="61"/>
        <v>3018.24</v>
      </c>
      <c r="M1768" s="381" t="s">
        <v>5774</v>
      </c>
    </row>
    <row r="1769" spans="1:13" s="185" customFormat="1" ht="14.25" customHeight="1" thickBot="1">
      <c r="A1769" s="333">
        <v>90551</v>
      </c>
      <c r="B1769" s="194" t="s">
        <v>163</v>
      </c>
      <c r="C1769" s="339">
        <f t="shared" si="62"/>
        <v>42674.5</v>
      </c>
      <c r="D1769" s="196" t="s">
        <v>548</v>
      </c>
      <c r="E1769" s="187" t="s">
        <v>3608</v>
      </c>
      <c r="F1769" s="507">
        <f>SUMIFS(Controle!$R:$R,Controle!$H:$H,produtos_escape2!$A1769,Controle!$Z:$Z,"1")</f>
        <v>0</v>
      </c>
      <c r="G1769" s="507">
        <f>SUMIFS(Controle!$R:$R,Controle!$H:$H,produtos_escape2!$A1769,Controle!$Z:$Z,"2")</f>
        <v>7325.5</v>
      </c>
      <c r="H1769" s="507">
        <f>SUMIFS(Controle!$R:$R,Controle!$H:$H,produtos_escape2!$A1769,Controle!$Z:$Z,"3")</f>
        <v>0</v>
      </c>
      <c r="I1769" s="507">
        <f>SUMIFS(Controle!$R:$R,Controle!$H:$H,produtos_escape2!$A1769,Controle!$Z:$Z,"4")</f>
        <v>0</v>
      </c>
      <c r="J1769" s="507">
        <f>SUMIFS(Controle!$R:$R,Controle!$H:$H,produtos_escape2!$A1769,Controle!$Z:$Z,"5")</f>
        <v>0</v>
      </c>
      <c r="K1769" s="507">
        <f>SUMIFS(Controle!$R:$R,Controle!$H:$H,produtos_escape2!$A1769,Controle!$Z:$Z,"6")</f>
        <v>0</v>
      </c>
      <c r="L1769" s="507">
        <f t="shared" si="61"/>
        <v>7325.5</v>
      </c>
      <c r="M1769" s="381" t="s">
        <v>5414</v>
      </c>
    </row>
    <row r="1770" spans="1:13" s="185" customFormat="1" ht="14.25" customHeight="1" thickBot="1">
      <c r="A1770" s="353">
        <v>90552</v>
      </c>
      <c r="B1770" s="338" t="s">
        <v>8224</v>
      </c>
      <c r="C1770" s="339">
        <f t="shared" si="62"/>
        <v>49219.9</v>
      </c>
      <c r="D1770" s="191" t="s">
        <v>547</v>
      </c>
      <c r="E1770" s="189" t="s">
        <v>3608</v>
      </c>
      <c r="F1770" s="507">
        <f>SUMIFS(Controle!$R:$R,Controle!$H:$H,produtos_escape2!$A1770,Controle!$Z:$Z,"1")</f>
        <v>0</v>
      </c>
      <c r="G1770" s="507">
        <f>SUMIFS(Controle!$R:$R,Controle!$H:$H,produtos_escape2!$A1770,Controle!$Z:$Z,"2")</f>
        <v>0</v>
      </c>
      <c r="H1770" s="507">
        <f>SUMIFS(Controle!$R:$R,Controle!$H:$H,produtos_escape2!$A1770,Controle!$Z:$Z,"3")</f>
        <v>250</v>
      </c>
      <c r="I1770" s="507">
        <f>SUMIFS(Controle!$R:$R,Controle!$H:$H,produtos_escape2!$A1770,Controle!$Z:$Z,"4")</f>
        <v>0</v>
      </c>
      <c r="J1770" s="507">
        <f>SUMIFS(Controle!$R:$R,Controle!$H:$H,produtos_escape2!$A1770,Controle!$Z:$Z,"5")</f>
        <v>0</v>
      </c>
      <c r="K1770" s="507">
        <f>SUMIFS(Controle!$R:$R,Controle!$H:$H,produtos_escape2!$A1770,Controle!$Z:$Z,"6")</f>
        <v>530.1</v>
      </c>
      <c r="L1770" s="507">
        <f t="shared" si="61"/>
        <v>780.1</v>
      </c>
      <c r="M1770" s="381" t="s">
        <v>5415</v>
      </c>
    </row>
    <row r="1771" spans="1:13" s="185" customFormat="1" ht="14.25" customHeight="1" thickBot="1">
      <c r="A1771" s="353">
        <v>90555</v>
      </c>
      <c r="B1771" s="194" t="s">
        <v>1489</v>
      </c>
      <c r="C1771" s="339">
        <f t="shared" si="62"/>
        <v>49266</v>
      </c>
      <c r="D1771" s="196" t="s">
        <v>547</v>
      </c>
      <c r="E1771" s="187" t="s">
        <v>3608</v>
      </c>
      <c r="F1771" s="507">
        <f>SUMIFS(Controle!$R:$R,Controle!$H:$H,produtos_escape2!$A1771,Controle!$Z:$Z,"1")</f>
        <v>0</v>
      </c>
      <c r="G1771" s="507">
        <f>SUMIFS(Controle!$R:$R,Controle!$H:$H,produtos_escape2!$A1771,Controle!$Z:$Z,"2")</f>
        <v>240</v>
      </c>
      <c r="H1771" s="507">
        <f>SUMIFS(Controle!$R:$R,Controle!$H:$H,produtos_escape2!$A1771,Controle!$Z:$Z,"3")</f>
        <v>224.00000000000003</v>
      </c>
      <c r="I1771" s="507">
        <f>SUMIFS(Controle!$R:$R,Controle!$H:$H,produtos_escape2!$A1771,Controle!$Z:$Z,"4")</f>
        <v>270</v>
      </c>
      <c r="J1771" s="507">
        <f>SUMIFS(Controle!$R:$R,Controle!$H:$H,produtos_escape2!$A1771,Controle!$Z:$Z,"5")</f>
        <v>0</v>
      </c>
      <c r="K1771" s="507">
        <f>SUMIFS(Controle!$R:$R,Controle!$H:$H,produtos_escape2!$A1771,Controle!$Z:$Z,"6")</f>
        <v>0</v>
      </c>
      <c r="L1771" s="507">
        <f t="shared" si="61"/>
        <v>734</v>
      </c>
      <c r="M1771" s="381" t="s">
        <v>5416</v>
      </c>
    </row>
    <row r="1772" spans="1:13" s="185" customFormat="1" ht="14.25" customHeight="1" thickBot="1">
      <c r="A1772" s="353">
        <v>90556</v>
      </c>
      <c r="B1772" s="194" t="s">
        <v>3905</v>
      </c>
      <c r="C1772" s="339">
        <f t="shared" si="62"/>
        <v>49710</v>
      </c>
      <c r="D1772" s="196" t="s">
        <v>547</v>
      </c>
      <c r="E1772" s="187" t="s">
        <v>3608</v>
      </c>
      <c r="F1772" s="507">
        <f>SUMIFS(Controle!$R:$R,Controle!$H:$H,produtos_escape2!$A1772,Controle!$Z:$Z,"1")</f>
        <v>0</v>
      </c>
      <c r="G1772" s="507">
        <f>SUMIFS(Controle!$R:$R,Controle!$H:$H,produtos_escape2!$A1772,Controle!$Z:$Z,"2")</f>
        <v>0</v>
      </c>
      <c r="H1772" s="507">
        <f>SUMIFS(Controle!$R:$R,Controle!$H:$H,produtos_escape2!$A1772,Controle!$Z:$Z,"3")</f>
        <v>290</v>
      </c>
      <c r="I1772" s="507">
        <f>SUMIFS(Controle!$R:$R,Controle!$H:$H,produtos_escape2!$A1772,Controle!$Z:$Z,"4")</f>
        <v>0</v>
      </c>
      <c r="J1772" s="507">
        <f>SUMIFS(Controle!$R:$R,Controle!$H:$H,produtos_escape2!$A1772,Controle!$Z:$Z,"5")</f>
        <v>0</v>
      </c>
      <c r="K1772" s="507">
        <f>SUMIFS(Controle!$R:$R,Controle!$H:$H,produtos_escape2!$A1772,Controle!$Z:$Z,"6")</f>
        <v>0</v>
      </c>
      <c r="L1772" s="507">
        <f t="shared" si="61"/>
        <v>290</v>
      </c>
      <c r="M1772" s="381" t="s">
        <v>3905</v>
      </c>
    </row>
    <row r="1773" spans="1:13" s="185" customFormat="1" ht="14.25" customHeight="1" thickBot="1">
      <c r="A1773" s="353">
        <v>90561</v>
      </c>
      <c r="B1773" s="194" t="s">
        <v>1587</v>
      </c>
      <c r="C1773" s="339">
        <f t="shared" si="62"/>
        <v>50000</v>
      </c>
      <c r="D1773" s="196" t="s">
        <v>547</v>
      </c>
      <c r="E1773" s="187" t="s">
        <v>3608</v>
      </c>
      <c r="F1773" s="507">
        <f>SUMIFS(Controle!$R:$R,Controle!$H:$H,produtos_escape2!$A1773,Controle!$Z:$Z,"1")</f>
        <v>0</v>
      </c>
      <c r="G1773" s="507">
        <f>SUMIFS(Controle!$R:$R,Controle!$H:$H,produtos_escape2!$A1773,Controle!$Z:$Z,"2")</f>
        <v>0</v>
      </c>
      <c r="H1773" s="507">
        <f>SUMIFS(Controle!$R:$R,Controle!$H:$H,produtos_escape2!$A1773,Controle!$Z:$Z,"3")</f>
        <v>0</v>
      </c>
      <c r="I1773" s="507">
        <f>SUMIFS(Controle!$R:$R,Controle!$H:$H,produtos_escape2!$A1773,Controle!$Z:$Z,"4")</f>
        <v>0</v>
      </c>
      <c r="J1773" s="507">
        <f>SUMIFS(Controle!$R:$R,Controle!$H:$H,produtos_escape2!$A1773,Controle!$Z:$Z,"5")</f>
        <v>0</v>
      </c>
      <c r="K1773" s="507">
        <f>SUMIFS(Controle!$R:$R,Controle!$H:$H,produtos_escape2!$A1773,Controle!$Z:$Z,"6")</f>
        <v>0</v>
      </c>
      <c r="L1773" s="507">
        <f t="shared" si="61"/>
        <v>0</v>
      </c>
      <c r="M1773" s="381" t="s">
        <v>1587</v>
      </c>
    </row>
    <row r="1774" spans="1:13" s="185" customFormat="1" ht="14.25" customHeight="1" thickBot="1">
      <c r="A1774" s="353">
        <v>90562</v>
      </c>
      <c r="B1774" s="194" t="s">
        <v>101</v>
      </c>
      <c r="C1774" s="339">
        <f t="shared" si="62"/>
        <v>50000</v>
      </c>
      <c r="D1774" s="196" t="s">
        <v>547</v>
      </c>
      <c r="E1774" s="187" t="s">
        <v>3608</v>
      </c>
      <c r="F1774" s="507">
        <f>SUMIFS(Controle!$R:$R,Controle!$H:$H,produtos_escape2!$A1774,Controle!$Z:$Z,"1")</f>
        <v>0</v>
      </c>
      <c r="G1774" s="507">
        <f>SUMIFS(Controle!$R:$R,Controle!$H:$H,produtos_escape2!$A1774,Controle!$Z:$Z,"2")</f>
        <v>0</v>
      </c>
      <c r="H1774" s="507">
        <f>SUMIFS(Controle!$R:$R,Controle!$H:$H,produtos_escape2!$A1774,Controle!$Z:$Z,"3")</f>
        <v>0</v>
      </c>
      <c r="I1774" s="507">
        <f>SUMIFS(Controle!$R:$R,Controle!$H:$H,produtos_escape2!$A1774,Controle!$Z:$Z,"4")</f>
        <v>0</v>
      </c>
      <c r="J1774" s="507">
        <f>SUMIFS(Controle!$R:$R,Controle!$H:$H,produtos_escape2!$A1774,Controle!$Z:$Z,"5")</f>
        <v>0</v>
      </c>
      <c r="K1774" s="507">
        <f>SUMIFS(Controle!$R:$R,Controle!$H:$H,produtos_escape2!$A1774,Controle!$Z:$Z,"6")</f>
        <v>0</v>
      </c>
      <c r="L1774" s="507">
        <f t="shared" si="61"/>
        <v>0</v>
      </c>
      <c r="M1774" s="381" t="s">
        <v>101</v>
      </c>
    </row>
    <row r="1775" spans="1:13" s="185" customFormat="1" ht="14.25" customHeight="1" thickBot="1">
      <c r="A1775" s="353">
        <v>90564</v>
      </c>
      <c r="B1775" s="194" t="s">
        <v>1357</v>
      </c>
      <c r="C1775" s="339">
        <f t="shared" si="62"/>
        <v>48613</v>
      </c>
      <c r="D1775" s="196" t="s">
        <v>547</v>
      </c>
      <c r="E1775" s="187" t="s">
        <v>3608</v>
      </c>
      <c r="F1775" s="507">
        <f>SUMIFS(Controle!$R:$R,Controle!$H:$H,produtos_escape2!$A1775,Controle!$Z:$Z,"1")</f>
        <v>0</v>
      </c>
      <c r="G1775" s="507">
        <f>SUMIFS(Controle!$R:$R,Controle!$H:$H,produtos_escape2!$A1775,Controle!$Z:$Z,"2")</f>
        <v>0</v>
      </c>
      <c r="H1775" s="507">
        <f>SUMIFS(Controle!$R:$R,Controle!$H:$H,produtos_escape2!$A1775,Controle!$Z:$Z,"3")</f>
        <v>0</v>
      </c>
      <c r="I1775" s="507">
        <f>SUMIFS(Controle!$R:$R,Controle!$H:$H,produtos_escape2!$A1775,Controle!$Z:$Z,"4")</f>
        <v>0</v>
      </c>
      <c r="J1775" s="507">
        <f>SUMIFS(Controle!$R:$R,Controle!$H:$H,produtos_escape2!$A1775,Controle!$Z:$Z,"5")</f>
        <v>0</v>
      </c>
      <c r="K1775" s="507">
        <f>SUMIFS(Controle!$R:$R,Controle!$H:$H,produtos_escape2!$A1775,Controle!$Z:$Z,"6")</f>
        <v>1387</v>
      </c>
      <c r="L1775" s="507">
        <f t="shared" si="61"/>
        <v>1387</v>
      </c>
      <c r="M1775" s="381" t="s">
        <v>1357</v>
      </c>
    </row>
    <row r="1776" spans="1:13" s="185" customFormat="1" ht="14.25" customHeight="1" thickBot="1">
      <c r="A1776" s="353">
        <v>90568</v>
      </c>
      <c r="B1776" s="194" t="s">
        <v>98</v>
      </c>
      <c r="C1776" s="339">
        <f t="shared" si="62"/>
        <v>50000</v>
      </c>
      <c r="D1776" s="196"/>
      <c r="E1776" s="187" t="s">
        <v>3608</v>
      </c>
      <c r="F1776" s="507">
        <f>SUMIFS(Controle!$R:$R,Controle!$H:$H,produtos_escape2!$A1776,Controle!$Z:$Z,"1")</f>
        <v>0</v>
      </c>
      <c r="G1776" s="507">
        <f>SUMIFS(Controle!$R:$R,Controle!$H:$H,produtos_escape2!$A1776,Controle!$Z:$Z,"2")</f>
        <v>0</v>
      </c>
      <c r="H1776" s="507">
        <f>SUMIFS(Controle!$R:$R,Controle!$H:$H,produtos_escape2!$A1776,Controle!$Z:$Z,"3")</f>
        <v>0</v>
      </c>
      <c r="I1776" s="507">
        <f>SUMIFS(Controle!$R:$R,Controle!$H:$H,produtos_escape2!$A1776,Controle!$Z:$Z,"4")</f>
        <v>0</v>
      </c>
      <c r="J1776" s="507">
        <f>SUMIFS(Controle!$R:$R,Controle!$H:$H,produtos_escape2!$A1776,Controle!$Z:$Z,"5")</f>
        <v>0</v>
      </c>
      <c r="K1776" s="507">
        <f>SUMIFS(Controle!$R:$R,Controle!$H:$H,produtos_escape2!$A1776,Controle!$Z:$Z,"6")</f>
        <v>0</v>
      </c>
      <c r="L1776" s="507">
        <f t="shared" si="61"/>
        <v>0</v>
      </c>
      <c r="M1776" s="381" t="s">
        <v>5417</v>
      </c>
    </row>
    <row r="1777" spans="1:13" s="185" customFormat="1" ht="14.25" customHeight="1" thickBot="1">
      <c r="A1777" s="333">
        <v>90569</v>
      </c>
      <c r="B1777" s="194" t="s">
        <v>99</v>
      </c>
      <c r="C1777" s="339">
        <f t="shared" si="62"/>
        <v>50000</v>
      </c>
      <c r="D1777" s="196"/>
      <c r="E1777" s="187" t="s">
        <v>3608</v>
      </c>
      <c r="F1777" s="507">
        <f>SUMIFS(Controle!$R:$R,Controle!$H:$H,produtos_escape2!$A1777,Controle!$Z:$Z,"1")</f>
        <v>0</v>
      </c>
      <c r="G1777" s="507">
        <f>SUMIFS(Controle!$R:$R,Controle!$H:$H,produtos_escape2!$A1777,Controle!$Z:$Z,"2")</f>
        <v>0</v>
      </c>
      <c r="H1777" s="507">
        <f>SUMIFS(Controle!$R:$R,Controle!$H:$H,produtos_escape2!$A1777,Controle!$Z:$Z,"3")</f>
        <v>0</v>
      </c>
      <c r="I1777" s="507">
        <f>SUMIFS(Controle!$R:$R,Controle!$H:$H,produtos_escape2!$A1777,Controle!$Z:$Z,"4")</f>
        <v>0</v>
      </c>
      <c r="J1777" s="507">
        <f>SUMIFS(Controle!$R:$R,Controle!$H:$H,produtos_escape2!$A1777,Controle!$Z:$Z,"5")</f>
        <v>0</v>
      </c>
      <c r="K1777" s="507">
        <f>SUMIFS(Controle!$R:$R,Controle!$H:$H,produtos_escape2!$A1777,Controle!$Z:$Z,"6")</f>
        <v>0</v>
      </c>
      <c r="L1777" s="507">
        <f t="shared" si="61"/>
        <v>0</v>
      </c>
      <c r="M1777" s="381" t="s">
        <v>5418</v>
      </c>
    </row>
    <row r="1778" spans="1:13" s="185" customFormat="1" ht="14.25" customHeight="1" thickBot="1">
      <c r="A1778" s="353">
        <v>90571</v>
      </c>
      <c r="B1778" s="338" t="s">
        <v>822</v>
      </c>
      <c r="C1778" s="339">
        <f t="shared" si="62"/>
        <v>50000</v>
      </c>
      <c r="D1778" s="196" t="s">
        <v>624</v>
      </c>
      <c r="E1778" s="187" t="s">
        <v>3608</v>
      </c>
      <c r="F1778" s="507">
        <f>SUMIFS(Controle!$R:$R,Controle!$H:$H,produtos_escape2!$A1778,Controle!$Z:$Z,"1")</f>
        <v>0</v>
      </c>
      <c r="G1778" s="507">
        <f>SUMIFS(Controle!$R:$R,Controle!$H:$H,produtos_escape2!$A1778,Controle!$Z:$Z,"2")</f>
        <v>0</v>
      </c>
      <c r="H1778" s="507">
        <f>SUMIFS(Controle!$R:$R,Controle!$H:$H,produtos_escape2!$A1778,Controle!$Z:$Z,"3")</f>
        <v>0</v>
      </c>
      <c r="I1778" s="507">
        <f>SUMIFS(Controle!$R:$R,Controle!$H:$H,produtos_escape2!$A1778,Controle!$Z:$Z,"4")</f>
        <v>0</v>
      </c>
      <c r="J1778" s="507">
        <f>SUMIFS(Controle!$R:$R,Controle!$H:$H,produtos_escape2!$A1778,Controle!$Z:$Z,"5")</f>
        <v>0</v>
      </c>
      <c r="K1778" s="507">
        <f>SUMIFS(Controle!$R:$R,Controle!$H:$H,produtos_escape2!$A1778,Controle!$Z:$Z,"6")</f>
        <v>0</v>
      </c>
      <c r="L1778" s="507">
        <f t="shared" si="61"/>
        <v>0</v>
      </c>
      <c r="M1778" s="381" t="s">
        <v>822</v>
      </c>
    </row>
    <row r="1779" spans="1:13" s="185" customFormat="1" ht="14.25" customHeight="1" thickBot="1">
      <c r="A1779" s="353">
        <v>90575</v>
      </c>
      <c r="B1779" s="194" t="s">
        <v>7394</v>
      </c>
      <c r="C1779" s="339">
        <f t="shared" si="62"/>
        <v>45708.800000000003</v>
      </c>
      <c r="D1779" s="196" t="s">
        <v>729</v>
      </c>
      <c r="E1779" s="187" t="s">
        <v>3608</v>
      </c>
      <c r="F1779" s="507">
        <f>SUMIFS(Controle!$R:$R,Controle!$H:$H,produtos_escape2!$A1779,Controle!$Z:$Z,"1")</f>
        <v>0</v>
      </c>
      <c r="G1779" s="507">
        <f>SUMIFS(Controle!$R:$R,Controle!$H:$H,produtos_escape2!$A1779,Controle!$Z:$Z,"2")</f>
        <v>4291.2</v>
      </c>
      <c r="H1779" s="507">
        <f>SUMIFS(Controle!$R:$R,Controle!$H:$H,produtos_escape2!$A1779,Controle!$Z:$Z,"3")</f>
        <v>0</v>
      </c>
      <c r="I1779" s="507">
        <f>SUMIFS(Controle!$R:$R,Controle!$H:$H,produtos_escape2!$A1779,Controle!$Z:$Z,"4")</f>
        <v>0</v>
      </c>
      <c r="J1779" s="507">
        <f>SUMIFS(Controle!$R:$R,Controle!$H:$H,produtos_escape2!$A1779,Controle!$Z:$Z,"5")</f>
        <v>0</v>
      </c>
      <c r="K1779" s="507">
        <f>SUMIFS(Controle!$R:$R,Controle!$H:$H,produtos_escape2!$A1779,Controle!$Z:$Z,"6")</f>
        <v>0</v>
      </c>
      <c r="L1779" s="507">
        <f t="shared" si="61"/>
        <v>4291.2</v>
      </c>
      <c r="M1779" s="381" t="s">
        <v>5419</v>
      </c>
    </row>
    <row r="1780" spans="1:13" s="185" customFormat="1" ht="14.25" customHeight="1" thickBot="1">
      <c r="A1780" s="353">
        <v>90576</v>
      </c>
      <c r="B1780" s="194" t="s">
        <v>213</v>
      </c>
      <c r="C1780" s="339">
        <f t="shared" si="62"/>
        <v>46144</v>
      </c>
      <c r="D1780" s="196" t="s">
        <v>729</v>
      </c>
      <c r="E1780" s="187" t="s">
        <v>3608</v>
      </c>
      <c r="F1780" s="507">
        <f>SUMIFS(Controle!$R:$R,Controle!$H:$H,produtos_escape2!$A1780,Controle!$Z:$Z,"1")</f>
        <v>0</v>
      </c>
      <c r="G1780" s="507">
        <f>SUMIFS(Controle!$R:$R,Controle!$H:$H,produtos_escape2!$A1780,Controle!$Z:$Z,"2")</f>
        <v>3856</v>
      </c>
      <c r="H1780" s="507">
        <f>SUMIFS(Controle!$R:$R,Controle!$H:$H,produtos_escape2!$A1780,Controle!$Z:$Z,"3")</f>
        <v>0</v>
      </c>
      <c r="I1780" s="507">
        <f>SUMIFS(Controle!$R:$R,Controle!$H:$H,produtos_escape2!$A1780,Controle!$Z:$Z,"4")</f>
        <v>0</v>
      </c>
      <c r="J1780" s="507">
        <f>SUMIFS(Controle!$R:$R,Controle!$H:$H,produtos_escape2!$A1780,Controle!$Z:$Z,"5")</f>
        <v>0</v>
      </c>
      <c r="K1780" s="507">
        <f>SUMIFS(Controle!$R:$R,Controle!$H:$H,produtos_escape2!$A1780,Controle!$Z:$Z,"6")</f>
        <v>0</v>
      </c>
      <c r="L1780" s="507">
        <f t="shared" si="61"/>
        <v>3856</v>
      </c>
      <c r="M1780" s="381" t="s">
        <v>5420</v>
      </c>
    </row>
    <row r="1781" spans="1:13" s="185" customFormat="1" ht="14.25" customHeight="1" thickBot="1">
      <c r="A1781" s="353">
        <v>90580</v>
      </c>
      <c r="B1781" s="194" t="s">
        <v>7698</v>
      </c>
      <c r="C1781" s="339">
        <f t="shared" si="62"/>
        <v>34629.94</v>
      </c>
      <c r="D1781" s="196" t="s">
        <v>547</v>
      </c>
      <c r="E1781" s="189" t="s">
        <v>3608</v>
      </c>
      <c r="F1781" s="507">
        <f>SUMIFS(Controle!$R:$R,Controle!$H:$H,produtos_escape2!$A1781,Controle!$Z:$Z,"1")</f>
        <v>0</v>
      </c>
      <c r="G1781" s="507">
        <f>SUMIFS(Controle!$R:$R,Controle!$H:$H,produtos_escape2!$A1781,Controle!$Z:$Z,"2")</f>
        <v>2210.06</v>
      </c>
      <c r="H1781" s="507">
        <f>SUMIFS(Controle!$R:$R,Controle!$H:$H,produtos_escape2!$A1781,Controle!$Z:$Z,"3")</f>
        <v>0</v>
      </c>
      <c r="I1781" s="507">
        <f>SUMIFS(Controle!$R:$R,Controle!$H:$H,produtos_escape2!$A1781,Controle!$Z:$Z,"4")</f>
        <v>5280</v>
      </c>
      <c r="J1781" s="507">
        <f>SUMIFS(Controle!$R:$R,Controle!$H:$H,produtos_escape2!$A1781,Controle!$Z:$Z,"5")</f>
        <v>0</v>
      </c>
      <c r="K1781" s="507">
        <f>SUMIFS(Controle!$R:$R,Controle!$H:$H,produtos_escape2!$A1781,Controle!$Z:$Z,"6")</f>
        <v>7880</v>
      </c>
      <c r="L1781" s="507">
        <f t="shared" si="61"/>
        <v>15370.06</v>
      </c>
      <c r="M1781" s="381" t="s">
        <v>3928</v>
      </c>
    </row>
    <row r="1782" spans="1:13" s="185" customFormat="1" ht="14.25" customHeight="1" thickBot="1">
      <c r="A1782" s="353">
        <v>90590</v>
      </c>
      <c r="B1782" s="194" t="s">
        <v>1485</v>
      </c>
      <c r="C1782" s="339">
        <f t="shared" si="62"/>
        <v>35951</v>
      </c>
      <c r="D1782" s="196" t="s">
        <v>547</v>
      </c>
      <c r="E1782" s="187" t="s">
        <v>3608</v>
      </c>
      <c r="F1782" s="507">
        <f>SUMIFS(Controle!$R:$R,Controle!$H:$H,produtos_escape2!$A1782,Controle!$Z:$Z,"1")</f>
        <v>0</v>
      </c>
      <c r="G1782" s="507">
        <f>SUMIFS(Controle!$R:$R,Controle!$H:$H,produtos_escape2!$A1782,Controle!$Z:$Z,"2")</f>
        <v>5670</v>
      </c>
      <c r="H1782" s="507">
        <f>SUMIFS(Controle!$R:$R,Controle!$H:$H,produtos_escape2!$A1782,Controle!$Z:$Z,"3")</f>
        <v>0</v>
      </c>
      <c r="I1782" s="507">
        <f>SUMIFS(Controle!$R:$R,Controle!$H:$H,produtos_escape2!$A1782,Controle!$Z:$Z,"4")</f>
        <v>0</v>
      </c>
      <c r="J1782" s="507">
        <f>SUMIFS(Controle!$R:$R,Controle!$H:$H,produtos_escape2!$A1782,Controle!$Z:$Z,"5")</f>
        <v>0</v>
      </c>
      <c r="K1782" s="507">
        <f>SUMIFS(Controle!$R:$R,Controle!$H:$H,produtos_escape2!$A1782,Controle!$Z:$Z,"6")</f>
        <v>8379</v>
      </c>
      <c r="L1782" s="507">
        <f t="shared" si="61"/>
        <v>14049</v>
      </c>
      <c r="M1782" s="381" t="s">
        <v>1485</v>
      </c>
    </row>
    <row r="1783" spans="1:13" s="185" customFormat="1" ht="14.25" customHeight="1" thickBot="1">
      <c r="A1783" s="353">
        <v>90592</v>
      </c>
      <c r="B1783" s="194" t="s">
        <v>1121</v>
      </c>
      <c r="C1783" s="339">
        <f t="shared" si="62"/>
        <v>49198.84</v>
      </c>
      <c r="D1783" s="196" t="s">
        <v>1060</v>
      </c>
      <c r="E1783" s="187" t="s">
        <v>3608</v>
      </c>
      <c r="F1783" s="507">
        <f>SUMIFS(Controle!$R:$R,Controle!$H:$H,produtos_escape2!$A1783,Controle!$Z:$Z,"1")</f>
        <v>0</v>
      </c>
      <c r="G1783" s="507">
        <f>SUMIFS(Controle!$R:$R,Controle!$H:$H,produtos_escape2!$A1783,Controle!$Z:$Z,"2")</f>
        <v>0</v>
      </c>
      <c r="H1783" s="507">
        <f>SUMIFS(Controle!$R:$R,Controle!$H:$H,produtos_escape2!$A1783,Controle!$Z:$Z,"3")</f>
        <v>0</v>
      </c>
      <c r="I1783" s="507">
        <f>SUMIFS(Controle!$R:$R,Controle!$H:$H,produtos_escape2!$A1783,Controle!$Z:$Z,"4")</f>
        <v>0</v>
      </c>
      <c r="J1783" s="507">
        <f>SUMIFS(Controle!$R:$R,Controle!$H:$H,produtos_escape2!$A1783,Controle!$Z:$Z,"5")</f>
        <v>432.00000000000006</v>
      </c>
      <c r="K1783" s="507">
        <f>SUMIFS(Controle!$R:$R,Controle!$H:$H,produtos_escape2!$A1783,Controle!$Z:$Z,"6")</f>
        <v>369.15999999999997</v>
      </c>
      <c r="L1783" s="507">
        <f t="shared" si="61"/>
        <v>801.16000000000008</v>
      </c>
      <c r="M1783" s="381" t="s">
        <v>1121</v>
      </c>
    </row>
    <row r="1784" spans="1:13" s="185" customFormat="1" ht="14.25" customHeight="1" thickBot="1">
      <c r="A1784" s="353">
        <v>90593</v>
      </c>
      <c r="B1784" s="194" t="s">
        <v>62</v>
      </c>
      <c r="C1784" s="339">
        <f t="shared" si="62"/>
        <v>50000</v>
      </c>
      <c r="D1784" s="196" t="s">
        <v>548</v>
      </c>
      <c r="E1784" s="187" t="s">
        <v>3608</v>
      </c>
      <c r="F1784" s="507">
        <f>SUMIFS(Controle!$R:$R,Controle!$H:$H,produtos_escape2!$A1784,Controle!$Z:$Z,"1")</f>
        <v>0</v>
      </c>
      <c r="G1784" s="507">
        <f>SUMIFS(Controle!$R:$R,Controle!$H:$H,produtos_escape2!$A1784,Controle!$Z:$Z,"2")</f>
        <v>0</v>
      </c>
      <c r="H1784" s="507">
        <f>SUMIFS(Controle!$R:$R,Controle!$H:$H,produtos_escape2!$A1784,Controle!$Z:$Z,"3")</f>
        <v>0</v>
      </c>
      <c r="I1784" s="507">
        <f>SUMIFS(Controle!$R:$R,Controle!$H:$H,produtos_escape2!$A1784,Controle!$Z:$Z,"4")</f>
        <v>0</v>
      </c>
      <c r="J1784" s="507">
        <f>SUMIFS(Controle!$R:$R,Controle!$H:$H,produtos_escape2!$A1784,Controle!$Z:$Z,"5")</f>
        <v>0</v>
      </c>
      <c r="K1784" s="507">
        <f>SUMIFS(Controle!$R:$R,Controle!$H:$H,produtos_escape2!$A1784,Controle!$Z:$Z,"6")</f>
        <v>0</v>
      </c>
      <c r="L1784" s="507">
        <f t="shared" si="61"/>
        <v>0</v>
      </c>
      <c r="M1784" s="381" t="s">
        <v>62</v>
      </c>
    </row>
    <row r="1785" spans="1:13" s="185" customFormat="1" ht="14.25" customHeight="1" thickBot="1">
      <c r="A1785" s="333">
        <v>90600</v>
      </c>
      <c r="B1785" s="194" t="s">
        <v>4448</v>
      </c>
      <c r="C1785" s="339">
        <f t="shared" si="62"/>
        <v>49860.25</v>
      </c>
      <c r="D1785" s="196" t="s">
        <v>547</v>
      </c>
      <c r="E1785" s="187" t="s">
        <v>3608</v>
      </c>
      <c r="F1785" s="507">
        <f>SUMIFS(Controle!$R:$R,Controle!$H:$H,produtos_escape2!$A1785,Controle!$Z:$Z,"1")</f>
        <v>0</v>
      </c>
      <c r="G1785" s="507">
        <f>SUMIFS(Controle!$R:$R,Controle!$H:$H,produtos_escape2!$A1785,Controle!$Z:$Z,"2")</f>
        <v>67.25</v>
      </c>
      <c r="H1785" s="507">
        <f>SUMIFS(Controle!$R:$R,Controle!$H:$H,produtos_escape2!$A1785,Controle!$Z:$Z,"3")</f>
        <v>72.5</v>
      </c>
      <c r="I1785" s="507">
        <f>SUMIFS(Controle!$R:$R,Controle!$H:$H,produtos_escape2!$A1785,Controle!$Z:$Z,"4")</f>
        <v>0</v>
      </c>
      <c r="J1785" s="507">
        <f>SUMIFS(Controle!$R:$R,Controle!$H:$H,produtos_escape2!$A1785,Controle!$Z:$Z,"5")</f>
        <v>0</v>
      </c>
      <c r="K1785" s="507">
        <f>SUMIFS(Controle!$R:$R,Controle!$H:$H,produtos_escape2!$A1785,Controle!$Z:$Z,"6")</f>
        <v>0</v>
      </c>
      <c r="L1785" s="507">
        <f t="shared" si="61"/>
        <v>139.75</v>
      </c>
      <c r="M1785" s="381" t="s">
        <v>4448</v>
      </c>
    </row>
    <row r="1786" spans="1:13" s="185" customFormat="1" ht="14.25" customHeight="1" thickBot="1">
      <c r="A1786" s="353">
        <v>90610</v>
      </c>
      <c r="B1786" s="338" t="s">
        <v>26</v>
      </c>
      <c r="C1786" s="339">
        <f t="shared" si="62"/>
        <v>149.02500000000146</v>
      </c>
      <c r="D1786" s="196" t="s">
        <v>549</v>
      </c>
      <c r="E1786" s="187" t="s">
        <v>3608</v>
      </c>
      <c r="F1786" s="507">
        <f>SUMIFS(Controle!$R:$R,Controle!$H:$H,produtos_escape2!$A1786,Controle!$Z:$Z,"1")</f>
        <v>0</v>
      </c>
      <c r="G1786" s="507">
        <f>SUMIFS(Controle!$R:$R,Controle!$H:$H,produtos_escape2!$A1786,Controle!$Z:$Z,"2")</f>
        <v>17206.5</v>
      </c>
      <c r="H1786" s="507">
        <f>SUMIFS(Controle!$R:$R,Controle!$H:$H,produtos_escape2!$A1786,Controle!$Z:$Z,"3")</f>
        <v>6600</v>
      </c>
      <c r="I1786" s="507">
        <f>SUMIFS(Controle!$R:$R,Controle!$H:$H,produtos_escape2!$A1786,Controle!$Z:$Z,"4")</f>
        <v>6336</v>
      </c>
      <c r="J1786" s="507">
        <f>SUMIFS(Controle!$R:$R,Controle!$H:$H,produtos_escape2!$A1786,Controle!$Z:$Z,"5")</f>
        <v>300</v>
      </c>
      <c r="K1786" s="507">
        <f>SUMIFS(Controle!$R:$R,Controle!$H:$H,produtos_escape2!$A1786,Controle!$Z:$Z,"6")</f>
        <v>19408.474999999999</v>
      </c>
      <c r="L1786" s="507">
        <f t="shared" si="61"/>
        <v>49850.974999999999</v>
      </c>
      <c r="M1786" s="381" t="s">
        <v>26</v>
      </c>
    </row>
    <row r="1787" spans="1:13" s="185" customFormat="1" ht="14.25" customHeight="1" thickBot="1">
      <c r="A1787" s="353">
        <v>90611</v>
      </c>
      <c r="B1787" s="194" t="s">
        <v>27</v>
      </c>
      <c r="C1787" s="339">
        <f t="shared" si="62"/>
        <v>50000</v>
      </c>
      <c r="D1787" s="196" t="s">
        <v>547</v>
      </c>
      <c r="E1787" s="187" t="s">
        <v>3608</v>
      </c>
      <c r="F1787" s="507">
        <f>SUMIFS(Controle!$R:$R,Controle!$H:$H,produtos_escape2!$A1787,Controle!$Z:$Z,"1")</f>
        <v>0</v>
      </c>
      <c r="G1787" s="507">
        <f>SUMIFS(Controle!$R:$R,Controle!$H:$H,produtos_escape2!$A1787,Controle!$Z:$Z,"2")</f>
        <v>0</v>
      </c>
      <c r="H1787" s="507">
        <f>SUMIFS(Controle!$R:$R,Controle!$H:$H,produtos_escape2!$A1787,Controle!$Z:$Z,"3")</f>
        <v>0</v>
      </c>
      <c r="I1787" s="507">
        <f>SUMIFS(Controle!$R:$R,Controle!$H:$H,produtos_escape2!$A1787,Controle!$Z:$Z,"4")</f>
        <v>0</v>
      </c>
      <c r="J1787" s="507">
        <f>SUMIFS(Controle!$R:$R,Controle!$H:$H,produtos_escape2!$A1787,Controle!$Z:$Z,"5")</f>
        <v>0</v>
      </c>
      <c r="K1787" s="507">
        <f>SUMIFS(Controle!$R:$R,Controle!$H:$H,produtos_escape2!$A1787,Controle!$Z:$Z,"6")</f>
        <v>0</v>
      </c>
      <c r="L1787" s="507">
        <f t="shared" si="61"/>
        <v>0</v>
      </c>
      <c r="M1787" s="381" t="s">
        <v>5421</v>
      </c>
    </row>
    <row r="1788" spans="1:13" s="185" customFormat="1" ht="14.25" customHeight="1" thickBot="1">
      <c r="A1788" s="353">
        <v>90621</v>
      </c>
      <c r="B1788" s="194" t="s">
        <v>1104</v>
      </c>
      <c r="C1788" s="339">
        <f t="shared" si="62"/>
        <v>50000</v>
      </c>
      <c r="D1788" s="196" t="s">
        <v>549</v>
      </c>
      <c r="E1788" s="187" t="s">
        <v>3608</v>
      </c>
      <c r="F1788" s="507">
        <f>SUMIFS(Controle!$R:$R,Controle!$H:$H,produtos_escape2!$A1788,Controle!$Z:$Z,"1")</f>
        <v>0</v>
      </c>
      <c r="G1788" s="507">
        <f>SUMIFS(Controle!$R:$R,Controle!$H:$H,produtos_escape2!$A1788,Controle!$Z:$Z,"2")</f>
        <v>0</v>
      </c>
      <c r="H1788" s="507">
        <f>SUMIFS(Controle!$R:$R,Controle!$H:$H,produtos_escape2!$A1788,Controle!$Z:$Z,"3")</f>
        <v>0</v>
      </c>
      <c r="I1788" s="507">
        <f>SUMIFS(Controle!$R:$R,Controle!$H:$H,produtos_escape2!$A1788,Controle!$Z:$Z,"4")</f>
        <v>0</v>
      </c>
      <c r="J1788" s="507">
        <f>SUMIFS(Controle!$R:$R,Controle!$H:$H,produtos_escape2!$A1788,Controle!$Z:$Z,"5")</f>
        <v>0</v>
      </c>
      <c r="K1788" s="507">
        <f>SUMIFS(Controle!$R:$R,Controle!$H:$H,produtos_escape2!$A1788,Controle!$Z:$Z,"6")</f>
        <v>0</v>
      </c>
      <c r="L1788" s="507">
        <f t="shared" si="61"/>
        <v>0</v>
      </c>
      <c r="M1788" s="381" t="s">
        <v>1104</v>
      </c>
    </row>
    <row r="1789" spans="1:13" s="185" customFormat="1" ht="14.25" customHeight="1" thickBot="1">
      <c r="A1789" s="353">
        <v>90640</v>
      </c>
      <c r="B1789" s="194" t="s">
        <v>912</v>
      </c>
      <c r="C1789" s="339">
        <f t="shared" si="62"/>
        <v>50000</v>
      </c>
      <c r="D1789" s="196" t="s">
        <v>894</v>
      </c>
      <c r="E1789" s="187" t="s">
        <v>3608</v>
      </c>
      <c r="F1789" s="507">
        <f>SUMIFS(Controle!$R:$R,Controle!$H:$H,produtos_escape2!$A1789,Controle!$Z:$Z,"1")</f>
        <v>0</v>
      </c>
      <c r="G1789" s="507">
        <f>SUMIFS(Controle!$R:$R,Controle!$H:$H,produtos_escape2!$A1789,Controle!$Z:$Z,"2")</f>
        <v>0</v>
      </c>
      <c r="H1789" s="507">
        <f>SUMIFS(Controle!$R:$R,Controle!$H:$H,produtos_escape2!$A1789,Controle!$Z:$Z,"3")</f>
        <v>0</v>
      </c>
      <c r="I1789" s="507">
        <f>SUMIFS(Controle!$R:$R,Controle!$H:$H,produtos_escape2!$A1789,Controle!$Z:$Z,"4")</f>
        <v>0</v>
      </c>
      <c r="J1789" s="507">
        <f>SUMIFS(Controle!$R:$R,Controle!$H:$H,produtos_escape2!$A1789,Controle!$Z:$Z,"5")</f>
        <v>0</v>
      </c>
      <c r="K1789" s="507">
        <f>SUMIFS(Controle!$R:$R,Controle!$H:$H,produtos_escape2!$A1789,Controle!$Z:$Z,"6")</f>
        <v>0</v>
      </c>
      <c r="L1789" s="507">
        <f t="shared" si="61"/>
        <v>0</v>
      </c>
      <c r="M1789" s="381" t="s">
        <v>5422</v>
      </c>
    </row>
    <row r="1790" spans="1:13" s="185" customFormat="1" ht="14.25" customHeight="1" thickBot="1">
      <c r="A1790" s="353">
        <v>90643</v>
      </c>
      <c r="B1790" s="194" t="s">
        <v>649</v>
      </c>
      <c r="C1790" s="339">
        <f t="shared" si="62"/>
        <v>50000</v>
      </c>
      <c r="D1790" s="196" t="s">
        <v>547</v>
      </c>
      <c r="E1790" s="187" t="s">
        <v>3608</v>
      </c>
      <c r="F1790" s="507">
        <f>SUMIFS(Controle!$R:$R,Controle!$H:$H,produtos_escape2!$A1790,Controle!$Z:$Z,"1")</f>
        <v>0</v>
      </c>
      <c r="G1790" s="507">
        <f>SUMIFS(Controle!$R:$R,Controle!$H:$H,produtos_escape2!$A1790,Controle!$Z:$Z,"2")</f>
        <v>0</v>
      </c>
      <c r="H1790" s="507">
        <f>SUMIFS(Controle!$R:$R,Controle!$H:$H,produtos_escape2!$A1790,Controle!$Z:$Z,"3")</f>
        <v>0</v>
      </c>
      <c r="I1790" s="507">
        <f>SUMIFS(Controle!$R:$R,Controle!$H:$H,produtos_escape2!$A1790,Controle!$Z:$Z,"4")</f>
        <v>0</v>
      </c>
      <c r="J1790" s="507">
        <f>SUMIFS(Controle!$R:$R,Controle!$H:$H,produtos_escape2!$A1790,Controle!$Z:$Z,"5")</f>
        <v>0</v>
      </c>
      <c r="K1790" s="507">
        <f>SUMIFS(Controle!$R:$R,Controle!$H:$H,produtos_escape2!$A1790,Controle!$Z:$Z,"6")</f>
        <v>0</v>
      </c>
      <c r="L1790" s="507">
        <f t="shared" si="61"/>
        <v>0</v>
      </c>
      <c r="M1790" s="381" t="s">
        <v>5423</v>
      </c>
    </row>
    <row r="1791" spans="1:13" s="185" customFormat="1" ht="14.25" customHeight="1" thickBot="1">
      <c r="A1791" s="353">
        <v>90644</v>
      </c>
      <c r="B1791" s="194" t="s">
        <v>241</v>
      </c>
      <c r="C1791" s="339">
        <f t="shared" si="62"/>
        <v>50000</v>
      </c>
      <c r="D1791" s="196" t="s">
        <v>547</v>
      </c>
      <c r="E1791" s="187" t="s">
        <v>3608</v>
      </c>
      <c r="F1791" s="507">
        <f>SUMIFS(Controle!$R:$R,Controle!$H:$H,produtos_escape2!$A1791,Controle!$Z:$Z,"1")</f>
        <v>0</v>
      </c>
      <c r="G1791" s="507">
        <f>SUMIFS(Controle!$R:$R,Controle!$H:$H,produtos_escape2!$A1791,Controle!$Z:$Z,"2")</f>
        <v>0</v>
      </c>
      <c r="H1791" s="507">
        <f>SUMIFS(Controle!$R:$R,Controle!$H:$H,produtos_escape2!$A1791,Controle!$Z:$Z,"3")</f>
        <v>0</v>
      </c>
      <c r="I1791" s="507">
        <f>SUMIFS(Controle!$R:$R,Controle!$H:$H,produtos_escape2!$A1791,Controle!$Z:$Z,"4")</f>
        <v>0</v>
      </c>
      <c r="J1791" s="507">
        <f>SUMIFS(Controle!$R:$R,Controle!$H:$H,produtos_escape2!$A1791,Controle!$Z:$Z,"5")</f>
        <v>0</v>
      </c>
      <c r="K1791" s="507">
        <f>SUMIFS(Controle!$R:$R,Controle!$H:$H,produtos_escape2!$A1791,Controle!$Z:$Z,"6")</f>
        <v>0</v>
      </c>
      <c r="L1791" s="507">
        <f t="shared" ref="L1791:L1854" si="63">SUM(F1791:K1791)</f>
        <v>0</v>
      </c>
      <c r="M1791" s="381" t="s">
        <v>5776</v>
      </c>
    </row>
    <row r="1792" spans="1:13" s="185" customFormat="1" ht="14.25" customHeight="1" thickBot="1">
      <c r="A1792" s="353">
        <v>90645</v>
      </c>
      <c r="B1792" s="194" t="s">
        <v>276</v>
      </c>
      <c r="C1792" s="339">
        <f t="shared" si="62"/>
        <v>50000</v>
      </c>
      <c r="D1792" s="196" t="s">
        <v>549</v>
      </c>
      <c r="E1792" s="187" t="s">
        <v>3608</v>
      </c>
      <c r="F1792" s="507">
        <f>SUMIFS(Controle!$R:$R,Controle!$H:$H,produtos_escape2!$A1792,Controle!$Z:$Z,"1")</f>
        <v>0</v>
      </c>
      <c r="G1792" s="507">
        <f>SUMIFS(Controle!$R:$R,Controle!$H:$H,produtos_escape2!$A1792,Controle!$Z:$Z,"2")</f>
        <v>0</v>
      </c>
      <c r="H1792" s="507">
        <f>SUMIFS(Controle!$R:$R,Controle!$H:$H,produtos_escape2!$A1792,Controle!$Z:$Z,"3")</f>
        <v>0</v>
      </c>
      <c r="I1792" s="507">
        <f>SUMIFS(Controle!$R:$R,Controle!$H:$H,produtos_escape2!$A1792,Controle!$Z:$Z,"4")</f>
        <v>0</v>
      </c>
      <c r="J1792" s="507">
        <f>SUMIFS(Controle!$R:$R,Controle!$H:$H,produtos_escape2!$A1792,Controle!$Z:$Z,"5")</f>
        <v>0</v>
      </c>
      <c r="K1792" s="507">
        <f>SUMIFS(Controle!$R:$R,Controle!$H:$H,produtos_escape2!$A1792,Controle!$Z:$Z,"6")</f>
        <v>0</v>
      </c>
      <c r="L1792" s="507">
        <f t="shared" si="63"/>
        <v>0</v>
      </c>
      <c r="M1792" s="381" t="s">
        <v>276</v>
      </c>
    </row>
    <row r="1793" spans="1:13" s="185" customFormat="1" ht="14.25" customHeight="1" thickBot="1">
      <c r="A1793" s="333">
        <v>90646</v>
      </c>
      <c r="B1793" s="194" t="s">
        <v>3768</v>
      </c>
      <c r="C1793" s="339">
        <f t="shared" si="62"/>
        <v>50000</v>
      </c>
      <c r="D1793" s="196" t="s">
        <v>549</v>
      </c>
      <c r="E1793" s="187" t="s">
        <v>3608</v>
      </c>
      <c r="F1793" s="507">
        <f>SUMIFS(Controle!$R:$R,Controle!$H:$H,produtos_escape2!$A1793,Controle!$Z:$Z,"1")</f>
        <v>0</v>
      </c>
      <c r="G1793" s="507">
        <f>SUMIFS(Controle!$R:$R,Controle!$H:$H,produtos_escape2!$A1793,Controle!$Z:$Z,"2")</f>
        <v>0</v>
      </c>
      <c r="H1793" s="507">
        <f>SUMIFS(Controle!$R:$R,Controle!$H:$H,produtos_escape2!$A1793,Controle!$Z:$Z,"3")</f>
        <v>0</v>
      </c>
      <c r="I1793" s="507">
        <f>SUMIFS(Controle!$R:$R,Controle!$H:$H,produtos_escape2!$A1793,Controle!$Z:$Z,"4")</f>
        <v>0</v>
      </c>
      <c r="J1793" s="507">
        <f>SUMIFS(Controle!$R:$R,Controle!$H:$H,produtos_escape2!$A1793,Controle!$Z:$Z,"5")</f>
        <v>0</v>
      </c>
      <c r="K1793" s="507">
        <f>SUMIFS(Controle!$R:$R,Controle!$H:$H,produtos_escape2!$A1793,Controle!$Z:$Z,"6")</f>
        <v>0</v>
      </c>
      <c r="L1793" s="507">
        <f t="shared" si="63"/>
        <v>0</v>
      </c>
      <c r="M1793" s="381" t="s">
        <v>3768</v>
      </c>
    </row>
    <row r="1794" spans="1:13" s="185" customFormat="1" ht="14.25" customHeight="1" thickBot="1">
      <c r="A1794" s="353">
        <v>90647</v>
      </c>
      <c r="B1794" s="338" t="s">
        <v>1254</v>
      </c>
      <c r="C1794" s="339">
        <f t="shared" si="62"/>
        <v>48800.2</v>
      </c>
      <c r="D1794" s="196" t="s">
        <v>549</v>
      </c>
      <c r="E1794" s="187" t="s">
        <v>3608</v>
      </c>
      <c r="F1794" s="507">
        <f>SUMIFS(Controle!$R:$R,Controle!$H:$H,produtos_escape2!$A1794,Controle!$Z:$Z,"1")</f>
        <v>0</v>
      </c>
      <c r="G1794" s="507">
        <f>SUMIFS(Controle!$R:$R,Controle!$H:$H,produtos_escape2!$A1794,Controle!$Z:$Z,"2")</f>
        <v>0</v>
      </c>
      <c r="H1794" s="507">
        <f>SUMIFS(Controle!$R:$R,Controle!$H:$H,produtos_escape2!$A1794,Controle!$Z:$Z,"3")</f>
        <v>0</v>
      </c>
      <c r="I1794" s="507">
        <f>SUMIFS(Controle!$R:$R,Controle!$H:$H,produtos_escape2!$A1794,Controle!$Z:$Z,"4")</f>
        <v>0</v>
      </c>
      <c r="J1794" s="507">
        <f>SUMIFS(Controle!$R:$R,Controle!$H:$H,produtos_escape2!$A1794,Controle!$Z:$Z,"5")</f>
        <v>0</v>
      </c>
      <c r="K1794" s="507">
        <f>SUMIFS(Controle!$R:$R,Controle!$H:$H,produtos_escape2!$A1794,Controle!$Z:$Z,"6")</f>
        <v>1199.8</v>
      </c>
      <c r="L1794" s="507">
        <f t="shared" si="63"/>
        <v>1199.8</v>
      </c>
      <c r="M1794" s="381" t="s">
        <v>1254</v>
      </c>
    </row>
    <row r="1795" spans="1:13" s="185" customFormat="1" ht="14.25" customHeight="1" thickBot="1">
      <c r="A1795" s="353">
        <v>90648</v>
      </c>
      <c r="B1795" s="194" t="s">
        <v>491</v>
      </c>
      <c r="C1795" s="339">
        <f t="shared" si="62"/>
        <v>50000</v>
      </c>
      <c r="D1795" s="196" t="s">
        <v>725</v>
      </c>
      <c r="E1795" s="187" t="s">
        <v>3608</v>
      </c>
      <c r="F1795" s="507">
        <f>SUMIFS(Controle!$R:$R,Controle!$H:$H,produtos_escape2!$A1795,Controle!$Z:$Z,"1")</f>
        <v>0</v>
      </c>
      <c r="G1795" s="507">
        <f>SUMIFS(Controle!$R:$R,Controle!$H:$H,produtos_escape2!$A1795,Controle!$Z:$Z,"2")</f>
        <v>0</v>
      </c>
      <c r="H1795" s="507">
        <f>SUMIFS(Controle!$R:$R,Controle!$H:$H,produtos_escape2!$A1795,Controle!$Z:$Z,"3")</f>
        <v>0</v>
      </c>
      <c r="I1795" s="507">
        <f>SUMIFS(Controle!$R:$R,Controle!$H:$H,produtos_escape2!$A1795,Controle!$Z:$Z,"4")</f>
        <v>0</v>
      </c>
      <c r="J1795" s="507">
        <f>SUMIFS(Controle!$R:$R,Controle!$H:$H,produtos_escape2!$A1795,Controle!$Z:$Z,"5")</f>
        <v>0</v>
      </c>
      <c r="K1795" s="507">
        <f>SUMIFS(Controle!$R:$R,Controle!$H:$H,produtos_escape2!$A1795,Controle!$Z:$Z,"6")</f>
        <v>0</v>
      </c>
      <c r="L1795" s="507">
        <f t="shared" si="63"/>
        <v>0</v>
      </c>
      <c r="M1795" s="381" t="s">
        <v>5424</v>
      </c>
    </row>
    <row r="1796" spans="1:13" s="185" customFormat="1" ht="14.25" customHeight="1" thickBot="1">
      <c r="A1796" s="353">
        <v>90649</v>
      </c>
      <c r="B1796" s="194" t="s">
        <v>3607</v>
      </c>
      <c r="C1796" s="339">
        <f t="shared" si="62"/>
        <v>49939.16</v>
      </c>
      <c r="D1796" s="196" t="s">
        <v>725</v>
      </c>
      <c r="E1796" s="187" t="s">
        <v>3608</v>
      </c>
      <c r="F1796" s="507">
        <f>SUMIFS(Controle!$R:$R,Controle!$H:$H,produtos_escape2!$A1796,Controle!$Z:$Z,"1")</f>
        <v>0</v>
      </c>
      <c r="G1796" s="507">
        <f>SUMIFS(Controle!$R:$R,Controle!$H:$H,produtos_escape2!$A1796,Controle!$Z:$Z,"2")</f>
        <v>0</v>
      </c>
      <c r="H1796" s="507">
        <f>SUMIFS(Controle!$R:$R,Controle!$H:$H,produtos_escape2!$A1796,Controle!$Z:$Z,"3")</f>
        <v>0</v>
      </c>
      <c r="I1796" s="507">
        <f>SUMIFS(Controle!$R:$R,Controle!$H:$H,produtos_escape2!$A1796,Controle!$Z:$Z,"4")</f>
        <v>0</v>
      </c>
      <c r="J1796" s="507">
        <f>SUMIFS(Controle!$R:$R,Controle!$H:$H,produtos_escape2!$A1796,Controle!$Z:$Z,"5")</f>
        <v>0</v>
      </c>
      <c r="K1796" s="507">
        <f>SUMIFS(Controle!$R:$R,Controle!$H:$H,produtos_escape2!$A1796,Controle!$Z:$Z,"6")</f>
        <v>60.84</v>
      </c>
      <c r="L1796" s="507">
        <f t="shared" si="63"/>
        <v>60.84</v>
      </c>
      <c r="M1796" s="381" t="s">
        <v>5425</v>
      </c>
    </row>
    <row r="1797" spans="1:13" s="185" customFormat="1" ht="14.25" customHeight="1" thickBot="1">
      <c r="A1797" s="353">
        <v>90650</v>
      </c>
      <c r="B1797" s="194" t="s">
        <v>4322</v>
      </c>
      <c r="C1797" s="339">
        <f t="shared" si="62"/>
        <v>49720</v>
      </c>
      <c r="D1797" s="191" t="s">
        <v>894</v>
      </c>
      <c r="E1797" s="189" t="s">
        <v>3608</v>
      </c>
      <c r="F1797" s="507">
        <f>SUMIFS(Controle!$R:$R,Controle!$H:$H,produtos_escape2!$A1797,Controle!$Z:$Z,"1")</f>
        <v>0</v>
      </c>
      <c r="G1797" s="507">
        <f>SUMIFS(Controle!$R:$R,Controle!$H:$H,produtos_escape2!$A1797,Controle!$Z:$Z,"2")</f>
        <v>280</v>
      </c>
      <c r="H1797" s="507">
        <f>SUMIFS(Controle!$R:$R,Controle!$H:$H,produtos_escape2!$A1797,Controle!$Z:$Z,"3")</f>
        <v>0</v>
      </c>
      <c r="I1797" s="507">
        <f>SUMIFS(Controle!$R:$R,Controle!$H:$H,produtos_escape2!$A1797,Controle!$Z:$Z,"4")</f>
        <v>0</v>
      </c>
      <c r="J1797" s="507">
        <f>SUMIFS(Controle!$R:$R,Controle!$H:$H,produtos_escape2!$A1797,Controle!$Z:$Z,"5")</f>
        <v>0</v>
      </c>
      <c r="K1797" s="507">
        <f>SUMIFS(Controle!$R:$R,Controle!$H:$H,produtos_escape2!$A1797,Controle!$Z:$Z,"6")</f>
        <v>0</v>
      </c>
      <c r="L1797" s="507">
        <f t="shared" si="63"/>
        <v>280</v>
      </c>
      <c r="M1797" s="381" t="s">
        <v>4322</v>
      </c>
    </row>
    <row r="1798" spans="1:13" s="185" customFormat="1" ht="14.25" customHeight="1" thickBot="1">
      <c r="A1798" s="353">
        <v>90680</v>
      </c>
      <c r="B1798" s="194" t="s">
        <v>2678</v>
      </c>
      <c r="C1798" s="339">
        <f t="shared" si="62"/>
        <v>50000</v>
      </c>
      <c r="D1798" s="196" t="s">
        <v>547</v>
      </c>
      <c r="E1798" s="187" t="s">
        <v>3608</v>
      </c>
      <c r="F1798" s="507">
        <f>SUMIFS(Controle!$R:$R,Controle!$H:$H,produtos_escape2!$A1798,Controle!$Z:$Z,"1")</f>
        <v>0</v>
      </c>
      <c r="G1798" s="507">
        <f>SUMIFS(Controle!$R:$R,Controle!$H:$H,produtos_escape2!$A1798,Controle!$Z:$Z,"2")</f>
        <v>0</v>
      </c>
      <c r="H1798" s="507">
        <f>SUMIFS(Controle!$R:$R,Controle!$H:$H,produtos_escape2!$A1798,Controle!$Z:$Z,"3")</f>
        <v>0</v>
      </c>
      <c r="I1798" s="507">
        <f>SUMIFS(Controle!$R:$R,Controle!$H:$H,produtos_escape2!$A1798,Controle!$Z:$Z,"4")</f>
        <v>0</v>
      </c>
      <c r="J1798" s="507">
        <f>SUMIFS(Controle!$R:$R,Controle!$H:$H,produtos_escape2!$A1798,Controle!$Z:$Z,"5")</f>
        <v>0</v>
      </c>
      <c r="K1798" s="507">
        <f>SUMIFS(Controle!$R:$R,Controle!$H:$H,produtos_escape2!$A1798,Controle!$Z:$Z,"6")</f>
        <v>0</v>
      </c>
      <c r="L1798" s="507">
        <f t="shared" si="63"/>
        <v>0</v>
      </c>
      <c r="M1798" s="381" t="s">
        <v>5426</v>
      </c>
    </row>
    <row r="1799" spans="1:13" s="185" customFormat="1" ht="14.25" customHeight="1" thickBot="1">
      <c r="A1799" s="353">
        <v>90690</v>
      </c>
      <c r="B1799" s="194" t="s">
        <v>916</v>
      </c>
      <c r="C1799" s="339">
        <f t="shared" si="62"/>
        <v>50000</v>
      </c>
      <c r="D1799" s="196" t="s">
        <v>1726</v>
      </c>
      <c r="E1799" s="187" t="s">
        <v>7207</v>
      </c>
      <c r="F1799" s="507">
        <f>SUMIFS(Controle!$R:$R,Controle!$H:$H,produtos_escape2!$A1799,Controle!$Z:$Z,"1")</f>
        <v>0</v>
      </c>
      <c r="G1799" s="507">
        <f>SUMIFS(Controle!$R:$R,Controle!$H:$H,produtos_escape2!$A1799,Controle!$Z:$Z,"2")</f>
        <v>0</v>
      </c>
      <c r="H1799" s="507">
        <f>SUMIFS(Controle!$R:$R,Controle!$H:$H,produtos_escape2!$A1799,Controle!$Z:$Z,"3")</f>
        <v>0</v>
      </c>
      <c r="I1799" s="507">
        <f>SUMIFS(Controle!$R:$R,Controle!$H:$H,produtos_escape2!$A1799,Controle!$Z:$Z,"4")</f>
        <v>0</v>
      </c>
      <c r="J1799" s="507">
        <f>SUMIFS(Controle!$R:$R,Controle!$H:$H,produtos_escape2!$A1799,Controle!$Z:$Z,"5")</f>
        <v>0</v>
      </c>
      <c r="K1799" s="507">
        <f>SUMIFS(Controle!$R:$R,Controle!$H:$H,produtos_escape2!$A1799,Controle!$Z:$Z,"6")</f>
        <v>0</v>
      </c>
      <c r="L1799" s="507">
        <f t="shared" si="63"/>
        <v>0</v>
      </c>
      <c r="M1799" s="381" t="s">
        <v>916</v>
      </c>
    </row>
    <row r="1800" spans="1:13" s="185" customFormat="1" ht="14.25" customHeight="1" thickBot="1">
      <c r="A1800" s="353">
        <v>90701</v>
      </c>
      <c r="B1800" s="194" t="s">
        <v>1394</v>
      </c>
      <c r="C1800" s="339">
        <f t="shared" si="62"/>
        <v>50000</v>
      </c>
      <c r="D1800" s="196" t="s">
        <v>547</v>
      </c>
      <c r="E1800" s="187" t="s">
        <v>3608</v>
      </c>
      <c r="F1800" s="507">
        <f>SUMIFS(Controle!$R:$R,Controle!$H:$H,produtos_escape2!$A1800,Controle!$Z:$Z,"1")</f>
        <v>0</v>
      </c>
      <c r="G1800" s="507">
        <f>SUMIFS(Controle!$R:$R,Controle!$H:$H,produtos_escape2!$A1800,Controle!$Z:$Z,"2")</f>
        <v>0</v>
      </c>
      <c r="H1800" s="507">
        <f>SUMIFS(Controle!$R:$R,Controle!$H:$H,produtos_escape2!$A1800,Controle!$Z:$Z,"3")</f>
        <v>0</v>
      </c>
      <c r="I1800" s="507">
        <f>SUMIFS(Controle!$R:$R,Controle!$H:$H,produtos_escape2!$A1800,Controle!$Z:$Z,"4")</f>
        <v>0</v>
      </c>
      <c r="J1800" s="507">
        <f>SUMIFS(Controle!$R:$R,Controle!$H:$H,produtos_escape2!$A1800,Controle!$Z:$Z,"5")</f>
        <v>0</v>
      </c>
      <c r="K1800" s="507">
        <f>SUMIFS(Controle!$R:$R,Controle!$H:$H,produtos_escape2!$A1800,Controle!$Z:$Z,"6")</f>
        <v>0</v>
      </c>
      <c r="L1800" s="507">
        <f t="shared" si="63"/>
        <v>0</v>
      </c>
      <c r="M1800" s="381" t="s">
        <v>5427</v>
      </c>
    </row>
    <row r="1801" spans="1:13" s="185" customFormat="1" ht="14.25" customHeight="1" thickBot="1">
      <c r="A1801" s="333">
        <v>90703</v>
      </c>
      <c r="B1801" s="194" t="s">
        <v>378</v>
      </c>
      <c r="C1801" s="339">
        <f t="shared" ref="C1801:C1864" si="64">50000-SUM(F1801:K1801)</f>
        <v>50000</v>
      </c>
      <c r="D1801" s="196" t="s">
        <v>725</v>
      </c>
      <c r="E1801" s="187" t="s">
        <v>3608</v>
      </c>
      <c r="F1801" s="507">
        <f>SUMIFS(Controle!$R:$R,Controle!$H:$H,produtos_escape2!$A1801,Controle!$Z:$Z,"1")</f>
        <v>0</v>
      </c>
      <c r="G1801" s="507">
        <f>SUMIFS(Controle!$R:$R,Controle!$H:$H,produtos_escape2!$A1801,Controle!$Z:$Z,"2")</f>
        <v>0</v>
      </c>
      <c r="H1801" s="507">
        <f>SUMIFS(Controle!$R:$R,Controle!$H:$H,produtos_escape2!$A1801,Controle!$Z:$Z,"3")</f>
        <v>0</v>
      </c>
      <c r="I1801" s="507">
        <f>SUMIFS(Controle!$R:$R,Controle!$H:$H,produtos_escape2!$A1801,Controle!$Z:$Z,"4")</f>
        <v>0</v>
      </c>
      <c r="J1801" s="507">
        <f>SUMIFS(Controle!$R:$R,Controle!$H:$H,produtos_escape2!$A1801,Controle!$Z:$Z,"5")</f>
        <v>0</v>
      </c>
      <c r="K1801" s="507">
        <f>SUMIFS(Controle!$R:$R,Controle!$H:$H,produtos_escape2!$A1801,Controle!$Z:$Z,"6")</f>
        <v>0</v>
      </c>
      <c r="L1801" s="507">
        <f t="shared" si="63"/>
        <v>0</v>
      </c>
      <c r="M1801" s="381" t="s">
        <v>5710</v>
      </c>
    </row>
    <row r="1802" spans="1:13" s="185" customFormat="1" ht="14.25" customHeight="1" thickBot="1">
      <c r="A1802" s="353">
        <v>90708</v>
      </c>
      <c r="B1802" s="338" t="s">
        <v>1010</v>
      </c>
      <c r="C1802" s="339">
        <f t="shared" si="64"/>
        <v>49591.519999999997</v>
      </c>
      <c r="D1802" s="196" t="s">
        <v>725</v>
      </c>
      <c r="E1802" s="187" t="s">
        <v>3608</v>
      </c>
      <c r="F1802" s="507">
        <f>SUMIFS(Controle!$R:$R,Controle!$H:$H,produtos_escape2!$A1802,Controle!$Z:$Z,"1")</f>
        <v>0</v>
      </c>
      <c r="G1802" s="507">
        <f>SUMIFS(Controle!$R:$R,Controle!$H:$H,produtos_escape2!$A1802,Controle!$Z:$Z,"2")</f>
        <v>408.47999999999996</v>
      </c>
      <c r="H1802" s="507">
        <f>SUMIFS(Controle!$R:$R,Controle!$H:$H,produtos_escape2!$A1802,Controle!$Z:$Z,"3")</f>
        <v>0</v>
      </c>
      <c r="I1802" s="507">
        <f>SUMIFS(Controle!$R:$R,Controle!$H:$H,produtos_escape2!$A1802,Controle!$Z:$Z,"4")</f>
        <v>0</v>
      </c>
      <c r="J1802" s="507">
        <f>SUMIFS(Controle!$R:$R,Controle!$H:$H,produtos_escape2!$A1802,Controle!$Z:$Z,"5")</f>
        <v>0</v>
      </c>
      <c r="K1802" s="507">
        <f>SUMIFS(Controle!$R:$R,Controle!$H:$H,produtos_escape2!$A1802,Controle!$Z:$Z,"6")</f>
        <v>0</v>
      </c>
      <c r="L1802" s="507">
        <f t="shared" si="63"/>
        <v>408.47999999999996</v>
      </c>
      <c r="M1802" s="381" t="s">
        <v>1010</v>
      </c>
    </row>
    <row r="1803" spans="1:13" s="185" customFormat="1" ht="14.25" customHeight="1" thickBot="1">
      <c r="A1803" s="353">
        <v>90719</v>
      </c>
      <c r="B1803" s="194" t="s">
        <v>1139</v>
      </c>
      <c r="C1803" s="339">
        <f t="shared" si="64"/>
        <v>50000</v>
      </c>
      <c r="D1803" s="196" t="s">
        <v>549</v>
      </c>
      <c r="E1803" s="187" t="s">
        <v>3608</v>
      </c>
      <c r="F1803" s="507">
        <f>SUMIFS(Controle!$R:$R,Controle!$H:$H,produtos_escape2!$A1803,Controle!$Z:$Z,"1")</f>
        <v>0</v>
      </c>
      <c r="G1803" s="507">
        <f>SUMIFS(Controle!$R:$R,Controle!$H:$H,produtos_escape2!$A1803,Controle!$Z:$Z,"2")</f>
        <v>0</v>
      </c>
      <c r="H1803" s="507">
        <f>SUMIFS(Controle!$R:$R,Controle!$H:$H,produtos_escape2!$A1803,Controle!$Z:$Z,"3")</f>
        <v>0</v>
      </c>
      <c r="I1803" s="507">
        <f>SUMIFS(Controle!$R:$R,Controle!$H:$H,produtos_escape2!$A1803,Controle!$Z:$Z,"4")</f>
        <v>0</v>
      </c>
      <c r="J1803" s="507">
        <f>SUMIFS(Controle!$R:$R,Controle!$H:$H,produtos_escape2!$A1803,Controle!$Z:$Z,"5")</f>
        <v>0</v>
      </c>
      <c r="K1803" s="507">
        <f>SUMIFS(Controle!$R:$R,Controle!$H:$H,produtos_escape2!$A1803,Controle!$Z:$Z,"6")</f>
        <v>0</v>
      </c>
      <c r="L1803" s="507">
        <f t="shared" si="63"/>
        <v>0</v>
      </c>
      <c r="M1803" s="381" t="s">
        <v>5709</v>
      </c>
    </row>
    <row r="1804" spans="1:13" s="185" customFormat="1" ht="14.25" customHeight="1" thickBot="1">
      <c r="A1804" s="353">
        <v>90720</v>
      </c>
      <c r="B1804" s="194" t="s">
        <v>395</v>
      </c>
      <c r="C1804" s="339">
        <f t="shared" si="64"/>
        <v>50000</v>
      </c>
      <c r="D1804" s="196"/>
      <c r="E1804" s="187" t="s">
        <v>3608</v>
      </c>
      <c r="F1804" s="507">
        <f>SUMIFS(Controle!$R:$R,Controle!$H:$H,produtos_escape2!$A1804,Controle!$Z:$Z,"1")</f>
        <v>0</v>
      </c>
      <c r="G1804" s="507">
        <f>SUMIFS(Controle!$R:$R,Controle!$H:$H,produtos_escape2!$A1804,Controle!$Z:$Z,"2")</f>
        <v>0</v>
      </c>
      <c r="H1804" s="507">
        <f>SUMIFS(Controle!$R:$R,Controle!$H:$H,produtos_escape2!$A1804,Controle!$Z:$Z,"3")</f>
        <v>0</v>
      </c>
      <c r="I1804" s="507">
        <f>SUMIFS(Controle!$R:$R,Controle!$H:$H,produtos_escape2!$A1804,Controle!$Z:$Z,"4")</f>
        <v>0</v>
      </c>
      <c r="J1804" s="507">
        <f>SUMIFS(Controle!$R:$R,Controle!$H:$H,produtos_escape2!$A1804,Controle!$Z:$Z,"5")</f>
        <v>0</v>
      </c>
      <c r="K1804" s="507">
        <f>SUMIFS(Controle!$R:$R,Controle!$H:$H,produtos_escape2!$A1804,Controle!$Z:$Z,"6")</f>
        <v>0</v>
      </c>
      <c r="L1804" s="507">
        <f t="shared" si="63"/>
        <v>0</v>
      </c>
      <c r="M1804" s="381" t="s">
        <v>5428</v>
      </c>
    </row>
    <row r="1805" spans="1:13" s="185" customFormat="1" ht="14.25" customHeight="1" thickBot="1">
      <c r="A1805" s="353">
        <v>90739</v>
      </c>
      <c r="B1805" s="194" t="s">
        <v>2916</v>
      </c>
      <c r="C1805" s="339">
        <f t="shared" si="64"/>
        <v>50000</v>
      </c>
      <c r="D1805" s="196" t="s">
        <v>548</v>
      </c>
      <c r="E1805" s="187" t="s">
        <v>3608</v>
      </c>
      <c r="F1805" s="507">
        <f>SUMIFS(Controle!$R:$R,Controle!$H:$H,produtos_escape2!$A1805,Controle!$Z:$Z,"1")</f>
        <v>0</v>
      </c>
      <c r="G1805" s="507">
        <f>SUMIFS(Controle!$R:$R,Controle!$H:$H,produtos_escape2!$A1805,Controle!$Z:$Z,"2")</f>
        <v>0</v>
      </c>
      <c r="H1805" s="507">
        <f>SUMIFS(Controle!$R:$R,Controle!$H:$H,produtos_escape2!$A1805,Controle!$Z:$Z,"3")</f>
        <v>0</v>
      </c>
      <c r="I1805" s="507">
        <f>SUMIFS(Controle!$R:$R,Controle!$H:$H,produtos_escape2!$A1805,Controle!$Z:$Z,"4")</f>
        <v>0</v>
      </c>
      <c r="J1805" s="507">
        <f>SUMIFS(Controle!$R:$R,Controle!$H:$H,produtos_escape2!$A1805,Controle!$Z:$Z,"5")</f>
        <v>0</v>
      </c>
      <c r="K1805" s="507">
        <f>SUMIFS(Controle!$R:$R,Controle!$H:$H,produtos_escape2!$A1805,Controle!$Z:$Z,"6")</f>
        <v>0</v>
      </c>
      <c r="L1805" s="507">
        <f t="shared" si="63"/>
        <v>0</v>
      </c>
      <c r="M1805" s="381" t="s">
        <v>5708</v>
      </c>
    </row>
    <row r="1806" spans="1:13" s="185" customFormat="1" ht="14.25" customHeight="1" thickBot="1">
      <c r="A1806" s="353">
        <v>90741</v>
      </c>
      <c r="B1806" s="194" t="s">
        <v>858</v>
      </c>
      <c r="C1806" s="339">
        <f t="shared" si="64"/>
        <v>50000</v>
      </c>
      <c r="D1806" s="196" t="s">
        <v>624</v>
      </c>
      <c r="E1806" s="187" t="s">
        <v>3608</v>
      </c>
      <c r="F1806" s="507">
        <f>SUMIFS(Controle!$R:$R,Controle!$H:$H,produtos_escape2!$A1806,Controle!$Z:$Z,"1")</f>
        <v>0</v>
      </c>
      <c r="G1806" s="507">
        <f>SUMIFS(Controle!$R:$R,Controle!$H:$H,produtos_escape2!$A1806,Controle!$Z:$Z,"2")</f>
        <v>0</v>
      </c>
      <c r="H1806" s="507">
        <f>SUMIFS(Controle!$R:$R,Controle!$H:$H,produtos_escape2!$A1806,Controle!$Z:$Z,"3")</f>
        <v>0</v>
      </c>
      <c r="I1806" s="507">
        <f>SUMIFS(Controle!$R:$R,Controle!$H:$H,produtos_escape2!$A1806,Controle!$Z:$Z,"4")</f>
        <v>0</v>
      </c>
      <c r="J1806" s="507">
        <f>SUMIFS(Controle!$R:$R,Controle!$H:$H,produtos_escape2!$A1806,Controle!$Z:$Z,"5")</f>
        <v>0</v>
      </c>
      <c r="K1806" s="507">
        <f>SUMIFS(Controle!$R:$R,Controle!$H:$H,produtos_escape2!$A1806,Controle!$Z:$Z,"6")</f>
        <v>0</v>
      </c>
      <c r="L1806" s="507">
        <f t="shared" si="63"/>
        <v>0</v>
      </c>
      <c r="M1806" s="381" t="s">
        <v>5707</v>
      </c>
    </row>
    <row r="1807" spans="1:13" s="185" customFormat="1" ht="14.25" customHeight="1" thickBot="1">
      <c r="A1807" s="353">
        <v>90760</v>
      </c>
      <c r="B1807" s="194" t="s">
        <v>1479</v>
      </c>
      <c r="C1807" s="339">
        <f t="shared" si="64"/>
        <v>50000</v>
      </c>
      <c r="D1807" s="196" t="s">
        <v>725</v>
      </c>
      <c r="E1807" s="187" t="s">
        <v>3608</v>
      </c>
      <c r="F1807" s="507">
        <f>SUMIFS(Controle!$R:$R,Controle!$H:$H,produtos_escape2!$A1807,Controle!$Z:$Z,"1")</f>
        <v>0</v>
      </c>
      <c r="G1807" s="507">
        <f>SUMIFS(Controle!$R:$R,Controle!$H:$H,produtos_escape2!$A1807,Controle!$Z:$Z,"2")</f>
        <v>0</v>
      </c>
      <c r="H1807" s="507">
        <f>SUMIFS(Controle!$R:$R,Controle!$H:$H,produtos_escape2!$A1807,Controle!$Z:$Z,"3")</f>
        <v>0</v>
      </c>
      <c r="I1807" s="507">
        <f>SUMIFS(Controle!$R:$R,Controle!$H:$H,produtos_escape2!$A1807,Controle!$Z:$Z,"4")</f>
        <v>0</v>
      </c>
      <c r="J1807" s="507">
        <f>SUMIFS(Controle!$R:$R,Controle!$H:$H,produtos_escape2!$A1807,Controle!$Z:$Z,"5")</f>
        <v>0</v>
      </c>
      <c r="K1807" s="507">
        <f>SUMIFS(Controle!$R:$R,Controle!$H:$H,produtos_escape2!$A1807,Controle!$Z:$Z,"6")</f>
        <v>0</v>
      </c>
      <c r="L1807" s="507">
        <f t="shared" si="63"/>
        <v>0</v>
      </c>
      <c r="M1807" s="381" t="s">
        <v>1479</v>
      </c>
    </row>
    <row r="1808" spans="1:13" s="185" customFormat="1" ht="14.25" customHeight="1" thickBot="1">
      <c r="A1808" s="353">
        <v>90761</v>
      </c>
      <c r="B1808" s="194" t="s">
        <v>1246</v>
      </c>
      <c r="C1808" s="339">
        <f t="shared" si="64"/>
        <v>50000</v>
      </c>
      <c r="D1808" s="196" t="s">
        <v>725</v>
      </c>
      <c r="E1808" s="187" t="s">
        <v>3608</v>
      </c>
      <c r="F1808" s="507">
        <f>SUMIFS(Controle!$R:$R,Controle!$H:$H,produtos_escape2!$A1808,Controle!$Z:$Z,"1")</f>
        <v>0</v>
      </c>
      <c r="G1808" s="507">
        <f>SUMIFS(Controle!$R:$R,Controle!$H:$H,produtos_escape2!$A1808,Controle!$Z:$Z,"2")</f>
        <v>0</v>
      </c>
      <c r="H1808" s="507">
        <f>SUMIFS(Controle!$R:$R,Controle!$H:$H,produtos_escape2!$A1808,Controle!$Z:$Z,"3")</f>
        <v>0</v>
      </c>
      <c r="I1808" s="507">
        <f>SUMIFS(Controle!$R:$R,Controle!$H:$H,produtos_escape2!$A1808,Controle!$Z:$Z,"4")</f>
        <v>0</v>
      </c>
      <c r="J1808" s="507">
        <f>SUMIFS(Controle!$R:$R,Controle!$H:$H,produtos_escape2!$A1808,Controle!$Z:$Z,"5")</f>
        <v>0</v>
      </c>
      <c r="K1808" s="507">
        <f>SUMIFS(Controle!$R:$R,Controle!$H:$H,produtos_escape2!$A1808,Controle!$Z:$Z,"6")</f>
        <v>0</v>
      </c>
      <c r="L1808" s="507">
        <f t="shared" si="63"/>
        <v>0</v>
      </c>
      <c r="M1808" s="381" t="s">
        <v>1246</v>
      </c>
    </row>
    <row r="1809" spans="1:13" s="185" customFormat="1" ht="14.25" customHeight="1" thickBot="1">
      <c r="A1809" s="333">
        <v>90762</v>
      </c>
      <c r="B1809" s="194" t="s">
        <v>1387</v>
      </c>
      <c r="C1809" s="339">
        <f t="shared" si="64"/>
        <v>50000</v>
      </c>
      <c r="D1809" s="196" t="s">
        <v>547</v>
      </c>
      <c r="E1809" s="187" t="s">
        <v>3608</v>
      </c>
      <c r="F1809" s="507">
        <f>SUMIFS(Controle!$R:$R,Controle!$H:$H,produtos_escape2!$A1809,Controle!$Z:$Z,"1")</f>
        <v>0</v>
      </c>
      <c r="G1809" s="507">
        <f>SUMIFS(Controle!$R:$R,Controle!$H:$H,produtos_escape2!$A1809,Controle!$Z:$Z,"2")</f>
        <v>0</v>
      </c>
      <c r="H1809" s="507">
        <f>SUMIFS(Controle!$R:$R,Controle!$H:$H,produtos_escape2!$A1809,Controle!$Z:$Z,"3")</f>
        <v>0</v>
      </c>
      <c r="I1809" s="507">
        <f>SUMIFS(Controle!$R:$R,Controle!$H:$H,produtos_escape2!$A1809,Controle!$Z:$Z,"4")</f>
        <v>0</v>
      </c>
      <c r="J1809" s="507">
        <f>SUMIFS(Controle!$R:$R,Controle!$H:$H,produtos_escape2!$A1809,Controle!$Z:$Z,"5")</f>
        <v>0</v>
      </c>
      <c r="K1809" s="507">
        <f>SUMIFS(Controle!$R:$R,Controle!$H:$H,produtos_escape2!$A1809,Controle!$Z:$Z,"6")</f>
        <v>0</v>
      </c>
      <c r="L1809" s="507">
        <f t="shared" si="63"/>
        <v>0</v>
      </c>
      <c r="M1809" s="381" t="s">
        <v>1387</v>
      </c>
    </row>
    <row r="1810" spans="1:13" s="185" customFormat="1" ht="14.25" customHeight="1" thickBot="1">
      <c r="A1810" s="353">
        <v>90776</v>
      </c>
      <c r="B1810" s="338" t="s">
        <v>3086</v>
      </c>
      <c r="C1810" s="339">
        <f t="shared" si="64"/>
        <v>50000</v>
      </c>
      <c r="D1810" s="196" t="s">
        <v>725</v>
      </c>
      <c r="E1810" s="187" t="s">
        <v>3608</v>
      </c>
      <c r="F1810" s="507">
        <f>SUMIFS(Controle!$R:$R,Controle!$H:$H,produtos_escape2!$A1810,Controle!$Z:$Z,"1")</f>
        <v>0</v>
      </c>
      <c r="G1810" s="507">
        <f>SUMIFS(Controle!$R:$R,Controle!$H:$H,produtos_escape2!$A1810,Controle!$Z:$Z,"2")</f>
        <v>0</v>
      </c>
      <c r="H1810" s="507">
        <f>SUMIFS(Controle!$R:$R,Controle!$H:$H,produtos_escape2!$A1810,Controle!$Z:$Z,"3")</f>
        <v>0</v>
      </c>
      <c r="I1810" s="507">
        <f>SUMIFS(Controle!$R:$R,Controle!$H:$H,produtos_escape2!$A1810,Controle!$Z:$Z,"4")</f>
        <v>0</v>
      </c>
      <c r="J1810" s="507">
        <f>SUMIFS(Controle!$R:$R,Controle!$H:$H,produtos_escape2!$A1810,Controle!$Z:$Z,"5")</f>
        <v>0</v>
      </c>
      <c r="K1810" s="507">
        <f>SUMIFS(Controle!$R:$R,Controle!$H:$H,produtos_escape2!$A1810,Controle!$Z:$Z,"6")</f>
        <v>0</v>
      </c>
      <c r="L1810" s="507">
        <f t="shared" si="63"/>
        <v>0</v>
      </c>
      <c r="M1810" s="381" t="s">
        <v>5429</v>
      </c>
    </row>
    <row r="1811" spans="1:13" s="185" customFormat="1" ht="14.25" customHeight="1" thickBot="1">
      <c r="A1811" s="353">
        <v>90814</v>
      </c>
      <c r="B1811" s="194" t="s">
        <v>1079</v>
      </c>
      <c r="C1811" s="339">
        <f t="shared" si="64"/>
        <v>49308</v>
      </c>
      <c r="D1811" s="196" t="s">
        <v>894</v>
      </c>
      <c r="E1811" s="187" t="s">
        <v>3608</v>
      </c>
      <c r="F1811" s="507">
        <f>SUMIFS(Controle!$R:$R,Controle!$H:$H,produtos_escape2!$A1811,Controle!$Z:$Z,"1")</f>
        <v>0</v>
      </c>
      <c r="G1811" s="507">
        <f>SUMIFS(Controle!$R:$R,Controle!$H:$H,produtos_escape2!$A1811,Controle!$Z:$Z,"2")</f>
        <v>0</v>
      </c>
      <c r="H1811" s="507">
        <f>SUMIFS(Controle!$R:$R,Controle!$H:$H,produtos_escape2!$A1811,Controle!$Z:$Z,"3")</f>
        <v>692</v>
      </c>
      <c r="I1811" s="507">
        <f>SUMIFS(Controle!$R:$R,Controle!$H:$H,produtos_escape2!$A1811,Controle!$Z:$Z,"4")</f>
        <v>0</v>
      </c>
      <c r="J1811" s="507">
        <f>SUMIFS(Controle!$R:$R,Controle!$H:$H,produtos_escape2!$A1811,Controle!$Z:$Z,"5")</f>
        <v>0</v>
      </c>
      <c r="K1811" s="507">
        <f>SUMIFS(Controle!$R:$R,Controle!$H:$H,produtos_escape2!$A1811,Controle!$Z:$Z,"6")</f>
        <v>0</v>
      </c>
      <c r="L1811" s="507">
        <f t="shared" si="63"/>
        <v>692</v>
      </c>
      <c r="M1811" s="381" t="s">
        <v>5706</v>
      </c>
    </row>
    <row r="1812" spans="1:13" s="185" customFormat="1" ht="14.25" customHeight="1" thickBot="1">
      <c r="A1812" s="353">
        <v>90823</v>
      </c>
      <c r="B1812" s="194" t="s">
        <v>749</v>
      </c>
      <c r="C1812" s="339">
        <f t="shared" si="64"/>
        <v>50000</v>
      </c>
      <c r="D1812" s="196" t="s">
        <v>894</v>
      </c>
      <c r="E1812" s="187" t="s">
        <v>3608</v>
      </c>
      <c r="F1812" s="507">
        <f>SUMIFS(Controle!$R:$R,Controle!$H:$H,produtos_escape2!$A1812,Controle!$Z:$Z,"1")</f>
        <v>0</v>
      </c>
      <c r="G1812" s="507">
        <f>SUMIFS(Controle!$R:$R,Controle!$H:$H,produtos_escape2!$A1812,Controle!$Z:$Z,"2")</f>
        <v>0</v>
      </c>
      <c r="H1812" s="507">
        <f>SUMIFS(Controle!$R:$R,Controle!$H:$H,produtos_escape2!$A1812,Controle!$Z:$Z,"3")</f>
        <v>0</v>
      </c>
      <c r="I1812" s="507">
        <f>SUMIFS(Controle!$R:$R,Controle!$H:$H,produtos_escape2!$A1812,Controle!$Z:$Z,"4")</f>
        <v>0</v>
      </c>
      <c r="J1812" s="507">
        <f>SUMIFS(Controle!$R:$R,Controle!$H:$H,produtos_escape2!$A1812,Controle!$Z:$Z,"5")</f>
        <v>0</v>
      </c>
      <c r="K1812" s="507">
        <f>SUMIFS(Controle!$R:$R,Controle!$H:$H,produtos_escape2!$A1812,Controle!$Z:$Z,"6")</f>
        <v>0</v>
      </c>
      <c r="L1812" s="507">
        <f t="shared" si="63"/>
        <v>0</v>
      </c>
      <c r="M1812" s="381" t="s">
        <v>5430</v>
      </c>
    </row>
    <row r="1813" spans="1:13" s="185" customFormat="1" ht="14.25" customHeight="1" thickBot="1">
      <c r="A1813" s="353">
        <v>90828</v>
      </c>
      <c r="B1813" s="194" t="s">
        <v>3371</v>
      </c>
      <c r="C1813" s="339">
        <f t="shared" si="64"/>
        <v>50000</v>
      </c>
      <c r="D1813" s="196" t="s">
        <v>548</v>
      </c>
      <c r="E1813" s="187" t="s">
        <v>3608</v>
      </c>
      <c r="F1813" s="507">
        <f>SUMIFS(Controle!$R:$R,Controle!$H:$H,produtos_escape2!$A1813,Controle!$Z:$Z,"1")</f>
        <v>0</v>
      </c>
      <c r="G1813" s="507">
        <f>SUMIFS(Controle!$R:$R,Controle!$H:$H,produtos_escape2!$A1813,Controle!$Z:$Z,"2")</f>
        <v>0</v>
      </c>
      <c r="H1813" s="507">
        <f>SUMIFS(Controle!$R:$R,Controle!$H:$H,produtos_escape2!$A1813,Controle!$Z:$Z,"3")</f>
        <v>0</v>
      </c>
      <c r="I1813" s="507">
        <f>SUMIFS(Controle!$R:$R,Controle!$H:$H,produtos_escape2!$A1813,Controle!$Z:$Z,"4")</f>
        <v>0</v>
      </c>
      <c r="J1813" s="507">
        <f>SUMIFS(Controle!$R:$R,Controle!$H:$H,produtos_escape2!$A1813,Controle!$Z:$Z,"5")</f>
        <v>0</v>
      </c>
      <c r="K1813" s="507">
        <f>SUMIFS(Controle!$R:$R,Controle!$H:$H,produtos_escape2!$A1813,Controle!$Z:$Z,"6")</f>
        <v>0</v>
      </c>
      <c r="L1813" s="507">
        <f t="shared" si="63"/>
        <v>0</v>
      </c>
      <c r="M1813" s="381" t="s">
        <v>5431</v>
      </c>
    </row>
    <row r="1814" spans="1:13" s="185" customFormat="1" ht="14.25" customHeight="1" thickBot="1">
      <c r="A1814" s="353">
        <v>90829</v>
      </c>
      <c r="B1814" s="194" t="s">
        <v>943</v>
      </c>
      <c r="C1814" s="339">
        <f t="shared" si="64"/>
        <v>50000</v>
      </c>
      <c r="D1814" s="196" t="s">
        <v>548</v>
      </c>
      <c r="E1814" s="187" t="s">
        <v>3608</v>
      </c>
      <c r="F1814" s="507">
        <f>SUMIFS(Controle!$R:$R,Controle!$H:$H,produtos_escape2!$A1814,Controle!$Z:$Z,"1")</f>
        <v>0</v>
      </c>
      <c r="G1814" s="507">
        <f>SUMIFS(Controle!$R:$R,Controle!$H:$H,produtos_escape2!$A1814,Controle!$Z:$Z,"2")</f>
        <v>0</v>
      </c>
      <c r="H1814" s="507">
        <f>SUMIFS(Controle!$R:$R,Controle!$H:$H,produtos_escape2!$A1814,Controle!$Z:$Z,"3")</f>
        <v>0</v>
      </c>
      <c r="I1814" s="507">
        <f>SUMIFS(Controle!$R:$R,Controle!$H:$H,produtos_escape2!$A1814,Controle!$Z:$Z,"4")</f>
        <v>0</v>
      </c>
      <c r="J1814" s="507">
        <f>SUMIFS(Controle!$R:$R,Controle!$H:$H,produtos_escape2!$A1814,Controle!$Z:$Z,"5")</f>
        <v>0</v>
      </c>
      <c r="K1814" s="507">
        <f>SUMIFS(Controle!$R:$R,Controle!$H:$H,produtos_escape2!$A1814,Controle!$Z:$Z,"6")</f>
        <v>0</v>
      </c>
      <c r="L1814" s="507">
        <f t="shared" si="63"/>
        <v>0</v>
      </c>
      <c r="M1814" s="381" t="s">
        <v>943</v>
      </c>
    </row>
    <row r="1815" spans="1:13" s="185" customFormat="1" ht="14.25" customHeight="1" thickBot="1">
      <c r="A1815" s="353">
        <v>90830</v>
      </c>
      <c r="B1815" s="194" t="s">
        <v>1068</v>
      </c>
      <c r="C1815" s="339">
        <f t="shared" si="64"/>
        <v>50000</v>
      </c>
      <c r="D1815" s="196" t="s">
        <v>548</v>
      </c>
      <c r="E1815" s="187" t="s">
        <v>3608</v>
      </c>
      <c r="F1815" s="507">
        <f>SUMIFS(Controle!$R:$R,Controle!$H:$H,produtos_escape2!$A1815,Controle!$Z:$Z,"1")</f>
        <v>0</v>
      </c>
      <c r="G1815" s="507">
        <f>SUMIFS(Controle!$R:$R,Controle!$H:$H,produtos_escape2!$A1815,Controle!$Z:$Z,"2")</f>
        <v>0</v>
      </c>
      <c r="H1815" s="507">
        <f>SUMIFS(Controle!$R:$R,Controle!$H:$H,produtos_escape2!$A1815,Controle!$Z:$Z,"3")</f>
        <v>0</v>
      </c>
      <c r="I1815" s="507">
        <f>SUMIFS(Controle!$R:$R,Controle!$H:$H,produtos_escape2!$A1815,Controle!$Z:$Z,"4")</f>
        <v>0</v>
      </c>
      <c r="J1815" s="507">
        <f>SUMIFS(Controle!$R:$R,Controle!$H:$H,produtos_escape2!$A1815,Controle!$Z:$Z,"5")</f>
        <v>0</v>
      </c>
      <c r="K1815" s="507">
        <f>SUMIFS(Controle!$R:$R,Controle!$H:$H,produtos_escape2!$A1815,Controle!$Z:$Z,"6")</f>
        <v>0</v>
      </c>
      <c r="L1815" s="507">
        <f t="shared" si="63"/>
        <v>0</v>
      </c>
      <c r="M1815" s="381" t="s">
        <v>1068</v>
      </c>
    </row>
    <row r="1816" spans="1:13" s="185" customFormat="1" ht="14.25" customHeight="1" thickBot="1">
      <c r="A1816" s="353">
        <v>90841</v>
      </c>
      <c r="B1816" s="194" t="s">
        <v>3835</v>
      </c>
      <c r="C1816" s="339">
        <f t="shared" si="64"/>
        <v>48947.4</v>
      </c>
      <c r="D1816" s="196" t="s">
        <v>548</v>
      </c>
      <c r="E1816" s="187" t="s">
        <v>3608</v>
      </c>
      <c r="F1816" s="507">
        <f>SUMIFS(Controle!$R:$R,Controle!$H:$H,produtos_escape2!$A1816,Controle!$Z:$Z,"1")</f>
        <v>0</v>
      </c>
      <c r="G1816" s="507">
        <f>SUMIFS(Controle!$R:$R,Controle!$H:$H,produtos_escape2!$A1816,Controle!$Z:$Z,"2")</f>
        <v>0</v>
      </c>
      <c r="H1816" s="507">
        <f>SUMIFS(Controle!$R:$R,Controle!$H:$H,produtos_escape2!$A1816,Controle!$Z:$Z,"3")</f>
        <v>258.89999999999998</v>
      </c>
      <c r="I1816" s="507">
        <f>SUMIFS(Controle!$R:$R,Controle!$H:$H,produtos_escape2!$A1816,Controle!$Z:$Z,"4")</f>
        <v>348.5</v>
      </c>
      <c r="J1816" s="507">
        <f>SUMIFS(Controle!$R:$R,Controle!$H:$H,produtos_escape2!$A1816,Controle!$Z:$Z,"5")</f>
        <v>0</v>
      </c>
      <c r="K1816" s="507">
        <f>SUMIFS(Controle!$R:$R,Controle!$H:$H,produtos_escape2!$A1816,Controle!$Z:$Z,"6")</f>
        <v>445.2</v>
      </c>
      <c r="L1816" s="507">
        <f t="shared" si="63"/>
        <v>1052.5999999999999</v>
      </c>
      <c r="M1816" s="381" t="s">
        <v>3835</v>
      </c>
    </row>
    <row r="1817" spans="1:13" s="185" customFormat="1" ht="14.25" customHeight="1" thickBot="1">
      <c r="A1817" s="333">
        <v>90843</v>
      </c>
      <c r="B1817" s="194" t="s">
        <v>4127</v>
      </c>
      <c r="C1817" s="339">
        <f t="shared" si="64"/>
        <v>48939.4</v>
      </c>
      <c r="D1817" s="196" t="s">
        <v>548</v>
      </c>
      <c r="E1817" s="187" t="s">
        <v>3608</v>
      </c>
      <c r="F1817" s="507">
        <f>SUMIFS(Controle!$R:$R,Controle!$H:$H,produtos_escape2!$A1817,Controle!$Z:$Z,"1")</f>
        <v>0</v>
      </c>
      <c r="G1817" s="507">
        <f>SUMIFS(Controle!$R:$R,Controle!$H:$H,produtos_escape2!$A1817,Controle!$Z:$Z,"2")</f>
        <v>0</v>
      </c>
      <c r="H1817" s="507">
        <f>SUMIFS(Controle!$R:$R,Controle!$H:$H,produtos_escape2!$A1817,Controle!$Z:$Z,"3")</f>
        <v>877.59999999999991</v>
      </c>
      <c r="I1817" s="507">
        <f>SUMIFS(Controle!$R:$R,Controle!$H:$H,produtos_escape2!$A1817,Controle!$Z:$Z,"4")</f>
        <v>0</v>
      </c>
      <c r="J1817" s="507">
        <f>SUMIFS(Controle!$R:$R,Controle!$H:$H,produtos_escape2!$A1817,Controle!$Z:$Z,"5")</f>
        <v>0</v>
      </c>
      <c r="K1817" s="507">
        <f>SUMIFS(Controle!$R:$R,Controle!$H:$H,produtos_escape2!$A1817,Controle!$Z:$Z,"6")</f>
        <v>183</v>
      </c>
      <c r="L1817" s="507">
        <f t="shared" si="63"/>
        <v>1060.5999999999999</v>
      </c>
      <c r="M1817" s="381" t="s">
        <v>4127</v>
      </c>
    </row>
    <row r="1818" spans="1:13" s="185" customFormat="1" ht="14.25" customHeight="1" thickBot="1">
      <c r="A1818" s="353">
        <v>90845</v>
      </c>
      <c r="B1818" s="338" t="s">
        <v>3081</v>
      </c>
      <c r="C1818" s="339">
        <f t="shared" si="64"/>
        <v>49369.599999999999</v>
      </c>
      <c r="D1818" s="196" t="s">
        <v>548</v>
      </c>
      <c r="E1818" s="187" t="s">
        <v>3608</v>
      </c>
      <c r="F1818" s="507">
        <f>SUMIFS(Controle!$R:$R,Controle!$H:$H,produtos_escape2!$A1818,Controle!$Z:$Z,"1")</f>
        <v>0</v>
      </c>
      <c r="G1818" s="507">
        <f>SUMIFS(Controle!$R:$R,Controle!$H:$H,produtos_escape2!$A1818,Controle!$Z:$Z,"2")</f>
        <v>245.39999999999998</v>
      </c>
      <c r="H1818" s="507">
        <f>SUMIFS(Controle!$R:$R,Controle!$H:$H,produtos_escape2!$A1818,Controle!$Z:$Z,"3")</f>
        <v>165</v>
      </c>
      <c r="I1818" s="507">
        <f>SUMIFS(Controle!$R:$R,Controle!$H:$H,produtos_escape2!$A1818,Controle!$Z:$Z,"4")</f>
        <v>0</v>
      </c>
      <c r="J1818" s="507">
        <f>SUMIFS(Controle!$R:$R,Controle!$H:$H,produtos_escape2!$A1818,Controle!$Z:$Z,"5")</f>
        <v>0</v>
      </c>
      <c r="K1818" s="507">
        <f>SUMIFS(Controle!$R:$R,Controle!$H:$H,produtos_escape2!$A1818,Controle!$Z:$Z,"6")</f>
        <v>220</v>
      </c>
      <c r="L1818" s="507">
        <f t="shared" si="63"/>
        <v>630.4</v>
      </c>
      <c r="M1818" s="381" t="s">
        <v>3081</v>
      </c>
    </row>
    <row r="1819" spans="1:13" s="185" customFormat="1" ht="14.25" customHeight="1" thickBot="1">
      <c r="A1819" s="353">
        <v>90850</v>
      </c>
      <c r="B1819" s="194" t="s">
        <v>3503</v>
      </c>
      <c r="C1819" s="339">
        <f t="shared" si="64"/>
        <v>50000</v>
      </c>
      <c r="D1819" s="196" t="s">
        <v>548</v>
      </c>
      <c r="E1819" s="187" t="s">
        <v>3608</v>
      </c>
      <c r="F1819" s="507">
        <f>SUMIFS(Controle!$R:$R,Controle!$H:$H,produtos_escape2!$A1819,Controle!$Z:$Z,"1")</f>
        <v>0</v>
      </c>
      <c r="G1819" s="507">
        <f>SUMIFS(Controle!$R:$R,Controle!$H:$H,produtos_escape2!$A1819,Controle!$Z:$Z,"2")</f>
        <v>0</v>
      </c>
      <c r="H1819" s="507">
        <f>SUMIFS(Controle!$R:$R,Controle!$H:$H,produtos_escape2!$A1819,Controle!$Z:$Z,"3")</f>
        <v>0</v>
      </c>
      <c r="I1819" s="507">
        <f>SUMIFS(Controle!$R:$R,Controle!$H:$H,produtos_escape2!$A1819,Controle!$Z:$Z,"4")</f>
        <v>0</v>
      </c>
      <c r="J1819" s="507">
        <f>SUMIFS(Controle!$R:$R,Controle!$H:$H,produtos_escape2!$A1819,Controle!$Z:$Z,"5")</f>
        <v>0</v>
      </c>
      <c r="K1819" s="507">
        <f>SUMIFS(Controle!$R:$R,Controle!$H:$H,produtos_escape2!$A1819,Controle!$Z:$Z,"6")</f>
        <v>0</v>
      </c>
      <c r="L1819" s="507">
        <f t="shared" si="63"/>
        <v>0</v>
      </c>
      <c r="M1819" s="381" t="s">
        <v>5432</v>
      </c>
    </row>
    <row r="1820" spans="1:13" s="185" customFormat="1" ht="14.25" customHeight="1" thickBot="1">
      <c r="A1820" s="353">
        <v>90855</v>
      </c>
      <c r="B1820" s="194" t="s">
        <v>390</v>
      </c>
      <c r="C1820" s="339">
        <f t="shared" si="64"/>
        <v>50000</v>
      </c>
      <c r="D1820" s="196" t="s">
        <v>548</v>
      </c>
      <c r="E1820" s="187" t="s">
        <v>3608</v>
      </c>
      <c r="F1820" s="507">
        <f>SUMIFS(Controle!$R:$R,Controle!$H:$H,produtos_escape2!$A1820,Controle!$Z:$Z,"1")</f>
        <v>0</v>
      </c>
      <c r="G1820" s="507">
        <f>SUMIFS(Controle!$R:$R,Controle!$H:$H,produtos_escape2!$A1820,Controle!$Z:$Z,"2")</f>
        <v>0</v>
      </c>
      <c r="H1820" s="507">
        <f>SUMIFS(Controle!$R:$R,Controle!$H:$H,produtos_escape2!$A1820,Controle!$Z:$Z,"3")</f>
        <v>0</v>
      </c>
      <c r="I1820" s="507">
        <f>SUMIFS(Controle!$R:$R,Controle!$H:$H,produtos_escape2!$A1820,Controle!$Z:$Z,"4")</f>
        <v>0</v>
      </c>
      <c r="J1820" s="507">
        <f>SUMIFS(Controle!$R:$R,Controle!$H:$H,produtos_escape2!$A1820,Controle!$Z:$Z,"5")</f>
        <v>0</v>
      </c>
      <c r="K1820" s="507">
        <f>SUMIFS(Controle!$R:$R,Controle!$H:$H,produtos_escape2!$A1820,Controle!$Z:$Z,"6")</f>
        <v>0</v>
      </c>
      <c r="L1820" s="507">
        <f t="shared" si="63"/>
        <v>0</v>
      </c>
      <c r="M1820" s="381" t="s">
        <v>5433</v>
      </c>
    </row>
    <row r="1821" spans="1:13" s="185" customFormat="1" ht="14.25" customHeight="1" thickBot="1">
      <c r="A1821" s="353">
        <v>90861</v>
      </c>
      <c r="B1821" s="194" t="s">
        <v>1009</v>
      </c>
      <c r="C1821" s="339">
        <f t="shared" si="64"/>
        <v>48913.52</v>
      </c>
      <c r="D1821" s="196" t="s">
        <v>547</v>
      </c>
      <c r="E1821" s="187" t="s">
        <v>3608</v>
      </c>
      <c r="F1821" s="507">
        <f>SUMIFS(Controle!$R:$R,Controle!$H:$H,produtos_escape2!$A1821,Controle!$Z:$Z,"1")</f>
        <v>0</v>
      </c>
      <c r="G1821" s="507">
        <f>SUMIFS(Controle!$R:$R,Controle!$H:$H,produtos_escape2!$A1821,Controle!$Z:$Z,"2")</f>
        <v>0</v>
      </c>
      <c r="H1821" s="507">
        <f>SUMIFS(Controle!$R:$R,Controle!$H:$H,produtos_escape2!$A1821,Controle!$Z:$Z,"3")</f>
        <v>705.48</v>
      </c>
      <c r="I1821" s="507">
        <f>SUMIFS(Controle!$R:$R,Controle!$H:$H,produtos_escape2!$A1821,Controle!$Z:$Z,"4")</f>
        <v>381</v>
      </c>
      <c r="J1821" s="507">
        <f>SUMIFS(Controle!$R:$R,Controle!$H:$H,produtos_escape2!$A1821,Controle!$Z:$Z,"5")</f>
        <v>0</v>
      </c>
      <c r="K1821" s="507">
        <f>SUMIFS(Controle!$R:$R,Controle!$H:$H,produtos_escape2!$A1821,Controle!$Z:$Z,"6")</f>
        <v>0</v>
      </c>
      <c r="L1821" s="507">
        <f t="shared" si="63"/>
        <v>1086.48</v>
      </c>
      <c r="M1821" s="381" t="s">
        <v>5434</v>
      </c>
    </row>
    <row r="1822" spans="1:13" s="185" customFormat="1" ht="14.25" customHeight="1" thickBot="1">
      <c r="A1822" s="353">
        <v>90863</v>
      </c>
      <c r="B1822" s="194" t="s">
        <v>104</v>
      </c>
      <c r="C1822" s="339">
        <f t="shared" si="64"/>
        <v>49559.4</v>
      </c>
      <c r="D1822" s="196" t="s">
        <v>547</v>
      </c>
      <c r="E1822" s="187" t="s">
        <v>3608</v>
      </c>
      <c r="F1822" s="507">
        <f>SUMIFS(Controle!$R:$R,Controle!$H:$H,produtos_escape2!$A1822,Controle!$Z:$Z,"1")</f>
        <v>0</v>
      </c>
      <c r="G1822" s="507">
        <f>SUMIFS(Controle!$R:$R,Controle!$H:$H,produtos_escape2!$A1822,Controle!$Z:$Z,"2")</f>
        <v>440.59999999999997</v>
      </c>
      <c r="H1822" s="507">
        <f>SUMIFS(Controle!$R:$R,Controle!$H:$H,produtos_escape2!$A1822,Controle!$Z:$Z,"3")</f>
        <v>0</v>
      </c>
      <c r="I1822" s="507">
        <f>SUMIFS(Controle!$R:$R,Controle!$H:$H,produtos_escape2!$A1822,Controle!$Z:$Z,"4")</f>
        <v>0</v>
      </c>
      <c r="J1822" s="507">
        <f>SUMIFS(Controle!$R:$R,Controle!$H:$H,produtos_escape2!$A1822,Controle!$Z:$Z,"5")</f>
        <v>0</v>
      </c>
      <c r="K1822" s="507">
        <f>SUMIFS(Controle!$R:$R,Controle!$H:$H,produtos_escape2!$A1822,Controle!$Z:$Z,"6")</f>
        <v>0</v>
      </c>
      <c r="L1822" s="507">
        <f t="shared" si="63"/>
        <v>440.59999999999997</v>
      </c>
      <c r="M1822" s="381" t="s">
        <v>5435</v>
      </c>
    </row>
    <row r="1823" spans="1:13" s="185" customFormat="1" ht="14.25" customHeight="1" thickBot="1">
      <c r="A1823" s="353">
        <v>90869</v>
      </c>
      <c r="B1823" s="194" t="s">
        <v>1141</v>
      </c>
      <c r="C1823" s="339">
        <f t="shared" si="64"/>
        <v>50000</v>
      </c>
      <c r="D1823" s="196" t="s">
        <v>725</v>
      </c>
      <c r="E1823" s="187" t="s">
        <v>3608</v>
      </c>
      <c r="F1823" s="507">
        <f>SUMIFS(Controle!$R:$R,Controle!$H:$H,produtos_escape2!$A1823,Controle!$Z:$Z,"1")</f>
        <v>0</v>
      </c>
      <c r="G1823" s="507">
        <f>SUMIFS(Controle!$R:$R,Controle!$H:$H,produtos_escape2!$A1823,Controle!$Z:$Z,"2")</f>
        <v>0</v>
      </c>
      <c r="H1823" s="507">
        <f>SUMIFS(Controle!$R:$R,Controle!$H:$H,produtos_escape2!$A1823,Controle!$Z:$Z,"3")</f>
        <v>0</v>
      </c>
      <c r="I1823" s="507">
        <f>SUMIFS(Controle!$R:$R,Controle!$H:$H,produtos_escape2!$A1823,Controle!$Z:$Z,"4")</f>
        <v>0</v>
      </c>
      <c r="J1823" s="507">
        <f>SUMIFS(Controle!$R:$R,Controle!$H:$H,produtos_escape2!$A1823,Controle!$Z:$Z,"5")</f>
        <v>0</v>
      </c>
      <c r="K1823" s="507">
        <f>SUMIFS(Controle!$R:$R,Controle!$H:$H,produtos_escape2!$A1823,Controle!$Z:$Z,"6")</f>
        <v>0</v>
      </c>
      <c r="L1823" s="507">
        <f t="shared" si="63"/>
        <v>0</v>
      </c>
      <c r="M1823" s="381" t="s">
        <v>1141</v>
      </c>
    </row>
    <row r="1824" spans="1:13" s="185" customFormat="1" ht="14.25" customHeight="1" thickBot="1">
      <c r="A1824" s="353">
        <v>90870</v>
      </c>
      <c r="B1824" s="194" t="s">
        <v>918</v>
      </c>
      <c r="C1824" s="339">
        <f t="shared" si="64"/>
        <v>50000</v>
      </c>
      <c r="D1824" s="196" t="s">
        <v>549</v>
      </c>
      <c r="E1824" s="187" t="s">
        <v>3608</v>
      </c>
      <c r="F1824" s="507">
        <f>SUMIFS(Controle!$R:$R,Controle!$H:$H,produtos_escape2!$A1824,Controle!$Z:$Z,"1")</f>
        <v>0</v>
      </c>
      <c r="G1824" s="507">
        <f>SUMIFS(Controle!$R:$R,Controle!$H:$H,produtos_escape2!$A1824,Controle!$Z:$Z,"2")</f>
        <v>0</v>
      </c>
      <c r="H1824" s="507">
        <f>SUMIFS(Controle!$R:$R,Controle!$H:$H,produtos_escape2!$A1824,Controle!$Z:$Z,"3")</f>
        <v>0</v>
      </c>
      <c r="I1824" s="507">
        <f>SUMIFS(Controle!$R:$R,Controle!$H:$H,produtos_escape2!$A1824,Controle!$Z:$Z,"4")</f>
        <v>0</v>
      </c>
      <c r="J1824" s="507">
        <f>SUMIFS(Controle!$R:$R,Controle!$H:$H,produtos_escape2!$A1824,Controle!$Z:$Z,"5")</f>
        <v>0</v>
      </c>
      <c r="K1824" s="507">
        <f>SUMIFS(Controle!$R:$R,Controle!$H:$H,produtos_escape2!$A1824,Controle!$Z:$Z,"6")</f>
        <v>0</v>
      </c>
      <c r="L1824" s="507">
        <f t="shared" si="63"/>
        <v>0</v>
      </c>
      <c r="M1824" s="381" t="s">
        <v>918</v>
      </c>
    </row>
    <row r="1825" spans="1:13" s="185" customFormat="1" ht="14.25" customHeight="1" thickBot="1">
      <c r="A1825" s="333">
        <v>90874</v>
      </c>
      <c r="B1825" s="194" t="s">
        <v>4362</v>
      </c>
      <c r="C1825" s="339">
        <f t="shared" si="64"/>
        <v>50000</v>
      </c>
      <c r="D1825" s="191" t="s">
        <v>549</v>
      </c>
      <c r="E1825" s="189" t="s">
        <v>3608</v>
      </c>
      <c r="F1825" s="507">
        <f>SUMIFS(Controle!$R:$R,Controle!$H:$H,produtos_escape2!$A1825,Controle!$Z:$Z,"1")</f>
        <v>0</v>
      </c>
      <c r="G1825" s="507">
        <f>SUMIFS(Controle!$R:$R,Controle!$H:$H,produtos_escape2!$A1825,Controle!$Z:$Z,"2")</f>
        <v>0</v>
      </c>
      <c r="H1825" s="507">
        <f>SUMIFS(Controle!$R:$R,Controle!$H:$H,produtos_escape2!$A1825,Controle!$Z:$Z,"3")</f>
        <v>0</v>
      </c>
      <c r="I1825" s="507">
        <f>SUMIFS(Controle!$R:$R,Controle!$H:$H,produtos_escape2!$A1825,Controle!$Z:$Z,"4")</f>
        <v>0</v>
      </c>
      <c r="J1825" s="507">
        <f>SUMIFS(Controle!$R:$R,Controle!$H:$H,produtos_escape2!$A1825,Controle!$Z:$Z,"5")</f>
        <v>0</v>
      </c>
      <c r="K1825" s="507">
        <f>SUMIFS(Controle!$R:$R,Controle!$H:$H,produtos_escape2!$A1825,Controle!$Z:$Z,"6")</f>
        <v>0</v>
      </c>
      <c r="L1825" s="507">
        <f t="shared" si="63"/>
        <v>0</v>
      </c>
      <c r="M1825" s="381" t="s">
        <v>5436</v>
      </c>
    </row>
    <row r="1826" spans="1:13" s="185" customFormat="1" ht="14.25" customHeight="1" thickBot="1">
      <c r="A1826" s="353">
        <v>90876</v>
      </c>
      <c r="B1826" s="338" t="s">
        <v>1282</v>
      </c>
      <c r="C1826" s="339">
        <f t="shared" si="64"/>
        <v>50000</v>
      </c>
      <c r="D1826" s="196" t="s">
        <v>548</v>
      </c>
      <c r="E1826" s="187" t="s">
        <v>3608</v>
      </c>
      <c r="F1826" s="507">
        <f>SUMIFS(Controle!$R:$R,Controle!$H:$H,produtos_escape2!$A1826,Controle!$Z:$Z,"1")</f>
        <v>0</v>
      </c>
      <c r="G1826" s="507">
        <f>SUMIFS(Controle!$R:$R,Controle!$H:$H,produtos_escape2!$A1826,Controle!$Z:$Z,"2")</f>
        <v>0</v>
      </c>
      <c r="H1826" s="507">
        <f>SUMIFS(Controle!$R:$R,Controle!$H:$H,produtos_escape2!$A1826,Controle!$Z:$Z,"3")</f>
        <v>0</v>
      </c>
      <c r="I1826" s="507">
        <f>SUMIFS(Controle!$R:$R,Controle!$H:$H,produtos_escape2!$A1826,Controle!$Z:$Z,"4")</f>
        <v>0</v>
      </c>
      <c r="J1826" s="507">
        <f>SUMIFS(Controle!$R:$R,Controle!$H:$H,produtos_escape2!$A1826,Controle!$Z:$Z,"5")</f>
        <v>0</v>
      </c>
      <c r="K1826" s="507">
        <f>SUMIFS(Controle!$R:$R,Controle!$H:$H,produtos_escape2!$A1826,Controle!$Z:$Z,"6")</f>
        <v>0</v>
      </c>
      <c r="L1826" s="507">
        <f t="shared" si="63"/>
        <v>0</v>
      </c>
      <c r="M1826" s="381" t="s">
        <v>5437</v>
      </c>
    </row>
    <row r="1827" spans="1:13" s="185" customFormat="1" ht="14.25" customHeight="1" thickBot="1">
      <c r="A1827" s="353">
        <v>90881</v>
      </c>
      <c r="B1827" s="194" t="s">
        <v>603</v>
      </c>
      <c r="C1827" s="339">
        <f t="shared" si="64"/>
        <v>50000</v>
      </c>
      <c r="D1827" s="196" t="s">
        <v>549</v>
      </c>
      <c r="E1827" s="187" t="s">
        <v>3608</v>
      </c>
      <c r="F1827" s="507">
        <f>SUMIFS(Controle!$R:$R,Controle!$H:$H,produtos_escape2!$A1827,Controle!$Z:$Z,"1")</f>
        <v>0</v>
      </c>
      <c r="G1827" s="507">
        <f>SUMIFS(Controle!$R:$R,Controle!$H:$H,produtos_escape2!$A1827,Controle!$Z:$Z,"2")</f>
        <v>0</v>
      </c>
      <c r="H1827" s="507">
        <f>SUMIFS(Controle!$R:$R,Controle!$H:$H,produtos_escape2!$A1827,Controle!$Z:$Z,"3")</f>
        <v>0</v>
      </c>
      <c r="I1827" s="507">
        <f>SUMIFS(Controle!$R:$R,Controle!$H:$H,produtos_escape2!$A1827,Controle!$Z:$Z,"4")</f>
        <v>0</v>
      </c>
      <c r="J1827" s="507">
        <f>SUMIFS(Controle!$R:$R,Controle!$H:$H,produtos_escape2!$A1827,Controle!$Z:$Z,"5")</f>
        <v>0</v>
      </c>
      <c r="K1827" s="507">
        <f>SUMIFS(Controle!$R:$R,Controle!$H:$H,produtos_escape2!$A1827,Controle!$Z:$Z,"6")</f>
        <v>0</v>
      </c>
      <c r="L1827" s="507">
        <f t="shared" si="63"/>
        <v>0</v>
      </c>
      <c r="M1827" s="381" t="s">
        <v>5438</v>
      </c>
    </row>
    <row r="1828" spans="1:13" s="185" customFormat="1" ht="14.25" customHeight="1" thickBot="1">
      <c r="A1828" s="353">
        <v>90882</v>
      </c>
      <c r="B1828" s="194" t="s">
        <v>1640</v>
      </c>
      <c r="C1828" s="339">
        <f t="shared" si="64"/>
        <v>50000</v>
      </c>
      <c r="D1828" s="196" t="s">
        <v>549</v>
      </c>
      <c r="E1828" s="187" t="s">
        <v>3608</v>
      </c>
      <c r="F1828" s="507">
        <f>SUMIFS(Controle!$R:$R,Controle!$H:$H,produtos_escape2!$A1828,Controle!$Z:$Z,"1")</f>
        <v>0</v>
      </c>
      <c r="G1828" s="507">
        <f>SUMIFS(Controle!$R:$R,Controle!$H:$H,produtos_escape2!$A1828,Controle!$Z:$Z,"2")</f>
        <v>0</v>
      </c>
      <c r="H1828" s="507">
        <f>SUMIFS(Controle!$R:$R,Controle!$H:$H,produtos_escape2!$A1828,Controle!$Z:$Z,"3")</f>
        <v>0</v>
      </c>
      <c r="I1828" s="507">
        <f>SUMIFS(Controle!$R:$R,Controle!$H:$H,produtos_escape2!$A1828,Controle!$Z:$Z,"4")</f>
        <v>0</v>
      </c>
      <c r="J1828" s="507">
        <f>SUMIFS(Controle!$R:$R,Controle!$H:$H,produtos_escape2!$A1828,Controle!$Z:$Z,"5")</f>
        <v>0</v>
      </c>
      <c r="K1828" s="507">
        <f>SUMIFS(Controle!$R:$R,Controle!$H:$H,produtos_escape2!$A1828,Controle!$Z:$Z,"6")</f>
        <v>0</v>
      </c>
      <c r="L1828" s="507">
        <f t="shared" si="63"/>
        <v>0</v>
      </c>
      <c r="M1828" s="381" t="s">
        <v>1640</v>
      </c>
    </row>
    <row r="1829" spans="1:13" s="185" customFormat="1" ht="14.25" customHeight="1" thickBot="1">
      <c r="A1829" s="353">
        <v>90884</v>
      </c>
      <c r="B1829" s="194" t="s">
        <v>1647</v>
      </c>
      <c r="C1829" s="339">
        <f t="shared" si="64"/>
        <v>50000</v>
      </c>
      <c r="D1829" s="196" t="s">
        <v>1060</v>
      </c>
      <c r="E1829" s="187" t="s">
        <v>3608</v>
      </c>
      <c r="F1829" s="507">
        <f>SUMIFS(Controle!$R:$R,Controle!$H:$H,produtos_escape2!$A1829,Controle!$Z:$Z,"1")</f>
        <v>0</v>
      </c>
      <c r="G1829" s="507">
        <f>SUMIFS(Controle!$R:$R,Controle!$H:$H,produtos_escape2!$A1829,Controle!$Z:$Z,"2")</f>
        <v>0</v>
      </c>
      <c r="H1829" s="507">
        <f>SUMIFS(Controle!$R:$R,Controle!$H:$H,produtos_escape2!$A1829,Controle!$Z:$Z,"3")</f>
        <v>0</v>
      </c>
      <c r="I1829" s="507">
        <f>SUMIFS(Controle!$R:$R,Controle!$H:$H,produtos_escape2!$A1829,Controle!$Z:$Z,"4")</f>
        <v>0</v>
      </c>
      <c r="J1829" s="507">
        <f>SUMIFS(Controle!$R:$R,Controle!$H:$H,produtos_escape2!$A1829,Controle!$Z:$Z,"5")</f>
        <v>0</v>
      </c>
      <c r="K1829" s="507">
        <f>SUMIFS(Controle!$R:$R,Controle!$H:$H,produtos_escape2!$A1829,Controle!$Z:$Z,"6")</f>
        <v>0</v>
      </c>
      <c r="L1829" s="507">
        <f t="shared" si="63"/>
        <v>0</v>
      </c>
      <c r="M1829" s="381" t="s">
        <v>1647</v>
      </c>
    </row>
    <row r="1830" spans="1:13" s="185" customFormat="1" ht="14.25" customHeight="1" thickBot="1">
      <c r="A1830" s="353">
        <v>90885</v>
      </c>
      <c r="B1830" s="194" t="s">
        <v>1432</v>
      </c>
      <c r="C1830" s="339">
        <f t="shared" si="64"/>
        <v>50000</v>
      </c>
      <c r="D1830" s="196" t="s">
        <v>548</v>
      </c>
      <c r="E1830" s="187" t="s">
        <v>3608</v>
      </c>
      <c r="F1830" s="507">
        <f>SUMIFS(Controle!$R:$R,Controle!$H:$H,produtos_escape2!$A1830,Controle!$Z:$Z,"1")</f>
        <v>0</v>
      </c>
      <c r="G1830" s="507">
        <f>SUMIFS(Controle!$R:$R,Controle!$H:$H,produtos_escape2!$A1830,Controle!$Z:$Z,"2")</f>
        <v>0</v>
      </c>
      <c r="H1830" s="507">
        <f>SUMIFS(Controle!$R:$R,Controle!$H:$H,produtos_escape2!$A1830,Controle!$Z:$Z,"3")</f>
        <v>0</v>
      </c>
      <c r="I1830" s="507">
        <f>SUMIFS(Controle!$R:$R,Controle!$H:$H,produtos_escape2!$A1830,Controle!$Z:$Z,"4")</f>
        <v>0</v>
      </c>
      <c r="J1830" s="507">
        <f>SUMIFS(Controle!$R:$R,Controle!$H:$H,produtos_escape2!$A1830,Controle!$Z:$Z,"5")</f>
        <v>0</v>
      </c>
      <c r="K1830" s="507">
        <f>SUMIFS(Controle!$R:$R,Controle!$H:$H,produtos_escape2!$A1830,Controle!$Z:$Z,"6")</f>
        <v>0</v>
      </c>
      <c r="L1830" s="507">
        <f t="shared" si="63"/>
        <v>0</v>
      </c>
      <c r="M1830" s="381" t="s">
        <v>1432</v>
      </c>
    </row>
    <row r="1831" spans="1:13" s="185" customFormat="1" ht="14.25" customHeight="1" thickBot="1">
      <c r="A1831" s="353">
        <v>90888</v>
      </c>
      <c r="B1831" s="194" t="s">
        <v>1283</v>
      </c>
      <c r="C1831" s="339">
        <f t="shared" si="64"/>
        <v>35716</v>
      </c>
      <c r="D1831" s="196" t="s">
        <v>549</v>
      </c>
      <c r="E1831" s="187" t="s">
        <v>3608</v>
      </c>
      <c r="F1831" s="507">
        <f>SUMIFS(Controle!$R:$R,Controle!$H:$H,produtos_escape2!$A1831,Controle!$Z:$Z,"1")</f>
        <v>0</v>
      </c>
      <c r="G1831" s="507">
        <f>SUMIFS(Controle!$R:$R,Controle!$H:$H,produtos_escape2!$A1831,Controle!$Z:$Z,"2")</f>
        <v>2290</v>
      </c>
      <c r="H1831" s="507">
        <f>SUMIFS(Controle!$R:$R,Controle!$H:$H,produtos_escape2!$A1831,Controle!$Z:$Z,"3")</f>
        <v>11993.999999999998</v>
      </c>
      <c r="I1831" s="507">
        <f>SUMIFS(Controle!$R:$R,Controle!$H:$H,produtos_escape2!$A1831,Controle!$Z:$Z,"4")</f>
        <v>0</v>
      </c>
      <c r="J1831" s="507">
        <f>SUMIFS(Controle!$R:$R,Controle!$H:$H,produtos_escape2!$A1831,Controle!$Z:$Z,"5")</f>
        <v>0</v>
      </c>
      <c r="K1831" s="507">
        <f>SUMIFS(Controle!$R:$R,Controle!$H:$H,produtos_escape2!$A1831,Controle!$Z:$Z,"6")</f>
        <v>0</v>
      </c>
      <c r="L1831" s="507">
        <f t="shared" si="63"/>
        <v>14283.999999999998</v>
      </c>
      <c r="M1831" s="381" t="s">
        <v>1283</v>
      </c>
    </row>
    <row r="1832" spans="1:13" s="185" customFormat="1" ht="14.25" customHeight="1" thickBot="1">
      <c r="A1832" s="353">
        <v>90889</v>
      </c>
      <c r="B1832" s="194" t="s">
        <v>1430</v>
      </c>
      <c r="C1832" s="339">
        <f t="shared" si="64"/>
        <v>42106</v>
      </c>
      <c r="D1832" s="196" t="s">
        <v>549</v>
      </c>
      <c r="E1832" s="187" t="s">
        <v>3608</v>
      </c>
      <c r="F1832" s="507">
        <f>SUMIFS(Controle!$R:$R,Controle!$H:$H,produtos_escape2!$A1832,Controle!$Z:$Z,"1")</f>
        <v>0</v>
      </c>
      <c r="G1832" s="507">
        <f>SUMIFS(Controle!$R:$R,Controle!$H:$H,produtos_escape2!$A1832,Controle!$Z:$Z,"2")</f>
        <v>7894</v>
      </c>
      <c r="H1832" s="507">
        <f>SUMIFS(Controle!$R:$R,Controle!$H:$H,produtos_escape2!$A1832,Controle!$Z:$Z,"3")</f>
        <v>0</v>
      </c>
      <c r="I1832" s="507">
        <f>SUMIFS(Controle!$R:$R,Controle!$H:$H,produtos_escape2!$A1832,Controle!$Z:$Z,"4")</f>
        <v>0</v>
      </c>
      <c r="J1832" s="507">
        <f>SUMIFS(Controle!$R:$R,Controle!$H:$H,produtos_escape2!$A1832,Controle!$Z:$Z,"5")</f>
        <v>0</v>
      </c>
      <c r="K1832" s="507">
        <f>SUMIFS(Controle!$R:$R,Controle!$H:$H,produtos_escape2!$A1832,Controle!$Z:$Z,"6")</f>
        <v>0</v>
      </c>
      <c r="L1832" s="507">
        <f t="shared" si="63"/>
        <v>7894</v>
      </c>
      <c r="M1832" s="381" t="s">
        <v>1430</v>
      </c>
    </row>
    <row r="1833" spans="1:13" s="185" customFormat="1" ht="14.25" customHeight="1" thickBot="1">
      <c r="A1833" s="333">
        <v>90890</v>
      </c>
      <c r="B1833" s="194" t="s">
        <v>1107</v>
      </c>
      <c r="C1833" s="339">
        <f t="shared" si="64"/>
        <v>50000</v>
      </c>
      <c r="D1833" s="196" t="s">
        <v>547</v>
      </c>
      <c r="E1833" s="187" t="s">
        <v>3608</v>
      </c>
      <c r="F1833" s="507">
        <f>SUMIFS(Controle!$R:$R,Controle!$H:$H,produtos_escape2!$A1833,Controle!$Z:$Z,"1")</f>
        <v>0</v>
      </c>
      <c r="G1833" s="507">
        <f>SUMIFS(Controle!$R:$R,Controle!$H:$H,produtos_escape2!$A1833,Controle!$Z:$Z,"2")</f>
        <v>0</v>
      </c>
      <c r="H1833" s="507">
        <f>SUMIFS(Controle!$R:$R,Controle!$H:$H,produtos_escape2!$A1833,Controle!$Z:$Z,"3")</f>
        <v>0</v>
      </c>
      <c r="I1833" s="507">
        <f>SUMIFS(Controle!$R:$R,Controle!$H:$H,produtos_escape2!$A1833,Controle!$Z:$Z,"4")</f>
        <v>0</v>
      </c>
      <c r="J1833" s="507">
        <f>SUMIFS(Controle!$R:$R,Controle!$H:$H,produtos_escape2!$A1833,Controle!$Z:$Z,"5")</f>
        <v>0</v>
      </c>
      <c r="K1833" s="507">
        <f>SUMIFS(Controle!$R:$R,Controle!$H:$H,produtos_escape2!$A1833,Controle!$Z:$Z,"6")</f>
        <v>0</v>
      </c>
      <c r="L1833" s="507">
        <f t="shared" si="63"/>
        <v>0</v>
      </c>
      <c r="M1833" s="381" t="s">
        <v>1107</v>
      </c>
    </row>
    <row r="1834" spans="1:13" s="185" customFormat="1" ht="14.25" customHeight="1" thickBot="1">
      <c r="A1834" s="353">
        <v>90891</v>
      </c>
      <c r="B1834" s="338" t="s">
        <v>774</v>
      </c>
      <c r="C1834" s="339">
        <f t="shared" si="64"/>
        <v>50000</v>
      </c>
      <c r="D1834" s="196" t="s">
        <v>547</v>
      </c>
      <c r="E1834" s="187" t="s">
        <v>3608</v>
      </c>
      <c r="F1834" s="507">
        <f>SUMIFS(Controle!$R:$R,Controle!$H:$H,produtos_escape2!$A1834,Controle!$Z:$Z,"1")</f>
        <v>0</v>
      </c>
      <c r="G1834" s="507">
        <f>SUMIFS(Controle!$R:$R,Controle!$H:$H,produtos_escape2!$A1834,Controle!$Z:$Z,"2")</f>
        <v>0</v>
      </c>
      <c r="H1834" s="507">
        <f>SUMIFS(Controle!$R:$R,Controle!$H:$H,produtos_escape2!$A1834,Controle!$Z:$Z,"3")</f>
        <v>0</v>
      </c>
      <c r="I1834" s="507">
        <f>SUMIFS(Controle!$R:$R,Controle!$H:$H,produtos_escape2!$A1834,Controle!$Z:$Z,"4")</f>
        <v>0</v>
      </c>
      <c r="J1834" s="507">
        <f>SUMIFS(Controle!$R:$R,Controle!$H:$H,produtos_escape2!$A1834,Controle!$Z:$Z,"5")</f>
        <v>0</v>
      </c>
      <c r="K1834" s="507">
        <f>SUMIFS(Controle!$R:$R,Controle!$H:$H,produtos_escape2!$A1834,Controle!$Z:$Z,"6")</f>
        <v>0</v>
      </c>
      <c r="L1834" s="507">
        <f t="shared" si="63"/>
        <v>0</v>
      </c>
      <c r="M1834" s="381" t="s">
        <v>774</v>
      </c>
    </row>
    <row r="1835" spans="1:13" s="185" customFormat="1" ht="14.25" customHeight="1" thickBot="1">
      <c r="A1835" s="353">
        <v>90893</v>
      </c>
      <c r="B1835" s="194" t="s">
        <v>2842</v>
      </c>
      <c r="C1835" s="339">
        <f t="shared" si="64"/>
        <v>50000</v>
      </c>
      <c r="D1835" s="196" t="s">
        <v>547</v>
      </c>
      <c r="E1835" s="187" t="s">
        <v>3608</v>
      </c>
      <c r="F1835" s="507">
        <f>SUMIFS(Controle!$R:$R,Controle!$H:$H,produtos_escape2!$A1835,Controle!$Z:$Z,"1")</f>
        <v>0</v>
      </c>
      <c r="G1835" s="507">
        <f>SUMIFS(Controle!$R:$R,Controle!$H:$H,produtos_escape2!$A1835,Controle!$Z:$Z,"2")</f>
        <v>0</v>
      </c>
      <c r="H1835" s="507">
        <f>SUMIFS(Controle!$R:$R,Controle!$H:$H,produtos_escape2!$A1835,Controle!$Z:$Z,"3")</f>
        <v>0</v>
      </c>
      <c r="I1835" s="507">
        <f>SUMIFS(Controle!$R:$R,Controle!$H:$H,produtos_escape2!$A1835,Controle!$Z:$Z,"4")</f>
        <v>0</v>
      </c>
      <c r="J1835" s="507">
        <f>SUMIFS(Controle!$R:$R,Controle!$H:$H,produtos_escape2!$A1835,Controle!$Z:$Z,"5")</f>
        <v>0</v>
      </c>
      <c r="K1835" s="507">
        <f>SUMIFS(Controle!$R:$R,Controle!$H:$H,produtos_escape2!$A1835,Controle!$Z:$Z,"6")</f>
        <v>0</v>
      </c>
      <c r="L1835" s="507">
        <f t="shared" si="63"/>
        <v>0</v>
      </c>
      <c r="M1835" s="381" t="s">
        <v>2842</v>
      </c>
    </row>
    <row r="1836" spans="1:13" s="185" customFormat="1" ht="18" customHeight="1" thickBot="1">
      <c r="A1836" s="353">
        <v>90894</v>
      </c>
      <c r="B1836" s="194" t="s">
        <v>20</v>
      </c>
      <c r="C1836" s="339">
        <f t="shared" si="64"/>
        <v>50000</v>
      </c>
      <c r="D1836" s="196" t="s">
        <v>547</v>
      </c>
      <c r="E1836" s="187" t="s">
        <v>3608</v>
      </c>
      <c r="F1836" s="507">
        <f>SUMIFS(Controle!$R:$R,Controle!$H:$H,produtos_escape2!$A1836,Controle!$Z:$Z,"1")</f>
        <v>0</v>
      </c>
      <c r="G1836" s="507">
        <f>SUMIFS(Controle!$R:$R,Controle!$H:$H,produtos_escape2!$A1836,Controle!$Z:$Z,"2")</f>
        <v>0</v>
      </c>
      <c r="H1836" s="507">
        <f>SUMIFS(Controle!$R:$R,Controle!$H:$H,produtos_escape2!$A1836,Controle!$Z:$Z,"3")</f>
        <v>0</v>
      </c>
      <c r="I1836" s="507">
        <f>SUMIFS(Controle!$R:$R,Controle!$H:$H,produtos_escape2!$A1836,Controle!$Z:$Z,"4")</f>
        <v>0</v>
      </c>
      <c r="J1836" s="507">
        <f>SUMIFS(Controle!$R:$R,Controle!$H:$H,produtos_escape2!$A1836,Controle!$Z:$Z,"5")</f>
        <v>0</v>
      </c>
      <c r="K1836" s="507">
        <f>SUMIFS(Controle!$R:$R,Controle!$H:$H,produtos_escape2!$A1836,Controle!$Z:$Z,"6")</f>
        <v>0</v>
      </c>
      <c r="L1836" s="507">
        <f t="shared" si="63"/>
        <v>0</v>
      </c>
      <c r="M1836" s="381" t="s">
        <v>20</v>
      </c>
    </row>
    <row r="1837" spans="1:13" s="185" customFormat="1" ht="14.25" customHeight="1" thickBot="1">
      <c r="A1837" s="353">
        <v>90895</v>
      </c>
      <c r="B1837" s="194" t="s">
        <v>1243</v>
      </c>
      <c r="C1837" s="339">
        <f t="shared" si="64"/>
        <v>50000</v>
      </c>
      <c r="D1837" s="196" t="s">
        <v>624</v>
      </c>
      <c r="E1837" s="187" t="s">
        <v>3608</v>
      </c>
      <c r="F1837" s="507">
        <f>SUMIFS(Controle!$R:$R,Controle!$H:$H,produtos_escape2!$A1837,Controle!$Z:$Z,"1")</f>
        <v>0</v>
      </c>
      <c r="G1837" s="507">
        <f>SUMIFS(Controle!$R:$R,Controle!$H:$H,produtos_escape2!$A1837,Controle!$Z:$Z,"2")</f>
        <v>0</v>
      </c>
      <c r="H1837" s="507">
        <f>SUMIFS(Controle!$R:$R,Controle!$H:$H,produtos_escape2!$A1837,Controle!$Z:$Z,"3")</f>
        <v>0</v>
      </c>
      <c r="I1837" s="507">
        <f>SUMIFS(Controle!$R:$R,Controle!$H:$H,produtos_escape2!$A1837,Controle!$Z:$Z,"4")</f>
        <v>0</v>
      </c>
      <c r="J1837" s="507">
        <f>SUMIFS(Controle!$R:$R,Controle!$H:$H,produtos_escape2!$A1837,Controle!$Z:$Z,"5")</f>
        <v>0</v>
      </c>
      <c r="K1837" s="507">
        <f>SUMIFS(Controle!$R:$R,Controle!$H:$H,produtos_escape2!$A1837,Controle!$Z:$Z,"6")</f>
        <v>0</v>
      </c>
      <c r="L1837" s="507">
        <f t="shared" si="63"/>
        <v>0</v>
      </c>
      <c r="M1837" s="381" t="s">
        <v>1243</v>
      </c>
    </row>
    <row r="1838" spans="1:13" s="185" customFormat="1" ht="14.25" customHeight="1" thickBot="1">
      <c r="A1838" s="353">
        <v>90896</v>
      </c>
      <c r="B1838" s="194" t="s">
        <v>380</v>
      </c>
      <c r="C1838" s="339">
        <f t="shared" si="64"/>
        <v>50000</v>
      </c>
      <c r="D1838" s="196"/>
      <c r="E1838" s="187" t="s">
        <v>3608</v>
      </c>
      <c r="F1838" s="507">
        <f>SUMIFS(Controle!$R:$R,Controle!$H:$H,produtos_escape2!$A1838,Controle!$Z:$Z,"1")</f>
        <v>0</v>
      </c>
      <c r="G1838" s="507">
        <f>SUMIFS(Controle!$R:$R,Controle!$H:$H,produtos_escape2!$A1838,Controle!$Z:$Z,"2")</f>
        <v>0</v>
      </c>
      <c r="H1838" s="507">
        <f>SUMIFS(Controle!$R:$R,Controle!$H:$H,produtos_escape2!$A1838,Controle!$Z:$Z,"3")</f>
        <v>0</v>
      </c>
      <c r="I1838" s="507">
        <f>SUMIFS(Controle!$R:$R,Controle!$H:$H,produtos_escape2!$A1838,Controle!$Z:$Z,"4")</f>
        <v>0</v>
      </c>
      <c r="J1838" s="507">
        <f>SUMIFS(Controle!$R:$R,Controle!$H:$H,produtos_escape2!$A1838,Controle!$Z:$Z,"5")</f>
        <v>0</v>
      </c>
      <c r="K1838" s="507">
        <f>SUMIFS(Controle!$R:$R,Controle!$H:$H,produtos_escape2!$A1838,Controle!$Z:$Z,"6")</f>
        <v>0</v>
      </c>
      <c r="L1838" s="507">
        <f t="shared" si="63"/>
        <v>0</v>
      </c>
      <c r="M1838" s="381" t="s">
        <v>380</v>
      </c>
    </row>
    <row r="1839" spans="1:13" s="185" customFormat="1" ht="14.25" customHeight="1" thickBot="1">
      <c r="A1839" s="353">
        <v>90902</v>
      </c>
      <c r="B1839" s="194" t="s">
        <v>1244</v>
      </c>
      <c r="C1839" s="339">
        <f t="shared" si="64"/>
        <v>50000</v>
      </c>
      <c r="D1839" s="196" t="s">
        <v>725</v>
      </c>
      <c r="E1839" s="187" t="s">
        <v>3608</v>
      </c>
      <c r="F1839" s="507">
        <f>SUMIFS(Controle!$R:$R,Controle!$H:$H,produtos_escape2!$A1839,Controle!$Z:$Z,"1")</f>
        <v>0</v>
      </c>
      <c r="G1839" s="507">
        <f>SUMIFS(Controle!$R:$R,Controle!$H:$H,produtos_escape2!$A1839,Controle!$Z:$Z,"2")</f>
        <v>0</v>
      </c>
      <c r="H1839" s="507">
        <f>SUMIFS(Controle!$R:$R,Controle!$H:$H,produtos_escape2!$A1839,Controle!$Z:$Z,"3")</f>
        <v>0</v>
      </c>
      <c r="I1839" s="507">
        <f>SUMIFS(Controle!$R:$R,Controle!$H:$H,produtos_escape2!$A1839,Controle!$Z:$Z,"4")</f>
        <v>0</v>
      </c>
      <c r="J1839" s="507">
        <f>SUMIFS(Controle!$R:$R,Controle!$H:$H,produtos_escape2!$A1839,Controle!$Z:$Z,"5")</f>
        <v>0</v>
      </c>
      <c r="K1839" s="507">
        <f>SUMIFS(Controle!$R:$R,Controle!$H:$H,produtos_escape2!$A1839,Controle!$Z:$Z,"6")</f>
        <v>0</v>
      </c>
      <c r="L1839" s="507">
        <f t="shared" si="63"/>
        <v>0</v>
      </c>
      <c r="M1839" s="381" t="s">
        <v>1244</v>
      </c>
    </row>
    <row r="1840" spans="1:13" s="185" customFormat="1" ht="14.25" customHeight="1" thickBot="1">
      <c r="A1840" s="353">
        <v>90909</v>
      </c>
      <c r="B1840" s="194" t="s">
        <v>1281</v>
      </c>
      <c r="C1840" s="339">
        <f t="shared" si="64"/>
        <v>50000</v>
      </c>
      <c r="D1840" s="196" t="s">
        <v>548</v>
      </c>
      <c r="E1840" s="187" t="s">
        <v>3608</v>
      </c>
      <c r="F1840" s="507">
        <f>SUMIFS(Controle!$R:$R,Controle!$H:$H,produtos_escape2!$A1840,Controle!$Z:$Z,"1")</f>
        <v>0</v>
      </c>
      <c r="G1840" s="507">
        <f>SUMIFS(Controle!$R:$R,Controle!$H:$H,produtos_escape2!$A1840,Controle!$Z:$Z,"2")</f>
        <v>0</v>
      </c>
      <c r="H1840" s="507">
        <f>SUMIFS(Controle!$R:$R,Controle!$H:$H,produtos_escape2!$A1840,Controle!$Z:$Z,"3")</f>
        <v>0</v>
      </c>
      <c r="I1840" s="507">
        <f>SUMIFS(Controle!$R:$R,Controle!$H:$H,produtos_escape2!$A1840,Controle!$Z:$Z,"4")</f>
        <v>0</v>
      </c>
      <c r="J1840" s="507">
        <f>SUMIFS(Controle!$R:$R,Controle!$H:$H,produtos_escape2!$A1840,Controle!$Z:$Z,"5")</f>
        <v>0</v>
      </c>
      <c r="K1840" s="507">
        <f>SUMIFS(Controle!$R:$R,Controle!$H:$H,produtos_escape2!$A1840,Controle!$Z:$Z,"6")</f>
        <v>0</v>
      </c>
      <c r="L1840" s="507">
        <f t="shared" si="63"/>
        <v>0</v>
      </c>
      <c r="M1840" s="381" t="s">
        <v>1281</v>
      </c>
    </row>
    <row r="1841" spans="1:13" s="185" customFormat="1" ht="14.25" customHeight="1" thickBot="1">
      <c r="A1841" s="333">
        <v>90911</v>
      </c>
      <c r="B1841" s="194" t="s">
        <v>5854</v>
      </c>
      <c r="C1841" s="339">
        <f t="shared" si="64"/>
        <v>50000</v>
      </c>
      <c r="D1841" s="196" t="s">
        <v>725</v>
      </c>
      <c r="E1841" s="187" t="s">
        <v>3608</v>
      </c>
      <c r="F1841" s="507">
        <f>SUMIFS(Controle!$R:$R,Controle!$H:$H,produtos_escape2!$A1841,Controle!$Z:$Z,"1")</f>
        <v>0</v>
      </c>
      <c r="G1841" s="507">
        <f>SUMIFS(Controle!$R:$R,Controle!$H:$H,produtos_escape2!$A1841,Controle!$Z:$Z,"2")</f>
        <v>0</v>
      </c>
      <c r="H1841" s="507">
        <f>SUMIFS(Controle!$R:$R,Controle!$H:$H,produtos_escape2!$A1841,Controle!$Z:$Z,"3")</f>
        <v>0</v>
      </c>
      <c r="I1841" s="507">
        <f>SUMIFS(Controle!$R:$R,Controle!$H:$H,produtos_escape2!$A1841,Controle!$Z:$Z,"4")</f>
        <v>0</v>
      </c>
      <c r="J1841" s="507">
        <f>SUMIFS(Controle!$R:$R,Controle!$H:$H,produtos_escape2!$A1841,Controle!$Z:$Z,"5")</f>
        <v>0</v>
      </c>
      <c r="K1841" s="507">
        <f>SUMIFS(Controle!$R:$R,Controle!$H:$H,produtos_escape2!$A1841,Controle!$Z:$Z,"6")</f>
        <v>0</v>
      </c>
      <c r="L1841" s="507">
        <f t="shared" si="63"/>
        <v>0</v>
      </c>
      <c r="M1841" s="381" t="s">
        <v>5855</v>
      </c>
    </row>
    <row r="1842" spans="1:13" s="185" customFormat="1" ht="14.25" customHeight="1" thickBot="1">
      <c r="A1842" s="353">
        <v>90912</v>
      </c>
      <c r="B1842" s="194" t="s">
        <v>1388</v>
      </c>
      <c r="C1842" s="339">
        <f t="shared" si="64"/>
        <v>50000</v>
      </c>
      <c r="D1842" s="196" t="s">
        <v>1389</v>
      </c>
      <c r="E1842" s="187" t="s">
        <v>3608</v>
      </c>
      <c r="F1842" s="507">
        <f>SUMIFS(Controle!$R:$R,Controle!$H:$H,produtos_escape2!$A1842,Controle!$Z:$Z,"1")</f>
        <v>0</v>
      </c>
      <c r="G1842" s="507">
        <f>SUMIFS(Controle!$R:$R,Controle!$H:$H,produtos_escape2!$A1842,Controle!$Z:$Z,"2")</f>
        <v>0</v>
      </c>
      <c r="H1842" s="507">
        <f>SUMIFS(Controle!$R:$R,Controle!$H:$H,produtos_escape2!$A1842,Controle!$Z:$Z,"3")</f>
        <v>0</v>
      </c>
      <c r="I1842" s="507">
        <f>SUMIFS(Controle!$R:$R,Controle!$H:$H,produtos_escape2!$A1842,Controle!$Z:$Z,"4")</f>
        <v>0</v>
      </c>
      <c r="J1842" s="507">
        <f>SUMIFS(Controle!$R:$R,Controle!$H:$H,produtos_escape2!$A1842,Controle!$Z:$Z,"5")</f>
        <v>0</v>
      </c>
      <c r="K1842" s="507">
        <f>SUMIFS(Controle!$R:$R,Controle!$H:$H,produtos_escape2!$A1842,Controle!$Z:$Z,"6")</f>
        <v>0</v>
      </c>
      <c r="L1842" s="507">
        <f t="shared" si="63"/>
        <v>0</v>
      </c>
      <c r="M1842" s="381" t="s">
        <v>1388</v>
      </c>
    </row>
    <row r="1843" spans="1:13" s="185" customFormat="1" ht="14.25" customHeight="1" thickBot="1">
      <c r="A1843" s="353">
        <v>90913</v>
      </c>
      <c r="B1843" s="194" t="s">
        <v>5853</v>
      </c>
      <c r="C1843" s="339">
        <f t="shared" si="64"/>
        <v>50000</v>
      </c>
      <c r="D1843" s="196" t="s">
        <v>548</v>
      </c>
      <c r="E1843" s="187" t="s">
        <v>3608</v>
      </c>
      <c r="F1843" s="507">
        <f>SUMIFS(Controle!$R:$R,Controle!$H:$H,produtos_escape2!$A1843,Controle!$Z:$Z,"1")</f>
        <v>0</v>
      </c>
      <c r="G1843" s="507">
        <f>SUMIFS(Controle!$R:$R,Controle!$H:$H,produtos_escape2!$A1843,Controle!$Z:$Z,"2")</f>
        <v>0</v>
      </c>
      <c r="H1843" s="507">
        <f>SUMIFS(Controle!$R:$R,Controle!$H:$H,produtos_escape2!$A1843,Controle!$Z:$Z,"3")</f>
        <v>0</v>
      </c>
      <c r="I1843" s="507">
        <f>SUMIFS(Controle!$R:$R,Controle!$H:$H,produtos_escape2!$A1843,Controle!$Z:$Z,"4")</f>
        <v>0</v>
      </c>
      <c r="J1843" s="507">
        <f>SUMIFS(Controle!$R:$R,Controle!$H:$H,produtos_escape2!$A1843,Controle!$Z:$Z,"5")</f>
        <v>0</v>
      </c>
      <c r="K1843" s="507">
        <f>SUMIFS(Controle!$R:$R,Controle!$H:$H,produtos_escape2!$A1843,Controle!$Z:$Z,"6")</f>
        <v>0</v>
      </c>
      <c r="L1843" s="507">
        <f t="shared" si="63"/>
        <v>0</v>
      </c>
      <c r="M1843" s="381" t="s">
        <v>5856</v>
      </c>
    </row>
    <row r="1844" spans="1:13" s="185" customFormat="1" ht="14.25" customHeight="1" thickBot="1">
      <c r="A1844" s="353">
        <v>90914</v>
      </c>
      <c r="B1844" s="338" t="s">
        <v>246</v>
      </c>
      <c r="C1844" s="339">
        <f t="shared" si="64"/>
        <v>50000</v>
      </c>
      <c r="D1844" s="196" t="s">
        <v>547</v>
      </c>
      <c r="E1844" s="187" t="s">
        <v>3608</v>
      </c>
      <c r="F1844" s="507">
        <f>SUMIFS(Controle!$R:$R,Controle!$H:$H,produtos_escape2!$A1844,Controle!$Z:$Z,"1")</f>
        <v>0</v>
      </c>
      <c r="G1844" s="507">
        <f>SUMIFS(Controle!$R:$R,Controle!$H:$H,produtos_escape2!$A1844,Controle!$Z:$Z,"2")</f>
        <v>0</v>
      </c>
      <c r="H1844" s="507">
        <f>SUMIFS(Controle!$R:$R,Controle!$H:$H,produtos_escape2!$A1844,Controle!$Z:$Z,"3")</f>
        <v>0</v>
      </c>
      <c r="I1844" s="507">
        <f>SUMIFS(Controle!$R:$R,Controle!$H:$H,produtos_escape2!$A1844,Controle!$Z:$Z,"4")</f>
        <v>0</v>
      </c>
      <c r="J1844" s="507">
        <f>SUMIFS(Controle!$R:$R,Controle!$H:$H,produtos_escape2!$A1844,Controle!$Z:$Z,"5")</f>
        <v>0</v>
      </c>
      <c r="K1844" s="507">
        <f>SUMIFS(Controle!$R:$R,Controle!$H:$H,produtos_escape2!$A1844,Controle!$Z:$Z,"6")</f>
        <v>0</v>
      </c>
      <c r="L1844" s="507">
        <f t="shared" si="63"/>
        <v>0</v>
      </c>
      <c r="M1844" s="381" t="s">
        <v>5439</v>
      </c>
    </row>
    <row r="1845" spans="1:13" s="185" customFormat="1" ht="14.25" customHeight="1" thickBot="1">
      <c r="A1845" s="353">
        <v>90917</v>
      </c>
      <c r="B1845" s="194" t="s">
        <v>650</v>
      </c>
      <c r="C1845" s="339">
        <f t="shared" si="64"/>
        <v>50000</v>
      </c>
      <c r="D1845" s="196" t="s">
        <v>547</v>
      </c>
      <c r="E1845" s="187" t="s">
        <v>3608</v>
      </c>
      <c r="F1845" s="507">
        <f>SUMIFS(Controle!$R:$R,Controle!$H:$H,produtos_escape2!$A1845,Controle!$Z:$Z,"1")</f>
        <v>0</v>
      </c>
      <c r="G1845" s="507">
        <f>SUMIFS(Controle!$R:$R,Controle!$H:$H,produtos_escape2!$A1845,Controle!$Z:$Z,"2")</f>
        <v>0</v>
      </c>
      <c r="H1845" s="507">
        <f>SUMIFS(Controle!$R:$R,Controle!$H:$H,produtos_escape2!$A1845,Controle!$Z:$Z,"3")</f>
        <v>0</v>
      </c>
      <c r="I1845" s="507">
        <f>SUMIFS(Controle!$R:$R,Controle!$H:$H,produtos_escape2!$A1845,Controle!$Z:$Z,"4")</f>
        <v>0</v>
      </c>
      <c r="J1845" s="507">
        <f>SUMIFS(Controle!$R:$R,Controle!$H:$H,produtos_escape2!$A1845,Controle!$Z:$Z,"5")</f>
        <v>0</v>
      </c>
      <c r="K1845" s="507">
        <f>SUMIFS(Controle!$R:$R,Controle!$H:$H,produtos_escape2!$A1845,Controle!$Z:$Z,"6")</f>
        <v>0</v>
      </c>
      <c r="L1845" s="507">
        <f t="shared" si="63"/>
        <v>0</v>
      </c>
      <c r="M1845" s="381" t="s">
        <v>5440</v>
      </c>
    </row>
    <row r="1846" spans="1:13" s="185" customFormat="1" ht="14.25" customHeight="1" thickBot="1">
      <c r="A1846" s="353">
        <v>90922</v>
      </c>
      <c r="B1846" s="194" t="s">
        <v>3897</v>
      </c>
      <c r="C1846" s="339">
        <f t="shared" si="64"/>
        <v>50000</v>
      </c>
      <c r="D1846" s="196" t="s">
        <v>549</v>
      </c>
      <c r="E1846" s="187" t="s">
        <v>3608</v>
      </c>
      <c r="F1846" s="507">
        <f>SUMIFS(Controle!$R:$R,Controle!$H:$H,produtos_escape2!$A1846,Controle!$Z:$Z,"1")</f>
        <v>0</v>
      </c>
      <c r="G1846" s="507">
        <f>SUMIFS(Controle!$R:$R,Controle!$H:$H,produtos_escape2!$A1846,Controle!$Z:$Z,"2")</f>
        <v>0</v>
      </c>
      <c r="H1846" s="507">
        <f>SUMIFS(Controle!$R:$R,Controle!$H:$H,produtos_escape2!$A1846,Controle!$Z:$Z,"3")</f>
        <v>0</v>
      </c>
      <c r="I1846" s="507">
        <f>SUMIFS(Controle!$R:$R,Controle!$H:$H,produtos_escape2!$A1846,Controle!$Z:$Z,"4")</f>
        <v>0</v>
      </c>
      <c r="J1846" s="507">
        <f>SUMIFS(Controle!$R:$R,Controle!$H:$H,produtos_escape2!$A1846,Controle!$Z:$Z,"5")</f>
        <v>0</v>
      </c>
      <c r="K1846" s="507">
        <f>SUMIFS(Controle!$R:$R,Controle!$H:$H,produtos_escape2!$A1846,Controle!$Z:$Z,"6")</f>
        <v>0</v>
      </c>
      <c r="L1846" s="507">
        <f t="shared" si="63"/>
        <v>0</v>
      </c>
      <c r="M1846" s="381" t="s">
        <v>3897</v>
      </c>
    </row>
    <row r="1847" spans="1:13" s="185" customFormat="1" ht="14.25" customHeight="1" thickBot="1">
      <c r="A1847" s="353">
        <v>90924</v>
      </c>
      <c r="B1847" s="194" t="s">
        <v>1393</v>
      </c>
      <c r="C1847" s="339">
        <f t="shared" si="64"/>
        <v>49580</v>
      </c>
      <c r="D1847" s="196" t="s">
        <v>548</v>
      </c>
      <c r="E1847" s="187" t="s">
        <v>3608</v>
      </c>
      <c r="F1847" s="507">
        <f>SUMIFS(Controle!$R:$R,Controle!$H:$H,produtos_escape2!$A1847,Controle!$Z:$Z,"1")</f>
        <v>0</v>
      </c>
      <c r="G1847" s="507">
        <f>SUMIFS(Controle!$R:$R,Controle!$H:$H,produtos_escape2!$A1847,Controle!$Z:$Z,"2")</f>
        <v>0</v>
      </c>
      <c r="H1847" s="507">
        <f>SUMIFS(Controle!$R:$R,Controle!$H:$H,produtos_escape2!$A1847,Controle!$Z:$Z,"3")</f>
        <v>420</v>
      </c>
      <c r="I1847" s="507">
        <f>SUMIFS(Controle!$R:$R,Controle!$H:$H,produtos_escape2!$A1847,Controle!$Z:$Z,"4")</f>
        <v>0</v>
      </c>
      <c r="J1847" s="507">
        <f>SUMIFS(Controle!$R:$R,Controle!$H:$H,produtos_escape2!$A1847,Controle!$Z:$Z,"5")</f>
        <v>0</v>
      </c>
      <c r="K1847" s="507">
        <f>SUMIFS(Controle!$R:$R,Controle!$H:$H,produtos_escape2!$A1847,Controle!$Z:$Z,"6")</f>
        <v>0</v>
      </c>
      <c r="L1847" s="507">
        <f t="shared" si="63"/>
        <v>420</v>
      </c>
      <c r="M1847" s="381" t="s">
        <v>5441</v>
      </c>
    </row>
    <row r="1848" spans="1:13" s="185" customFormat="1" ht="14.25" customHeight="1" thickBot="1">
      <c r="A1848" s="353">
        <v>90925</v>
      </c>
      <c r="B1848" s="194" t="s">
        <v>1429</v>
      </c>
      <c r="C1848" s="339">
        <f t="shared" si="64"/>
        <v>10184.909999999996</v>
      </c>
      <c r="D1848" s="196" t="s">
        <v>547</v>
      </c>
      <c r="E1848" s="187" t="s">
        <v>3608</v>
      </c>
      <c r="F1848" s="507">
        <f>SUMIFS(Controle!$R:$R,Controle!$H:$H,produtos_escape2!$A1848,Controle!$Z:$Z,"1")</f>
        <v>0</v>
      </c>
      <c r="G1848" s="507">
        <f>SUMIFS(Controle!$R:$R,Controle!$H:$H,produtos_escape2!$A1848,Controle!$Z:$Z,"2")</f>
        <v>11103.29</v>
      </c>
      <c r="H1848" s="507">
        <f>SUMIFS(Controle!$R:$R,Controle!$H:$H,produtos_escape2!$A1848,Controle!$Z:$Z,"3")</f>
        <v>18951</v>
      </c>
      <c r="I1848" s="507">
        <f>SUMIFS(Controle!$R:$R,Controle!$H:$H,produtos_escape2!$A1848,Controle!$Z:$Z,"4")</f>
        <v>0</v>
      </c>
      <c r="J1848" s="507">
        <f>SUMIFS(Controle!$R:$R,Controle!$H:$H,produtos_escape2!$A1848,Controle!$Z:$Z,"5")</f>
        <v>3040.8</v>
      </c>
      <c r="K1848" s="507">
        <f>SUMIFS(Controle!$R:$R,Controle!$H:$H,produtos_escape2!$A1848,Controle!$Z:$Z,"6")</f>
        <v>6720</v>
      </c>
      <c r="L1848" s="507">
        <f t="shared" si="63"/>
        <v>39815.090000000004</v>
      </c>
      <c r="M1848" s="381" t="s">
        <v>1429</v>
      </c>
    </row>
    <row r="1849" spans="1:13" s="185" customFormat="1" ht="14.25" customHeight="1" thickBot="1">
      <c r="A1849" s="333">
        <v>90927</v>
      </c>
      <c r="B1849" s="194" t="s">
        <v>1252</v>
      </c>
      <c r="C1849" s="339">
        <f t="shared" si="64"/>
        <v>50000</v>
      </c>
      <c r="D1849" s="196" t="s">
        <v>548</v>
      </c>
      <c r="E1849" s="187" t="s">
        <v>3608</v>
      </c>
      <c r="F1849" s="507">
        <f>SUMIFS(Controle!$R:$R,Controle!$H:$H,produtos_escape2!$A1849,Controle!$Z:$Z,"1")</f>
        <v>0</v>
      </c>
      <c r="G1849" s="507">
        <f>SUMIFS(Controle!$R:$R,Controle!$H:$H,produtos_escape2!$A1849,Controle!$Z:$Z,"2")</f>
        <v>0</v>
      </c>
      <c r="H1849" s="507">
        <f>SUMIFS(Controle!$R:$R,Controle!$H:$H,produtos_escape2!$A1849,Controle!$Z:$Z,"3")</f>
        <v>0</v>
      </c>
      <c r="I1849" s="507">
        <f>SUMIFS(Controle!$R:$R,Controle!$H:$H,produtos_escape2!$A1849,Controle!$Z:$Z,"4")</f>
        <v>0</v>
      </c>
      <c r="J1849" s="507">
        <f>SUMIFS(Controle!$R:$R,Controle!$H:$H,produtos_escape2!$A1849,Controle!$Z:$Z,"5")</f>
        <v>0</v>
      </c>
      <c r="K1849" s="507">
        <f>SUMIFS(Controle!$R:$R,Controle!$H:$H,produtos_escape2!$A1849,Controle!$Z:$Z,"6")</f>
        <v>0</v>
      </c>
      <c r="L1849" s="507">
        <f t="shared" si="63"/>
        <v>0</v>
      </c>
      <c r="M1849" s="381" t="s">
        <v>1252</v>
      </c>
    </row>
    <row r="1850" spans="1:13" s="185" customFormat="1" ht="14.25" customHeight="1" thickBot="1">
      <c r="A1850" s="353">
        <v>90949</v>
      </c>
      <c r="B1850" s="194" t="s">
        <v>1056</v>
      </c>
      <c r="C1850" s="339">
        <f t="shared" si="64"/>
        <v>28448</v>
      </c>
      <c r="D1850" s="196" t="s">
        <v>547</v>
      </c>
      <c r="E1850" s="187" t="s">
        <v>3608</v>
      </c>
      <c r="F1850" s="507">
        <f>SUMIFS(Controle!$R:$R,Controle!$H:$H,produtos_escape2!$A1850,Controle!$Z:$Z,"1")</f>
        <v>0</v>
      </c>
      <c r="G1850" s="507">
        <f>SUMIFS(Controle!$R:$R,Controle!$H:$H,produtos_escape2!$A1850,Controle!$Z:$Z,"2")</f>
        <v>10500</v>
      </c>
      <c r="H1850" s="507">
        <f>SUMIFS(Controle!$R:$R,Controle!$H:$H,produtos_escape2!$A1850,Controle!$Z:$Z,"3")</f>
        <v>4041</v>
      </c>
      <c r="I1850" s="507">
        <f>SUMIFS(Controle!$R:$R,Controle!$H:$H,produtos_escape2!$A1850,Controle!$Z:$Z,"4")</f>
        <v>4140</v>
      </c>
      <c r="J1850" s="507">
        <f>SUMIFS(Controle!$R:$R,Controle!$H:$H,produtos_escape2!$A1850,Controle!$Z:$Z,"5")</f>
        <v>965.99999999999989</v>
      </c>
      <c r="K1850" s="507">
        <f>SUMIFS(Controle!$R:$R,Controle!$H:$H,produtos_escape2!$A1850,Controle!$Z:$Z,"6")</f>
        <v>1905</v>
      </c>
      <c r="L1850" s="507">
        <f t="shared" si="63"/>
        <v>21552</v>
      </c>
      <c r="M1850" s="381" t="s">
        <v>1056</v>
      </c>
    </row>
    <row r="1851" spans="1:13" s="185" customFormat="1" ht="14.25" customHeight="1" thickBot="1">
      <c r="A1851" s="353">
        <v>90950</v>
      </c>
      <c r="B1851" s="194" t="s">
        <v>103</v>
      </c>
      <c r="C1851" s="339">
        <f t="shared" si="64"/>
        <v>47696</v>
      </c>
      <c r="D1851" s="196" t="s">
        <v>725</v>
      </c>
      <c r="E1851" s="187" t="s">
        <v>3608</v>
      </c>
      <c r="F1851" s="507">
        <f>SUMIFS(Controle!$R:$R,Controle!$H:$H,produtos_escape2!$A1851,Controle!$Z:$Z,"1")</f>
        <v>0</v>
      </c>
      <c r="G1851" s="507">
        <f>SUMIFS(Controle!$R:$R,Controle!$H:$H,produtos_escape2!$A1851,Controle!$Z:$Z,"2")</f>
        <v>0</v>
      </c>
      <c r="H1851" s="507">
        <f>SUMIFS(Controle!$R:$R,Controle!$H:$H,produtos_escape2!$A1851,Controle!$Z:$Z,"3")</f>
        <v>0</v>
      </c>
      <c r="I1851" s="507">
        <f>SUMIFS(Controle!$R:$R,Controle!$H:$H,produtos_escape2!$A1851,Controle!$Z:$Z,"4")</f>
        <v>0</v>
      </c>
      <c r="J1851" s="507">
        <f>SUMIFS(Controle!$R:$R,Controle!$H:$H,produtos_escape2!$A1851,Controle!$Z:$Z,"5")</f>
        <v>124</v>
      </c>
      <c r="K1851" s="507">
        <f>SUMIFS(Controle!$R:$R,Controle!$H:$H,produtos_escape2!$A1851,Controle!$Z:$Z,"6")</f>
        <v>2180</v>
      </c>
      <c r="L1851" s="507">
        <f t="shared" si="63"/>
        <v>2304</v>
      </c>
      <c r="M1851" s="381" t="s">
        <v>103</v>
      </c>
    </row>
    <row r="1852" spans="1:13" s="185" customFormat="1" ht="14.25" customHeight="1" thickBot="1">
      <c r="A1852" s="353">
        <v>90953</v>
      </c>
      <c r="B1852" s="338" t="s">
        <v>757</v>
      </c>
      <c r="C1852" s="339">
        <f t="shared" si="64"/>
        <v>50000</v>
      </c>
      <c r="D1852" s="196" t="s">
        <v>725</v>
      </c>
      <c r="E1852" s="187" t="s">
        <v>3608</v>
      </c>
      <c r="F1852" s="507">
        <f>SUMIFS(Controle!$R:$R,Controle!$H:$H,produtos_escape2!$A1852,Controle!$Z:$Z,"1")</f>
        <v>0</v>
      </c>
      <c r="G1852" s="507">
        <f>SUMIFS(Controle!$R:$R,Controle!$H:$H,produtos_escape2!$A1852,Controle!$Z:$Z,"2")</f>
        <v>0</v>
      </c>
      <c r="H1852" s="507">
        <f>SUMIFS(Controle!$R:$R,Controle!$H:$H,produtos_escape2!$A1852,Controle!$Z:$Z,"3")</f>
        <v>0</v>
      </c>
      <c r="I1852" s="507">
        <f>SUMIFS(Controle!$R:$R,Controle!$H:$H,produtos_escape2!$A1852,Controle!$Z:$Z,"4")</f>
        <v>0</v>
      </c>
      <c r="J1852" s="507">
        <f>SUMIFS(Controle!$R:$R,Controle!$H:$H,produtos_escape2!$A1852,Controle!$Z:$Z,"5")</f>
        <v>0</v>
      </c>
      <c r="K1852" s="507">
        <f>SUMIFS(Controle!$R:$R,Controle!$H:$H,produtos_escape2!$A1852,Controle!$Z:$Z,"6")</f>
        <v>0</v>
      </c>
      <c r="L1852" s="507">
        <f t="shared" si="63"/>
        <v>0</v>
      </c>
      <c r="M1852" s="381" t="s">
        <v>757</v>
      </c>
    </row>
    <row r="1853" spans="1:13" s="185" customFormat="1" ht="14.25" customHeight="1" thickBot="1">
      <c r="A1853" s="353">
        <v>90954</v>
      </c>
      <c r="B1853" s="194" t="s">
        <v>1341</v>
      </c>
      <c r="C1853" s="339">
        <f t="shared" si="64"/>
        <v>47627</v>
      </c>
      <c r="D1853" s="196" t="s">
        <v>624</v>
      </c>
      <c r="E1853" s="187" t="s">
        <v>3608</v>
      </c>
      <c r="F1853" s="507">
        <f>SUMIFS(Controle!$R:$R,Controle!$H:$H,produtos_escape2!$A1853,Controle!$Z:$Z,"1")</f>
        <v>1428</v>
      </c>
      <c r="G1853" s="507">
        <f>SUMIFS(Controle!$R:$R,Controle!$H:$H,produtos_escape2!$A1853,Controle!$Z:$Z,"2")</f>
        <v>945</v>
      </c>
      <c r="H1853" s="507">
        <f>SUMIFS(Controle!$R:$R,Controle!$H:$H,produtos_escape2!$A1853,Controle!$Z:$Z,"3")</f>
        <v>0</v>
      </c>
      <c r="I1853" s="507">
        <f>SUMIFS(Controle!$R:$R,Controle!$H:$H,produtos_escape2!$A1853,Controle!$Z:$Z,"4")</f>
        <v>0</v>
      </c>
      <c r="J1853" s="507">
        <f>SUMIFS(Controle!$R:$R,Controle!$H:$H,produtos_escape2!$A1853,Controle!$Z:$Z,"5")</f>
        <v>0</v>
      </c>
      <c r="K1853" s="507">
        <f>SUMIFS(Controle!$R:$R,Controle!$H:$H,produtos_escape2!$A1853,Controle!$Z:$Z,"6")</f>
        <v>0</v>
      </c>
      <c r="L1853" s="507">
        <f t="shared" si="63"/>
        <v>2373</v>
      </c>
      <c r="M1853" s="381" t="s">
        <v>1341</v>
      </c>
    </row>
    <row r="1854" spans="1:13" s="185" customFormat="1" ht="14.25" customHeight="1" thickBot="1">
      <c r="A1854" s="353">
        <v>90957</v>
      </c>
      <c r="B1854" s="194" t="s">
        <v>1707</v>
      </c>
      <c r="C1854" s="339">
        <f t="shared" si="64"/>
        <v>50000</v>
      </c>
      <c r="D1854" s="191" t="s">
        <v>547</v>
      </c>
      <c r="E1854" s="189" t="s">
        <v>3608</v>
      </c>
      <c r="F1854" s="507">
        <f>SUMIFS(Controle!$R:$R,Controle!$H:$H,produtos_escape2!$A1854,Controle!$Z:$Z,"1")</f>
        <v>0</v>
      </c>
      <c r="G1854" s="507">
        <f>SUMIFS(Controle!$R:$R,Controle!$H:$H,produtos_escape2!$A1854,Controle!$Z:$Z,"2")</f>
        <v>0</v>
      </c>
      <c r="H1854" s="507">
        <f>SUMIFS(Controle!$R:$R,Controle!$H:$H,produtos_escape2!$A1854,Controle!$Z:$Z,"3")</f>
        <v>0</v>
      </c>
      <c r="I1854" s="507">
        <f>SUMIFS(Controle!$R:$R,Controle!$H:$H,produtos_escape2!$A1854,Controle!$Z:$Z,"4")</f>
        <v>0</v>
      </c>
      <c r="J1854" s="507">
        <f>SUMIFS(Controle!$R:$R,Controle!$H:$H,produtos_escape2!$A1854,Controle!$Z:$Z,"5")</f>
        <v>0</v>
      </c>
      <c r="K1854" s="507">
        <f>SUMIFS(Controle!$R:$R,Controle!$H:$H,produtos_escape2!$A1854,Controle!$Z:$Z,"6")</f>
        <v>0</v>
      </c>
      <c r="L1854" s="507">
        <f t="shared" si="63"/>
        <v>0</v>
      </c>
      <c r="M1854" s="381" t="s">
        <v>1707</v>
      </c>
    </row>
    <row r="1855" spans="1:13" s="185" customFormat="1" ht="14.25" customHeight="1" thickBot="1">
      <c r="A1855" s="353">
        <v>90959</v>
      </c>
      <c r="B1855" s="194" t="s">
        <v>114</v>
      </c>
      <c r="C1855" s="339">
        <f t="shared" si="64"/>
        <v>27740</v>
      </c>
      <c r="D1855" s="196" t="s">
        <v>547</v>
      </c>
      <c r="E1855" s="187" t="s">
        <v>3608</v>
      </c>
      <c r="F1855" s="507">
        <f>SUMIFS(Controle!$R:$R,Controle!$H:$H,produtos_escape2!$A1855,Controle!$Z:$Z,"1")</f>
        <v>0</v>
      </c>
      <c r="G1855" s="507">
        <f>SUMIFS(Controle!$R:$R,Controle!$H:$H,produtos_escape2!$A1855,Controle!$Z:$Z,"2")</f>
        <v>0</v>
      </c>
      <c r="H1855" s="507">
        <f>SUMIFS(Controle!$R:$R,Controle!$H:$H,produtos_escape2!$A1855,Controle!$Z:$Z,"3")</f>
        <v>0</v>
      </c>
      <c r="I1855" s="507">
        <f>SUMIFS(Controle!$R:$R,Controle!$H:$H,produtos_escape2!$A1855,Controle!$Z:$Z,"4")</f>
        <v>0</v>
      </c>
      <c r="J1855" s="507">
        <f>SUMIFS(Controle!$R:$R,Controle!$H:$H,produtos_escape2!$A1855,Controle!$Z:$Z,"5")</f>
        <v>0</v>
      </c>
      <c r="K1855" s="507">
        <f>SUMIFS(Controle!$R:$R,Controle!$H:$H,produtos_escape2!$A1855,Controle!$Z:$Z,"6")</f>
        <v>22260</v>
      </c>
      <c r="L1855" s="507">
        <f t="shared" ref="L1855:L1918" si="65">SUM(F1855:K1855)</f>
        <v>22260</v>
      </c>
      <c r="M1855" s="381" t="s">
        <v>5442</v>
      </c>
    </row>
    <row r="1856" spans="1:13" s="185" customFormat="1" ht="14.25" customHeight="1" thickBot="1">
      <c r="A1856" s="353">
        <v>90969</v>
      </c>
      <c r="B1856" s="194" t="s">
        <v>7022</v>
      </c>
      <c r="C1856" s="339">
        <f t="shared" si="64"/>
        <v>50000</v>
      </c>
      <c r="D1856" s="196" t="s">
        <v>550</v>
      </c>
      <c r="E1856" s="187" t="s">
        <v>3608</v>
      </c>
      <c r="F1856" s="507">
        <f>SUMIFS(Controle!$R:$R,Controle!$H:$H,produtos_escape2!$A1856,Controle!$Z:$Z,"1")</f>
        <v>0</v>
      </c>
      <c r="G1856" s="507">
        <f>SUMIFS(Controle!$R:$R,Controle!$H:$H,produtos_escape2!$A1856,Controle!$Z:$Z,"2")</f>
        <v>0</v>
      </c>
      <c r="H1856" s="507">
        <f>SUMIFS(Controle!$R:$R,Controle!$H:$H,produtos_escape2!$A1856,Controle!$Z:$Z,"3")</f>
        <v>0</v>
      </c>
      <c r="I1856" s="507">
        <f>SUMIFS(Controle!$R:$R,Controle!$H:$H,produtos_escape2!$A1856,Controle!$Z:$Z,"4")</f>
        <v>0</v>
      </c>
      <c r="J1856" s="507">
        <f>SUMIFS(Controle!$R:$R,Controle!$H:$H,produtos_escape2!$A1856,Controle!$Z:$Z,"5")</f>
        <v>0</v>
      </c>
      <c r="K1856" s="507">
        <f>SUMIFS(Controle!$R:$R,Controle!$H:$H,produtos_escape2!$A1856,Controle!$Z:$Z,"6")</f>
        <v>0</v>
      </c>
      <c r="L1856" s="507">
        <f t="shared" si="65"/>
        <v>0</v>
      </c>
      <c r="M1856" s="381" t="s">
        <v>7023</v>
      </c>
    </row>
    <row r="1857" spans="1:13" s="185" customFormat="1" ht="14.25" customHeight="1" thickBot="1">
      <c r="A1857" s="353">
        <v>90973</v>
      </c>
      <c r="B1857" s="194" t="s">
        <v>1661</v>
      </c>
      <c r="C1857" s="339">
        <f t="shared" si="64"/>
        <v>50000</v>
      </c>
      <c r="D1857" s="196" t="s">
        <v>725</v>
      </c>
      <c r="E1857" s="187" t="s">
        <v>3608</v>
      </c>
      <c r="F1857" s="507">
        <f>SUMIFS(Controle!$R:$R,Controle!$H:$H,produtos_escape2!$A1857,Controle!$Z:$Z,"1")</f>
        <v>0</v>
      </c>
      <c r="G1857" s="507">
        <f>SUMIFS(Controle!$R:$R,Controle!$H:$H,produtos_escape2!$A1857,Controle!$Z:$Z,"2")</f>
        <v>0</v>
      </c>
      <c r="H1857" s="507">
        <f>SUMIFS(Controle!$R:$R,Controle!$H:$H,produtos_escape2!$A1857,Controle!$Z:$Z,"3")</f>
        <v>0</v>
      </c>
      <c r="I1857" s="507">
        <f>SUMIFS(Controle!$R:$R,Controle!$H:$H,produtos_escape2!$A1857,Controle!$Z:$Z,"4")</f>
        <v>0</v>
      </c>
      <c r="J1857" s="507">
        <f>SUMIFS(Controle!$R:$R,Controle!$H:$H,produtos_escape2!$A1857,Controle!$Z:$Z,"5")</f>
        <v>0</v>
      </c>
      <c r="K1857" s="507">
        <f>SUMIFS(Controle!$R:$R,Controle!$H:$H,produtos_escape2!$A1857,Controle!$Z:$Z,"6")</f>
        <v>0</v>
      </c>
      <c r="L1857" s="507">
        <f t="shared" si="65"/>
        <v>0</v>
      </c>
      <c r="M1857" s="381" t="s">
        <v>1661</v>
      </c>
    </row>
    <row r="1858" spans="1:13" s="185" customFormat="1" ht="14.25" customHeight="1" thickBot="1">
      <c r="A1858" s="333">
        <v>90974</v>
      </c>
      <c r="B1858" s="194" t="s">
        <v>273</v>
      </c>
      <c r="C1858" s="339">
        <f t="shared" si="64"/>
        <v>48615</v>
      </c>
      <c r="D1858" s="196" t="s">
        <v>894</v>
      </c>
      <c r="E1858" s="187" t="s">
        <v>3608</v>
      </c>
      <c r="F1858" s="507">
        <f>SUMIFS(Controle!$R:$R,Controle!$H:$H,produtos_escape2!$A1858,Controle!$Z:$Z,"1")</f>
        <v>0</v>
      </c>
      <c r="G1858" s="507">
        <f>SUMIFS(Controle!$R:$R,Controle!$H:$H,produtos_escape2!$A1858,Controle!$Z:$Z,"2")</f>
        <v>1385</v>
      </c>
      <c r="H1858" s="507">
        <f>SUMIFS(Controle!$R:$R,Controle!$H:$H,produtos_escape2!$A1858,Controle!$Z:$Z,"3")</f>
        <v>0</v>
      </c>
      <c r="I1858" s="507">
        <f>SUMIFS(Controle!$R:$R,Controle!$H:$H,produtos_escape2!$A1858,Controle!$Z:$Z,"4")</f>
        <v>0</v>
      </c>
      <c r="J1858" s="507">
        <f>SUMIFS(Controle!$R:$R,Controle!$H:$H,produtos_escape2!$A1858,Controle!$Z:$Z,"5")</f>
        <v>0</v>
      </c>
      <c r="K1858" s="507">
        <f>SUMIFS(Controle!$R:$R,Controle!$H:$H,produtos_escape2!$A1858,Controle!$Z:$Z,"6")</f>
        <v>0</v>
      </c>
      <c r="L1858" s="507">
        <f t="shared" si="65"/>
        <v>1385</v>
      </c>
      <c r="M1858" s="381" t="s">
        <v>273</v>
      </c>
    </row>
    <row r="1859" spans="1:13" s="185" customFormat="1" ht="14.25" customHeight="1" thickBot="1">
      <c r="A1859" s="353">
        <v>90975</v>
      </c>
      <c r="B1859" s="194" t="s">
        <v>1736</v>
      </c>
      <c r="C1859" s="339">
        <f t="shared" si="64"/>
        <v>49311</v>
      </c>
      <c r="D1859" s="196" t="s">
        <v>547</v>
      </c>
      <c r="E1859" s="187" t="s">
        <v>3608</v>
      </c>
      <c r="F1859" s="507">
        <f>SUMIFS(Controle!$R:$R,Controle!$H:$H,produtos_escape2!$A1859,Controle!$Z:$Z,"1")</f>
        <v>0</v>
      </c>
      <c r="G1859" s="507">
        <f>SUMIFS(Controle!$R:$R,Controle!$H:$H,produtos_escape2!$A1859,Controle!$Z:$Z,"2")</f>
        <v>0</v>
      </c>
      <c r="H1859" s="507">
        <f>SUMIFS(Controle!$R:$R,Controle!$H:$H,produtos_escape2!$A1859,Controle!$Z:$Z,"3")</f>
        <v>0</v>
      </c>
      <c r="I1859" s="507">
        <f>SUMIFS(Controle!$R:$R,Controle!$H:$H,produtos_escape2!$A1859,Controle!$Z:$Z,"4")</f>
        <v>0</v>
      </c>
      <c r="J1859" s="507">
        <f>SUMIFS(Controle!$R:$R,Controle!$H:$H,produtos_escape2!$A1859,Controle!$Z:$Z,"5")</f>
        <v>0</v>
      </c>
      <c r="K1859" s="507">
        <f>SUMIFS(Controle!$R:$R,Controle!$H:$H,produtos_escape2!$A1859,Controle!$Z:$Z,"6")</f>
        <v>689</v>
      </c>
      <c r="L1859" s="507">
        <f t="shared" si="65"/>
        <v>689</v>
      </c>
      <c r="M1859" s="381" t="s">
        <v>1736</v>
      </c>
    </row>
    <row r="1860" spans="1:13" s="185" customFormat="1" ht="14.25" customHeight="1" thickBot="1">
      <c r="A1860" s="353">
        <v>90976</v>
      </c>
      <c r="B1860" s="194" t="s">
        <v>212</v>
      </c>
      <c r="C1860" s="339">
        <f t="shared" si="64"/>
        <v>50000</v>
      </c>
      <c r="D1860" s="196" t="s">
        <v>547</v>
      </c>
      <c r="E1860" s="187" t="s">
        <v>3608</v>
      </c>
      <c r="F1860" s="507">
        <f>SUMIFS(Controle!$R:$R,Controle!$H:$H,produtos_escape2!$A1860,Controle!$Z:$Z,"1")</f>
        <v>0</v>
      </c>
      <c r="G1860" s="507">
        <f>SUMIFS(Controle!$R:$R,Controle!$H:$H,produtos_escape2!$A1860,Controle!$Z:$Z,"2")</f>
        <v>0</v>
      </c>
      <c r="H1860" s="507">
        <f>SUMIFS(Controle!$R:$R,Controle!$H:$H,produtos_escape2!$A1860,Controle!$Z:$Z,"3")</f>
        <v>0</v>
      </c>
      <c r="I1860" s="507">
        <f>SUMIFS(Controle!$R:$R,Controle!$H:$H,produtos_escape2!$A1860,Controle!$Z:$Z,"4")</f>
        <v>0</v>
      </c>
      <c r="J1860" s="507">
        <f>SUMIFS(Controle!$R:$R,Controle!$H:$H,produtos_escape2!$A1860,Controle!$Z:$Z,"5")</f>
        <v>0</v>
      </c>
      <c r="K1860" s="507">
        <f>SUMIFS(Controle!$R:$R,Controle!$H:$H,produtos_escape2!$A1860,Controle!$Z:$Z,"6")</f>
        <v>0</v>
      </c>
      <c r="L1860" s="507">
        <f t="shared" si="65"/>
        <v>0</v>
      </c>
      <c r="M1860" s="381" t="s">
        <v>5443</v>
      </c>
    </row>
    <row r="1861" spans="1:13" s="185" customFormat="1" ht="14.25" customHeight="1" thickBot="1">
      <c r="A1861" s="353">
        <v>90980</v>
      </c>
      <c r="B1861" s="194" t="s">
        <v>7360</v>
      </c>
      <c r="C1861" s="339">
        <f t="shared" si="64"/>
        <v>33816.080000000002</v>
      </c>
      <c r="D1861" s="196" t="s">
        <v>547</v>
      </c>
      <c r="E1861" s="189" t="s">
        <v>3608</v>
      </c>
      <c r="F1861" s="507">
        <f>SUMIFS(Controle!$R:$R,Controle!$H:$H,produtos_escape2!$A1861,Controle!$Z:$Z,"1")</f>
        <v>0</v>
      </c>
      <c r="G1861" s="507">
        <f>SUMIFS(Controle!$R:$R,Controle!$H:$H,produtos_escape2!$A1861,Controle!$Z:$Z,"2")</f>
        <v>16183.92</v>
      </c>
      <c r="H1861" s="507">
        <f>SUMIFS(Controle!$R:$R,Controle!$H:$H,produtos_escape2!$A1861,Controle!$Z:$Z,"3")</f>
        <v>0</v>
      </c>
      <c r="I1861" s="507">
        <f>SUMIFS(Controle!$R:$R,Controle!$H:$H,produtos_escape2!$A1861,Controle!$Z:$Z,"4")</f>
        <v>0</v>
      </c>
      <c r="J1861" s="507">
        <f>SUMIFS(Controle!$R:$R,Controle!$H:$H,produtos_escape2!$A1861,Controle!$Z:$Z,"5")</f>
        <v>0</v>
      </c>
      <c r="K1861" s="507">
        <f>SUMIFS(Controle!$R:$R,Controle!$H:$H,produtos_escape2!$A1861,Controle!$Z:$Z,"6")</f>
        <v>0</v>
      </c>
      <c r="L1861" s="507">
        <f t="shared" si="65"/>
        <v>16183.92</v>
      </c>
      <c r="M1861" s="65" t="s">
        <v>7361</v>
      </c>
    </row>
    <row r="1862" spans="1:13" s="185" customFormat="1" ht="14.25" customHeight="1" thickBot="1">
      <c r="A1862" s="353">
        <v>90981</v>
      </c>
      <c r="B1862" s="338" t="s">
        <v>2679</v>
      </c>
      <c r="C1862" s="339">
        <f t="shared" si="64"/>
        <v>50000</v>
      </c>
      <c r="D1862" s="196" t="s">
        <v>547</v>
      </c>
      <c r="E1862" s="187" t="s">
        <v>3608</v>
      </c>
      <c r="F1862" s="507">
        <f>SUMIFS(Controle!$R:$R,Controle!$H:$H,produtos_escape2!$A1862,Controle!$Z:$Z,"1")</f>
        <v>0</v>
      </c>
      <c r="G1862" s="507">
        <f>SUMIFS(Controle!$R:$R,Controle!$H:$H,produtos_escape2!$A1862,Controle!$Z:$Z,"2")</f>
        <v>0</v>
      </c>
      <c r="H1862" s="507">
        <f>SUMIFS(Controle!$R:$R,Controle!$H:$H,produtos_escape2!$A1862,Controle!$Z:$Z,"3")</f>
        <v>0</v>
      </c>
      <c r="I1862" s="507">
        <f>SUMIFS(Controle!$R:$R,Controle!$H:$H,produtos_escape2!$A1862,Controle!$Z:$Z,"4")</f>
        <v>0</v>
      </c>
      <c r="J1862" s="507">
        <f>SUMIFS(Controle!$R:$R,Controle!$H:$H,produtos_escape2!$A1862,Controle!$Z:$Z,"5")</f>
        <v>0</v>
      </c>
      <c r="K1862" s="507">
        <f>SUMIFS(Controle!$R:$R,Controle!$H:$H,produtos_escape2!$A1862,Controle!$Z:$Z,"6")</f>
        <v>0</v>
      </c>
      <c r="L1862" s="507">
        <f t="shared" si="65"/>
        <v>0</v>
      </c>
      <c r="M1862" s="381" t="s">
        <v>2679</v>
      </c>
    </row>
    <row r="1863" spans="1:13" s="185" customFormat="1" ht="14.25" customHeight="1" thickBot="1">
      <c r="A1863" s="353">
        <v>90985</v>
      </c>
      <c r="B1863" s="194" t="s">
        <v>117</v>
      </c>
      <c r="C1863" s="339">
        <f t="shared" si="64"/>
        <v>48618.5</v>
      </c>
      <c r="D1863" s="196" t="s">
        <v>548</v>
      </c>
      <c r="E1863" s="187" t="s">
        <v>3608</v>
      </c>
      <c r="F1863" s="507">
        <f>SUMIFS(Controle!$R:$R,Controle!$H:$H,produtos_escape2!$A1863,Controle!$Z:$Z,"1")</f>
        <v>0</v>
      </c>
      <c r="G1863" s="507">
        <f>SUMIFS(Controle!$R:$R,Controle!$H:$H,produtos_escape2!$A1863,Controle!$Z:$Z,"2")</f>
        <v>0</v>
      </c>
      <c r="H1863" s="507">
        <f>SUMIFS(Controle!$R:$R,Controle!$H:$H,produtos_escape2!$A1863,Controle!$Z:$Z,"3")</f>
        <v>0</v>
      </c>
      <c r="I1863" s="507">
        <f>SUMIFS(Controle!$R:$R,Controle!$H:$H,produtos_escape2!$A1863,Controle!$Z:$Z,"4")</f>
        <v>350</v>
      </c>
      <c r="J1863" s="507">
        <f>SUMIFS(Controle!$R:$R,Controle!$H:$H,produtos_escape2!$A1863,Controle!$Z:$Z,"5")</f>
        <v>0</v>
      </c>
      <c r="K1863" s="507">
        <f>SUMIFS(Controle!$R:$R,Controle!$H:$H,produtos_escape2!$A1863,Controle!$Z:$Z,"6")</f>
        <v>1031.5</v>
      </c>
      <c r="L1863" s="507">
        <f t="shared" si="65"/>
        <v>1381.5</v>
      </c>
      <c r="M1863" s="381" t="s">
        <v>5444</v>
      </c>
    </row>
    <row r="1864" spans="1:13" s="185" customFormat="1" ht="14.25" customHeight="1" thickBot="1">
      <c r="A1864" s="353">
        <v>90989</v>
      </c>
      <c r="B1864" s="194" t="s">
        <v>123</v>
      </c>
      <c r="C1864" s="339">
        <f t="shared" si="64"/>
        <v>50000</v>
      </c>
      <c r="D1864" s="196"/>
      <c r="E1864" s="187"/>
      <c r="F1864" s="507">
        <f>SUMIFS(Controle!$R:$R,Controle!$H:$H,produtos_escape2!$A1864,Controle!$Z:$Z,"1")</f>
        <v>0</v>
      </c>
      <c r="G1864" s="507">
        <f>SUMIFS(Controle!$R:$R,Controle!$H:$H,produtos_escape2!$A1864,Controle!$Z:$Z,"2")</f>
        <v>0</v>
      </c>
      <c r="H1864" s="507">
        <f>SUMIFS(Controle!$R:$R,Controle!$H:$H,produtos_escape2!$A1864,Controle!$Z:$Z,"3")</f>
        <v>0</v>
      </c>
      <c r="I1864" s="507">
        <f>SUMIFS(Controle!$R:$R,Controle!$H:$H,produtos_escape2!$A1864,Controle!$Z:$Z,"4")</f>
        <v>0</v>
      </c>
      <c r="J1864" s="507">
        <f>SUMIFS(Controle!$R:$R,Controle!$H:$H,produtos_escape2!$A1864,Controle!$Z:$Z,"5")</f>
        <v>0</v>
      </c>
      <c r="K1864" s="507">
        <f>SUMIFS(Controle!$R:$R,Controle!$H:$H,produtos_escape2!$A1864,Controle!$Z:$Z,"6")</f>
        <v>0</v>
      </c>
      <c r="L1864" s="507">
        <f t="shared" si="65"/>
        <v>0</v>
      </c>
      <c r="M1864" s="381" t="s">
        <v>5705</v>
      </c>
    </row>
    <row r="1865" spans="1:13" s="185" customFormat="1" ht="14.25" customHeight="1" thickBot="1">
      <c r="A1865" s="353">
        <v>91017</v>
      </c>
      <c r="B1865" s="194" t="s">
        <v>501</v>
      </c>
      <c r="C1865" s="339">
        <f t="shared" ref="C1865:C1928" si="66">50000-SUM(F1865:K1865)</f>
        <v>50000</v>
      </c>
      <c r="D1865" s="196" t="s">
        <v>624</v>
      </c>
      <c r="E1865" s="187" t="s">
        <v>3608</v>
      </c>
      <c r="F1865" s="507">
        <f>SUMIFS(Controle!$R:$R,Controle!$H:$H,produtos_escape2!$A1865,Controle!$Z:$Z,"1")</f>
        <v>0</v>
      </c>
      <c r="G1865" s="507">
        <f>SUMIFS(Controle!$R:$R,Controle!$H:$H,produtos_escape2!$A1865,Controle!$Z:$Z,"2")</f>
        <v>0</v>
      </c>
      <c r="H1865" s="507">
        <f>SUMIFS(Controle!$R:$R,Controle!$H:$H,produtos_escape2!$A1865,Controle!$Z:$Z,"3")</f>
        <v>0</v>
      </c>
      <c r="I1865" s="507">
        <f>SUMIFS(Controle!$R:$R,Controle!$H:$H,produtos_escape2!$A1865,Controle!$Z:$Z,"4")</f>
        <v>0</v>
      </c>
      <c r="J1865" s="507">
        <f>SUMIFS(Controle!$R:$R,Controle!$H:$H,produtos_escape2!$A1865,Controle!$Z:$Z,"5")</f>
        <v>0</v>
      </c>
      <c r="K1865" s="507">
        <f>SUMIFS(Controle!$R:$R,Controle!$H:$H,produtos_escape2!$A1865,Controle!$Z:$Z,"6")</f>
        <v>0</v>
      </c>
      <c r="L1865" s="507">
        <f t="shared" si="65"/>
        <v>0</v>
      </c>
      <c r="M1865" s="381" t="s">
        <v>5445</v>
      </c>
    </row>
    <row r="1866" spans="1:13" s="185" customFormat="1" ht="14.25" customHeight="1" thickBot="1">
      <c r="A1866" s="353">
        <v>91018</v>
      </c>
      <c r="B1866" s="194" t="s">
        <v>404</v>
      </c>
      <c r="C1866" s="339">
        <f t="shared" si="66"/>
        <v>50000</v>
      </c>
      <c r="D1866" s="196"/>
      <c r="E1866" s="187" t="s">
        <v>3608</v>
      </c>
      <c r="F1866" s="507">
        <f>SUMIFS(Controle!$R:$R,Controle!$H:$H,produtos_escape2!$A1866,Controle!$Z:$Z,"1")</f>
        <v>0</v>
      </c>
      <c r="G1866" s="507">
        <f>SUMIFS(Controle!$R:$R,Controle!$H:$H,produtos_escape2!$A1866,Controle!$Z:$Z,"2")</f>
        <v>0</v>
      </c>
      <c r="H1866" s="507">
        <f>SUMIFS(Controle!$R:$R,Controle!$H:$H,produtos_escape2!$A1866,Controle!$Z:$Z,"3")</f>
        <v>0</v>
      </c>
      <c r="I1866" s="507">
        <f>SUMIFS(Controle!$R:$R,Controle!$H:$H,produtos_escape2!$A1866,Controle!$Z:$Z,"4")</f>
        <v>0</v>
      </c>
      <c r="J1866" s="507">
        <f>SUMIFS(Controle!$R:$R,Controle!$H:$H,produtos_escape2!$A1866,Controle!$Z:$Z,"5")</f>
        <v>0</v>
      </c>
      <c r="K1866" s="507">
        <f>SUMIFS(Controle!$R:$R,Controle!$H:$H,produtos_escape2!$A1866,Controle!$Z:$Z,"6")</f>
        <v>0</v>
      </c>
      <c r="L1866" s="507">
        <f t="shared" si="65"/>
        <v>0</v>
      </c>
      <c r="M1866" s="381" t="s">
        <v>5445</v>
      </c>
    </row>
    <row r="1867" spans="1:13" s="185" customFormat="1" ht="14.25" customHeight="1" thickBot="1">
      <c r="A1867" s="333">
        <v>91020</v>
      </c>
      <c r="B1867" s="194" t="s">
        <v>405</v>
      </c>
      <c r="C1867" s="339">
        <f t="shared" si="66"/>
        <v>50000</v>
      </c>
      <c r="D1867" s="196"/>
      <c r="E1867" s="187" t="s">
        <v>3608</v>
      </c>
      <c r="F1867" s="507">
        <f>SUMIFS(Controle!$R:$R,Controle!$H:$H,produtos_escape2!$A1867,Controle!$Z:$Z,"1")</f>
        <v>0</v>
      </c>
      <c r="G1867" s="507">
        <f>SUMIFS(Controle!$R:$R,Controle!$H:$H,produtos_escape2!$A1867,Controle!$Z:$Z,"2")</f>
        <v>0</v>
      </c>
      <c r="H1867" s="507">
        <f>SUMIFS(Controle!$R:$R,Controle!$H:$H,produtos_escape2!$A1867,Controle!$Z:$Z,"3")</f>
        <v>0</v>
      </c>
      <c r="I1867" s="507">
        <f>SUMIFS(Controle!$R:$R,Controle!$H:$H,produtos_escape2!$A1867,Controle!$Z:$Z,"4")</f>
        <v>0</v>
      </c>
      <c r="J1867" s="507">
        <f>SUMIFS(Controle!$R:$R,Controle!$H:$H,produtos_escape2!$A1867,Controle!$Z:$Z,"5")</f>
        <v>0</v>
      </c>
      <c r="K1867" s="507">
        <f>SUMIFS(Controle!$R:$R,Controle!$H:$H,produtos_escape2!$A1867,Controle!$Z:$Z,"6")</f>
        <v>0</v>
      </c>
      <c r="L1867" s="507">
        <f t="shared" si="65"/>
        <v>0</v>
      </c>
      <c r="M1867" s="381" t="s">
        <v>5445</v>
      </c>
    </row>
    <row r="1868" spans="1:13" s="185" customFormat="1" ht="14.25" customHeight="1" thickBot="1">
      <c r="A1868" s="353">
        <v>91021</v>
      </c>
      <c r="B1868" s="194" t="s">
        <v>57</v>
      </c>
      <c r="C1868" s="339">
        <f t="shared" si="66"/>
        <v>50000</v>
      </c>
      <c r="D1868" s="196"/>
      <c r="E1868" s="187"/>
      <c r="F1868" s="507">
        <f>SUMIFS(Controle!$R:$R,Controle!$H:$H,produtos_escape2!$A1868,Controle!$Z:$Z,"1")</f>
        <v>0</v>
      </c>
      <c r="G1868" s="507">
        <f>SUMIFS(Controle!$R:$R,Controle!$H:$H,produtos_escape2!$A1868,Controle!$Z:$Z,"2")</f>
        <v>0</v>
      </c>
      <c r="H1868" s="507">
        <f>SUMIFS(Controle!$R:$R,Controle!$H:$H,produtos_escape2!$A1868,Controle!$Z:$Z,"3")</f>
        <v>0</v>
      </c>
      <c r="I1868" s="507">
        <f>SUMIFS(Controle!$R:$R,Controle!$H:$H,produtos_escape2!$A1868,Controle!$Z:$Z,"4")</f>
        <v>0</v>
      </c>
      <c r="J1868" s="507">
        <f>SUMIFS(Controle!$R:$R,Controle!$H:$H,produtos_escape2!$A1868,Controle!$Z:$Z,"5")</f>
        <v>0</v>
      </c>
      <c r="K1868" s="507">
        <f>SUMIFS(Controle!$R:$R,Controle!$H:$H,produtos_escape2!$A1868,Controle!$Z:$Z,"6")</f>
        <v>0</v>
      </c>
      <c r="L1868" s="507">
        <f t="shared" si="65"/>
        <v>0</v>
      </c>
      <c r="M1868" s="381" t="s">
        <v>5445</v>
      </c>
    </row>
    <row r="1869" spans="1:13" s="185" customFormat="1" ht="14.25" customHeight="1" thickBot="1">
      <c r="A1869" s="353">
        <v>91036</v>
      </c>
      <c r="B1869" s="194" t="s">
        <v>1872</v>
      </c>
      <c r="C1869" s="339">
        <f t="shared" si="66"/>
        <v>50000</v>
      </c>
      <c r="D1869" s="191" t="s">
        <v>624</v>
      </c>
      <c r="E1869" s="189" t="s">
        <v>3608</v>
      </c>
      <c r="F1869" s="507">
        <f>SUMIFS(Controle!$R:$R,Controle!$H:$H,produtos_escape2!$A1869,Controle!$Z:$Z,"1")</f>
        <v>0</v>
      </c>
      <c r="G1869" s="507">
        <f>SUMIFS(Controle!$R:$R,Controle!$H:$H,produtos_escape2!$A1869,Controle!$Z:$Z,"2")</f>
        <v>0</v>
      </c>
      <c r="H1869" s="507">
        <f>SUMIFS(Controle!$R:$R,Controle!$H:$H,produtos_escape2!$A1869,Controle!$Z:$Z,"3")</f>
        <v>0</v>
      </c>
      <c r="I1869" s="507">
        <f>SUMIFS(Controle!$R:$R,Controle!$H:$H,produtos_escape2!$A1869,Controle!$Z:$Z,"4")</f>
        <v>0</v>
      </c>
      <c r="J1869" s="507">
        <f>SUMIFS(Controle!$R:$R,Controle!$H:$H,produtos_escape2!$A1869,Controle!$Z:$Z,"5")</f>
        <v>0</v>
      </c>
      <c r="K1869" s="507">
        <f>SUMIFS(Controle!$R:$R,Controle!$H:$H,produtos_escape2!$A1869,Controle!$Z:$Z,"6")</f>
        <v>0</v>
      </c>
      <c r="L1869" s="507">
        <f t="shared" si="65"/>
        <v>0</v>
      </c>
      <c r="M1869" s="381" t="s">
        <v>5446</v>
      </c>
    </row>
    <row r="1870" spans="1:13" s="185" customFormat="1" ht="14.25" customHeight="1" thickBot="1">
      <c r="A1870" s="353">
        <v>91037</v>
      </c>
      <c r="B1870" s="338" t="s">
        <v>7010</v>
      </c>
      <c r="C1870" s="339">
        <f t="shared" si="66"/>
        <v>41066</v>
      </c>
      <c r="D1870" s="191" t="s">
        <v>624</v>
      </c>
      <c r="E1870" s="189" t="s">
        <v>3608</v>
      </c>
      <c r="F1870" s="507">
        <f>SUMIFS(Controle!$R:$R,Controle!$H:$H,produtos_escape2!$A1870,Controle!$Z:$Z,"1")</f>
        <v>2940</v>
      </c>
      <c r="G1870" s="507">
        <f>SUMIFS(Controle!$R:$R,Controle!$H:$H,produtos_escape2!$A1870,Controle!$Z:$Z,"2")</f>
        <v>5994</v>
      </c>
      <c r="H1870" s="507">
        <f>SUMIFS(Controle!$R:$R,Controle!$H:$H,produtos_escape2!$A1870,Controle!$Z:$Z,"3")</f>
        <v>0</v>
      </c>
      <c r="I1870" s="507">
        <f>SUMIFS(Controle!$R:$R,Controle!$H:$H,produtos_escape2!$A1870,Controle!$Z:$Z,"4")</f>
        <v>0</v>
      </c>
      <c r="J1870" s="507">
        <f>SUMIFS(Controle!$R:$R,Controle!$H:$H,produtos_escape2!$A1870,Controle!$Z:$Z,"5")</f>
        <v>0</v>
      </c>
      <c r="K1870" s="507">
        <f>SUMIFS(Controle!$R:$R,Controle!$H:$H,produtos_escape2!$A1870,Controle!$Z:$Z,"6")</f>
        <v>0</v>
      </c>
      <c r="L1870" s="507">
        <f t="shared" si="65"/>
        <v>8934</v>
      </c>
      <c r="M1870" s="381" t="s">
        <v>5446</v>
      </c>
    </row>
    <row r="1871" spans="1:13" s="185" customFormat="1" ht="14.25" customHeight="1" thickBot="1">
      <c r="A1871" s="353">
        <v>91041</v>
      </c>
      <c r="B1871" s="194" t="s">
        <v>3666</v>
      </c>
      <c r="C1871" s="339">
        <f t="shared" si="66"/>
        <v>50000</v>
      </c>
      <c r="D1871" s="196" t="s">
        <v>624</v>
      </c>
      <c r="E1871" s="187" t="s">
        <v>3608</v>
      </c>
      <c r="F1871" s="507">
        <f>SUMIFS(Controle!$R:$R,Controle!$H:$H,produtos_escape2!$A1871,Controle!$Z:$Z,"1")</f>
        <v>0</v>
      </c>
      <c r="G1871" s="507">
        <f>SUMIFS(Controle!$R:$R,Controle!$H:$H,produtos_escape2!$A1871,Controle!$Z:$Z,"2")</f>
        <v>0</v>
      </c>
      <c r="H1871" s="507">
        <f>SUMIFS(Controle!$R:$R,Controle!$H:$H,produtos_escape2!$A1871,Controle!$Z:$Z,"3")</f>
        <v>0</v>
      </c>
      <c r="I1871" s="507">
        <f>SUMIFS(Controle!$R:$R,Controle!$H:$H,produtos_escape2!$A1871,Controle!$Z:$Z,"4")</f>
        <v>0</v>
      </c>
      <c r="J1871" s="507">
        <f>SUMIFS(Controle!$R:$R,Controle!$H:$H,produtos_escape2!$A1871,Controle!$Z:$Z,"5")</f>
        <v>0</v>
      </c>
      <c r="K1871" s="507">
        <f>SUMIFS(Controle!$R:$R,Controle!$H:$H,produtos_escape2!$A1871,Controle!$Z:$Z,"6")</f>
        <v>0</v>
      </c>
      <c r="L1871" s="507">
        <f t="shared" si="65"/>
        <v>0</v>
      </c>
      <c r="M1871" s="381" t="s">
        <v>5447</v>
      </c>
    </row>
    <row r="1872" spans="1:13" s="185" customFormat="1" ht="14.25" customHeight="1" thickBot="1">
      <c r="A1872" s="353">
        <v>91042</v>
      </c>
      <c r="B1872" s="194" t="s">
        <v>4121</v>
      </c>
      <c r="C1872" s="339">
        <f t="shared" si="66"/>
        <v>50000</v>
      </c>
      <c r="D1872" s="196" t="s">
        <v>624</v>
      </c>
      <c r="E1872" s="187" t="s">
        <v>3608</v>
      </c>
      <c r="F1872" s="507">
        <f>SUMIFS(Controle!$R:$R,Controle!$H:$H,produtos_escape2!$A1872,Controle!$Z:$Z,"1")</f>
        <v>0</v>
      </c>
      <c r="G1872" s="507">
        <f>SUMIFS(Controle!$R:$R,Controle!$H:$H,produtos_escape2!$A1872,Controle!$Z:$Z,"2")</f>
        <v>0</v>
      </c>
      <c r="H1872" s="507">
        <f>SUMIFS(Controle!$R:$R,Controle!$H:$H,produtos_escape2!$A1872,Controle!$Z:$Z,"3")</f>
        <v>0</v>
      </c>
      <c r="I1872" s="507">
        <f>SUMIFS(Controle!$R:$R,Controle!$H:$H,produtos_escape2!$A1872,Controle!$Z:$Z,"4")</f>
        <v>0</v>
      </c>
      <c r="J1872" s="507">
        <f>SUMIFS(Controle!$R:$R,Controle!$H:$H,produtos_escape2!$A1872,Controle!$Z:$Z,"5")</f>
        <v>0</v>
      </c>
      <c r="K1872" s="507">
        <f>SUMIFS(Controle!$R:$R,Controle!$H:$H,produtos_escape2!$A1872,Controle!$Z:$Z,"6")</f>
        <v>0</v>
      </c>
      <c r="L1872" s="507">
        <f t="shared" si="65"/>
        <v>0</v>
      </c>
      <c r="M1872" s="381" t="s">
        <v>5447</v>
      </c>
    </row>
    <row r="1873" spans="1:13" s="185" customFormat="1" ht="14.25" customHeight="1" thickBot="1">
      <c r="A1873" s="353">
        <v>91043</v>
      </c>
      <c r="B1873" s="194" t="s">
        <v>3673</v>
      </c>
      <c r="C1873" s="339">
        <f t="shared" si="66"/>
        <v>50000</v>
      </c>
      <c r="D1873" s="196" t="s">
        <v>624</v>
      </c>
      <c r="E1873" s="187" t="s">
        <v>3608</v>
      </c>
      <c r="F1873" s="507">
        <f>SUMIFS(Controle!$R:$R,Controle!$H:$H,produtos_escape2!$A1873,Controle!$Z:$Z,"1")</f>
        <v>0</v>
      </c>
      <c r="G1873" s="507">
        <f>SUMIFS(Controle!$R:$R,Controle!$H:$H,produtos_escape2!$A1873,Controle!$Z:$Z,"2")</f>
        <v>0</v>
      </c>
      <c r="H1873" s="507">
        <f>SUMIFS(Controle!$R:$R,Controle!$H:$H,produtos_escape2!$A1873,Controle!$Z:$Z,"3")</f>
        <v>0</v>
      </c>
      <c r="I1873" s="507">
        <f>SUMIFS(Controle!$R:$R,Controle!$H:$H,produtos_escape2!$A1873,Controle!$Z:$Z,"4")</f>
        <v>0</v>
      </c>
      <c r="J1873" s="507">
        <f>SUMIFS(Controle!$R:$R,Controle!$H:$H,produtos_escape2!$A1873,Controle!$Z:$Z,"5")</f>
        <v>0</v>
      </c>
      <c r="K1873" s="507">
        <f>SUMIFS(Controle!$R:$R,Controle!$H:$H,produtos_escape2!$A1873,Controle!$Z:$Z,"6")</f>
        <v>0</v>
      </c>
      <c r="L1873" s="507">
        <f t="shared" si="65"/>
        <v>0</v>
      </c>
      <c r="M1873" s="381" t="s">
        <v>5447</v>
      </c>
    </row>
    <row r="1874" spans="1:13" s="185" customFormat="1" ht="14.25" customHeight="1" thickBot="1">
      <c r="A1874" s="353">
        <v>91046</v>
      </c>
      <c r="B1874" s="194" t="s">
        <v>2680</v>
      </c>
      <c r="C1874" s="339">
        <f t="shared" si="66"/>
        <v>50000</v>
      </c>
      <c r="D1874" s="196" t="s">
        <v>624</v>
      </c>
      <c r="E1874" s="187" t="s">
        <v>3608</v>
      </c>
      <c r="F1874" s="507">
        <f>SUMIFS(Controle!$R:$R,Controle!$H:$H,produtos_escape2!$A1874,Controle!$Z:$Z,"1")</f>
        <v>0</v>
      </c>
      <c r="G1874" s="507">
        <f>SUMIFS(Controle!$R:$R,Controle!$H:$H,produtos_escape2!$A1874,Controle!$Z:$Z,"2")</f>
        <v>0</v>
      </c>
      <c r="H1874" s="507">
        <f>SUMIFS(Controle!$R:$R,Controle!$H:$H,produtos_escape2!$A1874,Controle!$Z:$Z,"3")</f>
        <v>0</v>
      </c>
      <c r="I1874" s="507">
        <f>SUMIFS(Controle!$R:$R,Controle!$H:$H,produtos_escape2!$A1874,Controle!$Z:$Z,"4")</f>
        <v>0</v>
      </c>
      <c r="J1874" s="507">
        <f>SUMIFS(Controle!$R:$R,Controle!$H:$H,produtos_escape2!$A1874,Controle!$Z:$Z,"5")</f>
        <v>0</v>
      </c>
      <c r="K1874" s="507">
        <f>SUMIFS(Controle!$R:$R,Controle!$H:$H,produtos_escape2!$A1874,Controle!$Z:$Z,"6")</f>
        <v>0</v>
      </c>
      <c r="L1874" s="507">
        <f t="shared" si="65"/>
        <v>0</v>
      </c>
      <c r="M1874" s="381" t="s">
        <v>5448</v>
      </c>
    </row>
    <row r="1875" spans="1:13" s="185" customFormat="1" ht="14.25" customHeight="1" thickBot="1">
      <c r="A1875" s="333">
        <v>91049</v>
      </c>
      <c r="B1875" s="194" t="s">
        <v>1745</v>
      </c>
      <c r="C1875" s="339">
        <f t="shared" si="66"/>
        <v>50000</v>
      </c>
      <c r="D1875" s="191" t="s">
        <v>624</v>
      </c>
      <c r="E1875" s="189" t="s">
        <v>3608</v>
      </c>
      <c r="F1875" s="507">
        <f>SUMIFS(Controle!$R:$R,Controle!$H:$H,produtos_escape2!$A1875,Controle!$Z:$Z,"1")</f>
        <v>0</v>
      </c>
      <c r="G1875" s="507">
        <f>SUMIFS(Controle!$R:$R,Controle!$H:$H,produtos_escape2!$A1875,Controle!$Z:$Z,"2")</f>
        <v>0</v>
      </c>
      <c r="H1875" s="507">
        <f>SUMIFS(Controle!$R:$R,Controle!$H:$H,produtos_escape2!$A1875,Controle!$Z:$Z,"3")</f>
        <v>0</v>
      </c>
      <c r="I1875" s="507">
        <f>SUMIFS(Controle!$R:$R,Controle!$H:$H,produtos_escape2!$A1875,Controle!$Z:$Z,"4")</f>
        <v>0</v>
      </c>
      <c r="J1875" s="507">
        <f>SUMIFS(Controle!$R:$R,Controle!$H:$H,produtos_escape2!$A1875,Controle!$Z:$Z,"5")</f>
        <v>0</v>
      </c>
      <c r="K1875" s="507">
        <f>SUMIFS(Controle!$R:$R,Controle!$H:$H,produtos_escape2!$A1875,Controle!$Z:$Z,"6")</f>
        <v>0</v>
      </c>
      <c r="L1875" s="507">
        <f t="shared" si="65"/>
        <v>0</v>
      </c>
      <c r="M1875" s="381" t="s">
        <v>5449</v>
      </c>
    </row>
    <row r="1876" spans="1:13" s="185" customFormat="1" ht="14.25" customHeight="1" thickBot="1">
      <c r="A1876" s="353">
        <v>91054</v>
      </c>
      <c r="B1876" s="194" t="s">
        <v>2681</v>
      </c>
      <c r="C1876" s="339">
        <f t="shared" si="66"/>
        <v>50000</v>
      </c>
      <c r="D1876" s="196" t="s">
        <v>624</v>
      </c>
      <c r="E1876" s="187" t="s">
        <v>3608</v>
      </c>
      <c r="F1876" s="507">
        <f>SUMIFS(Controle!$R:$R,Controle!$H:$H,produtos_escape2!$A1876,Controle!$Z:$Z,"1")</f>
        <v>0</v>
      </c>
      <c r="G1876" s="507">
        <f>SUMIFS(Controle!$R:$R,Controle!$H:$H,produtos_escape2!$A1876,Controle!$Z:$Z,"2")</f>
        <v>0</v>
      </c>
      <c r="H1876" s="507">
        <f>SUMIFS(Controle!$R:$R,Controle!$H:$H,produtos_escape2!$A1876,Controle!$Z:$Z,"3")</f>
        <v>0</v>
      </c>
      <c r="I1876" s="507">
        <f>SUMIFS(Controle!$R:$R,Controle!$H:$H,produtos_escape2!$A1876,Controle!$Z:$Z,"4")</f>
        <v>0</v>
      </c>
      <c r="J1876" s="507">
        <f>SUMIFS(Controle!$R:$R,Controle!$H:$H,produtos_escape2!$A1876,Controle!$Z:$Z,"5")</f>
        <v>0</v>
      </c>
      <c r="K1876" s="507">
        <f>SUMIFS(Controle!$R:$R,Controle!$H:$H,produtos_escape2!$A1876,Controle!$Z:$Z,"6")</f>
        <v>0</v>
      </c>
      <c r="L1876" s="507">
        <f t="shared" si="65"/>
        <v>0</v>
      </c>
      <c r="M1876" s="381" t="s">
        <v>5448</v>
      </c>
    </row>
    <row r="1877" spans="1:13" s="185" customFormat="1" ht="14.25" customHeight="1" thickBot="1">
      <c r="A1877" s="353">
        <v>91055</v>
      </c>
      <c r="B1877" s="194" t="s">
        <v>2682</v>
      </c>
      <c r="C1877" s="339">
        <f t="shared" si="66"/>
        <v>50000</v>
      </c>
      <c r="D1877" s="196" t="s">
        <v>624</v>
      </c>
      <c r="E1877" s="187" t="s">
        <v>3608</v>
      </c>
      <c r="F1877" s="507">
        <f>SUMIFS(Controle!$R:$R,Controle!$H:$H,produtos_escape2!$A1877,Controle!$Z:$Z,"1")</f>
        <v>0</v>
      </c>
      <c r="G1877" s="507">
        <f>SUMIFS(Controle!$R:$R,Controle!$H:$H,produtos_escape2!$A1877,Controle!$Z:$Z,"2")</f>
        <v>0</v>
      </c>
      <c r="H1877" s="507">
        <f>SUMIFS(Controle!$R:$R,Controle!$H:$H,produtos_escape2!$A1877,Controle!$Z:$Z,"3")</f>
        <v>0</v>
      </c>
      <c r="I1877" s="507">
        <f>SUMIFS(Controle!$R:$R,Controle!$H:$H,produtos_escape2!$A1877,Controle!$Z:$Z,"4")</f>
        <v>0</v>
      </c>
      <c r="J1877" s="507">
        <f>SUMIFS(Controle!$R:$R,Controle!$H:$H,produtos_escape2!$A1877,Controle!$Z:$Z,"5")</f>
        <v>0</v>
      </c>
      <c r="K1877" s="507">
        <f>SUMIFS(Controle!$R:$R,Controle!$H:$H,produtos_escape2!$A1877,Controle!$Z:$Z,"6")</f>
        <v>0</v>
      </c>
      <c r="L1877" s="507">
        <f t="shared" si="65"/>
        <v>0</v>
      </c>
      <c r="M1877" s="381" t="s">
        <v>5448</v>
      </c>
    </row>
    <row r="1878" spans="1:13" s="185" customFormat="1" ht="14.25" customHeight="1" thickBot="1">
      <c r="A1878" s="353">
        <v>91060</v>
      </c>
      <c r="B1878" s="338" t="s">
        <v>161</v>
      </c>
      <c r="C1878" s="339">
        <f t="shared" si="66"/>
        <v>47708</v>
      </c>
      <c r="D1878" s="196" t="s">
        <v>628</v>
      </c>
      <c r="E1878" s="187" t="s">
        <v>3608</v>
      </c>
      <c r="F1878" s="507">
        <f>SUMIFS(Controle!$R:$R,Controle!$H:$H,produtos_escape2!$A1878,Controle!$Z:$Z,"1")</f>
        <v>0</v>
      </c>
      <c r="G1878" s="507">
        <f>SUMIFS(Controle!$R:$R,Controle!$H:$H,produtos_escape2!$A1878,Controle!$Z:$Z,"2")</f>
        <v>1442.9999999999998</v>
      </c>
      <c r="H1878" s="507">
        <f>SUMIFS(Controle!$R:$R,Controle!$H:$H,produtos_escape2!$A1878,Controle!$Z:$Z,"3")</f>
        <v>849</v>
      </c>
      <c r="I1878" s="507">
        <f>SUMIFS(Controle!$R:$R,Controle!$H:$H,produtos_escape2!$A1878,Controle!$Z:$Z,"4")</f>
        <v>0</v>
      </c>
      <c r="J1878" s="507">
        <f>SUMIFS(Controle!$R:$R,Controle!$H:$H,produtos_escape2!$A1878,Controle!$Z:$Z,"5")</f>
        <v>0</v>
      </c>
      <c r="K1878" s="507">
        <f>SUMIFS(Controle!$R:$R,Controle!$H:$H,produtos_escape2!$A1878,Controle!$Z:$Z,"6")</f>
        <v>0</v>
      </c>
      <c r="L1878" s="507">
        <f t="shared" si="65"/>
        <v>2292</v>
      </c>
      <c r="M1878" s="381" t="s">
        <v>161</v>
      </c>
    </row>
    <row r="1879" spans="1:13" s="185" customFormat="1" ht="14.25" customHeight="1" thickBot="1">
      <c r="A1879" s="353">
        <v>91070</v>
      </c>
      <c r="B1879" s="194" t="s">
        <v>1015</v>
      </c>
      <c r="C1879" s="339">
        <f t="shared" si="66"/>
        <v>50000</v>
      </c>
      <c r="D1879" s="196" t="s">
        <v>628</v>
      </c>
      <c r="E1879" s="187" t="s">
        <v>3608</v>
      </c>
      <c r="F1879" s="507">
        <f>SUMIFS(Controle!$R:$R,Controle!$H:$H,produtos_escape2!$A1879,Controle!$Z:$Z,"1")</f>
        <v>0</v>
      </c>
      <c r="G1879" s="507">
        <f>SUMIFS(Controle!$R:$R,Controle!$H:$H,produtos_escape2!$A1879,Controle!$Z:$Z,"2")</f>
        <v>0</v>
      </c>
      <c r="H1879" s="507">
        <f>SUMIFS(Controle!$R:$R,Controle!$H:$H,produtos_escape2!$A1879,Controle!$Z:$Z,"3")</f>
        <v>0</v>
      </c>
      <c r="I1879" s="507">
        <f>SUMIFS(Controle!$R:$R,Controle!$H:$H,produtos_escape2!$A1879,Controle!$Z:$Z,"4")</f>
        <v>0</v>
      </c>
      <c r="J1879" s="507">
        <f>SUMIFS(Controle!$R:$R,Controle!$H:$H,produtos_escape2!$A1879,Controle!$Z:$Z,"5")</f>
        <v>0</v>
      </c>
      <c r="K1879" s="507">
        <f>SUMIFS(Controle!$R:$R,Controle!$H:$H,produtos_escape2!$A1879,Controle!$Z:$Z,"6")</f>
        <v>0</v>
      </c>
      <c r="L1879" s="507">
        <f t="shared" si="65"/>
        <v>0</v>
      </c>
      <c r="M1879" s="381" t="s">
        <v>5450</v>
      </c>
    </row>
    <row r="1880" spans="1:13" s="185" customFormat="1" ht="14.25" customHeight="1" thickBot="1">
      <c r="A1880" s="353">
        <v>91071</v>
      </c>
      <c r="B1880" s="194" t="s">
        <v>1016</v>
      </c>
      <c r="C1880" s="339">
        <f t="shared" si="66"/>
        <v>50000</v>
      </c>
      <c r="D1880" s="196" t="s">
        <v>628</v>
      </c>
      <c r="E1880" s="187" t="s">
        <v>3608</v>
      </c>
      <c r="F1880" s="507">
        <f>SUMIFS(Controle!$R:$R,Controle!$H:$H,produtos_escape2!$A1880,Controle!$Z:$Z,"1")</f>
        <v>0</v>
      </c>
      <c r="G1880" s="507">
        <f>SUMIFS(Controle!$R:$R,Controle!$H:$H,produtos_escape2!$A1880,Controle!$Z:$Z,"2")</f>
        <v>0</v>
      </c>
      <c r="H1880" s="507">
        <f>SUMIFS(Controle!$R:$R,Controle!$H:$H,produtos_escape2!$A1880,Controle!$Z:$Z,"3")</f>
        <v>0</v>
      </c>
      <c r="I1880" s="507">
        <f>SUMIFS(Controle!$R:$R,Controle!$H:$H,produtos_escape2!$A1880,Controle!$Z:$Z,"4")</f>
        <v>0</v>
      </c>
      <c r="J1880" s="507">
        <f>SUMIFS(Controle!$R:$R,Controle!$H:$H,produtos_escape2!$A1880,Controle!$Z:$Z,"5")</f>
        <v>0</v>
      </c>
      <c r="K1880" s="507">
        <f>SUMIFS(Controle!$R:$R,Controle!$H:$H,produtos_escape2!$A1880,Controle!$Z:$Z,"6")</f>
        <v>0</v>
      </c>
      <c r="L1880" s="507">
        <f t="shared" si="65"/>
        <v>0</v>
      </c>
      <c r="M1880" s="381" t="s">
        <v>5451</v>
      </c>
    </row>
    <row r="1881" spans="1:13" s="185" customFormat="1" ht="14.25" customHeight="1" thickBot="1">
      <c r="A1881" s="353">
        <v>91072</v>
      </c>
      <c r="B1881" s="194" t="s">
        <v>940</v>
      </c>
      <c r="C1881" s="339">
        <f t="shared" si="66"/>
        <v>50000</v>
      </c>
      <c r="D1881" s="196" t="s">
        <v>628</v>
      </c>
      <c r="E1881" s="187" t="s">
        <v>3608</v>
      </c>
      <c r="F1881" s="507">
        <f>SUMIFS(Controle!$R:$R,Controle!$H:$H,produtos_escape2!$A1881,Controle!$Z:$Z,"1")</f>
        <v>0</v>
      </c>
      <c r="G1881" s="507">
        <f>SUMIFS(Controle!$R:$R,Controle!$H:$H,produtos_escape2!$A1881,Controle!$Z:$Z,"2")</f>
        <v>0</v>
      </c>
      <c r="H1881" s="507">
        <f>SUMIFS(Controle!$R:$R,Controle!$H:$H,produtos_escape2!$A1881,Controle!$Z:$Z,"3")</f>
        <v>0</v>
      </c>
      <c r="I1881" s="507">
        <f>SUMIFS(Controle!$R:$R,Controle!$H:$H,produtos_escape2!$A1881,Controle!$Z:$Z,"4")</f>
        <v>0</v>
      </c>
      <c r="J1881" s="507">
        <f>SUMIFS(Controle!$R:$R,Controle!$H:$H,produtos_escape2!$A1881,Controle!$Z:$Z,"5")</f>
        <v>0</v>
      </c>
      <c r="K1881" s="507">
        <f>SUMIFS(Controle!$R:$R,Controle!$H:$H,produtos_escape2!$A1881,Controle!$Z:$Z,"6")</f>
        <v>0</v>
      </c>
      <c r="L1881" s="507">
        <f t="shared" si="65"/>
        <v>0</v>
      </c>
      <c r="M1881" s="381" t="s">
        <v>5452</v>
      </c>
    </row>
    <row r="1882" spans="1:13" s="185" customFormat="1" ht="14.25" customHeight="1" thickBot="1">
      <c r="A1882" s="353">
        <v>91073</v>
      </c>
      <c r="B1882" s="194" t="s">
        <v>3915</v>
      </c>
      <c r="C1882" s="339">
        <f t="shared" si="66"/>
        <v>50000</v>
      </c>
      <c r="D1882" s="196" t="s">
        <v>628</v>
      </c>
      <c r="E1882" s="187" t="s">
        <v>3608</v>
      </c>
      <c r="F1882" s="507">
        <f>SUMIFS(Controle!$R:$R,Controle!$H:$H,produtos_escape2!$A1882,Controle!$Z:$Z,"1")</f>
        <v>0</v>
      </c>
      <c r="G1882" s="507">
        <f>SUMIFS(Controle!$R:$R,Controle!$H:$H,produtos_escape2!$A1882,Controle!$Z:$Z,"2")</f>
        <v>0</v>
      </c>
      <c r="H1882" s="507">
        <f>SUMIFS(Controle!$R:$R,Controle!$H:$H,produtos_escape2!$A1882,Controle!$Z:$Z,"3")</f>
        <v>0</v>
      </c>
      <c r="I1882" s="507">
        <f>SUMIFS(Controle!$R:$R,Controle!$H:$H,produtos_escape2!$A1882,Controle!$Z:$Z,"4")</f>
        <v>0</v>
      </c>
      <c r="J1882" s="507">
        <f>SUMIFS(Controle!$R:$R,Controle!$H:$H,produtos_escape2!$A1882,Controle!$Z:$Z,"5")</f>
        <v>0</v>
      </c>
      <c r="K1882" s="507">
        <f>SUMIFS(Controle!$R:$R,Controle!$H:$H,produtos_escape2!$A1882,Controle!$Z:$Z,"6")</f>
        <v>0</v>
      </c>
      <c r="L1882" s="507">
        <f t="shared" si="65"/>
        <v>0</v>
      </c>
      <c r="M1882" s="381" t="s">
        <v>3915</v>
      </c>
    </row>
    <row r="1883" spans="1:13" s="185" customFormat="1" ht="14.25" customHeight="1" thickBot="1">
      <c r="A1883" s="333">
        <v>91082</v>
      </c>
      <c r="B1883" s="194" t="s">
        <v>1832</v>
      </c>
      <c r="C1883" s="339">
        <f t="shared" si="66"/>
        <v>50000</v>
      </c>
      <c r="D1883" s="191" t="s">
        <v>628</v>
      </c>
      <c r="E1883" s="189" t="s">
        <v>3608</v>
      </c>
      <c r="F1883" s="507">
        <f>SUMIFS(Controle!$R:$R,Controle!$H:$H,produtos_escape2!$A1883,Controle!$Z:$Z,"1")</f>
        <v>0</v>
      </c>
      <c r="G1883" s="507">
        <f>SUMIFS(Controle!$R:$R,Controle!$H:$H,produtos_escape2!$A1883,Controle!$Z:$Z,"2")</f>
        <v>0</v>
      </c>
      <c r="H1883" s="507">
        <f>SUMIFS(Controle!$R:$R,Controle!$H:$H,produtos_escape2!$A1883,Controle!$Z:$Z,"3")</f>
        <v>0</v>
      </c>
      <c r="I1883" s="507">
        <f>SUMIFS(Controle!$R:$R,Controle!$H:$H,produtos_escape2!$A1883,Controle!$Z:$Z,"4")</f>
        <v>0</v>
      </c>
      <c r="J1883" s="507">
        <f>SUMIFS(Controle!$R:$R,Controle!$H:$H,produtos_escape2!$A1883,Controle!$Z:$Z,"5")</f>
        <v>0</v>
      </c>
      <c r="K1883" s="507">
        <f>SUMIFS(Controle!$R:$R,Controle!$H:$H,produtos_escape2!$A1883,Controle!$Z:$Z,"6")</f>
        <v>0</v>
      </c>
      <c r="L1883" s="507">
        <f t="shared" si="65"/>
        <v>0</v>
      </c>
      <c r="M1883" s="381" t="s">
        <v>5453</v>
      </c>
    </row>
    <row r="1884" spans="1:13" s="185" customFormat="1" ht="14.25" customHeight="1" thickBot="1">
      <c r="A1884" s="353">
        <v>91083</v>
      </c>
      <c r="B1884" s="194" t="s">
        <v>2683</v>
      </c>
      <c r="C1884" s="339">
        <f t="shared" si="66"/>
        <v>50000</v>
      </c>
      <c r="D1884" s="196" t="s">
        <v>624</v>
      </c>
      <c r="E1884" s="187" t="s">
        <v>3608</v>
      </c>
      <c r="F1884" s="507">
        <f>SUMIFS(Controle!$R:$R,Controle!$H:$H,produtos_escape2!$A1884,Controle!$Z:$Z,"1")</f>
        <v>0</v>
      </c>
      <c r="G1884" s="507">
        <f>SUMIFS(Controle!$R:$R,Controle!$H:$H,produtos_escape2!$A1884,Controle!$Z:$Z,"2")</f>
        <v>0</v>
      </c>
      <c r="H1884" s="507">
        <f>SUMIFS(Controle!$R:$R,Controle!$H:$H,produtos_escape2!$A1884,Controle!$Z:$Z,"3")</f>
        <v>0</v>
      </c>
      <c r="I1884" s="507">
        <f>SUMIFS(Controle!$R:$R,Controle!$H:$H,produtos_escape2!$A1884,Controle!$Z:$Z,"4")</f>
        <v>0</v>
      </c>
      <c r="J1884" s="507">
        <f>SUMIFS(Controle!$R:$R,Controle!$H:$H,produtos_escape2!$A1884,Controle!$Z:$Z,"5")</f>
        <v>0</v>
      </c>
      <c r="K1884" s="507">
        <f>SUMIFS(Controle!$R:$R,Controle!$H:$H,produtos_escape2!$A1884,Controle!$Z:$Z,"6")</f>
        <v>0</v>
      </c>
      <c r="L1884" s="507">
        <f t="shared" si="65"/>
        <v>0</v>
      </c>
      <c r="M1884" s="381" t="s">
        <v>5453</v>
      </c>
    </row>
    <row r="1885" spans="1:13" s="185" customFormat="1" ht="14.25" customHeight="1" thickBot="1">
      <c r="A1885" s="353">
        <v>91084</v>
      </c>
      <c r="B1885" s="194" t="s">
        <v>1805</v>
      </c>
      <c r="C1885" s="339">
        <f t="shared" si="66"/>
        <v>50000</v>
      </c>
      <c r="D1885" s="196" t="s">
        <v>628</v>
      </c>
      <c r="E1885" s="187" t="s">
        <v>3608</v>
      </c>
      <c r="F1885" s="507">
        <f>SUMIFS(Controle!$R:$R,Controle!$H:$H,produtos_escape2!$A1885,Controle!$Z:$Z,"1")</f>
        <v>0</v>
      </c>
      <c r="G1885" s="507">
        <f>SUMIFS(Controle!$R:$R,Controle!$H:$H,produtos_escape2!$A1885,Controle!$Z:$Z,"2")</f>
        <v>0</v>
      </c>
      <c r="H1885" s="507">
        <f>SUMIFS(Controle!$R:$R,Controle!$H:$H,produtos_escape2!$A1885,Controle!$Z:$Z,"3")</f>
        <v>0</v>
      </c>
      <c r="I1885" s="507">
        <f>SUMIFS(Controle!$R:$R,Controle!$H:$H,produtos_escape2!$A1885,Controle!$Z:$Z,"4")</f>
        <v>0</v>
      </c>
      <c r="J1885" s="507">
        <f>SUMIFS(Controle!$R:$R,Controle!$H:$H,produtos_escape2!$A1885,Controle!$Z:$Z,"5")</f>
        <v>0</v>
      </c>
      <c r="K1885" s="507">
        <f>SUMIFS(Controle!$R:$R,Controle!$H:$H,produtos_escape2!$A1885,Controle!$Z:$Z,"6")</f>
        <v>0</v>
      </c>
      <c r="L1885" s="507">
        <f t="shared" si="65"/>
        <v>0</v>
      </c>
      <c r="M1885" s="381" t="s">
        <v>5453</v>
      </c>
    </row>
    <row r="1886" spans="1:13" s="185" customFormat="1" ht="14.25" customHeight="1" thickBot="1">
      <c r="A1886" s="353">
        <v>91085</v>
      </c>
      <c r="B1886" s="338" t="s">
        <v>1807</v>
      </c>
      <c r="C1886" s="339">
        <f t="shared" si="66"/>
        <v>50000</v>
      </c>
      <c r="D1886" s="196" t="s">
        <v>628</v>
      </c>
      <c r="E1886" s="187" t="s">
        <v>3608</v>
      </c>
      <c r="F1886" s="507">
        <f>SUMIFS(Controle!$R:$R,Controle!$H:$H,produtos_escape2!$A1886,Controle!$Z:$Z,"1")</f>
        <v>0</v>
      </c>
      <c r="G1886" s="507">
        <f>SUMIFS(Controle!$R:$R,Controle!$H:$H,produtos_escape2!$A1886,Controle!$Z:$Z,"2")</f>
        <v>0</v>
      </c>
      <c r="H1886" s="507">
        <f>SUMIFS(Controle!$R:$R,Controle!$H:$H,produtos_escape2!$A1886,Controle!$Z:$Z,"3")</f>
        <v>0</v>
      </c>
      <c r="I1886" s="507">
        <f>SUMIFS(Controle!$R:$R,Controle!$H:$H,produtos_escape2!$A1886,Controle!$Z:$Z,"4")</f>
        <v>0</v>
      </c>
      <c r="J1886" s="507">
        <f>SUMIFS(Controle!$R:$R,Controle!$H:$H,produtos_escape2!$A1886,Controle!$Z:$Z,"5")</f>
        <v>0</v>
      </c>
      <c r="K1886" s="507">
        <f>SUMIFS(Controle!$R:$R,Controle!$H:$H,produtos_escape2!$A1886,Controle!$Z:$Z,"6")</f>
        <v>0</v>
      </c>
      <c r="L1886" s="507">
        <f t="shared" si="65"/>
        <v>0</v>
      </c>
      <c r="M1886" s="381" t="s">
        <v>5453</v>
      </c>
    </row>
    <row r="1887" spans="1:13" s="185" customFormat="1" ht="14.25" customHeight="1" thickBot="1">
      <c r="A1887" s="353">
        <v>91090</v>
      </c>
      <c r="B1887" s="194" t="s">
        <v>240</v>
      </c>
      <c r="C1887" s="339">
        <f t="shared" si="66"/>
        <v>50000</v>
      </c>
      <c r="D1887" s="196" t="s">
        <v>624</v>
      </c>
      <c r="E1887" s="187" t="s">
        <v>3608</v>
      </c>
      <c r="F1887" s="507">
        <f>SUMIFS(Controle!$R:$R,Controle!$H:$H,produtos_escape2!$A1887,Controle!$Z:$Z,"1")</f>
        <v>0</v>
      </c>
      <c r="G1887" s="507">
        <f>SUMIFS(Controle!$R:$R,Controle!$H:$H,produtos_escape2!$A1887,Controle!$Z:$Z,"2")</f>
        <v>0</v>
      </c>
      <c r="H1887" s="507">
        <f>SUMIFS(Controle!$R:$R,Controle!$H:$H,produtos_escape2!$A1887,Controle!$Z:$Z,"3")</f>
        <v>0</v>
      </c>
      <c r="I1887" s="507">
        <f>SUMIFS(Controle!$R:$R,Controle!$H:$H,produtos_escape2!$A1887,Controle!$Z:$Z,"4")</f>
        <v>0</v>
      </c>
      <c r="J1887" s="507">
        <f>SUMIFS(Controle!$R:$R,Controle!$H:$H,produtos_escape2!$A1887,Controle!$Z:$Z,"5")</f>
        <v>0</v>
      </c>
      <c r="K1887" s="507">
        <f>SUMIFS(Controle!$R:$R,Controle!$H:$H,produtos_escape2!$A1887,Controle!$Z:$Z,"6")</f>
        <v>0</v>
      </c>
      <c r="L1887" s="507">
        <f t="shared" si="65"/>
        <v>0</v>
      </c>
      <c r="M1887" s="381" t="s">
        <v>5454</v>
      </c>
    </row>
    <row r="1888" spans="1:13" s="185" customFormat="1" ht="14.25" customHeight="1" thickBot="1">
      <c r="A1888" s="353">
        <v>91092</v>
      </c>
      <c r="B1888" s="194" t="s">
        <v>6718</v>
      </c>
      <c r="C1888" s="339">
        <f t="shared" si="66"/>
        <v>44736.637499999997</v>
      </c>
      <c r="D1888" s="196" t="s">
        <v>624</v>
      </c>
      <c r="E1888" s="187" t="s">
        <v>3608</v>
      </c>
      <c r="F1888" s="507">
        <f>SUMIFS(Controle!$R:$R,Controle!$H:$H,produtos_escape2!$A1888,Controle!$Z:$Z,"1")</f>
        <v>0</v>
      </c>
      <c r="G1888" s="507">
        <f>SUMIFS(Controle!$R:$R,Controle!$H:$H,produtos_escape2!$A1888,Controle!$Z:$Z,"2")</f>
        <v>1349.5</v>
      </c>
      <c r="H1888" s="507">
        <f>SUMIFS(Controle!$R:$R,Controle!$H:$H,produtos_escape2!$A1888,Controle!$Z:$Z,"3")</f>
        <v>1180</v>
      </c>
      <c r="I1888" s="507">
        <f>SUMIFS(Controle!$R:$R,Controle!$H:$H,produtos_escape2!$A1888,Controle!$Z:$Z,"4")</f>
        <v>0</v>
      </c>
      <c r="J1888" s="507">
        <f>SUMIFS(Controle!$R:$R,Controle!$H:$H,produtos_escape2!$A1888,Controle!$Z:$Z,"5")</f>
        <v>0</v>
      </c>
      <c r="K1888" s="507">
        <f>SUMIFS(Controle!$R:$R,Controle!$H:$H,produtos_escape2!$A1888,Controle!$Z:$Z,"6")</f>
        <v>2733.8625000000002</v>
      </c>
      <c r="L1888" s="507">
        <f t="shared" si="65"/>
        <v>5263.3625000000002</v>
      </c>
      <c r="M1888" s="381" t="s">
        <v>5455</v>
      </c>
    </row>
    <row r="1889" spans="1:13" s="185" customFormat="1" ht="14.25" customHeight="1" thickBot="1">
      <c r="A1889" s="353">
        <v>91102</v>
      </c>
      <c r="B1889" s="194" t="s">
        <v>4396</v>
      </c>
      <c r="C1889" s="339">
        <f t="shared" si="66"/>
        <v>50000</v>
      </c>
      <c r="D1889" s="196" t="s">
        <v>896</v>
      </c>
      <c r="E1889" s="187" t="s">
        <v>3608</v>
      </c>
      <c r="F1889" s="507">
        <f>SUMIFS(Controle!$R:$R,Controle!$H:$H,produtos_escape2!$A1889,Controle!$Z:$Z,"1")</f>
        <v>0</v>
      </c>
      <c r="G1889" s="507">
        <f>SUMIFS(Controle!$R:$R,Controle!$H:$H,produtos_escape2!$A1889,Controle!$Z:$Z,"2")</f>
        <v>0</v>
      </c>
      <c r="H1889" s="507">
        <f>SUMIFS(Controle!$R:$R,Controle!$H:$H,produtos_escape2!$A1889,Controle!$Z:$Z,"3")</f>
        <v>0</v>
      </c>
      <c r="I1889" s="507">
        <f>SUMIFS(Controle!$R:$R,Controle!$H:$H,produtos_escape2!$A1889,Controle!$Z:$Z,"4")</f>
        <v>0</v>
      </c>
      <c r="J1889" s="507">
        <f>SUMIFS(Controle!$R:$R,Controle!$H:$H,produtos_escape2!$A1889,Controle!$Z:$Z,"5")</f>
        <v>0</v>
      </c>
      <c r="K1889" s="507">
        <f>SUMIFS(Controle!$R:$R,Controle!$H:$H,produtos_escape2!$A1889,Controle!$Z:$Z,"6")</f>
        <v>0</v>
      </c>
      <c r="L1889" s="507">
        <f t="shared" si="65"/>
        <v>0</v>
      </c>
      <c r="M1889" s="381" t="s">
        <v>4635</v>
      </c>
    </row>
    <row r="1890" spans="1:13" s="185" customFormat="1" ht="14.25" customHeight="1" thickBot="1">
      <c r="A1890" s="353">
        <v>91103</v>
      </c>
      <c r="B1890" s="194" t="s">
        <v>1030</v>
      </c>
      <c r="C1890" s="339">
        <f t="shared" si="66"/>
        <v>50000</v>
      </c>
      <c r="D1890" s="196" t="s">
        <v>624</v>
      </c>
      <c r="E1890" s="187" t="s">
        <v>3608</v>
      </c>
      <c r="F1890" s="507">
        <f>SUMIFS(Controle!$R:$R,Controle!$H:$H,produtos_escape2!$A1890,Controle!$Z:$Z,"1")</f>
        <v>0</v>
      </c>
      <c r="G1890" s="507">
        <f>SUMIFS(Controle!$R:$R,Controle!$H:$H,produtos_escape2!$A1890,Controle!$Z:$Z,"2")</f>
        <v>0</v>
      </c>
      <c r="H1890" s="507">
        <f>SUMIFS(Controle!$R:$R,Controle!$H:$H,produtos_escape2!$A1890,Controle!$Z:$Z,"3")</f>
        <v>0</v>
      </c>
      <c r="I1890" s="507">
        <f>SUMIFS(Controle!$R:$R,Controle!$H:$H,produtos_escape2!$A1890,Controle!$Z:$Z,"4")</f>
        <v>0</v>
      </c>
      <c r="J1890" s="507">
        <f>SUMIFS(Controle!$R:$R,Controle!$H:$H,produtos_escape2!$A1890,Controle!$Z:$Z,"5")</f>
        <v>0</v>
      </c>
      <c r="K1890" s="507">
        <f>SUMIFS(Controle!$R:$R,Controle!$H:$H,produtos_escape2!$A1890,Controle!$Z:$Z,"6")</f>
        <v>0</v>
      </c>
      <c r="L1890" s="507">
        <f t="shared" si="65"/>
        <v>0</v>
      </c>
      <c r="M1890" s="381" t="s">
        <v>5456</v>
      </c>
    </row>
    <row r="1891" spans="1:13" s="185" customFormat="1" ht="14.25" customHeight="1" thickBot="1">
      <c r="A1891" s="333">
        <v>91105</v>
      </c>
      <c r="B1891" s="194" t="s">
        <v>60</v>
      </c>
      <c r="C1891" s="339">
        <f t="shared" si="66"/>
        <v>50000</v>
      </c>
      <c r="D1891" s="196" t="s">
        <v>624</v>
      </c>
      <c r="E1891" s="187" t="s">
        <v>3608</v>
      </c>
      <c r="F1891" s="507">
        <f>SUMIFS(Controle!$R:$R,Controle!$H:$H,produtos_escape2!$A1891,Controle!$Z:$Z,"1")</f>
        <v>0</v>
      </c>
      <c r="G1891" s="507">
        <f>SUMIFS(Controle!$R:$R,Controle!$H:$H,produtos_escape2!$A1891,Controle!$Z:$Z,"2")</f>
        <v>0</v>
      </c>
      <c r="H1891" s="507">
        <f>SUMIFS(Controle!$R:$R,Controle!$H:$H,produtos_escape2!$A1891,Controle!$Z:$Z,"3")</f>
        <v>0</v>
      </c>
      <c r="I1891" s="507">
        <f>SUMIFS(Controle!$R:$R,Controle!$H:$H,produtos_escape2!$A1891,Controle!$Z:$Z,"4")</f>
        <v>0</v>
      </c>
      <c r="J1891" s="507">
        <f>SUMIFS(Controle!$R:$R,Controle!$H:$H,produtos_escape2!$A1891,Controle!$Z:$Z,"5")</f>
        <v>0</v>
      </c>
      <c r="K1891" s="507">
        <f>SUMIFS(Controle!$R:$R,Controle!$H:$H,produtos_escape2!$A1891,Controle!$Z:$Z,"6")</f>
        <v>0</v>
      </c>
      <c r="L1891" s="507">
        <f t="shared" si="65"/>
        <v>0</v>
      </c>
      <c r="M1891" s="381" t="s">
        <v>60</v>
      </c>
    </row>
    <row r="1892" spans="1:13" s="185" customFormat="1" ht="14.25" customHeight="1" thickBot="1">
      <c r="A1892" s="353">
        <v>91108</v>
      </c>
      <c r="B1892" s="194" t="s">
        <v>1180</v>
      </c>
      <c r="C1892" s="339">
        <f t="shared" si="66"/>
        <v>49344.2</v>
      </c>
      <c r="D1892" s="196" t="s">
        <v>896</v>
      </c>
      <c r="E1892" s="187" t="s">
        <v>3608</v>
      </c>
      <c r="F1892" s="507">
        <f>SUMIFS(Controle!$R:$R,Controle!$H:$H,produtos_escape2!$A1892,Controle!$Z:$Z,"1")</f>
        <v>0</v>
      </c>
      <c r="G1892" s="507">
        <f>SUMIFS(Controle!$R:$R,Controle!$H:$H,produtos_escape2!$A1892,Controle!$Z:$Z,"2")</f>
        <v>0</v>
      </c>
      <c r="H1892" s="507">
        <f>SUMIFS(Controle!$R:$R,Controle!$H:$H,produtos_escape2!$A1892,Controle!$Z:$Z,"3")</f>
        <v>0</v>
      </c>
      <c r="I1892" s="507">
        <f>SUMIFS(Controle!$R:$R,Controle!$H:$H,produtos_escape2!$A1892,Controle!$Z:$Z,"4")</f>
        <v>0</v>
      </c>
      <c r="J1892" s="507">
        <f>SUMIFS(Controle!$R:$R,Controle!$H:$H,produtos_escape2!$A1892,Controle!$Z:$Z,"5")</f>
        <v>0</v>
      </c>
      <c r="K1892" s="507">
        <f>SUMIFS(Controle!$R:$R,Controle!$H:$H,produtos_escape2!$A1892,Controle!$Z:$Z,"6")</f>
        <v>655.8</v>
      </c>
      <c r="L1892" s="507">
        <f t="shared" si="65"/>
        <v>655.8</v>
      </c>
      <c r="M1892" s="381" t="s">
        <v>5703</v>
      </c>
    </row>
    <row r="1893" spans="1:13" s="185" customFormat="1" ht="14.25" customHeight="1" thickBot="1">
      <c r="A1893" s="353">
        <v>91109</v>
      </c>
      <c r="B1893" s="194" t="s">
        <v>1125</v>
      </c>
      <c r="C1893" s="339">
        <f t="shared" si="66"/>
        <v>50000</v>
      </c>
      <c r="D1893" s="196" t="s">
        <v>653</v>
      </c>
      <c r="E1893" s="187" t="s">
        <v>3608</v>
      </c>
      <c r="F1893" s="507">
        <f>SUMIFS(Controle!$R:$R,Controle!$H:$H,produtos_escape2!$A1893,Controle!$Z:$Z,"1")</f>
        <v>0</v>
      </c>
      <c r="G1893" s="507">
        <f>SUMIFS(Controle!$R:$R,Controle!$H:$H,produtos_escape2!$A1893,Controle!$Z:$Z,"2")</f>
        <v>0</v>
      </c>
      <c r="H1893" s="507">
        <f>SUMIFS(Controle!$R:$R,Controle!$H:$H,produtos_escape2!$A1893,Controle!$Z:$Z,"3")</f>
        <v>0</v>
      </c>
      <c r="I1893" s="507">
        <f>SUMIFS(Controle!$R:$R,Controle!$H:$H,produtos_escape2!$A1893,Controle!$Z:$Z,"4")</f>
        <v>0</v>
      </c>
      <c r="J1893" s="507">
        <f>SUMIFS(Controle!$R:$R,Controle!$H:$H,produtos_escape2!$A1893,Controle!$Z:$Z,"5")</f>
        <v>0</v>
      </c>
      <c r="K1893" s="507">
        <f>SUMIFS(Controle!$R:$R,Controle!$H:$H,produtos_escape2!$A1893,Controle!$Z:$Z,"6")</f>
        <v>0</v>
      </c>
      <c r="L1893" s="507">
        <f t="shared" si="65"/>
        <v>0</v>
      </c>
      <c r="M1893" s="381" t="s">
        <v>5457</v>
      </c>
    </row>
    <row r="1894" spans="1:13" s="185" customFormat="1" ht="14.25" customHeight="1" thickBot="1">
      <c r="A1894" s="353">
        <v>91111</v>
      </c>
      <c r="B1894" s="338" t="s">
        <v>5869</v>
      </c>
      <c r="C1894" s="339">
        <f t="shared" si="66"/>
        <v>50000</v>
      </c>
      <c r="D1894" s="196" t="s">
        <v>830</v>
      </c>
      <c r="E1894" s="187" t="s">
        <v>3608</v>
      </c>
      <c r="F1894" s="507">
        <f>SUMIFS(Controle!$R:$R,Controle!$H:$H,produtos_escape2!$A1894,Controle!$Z:$Z,"1")</f>
        <v>0</v>
      </c>
      <c r="G1894" s="507">
        <f>SUMIFS(Controle!$R:$R,Controle!$H:$H,produtos_escape2!$A1894,Controle!$Z:$Z,"2")</f>
        <v>0</v>
      </c>
      <c r="H1894" s="507">
        <f>SUMIFS(Controle!$R:$R,Controle!$H:$H,produtos_escape2!$A1894,Controle!$Z:$Z,"3")</f>
        <v>0</v>
      </c>
      <c r="I1894" s="507">
        <f>SUMIFS(Controle!$R:$R,Controle!$H:$H,produtos_escape2!$A1894,Controle!$Z:$Z,"4")</f>
        <v>0</v>
      </c>
      <c r="J1894" s="507">
        <f>SUMIFS(Controle!$R:$R,Controle!$H:$H,produtos_escape2!$A1894,Controle!$Z:$Z,"5")</f>
        <v>0</v>
      </c>
      <c r="K1894" s="507">
        <f>SUMIFS(Controle!$R:$R,Controle!$H:$H,produtos_escape2!$A1894,Controle!$Z:$Z,"6")</f>
        <v>0</v>
      </c>
      <c r="L1894" s="507">
        <f t="shared" si="65"/>
        <v>0</v>
      </c>
      <c r="M1894" s="381" t="s">
        <v>5704</v>
      </c>
    </row>
    <row r="1895" spans="1:13" s="185" customFormat="1" ht="14.25" customHeight="1" thickBot="1">
      <c r="A1895" s="353">
        <v>91113</v>
      </c>
      <c r="B1895" s="194" t="s">
        <v>1501</v>
      </c>
      <c r="C1895" s="339">
        <f t="shared" si="66"/>
        <v>50000</v>
      </c>
      <c r="D1895" s="196" t="s">
        <v>624</v>
      </c>
      <c r="E1895" s="187" t="s">
        <v>3608</v>
      </c>
      <c r="F1895" s="507">
        <f>SUMIFS(Controle!$R:$R,Controle!$H:$H,produtos_escape2!$A1895,Controle!$Z:$Z,"1")</f>
        <v>0</v>
      </c>
      <c r="G1895" s="507">
        <f>SUMIFS(Controle!$R:$R,Controle!$H:$H,produtos_escape2!$A1895,Controle!$Z:$Z,"2")</f>
        <v>0</v>
      </c>
      <c r="H1895" s="507">
        <f>SUMIFS(Controle!$R:$R,Controle!$H:$H,produtos_escape2!$A1895,Controle!$Z:$Z,"3")</f>
        <v>0</v>
      </c>
      <c r="I1895" s="507">
        <f>SUMIFS(Controle!$R:$R,Controle!$H:$H,produtos_escape2!$A1895,Controle!$Z:$Z,"4")</f>
        <v>0</v>
      </c>
      <c r="J1895" s="507">
        <f>SUMIFS(Controle!$R:$R,Controle!$H:$H,produtos_escape2!$A1895,Controle!$Z:$Z,"5")</f>
        <v>0</v>
      </c>
      <c r="K1895" s="507">
        <f>SUMIFS(Controle!$R:$R,Controle!$H:$H,produtos_escape2!$A1895,Controle!$Z:$Z,"6")</f>
        <v>0</v>
      </c>
      <c r="L1895" s="507">
        <f t="shared" si="65"/>
        <v>0</v>
      </c>
      <c r="M1895" s="381" t="s">
        <v>5458</v>
      </c>
    </row>
    <row r="1896" spans="1:13" s="185" customFormat="1" ht="14.25" customHeight="1" thickBot="1">
      <c r="A1896" s="353">
        <v>91115</v>
      </c>
      <c r="B1896" s="194" t="s">
        <v>1701</v>
      </c>
      <c r="C1896" s="339">
        <f t="shared" si="66"/>
        <v>50000</v>
      </c>
      <c r="D1896" s="196" t="s">
        <v>624</v>
      </c>
      <c r="E1896" s="187" t="s">
        <v>3608</v>
      </c>
      <c r="F1896" s="507">
        <f>SUMIFS(Controle!$R:$R,Controle!$H:$H,produtos_escape2!$A1896,Controle!$Z:$Z,"1")</f>
        <v>0</v>
      </c>
      <c r="G1896" s="507">
        <f>SUMIFS(Controle!$R:$R,Controle!$H:$H,produtos_escape2!$A1896,Controle!$Z:$Z,"2")</f>
        <v>0</v>
      </c>
      <c r="H1896" s="507">
        <f>SUMIFS(Controle!$R:$R,Controle!$H:$H,produtos_escape2!$A1896,Controle!$Z:$Z,"3")</f>
        <v>0</v>
      </c>
      <c r="I1896" s="507">
        <f>SUMIFS(Controle!$R:$R,Controle!$H:$H,produtos_escape2!$A1896,Controle!$Z:$Z,"4")</f>
        <v>0</v>
      </c>
      <c r="J1896" s="507">
        <f>SUMIFS(Controle!$R:$R,Controle!$H:$H,produtos_escape2!$A1896,Controle!$Z:$Z,"5")</f>
        <v>0</v>
      </c>
      <c r="K1896" s="507">
        <f>SUMIFS(Controle!$R:$R,Controle!$H:$H,produtos_escape2!$A1896,Controle!$Z:$Z,"6")</f>
        <v>0</v>
      </c>
      <c r="L1896" s="507">
        <f t="shared" si="65"/>
        <v>0</v>
      </c>
      <c r="M1896" s="381" t="s">
        <v>5459</v>
      </c>
    </row>
    <row r="1897" spans="1:13" s="185" customFormat="1" ht="14.25" customHeight="1" thickBot="1">
      <c r="A1897" s="353">
        <v>91117</v>
      </c>
      <c r="B1897" s="194" t="s">
        <v>824</v>
      </c>
      <c r="C1897" s="339">
        <f t="shared" si="66"/>
        <v>47690</v>
      </c>
      <c r="D1897" s="196" t="s">
        <v>651</v>
      </c>
      <c r="E1897" s="187" t="s">
        <v>3608</v>
      </c>
      <c r="F1897" s="507">
        <f>SUMIFS(Controle!$R:$R,Controle!$H:$H,produtos_escape2!$A1897,Controle!$Z:$Z,"1")</f>
        <v>0</v>
      </c>
      <c r="G1897" s="507">
        <f>SUMIFS(Controle!$R:$R,Controle!$H:$H,produtos_escape2!$A1897,Controle!$Z:$Z,"2")</f>
        <v>0</v>
      </c>
      <c r="H1897" s="507">
        <f>SUMIFS(Controle!$R:$R,Controle!$H:$H,produtos_escape2!$A1897,Controle!$Z:$Z,"3")</f>
        <v>0</v>
      </c>
      <c r="I1897" s="507">
        <f>SUMIFS(Controle!$R:$R,Controle!$H:$H,produtos_escape2!$A1897,Controle!$Z:$Z,"4")</f>
        <v>0</v>
      </c>
      <c r="J1897" s="507">
        <f>SUMIFS(Controle!$R:$R,Controle!$H:$H,produtos_escape2!$A1897,Controle!$Z:$Z,"5")</f>
        <v>0</v>
      </c>
      <c r="K1897" s="507">
        <f>SUMIFS(Controle!$R:$R,Controle!$H:$H,produtos_escape2!$A1897,Controle!$Z:$Z,"6")</f>
        <v>2310</v>
      </c>
      <c r="L1897" s="507">
        <f t="shared" si="65"/>
        <v>2310</v>
      </c>
      <c r="M1897" s="381" t="s">
        <v>5460</v>
      </c>
    </row>
    <row r="1898" spans="1:13" s="185" customFormat="1" ht="14.25" customHeight="1" thickBot="1">
      <c r="A1898" s="353">
        <v>91118</v>
      </c>
      <c r="B1898" s="194" t="s">
        <v>1810</v>
      </c>
      <c r="C1898" s="339">
        <f t="shared" si="66"/>
        <v>46628</v>
      </c>
      <c r="D1898" s="191" t="s">
        <v>624</v>
      </c>
      <c r="E1898" s="189" t="s">
        <v>3608</v>
      </c>
      <c r="F1898" s="507">
        <f>SUMIFS(Controle!$R:$R,Controle!$H:$H,produtos_escape2!$A1898,Controle!$Z:$Z,"1")</f>
        <v>0</v>
      </c>
      <c r="G1898" s="507">
        <f>SUMIFS(Controle!$R:$R,Controle!$H:$H,produtos_escape2!$A1898,Controle!$Z:$Z,"2")</f>
        <v>0</v>
      </c>
      <c r="H1898" s="507">
        <f>SUMIFS(Controle!$R:$R,Controle!$H:$H,produtos_escape2!$A1898,Controle!$Z:$Z,"3")</f>
        <v>0</v>
      </c>
      <c r="I1898" s="507">
        <f>SUMIFS(Controle!$R:$R,Controle!$H:$H,produtos_escape2!$A1898,Controle!$Z:$Z,"4")</f>
        <v>1392</v>
      </c>
      <c r="J1898" s="507">
        <f>SUMIFS(Controle!$R:$R,Controle!$H:$H,produtos_escape2!$A1898,Controle!$Z:$Z,"5")</f>
        <v>0</v>
      </c>
      <c r="K1898" s="507">
        <f>SUMIFS(Controle!$R:$R,Controle!$H:$H,produtos_escape2!$A1898,Controle!$Z:$Z,"6")</f>
        <v>1980</v>
      </c>
      <c r="L1898" s="507">
        <f t="shared" si="65"/>
        <v>3372</v>
      </c>
      <c r="M1898" s="381" t="s">
        <v>5461</v>
      </c>
    </row>
    <row r="1899" spans="1:13" s="185" customFormat="1" ht="14.25" customHeight="1" thickBot="1">
      <c r="A1899" s="333">
        <v>91119</v>
      </c>
      <c r="B1899" s="194" t="s">
        <v>3934</v>
      </c>
      <c r="C1899" s="339">
        <f t="shared" si="66"/>
        <v>50000</v>
      </c>
      <c r="D1899" s="191" t="s">
        <v>624</v>
      </c>
      <c r="E1899" s="189" t="s">
        <v>3608</v>
      </c>
      <c r="F1899" s="507">
        <f>SUMIFS(Controle!$R:$R,Controle!$H:$H,produtos_escape2!$A1899,Controle!$Z:$Z,"1")</f>
        <v>0</v>
      </c>
      <c r="G1899" s="507">
        <f>SUMIFS(Controle!$R:$R,Controle!$H:$H,produtos_escape2!$A1899,Controle!$Z:$Z,"2")</f>
        <v>0</v>
      </c>
      <c r="H1899" s="507">
        <f>SUMIFS(Controle!$R:$R,Controle!$H:$H,produtos_escape2!$A1899,Controle!$Z:$Z,"3")</f>
        <v>0</v>
      </c>
      <c r="I1899" s="507">
        <f>SUMIFS(Controle!$R:$R,Controle!$H:$H,produtos_escape2!$A1899,Controle!$Z:$Z,"4")</f>
        <v>0</v>
      </c>
      <c r="J1899" s="507">
        <f>SUMIFS(Controle!$R:$R,Controle!$H:$H,produtos_escape2!$A1899,Controle!$Z:$Z,"5")</f>
        <v>0</v>
      </c>
      <c r="K1899" s="507">
        <f>SUMIFS(Controle!$R:$R,Controle!$H:$H,produtos_escape2!$A1899,Controle!$Z:$Z,"6")</f>
        <v>0</v>
      </c>
      <c r="L1899" s="507">
        <f t="shared" si="65"/>
        <v>0</v>
      </c>
      <c r="M1899" s="381" t="s">
        <v>5462</v>
      </c>
    </row>
    <row r="1900" spans="1:13" s="185" customFormat="1" ht="14.25" customHeight="1" thickBot="1">
      <c r="A1900" s="353">
        <v>91120</v>
      </c>
      <c r="B1900" s="194" t="s">
        <v>652</v>
      </c>
      <c r="C1900" s="339">
        <f t="shared" si="66"/>
        <v>48160</v>
      </c>
      <c r="D1900" s="196" t="s">
        <v>624</v>
      </c>
      <c r="E1900" s="187" t="s">
        <v>3608</v>
      </c>
      <c r="F1900" s="507">
        <f>SUMIFS(Controle!$R:$R,Controle!$H:$H,produtos_escape2!$A1900,Controle!$Z:$Z,"1")</f>
        <v>0</v>
      </c>
      <c r="G1900" s="507">
        <f>SUMIFS(Controle!$R:$R,Controle!$H:$H,produtos_escape2!$A1900,Controle!$Z:$Z,"2")</f>
        <v>0</v>
      </c>
      <c r="H1900" s="507">
        <f>SUMIFS(Controle!$R:$R,Controle!$H:$H,produtos_escape2!$A1900,Controle!$Z:$Z,"3")</f>
        <v>0</v>
      </c>
      <c r="I1900" s="507">
        <f>SUMIFS(Controle!$R:$R,Controle!$H:$H,produtos_escape2!$A1900,Controle!$Z:$Z,"4")</f>
        <v>0</v>
      </c>
      <c r="J1900" s="507">
        <f>SUMIFS(Controle!$R:$R,Controle!$H:$H,produtos_escape2!$A1900,Controle!$Z:$Z,"5")</f>
        <v>0</v>
      </c>
      <c r="K1900" s="507">
        <f>SUMIFS(Controle!$R:$R,Controle!$H:$H,produtos_escape2!$A1900,Controle!$Z:$Z,"6")</f>
        <v>1840</v>
      </c>
      <c r="L1900" s="507">
        <f t="shared" si="65"/>
        <v>1840</v>
      </c>
      <c r="M1900" s="381" t="s">
        <v>5463</v>
      </c>
    </row>
    <row r="1901" spans="1:13" s="185" customFormat="1" ht="14.25" customHeight="1" thickBot="1">
      <c r="A1901" s="353">
        <v>91121</v>
      </c>
      <c r="B1901" s="194" t="s">
        <v>502</v>
      </c>
      <c r="C1901" s="339">
        <f t="shared" si="66"/>
        <v>50000</v>
      </c>
      <c r="D1901" s="196" t="s">
        <v>624</v>
      </c>
      <c r="E1901" s="187" t="s">
        <v>3608</v>
      </c>
      <c r="F1901" s="507">
        <f>SUMIFS(Controle!$R:$R,Controle!$H:$H,produtos_escape2!$A1901,Controle!$Z:$Z,"1")</f>
        <v>0</v>
      </c>
      <c r="G1901" s="507">
        <f>SUMIFS(Controle!$R:$R,Controle!$H:$H,produtos_escape2!$A1901,Controle!$Z:$Z,"2")</f>
        <v>0</v>
      </c>
      <c r="H1901" s="507">
        <f>SUMIFS(Controle!$R:$R,Controle!$H:$H,produtos_escape2!$A1901,Controle!$Z:$Z,"3")</f>
        <v>0</v>
      </c>
      <c r="I1901" s="507">
        <f>SUMIFS(Controle!$R:$R,Controle!$H:$H,produtos_escape2!$A1901,Controle!$Z:$Z,"4")</f>
        <v>0</v>
      </c>
      <c r="J1901" s="507">
        <f>SUMIFS(Controle!$R:$R,Controle!$H:$H,produtos_escape2!$A1901,Controle!$Z:$Z,"5")</f>
        <v>0</v>
      </c>
      <c r="K1901" s="507">
        <f>SUMIFS(Controle!$R:$R,Controle!$H:$H,produtos_escape2!$A1901,Controle!$Z:$Z,"6")</f>
        <v>0</v>
      </c>
      <c r="L1901" s="507">
        <f t="shared" si="65"/>
        <v>0</v>
      </c>
      <c r="M1901" s="381" t="s">
        <v>5464</v>
      </c>
    </row>
    <row r="1902" spans="1:13" s="185" customFormat="1" ht="14.25" customHeight="1" thickBot="1">
      <c r="A1902" s="353">
        <v>91122</v>
      </c>
      <c r="B1902" s="338" t="s">
        <v>2684</v>
      </c>
      <c r="C1902" s="339">
        <f t="shared" si="66"/>
        <v>46060</v>
      </c>
      <c r="D1902" s="196" t="s">
        <v>624</v>
      </c>
      <c r="E1902" s="187" t="s">
        <v>3608</v>
      </c>
      <c r="F1902" s="507">
        <f>SUMIFS(Controle!$R:$R,Controle!$H:$H,produtos_escape2!$A1902,Controle!$Z:$Z,"1")</f>
        <v>0</v>
      </c>
      <c r="G1902" s="507">
        <f>SUMIFS(Controle!$R:$R,Controle!$H:$H,produtos_escape2!$A1902,Controle!$Z:$Z,"2")</f>
        <v>0</v>
      </c>
      <c r="H1902" s="507">
        <f>SUMIFS(Controle!$R:$R,Controle!$H:$H,produtos_escape2!$A1902,Controle!$Z:$Z,"3")</f>
        <v>0</v>
      </c>
      <c r="I1902" s="507">
        <f>SUMIFS(Controle!$R:$R,Controle!$H:$H,produtos_escape2!$A1902,Controle!$Z:$Z,"4")</f>
        <v>0</v>
      </c>
      <c r="J1902" s="507">
        <f>SUMIFS(Controle!$R:$R,Controle!$H:$H,produtos_escape2!$A1902,Controle!$Z:$Z,"5")</f>
        <v>0</v>
      </c>
      <c r="K1902" s="507">
        <f>SUMIFS(Controle!$R:$R,Controle!$H:$H,produtos_escape2!$A1902,Controle!$Z:$Z,"6")</f>
        <v>3940</v>
      </c>
      <c r="L1902" s="507">
        <f t="shared" si="65"/>
        <v>3940</v>
      </c>
      <c r="M1902" s="381" t="s">
        <v>5465</v>
      </c>
    </row>
    <row r="1903" spans="1:13" s="185" customFormat="1" ht="14.25" customHeight="1" thickBot="1">
      <c r="A1903" s="353">
        <v>91126</v>
      </c>
      <c r="B1903" s="194" t="s">
        <v>1539</v>
      </c>
      <c r="C1903" s="339">
        <f t="shared" si="66"/>
        <v>50000</v>
      </c>
      <c r="D1903" s="196" t="s">
        <v>624</v>
      </c>
      <c r="E1903" s="187" t="s">
        <v>3608</v>
      </c>
      <c r="F1903" s="507">
        <f>SUMIFS(Controle!$R:$R,Controle!$H:$H,produtos_escape2!$A1903,Controle!$Z:$Z,"1")</f>
        <v>0</v>
      </c>
      <c r="G1903" s="507">
        <f>SUMIFS(Controle!$R:$R,Controle!$H:$H,produtos_escape2!$A1903,Controle!$Z:$Z,"2")</f>
        <v>0</v>
      </c>
      <c r="H1903" s="507">
        <f>SUMIFS(Controle!$R:$R,Controle!$H:$H,produtos_escape2!$A1903,Controle!$Z:$Z,"3")</f>
        <v>0</v>
      </c>
      <c r="I1903" s="507">
        <f>SUMIFS(Controle!$R:$R,Controle!$H:$H,produtos_escape2!$A1903,Controle!$Z:$Z,"4")</f>
        <v>0</v>
      </c>
      <c r="J1903" s="507">
        <f>SUMIFS(Controle!$R:$R,Controle!$H:$H,produtos_escape2!$A1903,Controle!$Z:$Z,"5")</f>
        <v>0</v>
      </c>
      <c r="K1903" s="507">
        <f>SUMIFS(Controle!$R:$R,Controle!$H:$H,produtos_escape2!$A1903,Controle!$Z:$Z,"6")</f>
        <v>0</v>
      </c>
      <c r="L1903" s="507">
        <f t="shared" si="65"/>
        <v>0</v>
      </c>
      <c r="M1903" s="381" t="s">
        <v>5304</v>
      </c>
    </row>
    <row r="1904" spans="1:13" s="185" customFormat="1" ht="14.25" customHeight="1" thickBot="1">
      <c r="A1904" s="353">
        <v>91127</v>
      </c>
      <c r="B1904" s="194" t="s">
        <v>1643</v>
      </c>
      <c r="C1904" s="339">
        <f t="shared" si="66"/>
        <v>50000</v>
      </c>
      <c r="D1904" s="196" t="s">
        <v>624</v>
      </c>
      <c r="E1904" s="187" t="s">
        <v>3608</v>
      </c>
      <c r="F1904" s="507">
        <f>SUMIFS(Controle!$R:$R,Controle!$H:$H,produtos_escape2!$A1904,Controle!$Z:$Z,"1")</f>
        <v>0</v>
      </c>
      <c r="G1904" s="507">
        <f>SUMIFS(Controle!$R:$R,Controle!$H:$H,produtos_escape2!$A1904,Controle!$Z:$Z,"2")</f>
        <v>0</v>
      </c>
      <c r="H1904" s="507">
        <f>SUMIFS(Controle!$R:$R,Controle!$H:$H,produtos_escape2!$A1904,Controle!$Z:$Z,"3")</f>
        <v>0</v>
      </c>
      <c r="I1904" s="507">
        <f>SUMIFS(Controle!$R:$R,Controle!$H:$H,produtos_escape2!$A1904,Controle!$Z:$Z,"4")</f>
        <v>0</v>
      </c>
      <c r="J1904" s="507">
        <f>SUMIFS(Controle!$R:$R,Controle!$H:$H,produtos_escape2!$A1904,Controle!$Z:$Z,"5")</f>
        <v>0</v>
      </c>
      <c r="K1904" s="507">
        <f>SUMIFS(Controle!$R:$R,Controle!$H:$H,produtos_escape2!$A1904,Controle!$Z:$Z,"6")</f>
        <v>0</v>
      </c>
      <c r="L1904" s="507">
        <f t="shared" si="65"/>
        <v>0</v>
      </c>
      <c r="M1904" s="381" t="s">
        <v>5466</v>
      </c>
    </row>
    <row r="1905" spans="1:13" s="185" customFormat="1" ht="14.25" customHeight="1" thickBot="1">
      <c r="A1905" s="353">
        <v>91128</v>
      </c>
      <c r="B1905" s="194" t="s">
        <v>503</v>
      </c>
      <c r="C1905" s="339">
        <f t="shared" si="66"/>
        <v>50000</v>
      </c>
      <c r="D1905" s="196" t="s">
        <v>624</v>
      </c>
      <c r="E1905" s="187" t="s">
        <v>3608</v>
      </c>
      <c r="F1905" s="507">
        <f>SUMIFS(Controle!$R:$R,Controle!$H:$H,produtos_escape2!$A1905,Controle!$Z:$Z,"1")</f>
        <v>0</v>
      </c>
      <c r="G1905" s="507">
        <f>SUMIFS(Controle!$R:$R,Controle!$H:$H,produtos_escape2!$A1905,Controle!$Z:$Z,"2")</f>
        <v>0</v>
      </c>
      <c r="H1905" s="507">
        <f>SUMIFS(Controle!$R:$R,Controle!$H:$H,produtos_escape2!$A1905,Controle!$Z:$Z,"3")</f>
        <v>0</v>
      </c>
      <c r="I1905" s="507">
        <f>SUMIFS(Controle!$R:$R,Controle!$H:$H,produtos_escape2!$A1905,Controle!$Z:$Z,"4")</f>
        <v>0</v>
      </c>
      <c r="J1905" s="507">
        <f>SUMIFS(Controle!$R:$R,Controle!$H:$H,produtos_escape2!$A1905,Controle!$Z:$Z,"5")</f>
        <v>0</v>
      </c>
      <c r="K1905" s="507">
        <f>SUMIFS(Controle!$R:$R,Controle!$H:$H,produtos_escape2!$A1905,Controle!$Z:$Z,"6")</f>
        <v>0</v>
      </c>
      <c r="L1905" s="507">
        <f t="shared" si="65"/>
        <v>0</v>
      </c>
      <c r="M1905" s="381" t="s">
        <v>5467</v>
      </c>
    </row>
    <row r="1906" spans="1:13" s="185" customFormat="1" ht="14.25" customHeight="1" thickBot="1">
      <c r="A1906" s="353">
        <v>91129</v>
      </c>
      <c r="B1906" s="194" t="s">
        <v>1615</v>
      </c>
      <c r="C1906" s="339">
        <f t="shared" si="66"/>
        <v>50000</v>
      </c>
      <c r="D1906" s="196" t="s">
        <v>624</v>
      </c>
      <c r="E1906" s="187" t="s">
        <v>3608</v>
      </c>
      <c r="F1906" s="507">
        <f>SUMIFS(Controle!$R:$R,Controle!$H:$H,produtos_escape2!$A1906,Controle!$Z:$Z,"1")</f>
        <v>0</v>
      </c>
      <c r="G1906" s="507">
        <f>SUMIFS(Controle!$R:$R,Controle!$H:$H,produtos_escape2!$A1906,Controle!$Z:$Z,"2")</f>
        <v>0</v>
      </c>
      <c r="H1906" s="507">
        <f>SUMIFS(Controle!$R:$R,Controle!$H:$H,produtos_escape2!$A1906,Controle!$Z:$Z,"3")</f>
        <v>0</v>
      </c>
      <c r="I1906" s="507">
        <f>SUMIFS(Controle!$R:$R,Controle!$H:$H,produtos_escape2!$A1906,Controle!$Z:$Z,"4")</f>
        <v>0</v>
      </c>
      <c r="J1906" s="507">
        <f>SUMIFS(Controle!$R:$R,Controle!$H:$H,produtos_escape2!$A1906,Controle!$Z:$Z,"5")</f>
        <v>0</v>
      </c>
      <c r="K1906" s="507">
        <f>SUMIFS(Controle!$R:$R,Controle!$H:$H,produtos_escape2!$A1906,Controle!$Z:$Z,"6")</f>
        <v>0</v>
      </c>
      <c r="L1906" s="507">
        <f t="shared" si="65"/>
        <v>0</v>
      </c>
      <c r="M1906" s="381" t="s">
        <v>5468</v>
      </c>
    </row>
    <row r="1907" spans="1:13" s="185" customFormat="1" ht="14.25" customHeight="1" thickBot="1">
      <c r="A1907" s="333">
        <v>91130</v>
      </c>
      <c r="B1907" s="194" t="s">
        <v>1610</v>
      </c>
      <c r="C1907" s="339">
        <f t="shared" si="66"/>
        <v>50000</v>
      </c>
      <c r="D1907" s="196" t="s">
        <v>624</v>
      </c>
      <c r="E1907" s="187" t="s">
        <v>3608</v>
      </c>
      <c r="F1907" s="507">
        <f>SUMIFS(Controle!$R:$R,Controle!$H:$H,produtos_escape2!$A1907,Controle!$Z:$Z,"1")</f>
        <v>0</v>
      </c>
      <c r="G1907" s="507">
        <f>SUMIFS(Controle!$R:$R,Controle!$H:$H,produtos_escape2!$A1907,Controle!$Z:$Z,"2")</f>
        <v>0</v>
      </c>
      <c r="H1907" s="507">
        <f>SUMIFS(Controle!$R:$R,Controle!$H:$H,produtos_escape2!$A1907,Controle!$Z:$Z,"3")</f>
        <v>0</v>
      </c>
      <c r="I1907" s="507">
        <f>SUMIFS(Controle!$R:$R,Controle!$H:$H,produtos_escape2!$A1907,Controle!$Z:$Z,"4")</f>
        <v>0</v>
      </c>
      <c r="J1907" s="507">
        <f>SUMIFS(Controle!$R:$R,Controle!$H:$H,produtos_escape2!$A1907,Controle!$Z:$Z,"5")</f>
        <v>0</v>
      </c>
      <c r="K1907" s="507">
        <f>SUMIFS(Controle!$R:$R,Controle!$H:$H,produtos_escape2!$A1907,Controle!$Z:$Z,"6")</f>
        <v>0</v>
      </c>
      <c r="L1907" s="507">
        <f t="shared" si="65"/>
        <v>0</v>
      </c>
      <c r="M1907" s="381" t="s">
        <v>5469</v>
      </c>
    </row>
    <row r="1908" spans="1:13" s="185" customFormat="1" ht="14.25" customHeight="1" thickBot="1">
      <c r="A1908" s="353">
        <v>91131</v>
      </c>
      <c r="B1908" s="194" t="s">
        <v>299</v>
      </c>
      <c r="C1908" s="339">
        <f t="shared" si="66"/>
        <v>46400</v>
      </c>
      <c r="D1908" s="196" t="s">
        <v>624</v>
      </c>
      <c r="E1908" s="187" t="s">
        <v>3608</v>
      </c>
      <c r="F1908" s="507">
        <f>SUMIFS(Controle!$R:$R,Controle!$H:$H,produtos_escape2!$A1908,Controle!$Z:$Z,"1")</f>
        <v>0</v>
      </c>
      <c r="G1908" s="507">
        <f>SUMIFS(Controle!$R:$R,Controle!$H:$H,produtos_escape2!$A1908,Controle!$Z:$Z,"2")</f>
        <v>0</v>
      </c>
      <c r="H1908" s="507">
        <f>SUMIFS(Controle!$R:$R,Controle!$H:$H,produtos_escape2!$A1908,Controle!$Z:$Z,"3")</f>
        <v>0</v>
      </c>
      <c r="I1908" s="507">
        <f>SUMIFS(Controle!$R:$R,Controle!$H:$H,produtos_escape2!$A1908,Controle!$Z:$Z,"4")</f>
        <v>0</v>
      </c>
      <c r="J1908" s="507">
        <f>SUMIFS(Controle!$R:$R,Controle!$H:$H,produtos_escape2!$A1908,Controle!$Z:$Z,"5")</f>
        <v>0</v>
      </c>
      <c r="K1908" s="507">
        <f>SUMIFS(Controle!$R:$R,Controle!$H:$H,produtos_escape2!$A1908,Controle!$Z:$Z,"6")</f>
        <v>3600</v>
      </c>
      <c r="L1908" s="507">
        <f t="shared" si="65"/>
        <v>3600</v>
      </c>
      <c r="M1908" s="381" t="s">
        <v>5470</v>
      </c>
    </row>
    <row r="1909" spans="1:13" s="185" customFormat="1" ht="14.25" customHeight="1" thickBot="1">
      <c r="A1909" s="353">
        <v>91133</v>
      </c>
      <c r="B1909" s="194" t="s">
        <v>750</v>
      </c>
      <c r="C1909" s="339">
        <f t="shared" si="66"/>
        <v>50000</v>
      </c>
      <c r="D1909" s="196" t="s">
        <v>624</v>
      </c>
      <c r="E1909" s="187" t="s">
        <v>3608</v>
      </c>
      <c r="F1909" s="507">
        <f>SUMIFS(Controle!$R:$R,Controle!$H:$H,produtos_escape2!$A1909,Controle!$Z:$Z,"1")</f>
        <v>0</v>
      </c>
      <c r="G1909" s="507">
        <f>SUMIFS(Controle!$R:$R,Controle!$H:$H,produtos_escape2!$A1909,Controle!$Z:$Z,"2")</f>
        <v>0</v>
      </c>
      <c r="H1909" s="507">
        <f>SUMIFS(Controle!$R:$R,Controle!$H:$H,produtos_escape2!$A1909,Controle!$Z:$Z,"3")</f>
        <v>0</v>
      </c>
      <c r="I1909" s="507">
        <f>SUMIFS(Controle!$R:$R,Controle!$H:$H,produtos_escape2!$A1909,Controle!$Z:$Z,"4")</f>
        <v>0</v>
      </c>
      <c r="J1909" s="507">
        <f>SUMIFS(Controle!$R:$R,Controle!$H:$H,produtos_escape2!$A1909,Controle!$Z:$Z,"5")</f>
        <v>0</v>
      </c>
      <c r="K1909" s="507">
        <f>SUMIFS(Controle!$R:$R,Controle!$H:$H,produtos_escape2!$A1909,Controle!$Z:$Z,"6")</f>
        <v>0</v>
      </c>
      <c r="L1909" s="507">
        <f t="shared" si="65"/>
        <v>0</v>
      </c>
      <c r="M1909" s="381" t="s">
        <v>5471</v>
      </c>
    </row>
    <row r="1910" spans="1:13" s="185" customFormat="1" ht="14.25" customHeight="1" thickBot="1">
      <c r="A1910" s="353">
        <v>91136</v>
      </c>
      <c r="B1910" s="338" t="s">
        <v>298</v>
      </c>
      <c r="C1910" s="339">
        <f t="shared" si="66"/>
        <v>50000</v>
      </c>
      <c r="D1910" s="196" t="s">
        <v>624</v>
      </c>
      <c r="E1910" s="187" t="s">
        <v>3608</v>
      </c>
      <c r="F1910" s="507">
        <f>SUMIFS(Controle!$R:$R,Controle!$H:$H,produtos_escape2!$A1910,Controle!$Z:$Z,"1")</f>
        <v>0</v>
      </c>
      <c r="G1910" s="507">
        <f>SUMIFS(Controle!$R:$R,Controle!$H:$H,produtos_escape2!$A1910,Controle!$Z:$Z,"2")</f>
        <v>0</v>
      </c>
      <c r="H1910" s="507">
        <f>SUMIFS(Controle!$R:$R,Controle!$H:$H,produtos_escape2!$A1910,Controle!$Z:$Z,"3")</f>
        <v>0</v>
      </c>
      <c r="I1910" s="507">
        <f>SUMIFS(Controle!$R:$R,Controle!$H:$H,produtos_escape2!$A1910,Controle!$Z:$Z,"4")</f>
        <v>0</v>
      </c>
      <c r="J1910" s="507">
        <f>SUMIFS(Controle!$R:$R,Controle!$H:$H,produtos_escape2!$A1910,Controle!$Z:$Z,"5")</f>
        <v>0</v>
      </c>
      <c r="K1910" s="507">
        <f>SUMIFS(Controle!$R:$R,Controle!$H:$H,produtos_escape2!$A1910,Controle!$Z:$Z,"6")</f>
        <v>0</v>
      </c>
      <c r="L1910" s="507">
        <f t="shared" si="65"/>
        <v>0</v>
      </c>
      <c r="M1910" s="381" t="s">
        <v>5702</v>
      </c>
    </row>
    <row r="1911" spans="1:13" s="185" customFormat="1" ht="14.25" customHeight="1" thickBot="1">
      <c r="A1911" s="353">
        <v>91137</v>
      </c>
      <c r="B1911" s="194" t="s">
        <v>2772</v>
      </c>
      <c r="C1911" s="339">
        <f t="shared" si="66"/>
        <v>50000</v>
      </c>
      <c r="D1911" s="191" t="s">
        <v>624</v>
      </c>
      <c r="E1911" s="189" t="s">
        <v>3608</v>
      </c>
      <c r="F1911" s="507">
        <f>SUMIFS(Controle!$R:$R,Controle!$H:$H,produtos_escape2!$A1911,Controle!$Z:$Z,"1")</f>
        <v>0</v>
      </c>
      <c r="G1911" s="507">
        <f>SUMIFS(Controle!$R:$R,Controle!$H:$H,produtos_escape2!$A1911,Controle!$Z:$Z,"2")</f>
        <v>0</v>
      </c>
      <c r="H1911" s="507">
        <f>SUMIFS(Controle!$R:$R,Controle!$H:$H,produtos_escape2!$A1911,Controle!$Z:$Z,"3")</f>
        <v>0</v>
      </c>
      <c r="I1911" s="507">
        <f>SUMIFS(Controle!$R:$R,Controle!$H:$H,produtos_escape2!$A1911,Controle!$Z:$Z,"4")</f>
        <v>0</v>
      </c>
      <c r="J1911" s="507">
        <f>SUMIFS(Controle!$R:$R,Controle!$H:$H,produtos_escape2!$A1911,Controle!$Z:$Z,"5")</f>
        <v>0</v>
      </c>
      <c r="K1911" s="507">
        <f>SUMIFS(Controle!$R:$R,Controle!$H:$H,produtos_escape2!$A1911,Controle!$Z:$Z,"6")</f>
        <v>0</v>
      </c>
      <c r="L1911" s="507">
        <f t="shared" si="65"/>
        <v>0</v>
      </c>
      <c r="M1911" s="381" t="s">
        <v>5472</v>
      </c>
    </row>
    <row r="1912" spans="1:13" s="185" customFormat="1" ht="14.25" customHeight="1" thickBot="1">
      <c r="A1912" s="353">
        <v>91139</v>
      </c>
      <c r="B1912" s="194" t="s">
        <v>2759</v>
      </c>
      <c r="C1912" s="339">
        <f t="shared" si="66"/>
        <v>50000</v>
      </c>
      <c r="D1912" s="191" t="s">
        <v>624</v>
      </c>
      <c r="E1912" s="189" t="s">
        <v>3608</v>
      </c>
      <c r="F1912" s="507">
        <f>SUMIFS(Controle!$R:$R,Controle!$H:$H,produtos_escape2!$A1912,Controle!$Z:$Z,"1")</f>
        <v>0</v>
      </c>
      <c r="G1912" s="507">
        <f>SUMIFS(Controle!$R:$R,Controle!$H:$H,produtos_escape2!$A1912,Controle!$Z:$Z,"2")</f>
        <v>0</v>
      </c>
      <c r="H1912" s="507">
        <f>SUMIFS(Controle!$R:$R,Controle!$H:$H,produtos_escape2!$A1912,Controle!$Z:$Z,"3")</f>
        <v>0</v>
      </c>
      <c r="I1912" s="507">
        <f>SUMIFS(Controle!$R:$R,Controle!$H:$H,produtos_escape2!$A1912,Controle!$Z:$Z,"4")</f>
        <v>0</v>
      </c>
      <c r="J1912" s="507">
        <f>SUMIFS(Controle!$R:$R,Controle!$H:$H,produtos_escape2!$A1912,Controle!$Z:$Z,"5")</f>
        <v>0</v>
      </c>
      <c r="K1912" s="507">
        <f>SUMIFS(Controle!$R:$R,Controle!$H:$H,produtos_escape2!$A1912,Controle!$Z:$Z,"6")</f>
        <v>0</v>
      </c>
      <c r="L1912" s="507">
        <f t="shared" si="65"/>
        <v>0</v>
      </c>
      <c r="M1912" s="381" t="s">
        <v>5473</v>
      </c>
    </row>
    <row r="1913" spans="1:13" s="185" customFormat="1" ht="14.25" customHeight="1" thickBot="1">
      <c r="A1913" s="353">
        <v>91149</v>
      </c>
      <c r="B1913" s="194" t="s">
        <v>1050</v>
      </c>
      <c r="C1913" s="339">
        <f t="shared" si="66"/>
        <v>50000</v>
      </c>
      <c r="D1913" s="196" t="s">
        <v>651</v>
      </c>
      <c r="E1913" s="187" t="s">
        <v>3608</v>
      </c>
      <c r="F1913" s="507">
        <f>SUMIFS(Controle!$R:$R,Controle!$H:$H,produtos_escape2!$A1913,Controle!$Z:$Z,"1")</f>
        <v>0</v>
      </c>
      <c r="G1913" s="507">
        <f>SUMIFS(Controle!$R:$R,Controle!$H:$H,produtos_escape2!$A1913,Controle!$Z:$Z,"2")</f>
        <v>0</v>
      </c>
      <c r="H1913" s="507">
        <f>SUMIFS(Controle!$R:$R,Controle!$H:$H,produtos_escape2!$A1913,Controle!$Z:$Z,"3")</f>
        <v>0</v>
      </c>
      <c r="I1913" s="507">
        <f>SUMIFS(Controle!$R:$R,Controle!$H:$H,produtos_escape2!$A1913,Controle!$Z:$Z,"4")</f>
        <v>0</v>
      </c>
      <c r="J1913" s="507">
        <f>SUMIFS(Controle!$R:$R,Controle!$H:$H,produtos_escape2!$A1913,Controle!$Z:$Z,"5")</f>
        <v>0</v>
      </c>
      <c r="K1913" s="507">
        <f>SUMIFS(Controle!$R:$R,Controle!$H:$H,produtos_escape2!$A1913,Controle!$Z:$Z,"6")</f>
        <v>0</v>
      </c>
      <c r="L1913" s="507">
        <f t="shared" si="65"/>
        <v>0</v>
      </c>
      <c r="M1913" s="381" t="s">
        <v>5474</v>
      </c>
    </row>
    <row r="1914" spans="1:13" s="185" customFormat="1" ht="14.25" customHeight="1" thickBot="1">
      <c r="A1914" s="353">
        <v>91158</v>
      </c>
      <c r="B1914" s="194" t="s">
        <v>449</v>
      </c>
      <c r="C1914" s="339">
        <f t="shared" si="66"/>
        <v>50000</v>
      </c>
      <c r="D1914" s="196" t="s">
        <v>624</v>
      </c>
      <c r="E1914" s="187" t="s">
        <v>3608</v>
      </c>
      <c r="F1914" s="507">
        <f>SUMIFS(Controle!$R:$R,Controle!$H:$H,produtos_escape2!$A1914,Controle!$Z:$Z,"1")</f>
        <v>0</v>
      </c>
      <c r="G1914" s="507">
        <f>SUMIFS(Controle!$R:$R,Controle!$H:$H,produtos_escape2!$A1914,Controle!$Z:$Z,"2")</f>
        <v>0</v>
      </c>
      <c r="H1914" s="507">
        <f>SUMIFS(Controle!$R:$R,Controle!$H:$H,produtos_escape2!$A1914,Controle!$Z:$Z,"3")</f>
        <v>0</v>
      </c>
      <c r="I1914" s="507">
        <f>SUMIFS(Controle!$R:$R,Controle!$H:$H,produtos_escape2!$A1914,Controle!$Z:$Z,"4")</f>
        <v>0</v>
      </c>
      <c r="J1914" s="507">
        <f>SUMIFS(Controle!$R:$R,Controle!$H:$H,produtos_escape2!$A1914,Controle!$Z:$Z,"5")</f>
        <v>0</v>
      </c>
      <c r="K1914" s="507">
        <f>SUMIFS(Controle!$R:$R,Controle!$H:$H,produtos_escape2!$A1914,Controle!$Z:$Z,"6")</f>
        <v>0</v>
      </c>
      <c r="L1914" s="507">
        <f t="shared" si="65"/>
        <v>0</v>
      </c>
      <c r="M1914" s="381" t="s">
        <v>449</v>
      </c>
    </row>
    <row r="1915" spans="1:13" s="185" customFormat="1" ht="14.25" customHeight="1" thickBot="1">
      <c r="A1915" s="333">
        <v>91160</v>
      </c>
      <c r="B1915" s="194" t="s">
        <v>492</v>
      </c>
      <c r="C1915" s="339">
        <f t="shared" si="66"/>
        <v>50000</v>
      </c>
      <c r="D1915" s="196" t="s">
        <v>624</v>
      </c>
      <c r="E1915" s="187" t="s">
        <v>3608</v>
      </c>
      <c r="F1915" s="507">
        <f>SUMIFS(Controle!$R:$R,Controle!$H:$H,produtos_escape2!$A1915,Controle!$Z:$Z,"1")</f>
        <v>0</v>
      </c>
      <c r="G1915" s="507">
        <f>SUMIFS(Controle!$R:$R,Controle!$H:$H,produtos_escape2!$A1915,Controle!$Z:$Z,"2")</f>
        <v>0</v>
      </c>
      <c r="H1915" s="507">
        <f>SUMIFS(Controle!$R:$R,Controle!$H:$H,produtos_escape2!$A1915,Controle!$Z:$Z,"3")</f>
        <v>0</v>
      </c>
      <c r="I1915" s="507">
        <f>SUMIFS(Controle!$R:$R,Controle!$H:$H,produtos_escape2!$A1915,Controle!$Z:$Z,"4")</f>
        <v>0</v>
      </c>
      <c r="J1915" s="507">
        <f>SUMIFS(Controle!$R:$R,Controle!$H:$H,produtos_escape2!$A1915,Controle!$Z:$Z,"5")</f>
        <v>0</v>
      </c>
      <c r="K1915" s="507">
        <f>SUMIFS(Controle!$R:$R,Controle!$H:$H,produtos_escape2!$A1915,Controle!$Z:$Z,"6")</f>
        <v>0</v>
      </c>
      <c r="L1915" s="507">
        <f t="shared" si="65"/>
        <v>0</v>
      </c>
      <c r="M1915" s="381" t="s">
        <v>5475</v>
      </c>
    </row>
    <row r="1916" spans="1:13" s="185" customFormat="1" ht="14.25" customHeight="1" thickBot="1">
      <c r="A1916" s="353">
        <v>91162</v>
      </c>
      <c r="B1916" s="194" t="s">
        <v>493</v>
      </c>
      <c r="C1916" s="339">
        <f t="shared" si="66"/>
        <v>50000</v>
      </c>
      <c r="D1916" s="196" t="s">
        <v>624</v>
      </c>
      <c r="E1916" s="187" t="s">
        <v>3608</v>
      </c>
      <c r="F1916" s="507">
        <f>SUMIFS(Controle!$R:$R,Controle!$H:$H,produtos_escape2!$A1916,Controle!$Z:$Z,"1")</f>
        <v>0</v>
      </c>
      <c r="G1916" s="507">
        <f>SUMIFS(Controle!$R:$R,Controle!$H:$H,produtos_escape2!$A1916,Controle!$Z:$Z,"2")</f>
        <v>0</v>
      </c>
      <c r="H1916" s="507">
        <f>SUMIFS(Controle!$R:$R,Controle!$H:$H,produtos_escape2!$A1916,Controle!$Z:$Z,"3")</f>
        <v>0</v>
      </c>
      <c r="I1916" s="507">
        <f>SUMIFS(Controle!$R:$R,Controle!$H:$H,produtos_escape2!$A1916,Controle!$Z:$Z,"4")</f>
        <v>0</v>
      </c>
      <c r="J1916" s="507">
        <f>SUMIFS(Controle!$R:$R,Controle!$H:$H,produtos_escape2!$A1916,Controle!$Z:$Z,"5")</f>
        <v>0</v>
      </c>
      <c r="K1916" s="507">
        <f>SUMIFS(Controle!$R:$R,Controle!$H:$H,produtos_escape2!$A1916,Controle!$Z:$Z,"6")</f>
        <v>0</v>
      </c>
      <c r="L1916" s="507">
        <f t="shared" si="65"/>
        <v>0</v>
      </c>
      <c r="M1916" s="381" t="s">
        <v>5475</v>
      </c>
    </row>
    <row r="1917" spans="1:13" s="185" customFormat="1" ht="14.25" customHeight="1" thickBot="1">
      <c r="A1917" s="353">
        <v>91164</v>
      </c>
      <c r="B1917" s="194" t="s">
        <v>111</v>
      </c>
      <c r="C1917" s="339">
        <f t="shared" si="66"/>
        <v>50000</v>
      </c>
      <c r="D1917" s="196" t="s">
        <v>624</v>
      </c>
      <c r="E1917" s="187" t="s">
        <v>3608</v>
      </c>
      <c r="F1917" s="507">
        <f>SUMIFS(Controle!$R:$R,Controle!$H:$H,produtos_escape2!$A1917,Controle!$Z:$Z,"1")</f>
        <v>0</v>
      </c>
      <c r="G1917" s="507">
        <f>SUMIFS(Controle!$R:$R,Controle!$H:$H,produtos_escape2!$A1917,Controle!$Z:$Z,"2")</f>
        <v>0</v>
      </c>
      <c r="H1917" s="507">
        <f>SUMIFS(Controle!$R:$R,Controle!$H:$H,produtos_escape2!$A1917,Controle!$Z:$Z,"3")</f>
        <v>0</v>
      </c>
      <c r="I1917" s="507">
        <f>SUMIFS(Controle!$R:$R,Controle!$H:$H,produtos_escape2!$A1917,Controle!$Z:$Z,"4")</f>
        <v>0</v>
      </c>
      <c r="J1917" s="507">
        <f>SUMIFS(Controle!$R:$R,Controle!$H:$H,produtos_escape2!$A1917,Controle!$Z:$Z,"5")</f>
        <v>0</v>
      </c>
      <c r="K1917" s="507">
        <f>SUMIFS(Controle!$R:$R,Controle!$H:$H,produtos_escape2!$A1917,Controle!$Z:$Z,"6")</f>
        <v>0</v>
      </c>
      <c r="L1917" s="507">
        <f t="shared" si="65"/>
        <v>0</v>
      </c>
      <c r="M1917" s="381" t="s">
        <v>5476</v>
      </c>
    </row>
    <row r="1918" spans="1:13" s="185" customFormat="1" ht="14.25" customHeight="1" thickBot="1">
      <c r="A1918" s="353">
        <v>91165</v>
      </c>
      <c r="B1918" s="338" t="s">
        <v>417</v>
      </c>
      <c r="C1918" s="339">
        <f t="shared" si="66"/>
        <v>50000</v>
      </c>
      <c r="D1918" s="196" t="s">
        <v>624</v>
      </c>
      <c r="E1918" s="187" t="s">
        <v>3608</v>
      </c>
      <c r="F1918" s="507">
        <f>SUMIFS(Controle!$R:$R,Controle!$H:$H,produtos_escape2!$A1918,Controle!$Z:$Z,"1")</f>
        <v>0</v>
      </c>
      <c r="G1918" s="507">
        <f>SUMIFS(Controle!$R:$R,Controle!$H:$H,produtos_escape2!$A1918,Controle!$Z:$Z,"2")</f>
        <v>0</v>
      </c>
      <c r="H1918" s="507">
        <f>SUMIFS(Controle!$R:$R,Controle!$H:$H,produtos_escape2!$A1918,Controle!$Z:$Z,"3")</f>
        <v>0</v>
      </c>
      <c r="I1918" s="507">
        <f>SUMIFS(Controle!$R:$R,Controle!$H:$H,produtos_escape2!$A1918,Controle!$Z:$Z,"4")</f>
        <v>0</v>
      </c>
      <c r="J1918" s="507">
        <f>SUMIFS(Controle!$R:$R,Controle!$H:$H,produtos_escape2!$A1918,Controle!$Z:$Z,"5")</f>
        <v>0</v>
      </c>
      <c r="K1918" s="507">
        <f>SUMIFS(Controle!$R:$R,Controle!$H:$H,produtos_escape2!$A1918,Controle!$Z:$Z,"6")</f>
        <v>0</v>
      </c>
      <c r="L1918" s="507">
        <f t="shared" si="65"/>
        <v>0</v>
      </c>
      <c r="M1918" s="381" t="s">
        <v>5477</v>
      </c>
    </row>
    <row r="1919" spans="1:13" s="185" customFormat="1" ht="14.25" customHeight="1" thickBot="1">
      <c r="A1919" s="353">
        <v>91169</v>
      </c>
      <c r="B1919" s="194" t="s">
        <v>214</v>
      </c>
      <c r="C1919" s="339">
        <f t="shared" si="66"/>
        <v>50000</v>
      </c>
      <c r="D1919" s="196" t="s">
        <v>624</v>
      </c>
      <c r="E1919" s="187" t="s">
        <v>3608</v>
      </c>
      <c r="F1919" s="507">
        <f>SUMIFS(Controle!$R:$R,Controle!$H:$H,produtos_escape2!$A1919,Controle!$Z:$Z,"1")</f>
        <v>0</v>
      </c>
      <c r="G1919" s="507">
        <f>SUMIFS(Controle!$R:$R,Controle!$H:$H,produtos_escape2!$A1919,Controle!$Z:$Z,"2")</f>
        <v>0</v>
      </c>
      <c r="H1919" s="507">
        <f>SUMIFS(Controle!$R:$R,Controle!$H:$H,produtos_escape2!$A1919,Controle!$Z:$Z,"3")</f>
        <v>0</v>
      </c>
      <c r="I1919" s="507">
        <f>SUMIFS(Controle!$R:$R,Controle!$H:$H,produtos_escape2!$A1919,Controle!$Z:$Z,"4")</f>
        <v>0</v>
      </c>
      <c r="J1919" s="507">
        <f>SUMIFS(Controle!$R:$R,Controle!$H:$H,produtos_escape2!$A1919,Controle!$Z:$Z,"5")</f>
        <v>0</v>
      </c>
      <c r="K1919" s="507">
        <f>SUMIFS(Controle!$R:$R,Controle!$H:$H,produtos_escape2!$A1919,Controle!$Z:$Z,"6")</f>
        <v>0</v>
      </c>
      <c r="L1919" s="507">
        <f t="shared" ref="L1919:L1982" si="67">SUM(F1919:K1919)</f>
        <v>0</v>
      </c>
      <c r="M1919" s="381" t="s">
        <v>214</v>
      </c>
    </row>
    <row r="1920" spans="1:13" s="185" customFormat="1" ht="14.25" customHeight="1" thickBot="1">
      <c r="A1920" s="353">
        <v>91170</v>
      </c>
      <c r="B1920" s="194" t="s">
        <v>215</v>
      </c>
      <c r="C1920" s="339">
        <f t="shared" si="66"/>
        <v>50000</v>
      </c>
      <c r="D1920" s="196" t="s">
        <v>624</v>
      </c>
      <c r="E1920" s="187" t="s">
        <v>3608</v>
      </c>
      <c r="F1920" s="507">
        <f>SUMIFS(Controle!$R:$R,Controle!$H:$H,produtos_escape2!$A1920,Controle!$Z:$Z,"1")</f>
        <v>0</v>
      </c>
      <c r="G1920" s="507">
        <f>SUMIFS(Controle!$R:$R,Controle!$H:$H,produtos_escape2!$A1920,Controle!$Z:$Z,"2")</f>
        <v>0</v>
      </c>
      <c r="H1920" s="507">
        <f>SUMIFS(Controle!$R:$R,Controle!$H:$H,produtos_escape2!$A1920,Controle!$Z:$Z,"3")</f>
        <v>0</v>
      </c>
      <c r="I1920" s="507">
        <f>SUMIFS(Controle!$R:$R,Controle!$H:$H,produtos_escape2!$A1920,Controle!$Z:$Z,"4")</f>
        <v>0</v>
      </c>
      <c r="J1920" s="507">
        <f>SUMIFS(Controle!$R:$R,Controle!$H:$H,produtos_escape2!$A1920,Controle!$Z:$Z,"5")</f>
        <v>0</v>
      </c>
      <c r="K1920" s="507">
        <f>SUMIFS(Controle!$R:$R,Controle!$H:$H,produtos_escape2!$A1920,Controle!$Z:$Z,"6")</f>
        <v>0</v>
      </c>
      <c r="L1920" s="507">
        <f t="shared" si="67"/>
        <v>0</v>
      </c>
      <c r="M1920" s="381" t="s">
        <v>215</v>
      </c>
    </row>
    <row r="1921" spans="1:13" s="185" customFormat="1" ht="14.25" customHeight="1" thickBot="1">
      <c r="A1921" s="353">
        <v>91179</v>
      </c>
      <c r="B1921" s="194" t="s">
        <v>1690</v>
      </c>
      <c r="C1921" s="339">
        <f t="shared" si="66"/>
        <v>50000</v>
      </c>
      <c r="D1921" s="196" t="s">
        <v>624</v>
      </c>
      <c r="E1921" s="187" t="s">
        <v>3608</v>
      </c>
      <c r="F1921" s="507">
        <f>SUMIFS(Controle!$R:$R,Controle!$H:$H,produtos_escape2!$A1921,Controle!$Z:$Z,"1")</f>
        <v>0</v>
      </c>
      <c r="G1921" s="507">
        <f>SUMIFS(Controle!$R:$R,Controle!$H:$H,produtos_escape2!$A1921,Controle!$Z:$Z,"2")</f>
        <v>0</v>
      </c>
      <c r="H1921" s="507">
        <f>SUMIFS(Controle!$R:$R,Controle!$H:$H,produtos_escape2!$A1921,Controle!$Z:$Z,"3")</f>
        <v>0</v>
      </c>
      <c r="I1921" s="507">
        <f>SUMIFS(Controle!$R:$R,Controle!$H:$H,produtos_escape2!$A1921,Controle!$Z:$Z,"4")</f>
        <v>0</v>
      </c>
      <c r="J1921" s="507">
        <f>SUMIFS(Controle!$R:$R,Controle!$H:$H,produtos_escape2!$A1921,Controle!$Z:$Z,"5")</f>
        <v>0</v>
      </c>
      <c r="K1921" s="507">
        <f>SUMIFS(Controle!$R:$R,Controle!$H:$H,produtos_escape2!$A1921,Controle!$Z:$Z,"6")</f>
        <v>0</v>
      </c>
      <c r="L1921" s="507">
        <f t="shared" si="67"/>
        <v>0</v>
      </c>
      <c r="M1921" s="381" t="s">
        <v>5478</v>
      </c>
    </row>
    <row r="1922" spans="1:13" s="185" customFormat="1" ht="14.25" customHeight="1" thickBot="1">
      <c r="A1922" s="353">
        <v>91180</v>
      </c>
      <c r="B1922" s="194" t="s">
        <v>1664</v>
      </c>
      <c r="C1922" s="339">
        <f t="shared" si="66"/>
        <v>49851.5</v>
      </c>
      <c r="D1922" s="196" t="s">
        <v>624</v>
      </c>
      <c r="E1922" s="187" t="s">
        <v>3608</v>
      </c>
      <c r="F1922" s="507">
        <f>SUMIFS(Controle!$R:$R,Controle!$H:$H,produtos_escape2!$A1922,Controle!$Z:$Z,"1")</f>
        <v>0</v>
      </c>
      <c r="G1922" s="507">
        <f>SUMIFS(Controle!$R:$R,Controle!$H:$H,produtos_escape2!$A1922,Controle!$Z:$Z,"2")</f>
        <v>0</v>
      </c>
      <c r="H1922" s="507">
        <f>SUMIFS(Controle!$R:$R,Controle!$H:$H,produtos_escape2!$A1922,Controle!$Z:$Z,"3")</f>
        <v>0</v>
      </c>
      <c r="I1922" s="507">
        <f>SUMIFS(Controle!$R:$R,Controle!$H:$H,produtos_escape2!$A1922,Controle!$Z:$Z,"4")</f>
        <v>0</v>
      </c>
      <c r="J1922" s="507">
        <f>SUMIFS(Controle!$R:$R,Controle!$H:$H,produtos_escape2!$A1922,Controle!$Z:$Z,"5")</f>
        <v>148.5</v>
      </c>
      <c r="K1922" s="507">
        <f>SUMIFS(Controle!$R:$R,Controle!$H:$H,produtos_escape2!$A1922,Controle!$Z:$Z,"6")</f>
        <v>0</v>
      </c>
      <c r="L1922" s="507">
        <f t="shared" si="67"/>
        <v>148.5</v>
      </c>
      <c r="M1922" s="381" t="s">
        <v>5479</v>
      </c>
    </row>
    <row r="1923" spans="1:13" s="185" customFormat="1" ht="14.25" customHeight="1" thickBot="1">
      <c r="A1923" s="333">
        <v>91182</v>
      </c>
      <c r="B1923" s="194" t="s">
        <v>2685</v>
      </c>
      <c r="C1923" s="339">
        <f t="shared" si="66"/>
        <v>50000</v>
      </c>
      <c r="D1923" s="196" t="s">
        <v>917</v>
      </c>
      <c r="E1923" s="187" t="s">
        <v>3608</v>
      </c>
      <c r="F1923" s="507">
        <f>SUMIFS(Controle!$R:$R,Controle!$H:$H,produtos_escape2!$A1923,Controle!$Z:$Z,"1")</f>
        <v>0</v>
      </c>
      <c r="G1923" s="507">
        <f>SUMIFS(Controle!$R:$R,Controle!$H:$H,produtos_escape2!$A1923,Controle!$Z:$Z,"2")</f>
        <v>0</v>
      </c>
      <c r="H1923" s="507">
        <f>SUMIFS(Controle!$R:$R,Controle!$H:$H,produtos_escape2!$A1923,Controle!$Z:$Z,"3")</f>
        <v>0</v>
      </c>
      <c r="I1923" s="507">
        <f>SUMIFS(Controle!$R:$R,Controle!$H:$H,produtos_escape2!$A1923,Controle!$Z:$Z,"4")</f>
        <v>0</v>
      </c>
      <c r="J1923" s="507">
        <f>SUMIFS(Controle!$R:$R,Controle!$H:$H,produtos_escape2!$A1923,Controle!$Z:$Z,"5")</f>
        <v>0</v>
      </c>
      <c r="K1923" s="507">
        <f>SUMIFS(Controle!$R:$R,Controle!$H:$H,produtos_escape2!$A1923,Controle!$Z:$Z,"6")</f>
        <v>0</v>
      </c>
      <c r="L1923" s="507">
        <f t="shared" si="67"/>
        <v>0</v>
      </c>
      <c r="M1923" s="381" t="s">
        <v>5480</v>
      </c>
    </row>
    <row r="1924" spans="1:13" s="185" customFormat="1" ht="14.25" customHeight="1" thickBot="1">
      <c r="A1924" s="353">
        <v>91183</v>
      </c>
      <c r="B1924" s="194" t="s">
        <v>2686</v>
      </c>
      <c r="C1924" s="339">
        <f t="shared" si="66"/>
        <v>50000</v>
      </c>
      <c r="D1924" s="196" t="s">
        <v>896</v>
      </c>
      <c r="E1924" s="187"/>
      <c r="F1924" s="507">
        <f>SUMIFS(Controle!$R:$R,Controle!$H:$H,produtos_escape2!$A1924,Controle!$Z:$Z,"1")</f>
        <v>0</v>
      </c>
      <c r="G1924" s="507">
        <f>SUMIFS(Controle!$R:$R,Controle!$H:$H,produtos_escape2!$A1924,Controle!$Z:$Z,"2")</f>
        <v>0</v>
      </c>
      <c r="H1924" s="507">
        <f>SUMIFS(Controle!$R:$R,Controle!$H:$H,produtos_escape2!$A1924,Controle!$Z:$Z,"3")</f>
        <v>0</v>
      </c>
      <c r="I1924" s="507">
        <f>SUMIFS(Controle!$R:$R,Controle!$H:$H,produtos_escape2!$A1924,Controle!$Z:$Z,"4")</f>
        <v>0</v>
      </c>
      <c r="J1924" s="507">
        <f>SUMIFS(Controle!$R:$R,Controle!$H:$H,produtos_escape2!$A1924,Controle!$Z:$Z,"5")</f>
        <v>0</v>
      </c>
      <c r="K1924" s="507">
        <f>SUMIFS(Controle!$R:$R,Controle!$H:$H,produtos_escape2!$A1924,Controle!$Z:$Z,"6")</f>
        <v>0</v>
      </c>
      <c r="L1924" s="507">
        <f t="shared" si="67"/>
        <v>0</v>
      </c>
      <c r="M1924" s="381" t="s">
        <v>5481</v>
      </c>
    </row>
    <row r="1925" spans="1:13" s="185" customFormat="1" ht="14.25" customHeight="1" thickBot="1">
      <c r="A1925" s="353">
        <v>91191</v>
      </c>
      <c r="B1925" s="194" t="s">
        <v>810</v>
      </c>
      <c r="C1925" s="339">
        <f t="shared" si="66"/>
        <v>50000</v>
      </c>
      <c r="D1925" s="196" t="s">
        <v>624</v>
      </c>
      <c r="E1925" s="187" t="s">
        <v>3608</v>
      </c>
      <c r="F1925" s="507">
        <f>SUMIFS(Controle!$R:$R,Controle!$H:$H,produtos_escape2!$A1925,Controle!$Z:$Z,"1")</f>
        <v>0</v>
      </c>
      <c r="G1925" s="507">
        <f>SUMIFS(Controle!$R:$R,Controle!$H:$H,produtos_escape2!$A1925,Controle!$Z:$Z,"2")</f>
        <v>0</v>
      </c>
      <c r="H1925" s="507">
        <f>SUMIFS(Controle!$R:$R,Controle!$H:$H,produtos_escape2!$A1925,Controle!$Z:$Z,"3")</f>
        <v>0</v>
      </c>
      <c r="I1925" s="507">
        <f>SUMIFS(Controle!$R:$R,Controle!$H:$H,produtos_escape2!$A1925,Controle!$Z:$Z,"4")</f>
        <v>0</v>
      </c>
      <c r="J1925" s="507">
        <f>SUMIFS(Controle!$R:$R,Controle!$H:$H,produtos_escape2!$A1925,Controle!$Z:$Z,"5")</f>
        <v>0</v>
      </c>
      <c r="K1925" s="507">
        <f>SUMIFS(Controle!$R:$R,Controle!$H:$H,produtos_escape2!$A1925,Controle!$Z:$Z,"6")</f>
        <v>0</v>
      </c>
      <c r="L1925" s="507">
        <f t="shared" si="67"/>
        <v>0</v>
      </c>
      <c r="M1925" s="381" t="s">
        <v>5482</v>
      </c>
    </row>
    <row r="1926" spans="1:13" s="185" customFormat="1" ht="14.25" customHeight="1" thickBot="1">
      <c r="A1926" s="353">
        <v>91197</v>
      </c>
      <c r="B1926" s="338" t="s">
        <v>489</v>
      </c>
      <c r="C1926" s="339">
        <f t="shared" si="66"/>
        <v>50000</v>
      </c>
      <c r="D1926" s="196" t="s">
        <v>837</v>
      </c>
      <c r="E1926" s="187" t="s">
        <v>3608</v>
      </c>
      <c r="F1926" s="507">
        <f>SUMIFS(Controle!$R:$R,Controle!$H:$H,produtos_escape2!$A1926,Controle!$Z:$Z,"1")</f>
        <v>0</v>
      </c>
      <c r="G1926" s="507">
        <f>SUMIFS(Controle!$R:$R,Controle!$H:$H,produtos_escape2!$A1926,Controle!$Z:$Z,"2")</f>
        <v>0</v>
      </c>
      <c r="H1926" s="507">
        <f>SUMIFS(Controle!$R:$R,Controle!$H:$H,produtos_escape2!$A1926,Controle!$Z:$Z,"3")</f>
        <v>0</v>
      </c>
      <c r="I1926" s="507">
        <f>SUMIFS(Controle!$R:$R,Controle!$H:$H,produtos_escape2!$A1926,Controle!$Z:$Z,"4")</f>
        <v>0</v>
      </c>
      <c r="J1926" s="507">
        <f>SUMIFS(Controle!$R:$R,Controle!$H:$H,produtos_escape2!$A1926,Controle!$Z:$Z,"5")</f>
        <v>0</v>
      </c>
      <c r="K1926" s="507">
        <f>SUMIFS(Controle!$R:$R,Controle!$H:$H,produtos_escape2!$A1926,Controle!$Z:$Z,"6")</f>
        <v>0</v>
      </c>
      <c r="L1926" s="507">
        <f t="shared" si="67"/>
        <v>0</v>
      </c>
      <c r="M1926" s="381" t="s">
        <v>5483</v>
      </c>
    </row>
    <row r="1927" spans="1:13" s="185" customFormat="1" ht="14.25" customHeight="1" thickBot="1">
      <c r="A1927" s="353">
        <v>91198</v>
      </c>
      <c r="B1927" s="194" t="s">
        <v>488</v>
      </c>
      <c r="C1927" s="339">
        <f t="shared" si="66"/>
        <v>50000</v>
      </c>
      <c r="D1927" s="196" t="s">
        <v>837</v>
      </c>
      <c r="E1927" s="187" t="s">
        <v>3608</v>
      </c>
      <c r="F1927" s="507">
        <f>SUMIFS(Controle!$R:$R,Controle!$H:$H,produtos_escape2!$A1927,Controle!$Z:$Z,"1")</f>
        <v>0</v>
      </c>
      <c r="G1927" s="507">
        <f>SUMIFS(Controle!$R:$R,Controle!$H:$H,produtos_escape2!$A1927,Controle!$Z:$Z,"2")</f>
        <v>0</v>
      </c>
      <c r="H1927" s="507">
        <f>SUMIFS(Controle!$R:$R,Controle!$H:$H,produtos_escape2!$A1927,Controle!$Z:$Z,"3")</f>
        <v>0</v>
      </c>
      <c r="I1927" s="507">
        <f>SUMIFS(Controle!$R:$R,Controle!$H:$H,produtos_escape2!$A1927,Controle!$Z:$Z,"4")</f>
        <v>0</v>
      </c>
      <c r="J1927" s="507">
        <f>SUMIFS(Controle!$R:$R,Controle!$H:$H,produtos_escape2!$A1927,Controle!$Z:$Z,"5")</f>
        <v>0</v>
      </c>
      <c r="K1927" s="507">
        <f>SUMIFS(Controle!$R:$R,Controle!$H:$H,produtos_escape2!$A1927,Controle!$Z:$Z,"6")</f>
        <v>0</v>
      </c>
      <c r="L1927" s="507">
        <f t="shared" si="67"/>
        <v>0</v>
      </c>
      <c r="M1927" s="381" t="s">
        <v>5484</v>
      </c>
    </row>
    <row r="1928" spans="1:13" s="185" customFormat="1" ht="14.25" customHeight="1" thickBot="1">
      <c r="A1928" s="353">
        <v>91204</v>
      </c>
      <c r="B1928" s="194" t="s">
        <v>1637</v>
      </c>
      <c r="C1928" s="339">
        <f t="shared" si="66"/>
        <v>46600</v>
      </c>
      <c r="D1928" s="196" t="s">
        <v>624</v>
      </c>
      <c r="E1928" s="187" t="s">
        <v>3608</v>
      </c>
      <c r="F1928" s="507">
        <f>SUMIFS(Controle!$R:$R,Controle!$H:$H,produtos_escape2!$A1928,Controle!$Z:$Z,"1")</f>
        <v>0</v>
      </c>
      <c r="G1928" s="507">
        <f>SUMIFS(Controle!$R:$R,Controle!$H:$H,produtos_escape2!$A1928,Controle!$Z:$Z,"2")</f>
        <v>0</v>
      </c>
      <c r="H1928" s="507">
        <f>SUMIFS(Controle!$R:$R,Controle!$H:$H,produtos_escape2!$A1928,Controle!$Z:$Z,"3")</f>
        <v>0</v>
      </c>
      <c r="I1928" s="507">
        <f>SUMIFS(Controle!$R:$R,Controle!$H:$H,produtos_escape2!$A1928,Controle!$Z:$Z,"4")</f>
        <v>3400</v>
      </c>
      <c r="J1928" s="507">
        <f>SUMIFS(Controle!$R:$R,Controle!$H:$H,produtos_escape2!$A1928,Controle!$Z:$Z,"5")</f>
        <v>0</v>
      </c>
      <c r="K1928" s="507">
        <f>SUMIFS(Controle!$R:$R,Controle!$H:$H,produtos_escape2!$A1928,Controle!$Z:$Z,"6")</f>
        <v>0</v>
      </c>
      <c r="L1928" s="507">
        <f t="shared" si="67"/>
        <v>3400</v>
      </c>
      <c r="M1928" s="381" t="s">
        <v>5485</v>
      </c>
    </row>
    <row r="1929" spans="1:13" s="185" customFormat="1" ht="94.5" customHeight="1" thickBot="1">
      <c r="A1929" s="353">
        <v>91205</v>
      </c>
      <c r="B1929" s="194" t="s">
        <v>1257</v>
      </c>
      <c r="C1929" s="339">
        <f t="shared" ref="C1929:C1992" si="68">50000-SUM(F1929:K1929)</f>
        <v>50000</v>
      </c>
      <c r="D1929" s="196" t="s">
        <v>624</v>
      </c>
      <c r="E1929" s="187" t="s">
        <v>3608</v>
      </c>
      <c r="F1929" s="507">
        <f>SUMIFS(Controle!$R:$R,Controle!$H:$H,produtos_escape2!$A1929,Controle!$Z:$Z,"1")</f>
        <v>0</v>
      </c>
      <c r="G1929" s="507">
        <f>SUMIFS(Controle!$R:$R,Controle!$H:$H,produtos_escape2!$A1929,Controle!$Z:$Z,"2")</f>
        <v>0</v>
      </c>
      <c r="H1929" s="507">
        <f>SUMIFS(Controle!$R:$R,Controle!$H:$H,produtos_escape2!$A1929,Controle!$Z:$Z,"3")</f>
        <v>0</v>
      </c>
      <c r="I1929" s="507">
        <f>SUMIFS(Controle!$R:$R,Controle!$H:$H,produtos_escape2!$A1929,Controle!$Z:$Z,"4")</f>
        <v>0</v>
      </c>
      <c r="J1929" s="507">
        <f>SUMIFS(Controle!$R:$R,Controle!$H:$H,produtos_escape2!$A1929,Controle!$Z:$Z,"5")</f>
        <v>0</v>
      </c>
      <c r="K1929" s="507">
        <f>SUMIFS(Controle!$R:$R,Controle!$H:$H,produtos_escape2!$A1929,Controle!$Z:$Z,"6")</f>
        <v>0</v>
      </c>
      <c r="L1929" s="507">
        <f t="shared" si="67"/>
        <v>0</v>
      </c>
      <c r="M1929" s="381" t="s">
        <v>5701</v>
      </c>
    </row>
    <row r="1930" spans="1:13" s="185" customFormat="1" ht="14.25" customHeight="1" thickBot="1">
      <c r="A1930" s="353">
        <v>91206</v>
      </c>
      <c r="B1930" s="194" t="s">
        <v>3621</v>
      </c>
      <c r="C1930" s="339">
        <f t="shared" si="68"/>
        <v>50000</v>
      </c>
      <c r="D1930" s="196" t="s">
        <v>624</v>
      </c>
      <c r="E1930" s="187" t="s">
        <v>3608</v>
      </c>
      <c r="F1930" s="507">
        <f>SUMIFS(Controle!$R:$R,Controle!$H:$H,produtos_escape2!$A1930,Controle!$Z:$Z,"1")</f>
        <v>0</v>
      </c>
      <c r="G1930" s="507">
        <f>SUMIFS(Controle!$R:$R,Controle!$H:$H,produtos_escape2!$A1930,Controle!$Z:$Z,"2")</f>
        <v>0</v>
      </c>
      <c r="H1930" s="507">
        <f>SUMIFS(Controle!$R:$R,Controle!$H:$H,produtos_escape2!$A1930,Controle!$Z:$Z,"3")</f>
        <v>0</v>
      </c>
      <c r="I1930" s="507">
        <f>SUMIFS(Controle!$R:$R,Controle!$H:$H,produtos_escape2!$A1930,Controle!$Z:$Z,"4")</f>
        <v>0</v>
      </c>
      <c r="J1930" s="507">
        <f>SUMIFS(Controle!$R:$R,Controle!$H:$H,produtos_escape2!$A1930,Controle!$Z:$Z,"5")</f>
        <v>0</v>
      </c>
      <c r="K1930" s="507">
        <f>SUMIFS(Controle!$R:$R,Controle!$H:$H,produtos_escape2!$A1930,Controle!$Z:$Z,"6")</f>
        <v>0</v>
      </c>
      <c r="L1930" s="507">
        <f t="shared" si="67"/>
        <v>0</v>
      </c>
      <c r="M1930" s="381" t="s">
        <v>5486</v>
      </c>
    </row>
    <row r="1931" spans="1:13" s="185" customFormat="1" ht="14.25" customHeight="1" thickBot="1">
      <c r="A1931" s="333">
        <v>91207</v>
      </c>
      <c r="B1931" s="194" t="s">
        <v>2830</v>
      </c>
      <c r="C1931" s="339">
        <f t="shared" si="68"/>
        <v>10580</v>
      </c>
      <c r="D1931" s="196" t="s">
        <v>624</v>
      </c>
      <c r="E1931" s="187" t="s">
        <v>3608</v>
      </c>
      <c r="F1931" s="507">
        <f>SUMIFS(Controle!$R:$R,Controle!$H:$H,produtos_escape2!$A1931,Controle!$Z:$Z,"1")</f>
        <v>0</v>
      </c>
      <c r="G1931" s="507">
        <f>SUMIFS(Controle!$R:$R,Controle!$H:$H,produtos_escape2!$A1931,Controle!$Z:$Z,"2")</f>
        <v>0</v>
      </c>
      <c r="H1931" s="507">
        <f>SUMIFS(Controle!$R:$R,Controle!$H:$H,produtos_escape2!$A1931,Controle!$Z:$Z,"3")</f>
        <v>29520</v>
      </c>
      <c r="I1931" s="507">
        <f>SUMIFS(Controle!$R:$R,Controle!$H:$H,produtos_escape2!$A1931,Controle!$Z:$Z,"4")</f>
        <v>0</v>
      </c>
      <c r="J1931" s="507">
        <f>SUMIFS(Controle!$R:$R,Controle!$H:$H,produtos_escape2!$A1931,Controle!$Z:$Z,"5")</f>
        <v>0</v>
      </c>
      <c r="K1931" s="507">
        <f>SUMIFS(Controle!$R:$R,Controle!$H:$H,produtos_escape2!$A1931,Controle!$Z:$Z,"6")</f>
        <v>9900</v>
      </c>
      <c r="L1931" s="507">
        <f t="shared" si="67"/>
        <v>39420</v>
      </c>
      <c r="M1931" s="381" t="s">
        <v>5487</v>
      </c>
    </row>
    <row r="1932" spans="1:13" s="185" customFormat="1" ht="14.25" customHeight="1" thickBot="1">
      <c r="A1932" s="353">
        <v>91220</v>
      </c>
      <c r="B1932" s="194" t="s">
        <v>484</v>
      </c>
      <c r="C1932" s="339">
        <f t="shared" si="68"/>
        <v>50000</v>
      </c>
      <c r="D1932" s="196" t="s">
        <v>653</v>
      </c>
      <c r="E1932" s="187" t="s">
        <v>3608</v>
      </c>
      <c r="F1932" s="507">
        <f>SUMIFS(Controle!$R:$R,Controle!$H:$H,produtos_escape2!$A1932,Controle!$Z:$Z,"1")</f>
        <v>0</v>
      </c>
      <c r="G1932" s="507">
        <f>SUMIFS(Controle!$R:$R,Controle!$H:$H,produtos_escape2!$A1932,Controle!$Z:$Z,"2")</f>
        <v>0</v>
      </c>
      <c r="H1932" s="507">
        <f>SUMIFS(Controle!$R:$R,Controle!$H:$H,produtos_escape2!$A1932,Controle!$Z:$Z,"3")</f>
        <v>0</v>
      </c>
      <c r="I1932" s="507">
        <f>SUMIFS(Controle!$R:$R,Controle!$H:$H,produtos_escape2!$A1932,Controle!$Z:$Z,"4")</f>
        <v>0</v>
      </c>
      <c r="J1932" s="507">
        <f>SUMIFS(Controle!$R:$R,Controle!$H:$H,produtos_escape2!$A1932,Controle!$Z:$Z,"5")</f>
        <v>0</v>
      </c>
      <c r="K1932" s="507">
        <f>SUMIFS(Controle!$R:$R,Controle!$H:$H,produtos_escape2!$A1932,Controle!$Z:$Z,"6")</f>
        <v>0</v>
      </c>
      <c r="L1932" s="507">
        <f t="shared" si="67"/>
        <v>0</v>
      </c>
      <c r="M1932" s="381" t="s">
        <v>5488</v>
      </c>
    </row>
    <row r="1933" spans="1:13" s="185" customFormat="1" ht="14.25" customHeight="1" thickBot="1">
      <c r="A1933" s="353">
        <v>91572</v>
      </c>
      <c r="B1933" s="194" t="s">
        <v>3918</v>
      </c>
      <c r="C1933" s="339">
        <f t="shared" si="68"/>
        <v>50000</v>
      </c>
      <c r="D1933" s="196" t="s">
        <v>624</v>
      </c>
      <c r="E1933" s="187" t="s">
        <v>3608</v>
      </c>
      <c r="F1933" s="507">
        <f>SUMIFS(Controle!$R:$R,Controle!$H:$H,produtos_escape2!$A1933,Controle!$Z:$Z,"1")</f>
        <v>0</v>
      </c>
      <c r="G1933" s="507">
        <f>SUMIFS(Controle!$R:$R,Controle!$H:$H,produtos_escape2!$A1933,Controle!$Z:$Z,"2")</f>
        <v>0</v>
      </c>
      <c r="H1933" s="507">
        <f>SUMIFS(Controle!$R:$R,Controle!$H:$H,produtos_escape2!$A1933,Controle!$Z:$Z,"3")</f>
        <v>0</v>
      </c>
      <c r="I1933" s="507">
        <f>SUMIFS(Controle!$R:$R,Controle!$H:$H,produtos_escape2!$A1933,Controle!$Z:$Z,"4")</f>
        <v>0</v>
      </c>
      <c r="J1933" s="507">
        <f>SUMIFS(Controle!$R:$R,Controle!$H:$H,produtos_escape2!$A1933,Controle!$Z:$Z,"5")</f>
        <v>0</v>
      </c>
      <c r="K1933" s="507">
        <f>SUMIFS(Controle!$R:$R,Controle!$H:$H,produtos_escape2!$A1933,Controle!$Z:$Z,"6")</f>
        <v>0</v>
      </c>
      <c r="L1933" s="507">
        <f t="shared" si="67"/>
        <v>0</v>
      </c>
      <c r="M1933" s="381" t="s">
        <v>5489</v>
      </c>
    </row>
    <row r="1934" spans="1:13" s="185" customFormat="1" ht="14.25" customHeight="1" thickBot="1">
      <c r="A1934" s="353">
        <v>91574</v>
      </c>
      <c r="B1934" s="338" t="s">
        <v>1396</v>
      </c>
      <c r="C1934" s="339">
        <f t="shared" si="68"/>
        <v>50000</v>
      </c>
      <c r="D1934" s="196" t="s">
        <v>624</v>
      </c>
      <c r="E1934" s="187" t="s">
        <v>3608</v>
      </c>
      <c r="F1934" s="507">
        <f>SUMIFS(Controle!$R:$R,Controle!$H:$H,produtos_escape2!$A1934,Controle!$Z:$Z,"1")</f>
        <v>0</v>
      </c>
      <c r="G1934" s="507">
        <f>SUMIFS(Controle!$R:$R,Controle!$H:$H,produtos_escape2!$A1934,Controle!$Z:$Z,"2")</f>
        <v>0</v>
      </c>
      <c r="H1934" s="507">
        <f>SUMIFS(Controle!$R:$R,Controle!$H:$H,produtos_escape2!$A1934,Controle!$Z:$Z,"3")</f>
        <v>0</v>
      </c>
      <c r="I1934" s="507">
        <f>SUMIFS(Controle!$R:$R,Controle!$H:$H,produtos_escape2!$A1934,Controle!$Z:$Z,"4")</f>
        <v>0</v>
      </c>
      <c r="J1934" s="507">
        <f>SUMIFS(Controle!$R:$R,Controle!$H:$H,produtos_escape2!$A1934,Controle!$Z:$Z,"5")</f>
        <v>0</v>
      </c>
      <c r="K1934" s="507">
        <f>SUMIFS(Controle!$R:$R,Controle!$H:$H,produtos_escape2!$A1934,Controle!$Z:$Z,"6")</f>
        <v>0</v>
      </c>
      <c r="L1934" s="507">
        <f t="shared" si="67"/>
        <v>0</v>
      </c>
      <c r="M1934" s="381" t="s">
        <v>5490</v>
      </c>
    </row>
    <row r="1935" spans="1:13" s="185" customFormat="1" ht="14.25" customHeight="1" thickBot="1">
      <c r="A1935" s="353">
        <v>92018</v>
      </c>
      <c r="B1935" s="194" t="s">
        <v>4153</v>
      </c>
      <c r="C1935" s="339">
        <f t="shared" si="68"/>
        <v>50000</v>
      </c>
      <c r="D1935" s="191" t="s">
        <v>624</v>
      </c>
      <c r="E1935" s="189" t="s">
        <v>3608</v>
      </c>
      <c r="F1935" s="507">
        <f>SUMIFS(Controle!$R:$R,Controle!$H:$H,produtos_escape2!$A1935,Controle!$Z:$Z,"1")</f>
        <v>0</v>
      </c>
      <c r="G1935" s="507">
        <f>SUMIFS(Controle!$R:$R,Controle!$H:$H,produtos_escape2!$A1935,Controle!$Z:$Z,"2")</f>
        <v>0</v>
      </c>
      <c r="H1935" s="507">
        <f>SUMIFS(Controle!$R:$R,Controle!$H:$H,produtos_escape2!$A1935,Controle!$Z:$Z,"3")</f>
        <v>0</v>
      </c>
      <c r="I1935" s="507">
        <f>SUMIFS(Controle!$R:$R,Controle!$H:$H,produtos_escape2!$A1935,Controle!$Z:$Z,"4")</f>
        <v>0</v>
      </c>
      <c r="J1935" s="507">
        <f>SUMIFS(Controle!$R:$R,Controle!$H:$H,produtos_escape2!$A1935,Controle!$Z:$Z,"5")</f>
        <v>0</v>
      </c>
      <c r="K1935" s="507">
        <f>SUMIFS(Controle!$R:$R,Controle!$H:$H,produtos_escape2!$A1935,Controle!$Z:$Z,"6")</f>
        <v>0</v>
      </c>
      <c r="L1935" s="507">
        <f t="shared" si="67"/>
        <v>0</v>
      </c>
      <c r="M1935" s="381" t="s">
        <v>5491</v>
      </c>
    </row>
    <row r="1936" spans="1:13" s="185" customFormat="1" ht="14.25" customHeight="1" thickBot="1">
      <c r="A1936" s="353">
        <v>92029</v>
      </c>
      <c r="B1936" s="194" t="s">
        <v>1716</v>
      </c>
      <c r="C1936" s="339">
        <f t="shared" si="68"/>
        <v>50000</v>
      </c>
      <c r="D1936" s="191" t="s">
        <v>624</v>
      </c>
      <c r="E1936" s="189" t="s">
        <v>3608</v>
      </c>
      <c r="F1936" s="507">
        <f>SUMIFS(Controle!$R:$R,Controle!$H:$H,produtos_escape2!$A1936,Controle!$Z:$Z,"1")</f>
        <v>0</v>
      </c>
      <c r="G1936" s="507">
        <f>SUMIFS(Controle!$R:$R,Controle!$H:$H,produtos_escape2!$A1936,Controle!$Z:$Z,"2")</f>
        <v>0</v>
      </c>
      <c r="H1936" s="507">
        <f>SUMIFS(Controle!$R:$R,Controle!$H:$H,produtos_escape2!$A1936,Controle!$Z:$Z,"3")</f>
        <v>0</v>
      </c>
      <c r="I1936" s="507">
        <f>SUMIFS(Controle!$R:$R,Controle!$H:$H,produtos_escape2!$A1936,Controle!$Z:$Z,"4")</f>
        <v>0</v>
      </c>
      <c r="J1936" s="507">
        <f>SUMIFS(Controle!$R:$R,Controle!$H:$H,produtos_escape2!$A1936,Controle!$Z:$Z,"5")</f>
        <v>0</v>
      </c>
      <c r="K1936" s="507">
        <f>SUMIFS(Controle!$R:$R,Controle!$H:$H,produtos_escape2!$A1936,Controle!$Z:$Z,"6")</f>
        <v>0</v>
      </c>
      <c r="L1936" s="507">
        <f t="shared" si="67"/>
        <v>0</v>
      </c>
      <c r="M1936" s="381" t="s">
        <v>5492</v>
      </c>
    </row>
    <row r="1937" spans="1:13" s="185" customFormat="1" ht="14.25" customHeight="1" thickBot="1">
      <c r="A1937" s="353">
        <v>92033</v>
      </c>
      <c r="B1937" s="194" t="s">
        <v>1624</v>
      </c>
      <c r="C1937" s="339">
        <f t="shared" si="68"/>
        <v>49284</v>
      </c>
      <c r="D1937" s="196" t="s">
        <v>624</v>
      </c>
      <c r="E1937" s="187" t="s">
        <v>3608</v>
      </c>
      <c r="F1937" s="507">
        <f>SUMIFS(Controle!$R:$R,Controle!$H:$H,produtos_escape2!$A1937,Controle!$Z:$Z,"1")</f>
        <v>0</v>
      </c>
      <c r="G1937" s="507">
        <f>SUMIFS(Controle!$R:$R,Controle!$H:$H,produtos_escape2!$A1937,Controle!$Z:$Z,"2")</f>
        <v>0</v>
      </c>
      <c r="H1937" s="507">
        <f>SUMIFS(Controle!$R:$R,Controle!$H:$H,produtos_escape2!$A1937,Controle!$Z:$Z,"3")</f>
        <v>490.00000000000006</v>
      </c>
      <c r="I1937" s="507">
        <f>SUMIFS(Controle!$R:$R,Controle!$H:$H,produtos_escape2!$A1937,Controle!$Z:$Z,"4")</f>
        <v>0</v>
      </c>
      <c r="J1937" s="507">
        <f>SUMIFS(Controle!$R:$R,Controle!$H:$H,produtos_escape2!$A1937,Controle!$Z:$Z,"5")</f>
        <v>0</v>
      </c>
      <c r="K1937" s="507">
        <f>SUMIFS(Controle!$R:$R,Controle!$H:$H,produtos_escape2!$A1937,Controle!$Z:$Z,"6")</f>
        <v>225.99999999999997</v>
      </c>
      <c r="L1937" s="507">
        <f t="shared" si="67"/>
        <v>716</v>
      </c>
      <c r="M1937" s="381" t="s">
        <v>5492</v>
      </c>
    </row>
    <row r="1938" spans="1:13" s="185" customFormat="1" ht="14.25" customHeight="1" thickBot="1">
      <c r="A1938" s="353">
        <v>92034</v>
      </c>
      <c r="B1938" s="194" t="s">
        <v>1623</v>
      </c>
      <c r="C1938" s="339">
        <f t="shared" si="68"/>
        <v>48912</v>
      </c>
      <c r="D1938" s="196" t="s">
        <v>624</v>
      </c>
      <c r="E1938" s="187" t="s">
        <v>3608</v>
      </c>
      <c r="F1938" s="507">
        <f>SUMIFS(Controle!$R:$R,Controle!$H:$H,produtos_escape2!$A1938,Controle!$Z:$Z,"1")</f>
        <v>0</v>
      </c>
      <c r="G1938" s="507">
        <f>SUMIFS(Controle!$R:$R,Controle!$H:$H,produtos_escape2!$A1938,Controle!$Z:$Z,"2")</f>
        <v>0</v>
      </c>
      <c r="H1938" s="507">
        <f>SUMIFS(Controle!$R:$R,Controle!$H:$H,produtos_escape2!$A1938,Controle!$Z:$Z,"3")</f>
        <v>440.00000000000006</v>
      </c>
      <c r="I1938" s="507">
        <f>SUMIFS(Controle!$R:$R,Controle!$H:$H,produtos_escape2!$A1938,Controle!$Z:$Z,"4")</f>
        <v>0</v>
      </c>
      <c r="J1938" s="507">
        <f>SUMIFS(Controle!$R:$R,Controle!$H:$H,produtos_escape2!$A1938,Controle!$Z:$Z,"5")</f>
        <v>0</v>
      </c>
      <c r="K1938" s="507">
        <f>SUMIFS(Controle!$R:$R,Controle!$H:$H,produtos_escape2!$A1938,Controle!$Z:$Z,"6")</f>
        <v>648</v>
      </c>
      <c r="L1938" s="507">
        <f t="shared" si="67"/>
        <v>1088</v>
      </c>
      <c r="M1938" s="381" t="s">
        <v>5492</v>
      </c>
    </row>
    <row r="1939" spans="1:13" s="185" customFormat="1" ht="14.25" customHeight="1" thickBot="1">
      <c r="A1939" s="333">
        <v>92035</v>
      </c>
      <c r="B1939" s="194" t="s">
        <v>1622</v>
      </c>
      <c r="C1939" s="339">
        <f t="shared" si="68"/>
        <v>47649.5</v>
      </c>
      <c r="D1939" s="196" t="s">
        <v>624</v>
      </c>
      <c r="E1939" s="187" t="s">
        <v>3608</v>
      </c>
      <c r="F1939" s="507">
        <f>SUMIFS(Controle!$R:$R,Controle!$H:$H,produtos_escape2!$A1939,Controle!$Z:$Z,"1")</f>
        <v>0</v>
      </c>
      <c r="G1939" s="507">
        <f>SUMIFS(Controle!$R:$R,Controle!$H:$H,produtos_escape2!$A1939,Controle!$Z:$Z,"2")</f>
        <v>350</v>
      </c>
      <c r="H1939" s="507">
        <f>SUMIFS(Controle!$R:$R,Controle!$H:$H,produtos_escape2!$A1939,Controle!$Z:$Z,"3")</f>
        <v>1349</v>
      </c>
      <c r="I1939" s="507">
        <f>SUMIFS(Controle!$R:$R,Controle!$H:$H,produtos_escape2!$A1939,Controle!$Z:$Z,"4")</f>
        <v>0</v>
      </c>
      <c r="J1939" s="507">
        <f>SUMIFS(Controle!$R:$R,Controle!$H:$H,produtos_escape2!$A1939,Controle!$Z:$Z,"5")</f>
        <v>0</v>
      </c>
      <c r="K1939" s="507">
        <f>SUMIFS(Controle!$R:$R,Controle!$H:$H,produtos_escape2!$A1939,Controle!$Z:$Z,"6")</f>
        <v>651.5</v>
      </c>
      <c r="L1939" s="507">
        <f t="shared" si="67"/>
        <v>2350.5</v>
      </c>
      <c r="M1939" s="381" t="s">
        <v>5492</v>
      </c>
    </row>
    <row r="1940" spans="1:13" s="185" customFormat="1" ht="14.25" customHeight="1" thickBot="1">
      <c r="A1940" s="333">
        <v>92037</v>
      </c>
      <c r="B1940" s="194" t="s">
        <v>7741</v>
      </c>
      <c r="C1940" s="339">
        <f t="shared" si="68"/>
        <v>49825</v>
      </c>
      <c r="D1940" s="196" t="s">
        <v>624</v>
      </c>
      <c r="E1940" s="187" t="s">
        <v>3608</v>
      </c>
      <c r="F1940" s="507">
        <f>SUMIFS(Controle!$R:$R,Controle!$H:$H,produtos_escape2!$A1940,Controle!$Z:$Z,"1")</f>
        <v>0</v>
      </c>
      <c r="G1940" s="507">
        <f>SUMIFS(Controle!$R:$R,Controle!$H:$H,produtos_escape2!$A1940,Controle!$Z:$Z,"2")</f>
        <v>175</v>
      </c>
      <c r="H1940" s="507">
        <f>SUMIFS(Controle!$R:$R,Controle!$H:$H,produtos_escape2!$A1940,Controle!$Z:$Z,"3")</f>
        <v>0</v>
      </c>
      <c r="I1940" s="507">
        <f>SUMIFS(Controle!$R:$R,Controle!$H:$H,produtos_escape2!$A1940,Controle!$Z:$Z,"4")</f>
        <v>0</v>
      </c>
      <c r="J1940" s="507">
        <f>SUMIFS(Controle!$R:$R,Controle!$H:$H,produtos_escape2!$A1940,Controle!$Z:$Z,"5")</f>
        <v>0</v>
      </c>
      <c r="K1940" s="507">
        <f>SUMIFS(Controle!$R:$R,Controle!$H:$H,produtos_escape2!$A1940,Controle!$Z:$Z,"6")</f>
        <v>0</v>
      </c>
      <c r="L1940" s="507">
        <f t="shared" si="67"/>
        <v>175</v>
      </c>
      <c r="M1940" s="381" t="s">
        <v>5492</v>
      </c>
    </row>
    <row r="1941" spans="1:13" s="185" customFormat="1" ht="14.25" customHeight="1" thickBot="1">
      <c r="A1941" s="353">
        <v>92046</v>
      </c>
      <c r="B1941" s="194" t="s">
        <v>2553</v>
      </c>
      <c r="C1941" s="339">
        <f t="shared" si="68"/>
        <v>50000</v>
      </c>
      <c r="D1941" s="191" t="s">
        <v>624</v>
      </c>
      <c r="E1941" s="189" t="s">
        <v>3608</v>
      </c>
      <c r="F1941" s="507">
        <f>SUMIFS(Controle!$R:$R,Controle!$H:$H,produtos_escape2!$A1941,Controle!$Z:$Z,"1")</f>
        <v>0</v>
      </c>
      <c r="G1941" s="507">
        <f>SUMIFS(Controle!$R:$R,Controle!$H:$H,produtos_escape2!$A1941,Controle!$Z:$Z,"2")</f>
        <v>0</v>
      </c>
      <c r="H1941" s="507">
        <f>SUMIFS(Controle!$R:$R,Controle!$H:$H,produtos_escape2!$A1941,Controle!$Z:$Z,"3")</f>
        <v>0</v>
      </c>
      <c r="I1941" s="507">
        <f>SUMIFS(Controle!$R:$R,Controle!$H:$H,produtos_escape2!$A1941,Controle!$Z:$Z,"4")</f>
        <v>0</v>
      </c>
      <c r="J1941" s="507">
        <f>SUMIFS(Controle!$R:$R,Controle!$H:$H,produtos_escape2!$A1941,Controle!$Z:$Z,"5")</f>
        <v>0</v>
      </c>
      <c r="K1941" s="507">
        <f>SUMIFS(Controle!$R:$R,Controle!$H:$H,produtos_escape2!$A1941,Controle!$Z:$Z,"6")</f>
        <v>0</v>
      </c>
      <c r="L1941" s="507">
        <f t="shared" si="67"/>
        <v>0</v>
      </c>
      <c r="M1941" s="381" t="s">
        <v>5493</v>
      </c>
    </row>
    <row r="1942" spans="1:13" s="185" customFormat="1" ht="14.25" customHeight="1" thickBot="1">
      <c r="A1942" s="353">
        <v>92055</v>
      </c>
      <c r="B1942" s="194" t="s">
        <v>598</v>
      </c>
      <c r="C1942" s="339">
        <f t="shared" si="68"/>
        <v>50000</v>
      </c>
      <c r="D1942" s="191" t="s">
        <v>624</v>
      </c>
      <c r="E1942" s="189" t="s">
        <v>3608</v>
      </c>
      <c r="F1942" s="507">
        <f>SUMIFS(Controle!$R:$R,Controle!$H:$H,produtos_escape2!$A1942,Controle!$Z:$Z,"1")</f>
        <v>0</v>
      </c>
      <c r="G1942" s="507">
        <f>SUMIFS(Controle!$R:$R,Controle!$H:$H,produtos_escape2!$A1942,Controle!$Z:$Z,"2")</f>
        <v>0</v>
      </c>
      <c r="H1942" s="507">
        <f>SUMIFS(Controle!$R:$R,Controle!$H:$H,produtos_escape2!$A1942,Controle!$Z:$Z,"3")</f>
        <v>0</v>
      </c>
      <c r="I1942" s="507">
        <f>SUMIFS(Controle!$R:$R,Controle!$H:$H,produtos_escape2!$A1942,Controle!$Z:$Z,"4")</f>
        <v>0</v>
      </c>
      <c r="J1942" s="507">
        <f>SUMIFS(Controle!$R:$R,Controle!$H:$H,produtos_escape2!$A1942,Controle!$Z:$Z,"5")</f>
        <v>0</v>
      </c>
      <c r="K1942" s="507">
        <f>SUMIFS(Controle!$R:$R,Controle!$H:$H,produtos_escape2!$A1942,Controle!$Z:$Z,"6")</f>
        <v>0</v>
      </c>
      <c r="L1942" s="507">
        <f t="shared" si="67"/>
        <v>0</v>
      </c>
      <c r="M1942" s="381" t="s">
        <v>5493</v>
      </c>
    </row>
    <row r="1943" spans="1:13" s="185" customFormat="1" ht="14.25" customHeight="1" thickBot="1">
      <c r="A1943" s="353">
        <v>92056</v>
      </c>
      <c r="B1943" s="338" t="s">
        <v>751</v>
      </c>
      <c r="C1943" s="339">
        <f t="shared" si="68"/>
        <v>50000</v>
      </c>
      <c r="D1943" s="191" t="s">
        <v>624</v>
      </c>
      <c r="E1943" s="189" t="s">
        <v>3608</v>
      </c>
      <c r="F1943" s="507">
        <f>SUMIFS(Controle!$R:$R,Controle!$H:$H,produtos_escape2!$A1943,Controle!$Z:$Z,"1")</f>
        <v>0</v>
      </c>
      <c r="G1943" s="507">
        <f>SUMIFS(Controle!$R:$R,Controle!$H:$H,produtos_escape2!$A1943,Controle!$Z:$Z,"2")</f>
        <v>0</v>
      </c>
      <c r="H1943" s="507">
        <f>SUMIFS(Controle!$R:$R,Controle!$H:$H,produtos_escape2!$A1943,Controle!$Z:$Z,"3")</f>
        <v>0</v>
      </c>
      <c r="I1943" s="507">
        <f>SUMIFS(Controle!$R:$R,Controle!$H:$H,produtos_escape2!$A1943,Controle!$Z:$Z,"4")</f>
        <v>0</v>
      </c>
      <c r="J1943" s="507">
        <f>SUMIFS(Controle!$R:$R,Controle!$H:$H,produtos_escape2!$A1943,Controle!$Z:$Z,"5")</f>
        <v>0</v>
      </c>
      <c r="K1943" s="507">
        <f>SUMIFS(Controle!$R:$R,Controle!$H:$H,produtos_escape2!$A1943,Controle!$Z:$Z,"6")</f>
        <v>0</v>
      </c>
      <c r="L1943" s="507">
        <f t="shared" si="67"/>
        <v>0</v>
      </c>
      <c r="M1943" s="381" t="s">
        <v>5493</v>
      </c>
    </row>
    <row r="1944" spans="1:13" s="185" customFormat="1" ht="14.25" customHeight="1" thickBot="1">
      <c r="A1944" s="353">
        <v>92057</v>
      </c>
      <c r="B1944" s="194" t="s">
        <v>1824</v>
      </c>
      <c r="C1944" s="339">
        <f t="shared" si="68"/>
        <v>50000</v>
      </c>
      <c r="D1944" s="191" t="s">
        <v>624</v>
      </c>
      <c r="E1944" s="189" t="s">
        <v>3608</v>
      </c>
      <c r="F1944" s="507">
        <f>SUMIFS(Controle!$R:$R,Controle!$H:$H,produtos_escape2!$A1944,Controle!$Z:$Z,"1")</f>
        <v>0</v>
      </c>
      <c r="G1944" s="507">
        <f>SUMIFS(Controle!$R:$R,Controle!$H:$H,produtos_escape2!$A1944,Controle!$Z:$Z,"2")</f>
        <v>0</v>
      </c>
      <c r="H1944" s="507">
        <f>SUMIFS(Controle!$R:$R,Controle!$H:$H,produtos_escape2!$A1944,Controle!$Z:$Z,"3")</f>
        <v>0</v>
      </c>
      <c r="I1944" s="507">
        <f>SUMIFS(Controle!$R:$R,Controle!$H:$H,produtos_escape2!$A1944,Controle!$Z:$Z,"4")</f>
        <v>0</v>
      </c>
      <c r="J1944" s="507">
        <f>SUMIFS(Controle!$R:$R,Controle!$H:$H,produtos_escape2!$A1944,Controle!$Z:$Z,"5")</f>
        <v>0</v>
      </c>
      <c r="K1944" s="507">
        <f>SUMIFS(Controle!$R:$R,Controle!$H:$H,produtos_escape2!$A1944,Controle!$Z:$Z,"6")</f>
        <v>0</v>
      </c>
      <c r="L1944" s="507">
        <f t="shared" si="67"/>
        <v>0</v>
      </c>
      <c r="M1944" s="381" t="s">
        <v>5493</v>
      </c>
    </row>
    <row r="1945" spans="1:13" s="185" customFormat="1" ht="14.25" customHeight="1" thickBot="1">
      <c r="A1945" s="353">
        <v>92058</v>
      </c>
      <c r="B1945" s="194" t="s">
        <v>1286</v>
      </c>
      <c r="C1945" s="339">
        <f t="shared" si="68"/>
        <v>50000</v>
      </c>
      <c r="D1945" s="191" t="s">
        <v>624</v>
      </c>
      <c r="E1945" s="189" t="s">
        <v>3608</v>
      </c>
      <c r="F1945" s="507">
        <f>SUMIFS(Controle!$R:$R,Controle!$H:$H,produtos_escape2!$A1945,Controle!$Z:$Z,"1")</f>
        <v>0</v>
      </c>
      <c r="G1945" s="507">
        <f>SUMIFS(Controle!$R:$R,Controle!$H:$H,produtos_escape2!$A1945,Controle!$Z:$Z,"2")</f>
        <v>0</v>
      </c>
      <c r="H1945" s="507">
        <f>SUMIFS(Controle!$R:$R,Controle!$H:$H,produtos_escape2!$A1945,Controle!$Z:$Z,"3")</f>
        <v>0</v>
      </c>
      <c r="I1945" s="507">
        <f>SUMIFS(Controle!$R:$R,Controle!$H:$H,produtos_escape2!$A1945,Controle!$Z:$Z,"4")</f>
        <v>0</v>
      </c>
      <c r="J1945" s="507">
        <f>SUMIFS(Controle!$R:$R,Controle!$H:$H,produtos_escape2!$A1945,Controle!$Z:$Z,"5")</f>
        <v>0</v>
      </c>
      <c r="K1945" s="507">
        <f>SUMIFS(Controle!$R:$R,Controle!$H:$H,produtos_escape2!$A1945,Controle!$Z:$Z,"6")</f>
        <v>0</v>
      </c>
      <c r="L1945" s="507">
        <f t="shared" si="67"/>
        <v>0</v>
      </c>
      <c r="M1945" s="381" t="s">
        <v>5493</v>
      </c>
    </row>
    <row r="1946" spans="1:13" s="185" customFormat="1" ht="14.25" customHeight="1" thickBot="1">
      <c r="A1946" s="353">
        <v>92071</v>
      </c>
      <c r="B1946" s="194" t="s">
        <v>4264</v>
      </c>
      <c r="C1946" s="339">
        <f t="shared" si="68"/>
        <v>50000</v>
      </c>
      <c r="D1946" s="196" t="s">
        <v>624</v>
      </c>
      <c r="E1946" s="189" t="s">
        <v>3608</v>
      </c>
      <c r="F1946" s="507">
        <f>SUMIFS(Controle!$R:$R,Controle!$H:$H,produtos_escape2!$A1946,Controle!$Z:$Z,"1")</f>
        <v>0</v>
      </c>
      <c r="G1946" s="507">
        <f>SUMIFS(Controle!$R:$R,Controle!$H:$H,produtos_escape2!$A1946,Controle!$Z:$Z,"2")</f>
        <v>0</v>
      </c>
      <c r="H1946" s="507">
        <f>SUMIFS(Controle!$R:$R,Controle!$H:$H,produtos_escape2!$A1946,Controle!$Z:$Z,"3")</f>
        <v>0</v>
      </c>
      <c r="I1946" s="507">
        <f>SUMIFS(Controle!$R:$R,Controle!$H:$H,produtos_escape2!$A1946,Controle!$Z:$Z,"4")</f>
        <v>0</v>
      </c>
      <c r="J1946" s="507">
        <f>SUMIFS(Controle!$R:$R,Controle!$H:$H,produtos_escape2!$A1946,Controle!$Z:$Z,"5")</f>
        <v>0</v>
      </c>
      <c r="K1946" s="507">
        <f>SUMIFS(Controle!$R:$R,Controle!$H:$H,produtos_escape2!$A1946,Controle!$Z:$Z,"6")</f>
        <v>0</v>
      </c>
      <c r="L1946" s="507">
        <f t="shared" si="67"/>
        <v>0</v>
      </c>
      <c r="M1946" s="381" t="s">
        <v>5494</v>
      </c>
    </row>
    <row r="1947" spans="1:13" s="185" customFormat="1" ht="14.25" customHeight="1" thickBot="1">
      <c r="A1947" s="353">
        <v>92075</v>
      </c>
      <c r="B1947" s="194" t="s">
        <v>2879</v>
      </c>
      <c r="C1947" s="339">
        <f t="shared" si="68"/>
        <v>50000</v>
      </c>
      <c r="D1947" s="191" t="s">
        <v>624</v>
      </c>
      <c r="E1947" s="189" t="s">
        <v>3608</v>
      </c>
      <c r="F1947" s="507">
        <f>SUMIFS(Controle!$R:$R,Controle!$H:$H,produtos_escape2!$A1947,Controle!$Z:$Z,"1")</f>
        <v>0</v>
      </c>
      <c r="G1947" s="507">
        <f>SUMIFS(Controle!$R:$R,Controle!$H:$H,produtos_escape2!$A1947,Controle!$Z:$Z,"2")</f>
        <v>0</v>
      </c>
      <c r="H1947" s="507">
        <f>SUMIFS(Controle!$R:$R,Controle!$H:$H,produtos_escape2!$A1947,Controle!$Z:$Z,"3")</f>
        <v>0</v>
      </c>
      <c r="I1947" s="507">
        <f>SUMIFS(Controle!$R:$R,Controle!$H:$H,produtos_escape2!$A1947,Controle!$Z:$Z,"4")</f>
        <v>0</v>
      </c>
      <c r="J1947" s="507">
        <f>SUMIFS(Controle!$R:$R,Controle!$H:$H,produtos_escape2!$A1947,Controle!$Z:$Z,"5")</f>
        <v>0</v>
      </c>
      <c r="K1947" s="507">
        <f>SUMIFS(Controle!$R:$R,Controle!$H:$H,produtos_escape2!$A1947,Controle!$Z:$Z,"6")</f>
        <v>0</v>
      </c>
      <c r="L1947" s="507">
        <f t="shared" si="67"/>
        <v>0</v>
      </c>
      <c r="M1947" s="381" t="s">
        <v>5495</v>
      </c>
    </row>
    <row r="1948" spans="1:13" s="185" customFormat="1" ht="14.25" customHeight="1" thickBot="1">
      <c r="A1948" s="333">
        <v>92077</v>
      </c>
      <c r="B1948" s="194" t="s">
        <v>2874</v>
      </c>
      <c r="C1948" s="339">
        <f t="shared" si="68"/>
        <v>50000</v>
      </c>
      <c r="D1948" s="196" t="s">
        <v>547</v>
      </c>
      <c r="E1948" s="187" t="s">
        <v>3608</v>
      </c>
      <c r="F1948" s="507">
        <f>SUMIFS(Controle!$R:$R,Controle!$H:$H,produtos_escape2!$A1948,Controle!$Z:$Z,"1")</f>
        <v>0</v>
      </c>
      <c r="G1948" s="507">
        <f>SUMIFS(Controle!$R:$R,Controle!$H:$H,produtos_escape2!$A1948,Controle!$Z:$Z,"2")</f>
        <v>0</v>
      </c>
      <c r="H1948" s="507">
        <f>SUMIFS(Controle!$R:$R,Controle!$H:$H,produtos_escape2!$A1948,Controle!$Z:$Z,"3")</f>
        <v>0</v>
      </c>
      <c r="I1948" s="507">
        <f>SUMIFS(Controle!$R:$R,Controle!$H:$H,produtos_escape2!$A1948,Controle!$Z:$Z,"4")</f>
        <v>0</v>
      </c>
      <c r="J1948" s="507">
        <f>SUMIFS(Controle!$R:$R,Controle!$H:$H,produtos_escape2!$A1948,Controle!$Z:$Z,"5")</f>
        <v>0</v>
      </c>
      <c r="K1948" s="507">
        <f>SUMIFS(Controle!$R:$R,Controle!$H:$H,produtos_escape2!$A1948,Controle!$Z:$Z,"6")</f>
        <v>0</v>
      </c>
      <c r="L1948" s="507">
        <f t="shared" si="67"/>
        <v>0</v>
      </c>
      <c r="M1948" s="381" t="s">
        <v>5495</v>
      </c>
    </row>
    <row r="1949" spans="1:13" s="185" customFormat="1" ht="14.25" customHeight="1" thickBot="1">
      <c r="A1949" s="353">
        <v>92078</v>
      </c>
      <c r="B1949" s="194" t="s">
        <v>2875</v>
      </c>
      <c r="C1949" s="339">
        <f t="shared" si="68"/>
        <v>50000</v>
      </c>
      <c r="D1949" s="191" t="s">
        <v>624</v>
      </c>
      <c r="E1949" s="189" t="s">
        <v>3608</v>
      </c>
      <c r="F1949" s="507">
        <f>SUMIFS(Controle!$R:$R,Controle!$H:$H,produtos_escape2!$A1949,Controle!$Z:$Z,"1")</f>
        <v>0</v>
      </c>
      <c r="G1949" s="507">
        <f>SUMIFS(Controle!$R:$R,Controle!$H:$H,produtos_escape2!$A1949,Controle!$Z:$Z,"2")</f>
        <v>0</v>
      </c>
      <c r="H1949" s="507">
        <f>SUMIFS(Controle!$R:$R,Controle!$H:$H,produtos_escape2!$A1949,Controle!$Z:$Z,"3")</f>
        <v>0</v>
      </c>
      <c r="I1949" s="507">
        <f>SUMIFS(Controle!$R:$R,Controle!$H:$H,produtos_escape2!$A1949,Controle!$Z:$Z,"4")</f>
        <v>0</v>
      </c>
      <c r="J1949" s="507">
        <f>SUMIFS(Controle!$R:$R,Controle!$H:$H,produtos_escape2!$A1949,Controle!$Z:$Z,"5")</f>
        <v>0</v>
      </c>
      <c r="K1949" s="507">
        <f>SUMIFS(Controle!$R:$R,Controle!$H:$H,produtos_escape2!$A1949,Controle!$Z:$Z,"6")</f>
        <v>0</v>
      </c>
      <c r="L1949" s="507">
        <f t="shared" si="67"/>
        <v>0</v>
      </c>
      <c r="M1949" s="381" t="s">
        <v>5495</v>
      </c>
    </row>
    <row r="1950" spans="1:13" s="185" customFormat="1" ht="14.25" customHeight="1" thickBot="1">
      <c r="A1950" s="353">
        <v>92079</v>
      </c>
      <c r="B1950" s="194" t="s">
        <v>2876</v>
      </c>
      <c r="C1950" s="339">
        <f t="shared" si="68"/>
        <v>50000</v>
      </c>
      <c r="D1950" s="191" t="s">
        <v>624</v>
      </c>
      <c r="E1950" s="189" t="s">
        <v>3608</v>
      </c>
      <c r="F1950" s="507">
        <f>SUMIFS(Controle!$R:$R,Controle!$H:$H,produtos_escape2!$A1950,Controle!$Z:$Z,"1")</f>
        <v>0</v>
      </c>
      <c r="G1950" s="507">
        <f>SUMIFS(Controle!$R:$R,Controle!$H:$H,produtos_escape2!$A1950,Controle!$Z:$Z,"2")</f>
        <v>0</v>
      </c>
      <c r="H1950" s="507">
        <f>SUMIFS(Controle!$R:$R,Controle!$H:$H,produtos_escape2!$A1950,Controle!$Z:$Z,"3")</f>
        <v>0</v>
      </c>
      <c r="I1950" s="507">
        <f>SUMIFS(Controle!$R:$R,Controle!$H:$H,produtos_escape2!$A1950,Controle!$Z:$Z,"4")</f>
        <v>0</v>
      </c>
      <c r="J1950" s="507">
        <f>SUMIFS(Controle!$R:$R,Controle!$H:$H,produtos_escape2!$A1950,Controle!$Z:$Z,"5")</f>
        <v>0</v>
      </c>
      <c r="K1950" s="507">
        <f>SUMIFS(Controle!$R:$R,Controle!$H:$H,produtos_escape2!$A1950,Controle!$Z:$Z,"6")</f>
        <v>0</v>
      </c>
      <c r="L1950" s="507">
        <f t="shared" si="67"/>
        <v>0</v>
      </c>
      <c r="M1950" s="381" t="s">
        <v>5496</v>
      </c>
    </row>
    <row r="1951" spans="1:13" s="185" customFormat="1" ht="14.25" customHeight="1" thickBot="1">
      <c r="A1951" s="353">
        <v>92080</v>
      </c>
      <c r="B1951" s="338" t="s">
        <v>2687</v>
      </c>
      <c r="C1951" s="339">
        <f t="shared" si="68"/>
        <v>50000</v>
      </c>
      <c r="D1951" s="196" t="s">
        <v>624</v>
      </c>
      <c r="E1951" s="187" t="s">
        <v>3608</v>
      </c>
      <c r="F1951" s="507">
        <f>SUMIFS(Controle!$R:$R,Controle!$H:$H,produtos_escape2!$A1951,Controle!$Z:$Z,"1")</f>
        <v>0</v>
      </c>
      <c r="G1951" s="507">
        <f>SUMIFS(Controle!$R:$R,Controle!$H:$H,produtos_escape2!$A1951,Controle!$Z:$Z,"2")</f>
        <v>0</v>
      </c>
      <c r="H1951" s="507">
        <f>SUMIFS(Controle!$R:$R,Controle!$H:$H,produtos_escape2!$A1951,Controle!$Z:$Z,"3")</f>
        <v>0</v>
      </c>
      <c r="I1951" s="507">
        <f>SUMIFS(Controle!$R:$R,Controle!$H:$H,produtos_escape2!$A1951,Controle!$Z:$Z,"4")</f>
        <v>0</v>
      </c>
      <c r="J1951" s="507">
        <f>SUMIFS(Controle!$R:$R,Controle!$H:$H,produtos_escape2!$A1951,Controle!$Z:$Z,"5")</f>
        <v>0</v>
      </c>
      <c r="K1951" s="507">
        <f>SUMIFS(Controle!$R:$R,Controle!$H:$H,produtos_escape2!$A1951,Controle!$Z:$Z,"6")</f>
        <v>0</v>
      </c>
      <c r="L1951" s="507">
        <f t="shared" si="67"/>
        <v>0</v>
      </c>
      <c r="M1951" s="381" t="s">
        <v>5497</v>
      </c>
    </row>
    <row r="1952" spans="1:13" s="185" customFormat="1" ht="14.25" customHeight="1" thickBot="1">
      <c r="A1952" s="353">
        <v>92086</v>
      </c>
      <c r="B1952" s="194" t="s">
        <v>3429</v>
      </c>
      <c r="C1952" s="339">
        <f t="shared" si="68"/>
        <v>50000</v>
      </c>
      <c r="D1952" s="196" t="s">
        <v>624</v>
      </c>
      <c r="E1952" s="187" t="s">
        <v>3608</v>
      </c>
      <c r="F1952" s="507">
        <f>SUMIFS(Controle!$R:$R,Controle!$H:$H,produtos_escape2!$A1952,Controle!$Z:$Z,"1")</f>
        <v>0</v>
      </c>
      <c r="G1952" s="507">
        <f>SUMIFS(Controle!$R:$R,Controle!$H:$H,produtos_escape2!$A1952,Controle!$Z:$Z,"2")</f>
        <v>0</v>
      </c>
      <c r="H1952" s="507">
        <f>SUMIFS(Controle!$R:$R,Controle!$H:$H,produtos_escape2!$A1952,Controle!$Z:$Z,"3")</f>
        <v>0</v>
      </c>
      <c r="I1952" s="507">
        <f>SUMIFS(Controle!$R:$R,Controle!$H:$H,produtos_escape2!$A1952,Controle!$Z:$Z,"4")</f>
        <v>0</v>
      </c>
      <c r="J1952" s="507">
        <f>SUMIFS(Controle!$R:$R,Controle!$H:$H,produtos_escape2!$A1952,Controle!$Z:$Z,"5")</f>
        <v>0</v>
      </c>
      <c r="K1952" s="507">
        <f>SUMIFS(Controle!$R:$R,Controle!$H:$H,produtos_escape2!$A1952,Controle!$Z:$Z,"6")</f>
        <v>0</v>
      </c>
      <c r="L1952" s="507">
        <f t="shared" si="67"/>
        <v>0</v>
      </c>
      <c r="M1952" s="381" t="s">
        <v>5495</v>
      </c>
    </row>
    <row r="1953" spans="1:13" s="185" customFormat="1" ht="14.25" customHeight="1" thickBot="1">
      <c r="A1953" s="353">
        <v>92092</v>
      </c>
      <c r="B1953" s="194" t="s">
        <v>2877</v>
      </c>
      <c r="C1953" s="339">
        <f t="shared" si="68"/>
        <v>50000</v>
      </c>
      <c r="D1953" s="191" t="s">
        <v>624</v>
      </c>
      <c r="E1953" s="189" t="s">
        <v>3608</v>
      </c>
      <c r="F1953" s="507">
        <f>SUMIFS(Controle!$R:$R,Controle!$H:$H,produtos_escape2!$A1953,Controle!$Z:$Z,"1")</f>
        <v>0</v>
      </c>
      <c r="G1953" s="507">
        <f>SUMIFS(Controle!$R:$R,Controle!$H:$H,produtos_escape2!$A1953,Controle!$Z:$Z,"2")</f>
        <v>0</v>
      </c>
      <c r="H1953" s="507">
        <f>SUMIFS(Controle!$R:$R,Controle!$H:$H,produtos_escape2!$A1953,Controle!$Z:$Z,"3")</f>
        <v>0</v>
      </c>
      <c r="I1953" s="507">
        <f>SUMIFS(Controle!$R:$R,Controle!$H:$H,produtos_escape2!$A1953,Controle!$Z:$Z,"4")</f>
        <v>0</v>
      </c>
      <c r="J1953" s="507">
        <f>SUMIFS(Controle!$R:$R,Controle!$H:$H,produtos_escape2!$A1953,Controle!$Z:$Z,"5")</f>
        <v>0</v>
      </c>
      <c r="K1953" s="507">
        <f>SUMIFS(Controle!$R:$R,Controle!$H:$H,produtos_escape2!$A1953,Controle!$Z:$Z,"6")</f>
        <v>0</v>
      </c>
      <c r="L1953" s="507">
        <f t="shared" si="67"/>
        <v>0</v>
      </c>
      <c r="M1953" s="381" t="s">
        <v>5495</v>
      </c>
    </row>
    <row r="1954" spans="1:13" s="185" customFormat="1" ht="14.25" customHeight="1" thickBot="1">
      <c r="A1954" s="353">
        <v>92093</v>
      </c>
      <c r="B1954" s="194" t="s">
        <v>2878</v>
      </c>
      <c r="C1954" s="339">
        <f t="shared" si="68"/>
        <v>50000</v>
      </c>
      <c r="D1954" s="191" t="s">
        <v>624</v>
      </c>
      <c r="E1954" s="189" t="s">
        <v>3608</v>
      </c>
      <c r="F1954" s="507">
        <f>SUMIFS(Controle!$R:$R,Controle!$H:$H,produtos_escape2!$A1954,Controle!$Z:$Z,"1")</f>
        <v>0</v>
      </c>
      <c r="G1954" s="507">
        <f>SUMIFS(Controle!$R:$R,Controle!$H:$H,produtos_escape2!$A1954,Controle!$Z:$Z,"2")</f>
        <v>0</v>
      </c>
      <c r="H1954" s="507">
        <f>SUMIFS(Controle!$R:$R,Controle!$H:$H,produtos_escape2!$A1954,Controle!$Z:$Z,"3")</f>
        <v>0</v>
      </c>
      <c r="I1954" s="507">
        <f>SUMIFS(Controle!$R:$R,Controle!$H:$H,produtos_escape2!$A1954,Controle!$Z:$Z,"4")</f>
        <v>0</v>
      </c>
      <c r="J1954" s="507">
        <f>SUMIFS(Controle!$R:$R,Controle!$H:$H,produtos_escape2!$A1954,Controle!$Z:$Z,"5")</f>
        <v>0</v>
      </c>
      <c r="K1954" s="507">
        <f>SUMIFS(Controle!$R:$R,Controle!$H:$H,produtos_escape2!$A1954,Controle!$Z:$Z,"6")</f>
        <v>0</v>
      </c>
      <c r="L1954" s="507">
        <f t="shared" si="67"/>
        <v>0</v>
      </c>
      <c r="M1954" s="381" t="s">
        <v>5495</v>
      </c>
    </row>
    <row r="1955" spans="1:13" s="185" customFormat="1" ht="14.25" customHeight="1" thickBot="1">
      <c r="A1955" s="353">
        <v>92094</v>
      </c>
      <c r="B1955" s="194" t="s">
        <v>1723</v>
      </c>
      <c r="C1955" s="339">
        <f t="shared" si="68"/>
        <v>50000</v>
      </c>
      <c r="D1955" s="191" t="s">
        <v>624</v>
      </c>
      <c r="E1955" s="189" t="s">
        <v>3608</v>
      </c>
      <c r="F1955" s="507">
        <f>SUMIFS(Controle!$R:$R,Controle!$H:$H,produtos_escape2!$A1955,Controle!$Z:$Z,"1")</f>
        <v>0</v>
      </c>
      <c r="G1955" s="507">
        <f>SUMIFS(Controle!$R:$R,Controle!$H:$H,produtos_escape2!$A1955,Controle!$Z:$Z,"2")</f>
        <v>0</v>
      </c>
      <c r="H1955" s="507">
        <f>SUMIFS(Controle!$R:$R,Controle!$H:$H,produtos_escape2!$A1955,Controle!$Z:$Z,"3")</f>
        <v>0</v>
      </c>
      <c r="I1955" s="507">
        <f>SUMIFS(Controle!$R:$R,Controle!$H:$H,produtos_escape2!$A1955,Controle!$Z:$Z,"4")</f>
        <v>0</v>
      </c>
      <c r="J1955" s="507">
        <f>SUMIFS(Controle!$R:$R,Controle!$H:$H,produtos_escape2!$A1955,Controle!$Z:$Z,"5")</f>
        <v>0</v>
      </c>
      <c r="K1955" s="507">
        <f>SUMIFS(Controle!$R:$R,Controle!$H:$H,produtos_escape2!$A1955,Controle!$Z:$Z,"6")</f>
        <v>0</v>
      </c>
      <c r="L1955" s="507">
        <f t="shared" si="67"/>
        <v>0</v>
      </c>
      <c r="M1955" s="381" t="s">
        <v>5497</v>
      </c>
    </row>
    <row r="1956" spans="1:13" s="185" customFormat="1" ht="14.25" customHeight="1" thickBot="1">
      <c r="A1956" s="333">
        <v>92095</v>
      </c>
      <c r="B1956" s="194" t="s">
        <v>1466</v>
      </c>
      <c r="C1956" s="339">
        <f t="shared" si="68"/>
        <v>50000</v>
      </c>
      <c r="D1956" s="191" t="s">
        <v>624</v>
      </c>
      <c r="E1956" s="189" t="s">
        <v>3608</v>
      </c>
      <c r="F1956" s="507">
        <f>SUMIFS(Controle!$R:$R,Controle!$H:$H,produtos_escape2!$A1956,Controle!$Z:$Z,"1")</f>
        <v>0</v>
      </c>
      <c r="G1956" s="507">
        <f>SUMIFS(Controle!$R:$R,Controle!$H:$H,produtos_escape2!$A1956,Controle!$Z:$Z,"2")</f>
        <v>0</v>
      </c>
      <c r="H1956" s="507">
        <f>SUMIFS(Controle!$R:$R,Controle!$H:$H,produtos_escape2!$A1956,Controle!$Z:$Z,"3")</f>
        <v>0</v>
      </c>
      <c r="I1956" s="507">
        <f>SUMIFS(Controle!$R:$R,Controle!$H:$H,produtos_escape2!$A1956,Controle!$Z:$Z,"4")</f>
        <v>0</v>
      </c>
      <c r="J1956" s="507">
        <f>SUMIFS(Controle!$R:$R,Controle!$H:$H,produtos_escape2!$A1956,Controle!$Z:$Z,"5")</f>
        <v>0</v>
      </c>
      <c r="K1956" s="507">
        <f>SUMIFS(Controle!$R:$R,Controle!$H:$H,produtos_escape2!$A1956,Controle!$Z:$Z,"6")</f>
        <v>0</v>
      </c>
      <c r="L1956" s="507">
        <f t="shared" si="67"/>
        <v>0</v>
      </c>
      <c r="M1956" s="381" t="s">
        <v>5496</v>
      </c>
    </row>
    <row r="1957" spans="1:13" s="185" customFormat="1" ht="14.25" customHeight="1" thickBot="1">
      <c r="A1957" s="353">
        <v>92097</v>
      </c>
      <c r="B1957" s="194" t="s">
        <v>207</v>
      </c>
      <c r="C1957" s="339">
        <f t="shared" si="68"/>
        <v>50000</v>
      </c>
      <c r="D1957" s="196" t="s">
        <v>624</v>
      </c>
      <c r="E1957" s="187" t="s">
        <v>3608</v>
      </c>
      <c r="F1957" s="507">
        <f>SUMIFS(Controle!$R:$R,Controle!$H:$H,produtos_escape2!$A1957,Controle!$Z:$Z,"1")</f>
        <v>0</v>
      </c>
      <c r="G1957" s="507">
        <f>SUMIFS(Controle!$R:$R,Controle!$H:$H,produtos_escape2!$A1957,Controle!$Z:$Z,"2")</f>
        <v>0</v>
      </c>
      <c r="H1957" s="507">
        <f>SUMIFS(Controle!$R:$R,Controle!$H:$H,produtos_escape2!$A1957,Controle!$Z:$Z,"3")</f>
        <v>0</v>
      </c>
      <c r="I1957" s="507">
        <f>SUMIFS(Controle!$R:$R,Controle!$H:$H,produtos_escape2!$A1957,Controle!$Z:$Z,"4")</f>
        <v>0</v>
      </c>
      <c r="J1957" s="507">
        <f>SUMIFS(Controle!$R:$R,Controle!$H:$H,produtos_escape2!$A1957,Controle!$Z:$Z,"5")</f>
        <v>0</v>
      </c>
      <c r="K1957" s="507">
        <f>SUMIFS(Controle!$R:$R,Controle!$H:$H,produtos_escape2!$A1957,Controle!$Z:$Z,"6")</f>
        <v>0</v>
      </c>
      <c r="L1957" s="507">
        <f t="shared" si="67"/>
        <v>0</v>
      </c>
      <c r="M1957" s="381" t="s">
        <v>207</v>
      </c>
    </row>
    <row r="1958" spans="1:13" s="185" customFormat="1" ht="14.25" customHeight="1" thickBot="1">
      <c r="A1958" s="353">
        <v>92098</v>
      </c>
      <c r="B1958" s="194" t="s">
        <v>460</v>
      </c>
      <c r="C1958" s="339">
        <f t="shared" si="68"/>
        <v>50000</v>
      </c>
      <c r="D1958" s="196" t="s">
        <v>624</v>
      </c>
      <c r="E1958" s="187" t="s">
        <v>3608</v>
      </c>
      <c r="F1958" s="507">
        <f>SUMIFS(Controle!$R:$R,Controle!$H:$H,produtos_escape2!$A1958,Controle!$Z:$Z,"1")</f>
        <v>0</v>
      </c>
      <c r="G1958" s="507">
        <f>SUMIFS(Controle!$R:$R,Controle!$H:$H,produtos_escape2!$A1958,Controle!$Z:$Z,"2")</f>
        <v>0</v>
      </c>
      <c r="H1958" s="507">
        <f>SUMIFS(Controle!$R:$R,Controle!$H:$H,produtos_escape2!$A1958,Controle!$Z:$Z,"3")</f>
        <v>0</v>
      </c>
      <c r="I1958" s="507">
        <f>SUMIFS(Controle!$R:$R,Controle!$H:$H,produtos_escape2!$A1958,Controle!$Z:$Z,"4")</f>
        <v>0</v>
      </c>
      <c r="J1958" s="507">
        <f>SUMIFS(Controle!$R:$R,Controle!$H:$H,produtos_escape2!$A1958,Controle!$Z:$Z,"5")</f>
        <v>0</v>
      </c>
      <c r="K1958" s="507">
        <f>SUMIFS(Controle!$R:$R,Controle!$H:$H,produtos_escape2!$A1958,Controle!$Z:$Z,"6")</f>
        <v>0</v>
      </c>
      <c r="L1958" s="507">
        <f t="shared" si="67"/>
        <v>0</v>
      </c>
      <c r="M1958" s="381" t="s">
        <v>5498</v>
      </c>
    </row>
    <row r="1959" spans="1:13" s="185" customFormat="1" ht="15.75" customHeight="1" thickBot="1">
      <c r="A1959" s="353">
        <v>92108</v>
      </c>
      <c r="B1959" s="338" t="s">
        <v>156</v>
      </c>
      <c r="C1959" s="339">
        <f t="shared" si="68"/>
        <v>50000</v>
      </c>
      <c r="D1959" s="196" t="s">
        <v>624</v>
      </c>
      <c r="E1959" s="187" t="s">
        <v>3608</v>
      </c>
      <c r="F1959" s="507">
        <f>SUMIFS(Controle!$R:$R,Controle!$H:$H,produtos_escape2!$A1959,Controle!$Z:$Z,"1")</f>
        <v>0</v>
      </c>
      <c r="G1959" s="507">
        <f>SUMIFS(Controle!$R:$R,Controle!$H:$H,produtos_escape2!$A1959,Controle!$Z:$Z,"2")</f>
        <v>0</v>
      </c>
      <c r="H1959" s="507">
        <f>SUMIFS(Controle!$R:$R,Controle!$H:$H,produtos_escape2!$A1959,Controle!$Z:$Z,"3")</f>
        <v>0</v>
      </c>
      <c r="I1959" s="507">
        <f>SUMIFS(Controle!$R:$R,Controle!$H:$H,produtos_escape2!$A1959,Controle!$Z:$Z,"4")</f>
        <v>0</v>
      </c>
      <c r="J1959" s="507">
        <f>SUMIFS(Controle!$R:$R,Controle!$H:$H,produtos_escape2!$A1959,Controle!$Z:$Z,"5")</f>
        <v>0</v>
      </c>
      <c r="K1959" s="507">
        <f>SUMIFS(Controle!$R:$R,Controle!$H:$H,produtos_escape2!$A1959,Controle!$Z:$Z,"6")</f>
        <v>0</v>
      </c>
      <c r="L1959" s="507">
        <f t="shared" si="67"/>
        <v>0</v>
      </c>
      <c r="M1959" s="381" t="s">
        <v>156</v>
      </c>
    </row>
    <row r="1960" spans="1:13" s="185" customFormat="1" ht="14.25" customHeight="1" thickBot="1">
      <c r="A1960" s="353">
        <v>92109</v>
      </c>
      <c r="B1960" s="194" t="s">
        <v>157</v>
      </c>
      <c r="C1960" s="339">
        <f t="shared" si="68"/>
        <v>50000</v>
      </c>
      <c r="D1960" s="196" t="s">
        <v>624</v>
      </c>
      <c r="E1960" s="187" t="s">
        <v>3608</v>
      </c>
      <c r="F1960" s="507">
        <f>SUMIFS(Controle!$R:$R,Controle!$H:$H,produtos_escape2!$A1960,Controle!$Z:$Z,"1")</f>
        <v>0</v>
      </c>
      <c r="G1960" s="507">
        <f>SUMIFS(Controle!$R:$R,Controle!$H:$H,produtos_escape2!$A1960,Controle!$Z:$Z,"2")</f>
        <v>0</v>
      </c>
      <c r="H1960" s="507">
        <f>SUMIFS(Controle!$R:$R,Controle!$H:$H,produtos_escape2!$A1960,Controle!$Z:$Z,"3")</f>
        <v>0</v>
      </c>
      <c r="I1960" s="507">
        <f>SUMIFS(Controle!$R:$R,Controle!$H:$H,produtos_escape2!$A1960,Controle!$Z:$Z,"4")</f>
        <v>0</v>
      </c>
      <c r="J1960" s="507">
        <f>SUMIFS(Controle!$R:$R,Controle!$H:$H,produtos_escape2!$A1960,Controle!$Z:$Z,"5")</f>
        <v>0</v>
      </c>
      <c r="K1960" s="507">
        <f>SUMIFS(Controle!$R:$R,Controle!$H:$H,produtos_escape2!$A1960,Controle!$Z:$Z,"6")</f>
        <v>0</v>
      </c>
      <c r="L1960" s="507">
        <f t="shared" si="67"/>
        <v>0</v>
      </c>
      <c r="M1960" s="381" t="s">
        <v>157</v>
      </c>
    </row>
    <row r="1961" spans="1:13" s="185" customFormat="1" ht="14.25" customHeight="1" thickBot="1">
      <c r="A1961" s="353">
        <v>92110</v>
      </c>
      <c r="B1961" s="194" t="s">
        <v>158</v>
      </c>
      <c r="C1961" s="339">
        <f t="shared" si="68"/>
        <v>50000</v>
      </c>
      <c r="D1961" s="196" t="s">
        <v>624</v>
      </c>
      <c r="E1961" s="187" t="s">
        <v>3608</v>
      </c>
      <c r="F1961" s="507">
        <f>SUMIFS(Controle!$R:$R,Controle!$H:$H,produtos_escape2!$A1961,Controle!$Z:$Z,"1")</f>
        <v>0</v>
      </c>
      <c r="G1961" s="507">
        <f>SUMIFS(Controle!$R:$R,Controle!$H:$H,produtos_escape2!$A1961,Controle!$Z:$Z,"2")</f>
        <v>0</v>
      </c>
      <c r="H1961" s="507">
        <f>SUMIFS(Controle!$R:$R,Controle!$H:$H,produtos_escape2!$A1961,Controle!$Z:$Z,"3")</f>
        <v>0</v>
      </c>
      <c r="I1961" s="507">
        <f>SUMIFS(Controle!$R:$R,Controle!$H:$H,produtos_escape2!$A1961,Controle!$Z:$Z,"4")</f>
        <v>0</v>
      </c>
      <c r="J1961" s="507">
        <f>SUMIFS(Controle!$R:$R,Controle!$H:$H,produtos_escape2!$A1961,Controle!$Z:$Z,"5")</f>
        <v>0</v>
      </c>
      <c r="K1961" s="507">
        <f>SUMIFS(Controle!$R:$R,Controle!$H:$H,produtos_escape2!$A1961,Controle!$Z:$Z,"6")</f>
        <v>0</v>
      </c>
      <c r="L1961" s="507">
        <f t="shared" si="67"/>
        <v>0</v>
      </c>
      <c r="M1961" s="381" t="s">
        <v>158</v>
      </c>
    </row>
    <row r="1962" spans="1:13" s="185" customFormat="1" ht="14.25" customHeight="1" thickBot="1">
      <c r="A1962" s="353">
        <v>92111</v>
      </c>
      <c r="B1962" s="194" t="s">
        <v>1830</v>
      </c>
      <c r="C1962" s="339">
        <f t="shared" si="68"/>
        <v>50000</v>
      </c>
      <c r="D1962" s="191" t="s">
        <v>624</v>
      </c>
      <c r="E1962" s="189" t="s">
        <v>3608</v>
      </c>
      <c r="F1962" s="507">
        <f>SUMIFS(Controle!$R:$R,Controle!$H:$H,produtos_escape2!$A1962,Controle!$Z:$Z,"1")</f>
        <v>0</v>
      </c>
      <c r="G1962" s="507">
        <f>SUMIFS(Controle!$R:$R,Controle!$H:$H,produtos_escape2!$A1962,Controle!$Z:$Z,"2")</f>
        <v>0</v>
      </c>
      <c r="H1962" s="507">
        <f>SUMIFS(Controle!$R:$R,Controle!$H:$H,produtos_escape2!$A1962,Controle!$Z:$Z,"3")</f>
        <v>0</v>
      </c>
      <c r="I1962" s="507">
        <f>SUMIFS(Controle!$R:$R,Controle!$H:$H,produtos_escape2!$A1962,Controle!$Z:$Z,"4")</f>
        <v>0</v>
      </c>
      <c r="J1962" s="507">
        <f>SUMIFS(Controle!$R:$R,Controle!$H:$H,produtos_escape2!$A1962,Controle!$Z:$Z,"5")</f>
        <v>0</v>
      </c>
      <c r="K1962" s="507">
        <f>SUMIFS(Controle!$R:$R,Controle!$H:$H,produtos_escape2!$A1962,Controle!$Z:$Z,"6")</f>
        <v>0</v>
      </c>
      <c r="L1962" s="507">
        <f t="shared" si="67"/>
        <v>0</v>
      </c>
      <c r="M1962" s="381" t="s">
        <v>1830</v>
      </c>
    </row>
    <row r="1963" spans="1:13" s="185" customFormat="1" ht="14.25" customHeight="1" thickBot="1">
      <c r="A1963" s="353">
        <v>92112</v>
      </c>
      <c r="B1963" s="194" t="s">
        <v>159</v>
      </c>
      <c r="C1963" s="339">
        <f t="shared" si="68"/>
        <v>50000</v>
      </c>
      <c r="D1963" s="196" t="s">
        <v>624</v>
      </c>
      <c r="E1963" s="187" t="s">
        <v>3608</v>
      </c>
      <c r="F1963" s="507">
        <f>SUMIFS(Controle!$R:$R,Controle!$H:$H,produtos_escape2!$A1963,Controle!$Z:$Z,"1")</f>
        <v>0</v>
      </c>
      <c r="G1963" s="507">
        <f>SUMIFS(Controle!$R:$R,Controle!$H:$H,produtos_escape2!$A1963,Controle!$Z:$Z,"2")</f>
        <v>0</v>
      </c>
      <c r="H1963" s="507">
        <f>SUMIFS(Controle!$R:$R,Controle!$H:$H,produtos_escape2!$A1963,Controle!$Z:$Z,"3")</f>
        <v>0</v>
      </c>
      <c r="I1963" s="507">
        <f>SUMIFS(Controle!$R:$R,Controle!$H:$H,produtos_escape2!$A1963,Controle!$Z:$Z,"4")</f>
        <v>0</v>
      </c>
      <c r="J1963" s="507">
        <f>SUMIFS(Controle!$R:$R,Controle!$H:$H,produtos_escape2!$A1963,Controle!$Z:$Z,"5")</f>
        <v>0</v>
      </c>
      <c r="K1963" s="507">
        <f>SUMIFS(Controle!$R:$R,Controle!$H:$H,produtos_escape2!$A1963,Controle!$Z:$Z,"6")</f>
        <v>0</v>
      </c>
      <c r="L1963" s="507">
        <f t="shared" si="67"/>
        <v>0</v>
      </c>
      <c r="M1963" s="381" t="s">
        <v>159</v>
      </c>
    </row>
    <row r="1964" spans="1:13" s="185" customFormat="1" ht="14.25" customHeight="1" thickBot="1">
      <c r="A1964" s="333">
        <v>92122</v>
      </c>
      <c r="B1964" s="194" t="s">
        <v>2688</v>
      </c>
      <c r="C1964" s="339">
        <f t="shared" si="68"/>
        <v>50000</v>
      </c>
      <c r="D1964" s="196" t="s">
        <v>548</v>
      </c>
      <c r="E1964" s="187" t="s">
        <v>3608</v>
      </c>
      <c r="F1964" s="507">
        <f>SUMIFS(Controle!$R:$R,Controle!$H:$H,produtos_escape2!$A1964,Controle!$Z:$Z,"1")</f>
        <v>0</v>
      </c>
      <c r="G1964" s="507">
        <f>SUMIFS(Controle!$R:$R,Controle!$H:$H,produtos_escape2!$A1964,Controle!$Z:$Z,"2")</f>
        <v>0</v>
      </c>
      <c r="H1964" s="507">
        <f>SUMIFS(Controle!$R:$R,Controle!$H:$H,produtos_escape2!$A1964,Controle!$Z:$Z,"3")</f>
        <v>0</v>
      </c>
      <c r="I1964" s="507">
        <f>SUMIFS(Controle!$R:$R,Controle!$H:$H,produtos_escape2!$A1964,Controle!$Z:$Z,"4")</f>
        <v>0</v>
      </c>
      <c r="J1964" s="507">
        <f>SUMIFS(Controle!$R:$R,Controle!$H:$H,produtos_escape2!$A1964,Controle!$Z:$Z,"5")</f>
        <v>0</v>
      </c>
      <c r="K1964" s="507">
        <f>SUMIFS(Controle!$R:$R,Controle!$H:$H,produtos_escape2!$A1964,Controle!$Z:$Z,"6")</f>
        <v>0</v>
      </c>
      <c r="L1964" s="507">
        <f t="shared" si="67"/>
        <v>0</v>
      </c>
      <c r="M1964" s="381" t="s">
        <v>5499</v>
      </c>
    </row>
    <row r="1965" spans="1:13" s="185" customFormat="1" ht="14.25" customHeight="1" thickBot="1">
      <c r="A1965" s="353">
        <v>92123</v>
      </c>
      <c r="B1965" s="194" t="s">
        <v>160</v>
      </c>
      <c r="C1965" s="339">
        <f t="shared" si="68"/>
        <v>50000</v>
      </c>
      <c r="D1965" s="196" t="s">
        <v>624</v>
      </c>
      <c r="E1965" s="187" t="s">
        <v>3608</v>
      </c>
      <c r="F1965" s="507">
        <f>SUMIFS(Controle!$R:$R,Controle!$H:$H,produtos_escape2!$A1965,Controle!$Z:$Z,"1")</f>
        <v>0</v>
      </c>
      <c r="G1965" s="507">
        <f>SUMIFS(Controle!$R:$R,Controle!$H:$H,produtos_escape2!$A1965,Controle!$Z:$Z,"2")</f>
        <v>0</v>
      </c>
      <c r="H1965" s="507">
        <f>SUMIFS(Controle!$R:$R,Controle!$H:$H,produtos_escape2!$A1965,Controle!$Z:$Z,"3")</f>
        <v>0</v>
      </c>
      <c r="I1965" s="507">
        <f>SUMIFS(Controle!$R:$R,Controle!$H:$H,produtos_escape2!$A1965,Controle!$Z:$Z,"4")</f>
        <v>0</v>
      </c>
      <c r="J1965" s="507">
        <f>SUMIFS(Controle!$R:$R,Controle!$H:$H,produtos_escape2!$A1965,Controle!$Z:$Z,"5")</f>
        <v>0</v>
      </c>
      <c r="K1965" s="507">
        <f>SUMIFS(Controle!$R:$R,Controle!$H:$H,produtos_escape2!$A1965,Controle!$Z:$Z,"6")</f>
        <v>0</v>
      </c>
      <c r="L1965" s="507">
        <f t="shared" si="67"/>
        <v>0</v>
      </c>
      <c r="M1965" s="381" t="s">
        <v>160</v>
      </c>
    </row>
    <row r="1966" spans="1:13" s="185" customFormat="1" ht="14.25" customHeight="1" thickBot="1">
      <c r="A1966" s="353">
        <v>92124</v>
      </c>
      <c r="B1966" s="194" t="s">
        <v>206</v>
      </c>
      <c r="C1966" s="339">
        <f t="shared" si="68"/>
        <v>50000</v>
      </c>
      <c r="D1966" s="196" t="s">
        <v>624</v>
      </c>
      <c r="E1966" s="187" t="s">
        <v>3608</v>
      </c>
      <c r="F1966" s="507">
        <f>SUMIFS(Controle!$R:$R,Controle!$H:$H,produtos_escape2!$A1966,Controle!$Z:$Z,"1")</f>
        <v>0</v>
      </c>
      <c r="G1966" s="507">
        <f>SUMIFS(Controle!$R:$R,Controle!$H:$H,produtos_escape2!$A1966,Controle!$Z:$Z,"2")</f>
        <v>0</v>
      </c>
      <c r="H1966" s="507">
        <f>SUMIFS(Controle!$R:$R,Controle!$H:$H,produtos_escape2!$A1966,Controle!$Z:$Z,"3")</f>
        <v>0</v>
      </c>
      <c r="I1966" s="507">
        <f>SUMIFS(Controle!$R:$R,Controle!$H:$H,produtos_escape2!$A1966,Controle!$Z:$Z,"4")</f>
        <v>0</v>
      </c>
      <c r="J1966" s="507">
        <f>SUMIFS(Controle!$R:$R,Controle!$H:$H,produtos_escape2!$A1966,Controle!$Z:$Z,"5")</f>
        <v>0</v>
      </c>
      <c r="K1966" s="507">
        <f>SUMIFS(Controle!$R:$R,Controle!$H:$H,produtos_escape2!$A1966,Controle!$Z:$Z,"6")</f>
        <v>0</v>
      </c>
      <c r="L1966" s="507">
        <f t="shared" si="67"/>
        <v>0</v>
      </c>
      <c r="M1966" s="381" t="s">
        <v>5500</v>
      </c>
    </row>
    <row r="1967" spans="1:13" s="185" customFormat="1" ht="14.25" customHeight="1" thickBot="1">
      <c r="A1967" s="353">
        <v>92133</v>
      </c>
      <c r="B1967" s="338" t="s">
        <v>2823</v>
      </c>
      <c r="C1967" s="339">
        <f t="shared" si="68"/>
        <v>41589.949999999997</v>
      </c>
      <c r="D1967" s="196" t="s">
        <v>624</v>
      </c>
      <c r="E1967" s="187" t="s">
        <v>3608</v>
      </c>
      <c r="F1967" s="507">
        <f>SUMIFS(Controle!$R:$R,Controle!$H:$H,produtos_escape2!$A1967,Controle!$Z:$Z,"1")</f>
        <v>0</v>
      </c>
      <c r="G1967" s="507">
        <f>SUMIFS(Controle!$R:$R,Controle!$H:$H,produtos_escape2!$A1967,Controle!$Z:$Z,"2")</f>
        <v>0</v>
      </c>
      <c r="H1967" s="507">
        <f>SUMIFS(Controle!$R:$R,Controle!$H:$H,produtos_escape2!$A1967,Controle!$Z:$Z,"3")</f>
        <v>3297</v>
      </c>
      <c r="I1967" s="507">
        <f>SUMIFS(Controle!$R:$R,Controle!$H:$H,produtos_escape2!$A1967,Controle!$Z:$Z,"4")</f>
        <v>3300</v>
      </c>
      <c r="J1967" s="507">
        <f>SUMIFS(Controle!$R:$R,Controle!$H:$H,produtos_escape2!$A1967,Controle!$Z:$Z,"5")</f>
        <v>1813.0500000000002</v>
      </c>
      <c r="K1967" s="507">
        <f>SUMIFS(Controle!$R:$R,Controle!$H:$H,produtos_escape2!$A1967,Controle!$Z:$Z,"6")</f>
        <v>0</v>
      </c>
      <c r="L1967" s="507">
        <f t="shared" si="67"/>
        <v>8410.0499999999993</v>
      </c>
      <c r="M1967" s="381" t="s">
        <v>5501</v>
      </c>
    </row>
    <row r="1968" spans="1:13" s="185" customFormat="1" ht="14.25" customHeight="1" thickBot="1">
      <c r="A1968" s="353">
        <v>92134</v>
      </c>
      <c r="B1968" s="194" t="s">
        <v>6770</v>
      </c>
      <c r="C1968" s="339">
        <f t="shared" si="68"/>
        <v>50000</v>
      </c>
      <c r="D1968" s="196" t="s">
        <v>624</v>
      </c>
      <c r="E1968" s="187" t="s">
        <v>3608</v>
      </c>
      <c r="F1968" s="507">
        <f>SUMIFS(Controle!$R:$R,Controle!$H:$H,produtos_escape2!$A1968,Controle!$Z:$Z,"1")</f>
        <v>0</v>
      </c>
      <c r="G1968" s="507">
        <f>SUMIFS(Controle!$R:$R,Controle!$H:$H,produtos_escape2!$A1968,Controle!$Z:$Z,"2")</f>
        <v>0</v>
      </c>
      <c r="H1968" s="507">
        <f>SUMIFS(Controle!$R:$R,Controle!$H:$H,produtos_escape2!$A1968,Controle!$Z:$Z,"3")</f>
        <v>0</v>
      </c>
      <c r="I1968" s="507">
        <f>SUMIFS(Controle!$R:$R,Controle!$H:$H,produtos_escape2!$A1968,Controle!$Z:$Z,"4")</f>
        <v>0</v>
      </c>
      <c r="J1968" s="507">
        <f>SUMIFS(Controle!$R:$R,Controle!$H:$H,produtos_escape2!$A1968,Controle!$Z:$Z,"5")</f>
        <v>0</v>
      </c>
      <c r="K1968" s="507">
        <f>SUMIFS(Controle!$R:$R,Controle!$H:$H,produtos_escape2!$A1968,Controle!$Z:$Z,"6")</f>
        <v>0</v>
      </c>
      <c r="L1968" s="507">
        <f t="shared" si="67"/>
        <v>0</v>
      </c>
      <c r="M1968" s="381" t="s">
        <v>254</v>
      </c>
    </row>
    <row r="1969" spans="1:13" s="185" customFormat="1" ht="14.25" customHeight="1" thickBot="1">
      <c r="A1969" s="353">
        <v>92138</v>
      </c>
      <c r="B1969" s="194" t="s">
        <v>6930</v>
      </c>
      <c r="C1969" s="339">
        <f t="shared" si="68"/>
        <v>48065</v>
      </c>
      <c r="D1969" s="196" t="s">
        <v>624</v>
      </c>
      <c r="E1969" s="189" t="s">
        <v>3608</v>
      </c>
      <c r="F1969" s="507">
        <f>SUMIFS(Controle!$R:$R,Controle!$H:$H,produtos_escape2!$A1969,Controle!$Z:$Z,"1")</f>
        <v>0</v>
      </c>
      <c r="G1969" s="507">
        <f>SUMIFS(Controle!$R:$R,Controle!$H:$H,produtos_escape2!$A1969,Controle!$Z:$Z,"2")</f>
        <v>1935</v>
      </c>
      <c r="H1969" s="507">
        <f>SUMIFS(Controle!$R:$R,Controle!$H:$H,produtos_escape2!$A1969,Controle!$Z:$Z,"3")</f>
        <v>0</v>
      </c>
      <c r="I1969" s="507">
        <f>SUMIFS(Controle!$R:$R,Controle!$H:$H,produtos_escape2!$A1969,Controle!$Z:$Z,"4")</f>
        <v>0</v>
      </c>
      <c r="J1969" s="507">
        <f>SUMIFS(Controle!$R:$R,Controle!$H:$H,produtos_escape2!$A1969,Controle!$Z:$Z,"5")</f>
        <v>0</v>
      </c>
      <c r="K1969" s="507">
        <f>SUMIFS(Controle!$R:$R,Controle!$H:$H,produtos_escape2!$A1969,Controle!$Z:$Z,"6")</f>
        <v>0</v>
      </c>
      <c r="L1969" s="507">
        <f t="shared" si="67"/>
        <v>1935</v>
      </c>
      <c r="M1969" s="381" t="s">
        <v>4516</v>
      </c>
    </row>
    <row r="1970" spans="1:13" s="185" customFormat="1" ht="14.25" customHeight="1" thickBot="1">
      <c r="A1970" s="353">
        <v>92140</v>
      </c>
      <c r="B1970" s="194" t="s">
        <v>2777</v>
      </c>
      <c r="C1970" s="339">
        <f t="shared" si="68"/>
        <v>50000</v>
      </c>
      <c r="D1970" s="191" t="s">
        <v>624</v>
      </c>
      <c r="E1970" s="189" t="s">
        <v>3608</v>
      </c>
      <c r="F1970" s="507">
        <f>SUMIFS(Controle!$R:$R,Controle!$H:$H,produtos_escape2!$A1970,Controle!$Z:$Z,"1")</f>
        <v>0</v>
      </c>
      <c r="G1970" s="507">
        <f>SUMIFS(Controle!$R:$R,Controle!$H:$H,produtos_escape2!$A1970,Controle!$Z:$Z,"2")</f>
        <v>0</v>
      </c>
      <c r="H1970" s="507">
        <f>SUMIFS(Controle!$R:$R,Controle!$H:$H,produtos_escape2!$A1970,Controle!$Z:$Z,"3")</f>
        <v>0</v>
      </c>
      <c r="I1970" s="507">
        <f>SUMIFS(Controle!$R:$R,Controle!$H:$H,produtos_escape2!$A1970,Controle!$Z:$Z,"4")</f>
        <v>0</v>
      </c>
      <c r="J1970" s="507">
        <f>SUMIFS(Controle!$R:$R,Controle!$H:$H,produtos_escape2!$A1970,Controle!$Z:$Z,"5")</f>
        <v>0</v>
      </c>
      <c r="K1970" s="507">
        <f>SUMIFS(Controle!$R:$R,Controle!$H:$H,produtos_escape2!$A1970,Controle!$Z:$Z,"6")</f>
        <v>0</v>
      </c>
      <c r="L1970" s="507">
        <f t="shared" si="67"/>
        <v>0</v>
      </c>
      <c r="M1970" s="381" t="s">
        <v>5502</v>
      </c>
    </row>
    <row r="1971" spans="1:13" s="185" customFormat="1" ht="14.25" customHeight="1" thickBot="1">
      <c r="A1971" s="353">
        <v>92141</v>
      </c>
      <c r="B1971" s="194" t="s">
        <v>2778</v>
      </c>
      <c r="C1971" s="339">
        <f t="shared" si="68"/>
        <v>49760</v>
      </c>
      <c r="D1971" s="191" t="s">
        <v>624</v>
      </c>
      <c r="E1971" s="189" t="s">
        <v>3608</v>
      </c>
      <c r="F1971" s="507">
        <f>SUMIFS(Controle!$R:$R,Controle!$H:$H,produtos_escape2!$A1971,Controle!$Z:$Z,"1")</f>
        <v>0</v>
      </c>
      <c r="G1971" s="507">
        <f>SUMIFS(Controle!$R:$R,Controle!$H:$H,produtos_escape2!$A1971,Controle!$Z:$Z,"2")</f>
        <v>240</v>
      </c>
      <c r="H1971" s="507">
        <f>SUMIFS(Controle!$R:$R,Controle!$H:$H,produtos_escape2!$A1971,Controle!$Z:$Z,"3")</f>
        <v>0</v>
      </c>
      <c r="I1971" s="507">
        <f>SUMIFS(Controle!$R:$R,Controle!$H:$H,produtos_escape2!$A1971,Controle!$Z:$Z,"4")</f>
        <v>0</v>
      </c>
      <c r="J1971" s="507">
        <f>SUMIFS(Controle!$R:$R,Controle!$H:$H,produtos_escape2!$A1971,Controle!$Z:$Z,"5")</f>
        <v>0</v>
      </c>
      <c r="K1971" s="507">
        <f>SUMIFS(Controle!$R:$R,Controle!$H:$H,produtos_escape2!$A1971,Controle!$Z:$Z,"6")</f>
        <v>0</v>
      </c>
      <c r="L1971" s="507">
        <f t="shared" si="67"/>
        <v>240</v>
      </c>
      <c r="M1971" s="381" t="s">
        <v>5700</v>
      </c>
    </row>
    <row r="1972" spans="1:13" s="185" customFormat="1" ht="14.25" customHeight="1" thickBot="1">
      <c r="A1972" s="353">
        <v>92145</v>
      </c>
      <c r="B1972" s="194" t="s">
        <v>257</v>
      </c>
      <c r="C1972" s="339">
        <f t="shared" si="68"/>
        <v>50000</v>
      </c>
      <c r="D1972" s="196" t="s">
        <v>653</v>
      </c>
      <c r="E1972" s="187" t="s">
        <v>3608</v>
      </c>
      <c r="F1972" s="507">
        <f>SUMIFS(Controle!$R:$R,Controle!$H:$H,produtos_escape2!$A1972,Controle!$Z:$Z,"1")</f>
        <v>0</v>
      </c>
      <c r="G1972" s="507">
        <f>SUMIFS(Controle!$R:$R,Controle!$H:$H,produtos_escape2!$A1972,Controle!$Z:$Z,"2")</f>
        <v>0</v>
      </c>
      <c r="H1972" s="507">
        <f>SUMIFS(Controle!$R:$R,Controle!$H:$H,produtos_escape2!$A1972,Controle!$Z:$Z,"3")</f>
        <v>0</v>
      </c>
      <c r="I1972" s="507">
        <f>SUMIFS(Controle!$R:$R,Controle!$H:$H,produtos_escape2!$A1972,Controle!$Z:$Z,"4")</f>
        <v>0</v>
      </c>
      <c r="J1972" s="507">
        <f>SUMIFS(Controle!$R:$R,Controle!$H:$H,produtos_escape2!$A1972,Controle!$Z:$Z,"5")</f>
        <v>0</v>
      </c>
      <c r="K1972" s="507">
        <f>SUMIFS(Controle!$R:$R,Controle!$H:$H,produtos_escape2!$A1972,Controle!$Z:$Z,"6")</f>
        <v>0</v>
      </c>
      <c r="L1972" s="507">
        <f t="shared" si="67"/>
        <v>0</v>
      </c>
      <c r="M1972" s="381" t="s">
        <v>257</v>
      </c>
    </row>
    <row r="1973" spans="1:13" s="185" customFormat="1" ht="14.25" customHeight="1" thickBot="1">
      <c r="A1973" s="333">
        <v>92226</v>
      </c>
      <c r="B1973" s="194" t="s">
        <v>6766</v>
      </c>
      <c r="C1973" s="339">
        <f t="shared" si="68"/>
        <v>49722</v>
      </c>
      <c r="D1973" s="196" t="s">
        <v>639</v>
      </c>
      <c r="E1973" s="187" t="s">
        <v>3608</v>
      </c>
      <c r="F1973" s="507">
        <f>SUMIFS(Controle!$R:$R,Controle!$H:$H,produtos_escape2!$A1973,Controle!$Z:$Z,"1")</f>
        <v>0</v>
      </c>
      <c r="G1973" s="507">
        <f>SUMIFS(Controle!$R:$R,Controle!$H:$H,produtos_escape2!$A1973,Controle!$Z:$Z,"2")</f>
        <v>278</v>
      </c>
      <c r="H1973" s="507">
        <f>SUMIFS(Controle!$R:$R,Controle!$H:$H,produtos_escape2!$A1973,Controle!$Z:$Z,"3")</f>
        <v>0</v>
      </c>
      <c r="I1973" s="507">
        <f>SUMIFS(Controle!$R:$R,Controle!$H:$H,produtos_escape2!$A1973,Controle!$Z:$Z,"4")</f>
        <v>0</v>
      </c>
      <c r="J1973" s="507">
        <f>SUMIFS(Controle!$R:$R,Controle!$H:$H,produtos_escape2!$A1973,Controle!$Z:$Z,"5")</f>
        <v>0</v>
      </c>
      <c r="K1973" s="507">
        <f>SUMIFS(Controle!$R:$R,Controle!$H:$H,produtos_escape2!$A1973,Controle!$Z:$Z,"6")</f>
        <v>0</v>
      </c>
      <c r="L1973" s="507">
        <f t="shared" si="67"/>
        <v>278</v>
      </c>
      <c r="M1973" s="381" t="s">
        <v>5503</v>
      </c>
    </row>
    <row r="1974" spans="1:13" s="185" customFormat="1" ht="14.25" customHeight="1" thickBot="1">
      <c r="A1974" s="353">
        <v>92230</v>
      </c>
      <c r="B1974" s="194" t="s">
        <v>1162</v>
      </c>
      <c r="C1974" s="339">
        <f t="shared" si="68"/>
        <v>50000</v>
      </c>
      <c r="D1974" s="196" t="s">
        <v>624</v>
      </c>
      <c r="E1974" s="187" t="s">
        <v>3608</v>
      </c>
      <c r="F1974" s="507">
        <f>SUMIFS(Controle!$R:$R,Controle!$H:$H,produtos_escape2!$A1974,Controle!$Z:$Z,"1")</f>
        <v>0</v>
      </c>
      <c r="G1974" s="507">
        <f>SUMIFS(Controle!$R:$R,Controle!$H:$H,produtos_escape2!$A1974,Controle!$Z:$Z,"2")</f>
        <v>0</v>
      </c>
      <c r="H1974" s="507">
        <f>SUMIFS(Controle!$R:$R,Controle!$H:$H,produtos_escape2!$A1974,Controle!$Z:$Z,"3")</f>
        <v>0</v>
      </c>
      <c r="I1974" s="507">
        <f>SUMIFS(Controle!$R:$R,Controle!$H:$H,produtos_escape2!$A1974,Controle!$Z:$Z,"4")</f>
        <v>0</v>
      </c>
      <c r="J1974" s="507">
        <f>SUMIFS(Controle!$R:$R,Controle!$H:$H,produtos_escape2!$A1974,Controle!$Z:$Z,"5")</f>
        <v>0</v>
      </c>
      <c r="K1974" s="507">
        <f>SUMIFS(Controle!$R:$R,Controle!$H:$H,produtos_escape2!$A1974,Controle!$Z:$Z,"6")</f>
        <v>0</v>
      </c>
      <c r="L1974" s="507">
        <f t="shared" si="67"/>
        <v>0</v>
      </c>
      <c r="M1974" s="381" t="s">
        <v>5504</v>
      </c>
    </row>
    <row r="1975" spans="1:13" s="185" customFormat="1" ht="14.25" customHeight="1" thickBot="1">
      <c r="A1975" s="353">
        <v>92231</v>
      </c>
      <c r="B1975" s="194" t="s">
        <v>1163</v>
      </c>
      <c r="C1975" s="339">
        <f t="shared" si="68"/>
        <v>50000</v>
      </c>
      <c r="D1975" s="196" t="s">
        <v>624</v>
      </c>
      <c r="E1975" s="187" t="s">
        <v>3608</v>
      </c>
      <c r="F1975" s="507">
        <f>SUMIFS(Controle!$R:$R,Controle!$H:$H,produtos_escape2!$A1975,Controle!$Z:$Z,"1")</f>
        <v>0</v>
      </c>
      <c r="G1975" s="507">
        <f>SUMIFS(Controle!$R:$R,Controle!$H:$H,produtos_escape2!$A1975,Controle!$Z:$Z,"2")</f>
        <v>0</v>
      </c>
      <c r="H1975" s="507">
        <f>SUMIFS(Controle!$R:$R,Controle!$H:$H,produtos_escape2!$A1975,Controle!$Z:$Z,"3")</f>
        <v>0</v>
      </c>
      <c r="I1975" s="507">
        <f>SUMIFS(Controle!$R:$R,Controle!$H:$H,produtos_escape2!$A1975,Controle!$Z:$Z,"4")</f>
        <v>0</v>
      </c>
      <c r="J1975" s="507">
        <f>SUMIFS(Controle!$R:$R,Controle!$H:$H,produtos_escape2!$A1975,Controle!$Z:$Z,"5")</f>
        <v>0</v>
      </c>
      <c r="K1975" s="507">
        <f>SUMIFS(Controle!$R:$R,Controle!$H:$H,produtos_escape2!$A1975,Controle!$Z:$Z,"6")</f>
        <v>0</v>
      </c>
      <c r="L1975" s="507">
        <f t="shared" si="67"/>
        <v>0</v>
      </c>
      <c r="M1975" s="381" t="s">
        <v>5504</v>
      </c>
    </row>
    <row r="1976" spans="1:13" s="185" customFormat="1" ht="14.25" customHeight="1" thickBot="1">
      <c r="A1976" s="353">
        <v>92232</v>
      </c>
      <c r="B1976" s="338" t="s">
        <v>1164</v>
      </c>
      <c r="C1976" s="339">
        <f t="shared" si="68"/>
        <v>50000</v>
      </c>
      <c r="D1976" s="196" t="s">
        <v>624</v>
      </c>
      <c r="E1976" s="187" t="s">
        <v>3608</v>
      </c>
      <c r="F1976" s="507">
        <f>SUMIFS(Controle!$R:$R,Controle!$H:$H,produtos_escape2!$A1976,Controle!$Z:$Z,"1")</f>
        <v>0</v>
      </c>
      <c r="G1976" s="507">
        <f>SUMIFS(Controle!$R:$R,Controle!$H:$H,produtos_escape2!$A1976,Controle!$Z:$Z,"2")</f>
        <v>0</v>
      </c>
      <c r="H1976" s="507">
        <f>SUMIFS(Controle!$R:$R,Controle!$H:$H,produtos_escape2!$A1976,Controle!$Z:$Z,"3")</f>
        <v>0</v>
      </c>
      <c r="I1976" s="507">
        <f>SUMIFS(Controle!$R:$R,Controle!$H:$H,produtos_escape2!$A1976,Controle!$Z:$Z,"4")</f>
        <v>0</v>
      </c>
      <c r="J1976" s="507">
        <f>SUMIFS(Controle!$R:$R,Controle!$H:$H,produtos_escape2!$A1976,Controle!$Z:$Z,"5")</f>
        <v>0</v>
      </c>
      <c r="K1976" s="507">
        <f>SUMIFS(Controle!$R:$R,Controle!$H:$H,produtos_escape2!$A1976,Controle!$Z:$Z,"6")</f>
        <v>0</v>
      </c>
      <c r="L1976" s="507">
        <f t="shared" si="67"/>
        <v>0</v>
      </c>
      <c r="M1976" s="381" t="s">
        <v>5504</v>
      </c>
    </row>
    <row r="1977" spans="1:13" s="185" customFormat="1" ht="14.25" customHeight="1" thickBot="1">
      <c r="A1977" s="353">
        <v>92234</v>
      </c>
      <c r="B1977" s="194" t="s">
        <v>1689</v>
      </c>
      <c r="C1977" s="339">
        <f t="shared" si="68"/>
        <v>50000</v>
      </c>
      <c r="D1977" s="191" t="s">
        <v>624</v>
      </c>
      <c r="E1977" s="189" t="s">
        <v>3608</v>
      </c>
      <c r="F1977" s="507">
        <f>SUMIFS(Controle!$R:$R,Controle!$H:$H,produtos_escape2!$A1977,Controle!$Z:$Z,"1")</f>
        <v>0</v>
      </c>
      <c r="G1977" s="507">
        <f>SUMIFS(Controle!$R:$R,Controle!$H:$H,produtos_escape2!$A1977,Controle!$Z:$Z,"2")</f>
        <v>0</v>
      </c>
      <c r="H1977" s="507">
        <f>SUMIFS(Controle!$R:$R,Controle!$H:$H,produtos_escape2!$A1977,Controle!$Z:$Z,"3")</f>
        <v>0</v>
      </c>
      <c r="I1977" s="507">
        <f>SUMIFS(Controle!$R:$R,Controle!$H:$H,produtos_escape2!$A1977,Controle!$Z:$Z,"4")</f>
        <v>0</v>
      </c>
      <c r="J1977" s="507">
        <f>SUMIFS(Controle!$R:$R,Controle!$H:$H,produtos_escape2!$A1977,Controle!$Z:$Z,"5")</f>
        <v>0</v>
      </c>
      <c r="K1977" s="507">
        <f>SUMIFS(Controle!$R:$R,Controle!$H:$H,produtos_escape2!$A1977,Controle!$Z:$Z,"6")</f>
        <v>0</v>
      </c>
      <c r="L1977" s="507">
        <f t="shared" si="67"/>
        <v>0</v>
      </c>
      <c r="M1977" s="381" t="s">
        <v>5505</v>
      </c>
    </row>
    <row r="1978" spans="1:13" s="185" customFormat="1" ht="14.25" customHeight="1" thickBot="1">
      <c r="A1978" s="353">
        <v>92235</v>
      </c>
      <c r="B1978" s="194" t="s">
        <v>7001</v>
      </c>
      <c r="C1978" s="339">
        <f t="shared" si="68"/>
        <v>50000</v>
      </c>
      <c r="D1978" s="191" t="s">
        <v>624</v>
      </c>
      <c r="E1978" s="189" t="s">
        <v>3608</v>
      </c>
      <c r="F1978" s="507">
        <f>SUMIFS(Controle!$R:$R,Controle!$H:$H,produtos_escape2!$A1978,Controle!$Z:$Z,"1")</f>
        <v>0</v>
      </c>
      <c r="G1978" s="507">
        <f>SUMIFS(Controle!$R:$R,Controle!$H:$H,produtos_escape2!$A1978,Controle!$Z:$Z,"2")</f>
        <v>0</v>
      </c>
      <c r="H1978" s="507">
        <f>SUMIFS(Controle!$R:$R,Controle!$H:$H,produtos_escape2!$A1978,Controle!$Z:$Z,"3")</f>
        <v>0</v>
      </c>
      <c r="I1978" s="507">
        <f>SUMIFS(Controle!$R:$R,Controle!$H:$H,produtos_escape2!$A1978,Controle!$Z:$Z,"4")</f>
        <v>0</v>
      </c>
      <c r="J1978" s="507">
        <f>SUMIFS(Controle!$R:$R,Controle!$H:$H,produtos_escape2!$A1978,Controle!$Z:$Z,"5")</f>
        <v>0</v>
      </c>
      <c r="K1978" s="507">
        <f>SUMIFS(Controle!$R:$R,Controle!$H:$H,produtos_escape2!$A1978,Controle!$Z:$Z,"6")</f>
        <v>0</v>
      </c>
      <c r="L1978" s="507">
        <f t="shared" si="67"/>
        <v>0</v>
      </c>
      <c r="M1978" s="381" t="s">
        <v>5505</v>
      </c>
    </row>
    <row r="1979" spans="1:13" s="185" customFormat="1" ht="14.25" customHeight="1" thickBot="1">
      <c r="A1979" s="353">
        <v>92236</v>
      </c>
      <c r="B1979" s="194" t="s">
        <v>2689</v>
      </c>
      <c r="C1979" s="339">
        <f t="shared" si="68"/>
        <v>50000</v>
      </c>
      <c r="D1979" s="196" t="s">
        <v>550</v>
      </c>
      <c r="E1979" s="187" t="s">
        <v>3608</v>
      </c>
      <c r="F1979" s="507">
        <f>SUMIFS(Controle!$R:$R,Controle!$H:$H,produtos_escape2!$A1979,Controle!$Z:$Z,"1")</f>
        <v>0</v>
      </c>
      <c r="G1979" s="507">
        <f>SUMIFS(Controle!$R:$R,Controle!$H:$H,produtos_escape2!$A1979,Controle!$Z:$Z,"2")</f>
        <v>0</v>
      </c>
      <c r="H1979" s="507">
        <f>SUMIFS(Controle!$R:$R,Controle!$H:$H,produtos_escape2!$A1979,Controle!$Z:$Z,"3")</f>
        <v>0</v>
      </c>
      <c r="I1979" s="507">
        <f>SUMIFS(Controle!$R:$R,Controle!$H:$H,produtos_escape2!$A1979,Controle!$Z:$Z,"4")</f>
        <v>0</v>
      </c>
      <c r="J1979" s="507">
        <f>SUMIFS(Controle!$R:$R,Controle!$H:$H,produtos_escape2!$A1979,Controle!$Z:$Z,"5")</f>
        <v>0</v>
      </c>
      <c r="K1979" s="507">
        <f>SUMIFS(Controle!$R:$R,Controle!$H:$H,produtos_escape2!$A1979,Controle!$Z:$Z,"6")</f>
        <v>0</v>
      </c>
      <c r="L1979" s="507">
        <f t="shared" si="67"/>
        <v>0</v>
      </c>
      <c r="M1979" s="381" t="s">
        <v>5505</v>
      </c>
    </row>
    <row r="1980" spans="1:13" s="185" customFormat="1" ht="14.25" customHeight="1" thickBot="1">
      <c r="A1980" s="353">
        <v>92237</v>
      </c>
      <c r="B1980" s="194" t="s">
        <v>1688</v>
      </c>
      <c r="C1980" s="339">
        <f t="shared" si="68"/>
        <v>50000</v>
      </c>
      <c r="D1980" s="191" t="s">
        <v>624</v>
      </c>
      <c r="E1980" s="189" t="s">
        <v>3608</v>
      </c>
      <c r="F1980" s="507">
        <f>SUMIFS(Controle!$R:$R,Controle!$H:$H,produtos_escape2!$A1980,Controle!$Z:$Z,"1")</f>
        <v>0</v>
      </c>
      <c r="G1980" s="507">
        <f>SUMIFS(Controle!$R:$R,Controle!$H:$H,produtos_escape2!$A1980,Controle!$Z:$Z,"2")</f>
        <v>0</v>
      </c>
      <c r="H1980" s="507">
        <f>SUMIFS(Controle!$R:$R,Controle!$H:$H,produtos_escape2!$A1980,Controle!$Z:$Z,"3")</f>
        <v>0</v>
      </c>
      <c r="I1980" s="507">
        <f>SUMIFS(Controle!$R:$R,Controle!$H:$H,produtos_escape2!$A1980,Controle!$Z:$Z,"4")</f>
        <v>0</v>
      </c>
      <c r="J1980" s="507">
        <f>SUMIFS(Controle!$R:$R,Controle!$H:$H,produtos_escape2!$A1980,Controle!$Z:$Z,"5")</f>
        <v>0</v>
      </c>
      <c r="K1980" s="507">
        <f>SUMIFS(Controle!$R:$R,Controle!$H:$H,produtos_escape2!$A1980,Controle!$Z:$Z,"6")</f>
        <v>0</v>
      </c>
      <c r="L1980" s="507">
        <f t="shared" si="67"/>
        <v>0</v>
      </c>
      <c r="M1980" s="381" t="s">
        <v>5505</v>
      </c>
    </row>
    <row r="1981" spans="1:13" s="185" customFormat="1" ht="14.25" customHeight="1" thickBot="1">
      <c r="A1981" s="353">
        <v>92239</v>
      </c>
      <c r="B1981" s="194" t="s">
        <v>2906</v>
      </c>
      <c r="C1981" s="339">
        <f t="shared" si="68"/>
        <v>50000</v>
      </c>
      <c r="D1981" s="196" t="s">
        <v>548</v>
      </c>
      <c r="E1981" s="187" t="s">
        <v>7207</v>
      </c>
      <c r="F1981" s="507">
        <f>SUMIFS(Controle!$R:$R,Controle!$H:$H,produtos_escape2!$A1981,Controle!$Z:$Z,"1")</f>
        <v>0</v>
      </c>
      <c r="G1981" s="507">
        <f>SUMIFS(Controle!$R:$R,Controle!$H:$H,produtos_escape2!$A1981,Controle!$Z:$Z,"2")</f>
        <v>0</v>
      </c>
      <c r="H1981" s="507">
        <f>SUMIFS(Controle!$R:$R,Controle!$H:$H,produtos_escape2!$A1981,Controle!$Z:$Z,"3")</f>
        <v>0</v>
      </c>
      <c r="I1981" s="507">
        <f>SUMIFS(Controle!$R:$R,Controle!$H:$H,produtos_escape2!$A1981,Controle!$Z:$Z,"4")</f>
        <v>0</v>
      </c>
      <c r="J1981" s="507">
        <f>SUMIFS(Controle!$R:$R,Controle!$H:$H,produtos_escape2!$A1981,Controle!$Z:$Z,"5")</f>
        <v>0</v>
      </c>
      <c r="K1981" s="507">
        <f>SUMIFS(Controle!$R:$R,Controle!$H:$H,produtos_escape2!$A1981,Controle!$Z:$Z,"6")</f>
        <v>0</v>
      </c>
      <c r="L1981" s="507">
        <f t="shared" si="67"/>
        <v>0</v>
      </c>
      <c r="M1981" s="381" t="s">
        <v>5506</v>
      </c>
    </row>
    <row r="1982" spans="1:13" s="185" customFormat="1" ht="14.25" customHeight="1" thickBot="1">
      <c r="A1982" s="333">
        <v>92240</v>
      </c>
      <c r="B1982" s="194" t="s">
        <v>1192</v>
      </c>
      <c r="C1982" s="339">
        <f t="shared" si="68"/>
        <v>50000</v>
      </c>
      <c r="D1982" s="196" t="s">
        <v>628</v>
      </c>
      <c r="E1982" s="187" t="s">
        <v>3608</v>
      </c>
      <c r="F1982" s="507">
        <f>SUMIFS(Controle!$R:$R,Controle!$H:$H,produtos_escape2!$A1982,Controle!$Z:$Z,"1")</f>
        <v>0</v>
      </c>
      <c r="G1982" s="507">
        <f>SUMIFS(Controle!$R:$R,Controle!$H:$H,produtos_escape2!$A1982,Controle!$Z:$Z,"2")</f>
        <v>0</v>
      </c>
      <c r="H1982" s="507">
        <f>SUMIFS(Controle!$R:$R,Controle!$H:$H,produtos_escape2!$A1982,Controle!$Z:$Z,"3")</f>
        <v>0</v>
      </c>
      <c r="I1982" s="507">
        <f>SUMIFS(Controle!$R:$R,Controle!$H:$H,produtos_escape2!$A1982,Controle!$Z:$Z,"4")</f>
        <v>0</v>
      </c>
      <c r="J1982" s="507">
        <f>SUMIFS(Controle!$R:$R,Controle!$H:$H,produtos_escape2!$A1982,Controle!$Z:$Z,"5")</f>
        <v>0</v>
      </c>
      <c r="K1982" s="507">
        <f>SUMIFS(Controle!$R:$R,Controle!$H:$H,produtos_escape2!$A1982,Controle!$Z:$Z,"6")</f>
        <v>0</v>
      </c>
      <c r="L1982" s="507">
        <f t="shared" si="67"/>
        <v>0</v>
      </c>
      <c r="M1982" s="381" t="s">
        <v>5507</v>
      </c>
    </row>
    <row r="1983" spans="1:13" s="185" customFormat="1" ht="14.25" customHeight="1" thickBot="1">
      <c r="A1983" s="353">
        <v>92250</v>
      </c>
      <c r="B1983" s="194" t="s">
        <v>807</v>
      </c>
      <c r="C1983" s="339">
        <f t="shared" si="68"/>
        <v>50000</v>
      </c>
      <c r="D1983" s="196" t="s">
        <v>653</v>
      </c>
      <c r="E1983" s="187" t="s">
        <v>3608</v>
      </c>
      <c r="F1983" s="507">
        <f>SUMIFS(Controle!$R:$R,Controle!$H:$H,produtos_escape2!$A1983,Controle!$Z:$Z,"1")</f>
        <v>0</v>
      </c>
      <c r="G1983" s="507">
        <f>SUMIFS(Controle!$R:$R,Controle!$H:$H,produtos_escape2!$A1983,Controle!$Z:$Z,"2")</f>
        <v>0</v>
      </c>
      <c r="H1983" s="507">
        <f>SUMIFS(Controle!$R:$R,Controle!$H:$H,produtos_escape2!$A1983,Controle!$Z:$Z,"3")</f>
        <v>0</v>
      </c>
      <c r="I1983" s="507">
        <f>SUMIFS(Controle!$R:$R,Controle!$H:$H,produtos_escape2!$A1983,Controle!$Z:$Z,"4")</f>
        <v>0</v>
      </c>
      <c r="J1983" s="507">
        <f>SUMIFS(Controle!$R:$R,Controle!$H:$H,produtos_escape2!$A1983,Controle!$Z:$Z,"5")</f>
        <v>0</v>
      </c>
      <c r="K1983" s="507">
        <f>SUMIFS(Controle!$R:$R,Controle!$H:$H,produtos_escape2!$A1983,Controle!$Z:$Z,"6")</f>
        <v>0</v>
      </c>
      <c r="L1983" s="507">
        <f t="shared" ref="L1983:L2046" si="69">SUM(F1983:K1983)</f>
        <v>0</v>
      </c>
      <c r="M1983" s="381" t="s">
        <v>5508</v>
      </c>
    </row>
    <row r="1984" spans="1:13" s="185" customFormat="1" ht="14.25" customHeight="1" thickBot="1">
      <c r="A1984" s="353">
        <v>92255</v>
      </c>
      <c r="B1984" s="194" t="s">
        <v>1043</v>
      </c>
      <c r="C1984" s="339">
        <f t="shared" si="68"/>
        <v>50000</v>
      </c>
      <c r="D1984" s="196" t="s">
        <v>653</v>
      </c>
      <c r="E1984" s="187" t="s">
        <v>3608</v>
      </c>
      <c r="F1984" s="507">
        <f>SUMIFS(Controle!$R:$R,Controle!$H:$H,produtos_escape2!$A1984,Controle!$Z:$Z,"1")</f>
        <v>0</v>
      </c>
      <c r="G1984" s="507">
        <f>SUMIFS(Controle!$R:$R,Controle!$H:$H,produtos_escape2!$A1984,Controle!$Z:$Z,"2")</f>
        <v>0</v>
      </c>
      <c r="H1984" s="507">
        <f>SUMIFS(Controle!$R:$R,Controle!$H:$H,produtos_escape2!$A1984,Controle!$Z:$Z,"3")</f>
        <v>0</v>
      </c>
      <c r="I1984" s="507">
        <f>SUMIFS(Controle!$R:$R,Controle!$H:$H,produtos_escape2!$A1984,Controle!$Z:$Z,"4")</f>
        <v>0</v>
      </c>
      <c r="J1984" s="507">
        <f>SUMIFS(Controle!$R:$R,Controle!$H:$H,produtos_escape2!$A1984,Controle!$Z:$Z,"5")</f>
        <v>0</v>
      </c>
      <c r="K1984" s="507">
        <f>SUMIFS(Controle!$R:$R,Controle!$H:$H,produtos_escape2!$A1984,Controle!$Z:$Z,"6")</f>
        <v>0</v>
      </c>
      <c r="L1984" s="507">
        <f t="shared" si="69"/>
        <v>0</v>
      </c>
      <c r="M1984" s="381" t="s">
        <v>5509</v>
      </c>
    </row>
    <row r="1985" spans="1:13" s="185" customFormat="1" ht="14.25" customHeight="1" thickBot="1">
      <c r="A1985" s="353">
        <v>92256</v>
      </c>
      <c r="B1985" s="338" t="s">
        <v>1373</v>
      </c>
      <c r="C1985" s="339">
        <f t="shared" si="68"/>
        <v>50000</v>
      </c>
      <c r="D1985" s="196" t="s">
        <v>653</v>
      </c>
      <c r="E1985" s="187" t="s">
        <v>3608</v>
      </c>
      <c r="F1985" s="507">
        <f>SUMIFS(Controle!$R:$R,Controle!$H:$H,produtos_escape2!$A1985,Controle!$Z:$Z,"1")</f>
        <v>0</v>
      </c>
      <c r="G1985" s="507">
        <f>SUMIFS(Controle!$R:$R,Controle!$H:$H,produtos_escape2!$A1985,Controle!$Z:$Z,"2")</f>
        <v>0</v>
      </c>
      <c r="H1985" s="507">
        <f>SUMIFS(Controle!$R:$R,Controle!$H:$H,produtos_escape2!$A1985,Controle!$Z:$Z,"3")</f>
        <v>0</v>
      </c>
      <c r="I1985" s="507">
        <f>SUMIFS(Controle!$R:$R,Controle!$H:$H,produtos_escape2!$A1985,Controle!$Z:$Z,"4")</f>
        <v>0</v>
      </c>
      <c r="J1985" s="507">
        <f>SUMIFS(Controle!$R:$R,Controle!$H:$H,produtos_escape2!$A1985,Controle!$Z:$Z,"5")</f>
        <v>0</v>
      </c>
      <c r="K1985" s="507">
        <f>SUMIFS(Controle!$R:$R,Controle!$H:$H,produtos_escape2!$A1985,Controle!$Z:$Z,"6")</f>
        <v>0</v>
      </c>
      <c r="L1985" s="507">
        <f t="shared" si="69"/>
        <v>0</v>
      </c>
      <c r="M1985" s="381" t="s">
        <v>5509</v>
      </c>
    </row>
    <row r="1986" spans="1:13" s="185" customFormat="1" ht="14.25" customHeight="1" thickBot="1">
      <c r="A1986" s="353">
        <v>92257</v>
      </c>
      <c r="B1986" s="194" t="s">
        <v>1373</v>
      </c>
      <c r="C1986" s="339">
        <f t="shared" si="68"/>
        <v>50000</v>
      </c>
      <c r="D1986" s="196" t="s">
        <v>653</v>
      </c>
      <c r="E1986" s="187" t="s">
        <v>3608</v>
      </c>
      <c r="F1986" s="507">
        <f>SUMIFS(Controle!$R:$R,Controle!$H:$H,produtos_escape2!$A1986,Controle!$Z:$Z,"1")</f>
        <v>0</v>
      </c>
      <c r="G1986" s="507">
        <f>SUMIFS(Controle!$R:$R,Controle!$H:$H,produtos_escape2!$A1986,Controle!$Z:$Z,"2")</f>
        <v>0</v>
      </c>
      <c r="H1986" s="507">
        <f>SUMIFS(Controle!$R:$R,Controle!$H:$H,produtos_escape2!$A1986,Controle!$Z:$Z,"3")</f>
        <v>0</v>
      </c>
      <c r="I1986" s="507">
        <f>SUMIFS(Controle!$R:$R,Controle!$H:$H,produtos_escape2!$A1986,Controle!$Z:$Z,"4")</f>
        <v>0</v>
      </c>
      <c r="J1986" s="507">
        <f>SUMIFS(Controle!$R:$R,Controle!$H:$H,produtos_escape2!$A1986,Controle!$Z:$Z,"5")</f>
        <v>0</v>
      </c>
      <c r="K1986" s="507">
        <f>SUMIFS(Controle!$R:$R,Controle!$H:$H,produtos_escape2!$A1986,Controle!$Z:$Z,"6")</f>
        <v>0</v>
      </c>
      <c r="L1986" s="507">
        <f t="shared" si="69"/>
        <v>0</v>
      </c>
      <c r="M1986" s="381" t="s">
        <v>5509</v>
      </c>
    </row>
    <row r="1987" spans="1:13" s="185" customFormat="1" ht="14.25" customHeight="1" thickBot="1">
      <c r="A1987" s="353">
        <v>92262</v>
      </c>
      <c r="B1987" s="194" t="s">
        <v>1797</v>
      </c>
      <c r="C1987" s="339">
        <f t="shared" si="68"/>
        <v>50000</v>
      </c>
      <c r="D1987" s="191" t="s">
        <v>624</v>
      </c>
      <c r="E1987" s="189" t="s">
        <v>3608</v>
      </c>
      <c r="F1987" s="507">
        <f>SUMIFS(Controle!$R:$R,Controle!$H:$H,produtos_escape2!$A1987,Controle!$Z:$Z,"1")</f>
        <v>0</v>
      </c>
      <c r="G1987" s="507">
        <f>SUMIFS(Controle!$R:$R,Controle!$H:$H,produtos_escape2!$A1987,Controle!$Z:$Z,"2")</f>
        <v>0</v>
      </c>
      <c r="H1987" s="507">
        <f>SUMIFS(Controle!$R:$R,Controle!$H:$H,produtos_escape2!$A1987,Controle!$Z:$Z,"3")</f>
        <v>0</v>
      </c>
      <c r="I1987" s="507">
        <f>SUMIFS(Controle!$R:$R,Controle!$H:$H,produtos_escape2!$A1987,Controle!$Z:$Z,"4")</f>
        <v>0</v>
      </c>
      <c r="J1987" s="507">
        <f>SUMIFS(Controle!$R:$R,Controle!$H:$H,produtos_escape2!$A1987,Controle!$Z:$Z,"5")</f>
        <v>0</v>
      </c>
      <c r="K1987" s="507">
        <f>SUMIFS(Controle!$R:$R,Controle!$H:$H,produtos_escape2!$A1987,Controle!$Z:$Z,"6")</f>
        <v>0</v>
      </c>
      <c r="L1987" s="507">
        <f t="shared" si="69"/>
        <v>0</v>
      </c>
      <c r="M1987" s="381" t="s">
        <v>5510</v>
      </c>
    </row>
    <row r="1988" spans="1:13" s="185" customFormat="1" ht="14.25" customHeight="1" thickBot="1">
      <c r="A1988" s="353">
        <v>92265</v>
      </c>
      <c r="B1988" s="194" t="s">
        <v>1514</v>
      </c>
      <c r="C1988" s="339">
        <f t="shared" si="68"/>
        <v>50000</v>
      </c>
      <c r="D1988" s="196" t="s">
        <v>653</v>
      </c>
      <c r="E1988" s="187" t="s">
        <v>3608</v>
      </c>
      <c r="F1988" s="507">
        <f>SUMIFS(Controle!$R:$R,Controle!$H:$H,produtos_escape2!$A1988,Controle!$Z:$Z,"1")</f>
        <v>0</v>
      </c>
      <c r="G1988" s="507">
        <f>SUMIFS(Controle!$R:$R,Controle!$H:$H,produtos_escape2!$A1988,Controle!$Z:$Z,"2")</f>
        <v>0</v>
      </c>
      <c r="H1988" s="507">
        <f>SUMIFS(Controle!$R:$R,Controle!$H:$H,produtos_escape2!$A1988,Controle!$Z:$Z,"3")</f>
        <v>0</v>
      </c>
      <c r="I1988" s="507">
        <f>SUMIFS(Controle!$R:$R,Controle!$H:$H,produtos_escape2!$A1988,Controle!$Z:$Z,"4")</f>
        <v>0</v>
      </c>
      <c r="J1988" s="507">
        <f>SUMIFS(Controle!$R:$R,Controle!$H:$H,produtos_escape2!$A1988,Controle!$Z:$Z,"5")</f>
        <v>0</v>
      </c>
      <c r="K1988" s="507">
        <f>SUMIFS(Controle!$R:$R,Controle!$H:$H,produtos_escape2!$A1988,Controle!$Z:$Z,"6")</f>
        <v>0</v>
      </c>
      <c r="L1988" s="507">
        <f t="shared" si="69"/>
        <v>0</v>
      </c>
      <c r="M1988" s="381" t="s">
        <v>5511</v>
      </c>
    </row>
    <row r="1989" spans="1:13" s="185" customFormat="1" ht="14.25" customHeight="1" thickBot="1">
      <c r="A1989" s="353">
        <v>92266</v>
      </c>
      <c r="B1989" s="194" t="s">
        <v>1515</v>
      </c>
      <c r="C1989" s="339">
        <f t="shared" si="68"/>
        <v>50000</v>
      </c>
      <c r="D1989" s="196" t="s">
        <v>653</v>
      </c>
      <c r="E1989" s="187" t="s">
        <v>3608</v>
      </c>
      <c r="F1989" s="507">
        <f>SUMIFS(Controle!$R:$R,Controle!$H:$H,produtos_escape2!$A1989,Controle!$Z:$Z,"1")</f>
        <v>0</v>
      </c>
      <c r="G1989" s="507">
        <f>SUMIFS(Controle!$R:$R,Controle!$H:$H,produtos_escape2!$A1989,Controle!$Z:$Z,"2")</f>
        <v>0</v>
      </c>
      <c r="H1989" s="507">
        <f>SUMIFS(Controle!$R:$R,Controle!$H:$H,produtos_escape2!$A1989,Controle!$Z:$Z,"3")</f>
        <v>0</v>
      </c>
      <c r="I1989" s="507">
        <f>SUMIFS(Controle!$R:$R,Controle!$H:$H,produtos_escape2!$A1989,Controle!$Z:$Z,"4")</f>
        <v>0</v>
      </c>
      <c r="J1989" s="507">
        <f>SUMIFS(Controle!$R:$R,Controle!$H:$H,produtos_escape2!$A1989,Controle!$Z:$Z,"5")</f>
        <v>0</v>
      </c>
      <c r="K1989" s="507">
        <f>SUMIFS(Controle!$R:$R,Controle!$H:$H,produtos_escape2!$A1989,Controle!$Z:$Z,"6")</f>
        <v>0</v>
      </c>
      <c r="L1989" s="507">
        <f t="shared" si="69"/>
        <v>0</v>
      </c>
      <c r="M1989" s="381" t="s">
        <v>5511</v>
      </c>
    </row>
    <row r="1990" spans="1:13" s="185" customFormat="1" ht="14.25" customHeight="1" thickBot="1">
      <c r="A1990" s="333">
        <v>92270</v>
      </c>
      <c r="B1990" s="194" t="s">
        <v>1768</v>
      </c>
      <c r="C1990" s="339">
        <f t="shared" si="68"/>
        <v>50000</v>
      </c>
      <c r="D1990" s="191" t="s">
        <v>624</v>
      </c>
      <c r="E1990" s="189" t="s">
        <v>7207</v>
      </c>
      <c r="F1990" s="507">
        <f>SUMIFS(Controle!$R:$R,Controle!$H:$H,produtos_escape2!$A1990,Controle!$Z:$Z,"1")</f>
        <v>0</v>
      </c>
      <c r="G1990" s="507">
        <f>SUMIFS(Controle!$R:$R,Controle!$H:$H,produtos_escape2!$A1990,Controle!$Z:$Z,"2")</f>
        <v>0</v>
      </c>
      <c r="H1990" s="507">
        <f>SUMIFS(Controle!$R:$R,Controle!$H:$H,produtos_escape2!$A1990,Controle!$Z:$Z,"3")</f>
        <v>0</v>
      </c>
      <c r="I1990" s="507">
        <f>SUMIFS(Controle!$R:$R,Controle!$H:$H,produtos_escape2!$A1990,Controle!$Z:$Z,"4")</f>
        <v>0</v>
      </c>
      <c r="J1990" s="507">
        <f>SUMIFS(Controle!$R:$R,Controle!$H:$H,produtos_escape2!$A1990,Controle!$Z:$Z,"5")</f>
        <v>0</v>
      </c>
      <c r="K1990" s="507">
        <f>SUMIFS(Controle!$R:$R,Controle!$H:$H,produtos_escape2!$A1990,Controle!$Z:$Z,"6")</f>
        <v>0</v>
      </c>
      <c r="L1990" s="507">
        <f t="shared" si="69"/>
        <v>0</v>
      </c>
      <c r="M1990" s="381" t="s">
        <v>5512</v>
      </c>
    </row>
    <row r="1991" spans="1:13" s="185" customFormat="1" ht="14.25" customHeight="1" thickBot="1">
      <c r="A1991" s="353">
        <v>92272</v>
      </c>
      <c r="B1991" s="194" t="s">
        <v>1112</v>
      </c>
      <c r="C1991" s="339">
        <f t="shared" si="68"/>
        <v>50000</v>
      </c>
      <c r="D1991" s="196" t="s">
        <v>653</v>
      </c>
      <c r="E1991" s="187" t="s">
        <v>3608</v>
      </c>
      <c r="F1991" s="507">
        <f>SUMIFS(Controle!$R:$R,Controle!$H:$H,produtos_escape2!$A1991,Controle!$Z:$Z,"1")</f>
        <v>0</v>
      </c>
      <c r="G1991" s="507">
        <f>SUMIFS(Controle!$R:$R,Controle!$H:$H,produtos_escape2!$A1991,Controle!$Z:$Z,"2")</f>
        <v>0</v>
      </c>
      <c r="H1991" s="507">
        <f>SUMIFS(Controle!$R:$R,Controle!$H:$H,produtos_escape2!$A1991,Controle!$Z:$Z,"3")</f>
        <v>0</v>
      </c>
      <c r="I1991" s="507">
        <f>SUMIFS(Controle!$R:$R,Controle!$H:$H,produtos_escape2!$A1991,Controle!$Z:$Z,"4")</f>
        <v>0</v>
      </c>
      <c r="J1991" s="507">
        <f>SUMIFS(Controle!$R:$R,Controle!$H:$H,produtos_escape2!$A1991,Controle!$Z:$Z,"5")</f>
        <v>0</v>
      </c>
      <c r="K1991" s="507">
        <f>SUMIFS(Controle!$R:$R,Controle!$H:$H,produtos_escape2!$A1991,Controle!$Z:$Z,"6")</f>
        <v>0</v>
      </c>
      <c r="L1991" s="507">
        <f t="shared" si="69"/>
        <v>0</v>
      </c>
      <c r="M1991" s="381" t="s">
        <v>5513</v>
      </c>
    </row>
    <row r="1992" spans="1:13" s="185" customFormat="1" ht="14.25" customHeight="1" thickBot="1">
      <c r="A1992" s="353">
        <v>92273</v>
      </c>
      <c r="B1992" s="194" t="s">
        <v>1044</v>
      </c>
      <c r="C1992" s="339">
        <f t="shared" si="68"/>
        <v>50000</v>
      </c>
      <c r="D1992" s="196" t="s">
        <v>653</v>
      </c>
      <c r="E1992" s="187" t="s">
        <v>3608</v>
      </c>
      <c r="F1992" s="507">
        <f>SUMIFS(Controle!$R:$R,Controle!$H:$H,produtos_escape2!$A1992,Controle!$Z:$Z,"1")</f>
        <v>0</v>
      </c>
      <c r="G1992" s="507">
        <f>SUMIFS(Controle!$R:$R,Controle!$H:$H,produtos_escape2!$A1992,Controle!$Z:$Z,"2")</f>
        <v>0</v>
      </c>
      <c r="H1992" s="507">
        <f>SUMIFS(Controle!$R:$R,Controle!$H:$H,produtos_escape2!$A1992,Controle!$Z:$Z,"3")</f>
        <v>0</v>
      </c>
      <c r="I1992" s="507">
        <f>SUMIFS(Controle!$R:$R,Controle!$H:$H,produtos_escape2!$A1992,Controle!$Z:$Z,"4")</f>
        <v>0</v>
      </c>
      <c r="J1992" s="507">
        <f>SUMIFS(Controle!$R:$R,Controle!$H:$H,produtos_escape2!$A1992,Controle!$Z:$Z,"5")</f>
        <v>0</v>
      </c>
      <c r="K1992" s="507">
        <f>SUMIFS(Controle!$R:$R,Controle!$H:$H,produtos_escape2!$A1992,Controle!$Z:$Z,"6")</f>
        <v>0</v>
      </c>
      <c r="L1992" s="507">
        <f t="shared" si="69"/>
        <v>0</v>
      </c>
      <c r="M1992" s="381" t="s">
        <v>5513</v>
      </c>
    </row>
    <row r="1993" spans="1:13" s="185" customFormat="1" ht="14.25" customHeight="1" thickBot="1">
      <c r="A1993" s="353">
        <v>92279</v>
      </c>
      <c r="B1993" s="338" t="s">
        <v>1767</v>
      </c>
      <c r="C1993" s="339">
        <f t="shared" ref="C1993:C2056" si="70">50000-SUM(F1993:K1993)</f>
        <v>50000</v>
      </c>
      <c r="D1993" s="191" t="s">
        <v>624</v>
      </c>
      <c r="E1993" s="189" t="s">
        <v>7207</v>
      </c>
      <c r="F1993" s="507">
        <f>SUMIFS(Controle!$R:$R,Controle!$H:$H,produtos_escape2!$A1993,Controle!$Z:$Z,"1")</f>
        <v>0</v>
      </c>
      <c r="G1993" s="507">
        <f>SUMIFS(Controle!$R:$R,Controle!$H:$H,produtos_escape2!$A1993,Controle!$Z:$Z,"2")</f>
        <v>0</v>
      </c>
      <c r="H1993" s="507">
        <f>SUMIFS(Controle!$R:$R,Controle!$H:$H,produtos_escape2!$A1993,Controle!$Z:$Z,"3")</f>
        <v>0</v>
      </c>
      <c r="I1993" s="507">
        <f>SUMIFS(Controle!$R:$R,Controle!$H:$H,produtos_escape2!$A1993,Controle!$Z:$Z,"4")</f>
        <v>0</v>
      </c>
      <c r="J1993" s="507">
        <f>SUMIFS(Controle!$R:$R,Controle!$H:$H,produtos_escape2!$A1993,Controle!$Z:$Z,"5")</f>
        <v>0</v>
      </c>
      <c r="K1993" s="507">
        <f>SUMIFS(Controle!$R:$R,Controle!$H:$H,produtos_escape2!$A1993,Controle!$Z:$Z,"6")</f>
        <v>0</v>
      </c>
      <c r="L1993" s="507">
        <f t="shared" si="69"/>
        <v>0</v>
      </c>
      <c r="M1993" s="381" t="s">
        <v>5514</v>
      </c>
    </row>
    <row r="1994" spans="1:13" s="185" customFormat="1" ht="14.25" customHeight="1" thickBot="1">
      <c r="A1994" s="353">
        <v>92291</v>
      </c>
      <c r="B1994" s="194" t="s">
        <v>2864</v>
      </c>
      <c r="C1994" s="339">
        <f t="shared" si="70"/>
        <v>50000</v>
      </c>
      <c r="D1994" s="196" t="s">
        <v>653</v>
      </c>
      <c r="E1994" s="187" t="s">
        <v>3608</v>
      </c>
      <c r="F1994" s="507">
        <f>SUMIFS(Controle!$R:$R,Controle!$H:$H,produtos_escape2!$A1994,Controle!$Z:$Z,"1")</f>
        <v>0</v>
      </c>
      <c r="G1994" s="507">
        <f>SUMIFS(Controle!$R:$R,Controle!$H:$H,produtos_escape2!$A1994,Controle!$Z:$Z,"2")</f>
        <v>0</v>
      </c>
      <c r="H1994" s="507">
        <f>SUMIFS(Controle!$R:$R,Controle!$H:$H,produtos_escape2!$A1994,Controle!$Z:$Z,"3")</f>
        <v>0</v>
      </c>
      <c r="I1994" s="507">
        <f>SUMIFS(Controle!$R:$R,Controle!$H:$H,produtos_escape2!$A1994,Controle!$Z:$Z,"4")</f>
        <v>0</v>
      </c>
      <c r="J1994" s="507">
        <f>SUMIFS(Controle!$R:$R,Controle!$H:$H,produtos_escape2!$A1994,Controle!$Z:$Z,"5")</f>
        <v>0</v>
      </c>
      <c r="K1994" s="507">
        <f>SUMIFS(Controle!$R:$R,Controle!$H:$H,produtos_escape2!$A1994,Controle!$Z:$Z,"6")</f>
        <v>0</v>
      </c>
      <c r="L1994" s="507">
        <f t="shared" si="69"/>
        <v>0</v>
      </c>
      <c r="M1994" s="381" t="s">
        <v>5515</v>
      </c>
    </row>
    <row r="1995" spans="1:13" s="185" customFormat="1" ht="14.25" customHeight="1" thickBot="1">
      <c r="A1995" s="353">
        <v>92293</v>
      </c>
      <c r="B1995" s="194" t="s">
        <v>1004</v>
      </c>
      <c r="C1995" s="339">
        <f t="shared" si="70"/>
        <v>47432</v>
      </c>
      <c r="D1995" s="196" t="s">
        <v>753</v>
      </c>
      <c r="E1995" s="187" t="s">
        <v>3608</v>
      </c>
      <c r="F1995" s="507">
        <f>SUMIFS(Controle!$R:$R,Controle!$H:$H,produtos_escape2!$A1995,Controle!$Z:$Z,"1")</f>
        <v>0</v>
      </c>
      <c r="G1995" s="507">
        <f>SUMIFS(Controle!$R:$R,Controle!$H:$H,produtos_escape2!$A1995,Controle!$Z:$Z,"2")</f>
        <v>0</v>
      </c>
      <c r="H1995" s="507">
        <f>SUMIFS(Controle!$R:$R,Controle!$H:$H,produtos_escape2!$A1995,Controle!$Z:$Z,"3")</f>
        <v>0</v>
      </c>
      <c r="I1995" s="507">
        <f>SUMIFS(Controle!$R:$R,Controle!$H:$H,produtos_escape2!$A1995,Controle!$Z:$Z,"4")</f>
        <v>0</v>
      </c>
      <c r="J1995" s="507">
        <f>SUMIFS(Controle!$R:$R,Controle!$H:$H,produtos_escape2!$A1995,Controle!$Z:$Z,"5")</f>
        <v>0</v>
      </c>
      <c r="K1995" s="507">
        <f>SUMIFS(Controle!$R:$R,Controle!$H:$H,produtos_escape2!$A1995,Controle!$Z:$Z,"6")</f>
        <v>2568</v>
      </c>
      <c r="L1995" s="507">
        <f t="shared" si="69"/>
        <v>2568</v>
      </c>
      <c r="M1995" s="381" t="s">
        <v>5516</v>
      </c>
    </row>
    <row r="1996" spans="1:13" s="185" customFormat="1" ht="14.25" customHeight="1" thickBot="1">
      <c r="A1996" s="353">
        <v>92294</v>
      </c>
      <c r="B1996" s="194" t="s">
        <v>498</v>
      </c>
      <c r="C1996" s="339">
        <f t="shared" si="70"/>
        <v>50000</v>
      </c>
      <c r="D1996" s="196" t="s">
        <v>653</v>
      </c>
      <c r="E1996" s="187" t="s">
        <v>3608</v>
      </c>
      <c r="F1996" s="507">
        <f>SUMIFS(Controle!$R:$R,Controle!$H:$H,produtos_escape2!$A1996,Controle!$Z:$Z,"1")</f>
        <v>0</v>
      </c>
      <c r="G1996" s="507">
        <f>SUMIFS(Controle!$R:$R,Controle!$H:$H,produtos_escape2!$A1996,Controle!$Z:$Z,"2")</f>
        <v>0</v>
      </c>
      <c r="H1996" s="507">
        <f>SUMIFS(Controle!$R:$R,Controle!$H:$H,produtos_escape2!$A1996,Controle!$Z:$Z,"3")</f>
        <v>0</v>
      </c>
      <c r="I1996" s="507">
        <f>SUMIFS(Controle!$R:$R,Controle!$H:$H,produtos_escape2!$A1996,Controle!$Z:$Z,"4")</f>
        <v>0</v>
      </c>
      <c r="J1996" s="507">
        <f>SUMIFS(Controle!$R:$R,Controle!$H:$H,produtos_escape2!$A1996,Controle!$Z:$Z,"5")</f>
        <v>0</v>
      </c>
      <c r="K1996" s="507">
        <f>SUMIFS(Controle!$R:$R,Controle!$H:$H,produtos_escape2!$A1996,Controle!$Z:$Z,"6")</f>
        <v>0</v>
      </c>
      <c r="L1996" s="507">
        <f t="shared" si="69"/>
        <v>0</v>
      </c>
      <c r="M1996" s="381" t="s">
        <v>5517</v>
      </c>
    </row>
    <row r="1997" spans="1:13" s="185" customFormat="1" ht="14.25" customHeight="1" thickBot="1">
      <c r="A1997" s="353">
        <v>92295</v>
      </c>
      <c r="B1997" s="194" t="s">
        <v>1042</v>
      </c>
      <c r="C1997" s="339">
        <f t="shared" si="70"/>
        <v>50000</v>
      </c>
      <c r="D1997" s="196" t="s">
        <v>653</v>
      </c>
      <c r="E1997" s="187" t="s">
        <v>3608</v>
      </c>
      <c r="F1997" s="507">
        <f>SUMIFS(Controle!$R:$R,Controle!$H:$H,produtos_escape2!$A1997,Controle!$Z:$Z,"1")</f>
        <v>0</v>
      </c>
      <c r="G1997" s="507">
        <f>SUMIFS(Controle!$R:$R,Controle!$H:$H,produtos_escape2!$A1997,Controle!$Z:$Z,"2")</f>
        <v>0</v>
      </c>
      <c r="H1997" s="507">
        <f>SUMIFS(Controle!$R:$R,Controle!$H:$H,produtos_escape2!$A1997,Controle!$Z:$Z,"3")</f>
        <v>0</v>
      </c>
      <c r="I1997" s="507">
        <f>SUMIFS(Controle!$R:$R,Controle!$H:$H,produtos_escape2!$A1997,Controle!$Z:$Z,"4")</f>
        <v>0</v>
      </c>
      <c r="J1997" s="507">
        <f>SUMIFS(Controle!$R:$R,Controle!$H:$H,produtos_escape2!$A1997,Controle!$Z:$Z,"5")</f>
        <v>0</v>
      </c>
      <c r="K1997" s="507">
        <f>SUMIFS(Controle!$R:$R,Controle!$H:$H,produtos_escape2!$A1997,Controle!$Z:$Z,"6")</f>
        <v>0</v>
      </c>
      <c r="L1997" s="507">
        <f t="shared" si="69"/>
        <v>0</v>
      </c>
      <c r="M1997" s="381" t="s">
        <v>5518</v>
      </c>
    </row>
    <row r="1998" spans="1:13" s="185" customFormat="1" ht="14.25" customHeight="1" thickBot="1">
      <c r="A1998" s="333">
        <v>92296</v>
      </c>
      <c r="B1998" s="194" t="s">
        <v>2690</v>
      </c>
      <c r="C1998" s="339">
        <f t="shared" si="70"/>
        <v>50000</v>
      </c>
      <c r="D1998" s="196" t="s">
        <v>653</v>
      </c>
      <c r="E1998" s="187" t="s">
        <v>3608</v>
      </c>
      <c r="F1998" s="507">
        <f>SUMIFS(Controle!$R:$R,Controle!$H:$H,produtos_escape2!$A1998,Controle!$Z:$Z,"1")</f>
        <v>0</v>
      </c>
      <c r="G1998" s="507">
        <f>SUMIFS(Controle!$R:$R,Controle!$H:$H,produtos_escape2!$A1998,Controle!$Z:$Z,"2")</f>
        <v>0</v>
      </c>
      <c r="H1998" s="507">
        <f>SUMIFS(Controle!$R:$R,Controle!$H:$H,produtos_escape2!$A1998,Controle!$Z:$Z,"3")</f>
        <v>0</v>
      </c>
      <c r="I1998" s="507">
        <f>SUMIFS(Controle!$R:$R,Controle!$H:$H,produtos_escape2!$A1998,Controle!$Z:$Z,"4")</f>
        <v>0</v>
      </c>
      <c r="J1998" s="507">
        <f>SUMIFS(Controle!$R:$R,Controle!$H:$H,produtos_escape2!$A1998,Controle!$Z:$Z,"5")</f>
        <v>0</v>
      </c>
      <c r="K1998" s="507">
        <f>SUMIFS(Controle!$R:$R,Controle!$H:$H,produtos_escape2!$A1998,Controle!$Z:$Z,"6")</f>
        <v>0</v>
      </c>
      <c r="L1998" s="507">
        <f t="shared" si="69"/>
        <v>0</v>
      </c>
      <c r="M1998" s="381" t="s">
        <v>5519</v>
      </c>
    </row>
    <row r="1999" spans="1:13" s="185" customFormat="1" ht="14.25" customHeight="1" thickBot="1">
      <c r="A1999" s="353">
        <v>92297</v>
      </c>
      <c r="B1999" s="194" t="s">
        <v>2905</v>
      </c>
      <c r="C1999" s="339">
        <f t="shared" si="70"/>
        <v>50000</v>
      </c>
      <c r="D1999" s="196" t="s">
        <v>653</v>
      </c>
      <c r="E1999" s="187" t="s">
        <v>3608</v>
      </c>
      <c r="F1999" s="507">
        <f>SUMIFS(Controle!$R:$R,Controle!$H:$H,produtos_escape2!$A1999,Controle!$Z:$Z,"1")</f>
        <v>0</v>
      </c>
      <c r="G1999" s="507">
        <f>SUMIFS(Controle!$R:$R,Controle!$H:$H,produtos_escape2!$A1999,Controle!$Z:$Z,"2")</f>
        <v>0</v>
      </c>
      <c r="H1999" s="507">
        <f>SUMIFS(Controle!$R:$R,Controle!$H:$H,produtos_escape2!$A1999,Controle!$Z:$Z,"3")</f>
        <v>0</v>
      </c>
      <c r="I1999" s="507">
        <f>SUMIFS(Controle!$R:$R,Controle!$H:$H,produtos_escape2!$A1999,Controle!$Z:$Z,"4")</f>
        <v>0</v>
      </c>
      <c r="J1999" s="507">
        <f>SUMIFS(Controle!$R:$R,Controle!$H:$H,produtos_escape2!$A1999,Controle!$Z:$Z,"5")</f>
        <v>0</v>
      </c>
      <c r="K1999" s="507">
        <f>SUMIFS(Controle!$R:$R,Controle!$H:$H,produtos_escape2!$A1999,Controle!$Z:$Z,"6")</f>
        <v>0</v>
      </c>
      <c r="L1999" s="507">
        <f t="shared" si="69"/>
        <v>0</v>
      </c>
      <c r="M1999" s="381" t="s">
        <v>5519</v>
      </c>
    </row>
    <row r="2000" spans="1:13" s="185" customFormat="1" ht="14.25" customHeight="1" thickBot="1">
      <c r="A2000" s="353">
        <v>92298</v>
      </c>
      <c r="B2000" s="194" t="s">
        <v>2826</v>
      </c>
      <c r="C2000" s="339">
        <f t="shared" si="70"/>
        <v>50000</v>
      </c>
      <c r="D2000" s="196" t="s">
        <v>653</v>
      </c>
      <c r="E2000" s="187" t="s">
        <v>3608</v>
      </c>
      <c r="F2000" s="507">
        <f>SUMIFS(Controle!$R:$R,Controle!$H:$H,produtos_escape2!$A2000,Controle!$Z:$Z,"1")</f>
        <v>0</v>
      </c>
      <c r="G2000" s="507">
        <f>SUMIFS(Controle!$R:$R,Controle!$H:$H,produtos_escape2!$A2000,Controle!$Z:$Z,"2")</f>
        <v>0</v>
      </c>
      <c r="H2000" s="507">
        <f>SUMIFS(Controle!$R:$R,Controle!$H:$H,produtos_escape2!$A2000,Controle!$Z:$Z,"3")</f>
        <v>0</v>
      </c>
      <c r="I2000" s="507">
        <f>SUMIFS(Controle!$R:$R,Controle!$H:$H,produtos_escape2!$A2000,Controle!$Z:$Z,"4")</f>
        <v>0</v>
      </c>
      <c r="J2000" s="507">
        <f>SUMIFS(Controle!$R:$R,Controle!$H:$H,produtos_escape2!$A2000,Controle!$Z:$Z,"5")</f>
        <v>0</v>
      </c>
      <c r="K2000" s="507">
        <f>SUMIFS(Controle!$R:$R,Controle!$H:$H,produtos_escape2!$A2000,Controle!$Z:$Z,"6")</f>
        <v>0</v>
      </c>
      <c r="L2000" s="507">
        <f t="shared" si="69"/>
        <v>0</v>
      </c>
      <c r="M2000" s="381" t="s">
        <v>5520</v>
      </c>
    </row>
    <row r="2001" spans="1:13" s="185" customFormat="1" ht="14.25" customHeight="1" thickBot="1">
      <c r="A2001" s="353">
        <v>92308</v>
      </c>
      <c r="B2001" s="338" t="s">
        <v>775</v>
      </c>
      <c r="C2001" s="339">
        <f t="shared" si="70"/>
        <v>50000</v>
      </c>
      <c r="D2001" s="196" t="s">
        <v>753</v>
      </c>
      <c r="E2001" s="187" t="s">
        <v>3608</v>
      </c>
      <c r="F2001" s="507">
        <f>SUMIFS(Controle!$R:$R,Controle!$H:$H,produtos_escape2!$A2001,Controle!$Z:$Z,"1")</f>
        <v>0</v>
      </c>
      <c r="G2001" s="507">
        <f>SUMIFS(Controle!$R:$R,Controle!$H:$H,produtos_escape2!$A2001,Controle!$Z:$Z,"2")</f>
        <v>0</v>
      </c>
      <c r="H2001" s="507">
        <f>SUMIFS(Controle!$R:$R,Controle!$H:$H,produtos_escape2!$A2001,Controle!$Z:$Z,"3")</f>
        <v>0</v>
      </c>
      <c r="I2001" s="507">
        <f>SUMIFS(Controle!$R:$R,Controle!$H:$H,produtos_escape2!$A2001,Controle!$Z:$Z,"4")</f>
        <v>0</v>
      </c>
      <c r="J2001" s="507">
        <f>SUMIFS(Controle!$R:$R,Controle!$H:$H,produtos_escape2!$A2001,Controle!$Z:$Z,"5")</f>
        <v>0</v>
      </c>
      <c r="K2001" s="507">
        <f>SUMIFS(Controle!$R:$R,Controle!$H:$H,produtos_escape2!$A2001,Controle!$Z:$Z,"6")</f>
        <v>0</v>
      </c>
      <c r="L2001" s="507">
        <f t="shared" si="69"/>
        <v>0</v>
      </c>
      <c r="M2001" s="381" t="s">
        <v>5515</v>
      </c>
    </row>
    <row r="2002" spans="1:13" s="185" customFormat="1" ht="14.25" customHeight="1" thickBot="1">
      <c r="A2002" s="353">
        <v>92311</v>
      </c>
      <c r="B2002" s="194" t="s">
        <v>3615</v>
      </c>
      <c r="C2002" s="339">
        <f t="shared" si="70"/>
        <v>50000</v>
      </c>
      <c r="D2002" s="196" t="s">
        <v>3872</v>
      </c>
      <c r="E2002" s="189" t="s">
        <v>3608</v>
      </c>
      <c r="F2002" s="507">
        <f>SUMIFS(Controle!$R:$R,Controle!$H:$H,produtos_escape2!$A2002,Controle!$Z:$Z,"1")</f>
        <v>0</v>
      </c>
      <c r="G2002" s="507">
        <f>SUMIFS(Controle!$R:$R,Controle!$H:$H,produtos_escape2!$A2002,Controle!$Z:$Z,"2")</f>
        <v>0</v>
      </c>
      <c r="H2002" s="507">
        <f>SUMIFS(Controle!$R:$R,Controle!$H:$H,produtos_escape2!$A2002,Controle!$Z:$Z,"3")</f>
        <v>0</v>
      </c>
      <c r="I2002" s="507">
        <f>SUMIFS(Controle!$R:$R,Controle!$H:$H,produtos_escape2!$A2002,Controle!$Z:$Z,"4")</f>
        <v>0</v>
      </c>
      <c r="J2002" s="507">
        <f>SUMIFS(Controle!$R:$R,Controle!$H:$H,produtos_escape2!$A2002,Controle!$Z:$Z,"5")</f>
        <v>0</v>
      </c>
      <c r="K2002" s="507">
        <f>SUMIFS(Controle!$R:$R,Controle!$H:$H,produtos_escape2!$A2002,Controle!$Z:$Z,"6")</f>
        <v>0</v>
      </c>
      <c r="L2002" s="507">
        <f t="shared" si="69"/>
        <v>0</v>
      </c>
      <c r="M2002" s="381" t="s">
        <v>5521</v>
      </c>
    </row>
    <row r="2003" spans="1:13" s="185" customFormat="1" ht="14.25" customHeight="1" thickBot="1">
      <c r="A2003" s="353">
        <v>92313</v>
      </c>
      <c r="B2003" s="194" t="s">
        <v>1103</v>
      </c>
      <c r="C2003" s="339">
        <f t="shared" si="70"/>
        <v>50000</v>
      </c>
      <c r="D2003" s="196" t="s">
        <v>653</v>
      </c>
      <c r="E2003" s="187" t="s">
        <v>3608</v>
      </c>
      <c r="F2003" s="507">
        <f>SUMIFS(Controle!$R:$R,Controle!$H:$H,produtos_escape2!$A2003,Controle!$Z:$Z,"1")</f>
        <v>0</v>
      </c>
      <c r="G2003" s="507">
        <f>SUMIFS(Controle!$R:$R,Controle!$H:$H,produtos_escape2!$A2003,Controle!$Z:$Z,"2")</f>
        <v>0</v>
      </c>
      <c r="H2003" s="507">
        <f>SUMIFS(Controle!$R:$R,Controle!$H:$H,produtos_escape2!$A2003,Controle!$Z:$Z,"3")</f>
        <v>0</v>
      </c>
      <c r="I2003" s="507">
        <f>SUMIFS(Controle!$R:$R,Controle!$H:$H,produtos_escape2!$A2003,Controle!$Z:$Z,"4")</f>
        <v>0</v>
      </c>
      <c r="J2003" s="507">
        <f>SUMIFS(Controle!$R:$R,Controle!$H:$H,produtos_escape2!$A2003,Controle!$Z:$Z,"5")</f>
        <v>0</v>
      </c>
      <c r="K2003" s="507">
        <f>SUMIFS(Controle!$R:$R,Controle!$H:$H,produtos_escape2!$A2003,Controle!$Z:$Z,"6")</f>
        <v>0</v>
      </c>
      <c r="L2003" s="507">
        <f t="shared" si="69"/>
        <v>0</v>
      </c>
      <c r="M2003" s="381" t="s">
        <v>5515</v>
      </c>
    </row>
    <row r="2004" spans="1:13" s="185" customFormat="1" ht="14.25" customHeight="1" thickBot="1">
      <c r="A2004" s="353">
        <v>92315</v>
      </c>
      <c r="B2004" s="194" t="s">
        <v>1049</v>
      </c>
      <c r="C2004" s="339">
        <f t="shared" si="70"/>
        <v>50000</v>
      </c>
      <c r="D2004" s="196" t="s">
        <v>653</v>
      </c>
      <c r="E2004" s="187" t="s">
        <v>3608</v>
      </c>
      <c r="F2004" s="507">
        <f>SUMIFS(Controle!$R:$R,Controle!$H:$H,produtos_escape2!$A2004,Controle!$Z:$Z,"1")</f>
        <v>0</v>
      </c>
      <c r="G2004" s="507">
        <f>SUMIFS(Controle!$R:$R,Controle!$H:$H,produtos_escape2!$A2004,Controle!$Z:$Z,"2")</f>
        <v>0</v>
      </c>
      <c r="H2004" s="507">
        <f>SUMIFS(Controle!$R:$R,Controle!$H:$H,produtos_escape2!$A2004,Controle!$Z:$Z,"3")</f>
        <v>0</v>
      </c>
      <c r="I2004" s="507">
        <f>SUMIFS(Controle!$R:$R,Controle!$H:$H,produtos_escape2!$A2004,Controle!$Z:$Z,"4")</f>
        <v>0</v>
      </c>
      <c r="J2004" s="507">
        <f>SUMIFS(Controle!$R:$R,Controle!$H:$H,produtos_escape2!$A2004,Controle!$Z:$Z,"5")</f>
        <v>0</v>
      </c>
      <c r="K2004" s="507">
        <f>SUMIFS(Controle!$R:$R,Controle!$H:$H,produtos_escape2!$A2004,Controle!$Z:$Z,"6")</f>
        <v>0</v>
      </c>
      <c r="L2004" s="507">
        <f t="shared" si="69"/>
        <v>0</v>
      </c>
      <c r="M2004" s="381" t="s">
        <v>5515</v>
      </c>
    </row>
    <row r="2005" spans="1:13" s="185" customFormat="1" ht="14.25" customHeight="1" thickBot="1">
      <c r="A2005" s="353">
        <v>92316</v>
      </c>
      <c r="B2005" s="194" t="s">
        <v>1419</v>
      </c>
      <c r="C2005" s="339">
        <f t="shared" si="70"/>
        <v>50000</v>
      </c>
      <c r="D2005" s="196" t="s">
        <v>653</v>
      </c>
      <c r="E2005" s="187" t="s">
        <v>3608</v>
      </c>
      <c r="F2005" s="507">
        <f>SUMIFS(Controle!$R:$R,Controle!$H:$H,produtos_escape2!$A2005,Controle!$Z:$Z,"1")</f>
        <v>0</v>
      </c>
      <c r="G2005" s="507">
        <f>SUMIFS(Controle!$R:$R,Controle!$H:$H,produtos_escape2!$A2005,Controle!$Z:$Z,"2")</f>
        <v>0</v>
      </c>
      <c r="H2005" s="507">
        <f>SUMIFS(Controle!$R:$R,Controle!$H:$H,produtos_escape2!$A2005,Controle!$Z:$Z,"3")</f>
        <v>0</v>
      </c>
      <c r="I2005" s="507">
        <f>SUMIFS(Controle!$R:$R,Controle!$H:$H,produtos_escape2!$A2005,Controle!$Z:$Z,"4")</f>
        <v>0</v>
      </c>
      <c r="J2005" s="507">
        <f>SUMIFS(Controle!$R:$R,Controle!$H:$H,produtos_escape2!$A2005,Controle!$Z:$Z,"5")</f>
        <v>0</v>
      </c>
      <c r="K2005" s="507">
        <f>SUMIFS(Controle!$R:$R,Controle!$H:$H,produtos_escape2!$A2005,Controle!$Z:$Z,"6")</f>
        <v>0</v>
      </c>
      <c r="L2005" s="507">
        <f t="shared" si="69"/>
        <v>0</v>
      </c>
      <c r="M2005" s="381" t="s">
        <v>5515</v>
      </c>
    </row>
    <row r="2006" spans="1:13" s="185" customFormat="1" ht="14.25" customHeight="1" thickBot="1">
      <c r="A2006" s="333">
        <v>92329</v>
      </c>
      <c r="B2006" s="194" t="s">
        <v>3594</v>
      </c>
      <c r="C2006" s="339">
        <f t="shared" si="70"/>
        <v>50000</v>
      </c>
      <c r="D2006" s="196" t="s">
        <v>753</v>
      </c>
      <c r="E2006" s="187" t="s">
        <v>3608</v>
      </c>
      <c r="F2006" s="507">
        <f>SUMIFS(Controle!$R:$R,Controle!$H:$H,produtos_escape2!$A2006,Controle!$Z:$Z,"1")</f>
        <v>0</v>
      </c>
      <c r="G2006" s="507">
        <f>SUMIFS(Controle!$R:$R,Controle!$H:$H,produtos_escape2!$A2006,Controle!$Z:$Z,"2")</f>
        <v>0</v>
      </c>
      <c r="H2006" s="507">
        <f>SUMIFS(Controle!$R:$R,Controle!$H:$H,produtos_escape2!$A2006,Controle!$Z:$Z,"3")</f>
        <v>0</v>
      </c>
      <c r="I2006" s="507">
        <f>SUMIFS(Controle!$R:$R,Controle!$H:$H,produtos_escape2!$A2006,Controle!$Z:$Z,"4")</f>
        <v>0</v>
      </c>
      <c r="J2006" s="507">
        <f>SUMIFS(Controle!$R:$R,Controle!$H:$H,produtos_escape2!$A2006,Controle!$Z:$Z,"5")</f>
        <v>0</v>
      </c>
      <c r="K2006" s="507">
        <f>SUMIFS(Controle!$R:$R,Controle!$H:$H,produtos_escape2!$A2006,Controle!$Z:$Z,"6")</f>
        <v>0</v>
      </c>
      <c r="L2006" s="507">
        <f t="shared" si="69"/>
        <v>0</v>
      </c>
      <c r="M2006" s="381" t="s">
        <v>5515</v>
      </c>
    </row>
    <row r="2007" spans="1:13" s="185" customFormat="1" ht="14.25" customHeight="1" thickBot="1">
      <c r="A2007" s="353">
        <v>92330</v>
      </c>
      <c r="B2007" s="194" t="s">
        <v>6767</v>
      </c>
      <c r="C2007" s="339">
        <f t="shared" si="70"/>
        <v>50000</v>
      </c>
      <c r="D2007" s="196" t="s">
        <v>753</v>
      </c>
      <c r="E2007" s="187" t="s">
        <v>3608</v>
      </c>
      <c r="F2007" s="507">
        <f>SUMIFS(Controle!$R:$R,Controle!$H:$H,produtos_escape2!$A2007,Controle!$Z:$Z,"1")</f>
        <v>0</v>
      </c>
      <c r="G2007" s="507">
        <f>SUMIFS(Controle!$R:$R,Controle!$H:$H,produtos_escape2!$A2007,Controle!$Z:$Z,"2")</f>
        <v>0</v>
      </c>
      <c r="H2007" s="507">
        <f>SUMIFS(Controle!$R:$R,Controle!$H:$H,produtos_escape2!$A2007,Controle!$Z:$Z,"3")</f>
        <v>0</v>
      </c>
      <c r="I2007" s="507">
        <f>SUMIFS(Controle!$R:$R,Controle!$H:$H,produtos_escape2!$A2007,Controle!$Z:$Z,"4")</f>
        <v>0</v>
      </c>
      <c r="J2007" s="507">
        <f>SUMIFS(Controle!$R:$R,Controle!$H:$H,produtos_escape2!$A2007,Controle!$Z:$Z,"5")</f>
        <v>0</v>
      </c>
      <c r="K2007" s="507">
        <f>SUMIFS(Controle!$R:$R,Controle!$H:$H,produtos_escape2!$A2007,Controle!$Z:$Z,"6")</f>
        <v>0</v>
      </c>
      <c r="L2007" s="507">
        <f t="shared" si="69"/>
        <v>0</v>
      </c>
      <c r="M2007" s="381" t="s">
        <v>5522</v>
      </c>
    </row>
    <row r="2008" spans="1:13" s="185" customFormat="1" ht="14.25" customHeight="1" thickBot="1">
      <c r="A2008" s="353">
        <v>92332</v>
      </c>
      <c r="B2008" s="194" t="s">
        <v>385</v>
      </c>
      <c r="C2008" s="339">
        <f t="shared" si="70"/>
        <v>50000</v>
      </c>
      <c r="D2008" s="196" t="s">
        <v>753</v>
      </c>
      <c r="E2008" s="187" t="s">
        <v>3608</v>
      </c>
      <c r="F2008" s="507">
        <f>SUMIFS(Controle!$R:$R,Controle!$H:$H,produtos_escape2!$A2008,Controle!$Z:$Z,"1")</f>
        <v>0</v>
      </c>
      <c r="G2008" s="507">
        <f>SUMIFS(Controle!$R:$R,Controle!$H:$H,produtos_escape2!$A2008,Controle!$Z:$Z,"2")</f>
        <v>0</v>
      </c>
      <c r="H2008" s="507">
        <f>SUMIFS(Controle!$R:$R,Controle!$H:$H,produtos_escape2!$A2008,Controle!$Z:$Z,"3")</f>
        <v>0</v>
      </c>
      <c r="I2008" s="507">
        <f>SUMIFS(Controle!$R:$R,Controle!$H:$H,produtos_escape2!$A2008,Controle!$Z:$Z,"4")</f>
        <v>0</v>
      </c>
      <c r="J2008" s="507">
        <f>SUMIFS(Controle!$R:$R,Controle!$H:$H,produtos_escape2!$A2008,Controle!$Z:$Z,"5")</f>
        <v>0</v>
      </c>
      <c r="K2008" s="507">
        <f>SUMIFS(Controle!$R:$R,Controle!$H:$H,produtos_escape2!$A2008,Controle!$Z:$Z,"6")</f>
        <v>0</v>
      </c>
      <c r="L2008" s="507">
        <f t="shared" si="69"/>
        <v>0</v>
      </c>
      <c r="M2008" s="381" t="s">
        <v>5523</v>
      </c>
    </row>
    <row r="2009" spans="1:13" s="185" customFormat="1" ht="14.25" customHeight="1" thickBot="1">
      <c r="A2009" s="353">
        <v>92333</v>
      </c>
      <c r="B2009" s="338" t="s">
        <v>1005</v>
      </c>
      <c r="C2009" s="339">
        <f t="shared" si="70"/>
        <v>50000</v>
      </c>
      <c r="D2009" s="196" t="s">
        <v>753</v>
      </c>
      <c r="E2009" s="187" t="s">
        <v>3608</v>
      </c>
      <c r="F2009" s="507">
        <f>SUMIFS(Controle!$R:$R,Controle!$H:$H,produtos_escape2!$A2009,Controle!$Z:$Z,"1")</f>
        <v>0</v>
      </c>
      <c r="G2009" s="507">
        <f>SUMIFS(Controle!$R:$R,Controle!$H:$H,produtos_escape2!$A2009,Controle!$Z:$Z,"2")</f>
        <v>0</v>
      </c>
      <c r="H2009" s="507">
        <f>SUMIFS(Controle!$R:$R,Controle!$H:$H,produtos_escape2!$A2009,Controle!$Z:$Z,"3")</f>
        <v>0</v>
      </c>
      <c r="I2009" s="507">
        <f>SUMIFS(Controle!$R:$R,Controle!$H:$H,produtos_escape2!$A2009,Controle!$Z:$Z,"4")</f>
        <v>0</v>
      </c>
      <c r="J2009" s="507">
        <f>SUMIFS(Controle!$R:$R,Controle!$H:$H,produtos_escape2!$A2009,Controle!$Z:$Z,"5")</f>
        <v>0</v>
      </c>
      <c r="K2009" s="507">
        <f>SUMIFS(Controle!$R:$R,Controle!$H:$H,produtos_escape2!$A2009,Controle!$Z:$Z,"6")</f>
        <v>0</v>
      </c>
      <c r="L2009" s="507">
        <f t="shared" si="69"/>
        <v>0</v>
      </c>
      <c r="M2009" s="381" t="s">
        <v>5523</v>
      </c>
    </row>
    <row r="2010" spans="1:13" s="185" customFormat="1" ht="14.25" customHeight="1" thickBot="1">
      <c r="A2010" s="353">
        <v>92335</v>
      </c>
      <c r="B2010" s="194" t="s">
        <v>2828</v>
      </c>
      <c r="C2010" s="339">
        <f t="shared" si="70"/>
        <v>50000</v>
      </c>
      <c r="D2010" s="196" t="s">
        <v>653</v>
      </c>
      <c r="E2010" s="187" t="s">
        <v>3608</v>
      </c>
      <c r="F2010" s="507">
        <f>SUMIFS(Controle!$R:$R,Controle!$H:$H,produtos_escape2!$A2010,Controle!$Z:$Z,"1")</f>
        <v>0</v>
      </c>
      <c r="G2010" s="507">
        <f>SUMIFS(Controle!$R:$R,Controle!$H:$H,produtos_escape2!$A2010,Controle!$Z:$Z,"2")</f>
        <v>0</v>
      </c>
      <c r="H2010" s="507">
        <f>SUMIFS(Controle!$R:$R,Controle!$H:$H,produtos_escape2!$A2010,Controle!$Z:$Z,"3")</f>
        <v>0</v>
      </c>
      <c r="I2010" s="507">
        <f>SUMIFS(Controle!$R:$R,Controle!$H:$H,produtos_escape2!$A2010,Controle!$Z:$Z,"4")</f>
        <v>0</v>
      </c>
      <c r="J2010" s="507">
        <f>SUMIFS(Controle!$R:$R,Controle!$H:$H,produtos_escape2!$A2010,Controle!$Z:$Z,"5")</f>
        <v>0</v>
      </c>
      <c r="K2010" s="507">
        <f>SUMIFS(Controle!$R:$R,Controle!$H:$H,produtos_escape2!$A2010,Controle!$Z:$Z,"6")</f>
        <v>0</v>
      </c>
      <c r="L2010" s="507">
        <f t="shared" si="69"/>
        <v>0</v>
      </c>
      <c r="M2010" s="381" t="s">
        <v>5524</v>
      </c>
    </row>
    <row r="2011" spans="1:13" s="185" customFormat="1" ht="14.25" customHeight="1" thickBot="1">
      <c r="A2011" s="353">
        <v>92345</v>
      </c>
      <c r="B2011" s="194" t="s">
        <v>1542</v>
      </c>
      <c r="C2011" s="339">
        <f t="shared" si="70"/>
        <v>50000</v>
      </c>
      <c r="D2011" s="196" t="s">
        <v>753</v>
      </c>
      <c r="E2011" s="187" t="s">
        <v>3608</v>
      </c>
      <c r="F2011" s="507">
        <f>SUMIFS(Controle!$R:$R,Controle!$H:$H,produtos_escape2!$A2011,Controle!$Z:$Z,"1")</f>
        <v>0</v>
      </c>
      <c r="G2011" s="507">
        <f>SUMIFS(Controle!$R:$R,Controle!$H:$H,produtos_escape2!$A2011,Controle!$Z:$Z,"2")</f>
        <v>0</v>
      </c>
      <c r="H2011" s="507">
        <f>SUMIFS(Controle!$R:$R,Controle!$H:$H,produtos_escape2!$A2011,Controle!$Z:$Z,"3")</f>
        <v>0</v>
      </c>
      <c r="I2011" s="507">
        <f>SUMIFS(Controle!$R:$R,Controle!$H:$H,produtos_escape2!$A2011,Controle!$Z:$Z,"4")</f>
        <v>0</v>
      </c>
      <c r="J2011" s="507">
        <f>SUMIFS(Controle!$R:$R,Controle!$H:$H,produtos_escape2!$A2011,Controle!$Z:$Z,"5")</f>
        <v>0</v>
      </c>
      <c r="K2011" s="507">
        <f>SUMIFS(Controle!$R:$R,Controle!$H:$H,produtos_escape2!$A2011,Controle!$Z:$Z,"6")</f>
        <v>0</v>
      </c>
      <c r="L2011" s="507">
        <f t="shared" si="69"/>
        <v>0</v>
      </c>
      <c r="M2011" s="381" t="s">
        <v>5515</v>
      </c>
    </row>
    <row r="2012" spans="1:13" s="185" customFormat="1" ht="14.25" customHeight="1" thickBot="1">
      <c r="A2012" s="353">
        <v>92350</v>
      </c>
      <c r="B2012" s="194" t="s">
        <v>1474</v>
      </c>
      <c r="C2012" s="339">
        <f t="shared" si="70"/>
        <v>50000</v>
      </c>
      <c r="D2012" s="196" t="s">
        <v>753</v>
      </c>
      <c r="E2012" s="187" t="s">
        <v>3608</v>
      </c>
      <c r="F2012" s="507">
        <f>SUMIFS(Controle!$R:$R,Controle!$H:$H,produtos_escape2!$A2012,Controle!$Z:$Z,"1")</f>
        <v>0</v>
      </c>
      <c r="G2012" s="507">
        <f>SUMIFS(Controle!$R:$R,Controle!$H:$H,produtos_escape2!$A2012,Controle!$Z:$Z,"2")</f>
        <v>0</v>
      </c>
      <c r="H2012" s="507">
        <f>SUMIFS(Controle!$R:$R,Controle!$H:$H,produtos_escape2!$A2012,Controle!$Z:$Z,"3")</f>
        <v>0</v>
      </c>
      <c r="I2012" s="507">
        <f>SUMIFS(Controle!$R:$R,Controle!$H:$H,produtos_escape2!$A2012,Controle!$Z:$Z,"4")</f>
        <v>0</v>
      </c>
      <c r="J2012" s="507">
        <f>SUMIFS(Controle!$R:$R,Controle!$H:$H,produtos_escape2!$A2012,Controle!$Z:$Z,"5")</f>
        <v>0</v>
      </c>
      <c r="K2012" s="507">
        <f>SUMIFS(Controle!$R:$R,Controle!$H:$H,produtos_escape2!$A2012,Controle!$Z:$Z,"6")</f>
        <v>0</v>
      </c>
      <c r="L2012" s="507">
        <f t="shared" si="69"/>
        <v>0</v>
      </c>
      <c r="M2012" s="381" t="s">
        <v>5698</v>
      </c>
    </row>
    <row r="2013" spans="1:13" s="185" customFormat="1" ht="14.25" customHeight="1" thickBot="1">
      <c r="A2013" s="353">
        <v>92351</v>
      </c>
      <c r="B2013" s="194" t="s">
        <v>606</v>
      </c>
      <c r="C2013" s="339">
        <f t="shared" si="70"/>
        <v>50000</v>
      </c>
      <c r="D2013" s="196" t="s">
        <v>753</v>
      </c>
      <c r="E2013" s="187" t="s">
        <v>3608</v>
      </c>
      <c r="F2013" s="507">
        <f>SUMIFS(Controle!$R:$R,Controle!$H:$H,produtos_escape2!$A2013,Controle!$Z:$Z,"1")</f>
        <v>0</v>
      </c>
      <c r="G2013" s="507">
        <f>SUMIFS(Controle!$R:$R,Controle!$H:$H,produtos_escape2!$A2013,Controle!$Z:$Z,"2")</f>
        <v>0</v>
      </c>
      <c r="H2013" s="507">
        <f>SUMIFS(Controle!$R:$R,Controle!$H:$H,produtos_escape2!$A2013,Controle!$Z:$Z,"3")</f>
        <v>0</v>
      </c>
      <c r="I2013" s="507">
        <f>SUMIFS(Controle!$R:$R,Controle!$H:$H,produtos_escape2!$A2013,Controle!$Z:$Z,"4")</f>
        <v>0</v>
      </c>
      <c r="J2013" s="507">
        <f>SUMIFS(Controle!$R:$R,Controle!$H:$H,produtos_escape2!$A2013,Controle!$Z:$Z,"5")</f>
        <v>0</v>
      </c>
      <c r="K2013" s="507">
        <f>SUMIFS(Controle!$R:$R,Controle!$H:$H,produtos_escape2!$A2013,Controle!$Z:$Z,"6")</f>
        <v>0</v>
      </c>
      <c r="L2013" s="507">
        <f t="shared" si="69"/>
        <v>0</v>
      </c>
      <c r="M2013" s="381" t="s">
        <v>5699</v>
      </c>
    </row>
    <row r="2014" spans="1:13" s="185" customFormat="1" ht="14.25" customHeight="1" thickBot="1">
      <c r="A2014" s="333">
        <v>92352</v>
      </c>
      <c r="B2014" s="194" t="s">
        <v>1348</v>
      </c>
      <c r="C2014" s="339">
        <f t="shared" si="70"/>
        <v>50000</v>
      </c>
      <c r="D2014" s="196" t="s">
        <v>753</v>
      </c>
      <c r="E2014" s="187" t="s">
        <v>3608</v>
      </c>
      <c r="F2014" s="507">
        <f>SUMIFS(Controle!$R:$R,Controle!$H:$H,produtos_escape2!$A2014,Controle!$Z:$Z,"1")</f>
        <v>0</v>
      </c>
      <c r="G2014" s="507">
        <f>SUMIFS(Controle!$R:$R,Controle!$H:$H,produtos_escape2!$A2014,Controle!$Z:$Z,"2")</f>
        <v>0</v>
      </c>
      <c r="H2014" s="507">
        <f>SUMIFS(Controle!$R:$R,Controle!$H:$H,produtos_escape2!$A2014,Controle!$Z:$Z,"3")</f>
        <v>0</v>
      </c>
      <c r="I2014" s="507">
        <f>SUMIFS(Controle!$R:$R,Controle!$H:$H,produtos_escape2!$A2014,Controle!$Z:$Z,"4")</f>
        <v>0</v>
      </c>
      <c r="J2014" s="507">
        <f>SUMIFS(Controle!$R:$R,Controle!$H:$H,produtos_escape2!$A2014,Controle!$Z:$Z,"5")</f>
        <v>0</v>
      </c>
      <c r="K2014" s="507">
        <f>SUMIFS(Controle!$R:$R,Controle!$H:$H,produtos_escape2!$A2014,Controle!$Z:$Z,"6")</f>
        <v>0</v>
      </c>
      <c r="L2014" s="507">
        <f t="shared" si="69"/>
        <v>0</v>
      </c>
      <c r="M2014" s="381" t="s">
        <v>5525</v>
      </c>
    </row>
    <row r="2015" spans="1:13" s="185" customFormat="1" ht="14.25" customHeight="1" thickBot="1">
      <c r="A2015" s="353">
        <v>92353</v>
      </c>
      <c r="B2015" s="194" t="s">
        <v>2827</v>
      </c>
      <c r="C2015" s="339">
        <f t="shared" si="70"/>
        <v>50000</v>
      </c>
      <c r="D2015" s="196" t="s">
        <v>653</v>
      </c>
      <c r="E2015" s="187" t="s">
        <v>3608</v>
      </c>
      <c r="F2015" s="507">
        <f>SUMIFS(Controle!$R:$R,Controle!$H:$H,produtos_escape2!$A2015,Controle!$Z:$Z,"1")</f>
        <v>0</v>
      </c>
      <c r="G2015" s="507">
        <f>SUMIFS(Controle!$R:$R,Controle!$H:$H,produtos_escape2!$A2015,Controle!$Z:$Z,"2")</f>
        <v>0</v>
      </c>
      <c r="H2015" s="507">
        <f>SUMIFS(Controle!$R:$R,Controle!$H:$H,produtos_escape2!$A2015,Controle!$Z:$Z,"3")</f>
        <v>0</v>
      </c>
      <c r="I2015" s="507">
        <f>SUMIFS(Controle!$R:$R,Controle!$H:$H,produtos_escape2!$A2015,Controle!$Z:$Z,"4")</f>
        <v>0</v>
      </c>
      <c r="J2015" s="507">
        <f>SUMIFS(Controle!$R:$R,Controle!$H:$H,produtos_escape2!$A2015,Controle!$Z:$Z,"5")</f>
        <v>0</v>
      </c>
      <c r="K2015" s="507">
        <f>SUMIFS(Controle!$R:$R,Controle!$H:$H,produtos_escape2!$A2015,Controle!$Z:$Z,"6")</f>
        <v>0</v>
      </c>
      <c r="L2015" s="507">
        <f t="shared" si="69"/>
        <v>0</v>
      </c>
      <c r="M2015" s="381" t="s">
        <v>5526</v>
      </c>
    </row>
    <row r="2016" spans="1:13" s="185" customFormat="1" ht="14.25" customHeight="1" thickBot="1">
      <c r="A2016" s="353">
        <v>92361</v>
      </c>
      <c r="B2016" s="194" t="s">
        <v>2976</v>
      </c>
      <c r="C2016" s="339">
        <f t="shared" si="70"/>
        <v>50000</v>
      </c>
      <c r="D2016" s="196" t="s">
        <v>628</v>
      </c>
      <c r="E2016" s="187" t="s">
        <v>3608</v>
      </c>
      <c r="F2016" s="507">
        <f>SUMIFS(Controle!$R:$R,Controle!$H:$H,produtos_escape2!$A2016,Controle!$Z:$Z,"1")</f>
        <v>0</v>
      </c>
      <c r="G2016" s="507">
        <f>SUMIFS(Controle!$R:$R,Controle!$H:$H,produtos_escape2!$A2016,Controle!$Z:$Z,"2")</f>
        <v>0</v>
      </c>
      <c r="H2016" s="507">
        <f>SUMIFS(Controle!$R:$R,Controle!$H:$H,produtos_escape2!$A2016,Controle!$Z:$Z,"3")</f>
        <v>0</v>
      </c>
      <c r="I2016" s="507">
        <f>SUMIFS(Controle!$R:$R,Controle!$H:$H,produtos_escape2!$A2016,Controle!$Z:$Z,"4")</f>
        <v>0</v>
      </c>
      <c r="J2016" s="507">
        <f>SUMIFS(Controle!$R:$R,Controle!$H:$H,produtos_escape2!$A2016,Controle!$Z:$Z,"5")</f>
        <v>0</v>
      </c>
      <c r="K2016" s="507">
        <f>SUMIFS(Controle!$R:$R,Controle!$H:$H,produtos_escape2!$A2016,Controle!$Z:$Z,"6")</f>
        <v>0</v>
      </c>
      <c r="L2016" s="507">
        <f t="shared" si="69"/>
        <v>0</v>
      </c>
      <c r="M2016" s="381" t="s">
        <v>5527</v>
      </c>
    </row>
    <row r="2017" spans="1:13" s="185" customFormat="1" ht="14.25" customHeight="1" thickBot="1">
      <c r="A2017" s="353">
        <v>92362</v>
      </c>
      <c r="B2017" s="338" t="s">
        <v>3354</v>
      </c>
      <c r="C2017" s="339">
        <f t="shared" si="70"/>
        <v>50000</v>
      </c>
      <c r="D2017" s="196" t="s">
        <v>628</v>
      </c>
      <c r="E2017" s="189" t="s">
        <v>3608</v>
      </c>
      <c r="F2017" s="507">
        <f>SUMIFS(Controle!$R:$R,Controle!$H:$H,produtos_escape2!$A2017,Controle!$Z:$Z,"1")</f>
        <v>0</v>
      </c>
      <c r="G2017" s="507">
        <f>SUMIFS(Controle!$R:$R,Controle!$H:$H,produtos_escape2!$A2017,Controle!$Z:$Z,"2")</f>
        <v>0</v>
      </c>
      <c r="H2017" s="507">
        <f>SUMIFS(Controle!$R:$R,Controle!$H:$H,produtos_escape2!$A2017,Controle!$Z:$Z,"3")</f>
        <v>0</v>
      </c>
      <c r="I2017" s="507">
        <f>SUMIFS(Controle!$R:$R,Controle!$H:$H,produtos_escape2!$A2017,Controle!$Z:$Z,"4")</f>
        <v>0</v>
      </c>
      <c r="J2017" s="507">
        <f>SUMIFS(Controle!$R:$R,Controle!$H:$H,produtos_escape2!$A2017,Controle!$Z:$Z,"5")</f>
        <v>0</v>
      </c>
      <c r="K2017" s="507">
        <f>SUMIFS(Controle!$R:$R,Controle!$H:$H,produtos_escape2!$A2017,Controle!$Z:$Z,"6")</f>
        <v>0</v>
      </c>
      <c r="L2017" s="507">
        <f t="shared" si="69"/>
        <v>0</v>
      </c>
      <c r="M2017" s="381" t="s">
        <v>5528</v>
      </c>
    </row>
    <row r="2018" spans="1:13" s="185" customFormat="1" ht="14.25" customHeight="1" thickBot="1">
      <c r="A2018" s="353">
        <v>92363</v>
      </c>
      <c r="B2018" s="194" t="s">
        <v>2769</v>
      </c>
      <c r="C2018" s="339">
        <f t="shared" si="70"/>
        <v>50000</v>
      </c>
      <c r="D2018" s="196" t="s">
        <v>628</v>
      </c>
      <c r="E2018" s="187" t="s">
        <v>3608</v>
      </c>
      <c r="F2018" s="507">
        <f>SUMIFS(Controle!$R:$R,Controle!$H:$H,produtos_escape2!$A2018,Controle!$Z:$Z,"1")</f>
        <v>0</v>
      </c>
      <c r="G2018" s="507">
        <f>SUMIFS(Controle!$R:$R,Controle!$H:$H,produtos_escape2!$A2018,Controle!$Z:$Z,"2")</f>
        <v>0</v>
      </c>
      <c r="H2018" s="507">
        <f>SUMIFS(Controle!$R:$R,Controle!$H:$H,produtos_escape2!$A2018,Controle!$Z:$Z,"3")</f>
        <v>0</v>
      </c>
      <c r="I2018" s="507">
        <f>SUMIFS(Controle!$R:$R,Controle!$H:$H,produtos_escape2!$A2018,Controle!$Z:$Z,"4")</f>
        <v>0</v>
      </c>
      <c r="J2018" s="507">
        <f>SUMIFS(Controle!$R:$R,Controle!$H:$H,produtos_escape2!$A2018,Controle!$Z:$Z,"5")</f>
        <v>0</v>
      </c>
      <c r="K2018" s="507">
        <f>SUMIFS(Controle!$R:$R,Controle!$H:$H,produtos_escape2!$A2018,Controle!$Z:$Z,"6")</f>
        <v>0</v>
      </c>
      <c r="L2018" s="507">
        <f t="shared" si="69"/>
        <v>0</v>
      </c>
      <c r="M2018" s="381" t="s">
        <v>5529</v>
      </c>
    </row>
    <row r="2019" spans="1:13" s="185" customFormat="1" ht="14.25" customHeight="1" thickBot="1">
      <c r="A2019" s="353">
        <v>92369</v>
      </c>
      <c r="B2019" s="194" t="s">
        <v>654</v>
      </c>
      <c r="C2019" s="339">
        <f t="shared" si="70"/>
        <v>50000</v>
      </c>
      <c r="D2019" s="196" t="s">
        <v>624</v>
      </c>
      <c r="E2019" s="187" t="s">
        <v>3608</v>
      </c>
      <c r="F2019" s="507">
        <f>SUMIFS(Controle!$R:$R,Controle!$H:$H,produtos_escape2!$A2019,Controle!$Z:$Z,"1")</f>
        <v>0</v>
      </c>
      <c r="G2019" s="507">
        <f>SUMIFS(Controle!$R:$R,Controle!$H:$H,produtos_escape2!$A2019,Controle!$Z:$Z,"2")</f>
        <v>0</v>
      </c>
      <c r="H2019" s="507">
        <f>SUMIFS(Controle!$R:$R,Controle!$H:$H,produtos_escape2!$A2019,Controle!$Z:$Z,"3")</f>
        <v>0</v>
      </c>
      <c r="I2019" s="507">
        <f>SUMIFS(Controle!$R:$R,Controle!$H:$H,produtos_escape2!$A2019,Controle!$Z:$Z,"4")</f>
        <v>0</v>
      </c>
      <c r="J2019" s="507">
        <f>SUMIFS(Controle!$R:$R,Controle!$H:$H,produtos_escape2!$A2019,Controle!$Z:$Z,"5")</f>
        <v>0</v>
      </c>
      <c r="K2019" s="507">
        <f>SUMIFS(Controle!$R:$R,Controle!$H:$H,produtos_escape2!$A2019,Controle!$Z:$Z,"6")</f>
        <v>0</v>
      </c>
      <c r="L2019" s="507">
        <f t="shared" si="69"/>
        <v>0</v>
      </c>
      <c r="M2019" s="381" t="s">
        <v>5530</v>
      </c>
    </row>
    <row r="2020" spans="1:13" s="185" customFormat="1" ht="14.25" customHeight="1" thickBot="1">
      <c r="A2020" s="353">
        <v>92376</v>
      </c>
      <c r="B2020" s="194" t="s">
        <v>443</v>
      </c>
      <c r="C2020" s="339">
        <f t="shared" si="70"/>
        <v>49520</v>
      </c>
      <c r="D2020" s="196" t="s">
        <v>624</v>
      </c>
      <c r="E2020" s="187" t="s">
        <v>3608</v>
      </c>
      <c r="F2020" s="507">
        <f>SUMIFS(Controle!$R:$R,Controle!$H:$H,produtos_escape2!$A2020,Controle!$Z:$Z,"1")</f>
        <v>0</v>
      </c>
      <c r="G2020" s="507">
        <f>SUMIFS(Controle!$R:$R,Controle!$H:$H,produtos_escape2!$A2020,Controle!$Z:$Z,"2")</f>
        <v>480</v>
      </c>
      <c r="H2020" s="507">
        <f>SUMIFS(Controle!$R:$R,Controle!$H:$H,produtos_escape2!$A2020,Controle!$Z:$Z,"3")</f>
        <v>0</v>
      </c>
      <c r="I2020" s="507">
        <f>SUMIFS(Controle!$R:$R,Controle!$H:$H,produtos_escape2!$A2020,Controle!$Z:$Z,"4")</f>
        <v>0</v>
      </c>
      <c r="J2020" s="507">
        <f>SUMIFS(Controle!$R:$R,Controle!$H:$H,produtos_escape2!$A2020,Controle!$Z:$Z,"5")</f>
        <v>0</v>
      </c>
      <c r="K2020" s="507">
        <f>SUMIFS(Controle!$R:$R,Controle!$H:$H,produtos_escape2!$A2020,Controle!$Z:$Z,"6")</f>
        <v>0</v>
      </c>
      <c r="L2020" s="507">
        <f t="shared" si="69"/>
        <v>480</v>
      </c>
      <c r="M2020" s="381" t="s">
        <v>5531</v>
      </c>
    </row>
    <row r="2021" spans="1:13" s="185" customFormat="1" ht="14.25" customHeight="1" thickBot="1">
      <c r="A2021" s="353">
        <v>92377</v>
      </c>
      <c r="B2021" s="194" t="s">
        <v>15</v>
      </c>
      <c r="C2021" s="339">
        <f t="shared" si="70"/>
        <v>50000</v>
      </c>
      <c r="D2021" s="196" t="s">
        <v>624</v>
      </c>
      <c r="E2021" s="187" t="s">
        <v>3608</v>
      </c>
      <c r="F2021" s="507">
        <f>SUMIFS(Controle!$R:$R,Controle!$H:$H,produtos_escape2!$A2021,Controle!$Z:$Z,"1")</f>
        <v>0</v>
      </c>
      <c r="G2021" s="507">
        <f>SUMIFS(Controle!$R:$R,Controle!$H:$H,produtos_escape2!$A2021,Controle!$Z:$Z,"2")</f>
        <v>0</v>
      </c>
      <c r="H2021" s="507">
        <f>SUMIFS(Controle!$R:$R,Controle!$H:$H,produtos_escape2!$A2021,Controle!$Z:$Z,"3")</f>
        <v>0</v>
      </c>
      <c r="I2021" s="507">
        <f>SUMIFS(Controle!$R:$R,Controle!$H:$H,produtos_escape2!$A2021,Controle!$Z:$Z,"4")</f>
        <v>0</v>
      </c>
      <c r="J2021" s="507">
        <f>SUMIFS(Controle!$R:$R,Controle!$H:$H,produtos_escape2!$A2021,Controle!$Z:$Z,"5")</f>
        <v>0</v>
      </c>
      <c r="K2021" s="507">
        <f>SUMIFS(Controle!$R:$R,Controle!$H:$H,produtos_escape2!$A2021,Controle!$Z:$Z,"6")</f>
        <v>0</v>
      </c>
      <c r="L2021" s="507">
        <f t="shared" si="69"/>
        <v>0</v>
      </c>
      <c r="M2021" s="381" t="s">
        <v>5531</v>
      </c>
    </row>
    <row r="2022" spans="1:13" s="185" customFormat="1" ht="14.25" customHeight="1" thickBot="1">
      <c r="A2022" s="333">
        <v>92378</v>
      </c>
      <c r="B2022" s="194" t="s">
        <v>16</v>
      </c>
      <c r="C2022" s="339">
        <f t="shared" si="70"/>
        <v>50000</v>
      </c>
      <c r="D2022" s="196" t="s">
        <v>624</v>
      </c>
      <c r="E2022" s="187" t="s">
        <v>3608</v>
      </c>
      <c r="F2022" s="507">
        <f>SUMIFS(Controle!$R:$R,Controle!$H:$H,produtos_escape2!$A2022,Controle!$Z:$Z,"1")</f>
        <v>0</v>
      </c>
      <c r="G2022" s="507">
        <f>SUMIFS(Controle!$R:$R,Controle!$H:$H,produtos_escape2!$A2022,Controle!$Z:$Z,"2")</f>
        <v>0</v>
      </c>
      <c r="H2022" s="507">
        <f>SUMIFS(Controle!$R:$R,Controle!$H:$H,produtos_escape2!$A2022,Controle!$Z:$Z,"3")</f>
        <v>0</v>
      </c>
      <c r="I2022" s="507">
        <f>SUMIFS(Controle!$R:$R,Controle!$H:$H,produtos_escape2!$A2022,Controle!$Z:$Z,"4")</f>
        <v>0</v>
      </c>
      <c r="J2022" s="507">
        <f>SUMIFS(Controle!$R:$R,Controle!$H:$H,produtos_escape2!$A2022,Controle!$Z:$Z,"5")</f>
        <v>0</v>
      </c>
      <c r="K2022" s="507">
        <f>SUMIFS(Controle!$R:$R,Controle!$H:$H,produtos_escape2!$A2022,Controle!$Z:$Z,"6")</f>
        <v>0</v>
      </c>
      <c r="L2022" s="507">
        <f t="shared" si="69"/>
        <v>0</v>
      </c>
      <c r="M2022" s="381" t="s">
        <v>5531</v>
      </c>
    </row>
    <row r="2023" spans="1:13" s="185" customFormat="1" ht="14.25" customHeight="1" thickBot="1">
      <c r="A2023" s="353">
        <v>92379</v>
      </c>
      <c r="B2023" s="194" t="s">
        <v>17</v>
      </c>
      <c r="C2023" s="339">
        <f t="shared" si="70"/>
        <v>50000</v>
      </c>
      <c r="D2023" s="196" t="s">
        <v>624</v>
      </c>
      <c r="E2023" s="187" t="s">
        <v>3608</v>
      </c>
      <c r="F2023" s="507">
        <f>SUMIFS(Controle!$R:$R,Controle!$H:$H,produtos_escape2!$A2023,Controle!$Z:$Z,"1")</f>
        <v>0</v>
      </c>
      <c r="G2023" s="507">
        <f>SUMIFS(Controle!$R:$R,Controle!$H:$H,produtos_escape2!$A2023,Controle!$Z:$Z,"2")</f>
        <v>0</v>
      </c>
      <c r="H2023" s="507">
        <f>SUMIFS(Controle!$R:$R,Controle!$H:$H,produtos_escape2!$A2023,Controle!$Z:$Z,"3")</f>
        <v>0</v>
      </c>
      <c r="I2023" s="507">
        <f>SUMIFS(Controle!$R:$R,Controle!$H:$H,produtos_escape2!$A2023,Controle!$Z:$Z,"4")</f>
        <v>0</v>
      </c>
      <c r="J2023" s="507">
        <f>SUMIFS(Controle!$R:$R,Controle!$H:$H,produtos_escape2!$A2023,Controle!$Z:$Z,"5")</f>
        <v>0</v>
      </c>
      <c r="K2023" s="507">
        <f>SUMIFS(Controle!$R:$R,Controle!$H:$H,produtos_escape2!$A2023,Controle!$Z:$Z,"6")</f>
        <v>0</v>
      </c>
      <c r="L2023" s="507">
        <f t="shared" si="69"/>
        <v>0</v>
      </c>
      <c r="M2023" s="381" t="s">
        <v>5531</v>
      </c>
    </row>
    <row r="2024" spans="1:13" s="185" customFormat="1" ht="14.25" customHeight="1" thickBot="1">
      <c r="A2024" s="353">
        <v>92380</v>
      </c>
      <c r="B2024" s="194" t="s">
        <v>61</v>
      </c>
      <c r="C2024" s="339">
        <f t="shared" si="70"/>
        <v>50000</v>
      </c>
      <c r="D2024" s="196" t="s">
        <v>624</v>
      </c>
      <c r="E2024" s="187" t="s">
        <v>3608</v>
      </c>
      <c r="F2024" s="507">
        <f>SUMIFS(Controle!$R:$R,Controle!$H:$H,produtos_escape2!$A2024,Controle!$Z:$Z,"1")</f>
        <v>0</v>
      </c>
      <c r="G2024" s="507">
        <f>SUMIFS(Controle!$R:$R,Controle!$H:$H,produtos_escape2!$A2024,Controle!$Z:$Z,"2")</f>
        <v>0</v>
      </c>
      <c r="H2024" s="507">
        <f>SUMIFS(Controle!$R:$R,Controle!$H:$H,produtos_escape2!$A2024,Controle!$Z:$Z,"3")</f>
        <v>0</v>
      </c>
      <c r="I2024" s="507">
        <f>SUMIFS(Controle!$R:$R,Controle!$H:$H,produtos_escape2!$A2024,Controle!$Z:$Z,"4")</f>
        <v>0</v>
      </c>
      <c r="J2024" s="507">
        <f>SUMIFS(Controle!$R:$R,Controle!$H:$H,produtos_escape2!$A2024,Controle!$Z:$Z,"5")</f>
        <v>0</v>
      </c>
      <c r="K2024" s="507">
        <f>SUMIFS(Controle!$R:$R,Controle!$H:$H,produtos_escape2!$A2024,Controle!$Z:$Z,"6")</f>
        <v>0</v>
      </c>
      <c r="L2024" s="507">
        <f t="shared" si="69"/>
        <v>0</v>
      </c>
      <c r="M2024" s="381" t="s">
        <v>5531</v>
      </c>
    </row>
    <row r="2025" spans="1:13" s="185" customFormat="1" ht="14.25" customHeight="1" thickBot="1">
      <c r="A2025" s="353">
        <v>92382</v>
      </c>
      <c r="B2025" s="338" t="s">
        <v>24</v>
      </c>
      <c r="C2025" s="339">
        <f t="shared" si="70"/>
        <v>50000</v>
      </c>
      <c r="D2025" s="196" t="s">
        <v>624</v>
      </c>
      <c r="E2025" s="187" t="s">
        <v>3608</v>
      </c>
      <c r="F2025" s="507">
        <f>SUMIFS(Controle!$R:$R,Controle!$H:$H,produtos_escape2!$A2025,Controle!$Z:$Z,"1")</f>
        <v>0</v>
      </c>
      <c r="G2025" s="507">
        <f>SUMIFS(Controle!$R:$R,Controle!$H:$H,produtos_escape2!$A2025,Controle!$Z:$Z,"2")</f>
        <v>0</v>
      </c>
      <c r="H2025" s="507">
        <f>SUMIFS(Controle!$R:$R,Controle!$H:$H,produtos_escape2!$A2025,Controle!$Z:$Z,"3")</f>
        <v>0</v>
      </c>
      <c r="I2025" s="507">
        <f>SUMIFS(Controle!$R:$R,Controle!$H:$H,produtos_escape2!$A2025,Controle!$Z:$Z,"4")</f>
        <v>0</v>
      </c>
      <c r="J2025" s="507">
        <f>SUMIFS(Controle!$R:$R,Controle!$H:$H,produtos_escape2!$A2025,Controle!$Z:$Z,"5")</f>
        <v>0</v>
      </c>
      <c r="K2025" s="507">
        <f>SUMIFS(Controle!$R:$R,Controle!$H:$H,produtos_escape2!$A2025,Controle!$Z:$Z,"6")</f>
        <v>0</v>
      </c>
      <c r="L2025" s="507">
        <f t="shared" si="69"/>
        <v>0</v>
      </c>
      <c r="M2025" s="381" t="s">
        <v>5531</v>
      </c>
    </row>
    <row r="2026" spans="1:13" s="185" customFormat="1" ht="14.25" customHeight="1" thickBot="1">
      <c r="A2026" s="353">
        <v>92383</v>
      </c>
      <c r="B2026" s="194" t="s">
        <v>25</v>
      </c>
      <c r="C2026" s="339">
        <f t="shared" si="70"/>
        <v>50000</v>
      </c>
      <c r="D2026" s="196" t="s">
        <v>624</v>
      </c>
      <c r="E2026" s="187" t="s">
        <v>3608</v>
      </c>
      <c r="F2026" s="507">
        <f>SUMIFS(Controle!$R:$R,Controle!$H:$H,produtos_escape2!$A2026,Controle!$Z:$Z,"1")</f>
        <v>0</v>
      </c>
      <c r="G2026" s="507">
        <f>SUMIFS(Controle!$R:$R,Controle!$H:$H,produtos_escape2!$A2026,Controle!$Z:$Z,"2")</f>
        <v>0</v>
      </c>
      <c r="H2026" s="507">
        <f>SUMIFS(Controle!$R:$R,Controle!$H:$H,produtos_escape2!$A2026,Controle!$Z:$Z,"3")</f>
        <v>0</v>
      </c>
      <c r="I2026" s="507">
        <f>SUMIFS(Controle!$R:$R,Controle!$H:$H,produtos_escape2!$A2026,Controle!$Z:$Z,"4")</f>
        <v>0</v>
      </c>
      <c r="J2026" s="507">
        <f>SUMIFS(Controle!$R:$R,Controle!$H:$H,produtos_escape2!$A2026,Controle!$Z:$Z,"5")</f>
        <v>0</v>
      </c>
      <c r="K2026" s="507">
        <f>SUMIFS(Controle!$R:$R,Controle!$H:$H,produtos_escape2!$A2026,Controle!$Z:$Z,"6")</f>
        <v>0</v>
      </c>
      <c r="L2026" s="507">
        <f t="shared" si="69"/>
        <v>0</v>
      </c>
      <c r="M2026" s="381" t="s">
        <v>5531</v>
      </c>
    </row>
    <row r="2027" spans="1:13" s="185" customFormat="1" ht="14.25" customHeight="1" thickBot="1">
      <c r="A2027" s="353">
        <v>92388</v>
      </c>
      <c r="B2027" s="194" t="s">
        <v>2880</v>
      </c>
      <c r="C2027" s="339">
        <f t="shared" si="70"/>
        <v>50000</v>
      </c>
      <c r="D2027" s="196" t="s">
        <v>639</v>
      </c>
      <c r="E2027" s="187" t="s">
        <v>3608</v>
      </c>
      <c r="F2027" s="507">
        <f>SUMIFS(Controle!$R:$R,Controle!$H:$H,produtos_escape2!$A2027,Controle!$Z:$Z,"1")</f>
        <v>0</v>
      </c>
      <c r="G2027" s="507">
        <f>SUMIFS(Controle!$R:$R,Controle!$H:$H,produtos_escape2!$A2027,Controle!$Z:$Z,"2")</f>
        <v>0</v>
      </c>
      <c r="H2027" s="507">
        <f>SUMIFS(Controle!$R:$R,Controle!$H:$H,produtos_escape2!$A2027,Controle!$Z:$Z,"3")</f>
        <v>0</v>
      </c>
      <c r="I2027" s="507">
        <f>SUMIFS(Controle!$R:$R,Controle!$H:$H,produtos_escape2!$A2027,Controle!$Z:$Z,"4")</f>
        <v>0</v>
      </c>
      <c r="J2027" s="507">
        <f>SUMIFS(Controle!$R:$R,Controle!$H:$H,produtos_escape2!$A2027,Controle!$Z:$Z,"5")</f>
        <v>0</v>
      </c>
      <c r="K2027" s="507">
        <f>SUMIFS(Controle!$R:$R,Controle!$H:$H,produtos_escape2!$A2027,Controle!$Z:$Z,"6")</f>
        <v>0</v>
      </c>
      <c r="L2027" s="507">
        <f t="shared" si="69"/>
        <v>0</v>
      </c>
      <c r="M2027" s="381" t="s">
        <v>7369</v>
      </c>
    </row>
    <row r="2028" spans="1:13" s="185" customFormat="1" ht="14.25" customHeight="1" thickBot="1">
      <c r="A2028" s="353">
        <v>92400</v>
      </c>
      <c r="B2028" s="194" t="s">
        <v>6742</v>
      </c>
      <c r="C2028" s="339">
        <f t="shared" si="70"/>
        <v>39815</v>
      </c>
      <c r="D2028" s="196" t="s">
        <v>1726</v>
      </c>
      <c r="E2028" s="187" t="s">
        <v>3608</v>
      </c>
      <c r="F2028" s="507">
        <f>SUMIFS(Controle!$R:$R,Controle!$H:$H,produtos_escape2!$A2028,Controle!$Z:$Z,"1")</f>
        <v>0</v>
      </c>
      <c r="G2028" s="507">
        <f>SUMIFS(Controle!$R:$R,Controle!$H:$H,produtos_escape2!$A2028,Controle!$Z:$Z,"2")</f>
        <v>0</v>
      </c>
      <c r="H2028" s="507">
        <f>SUMIFS(Controle!$R:$R,Controle!$H:$H,produtos_escape2!$A2028,Controle!$Z:$Z,"3")</f>
        <v>2205</v>
      </c>
      <c r="I2028" s="507">
        <f>SUMIFS(Controle!$R:$R,Controle!$H:$H,produtos_escape2!$A2028,Controle!$Z:$Z,"4")</f>
        <v>4440</v>
      </c>
      <c r="J2028" s="507">
        <f>SUMIFS(Controle!$R:$R,Controle!$H:$H,produtos_escape2!$A2028,Controle!$Z:$Z,"5")</f>
        <v>0</v>
      </c>
      <c r="K2028" s="507">
        <f>SUMIFS(Controle!$R:$R,Controle!$H:$H,produtos_escape2!$A2028,Controle!$Z:$Z,"6")</f>
        <v>3540</v>
      </c>
      <c r="L2028" s="507">
        <f t="shared" si="69"/>
        <v>10185</v>
      </c>
      <c r="M2028" s="381" t="s">
        <v>6745</v>
      </c>
    </row>
    <row r="2029" spans="1:13" s="185" customFormat="1" ht="14.25" customHeight="1" thickBot="1">
      <c r="A2029" s="353">
        <v>92401</v>
      </c>
      <c r="B2029" s="194" t="s">
        <v>6743</v>
      </c>
      <c r="C2029" s="339">
        <f t="shared" si="70"/>
        <v>7502.8000000000029</v>
      </c>
      <c r="D2029" s="196" t="s">
        <v>1726</v>
      </c>
      <c r="E2029" s="187" t="s">
        <v>3608</v>
      </c>
      <c r="F2029" s="507">
        <f>SUMIFS(Controle!$R:$R,Controle!$H:$H,produtos_escape2!$A2029,Controle!$Z:$Z,"1")</f>
        <v>0</v>
      </c>
      <c r="G2029" s="507">
        <f>SUMIFS(Controle!$R:$R,Controle!$H:$H,produtos_escape2!$A2029,Controle!$Z:$Z,"2")</f>
        <v>12594.04</v>
      </c>
      <c r="H2029" s="507">
        <f>SUMIFS(Controle!$R:$R,Controle!$H:$H,produtos_escape2!$A2029,Controle!$Z:$Z,"3")</f>
        <v>1730</v>
      </c>
      <c r="I2029" s="507">
        <f>SUMIFS(Controle!$R:$R,Controle!$H:$H,produtos_escape2!$A2029,Controle!$Z:$Z,"4")</f>
        <v>11364</v>
      </c>
      <c r="J2029" s="507">
        <f>SUMIFS(Controle!$R:$R,Controle!$H:$H,produtos_escape2!$A2029,Controle!$Z:$Z,"5")</f>
        <v>159.16</v>
      </c>
      <c r="K2029" s="507">
        <f>SUMIFS(Controle!$R:$R,Controle!$H:$H,produtos_escape2!$A2029,Controle!$Z:$Z,"6")</f>
        <v>16650</v>
      </c>
      <c r="L2029" s="507">
        <f t="shared" si="69"/>
        <v>42497.2</v>
      </c>
      <c r="M2029" s="381" t="s">
        <v>5532</v>
      </c>
    </row>
    <row r="2030" spans="1:13" s="185" customFormat="1" ht="14.25" customHeight="1" thickBot="1">
      <c r="A2030" s="333">
        <v>92402</v>
      </c>
      <c r="B2030" s="194" t="s">
        <v>6744</v>
      </c>
      <c r="C2030" s="339">
        <f t="shared" si="70"/>
        <v>23.80000000000291</v>
      </c>
      <c r="D2030" s="196" t="s">
        <v>1726</v>
      </c>
      <c r="E2030" s="187" t="s">
        <v>3608</v>
      </c>
      <c r="F2030" s="507">
        <f>SUMIFS(Controle!$R:$R,Controle!$H:$H,produtos_escape2!$A2030,Controle!$Z:$Z,"1")</f>
        <v>0</v>
      </c>
      <c r="G2030" s="507">
        <f>SUMIFS(Controle!$R:$R,Controle!$H:$H,produtos_escape2!$A2030,Controle!$Z:$Z,"2")</f>
        <v>9376.2000000000007</v>
      </c>
      <c r="H2030" s="507">
        <f>SUMIFS(Controle!$R:$R,Controle!$H:$H,produtos_escape2!$A2030,Controle!$Z:$Z,"3")</f>
        <v>20700</v>
      </c>
      <c r="I2030" s="507">
        <f>SUMIFS(Controle!$R:$R,Controle!$H:$H,produtos_escape2!$A2030,Controle!$Z:$Z,"4")</f>
        <v>7000</v>
      </c>
      <c r="J2030" s="507">
        <f>SUMIFS(Controle!$R:$R,Controle!$H:$H,produtos_escape2!$A2030,Controle!$Z:$Z,"5")</f>
        <v>0</v>
      </c>
      <c r="K2030" s="507">
        <f>SUMIFS(Controle!$R:$R,Controle!$H:$H,produtos_escape2!$A2030,Controle!$Z:$Z,"6")</f>
        <v>12900</v>
      </c>
      <c r="L2030" s="507">
        <f t="shared" si="69"/>
        <v>49976.2</v>
      </c>
      <c r="M2030" s="381" t="s">
        <v>5532</v>
      </c>
    </row>
    <row r="2031" spans="1:13" s="185" customFormat="1" ht="14.25" customHeight="1" thickBot="1">
      <c r="A2031" s="353">
        <v>92403</v>
      </c>
      <c r="B2031" s="194" t="s">
        <v>2867</v>
      </c>
      <c r="C2031" s="339">
        <f t="shared" si="70"/>
        <v>16267</v>
      </c>
      <c r="D2031" s="196" t="s">
        <v>1726</v>
      </c>
      <c r="E2031" s="187" t="s">
        <v>3608</v>
      </c>
      <c r="F2031" s="507">
        <f>SUMIFS(Controle!$R:$R,Controle!$H:$H,produtos_escape2!$A2031,Controle!$Z:$Z,"1")</f>
        <v>0</v>
      </c>
      <c r="G2031" s="507">
        <f>SUMIFS(Controle!$R:$R,Controle!$H:$H,produtos_escape2!$A2031,Controle!$Z:$Z,"2")</f>
        <v>1760</v>
      </c>
      <c r="H2031" s="507">
        <f>SUMIFS(Controle!$R:$R,Controle!$H:$H,produtos_escape2!$A2031,Controle!$Z:$Z,"3")</f>
        <v>2422</v>
      </c>
      <c r="I2031" s="507">
        <f>SUMIFS(Controle!$R:$R,Controle!$H:$H,produtos_escape2!$A2031,Controle!$Z:$Z,"4")</f>
        <v>12313</v>
      </c>
      <c r="J2031" s="507">
        <f>SUMIFS(Controle!$R:$R,Controle!$H:$H,produtos_escape2!$A2031,Controle!$Z:$Z,"5")</f>
        <v>865</v>
      </c>
      <c r="K2031" s="507">
        <f>SUMIFS(Controle!$R:$R,Controle!$H:$H,produtos_escape2!$A2031,Controle!$Z:$Z,"6")</f>
        <v>16373</v>
      </c>
      <c r="L2031" s="507">
        <f t="shared" si="69"/>
        <v>33733</v>
      </c>
      <c r="M2031" s="381" t="s">
        <v>5533</v>
      </c>
    </row>
    <row r="2032" spans="1:13" s="185" customFormat="1" ht="14.25" customHeight="1" thickBot="1">
      <c r="A2032" s="353">
        <v>92407</v>
      </c>
      <c r="B2032" s="194" t="s">
        <v>4389</v>
      </c>
      <c r="C2032" s="339">
        <f t="shared" si="70"/>
        <v>35</v>
      </c>
      <c r="D2032" s="196" t="s">
        <v>624</v>
      </c>
      <c r="E2032" s="187" t="s">
        <v>3608</v>
      </c>
      <c r="F2032" s="507">
        <f>SUMIFS(Controle!$R:$R,Controle!$H:$H,produtos_escape2!$A2032,Controle!$Z:$Z,"1")</f>
        <v>0</v>
      </c>
      <c r="G2032" s="507">
        <f>SUMIFS(Controle!$R:$R,Controle!$H:$H,produtos_escape2!$A2032,Controle!$Z:$Z,"2")</f>
        <v>0</v>
      </c>
      <c r="H2032" s="507">
        <f>SUMIFS(Controle!$R:$R,Controle!$H:$H,produtos_escape2!$A2032,Controle!$Z:$Z,"3")</f>
        <v>0</v>
      </c>
      <c r="I2032" s="507">
        <f>SUMIFS(Controle!$R:$R,Controle!$H:$H,produtos_escape2!$A2032,Controle!$Z:$Z,"4")</f>
        <v>34620</v>
      </c>
      <c r="J2032" s="507">
        <f>SUMIFS(Controle!$R:$R,Controle!$H:$H,produtos_escape2!$A2032,Controle!$Z:$Z,"5")</f>
        <v>0</v>
      </c>
      <c r="K2032" s="507">
        <f>SUMIFS(Controle!$R:$R,Controle!$H:$H,produtos_escape2!$A2032,Controle!$Z:$Z,"6")</f>
        <v>15345</v>
      </c>
      <c r="L2032" s="507">
        <f t="shared" si="69"/>
        <v>49965</v>
      </c>
      <c r="M2032" s="381" t="s">
        <v>5534</v>
      </c>
    </row>
    <row r="2033" spans="1:13" s="185" customFormat="1" ht="14.25" customHeight="1" thickBot="1">
      <c r="A2033" s="353">
        <v>92408</v>
      </c>
      <c r="B2033" s="194" t="s">
        <v>4388</v>
      </c>
      <c r="C2033" s="339">
        <f t="shared" si="70"/>
        <v>231.09999999999854</v>
      </c>
      <c r="D2033" s="196" t="s">
        <v>624</v>
      </c>
      <c r="E2033" s="187" t="s">
        <v>3608</v>
      </c>
      <c r="F2033" s="507">
        <f>SUMIFS(Controle!$R:$R,Controle!$H:$H,produtos_escape2!$A2033,Controle!$Z:$Z,"1")</f>
        <v>0</v>
      </c>
      <c r="G2033" s="507">
        <f>SUMIFS(Controle!$R:$R,Controle!$H:$H,produtos_escape2!$A2033,Controle!$Z:$Z,"2")</f>
        <v>0</v>
      </c>
      <c r="H2033" s="507">
        <f>SUMIFS(Controle!$R:$R,Controle!$H:$H,produtos_escape2!$A2033,Controle!$Z:$Z,"3")</f>
        <v>0</v>
      </c>
      <c r="I2033" s="507">
        <f>SUMIFS(Controle!$R:$R,Controle!$H:$H,produtos_escape2!$A2033,Controle!$Z:$Z,"4")</f>
        <v>23994</v>
      </c>
      <c r="J2033" s="507">
        <f>SUMIFS(Controle!$R:$R,Controle!$H:$H,produtos_escape2!$A2033,Controle!$Z:$Z,"5")</f>
        <v>0</v>
      </c>
      <c r="K2033" s="507">
        <f>SUMIFS(Controle!$R:$R,Controle!$H:$H,produtos_escape2!$A2033,Controle!$Z:$Z,"6")</f>
        <v>25774.9</v>
      </c>
      <c r="L2033" s="507">
        <f t="shared" si="69"/>
        <v>49768.9</v>
      </c>
      <c r="M2033" s="381" t="s">
        <v>5535</v>
      </c>
    </row>
    <row r="2034" spans="1:13" s="185" customFormat="1" ht="14.25" customHeight="1" thickBot="1">
      <c r="A2034" s="353">
        <v>92409</v>
      </c>
      <c r="B2034" s="338" t="s">
        <v>4387</v>
      </c>
      <c r="C2034" s="339">
        <f t="shared" si="70"/>
        <v>3.9000000000014552</v>
      </c>
      <c r="D2034" s="196" t="s">
        <v>624</v>
      </c>
      <c r="E2034" s="187" t="s">
        <v>3608</v>
      </c>
      <c r="F2034" s="507">
        <f>SUMIFS(Controle!$R:$R,Controle!$H:$H,produtos_escape2!$A2034,Controle!$Z:$Z,"1")</f>
        <v>0</v>
      </c>
      <c r="G2034" s="507">
        <f>SUMIFS(Controle!$R:$R,Controle!$H:$H,produtos_escape2!$A2034,Controle!$Z:$Z,"2")</f>
        <v>0</v>
      </c>
      <c r="H2034" s="507">
        <f>SUMIFS(Controle!$R:$R,Controle!$H:$H,produtos_escape2!$A2034,Controle!$Z:$Z,"3")</f>
        <v>0</v>
      </c>
      <c r="I2034" s="507">
        <f>SUMIFS(Controle!$R:$R,Controle!$H:$H,produtos_escape2!$A2034,Controle!$Z:$Z,"4")</f>
        <v>22800</v>
      </c>
      <c r="J2034" s="507">
        <f>SUMIFS(Controle!$R:$R,Controle!$H:$H,produtos_escape2!$A2034,Controle!$Z:$Z,"5")</f>
        <v>0</v>
      </c>
      <c r="K2034" s="507">
        <f>SUMIFS(Controle!$R:$R,Controle!$H:$H,produtos_escape2!$A2034,Controle!$Z:$Z,"6")</f>
        <v>27196.1</v>
      </c>
      <c r="L2034" s="507">
        <f t="shared" si="69"/>
        <v>49996.1</v>
      </c>
      <c r="M2034" s="381" t="s">
        <v>5536</v>
      </c>
    </row>
    <row r="2035" spans="1:13" s="185" customFormat="1" ht="14.25" customHeight="1" thickBot="1">
      <c r="A2035" s="353">
        <v>92410</v>
      </c>
      <c r="B2035" s="194" t="s">
        <v>4283</v>
      </c>
      <c r="C2035" s="339">
        <f t="shared" si="70"/>
        <v>30368.2</v>
      </c>
      <c r="D2035" s="196" t="s">
        <v>1726</v>
      </c>
      <c r="E2035" s="187" t="s">
        <v>3608</v>
      </c>
      <c r="F2035" s="507">
        <f>SUMIFS(Controle!$R:$R,Controle!$H:$H,produtos_escape2!$A2035,Controle!$Z:$Z,"1")</f>
        <v>0</v>
      </c>
      <c r="G2035" s="507">
        <f>SUMIFS(Controle!$R:$R,Controle!$H:$H,produtos_escape2!$A2035,Controle!$Z:$Z,"2")</f>
        <v>4450</v>
      </c>
      <c r="H2035" s="507">
        <f>SUMIFS(Controle!$R:$R,Controle!$H:$H,produtos_escape2!$A2035,Controle!$Z:$Z,"3")</f>
        <v>1778</v>
      </c>
      <c r="I2035" s="507">
        <f>SUMIFS(Controle!$R:$R,Controle!$H:$H,produtos_escape2!$A2035,Controle!$Z:$Z,"4")</f>
        <v>5830</v>
      </c>
      <c r="J2035" s="507">
        <f>SUMIFS(Controle!$R:$R,Controle!$H:$H,produtos_escape2!$A2035,Controle!$Z:$Z,"5")</f>
        <v>0</v>
      </c>
      <c r="K2035" s="507">
        <f>SUMIFS(Controle!$R:$R,Controle!$H:$H,produtos_escape2!$A2035,Controle!$Z:$Z,"6")</f>
        <v>7573.7999999999993</v>
      </c>
      <c r="L2035" s="507">
        <f t="shared" si="69"/>
        <v>19631.8</v>
      </c>
      <c r="M2035" s="381" t="s">
        <v>6746</v>
      </c>
    </row>
    <row r="2036" spans="1:13" s="185" customFormat="1" ht="14.25" customHeight="1" thickBot="1">
      <c r="A2036" s="353">
        <v>92412</v>
      </c>
      <c r="B2036" s="194" t="s">
        <v>3940</v>
      </c>
      <c r="C2036" s="339">
        <f t="shared" si="70"/>
        <v>50000</v>
      </c>
      <c r="D2036" s="196" t="s">
        <v>624</v>
      </c>
      <c r="E2036" s="187" t="s">
        <v>3608</v>
      </c>
      <c r="F2036" s="507">
        <f>SUMIFS(Controle!$R:$R,Controle!$H:$H,produtos_escape2!$A2036,Controle!$Z:$Z,"1")</f>
        <v>0</v>
      </c>
      <c r="G2036" s="507">
        <f>SUMIFS(Controle!$R:$R,Controle!$H:$H,produtos_escape2!$A2036,Controle!$Z:$Z,"2")</f>
        <v>0</v>
      </c>
      <c r="H2036" s="507">
        <f>SUMIFS(Controle!$R:$R,Controle!$H:$H,produtos_escape2!$A2036,Controle!$Z:$Z,"3")</f>
        <v>0</v>
      </c>
      <c r="I2036" s="507">
        <f>SUMIFS(Controle!$R:$R,Controle!$H:$H,produtos_escape2!$A2036,Controle!$Z:$Z,"4")</f>
        <v>0</v>
      </c>
      <c r="J2036" s="507">
        <f>SUMIFS(Controle!$R:$R,Controle!$H:$H,produtos_escape2!$A2036,Controle!$Z:$Z,"5")</f>
        <v>0</v>
      </c>
      <c r="K2036" s="507">
        <f>SUMIFS(Controle!$R:$R,Controle!$H:$H,produtos_escape2!$A2036,Controle!$Z:$Z,"6")</f>
        <v>0</v>
      </c>
      <c r="L2036" s="507">
        <f t="shared" si="69"/>
        <v>0</v>
      </c>
      <c r="M2036" s="381" t="s">
        <v>5537</v>
      </c>
    </row>
    <row r="2037" spans="1:13" s="185" customFormat="1" ht="14.25" customHeight="1" thickBot="1">
      <c r="A2037" s="353">
        <v>92413</v>
      </c>
      <c r="B2037" s="194" t="s">
        <v>3796</v>
      </c>
      <c r="C2037" s="339">
        <f t="shared" si="70"/>
        <v>50000</v>
      </c>
      <c r="D2037" s="196" t="s">
        <v>624</v>
      </c>
      <c r="E2037" s="187" t="s">
        <v>3608</v>
      </c>
      <c r="F2037" s="507">
        <f>SUMIFS(Controle!$R:$R,Controle!$H:$H,produtos_escape2!$A2037,Controle!$Z:$Z,"1")</f>
        <v>0</v>
      </c>
      <c r="G2037" s="507">
        <f>SUMIFS(Controle!$R:$R,Controle!$H:$H,produtos_escape2!$A2037,Controle!$Z:$Z,"2")</f>
        <v>0</v>
      </c>
      <c r="H2037" s="507">
        <f>SUMIFS(Controle!$R:$R,Controle!$H:$H,produtos_escape2!$A2037,Controle!$Z:$Z,"3")</f>
        <v>0</v>
      </c>
      <c r="I2037" s="507">
        <f>SUMIFS(Controle!$R:$R,Controle!$H:$H,produtos_escape2!$A2037,Controle!$Z:$Z,"4")</f>
        <v>0</v>
      </c>
      <c r="J2037" s="507">
        <f>SUMIFS(Controle!$R:$R,Controle!$H:$H,produtos_escape2!$A2037,Controle!$Z:$Z,"5")</f>
        <v>0</v>
      </c>
      <c r="K2037" s="507">
        <f>SUMIFS(Controle!$R:$R,Controle!$H:$H,produtos_escape2!$A2037,Controle!$Z:$Z,"6")</f>
        <v>0</v>
      </c>
      <c r="L2037" s="507">
        <f t="shared" si="69"/>
        <v>0</v>
      </c>
      <c r="M2037" s="381" t="s">
        <v>5538</v>
      </c>
    </row>
    <row r="2038" spans="1:13" s="185" customFormat="1" ht="14.25" customHeight="1" thickBot="1">
      <c r="A2038" s="333">
        <v>92425</v>
      </c>
      <c r="B2038" s="194" t="s">
        <v>3677</v>
      </c>
      <c r="C2038" s="339">
        <f t="shared" si="70"/>
        <v>49460</v>
      </c>
      <c r="D2038" s="196" t="s">
        <v>624</v>
      </c>
      <c r="E2038" s="187" t="s">
        <v>3608</v>
      </c>
      <c r="F2038" s="507">
        <f>SUMIFS(Controle!$R:$R,Controle!$H:$H,produtos_escape2!$A2038,Controle!$Z:$Z,"1")</f>
        <v>0</v>
      </c>
      <c r="G2038" s="507">
        <f>SUMIFS(Controle!$R:$R,Controle!$H:$H,produtos_escape2!$A2038,Controle!$Z:$Z,"2")</f>
        <v>0</v>
      </c>
      <c r="H2038" s="507">
        <f>SUMIFS(Controle!$R:$R,Controle!$H:$H,produtos_escape2!$A2038,Controle!$Z:$Z,"3")</f>
        <v>0</v>
      </c>
      <c r="I2038" s="507">
        <f>SUMIFS(Controle!$R:$R,Controle!$H:$H,produtos_escape2!$A2038,Controle!$Z:$Z,"4")</f>
        <v>0</v>
      </c>
      <c r="J2038" s="507">
        <f>SUMIFS(Controle!$R:$R,Controle!$H:$H,produtos_escape2!$A2038,Controle!$Z:$Z,"5")</f>
        <v>0</v>
      </c>
      <c r="K2038" s="507">
        <f>SUMIFS(Controle!$R:$R,Controle!$H:$H,produtos_escape2!$A2038,Controle!$Z:$Z,"6")</f>
        <v>540</v>
      </c>
      <c r="L2038" s="507">
        <f t="shared" si="69"/>
        <v>540</v>
      </c>
      <c r="M2038" s="381" t="s">
        <v>3677</v>
      </c>
    </row>
    <row r="2039" spans="1:13" s="185" customFormat="1" ht="14.25" customHeight="1" thickBot="1">
      <c r="A2039" s="353">
        <v>92433</v>
      </c>
      <c r="B2039" s="194" t="s">
        <v>21</v>
      </c>
      <c r="C2039" s="339">
        <f t="shared" si="70"/>
        <v>50000</v>
      </c>
      <c r="D2039" s="196" t="s">
        <v>624</v>
      </c>
      <c r="E2039" s="187" t="s">
        <v>3608</v>
      </c>
      <c r="F2039" s="507">
        <f>SUMIFS(Controle!$R:$R,Controle!$H:$H,produtos_escape2!$A2039,Controle!$Z:$Z,"1")</f>
        <v>0</v>
      </c>
      <c r="G2039" s="507">
        <f>SUMIFS(Controle!$R:$R,Controle!$H:$H,produtos_escape2!$A2039,Controle!$Z:$Z,"2")</f>
        <v>0</v>
      </c>
      <c r="H2039" s="507">
        <f>SUMIFS(Controle!$R:$R,Controle!$H:$H,produtos_escape2!$A2039,Controle!$Z:$Z,"3")</f>
        <v>0</v>
      </c>
      <c r="I2039" s="507">
        <f>SUMIFS(Controle!$R:$R,Controle!$H:$H,produtos_escape2!$A2039,Controle!$Z:$Z,"4")</f>
        <v>0</v>
      </c>
      <c r="J2039" s="507">
        <f>SUMIFS(Controle!$R:$R,Controle!$H:$H,produtos_escape2!$A2039,Controle!$Z:$Z,"5")</f>
        <v>0</v>
      </c>
      <c r="K2039" s="507">
        <f>SUMIFS(Controle!$R:$R,Controle!$H:$H,produtos_escape2!$A2039,Controle!$Z:$Z,"6")</f>
        <v>0</v>
      </c>
      <c r="L2039" s="507">
        <f t="shared" si="69"/>
        <v>0</v>
      </c>
      <c r="M2039" s="381" t="s">
        <v>21</v>
      </c>
    </row>
    <row r="2040" spans="1:13" s="185" customFormat="1" ht="14.25" customHeight="1" thickBot="1">
      <c r="A2040" s="353">
        <v>92434</v>
      </c>
      <c r="B2040" s="194" t="s">
        <v>1565</v>
      </c>
      <c r="C2040" s="339">
        <f t="shared" si="70"/>
        <v>50000</v>
      </c>
      <c r="D2040" s="196" t="s">
        <v>624</v>
      </c>
      <c r="E2040" s="187" t="s">
        <v>3608</v>
      </c>
      <c r="F2040" s="507">
        <f>SUMIFS(Controle!$R:$R,Controle!$H:$H,produtos_escape2!$A2040,Controle!$Z:$Z,"1")</f>
        <v>0</v>
      </c>
      <c r="G2040" s="507">
        <f>SUMIFS(Controle!$R:$R,Controle!$H:$H,produtos_escape2!$A2040,Controle!$Z:$Z,"2")</f>
        <v>0</v>
      </c>
      <c r="H2040" s="507">
        <f>SUMIFS(Controle!$R:$R,Controle!$H:$H,produtos_escape2!$A2040,Controle!$Z:$Z,"3")</f>
        <v>0</v>
      </c>
      <c r="I2040" s="507">
        <f>SUMIFS(Controle!$R:$R,Controle!$H:$H,produtos_escape2!$A2040,Controle!$Z:$Z,"4")</f>
        <v>0</v>
      </c>
      <c r="J2040" s="507">
        <f>SUMIFS(Controle!$R:$R,Controle!$H:$H,produtos_escape2!$A2040,Controle!$Z:$Z,"5")</f>
        <v>0</v>
      </c>
      <c r="K2040" s="507">
        <f>SUMIFS(Controle!$R:$R,Controle!$H:$H,produtos_escape2!$A2040,Controle!$Z:$Z,"6")</f>
        <v>0</v>
      </c>
      <c r="L2040" s="507">
        <f t="shared" si="69"/>
        <v>0</v>
      </c>
      <c r="M2040" s="381" t="s">
        <v>5539</v>
      </c>
    </row>
    <row r="2041" spans="1:13" s="185" customFormat="1" ht="14.25" customHeight="1" thickBot="1">
      <c r="A2041" s="353">
        <v>92435</v>
      </c>
      <c r="B2041" s="194" t="s">
        <v>58</v>
      </c>
      <c r="C2041" s="339">
        <f t="shared" si="70"/>
        <v>50000</v>
      </c>
      <c r="D2041" s="196" t="s">
        <v>624</v>
      </c>
      <c r="E2041" s="187" t="s">
        <v>3608</v>
      </c>
      <c r="F2041" s="507">
        <f>SUMIFS(Controle!$R:$R,Controle!$H:$H,produtos_escape2!$A2041,Controle!$Z:$Z,"1")</f>
        <v>0</v>
      </c>
      <c r="G2041" s="507">
        <f>SUMIFS(Controle!$R:$R,Controle!$H:$H,produtos_escape2!$A2041,Controle!$Z:$Z,"2")</f>
        <v>0</v>
      </c>
      <c r="H2041" s="507">
        <f>SUMIFS(Controle!$R:$R,Controle!$H:$H,produtos_escape2!$A2041,Controle!$Z:$Z,"3")</f>
        <v>0</v>
      </c>
      <c r="I2041" s="507">
        <f>SUMIFS(Controle!$R:$R,Controle!$H:$H,produtos_escape2!$A2041,Controle!$Z:$Z,"4")</f>
        <v>0</v>
      </c>
      <c r="J2041" s="507">
        <f>SUMIFS(Controle!$R:$R,Controle!$H:$H,produtos_escape2!$A2041,Controle!$Z:$Z,"5")</f>
        <v>0</v>
      </c>
      <c r="K2041" s="507">
        <f>SUMIFS(Controle!$R:$R,Controle!$H:$H,produtos_escape2!$A2041,Controle!$Z:$Z,"6")</f>
        <v>0</v>
      </c>
      <c r="L2041" s="507">
        <f t="shared" si="69"/>
        <v>0</v>
      </c>
      <c r="M2041" s="381" t="s">
        <v>58</v>
      </c>
    </row>
    <row r="2042" spans="1:13" s="185" customFormat="1" ht="14.25" customHeight="1" thickBot="1">
      <c r="A2042" s="353">
        <v>92436</v>
      </c>
      <c r="B2042" s="338" t="s">
        <v>144</v>
      </c>
      <c r="C2042" s="339">
        <f t="shared" si="70"/>
        <v>50000</v>
      </c>
      <c r="D2042" s="196" t="s">
        <v>624</v>
      </c>
      <c r="E2042" s="187" t="s">
        <v>3608</v>
      </c>
      <c r="F2042" s="507">
        <f>SUMIFS(Controle!$R:$R,Controle!$H:$H,produtos_escape2!$A2042,Controle!$Z:$Z,"1")</f>
        <v>0</v>
      </c>
      <c r="G2042" s="507">
        <f>SUMIFS(Controle!$R:$R,Controle!$H:$H,produtos_escape2!$A2042,Controle!$Z:$Z,"2")</f>
        <v>0</v>
      </c>
      <c r="H2042" s="507">
        <f>SUMIFS(Controle!$R:$R,Controle!$H:$H,produtos_escape2!$A2042,Controle!$Z:$Z,"3")</f>
        <v>0</v>
      </c>
      <c r="I2042" s="507">
        <f>SUMIFS(Controle!$R:$R,Controle!$H:$H,produtos_escape2!$A2042,Controle!$Z:$Z,"4")</f>
        <v>0</v>
      </c>
      <c r="J2042" s="507">
        <f>SUMIFS(Controle!$R:$R,Controle!$H:$H,produtos_escape2!$A2042,Controle!$Z:$Z,"5")</f>
        <v>0</v>
      </c>
      <c r="K2042" s="507">
        <f>SUMIFS(Controle!$R:$R,Controle!$H:$H,produtos_escape2!$A2042,Controle!$Z:$Z,"6")</f>
        <v>0</v>
      </c>
      <c r="L2042" s="507">
        <f t="shared" si="69"/>
        <v>0</v>
      </c>
      <c r="M2042" s="381" t="s">
        <v>144</v>
      </c>
    </row>
    <row r="2043" spans="1:13" s="185" customFormat="1" ht="14.25" customHeight="1" thickBot="1">
      <c r="A2043" s="353">
        <v>92437</v>
      </c>
      <c r="B2043" s="194" t="s">
        <v>219</v>
      </c>
      <c r="C2043" s="339">
        <f t="shared" si="70"/>
        <v>50000</v>
      </c>
      <c r="D2043" s="196" t="s">
        <v>624</v>
      </c>
      <c r="E2043" s="187" t="s">
        <v>3608</v>
      </c>
      <c r="F2043" s="507">
        <f>SUMIFS(Controle!$R:$R,Controle!$H:$H,produtos_escape2!$A2043,Controle!$Z:$Z,"1")</f>
        <v>0</v>
      </c>
      <c r="G2043" s="507">
        <f>SUMIFS(Controle!$R:$R,Controle!$H:$H,produtos_escape2!$A2043,Controle!$Z:$Z,"2")</f>
        <v>0</v>
      </c>
      <c r="H2043" s="507">
        <f>SUMIFS(Controle!$R:$R,Controle!$H:$H,produtos_escape2!$A2043,Controle!$Z:$Z,"3")</f>
        <v>0</v>
      </c>
      <c r="I2043" s="507">
        <f>SUMIFS(Controle!$R:$R,Controle!$H:$H,produtos_escape2!$A2043,Controle!$Z:$Z,"4")</f>
        <v>0</v>
      </c>
      <c r="J2043" s="507">
        <f>SUMIFS(Controle!$R:$R,Controle!$H:$H,produtos_escape2!$A2043,Controle!$Z:$Z,"5")</f>
        <v>0</v>
      </c>
      <c r="K2043" s="507">
        <f>SUMIFS(Controle!$R:$R,Controle!$H:$H,produtos_escape2!$A2043,Controle!$Z:$Z,"6")</f>
        <v>0</v>
      </c>
      <c r="L2043" s="507">
        <f t="shared" si="69"/>
        <v>0</v>
      </c>
      <c r="M2043" s="381" t="s">
        <v>219</v>
      </c>
    </row>
    <row r="2044" spans="1:13" s="185" customFormat="1" ht="14.25" customHeight="1" thickBot="1">
      <c r="A2044" s="353">
        <v>92438</v>
      </c>
      <c r="B2044" s="194" t="s">
        <v>59</v>
      </c>
      <c r="C2044" s="339">
        <f t="shared" si="70"/>
        <v>50000</v>
      </c>
      <c r="D2044" s="196" t="s">
        <v>624</v>
      </c>
      <c r="E2044" s="187" t="s">
        <v>3608</v>
      </c>
      <c r="F2044" s="507">
        <f>SUMIFS(Controle!$R:$R,Controle!$H:$H,produtos_escape2!$A2044,Controle!$Z:$Z,"1")</f>
        <v>0</v>
      </c>
      <c r="G2044" s="507">
        <f>SUMIFS(Controle!$R:$R,Controle!$H:$H,produtos_escape2!$A2044,Controle!$Z:$Z,"2")</f>
        <v>0</v>
      </c>
      <c r="H2044" s="507">
        <f>SUMIFS(Controle!$R:$R,Controle!$H:$H,produtos_escape2!$A2044,Controle!$Z:$Z,"3")</f>
        <v>0</v>
      </c>
      <c r="I2044" s="507">
        <f>SUMIFS(Controle!$R:$R,Controle!$H:$H,produtos_escape2!$A2044,Controle!$Z:$Z,"4")</f>
        <v>0</v>
      </c>
      <c r="J2044" s="507">
        <f>SUMIFS(Controle!$R:$R,Controle!$H:$H,produtos_escape2!$A2044,Controle!$Z:$Z,"5")</f>
        <v>0</v>
      </c>
      <c r="K2044" s="507">
        <f>SUMIFS(Controle!$R:$R,Controle!$H:$H,produtos_escape2!$A2044,Controle!$Z:$Z,"6")</f>
        <v>0</v>
      </c>
      <c r="L2044" s="507">
        <f t="shared" si="69"/>
        <v>0</v>
      </c>
      <c r="M2044" s="381" t="s">
        <v>59</v>
      </c>
    </row>
    <row r="2045" spans="1:13" s="185" customFormat="1" ht="14.25" customHeight="1" thickBot="1">
      <c r="A2045" s="353">
        <v>92439</v>
      </c>
      <c r="B2045" s="194" t="s">
        <v>1423</v>
      </c>
      <c r="C2045" s="339">
        <f t="shared" si="70"/>
        <v>49449</v>
      </c>
      <c r="D2045" s="196" t="s">
        <v>624</v>
      </c>
      <c r="E2045" s="187" t="s">
        <v>3608</v>
      </c>
      <c r="F2045" s="507">
        <f>SUMIFS(Controle!$R:$R,Controle!$H:$H,produtos_escape2!$A2045,Controle!$Z:$Z,"1")</f>
        <v>0</v>
      </c>
      <c r="G2045" s="507">
        <f>SUMIFS(Controle!$R:$R,Controle!$H:$H,produtos_escape2!$A2045,Controle!$Z:$Z,"2")</f>
        <v>551</v>
      </c>
      <c r="H2045" s="507">
        <f>SUMIFS(Controle!$R:$R,Controle!$H:$H,produtos_escape2!$A2045,Controle!$Z:$Z,"3")</f>
        <v>0</v>
      </c>
      <c r="I2045" s="507">
        <f>SUMIFS(Controle!$R:$R,Controle!$H:$H,produtos_escape2!$A2045,Controle!$Z:$Z,"4")</f>
        <v>0</v>
      </c>
      <c r="J2045" s="507">
        <f>SUMIFS(Controle!$R:$R,Controle!$H:$H,produtos_escape2!$A2045,Controle!$Z:$Z,"5")</f>
        <v>0</v>
      </c>
      <c r="K2045" s="507">
        <f>SUMIFS(Controle!$R:$R,Controle!$H:$H,produtos_escape2!$A2045,Controle!$Z:$Z,"6")</f>
        <v>0</v>
      </c>
      <c r="L2045" s="507">
        <f t="shared" si="69"/>
        <v>551</v>
      </c>
      <c r="M2045" s="381" t="s">
        <v>1094</v>
      </c>
    </row>
    <row r="2046" spans="1:13" s="185" customFormat="1" ht="14.25" customHeight="1" thickBot="1">
      <c r="A2046" s="333">
        <v>92440</v>
      </c>
      <c r="B2046" s="194" t="s">
        <v>3679</v>
      </c>
      <c r="C2046" s="339">
        <f t="shared" si="70"/>
        <v>49835</v>
      </c>
      <c r="D2046" s="191" t="s">
        <v>624</v>
      </c>
      <c r="E2046" s="189" t="s">
        <v>3608</v>
      </c>
      <c r="F2046" s="507">
        <f>SUMIFS(Controle!$R:$R,Controle!$H:$H,produtos_escape2!$A2046,Controle!$Z:$Z,"1")</f>
        <v>0</v>
      </c>
      <c r="G2046" s="507">
        <f>SUMIFS(Controle!$R:$R,Controle!$H:$H,produtos_escape2!$A2046,Controle!$Z:$Z,"2")</f>
        <v>0</v>
      </c>
      <c r="H2046" s="507">
        <f>SUMIFS(Controle!$R:$R,Controle!$H:$H,produtos_escape2!$A2046,Controle!$Z:$Z,"3")</f>
        <v>165</v>
      </c>
      <c r="I2046" s="507">
        <f>SUMIFS(Controle!$R:$R,Controle!$H:$H,produtos_escape2!$A2046,Controle!$Z:$Z,"4")</f>
        <v>0</v>
      </c>
      <c r="J2046" s="507">
        <f>SUMIFS(Controle!$R:$R,Controle!$H:$H,produtos_escape2!$A2046,Controle!$Z:$Z,"5")</f>
        <v>0</v>
      </c>
      <c r="K2046" s="507">
        <f>SUMIFS(Controle!$R:$R,Controle!$H:$H,produtos_escape2!$A2046,Controle!$Z:$Z,"6")</f>
        <v>0</v>
      </c>
      <c r="L2046" s="507">
        <f t="shared" si="69"/>
        <v>165</v>
      </c>
      <c r="M2046" s="381" t="s">
        <v>5540</v>
      </c>
    </row>
    <row r="2047" spans="1:13" s="185" customFormat="1" ht="14.25" customHeight="1" thickBot="1">
      <c r="A2047" s="353">
        <v>92442</v>
      </c>
      <c r="B2047" s="194" t="s">
        <v>1814</v>
      </c>
      <c r="C2047" s="339">
        <f t="shared" si="70"/>
        <v>50000</v>
      </c>
      <c r="D2047" s="191" t="s">
        <v>624</v>
      </c>
      <c r="E2047" s="189" t="s">
        <v>3608</v>
      </c>
      <c r="F2047" s="507">
        <f>SUMIFS(Controle!$R:$R,Controle!$H:$H,produtos_escape2!$A2047,Controle!$Z:$Z,"1")</f>
        <v>0</v>
      </c>
      <c r="G2047" s="507">
        <f>SUMIFS(Controle!$R:$R,Controle!$H:$H,produtos_escape2!$A2047,Controle!$Z:$Z,"2")</f>
        <v>0</v>
      </c>
      <c r="H2047" s="507">
        <f>SUMIFS(Controle!$R:$R,Controle!$H:$H,produtos_escape2!$A2047,Controle!$Z:$Z,"3")</f>
        <v>0</v>
      </c>
      <c r="I2047" s="507">
        <f>SUMIFS(Controle!$R:$R,Controle!$H:$H,produtos_escape2!$A2047,Controle!$Z:$Z,"4")</f>
        <v>0</v>
      </c>
      <c r="J2047" s="507">
        <f>SUMIFS(Controle!$R:$R,Controle!$H:$H,produtos_escape2!$A2047,Controle!$Z:$Z,"5")</f>
        <v>0</v>
      </c>
      <c r="K2047" s="507">
        <f>SUMIFS(Controle!$R:$R,Controle!$H:$H,produtos_escape2!$A2047,Controle!$Z:$Z,"6")</f>
        <v>0</v>
      </c>
      <c r="L2047" s="507">
        <f t="shared" ref="L2047:L2110" si="71">SUM(F2047:K2047)</f>
        <v>0</v>
      </c>
      <c r="M2047" s="381" t="s">
        <v>5541</v>
      </c>
    </row>
    <row r="2048" spans="1:13" s="185" customFormat="1" ht="14.25" customHeight="1" thickBot="1">
      <c r="A2048" s="353">
        <v>92444</v>
      </c>
      <c r="B2048" s="194" t="s">
        <v>2781</v>
      </c>
      <c r="C2048" s="339">
        <f t="shared" si="70"/>
        <v>49865.5</v>
      </c>
      <c r="D2048" s="196" t="s">
        <v>624</v>
      </c>
      <c r="E2048" s="187" t="s">
        <v>3608</v>
      </c>
      <c r="F2048" s="507">
        <f>SUMIFS(Controle!$R:$R,Controle!$H:$H,produtos_escape2!$A2048,Controle!$Z:$Z,"1")</f>
        <v>0</v>
      </c>
      <c r="G2048" s="507">
        <f>SUMIFS(Controle!$R:$R,Controle!$H:$H,produtos_escape2!$A2048,Controle!$Z:$Z,"2")</f>
        <v>134.5</v>
      </c>
      <c r="H2048" s="507">
        <f>SUMIFS(Controle!$R:$R,Controle!$H:$H,produtos_escape2!$A2048,Controle!$Z:$Z,"3")</f>
        <v>0</v>
      </c>
      <c r="I2048" s="507">
        <f>SUMIFS(Controle!$R:$R,Controle!$H:$H,produtos_escape2!$A2048,Controle!$Z:$Z,"4")</f>
        <v>0</v>
      </c>
      <c r="J2048" s="507">
        <f>SUMIFS(Controle!$R:$R,Controle!$H:$H,produtos_escape2!$A2048,Controle!$Z:$Z,"5")</f>
        <v>0</v>
      </c>
      <c r="K2048" s="507">
        <f>SUMIFS(Controle!$R:$R,Controle!$H:$H,produtos_escape2!$A2048,Controle!$Z:$Z,"6")</f>
        <v>0</v>
      </c>
      <c r="L2048" s="507">
        <f t="shared" si="71"/>
        <v>134.5</v>
      </c>
      <c r="M2048" s="381" t="s">
        <v>5542</v>
      </c>
    </row>
    <row r="2049" spans="1:13" s="185" customFormat="1" ht="14.25" customHeight="1" thickBot="1">
      <c r="A2049" s="353">
        <v>92445</v>
      </c>
      <c r="B2049" s="194" t="s">
        <v>3389</v>
      </c>
      <c r="C2049" s="339">
        <f t="shared" si="70"/>
        <v>47884.25</v>
      </c>
      <c r="D2049" s="196" t="s">
        <v>624</v>
      </c>
      <c r="E2049" s="187" t="s">
        <v>3608</v>
      </c>
      <c r="F2049" s="507">
        <f>SUMIFS(Controle!$R:$R,Controle!$H:$H,produtos_escape2!$A2049,Controle!$Z:$Z,"1")</f>
        <v>0</v>
      </c>
      <c r="G2049" s="507">
        <f>SUMIFS(Controle!$R:$R,Controle!$H:$H,produtos_escape2!$A2049,Controle!$Z:$Z,"2")</f>
        <v>536</v>
      </c>
      <c r="H2049" s="507">
        <f>SUMIFS(Controle!$R:$R,Controle!$H:$H,produtos_escape2!$A2049,Controle!$Z:$Z,"3")</f>
        <v>290</v>
      </c>
      <c r="I2049" s="507">
        <f>SUMIFS(Controle!$R:$R,Controle!$H:$H,produtos_escape2!$A2049,Controle!$Z:$Z,"4")</f>
        <v>522.75</v>
      </c>
      <c r="J2049" s="507">
        <f>SUMIFS(Controle!$R:$R,Controle!$H:$H,produtos_escape2!$A2049,Controle!$Z:$Z,"5")</f>
        <v>0</v>
      </c>
      <c r="K2049" s="507">
        <f>SUMIFS(Controle!$R:$R,Controle!$H:$H,produtos_escape2!$A2049,Controle!$Z:$Z,"6")</f>
        <v>767</v>
      </c>
      <c r="L2049" s="507">
        <f t="shared" si="71"/>
        <v>2115.75</v>
      </c>
      <c r="M2049" s="381" t="s">
        <v>5543</v>
      </c>
    </row>
    <row r="2050" spans="1:13" s="185" customFormat="1" ht="14.25" customHeight="1" thickBot="1">
      <c r="A2050" s="353">
        <v>92446</v>
      </c>
      <c r="B2050" s="338" t="s">
        <v>1480</v>
      </c>
      <c r="C2050" s="339">
        <f t="shared" si="70"/>
        <v>50000</v>
      </c>
      <c r="D2050" s="196" t="s">
        <v>624</v>
      </c>
      <c r="E2050" s="187" t="s">
        <v>3608</v>
      </c>
      <c r="F2050" s="507">
        <f>SUMIFS(Controle!$R:$R,Controle!$H:$H,produtos_escape2!$A2050,Controle!$Z:$Z,"1")</f>
        <v>0</v>
      </c>
      <c r="G2050" s="507">
        <f>SUMIFS(Controle!$R:$R,Controle!$H:$H,produtos_escape2!$A2050,Controle!$Z:$Z,"2")</f>
        <v>0</v>
      </c>
      <c r="H2050" s="507">
        <f>SUMIFS(Controle!$R:$R,Controle!$H:$H,produtos_escape2!$A2050,Controle!$Z:$Z,"3")</f>
        <v>0</v>
      </c>
      <c r="I2050" s="507">
        <f>SUMIFS(Controle!$R:$R,Controle!$H:$H,produtos_escape2!$A2050,Controle!$Z:$Z,"4")</f>
        <v>0</v>
      </c>
      <c r="J2050" s="507">
        <f>SUMIFS(Controle!$R:$R,Controle!$H:$H,produtos_escape2!$A2050,Controle!$Z:$Z,"5")</f>
        <v>0</v>
      </c>
      <c r="K2050" s="507">
        <f>SUMIFS(Controle!$R:$R,Controle!$H:$H,produtos_escape2!$A2050,Controle!$Z:$Z,"6")</f>
        <v>0</v>
      </c>
      <c r="L2050" s="507">
        <f t="shared" si="71"/>
        <v>0</v>
      </c>
      <c r="M2050" s="381" t="s">
        <v>5544</v>
      </c>
    </row>
    <row r="2051" spans="1:13" s="185" customFormat="1" ht="14.25" customHeight="1" thickBot="1">
      <c r="A2051" s="353">
        <v>92447</v>
      </c>
      <c r="B2051" s="194" t="s">
        <v>1094</v>
      </c>
      <c r="C2051" s="339">
        <f t="shared" si="70"/>
        <v>50000</v>
      </c>
      <c r="D2051" s="196" t="s">
        <v>624</v>
      </c>
      <c r="E2051" s="187" t="s">
        <v>3608</v>
      </c>
      <c r="F2051" s="507">
        <f>SUMIFS(Controle!$R:$R,Controle!$H:$H,produtos_escape2!$A2051,Controle!$Z:$Z,"1")</f>
        <v>0</v>
      </c>
      <c r="G2051" s="507">
        <f>SUMIFS(Controle!$R:$R,Controle!$H:$H,produtos_escape2!$A2051,Controle!$Z:$Z,"2")</f>
        <v>0</v>
      </c>
      <c r="H2051" s="507">
        <f>SUMIFS(Controle!$R:$R,Controle!$H:$H,produtos_escape2!$A2051,Controle!$Z:$Z,"3")</f>
        <v>0</v>
      </c>
      <c r="I2051" s="507">
        <f>SUMIFS(Controle!$R:$R,Controle!$H:$H,produtos_escape2!$A2051,Controle!$Z:$Z,"4")</f>
        <v>0</v>
      </c>
      <c r="J2051" s="507">
        <f>SUMIFS(Controle!$R:$R,Controle!$H:$H,produtos_escape2!$A2051,Controle!$Z:$Z,"5")</f>
        <v>0</v>
      </c>
      <c r="K2051" s="507">
        <f>SUMIFS(Controle!$R:$R,Controle!$H:$H,produtos_escape2!$A2051,Controle!$Z:$Z,"6")</f>
        <v>0</v>
      </c>
      <c r="L2051" s="507">
        <f t="shared" si="71"/>
        <v>0</v>
      </c>
      <c r="M2051" s="381" t="s">
        <v>1094</v>
      </c>
    </row>
    <row r="2052" spans="1:13" s="185" customFormat="1" ht="14.25" customHeight="1" thickBot="1">
      <c r="A2052" s="353">
        <v>92448</v>
      </c>
      <c r="B2052" s="194" t="s">
        <v>2691</v>
      </c>
      <c r="C2052" s="339">
        <f t="shared" si="70"/>
        <v>49224</v>
      </c>
      <c r="D2052" s="196" t="s">
        <v>624</v>
      </c>
      <c r="E2052" s="187" t="s">
        <v>3608</v>
      </c>
      <c r="F2052" s="507">
        <f>SUMIFS(Controle!$R:$R,Controle!$H:$H,produtos_escape2!$A2052,Controle!$Z:$Z,"1")</f>
        <v>0</v>
      </c>
      <c r="G2052" s="507">
        <f>SUMIFS(Controle!$R:$R,Controle!$H:$H,produtos_escape2!$A2052,Controle!$Z:$Z,"2")</f>
        <v>386</v>
      </c>
      <c r="H2052" s="507">
        <f>SUMIFS(Controle!$R:$R,Controle!$H:$H,produtos_escape2!$A2052,Controle!$Z:$Z,"3")</f>
        <v>0</v>
      </c>
      <c r="I2052" s="507">
        <f>SUMIFS(Controle!$R:$R,Controle!$H:$H,produtos_escape2!$A2052,Controle!$Z:$Z,"4")</f>
        <v>0</v>
      </c>
      <c r="J2052" s="507">
        <f>SUMIFS(Controle!$R:$R,Controle!$H:$H,produtos_escape2!$A2052,Controle!$Z:$Z,"5")</f>
        <v>0</v>
      </c>
      <c r="K2052" s="507">
        <f>SUMIFS(Controle!$R:$R,Controle!$H:$H,produtos_escape2!$A2052,Controle!$Z:$Z,"6")</f>
        <v>390</v>
      </c>
      <c r="L2052" s="507">
        <f t="shared" si="71"/>
        <v>776</v>
      </c>
      <c r="M2052" s="381" t="s">
        <v>5545</v>
      </c>
    </row>
    <row r="2053" spans="1:13" s="185" customFormat="1" ht="14.25" customHeight="1" thickBot="1">
      <c r="A2053" s="353">
        <v>92449</v>
      </c>
      <c r="B2053" s="194" t="s">
        <v>1516</v>
      </c>
      <c r="C2053" s="339">
        <f t="shared" si="70"/>
        <v>50000</v>
      </c>
      <c r="D2053" s="196" t="s">
        <v>624</v>
      </c>
      <c r="E2053" s="187" t="s">
        <v>3608</v>
      </c>
      <c r="F2053" s="507">
        <f>SUMIFS(Controle!$R:$R,Controle!$H:$H,produtos_escape2!$A2053,Controle!$Z:$Z,"1")</f>
        <v>0</v>
      </c>
      <c r="G2053" s="507">
        <f>SUMIFS(Controle!$R:$R,Controle!$H:$H,produtos_escape2!$A2053,Controle!$Z:$Z,"2")</f>
        <v>0</v>
      </c>
      <c r="H2053" s="507">
        <f>SUMIFS(Controle!$R:$R,Controle!$H:$H,produtos_escape2!$A2053,Controle!$Z:$Z,"3")</f>
        <v>0</v>
      </c>
      <c r="I2053" s="507">
        <f>SUMIFS(Controle!$R:$R,Controle!$H:$H,produtos_escape2!$A2053,Controle!$Z:$Z,"4")</f>
        <v>0</v>
      </c>
      <c r="J2053" s="507">
        <f>SUMIFS(Controle!$R:$R,Controle!$H:$H,produtos_escape2!$A2053,Controle!$Z:$Z,"5")</f>
        <v>0</v>
      </c>
      <c r="K2053" s="507">
        <f>SUMIFS(Controle!$R:$R,Controle!$H:$H,produtos_escape2!$A2053,Controle!$Z:$Z,"6")</f>
        <v>0</v>
      </c>
      <c r="L2053" s="507">
        <f t="shared" si="71"/>
        <v>0</v>
      </c>
      <c r="M2053" s="381" t="s">
        <v>5546</v>
      </c>
    </row>
    <row r="2054" spans="1:13" s="185" customFormat="1" ht="14.25" customHeight="1" thickBot="1">
      <c r="A2054" s="333">
        <v>92450</v>
      </c>
      <c r="B2054" s="194" t="s">
        <v>2915</v>
      </c>
      <c r="C2054" s="339">
        <f t="shared" si="70"/>
        <v>50000</v>
      </c>
      <c r="D2054" s="196" t="s">
        <v>624</v>
      </c>
      <c r="E2054" s="187" t="s">
        <v>3608</v>
      </c>
      <c r="F2054" s="507">
        <f>SUMIFS(Controle!$R:$R,Controle!$H:$H,produtos_escape2!$A2054,Controle!$Z:$Z,"1")</f>
        <v>0</v>
      </c>
      <c r="G2054" s="507">
        <f>SUMIFS(Controle!$R:$R,Controle!$H:$H,produtos_escape2!$A2054,Controle!$Z:$Z,"2")</f>
        <v>0</v>
      </c>
      <c r="H2054" s="507">
        <f>SUMIFS(Controle!$R:$R,Controle!$H:$H,produtos_escape2!$A2054,Controle!$Z:$Z,"3")</f>
        <v>0</v>
      </c>
      <c r="I2054" s="507">
        <f>SUMIFS(Controle!$R:$R,Controle!$H:$H,produtos_escape2!$A2054,Controle!$Z:$Z,"4")</f>
        <v>0</v>
      </c>
      <c r="J2054" s="507">
        <f>SUMIFS(Controle!$R:$R,Controle!$H:$H,produtos_escape2!$A2054,Controle!$Z:$Z,"5")</f>
        <v>0</v>
      </c>
      <c r="K2054" s="507">
        <f>SUMIFS(Controle!$R:$R,Controle!$H:$H,produtos_escape2!$A2054,Controle!$Z:$Z,"6")</f>
        <v>0</v>
      </c>
      <c r="L2054" s="507">
        <f t="shared" si="71"/>
        <v>0</v>
      </c>
      <c r="M2054" s="381" t="s">
        <v>5547</v>
      </c>
    </row>
    <row r="2055" spans="1:13" s="185" customFormat="1" ht="14.25" customHeight="1" thickBot="1">
      <c r="A2055" s="353">
        <v>92451</v>
      </c>
      <c r="B2055" s="194" t="s">
        <v>3654</v>
      </c>
      <c r="C2055" s="339">
        <f t="shared" si="70"/>
        <v>49940</v>
      </c>
      <c r="D2055" s="191" t="s">
        <v>624</v>
      </c>
      <c r="E2055" s="189" t="s">
        <v>1739</v>
      </c>
      <c r="F2055" s="507">
        <f>SUMIFS(Controle!$R:$R,Controle!$H:$H,produtos_escape2!$A2055,Controle!$Z:$Z,"1")</f>
        <v>0</v>
      </c>
      <c r="G2055" s="507">
        <f>SUMIFS(Controle!$R:$R,Controle!$H:$H,produtos_escape2!$A2055,Controle!$Z:$Z,"2")</f>
        <v>60</v>
      </c>
      <c r="H2055" s="507">
        <f>SUMIFS(Controle!$R:$R,Controle!$H:$H,produtos_escape2!$A2055,Controle!$Z:$Z,"3")</f>
        <v>0</v>
      </c>
      <c r="I2055" s="507">
        <f>SUMIFS(Controle!$R:$R,Controle!$H:$H,produtos_escape2!$A2055,Controle!$Z:$Z,"4")</f>
        <v>0</v>
      </c>
      <c r="J2055" s="507">
        <f>SUMIFS(Controle!$R:$R,Controle!$H:$H,produtos_escape2!$A2055,Controle!$Z:$Z,"5")</f>
        <v>0</v>
      </c>
      <c r="K2055" s="507">
        <f>SUMIFS(Controle!$R:$R,Controle!$H:$H,produtos_escape2!$A2055,Controle!$Z:$Z,"6")</f>
        <v>0</v>
      </c>
      <c r="L2055" s="507">
        <f t="shared" si="71"/>
        <v>60</v>
      </c>
      <c r="M2055" s="381" t="s">
        <v>5548</v>
      </c>
    </row>
    <row r="2056" spans="1:13" s="185" customFormat="1" ht="14.25" customHeight="1" thickBot="1">
      <c r="A2056" s="353">
        <v>92452</v>
      </c>
      <c r="B2056" s="194" t="s">
        <v>2914</v>
      </c>
      <c r="C2056" s="339">
        <f t="shared" si="70"/>
        <v>49803.4</v>
      </c>
      <c r="D2056" s="196" t="s">
        <v>624</v>
      </c>
      <c r="E2056" s="187" t="s">
        <v>3608</v>
      </c>
      <c r="F2056" s="507">
        <f>SUMIFS(Controle!$R:$R,Controle!$H:$H,produtos_escape2!$A2056,Controle!$Z:$Z,"1")</f>
        <v>0</v>
      </c>
      <c r="G2056" s="507">
        <f>SUMIFS(Controle!$R:$R,Controle!$H:$H,produtos_escape2!$A2056,Controle!$Z:$Z,"2")</f>
        <v>60</v>
      </c>
      <c r="H2056" s="507">
        <f>SUMIFS(Controle!$R:$R,Controle!$H:$H,produtos_escape2!$A2056,Controle!$Z:$Z,"3")</f>
        <v>0</v>
      </c>
      <c r="I2056" s="507">
        <f>SUMIFS(Controle!$R:$R,Controle!$H:$H,produtos_escape2!$A2056,Controle!$Z:$Z,"4")</f>
        <v>0</v>
      </c>
      <c r="J2056" s="507">
        <f>SUMIFS(Controle!$R:$R,Controle!$H:$H,produtos_escape2!$A2056,Controle!$Z:$Z,"5")</f>
        <v>0</v>
      </c>
      <c r="K2056" s="507">
        <f>SUMIFS(Controle!$R:$R,Controle!$H:$H,produtos_escape2!$A2056,Controle!$Z:$Z,"6")</f>
        <v>136.6</v>
      </c>
      <c r="L2056" s="507">
        <f t="shared" si="71"/>
        <v>196.6</v>
      </c>
      <c r="M2056" s="381" t="s">
        <v>5549</v>
      </c>
    </row>
    <row r="2057" spans="1:13" s="185" customFormat="1" ht="14.25" customHeight="1" thickBot="1">
      <c r="A2057" s="353">
        <v>92453</v>
      </c>
      <c r="B2057" s="194" t="s">
        <v>7069</v>
      </c>
      <c r="C2057" s="339">
        <f t="shared" ref="C2057:C2120" si="72">50000-SUM(F2057:K2057)</f>
        <v>49863.4</v>
      </c>
      <c r="D2057" s="196" t="s">
        <v>624</v>
      </c>
      <c r="E2057" s="187" t="s">
        <v>3608</v>
      </c>
      <c r="F2057" s="507">
        <f>SUMIFS(Controle!$R:$R,Controle!$H:$H,produtos_escape2!$A2057,Controle!$Z:$Z,"1")</f>
        <v>0</v>
      </c>
      <c r="G2057" s="507">
        <f>SUMIFS(Controle!$R:$R,Controle!$H:$H,produtos_escape2!$A2057,Controle!$Z:$Z,"2")</f>
        <v>0</v>
      </c>
      <c r="H2057" s="507">
        <f>SUMIFS(Controle!$R:$R,Controle!$H:$H,produtos_escape2!$A2057,Controle!$Z:$Z,"3")</f>
        <v>0</v>
      </c>
      <c r="I2057" s="507">
        <f>SUMIFS(Controle!$R:$R,Controle!$H:$H,produtos_escape2!$A2057,Controle!$Z:$Z,"4")</f>
        <v>0</v>
      </c>
      <c r="J2057" s="507">
        <f>SUMIFS(Controle!$R:$R,Controle!$H:$H,produtos_escape2!$A2057,Controle!$Z:$Z,"5")</f>
        <v>0</v>
      </c>
      <c r="K2057" s="507">
        <f>SUMIFS(Controle!$R:$R,Controle!$H:$H,produtos_escape2!$A2057,Controle!$Z:$Z,"6")</f>
        <v>136.6</v>
      </c>
      <c r="L2057" s="507">
        <f t="shared" si="71"/>
        <v>136.6</v>
      </c>
      <c r="M2057" s="381" t="s">
        <v>7070</v>
      </c>
    </row>
    <row r="2058" spans="1:13" s="185" customFormat="1" ht="14.25" customHeight="1" thickBot="1">
      <c r="A2058" s="353">
        <v>92454</v>
      </c>
      <c r="B2058" s="194" t="s">
        <v>2831</v>
      </c>
      <c r="C2058" s="339">
        <f t="shared" si="72"/>
        <v>50000</v>
      </c>
      <c r="D2058" s="196" t="s">
        <v>624</v>
      </c>
      <c r="E2058" s="187" t="s">
        <v>3608</v>
      </c>
      <c r="F2058" s="507">
        <f>SUMIFS(Controle!$R:$R,Controle!$H:$H,produtos_escape2!$A2058,Controle!$Z:$Z,"1")</f>
        <v>0</v>
      </c>
      <c r="G2058" s="507">
        <f>SUMIFS(Controle!$R:$R,Controle!$H:$H,produtos_escape2!$A2058,Controle!$Z:$Z,"2")</f>
        <v>0</v>
      </c>
      <c r="H2058" s="507">
        <f>SUMIFS(Controle!$R:$R,Controle!$H:$H,produtos_escape2!$A2058,Controle!$Z:$Z,"3")</f>
        <v>0</v>
      </c>
      <c r="I2058" s="507">
        <f>SUMIFS(Controle!$R:$R,Controle!$H:$H,produtos_escape2!$A2058,Controle!$Z:$Z,"4")</f>
        <v>0</v>
      </c>
      <c r="J2058" s="507">
        <f>SUMIFS(Controle!$R:$R,Controle!$H:$H,produtos_escape2!$A2058,Controle!$Z:$Z,"5")</f>
        <v>0</v>
      </c>
      <c r="K2058" s="507">
        <f>SUMIFS(Controle!$R:$R,Controle!$H:$H,produtos_escape2!$A2058,Controle!$Z:$Z,"6")</f>
        <v>0</v>
      </c>
      <c r="L2058" s="507">
        <f t="shared" si="71"/>
        <v>0</v>
      </c>
      <c r="M2058" s="381" t="s">
        <v>5550</v>
      </c>
    </row>
    <row r="2059" spans="1:13" s="185" customFormat="1" ht="14.25" customHeight="1" thickBot="1">
      <c r="A2059" s="353">
        <v>92456</v>
      </c>
      <c r="B2059" s="338" t="s">
        <v>3960</v>
      </c>
      <c r="C2059" s="339">
        <f t="shared" si="72"/>
        <v>50000</v>
      </c>
      <c r="D2059" s="196" t="s">
        <v>624</v>
      </c>
      <c r="E2059" s="187" t="s">
        <v>3608</v>
      </c>
      <c r="F2059" s="507">
        <f>SUMIFS(Controle!$R:$R,Controle!$H:$H,produtos_escape2!$A2059,Controle!$Z:$Z,"1")</f>
        <v>0</v>
      </c>
      <c r="G2059" s="507">
        <f>SUMIFS(Controle!$R:$R,Controle!$H:$H,produtos_escape2!$A2059,Controle!$Z:$Z,"2")</f>
        <v>0</v>
      </c>
      <c r="H2059" s="507">
        <f>SUMIFS(Controle!$R:$R,Controle!$H:$H,produtos_escape2!$A2059,Controle!$Z:$Z,"3")</f>
        <v>0</v>
      </c>
      <c r="I2059" s="507">
        <f>SUMIFS(Controle!$R:$R,Controle!$H:$H,produtos_escape2!$A2059,Controle!$Z:$Z,"4")</f>
        <v>0</v>
      </c>
      <c r="J2059" s="507">
        <f>SUMIFS(Controle!$R:$R,Controle!$H:$H,produtos_escape2!$A2059,Controle!$Z:$Z,"5")</f>
        <v>0</v>
      </c>
      <c r="K2059" s="507">
        <f>SUMIFS(Controle!$R:$R,Controle!$H:$H,produtos_escape2!$A2059,Controle!$Z:$Z,"6")</f>
        <v>0</v>
      </c>
      <c r="L2059" s="507">
        <f t="shared" si="71"/>
        <v>0</v>
      </c>
      <c r="M2059" s="381" t="s">
        <v>5551</v>
      </c>
    </row>
    <row r="2060" spans="1:13" s="185" customFormat="1" ht="14.25" customHeight="1" thickBot="1">
      <c r="A2060" s="353">
        <v>92457</v>
      </c>
      <c r="B2060" s="194" t="s">
        <v>292</v>
      </c>
      <c r="C2060" s="339">
        <f t="shared" si="72"/>
        <v>50000</v>
      </c>
      <c r="D2060" s="196" t="s">
        <v>624</v>
      </c>
      <c r="E2060" s="187" t="s">
        <v>3608</v>
      </c>
      <c r="F2060" s="507">
        <f>SUMIFS(Controle!$R:$R,Controle!$H:$H,produtos_escape2!$A2060,Controle!$Z:$Z,"1")</f>
        <v>0</v>
      </c>
      <c r="G2060" s="507">
        <f>SUMIFS(Controle!$R:$R,Controle!$H:$H,produtos_escape2!$A2060,Controle!$Z:$Z,"2")</f>
        <v>0</v>
      </c>
      <c r="H2060" s="507">
        <f>SUMIFS(Controle!$R:$R,Controle!$H:$H,produtos_escape2!$A2060,Controle!$Z:$Z,"3")</f>
        <v>0</v>
      </c>
      <c r="I2060" s="507">
        <f>SUMIFS(Controle!$R:$R,Controle!$H:$H,produtos_escape2!$A2060,Controle!$Z:$Z,"4")</f>
        <v>0</v>
      </c>
      <c r="J2060" s="507">
        <f>SUMIFS(Controle!$R:$R,Controle!$H:$H,produtos_escape2!$A2060,Controle!$Z:$Z,"5")</f>
        <v>0</v>
      </c>
      <c r="K2060" s="507">
        <f>SUMIFS(Controle!$R:$R,Controle!$H:$H,produtos_escape2!$A2060,Controle!$Z:$Z,"6")</f>
        <v>0</v>
      </c>
      <c r="L2060" s="507">
        <f t="shared" si="71"/>
        <v>0</v>
      </c>
      <c r="M2060" s="381" t="s">
        <v>292</v>
      </c>
    </row>
    <row r="2061" spans="1:13" s="185" customFormat="1" ht="14.25" customHeight="1" thickBot="1">
      <c r="A2061" s="353">
        <v>92469</v>
      </c>
      <c r="B2061" s="194" t="s">
        <v>4386</v>
      </c>
      <c r="C2061" s="339">
        <f t="shared" si="72"/>
        <v>50000</v>
      </c>
      <c r="D2061" s="196" t="s">
        <v>624</v>
      </c>
      <c r="E2061" s="187" t="s">
        <v>3608</v>
      </c>
      <c r="F2061" s="507">
        <f>SUMIFS(Controle!$R:$R,Controle!$H:$H,produtos_escape2!$A2061,Controle!$Z:$Z,"1")</f>
        <v>0</v>
      </c>
      <c r="G2061" s="507">
        <f>SUMIFS(Controle!$R:$R,Controle!$H:$H,produtos_escape2!$A2061,Controle!$Z:$Z,"2")</f>
        <v>0</v>
      </c>
      <c r="H2061" s="507">
        <f>SUMIFS(Controle!$R:$R,Controle!$H:$H,produtos_escape2!$A2061,Controle!$Z:$Z,"3")</f>
        <v>0</v>
      </c>
      <c r="I2061" s="507">
        <f>SUMIFS(Controle!$R:$R,Controle!$H:$H,produtos_escape2!$A2061,Controle!$Z:$Z,"4")</f>
        <v>0</v>
      </c>
      <c r="J2061" s="507">
        <f>SUMIFS(Controle!$R:$R,Controle!$H:$H,produtos_escape2!$A2061,Controle!$Z:$Z,"5")</f>
        <v>0</v>
      </c>
      <c r="K2061" s="507">
        <f>SUMIFS(Controle!$R:$R,Controle!$H:$H,produtos_escape2!$A2061,Controle!$Z:$Z,"6")</f>
        <v>0</v>
      </c>
      <c r="L2061" s="507">
        <f t="shared" si="71"/>
        <v>0</v>
      </c>
      <c r="M2061" s="381" t="s">
        <v>5552</v>
      </c>
    </row>
    <row r="2062" spans="1:13" s="185" customFormat="1" ht="14.25" customHeight="1" thickBot="1">
      <c r="A2062" s="353">
        <v>92470</v>
      </c>
      <c r="B2062" s="194" t="s">
        <v>2805</v>
      </c>
      <c r="C2062" s="339">
        <f t="shared" si="72"/>
        <v>50000</v>
      </c>
      <c r="D2062" s="196" t="s">
        <v>624</v>
      </c>
      <c r="E2062" s="187" t="s">
        <v>3608</v>
      </c>
      <c r="F2062" s="507">
        <f>SUMIFS(Controle!$R:$R,Controle!$H:$H,produtos_escape2!$A2062,Controle!$Z:$Z,"1")</f>
        <v>0</v>
      </c>
      <c r="G2062" s="507">
        <f>SUMIFS(Controle!$R:$R,Controle!$H:$H,produtos_escape2!$A2062,Controle!$Z:$Z,"2")</f>
        <v>0</v>
      </c>
      <c r="H2062" s="507">
        <f>SUMIFS(Controle!$R:$R,Controle!$H:$H,produtos_escape2!$A2062,Controle!$Z:$Z,"3")</f>
        <v>0</v>
      </c>
      <c r="I2062" s="507">
        <f>SUMIFS(Controle!$R:$R,Controle!$H:$H,produtos_escape2!$A2062,Controle!$Z:$Z,"4")</f>
        <v>0</v>
      </c>
      <c r="J2062" s="507">
        <f>SUMIFS(Controle!$R:$R,Controle!$H:$H,produtos_escape2!$A2062,Controle!$Z:$Z,"5")</f>
        <v>0</v>
      </c>
      <c r="K2062" s="507">
        <f>SUMIFS(Controle!$R:$R,Controle!$H:$H,produtos_escape2!$A2062,Controle!$Z:$Z,"6")</f>
        <v>0</v>
      </c>
      <c r="L2062" s="507">
        <f t="shared" si="71"/>
        <v>0</v>
      </c>
      <c r="M2062" s="381" t="s">
        <v>5553</v>
      </c>
    </row>
    <row r="2063" spans="1:13" s="185" customFormat="1" ht="14.25" customHeight="1" thickBot="1">
      <c r="A2063" s="333">
        <v>92471</v>
      </c>
      <c r="B2063" s="194" t="s">
        <v>2692</v>
      </c>
      <c r="C2063" s="339">
        <f t="shared" si="72"/>
        <v>50000</v>
      </c>
      <c r="D2063" s="196" t="s">
        <v>624</v>
      </c>
      <c r="E2063" s="187" t="s">
        <v>3608</v>
      </c>
      <c r="F2063" s="507">
        <f>SUMIFS(Controle!$R:$R,Controle!$H:$H,produtos_escape2!$A2063,Controle!$Z:$Z,"1")</f>
        <v>0</v>
      </c>
      <c r="G2063" s="507">
        <f>SUMIFS(Controle!$R:$R,Controle!$H:$H,produtos_escape2!$A2063,Controle!$Z:$Z,"2")</f>
        <v>0</v>
      </c>
      <c r="H2063" s="507">
        <f>SUMIFS(Controle!$R:$R,Controle!$H:$H,produtos_escape2!$A2063,Controle!$Z:$Z,"3")</f>
        <v>0</v>
      </c>
      <c r="I2063" s="507">
        <f>SUMIFS(Controle!$R:$R,Controle!$H:$H,produtos_escape2!$A2063,Controle!$Z:$Z,"4")</f>
        <v>0</v>
      </c>
      <c r="J2063" s="507">
        <f>SUMIFS(Controle!$R:$R,Controle!$H:$H,produtos_escape2!$A2063,Controle!$Z:$Z,"5")</f>
        <v>0</v>
      </c>
      <c r="K2063" s="507">
        <f>SUMIFS(Controle!$R:$R,Controle!$H:$H,produtos_escape2!$A2063,Controle!$Z:$Z,"6")</f>
        <v>0</v>
      </c>
      <c r="L2063" s="507">
        <f t="shared" si="71"/>
        <v>0</v>
      </c>
      <c r="M2063" s="381" t="s">
        <v>5554</v>
      </c>
    </row>
    <row r="2064" spans="1:13" s="185" customFormat="1" ht="14.25" customHeight="1" thickBot="1">
      <c r="A2064" s="353">
        <v>92472</v>
      </c>
      <c r="B2064" s="194" t="s">
        <v>216</v>
      </c>
      <c r="C2064" s="339">
        <f t="shared" si="72"/>
        <v>50000</v>
      </c>
      <c r="D2064" s="196" t="s">
        <v>624</v>
      </c>
      <c r="E2064" s="187" t="s">
        <v>3608</v>
      </c>
      <c r="F2064" s="507">
        <f>SUMIFS(Controle!$R:$R,Controle!$H:$H,produtos_escape2!$A2064,Controle!$Z:$Z,"1")</f>
        <v>0</v>
      </c>
      <c r="G2064" s="507">
        <f>SUMIFS(Controle!$R:$R,Controle!$H:$H,produtos_escape2!$A2064,Controle!$Z:$Z,"2")</f>
        <v>0</v>
      </c>
      <c r="H2064" s="507">
        <f>SUMIFS(Controle!$R:$R,Controle!$H:$H,produtos_escape2!$A2064,Controle!$Z:$Z,"3")</f>
        <v>0</v>
      </c>
      <c r="I2064" s="507">
        <f>SUMIFS(Controle!$R:$R,Controle!$H:$H,produtos_escape2!$A2064,Controle!$Z:$Z,"4")</f>
        <v>0</v>
      </c>
      <c r="J2064" s="507">
        <f>SUMIFS(Controle!$R:$R,Controle!$H:$H,produtos_escape2!$A2064,Controle!$Z:$Z,"5")</f>
        <v>0</v>
      </c>
      <c r="K2064" s="507">
        <f>SUMIFS(Controle!$R:$R,Controle!$H:$H,produtos_escape2!$A2064,Controle!$Z:$Z,"6")</f>
        <v>0</v>
      </c>
      <c r="L2064" s="507">
        <f t="shared" si="71"/>
        <v>0</v>
      </c>
      <c r="M2064" s="381" t="s">
        <v>216</v>
      </c>
    </row>
    <row r="2065" spans="1:13" s="185" customFormat="1" ht="14.25" customHeight="1" thickBot="1">
      <c r="A2065" s="353">
        <v>92473</v>
      </c>
      <c r="B2065" s="194" t="s">
        <v>217</v>
      </c>
      <c r="C2065" s="339">
        <f t="shared" si="72"/>
        <v>49870</v>
      </c>
      <c r="D2065" s="196" t="s">
        <v>624</v>
      </c>
      <c r="E2065" s="187" t="s">
        <v>3608</v>
      </c>
      <c r="F2065" s="507">
        <f>SUMIFS(Controle!$R:$R,Controle!$H:$H,produtos_escape2!$A2065,Controle!$Z:$Z,"1")</f>
        <v>0</v>
      </c>
      <c r="G2065" s="507">
        <f>SUMIFS(Controle!$R:$R,Controle!$H:$H,produtos_escape2!$A2065,Controle!$Z:$Z,"2")</f>
        <v>0</v>
      </c>
      <c r="H2065" s="507">
        <f>SUMIFS(Controle!$R:$R,Controle!$H:$H,produtos_escape2!$A2065,Controle!$Z:$Z,"3")</f>
        <v>130</v>
      </c>
      <c r="I2065" s="507">
        <f>SUMIFS(Controle!$R:$R,Controle!$H:$H,produtos_escape2!$A2065,Controle!$Z:$Z,"4")</f>
        <v>0</v>
      </c>
      <c r="J2065" s="507">
        <f>SUMIFS(Controle!$R:$R,Controle!$H:$H,produtos_escape2!$A2065,Controle!$Z:$Z,"5")</f>
        <v>0</v>
      </c>
      <c r="K2065" s="507">
        <f>SUMIFS(Controle!$R:$R,Controle!$H:$H,produtos_escape2!$A2065,Controle!$Z:$Z,"6")</f>
        <v>0</v>
      </c>
      <c r="L2065" s="507">
        <f t="shared" si="71"/>
        <v>130</v>
      </c>
      <c r="M2065" s="381" t="s">
        <v>217</v>
      </c>
    </row>
    <row r="2066" spans="1:13" s="185" customFormat="1" ht="14.25" customHeight="1" thickBot="1">
      <c r="A2066" s="353">
        <v>92475</v>
      </c>
      <c r="B2066" s="194" t="s">
        <v>3893</v>
      </c>
      <c r="C2066" s="339">
        <f t="shared" si="72"/>
        <v>50000</v>
      </c>
      <c r="D2066" s="196" t="s">
        <v>624</v>
      </c>
      <c r="E2066" s="187" t="s">
        <v>3608</v>
      </c>
      <c r="F2066" s="507">
        <f>SUMIFS(Controle!$R:$R,Controle!$H:$H,produtos_escape2!$A2066,Controle!$Z:$Z,"1")</f>
        <v>0</v>
      </c>
      <c r="G2066" s="507">
        <f>SUMIFS(Controle!$R:$R,Controle!$H:$H,produtos_escape2!$A2066,Controle!$Z:$Z,"2")</f>
        <v>0</v>
      </c>
      <c r="H2066" s="507">
        <f>SUMIFS(Controle!$R:$R,Controle!$H:$H,produtos_escape2!$A2066,Controle!$Z:$Z,"3")</f>
        <v>0</v>
      </c>
      <c r="I2066" s="507">
        <f>SUMIFS(Controle!$R:$R,Controle!$H:$H,produtos_escape2!$A2066,Controle!$Z:$Z,"4")</f>
        <v>0</v>
      </c>
      <c r="J2066" s="507">
        <f>SUMIFS(Controle!$R:$R,Controle!$H:$H,produtos_escape2!$A2066,Controle!$Z:$Z,"5")</f>
        <v>0</v>
      </c>
      <c r="K2066" s="507">
        <f>SUMIFS(Controle!$R:$R,Controle!$H:$H,produtos_escape2!$A2066,Controle!$Z:$Z,"6")</f>
        <v>0</v>
      </c>
      <c r="L2066" s="507">
        <f t="shared" si="71"/>
        <v>0</v>
      </c>
      <c r="M2066" s="381" t="s">
        <v>5555</v>
      </c>
    </row>
    <row r="2067" spans="1:13" s="185" customFormat="1" ht="14.25" customHeight="1" thickBot="1">
      <c r="A2067" s="353">
        <v>92493</v>
      </c>
      <c r="B2067" s="338" t="s">
        <v>2693</v>
      </c>
      <c r="C2067" s="339">
        <f t="shared" si="72"/>
        <v>50000</v>
      </c>
      <c r="D2067" s="196" t="s">
        <v>624</v>
      </c>
      <c r="E2067" s="187" t="s">
        <v>3608</v>
      </c>
      <c r="F2067" s="507">
        <f>SUMIFS(Controle!$R:$R,Controle!$H:$H,produtos_escape2!$A2067,Controle!$Z:$Z,"1")</f>
        <v>0</v>
      </c>
      <c r="G2067" s="507">
        <f>SUMIFS(Controle!$R:$R,Controle!$H:$H,produtos_escape2!$A2067,Controle!$Z:$Z,"2")</f>
        <v>0</v>
      </c>
      <c r="H2067" s="507">
        <f>SUMIFS(Controle!$R:$R,Controle!$H:$H,produtos_escape2!$A2067,Controle!$Z:$Z,"3")</f>
        <v>0</v>
      </c>
      <c r="I2067" s="507">
        <f>SUMIFS(Controle!$R:$R,Controle!$H:$H,produtos_escape2!$A2067,Controle!$Z:$Z,"4")</f>
        <v>0</v>
      </c>
      <c r="J2067" s="507">
        <f>SUMIFS(Controle!$R:$R,Controle!$H:$H,produtos_escape2!$A2067,Controle!$Z:$Z,"5")</f>
        <v>0</v>
      </c>
      <c r="K2067" s="507">
        <f>SUMIFS(Controle!$R:$R,Controle!$H:$H,produtos_escape2!$A2067,Controle!$Z:$Z,"6")</f>
        <v>0</v>
      </c>
      <c r="L2067" s="507">
        <f t="shared" si="71"/>
        <v>0</v>
      </c>
      <c r="M2067" s="381" t="s">
        <v>5556</v>
      </c>
    </row>
    <row r="2068" spans="1:13" s="185" customFormat="1" ht="14.25" customHeight="1" thickBot="1">
      <c r="A2068" s="353">
        <v>92494</v>
      </c>
      <c r="B2068" s="194" t="s">
        <v>2694</v>
      </c>
      <c r="C2068" s="339">
        <f t="shared" si="72"/>
        <v>50000</v>
      </c>
      <c r="D2068" s="196" t="s">
        <v>624</v>
      </c>
      <c r="E2068" s="187" t="s">
        <v>3608</v>
      </c>
      <c r="F2068" s="507">
        <f>SUMIFS(Controle!$R:$R,Controle!$H:$H,produtos_escape2!$A2068,Controle!$Z:$Z,"1")</f>
        <v>0</v>
      </c>
      <c r="G2068" s="507">
        <f>SUMIFS(Controle!$R:$R,Controle!$H:$H,produtos_escape2!$A2068,Controle!$Z:$Z,"2")</f>
        <v>0</v>
      </c>
      <c r="H2068" s="507">
        <f>SUMIFS(Controle!$R:$R,Controle!$H:$H,produtos_escape2!$A2068,Controle!$Z:$Z,"3")</f>
        <v>0</v>
      </c>
      <c r="I2068" s="507">
        <f>SUMIFS(Controle!$R:$R,Controle!$H:$H,produtos_escape2!$A2068,Controle!$Z:$Z,"4")</f>
        <v>0</v>
      </c>
      <c r="J2068" s="507">
        <f>SUMIFS(Controle!$R:$R,Controle!$H:$H,produtos_escape2!$A2068,Controle!$Z:$Z,"5")</f>
        <v>0</v>
      </c>
      <c r="K2068" s="507">
        <f>SUMIFS(Controle!$R:$R,Controle!$H:$H,produtos_escape2!$A2068,Controle!$Z:$Z,"6")</f>
        <v>0</v>
      </c>
      <c r="L2068" s="507">
        <f t="shared" si="71"/>
        <v>0</v>
      </c>
      <c r="M2068" s="381" t="s">
        <v>5557</v>
      </c>
    </row>
    <row r="2069" spans="1:13" s="185" customFormat="1" ht="14.25" customHeight="1" thickBot="1">
      <c r="A2069" s="353">
        <v>92495</v>
      </c>
      <c r="B2069" s="194" t="s">
        <v>3894</v>
      </c>
      <c r="C2069" s="339">
        <f t="shared" si="72"/>
        <v>50000</v>
      </c>
      <c r="D2069" s="196" t="s">
        <v>624</v>
      </c>
      <c r="E2069" s="187" t="s">
        <v>3608</v>
      </c>
      <c r="F2069" s="507">
        <f>SUMIFS(Controle!$R:$R,Controle!$H:$H,produtos_escape2!$A2069,Controle!$Z:$Z,"1")</f>
        <v>0</v>
      </c>
      <c r="G2069" s="507">
        <f>SUMIFS(Controle!$R:$R,Controle!$H:$H,produtos_escape2!$A2069,Controle!$Z:$Z,"2")</f>
        <v>0</v>
      </c>
      <c r="H2069" s="507">
        <f>SUMIFS(Controle!$R:$R,Controle!$H:$H,produtos_escape2!$A2069,Controle!$Z:$Z,"3")</f>
        <v>0</v>
      </c>
      <c r="I2069" s="507">
        <f>SUMIFS(Controle!$R:$R,Controle!$H:$H,produtos_escape2!$A2069,Controle!$Z:$Z,"4")</f>
        <v>0</v>
      </c>
      <c r="J2069" s="507">
        <f>SUMIFS(Controle!$R:$R,Controle!$H:$H,produtos_escape2!$A2069,Controle!$Z:$Z,"5")</f>
        <v>0</v>
      </c>
      <c r="K2069" s="507">
        <f>SUMIFS(Controle!$R:$R,Controle!$H:$H,produtos_escape2!$A2069,Controle!$Z:$Z,"6")</f>
        <v>0</v>
      </c>
      <c r="L2069" s="507">
        <f t="shared" si="71"/>
        <v>0</v>
      </c>
      <c r="M2069" s="381" t="s">
        <v>5558</v>
      </c>
    </row>
    <row r="2070" spans="1:13" s="185" customFormat="1" ht="14.25" customHeight="1" thickBot="1">
      <c r="A2070" s="353">
        <v>92496</v>
      </c>
      <c r="B2070" s="194" t="s">
        <v>3941</v>
      </c>
      <c r="C2070" s="339">
        <f t="shared" si="72"/>
        <v>50000</v>
      </c>
      <c r="D2070" s="196" t="s">
        <v>624</v>
      </c>
      <c r="E2070" s="187" t="s">
        <v>3608</v>
      </c>
      <c r="F2070" s="507">
        <f>SUMIFS(Controle!$R:$R,Controle!$H:$H,produtos_escape2!$A2070,Controle!$Z:$Z,"1")</f>
        <v>0</v>
      </c>
      <c r="G2070" s="507">
        <f>SUMIFS(Controle!$R:$R,Controle!$H:$H,produtos_escape2!$A2070,Controle!$Z:$Z,"2")</f>
        <v>0</v>
      </c>
      <c r="H2070" s="507">
        <f>SUMIFS(Controle!$R:$R,Controle!$H:$H,produtos_escape2!$A2070,Controle!$Z:$Z,"3")</f>
        <v>0</v>
      </c>
      <c r="I2070" s="507">
        <f>SUMIFS(Controle!$R:$R,Controle!$H:$H,produtos_escape2!$A2070,Controle!$Z:$Z,"4")</f>
        <v>0</v>
      </c>
      <c r="J2070" s="507">
        <f>SUMIFS(Controle!$R:$R,Controle!$H:$H,produtos_escape2!$A2070,Controle!$Z:$Z,"5")</f>
        <v>0</v>
      </c>
      <c r="K2070" s="507">
        <f>SUMIFS(Controle!$R:$R,Controle!$H:$H,produtos_escape2!$A2070,Controle!$Z:$Z,"6")</f>
        <v>0</v>
      </c>
      <c r="L2070" s="507">
        <f t="shared" si="71"/>
        <v>0</v>
      </c>
      <c r="M2070" s="381" t="s">
        <v>5559</v>
      </c>
    </row>
    <row r="2071" spans="1:13" s="185" customFormat="1" ht="14.25" customHeight="1" thickBot="1">
      <c r="A2071" s="333">
        <v>92497</v>
      </c>
      <c r="B2071" s="194" t="s">
        <v>3672</v>
      </c>
      <c r="C2071" s="339">
        <f t="shared" si="72"/>
        <v>45800</v>
      </c>
      <c r="D2071" s="196" t="s">
        <v>624</v>
      </c>
      <c r="E2071" s="187" t="s">
        <v>3608</v>
      </c>
      <c r="F2071" s="507">
        <f>SUMIFS(Controle!$R:$R,Controle!$H:$H,produtos_escape2!$A2071,Controle!$Z:$Z,"1")</f>
        <v>0</v>
      </c>
      <c r="G2071" s="507">
        <f>SUMIFS(Controle!$R:$R,Controle!$H:$H,produtos_escape2!$A2071,Controle!$Z:$Z,"2")</f>
        <v>4200</v>
      </c>
      <c r="H2071" s="507">
        <f>SUMIFS(Controle!$R:$R,Controle!$H:$H,produtos_escape2!$A2071,Controle!$Z:$Z,"3")</f>
        <v>0</v>
      </c>
      <c r="I2071" s="507">
        <f>SUMIFS(Controle!$R:$R,Controle!$H:$H,produtos_escape2!$A2071,Controle!$Z:$Z,"4")</f>
        <v>0</v>
      </c>
      <c r="J2071" s="507">
        <f>SUMIFS(Controle!$R:$R,Controle!$H:$H,produtos_escape2!$A2071,Controle!$Z:$Z,"5")</f>
        <v>0</v>
      </c>
      <c r="K2071" s="507">
        <f>SUMIFS(Controle!$R:$R,Controle!$H:$H,produtos_escape2!$A2071,Controle!$Z:$Z,"6")</f>
        <v>0</v>
      </c>
      <c r="L2071" s="507">
        <f t="shared" si="71"/>
        <v>4200</v>
      </c>
      <c r="M2071" s="381" t="s">
        <v>5560</v>
      </c>
    </row>
    <row r="2072" spans="1:13" s="185" customFormat="1" ht="14.25" customHeight="1" thickBot="1">
      <c r="A2072" s="353">
        <v>92498</v>
      </c>
      <c r="B2072" s="194" t="s">
        <v>218</v>
      </c>
      <c r="C2072" s="339">
        <f t="shared" si="72"/>
        <v>50000</v>
      </c>
      <c r="D2072" s="196" t="s">
        <v>624</v>
      </c>
      <c r="E2072" s="187" t="s">
        <v>3608</v>
      </c>
      <c r="F2072" s="507">
        <f>SUMIFS(Controle!$R:$R,Controle!$H:$H,produtos_escape2!$A2072,Controle!$Z:$Z,"1")</f>
        <v>0</v>
      </c>
      <c r="G2072" s="507">
        <f>SUMIFS(Controle!$R:$R,Controle!$H:$H,produtos_escape2!$A2072,Controle!$Z:$Z,"2")</f>
        <v>0</v>
      </c>
      <c r="H2072" s="507">
        <f>SUMIFS(Controle!$R:$R,Controle!$H:$H,produtos_escape2!$A2072,Controle!$Z:$Z,"3")</f>
        <v>0</v>
      </c>
      <c r="I2072" s="507">
        <f>SUMIFS(Controle!$R:$R,Controle!$H:$H,produtos_escape2!$A2072,Controle!$Z:$Z,"4")</f>
        <v>0</v>
      </c>
      <c r="J2072" s="507">
        <f>SUMIFS(Controle!$R:$R,Controle!$H:$H,produtos_escape2!$A2072,Controle!$Z:$Z,"5")</f>
        <v>0</v>
      </c>
      <c r="K2072" s="507">
        <f>SUMIFS(Controle!$R:$R,Controle!$H:$H,produtos_escape2!$A2072,Controle!$Z:$Z,"6")</f>
        <v>0</v>
      </c>
      <c r="L2072" s="507">
        <f t="shared" si="71"/>
        <v>0</v>
      </c>
      <c r="M2072" s="381" t="s">
        <v>218</v>
      </c>
    </row>
    <row r="2073" spans="1:13" s="185" customFormat="1" ht="14.25" customHeight="1" thickBot="1">
      <c r="A2073" s="353">
        <v>92512</v>
      </c>
      <c r="B2073" s="194" t="s">
        <v>1644</v>
      </c>
      <c r="C2073" s="339">
        <f t="shared" si="72"/>
        <v>50000</v>
      </c>
      <c r="D2073" s="196" t="s">
        <v>837</v>
      </c>
      <c r="E2073" s="187" t="s">
        <v>3608</v>
      </c>
      <c r="F2073" s="507">
        <f>SUMIFS(Controle!$R:$R,Controle!$H:$H,produtos_escape2!$A2073,Controle!$Z:$Z,"1")</f>
        <v>0</v>
      </c>
      <c r="G2073" s="507">
        <f>SUMIFS(Controle!$R:$R,Controle!$H:$H,produtos_escape2!$A2073,Controle!$Z:$Z,"2")</f>
        <v>0</v>
      </c>
      <c r="H2073" s="507">
        <f>SUMIFS(Controle!$R:$R,Controle!$H:$H,produtos_escape2!$A2073,Controle!$Z:$Z,"3")</f>
        <v>0</v>
      </c>
      <c r="I2073" s="507">
        <f>SUMIFS(Controle!$R:$R,Controle!$H:$H,produtos_escape2!$A2073,Controle!$Z:$Z,"4")</f>
        <v>0</v>
      </c>
      <c r="J2073" s="507">
        <f>SUMIFS(Controle!$R:$R,Controle!$H:$H,produtos_escape2!$A2073,Controle!$Z:$Z,"5")</f>
        <v>0</v>
      </c>
      <c r="K2073" s="507">
        <f>SUMIFS(Controle!$R:$R,Controle!$H:$H,produtos_escape2!$A2073,Controle!$Z:$Z,"6")</f>
        <v>0</v>
      </c>
      <c r="L2073" s="507">
        <f t="shared" si="71"/>
        <v>0</v>
      </c>
      <c r="M2073" s="381" t="s">
        <v>5561</v>
      </c>
    </row>
    <row r="2074" spans="1:13" s="185" customFormat="1" ht="14.25" customHeight="1" thickBot="1">
      <c r="A2074" s="353">
        <v>92514</v>
      </c>
      <c r="B2074" s="194" t="s">
        <v>2695</v>
      </c>
      <c r="C2074" s="339">
        <f t="shared" si="72"/>
        <v>50000</v>
      </c>
      <c r="D2074" s="196" t="s">
        <v>628</v>
      </c>
      <c r="E2074" s="187" t="s">
        <v>3608</v>
      </c>
      <c r="F2074" s="507">
        <f>SUMIFS(Controle!$R:$R,Controle!$H:$H,produtos_escape2!$A2074,Controle!$Z:$Z,"1")</f>
        <v>0</v>
      </c>
      <c r="G2074" s="507">
        <f>SUMIFS(Controle!$R:$R,Controle!$H:$H,produtos_escape2!$A2074,Controle!$Z:$Z,"2")</f>
        <v>0</v>
      </c>
      <c r="H2074" s="507">
        <f>SUMIFS(Controle!$R:$R,Controle!$H:$H,produtos_escape2!$A2074,Controle!$Z:$Z,"3")</f>
        <v>0</v>
      </c>
      <c r="I2074" s="507">
        <f>SUMIFS(Controle!$R:$R,Controle!$H:$H,produtos_escape2!$A2074,Controle!$Z:$Z,"4")</f>
        <v>0</v>
      </c>
      <c r="J2074" s="507">
        <f>SUMIFS(Controle!$R:$R,Controle!$H:$H,produtos_escape2!$A2074,Controle!$Z:$Z,"5")</f>
        <v>0</v>
      </c>
      <c r="K2074" s="507">
        <f>SUMIFS(Controle!$R:$R,Controle!$H:$H,produtos_escape2!$A2074,Controle!$Z:$Z,"6")</f>
        <v>0</v>
      </c>
      <c r="L2074" s="507">
        <f t="shared" si="71"/>
        <v>0</v>
      </c>
      <c r="M2074" s="381" t="s">
        <v>5312</v>
      </c>
    </row>
    <row r="2075" spans="1:13" s="185" customFormat="1" ht="14.25" customHeight="1" thickBot="1">
      <c r="A2075" s="353">
        <v>92515</v>
      </c>
      <c r="B2075" s="338" t="s">
        <v>1831</v>
      </c>
      <c r="C2075" s="339">
        <f t="shared" si="72"/>
        <v>50000</v>
      </c>
      <c r="D2075" s="191" t="s">
        <v>624</v>
      </c>
      <c r="E2075" s="189" t="s">
        <v>3608</v>
      </c>
      <c r="F2075" s="507">
        <f>SUMIFS(Controle!$R:$R,Controle!$H:$H,produtos_escape2!$A2075,Controle!$Z:$Z,"1")</f>
        <v>0</v>
      </c>
      <c r="G2075" s="507">
        <f>SUMIFS(Controle!$R:$R,Controle!$H:$H,produtos_escape2!$A2075,Controle!$Z:$Z,"2")</f>
        <v>0</v>
      </c>
      <c r="H2075" s="507">
        <f>SUMIFS(Controle!$R:$R,Controle!$H:$H,produtos_escape2!$A2075,Controle!$Z:$Z,"3")</f>
        <v>0</v>
      </c>
      <c r="I2075" s="507">
        <f>SUMIFS(Controle!$R:$R,Controle!$H:$H,produtos_escape2!$A2075,Controle!$Z:$Z,"4")</f>
        <v>0</v>
      </c>
      <c r="J2075" s="507">
        <f>SUMIFS(Controle!$R:$R,Controle!$H:$H,produtos_escape2!$A2075,Controle!$Z:$Z,"5")</f>
        <v>0</v>
      </c>
      <c r="K2075" s="507">
        <f>SUMIFS(Controle!$R:$R,Controle!$H:$H,produtos_escape2!$A2075,Controle!$Z:$Z,"6")</f>
        <v>0</v>
      </c>
      <c r="L2075" s="507">
        <f t="shared" si="71"/>
        <v>0</v>
      </c>
      <c r="M2075" s="381" t="s">
        <v>1831</v>
      </c>
    </row>
    <row r="2076" spans="1:13" s="185" customFormat="1" ht="14.25" customHeight="1" thickBot="1">
      <c r="A2076" s="353">
        <v>92555</v>
      </c>
      <c r="B2076" s="194" t="s">
        <v>3087</v>
      </c>
      <c r="C2076" s="339">
        <f t="shared" si="72"/>
        <v>48550</v>
      </c>
      <c r="D2076" s="196" t="s">
        <v>624</v>
      </c>
      <c r="E2076" s="187" t="s">
        <v>3608</v>
      </c>
      <c r="F2076" s="507">
        <f>SUMIFS(Controle!$R:$R,Controle!$H:$H,produtos_escape2!$A2076,Controle!$Z:$Z,"1")</f>
        <v>0</v>
      </c>
      <c r="G2076" s="507">
        <f>SUMIFS(Controle!$R:$R,Controle!$H:$H,produtos_escape2!$A2076,Controle!$Z:$Z,"2")</f>
        <v>0</v>
      </c>
      <c r="H2076" s="507">
        <f>SUMIFS(Controle!$R:$R,Controle!$H:$H,produtos_escape2!$A2076,Controle!$Z:$Z,"3")</f>
        <v>0</v>
      </c>
      <c r="I2076" s="507">
        <f>SUMIFS(Controle!$R:$R,Controle!$H:$H,produtos_escape2!$A2076,Controle!$Z:$Z,"4")</f>
        <v>0</v>
      </c>
      <c r="J2076" s="507">
        <f>SUMIFS(Controle!$R:$R,Controle!$H:$H,produtos_escape2!$A2076,Controle!$Z:$Z,"5")</f>
        <v>0</v>
      </c>
      <c r="K2076" s="507">
        <f>SUMIFS(Controle!$R:$R,Controle!$H:$H,produtos_escape2!$A2076,Controle!$Z:$Z,"6")</f>
        <v>1450</v>
      </c>
      <c r="L2076" s="507">
        <f t="shared" si="71"/>
        <v>1450</v>
      </c>
      <c r="M2076" s="381" t="s">
        <v>5109</v>
      </c>
    </row>
    <row r="2077" spans="1:13" s="185" customFormat="1" ht="14.25" customHeight="1" thickBot="1">
      <c r="A2077" s="353">
        <v>92556</v>
      </c>
      <c r="B2077" s="194" t="s">
        <v>3088</v>
      </c>
      <c r="C2077" s="339">
        <f t="shared" si="72"/>
        <v>49300</v>
      </c>
      <c r="D2077" s="196" t="s">
        <v>624</v>
      </c>
      <c r="E2077" s="187" t="s">
        <v>3608</v>
      </c>
      <c r="F2077" s="507">
        <f>SUMIFS(Controle!$R:$R,Controle!$H:$H,produtos_escape2!$A2077,Controle!$Z:$Z,"1")</f>
        <v>0</v>
      </c>
      <c r="G2077" s="507">
        <f>SUMIFS(Controle!$R:$R,Controle!$H:$H,produtos_escape2!$A2077,Controle!$Z:$Z,"2")</f>
        <v>0</v>
      </c>
      <c r="H2077" s="507">
        <f>SUMIFS(Controle!$R:$R,Controle!$H:$H,produtos_escape2!$A2077,Controle!$Z:$Z,"3")</f>
        <v>700</v>
      </c>
      <c r="I2077" s="507">
        <f>SUMIFS(Controle!$R:$R,Controle!$H:$H,produtos_escape2!$A2077,Controle!$Z:$Z,"4")</f>
        <v>0</v>
      </c>
      <c r="J2077" s="507">
        <f>SUMIFS(Controle!$R:$R,Controle!$H:$H,produtos_escape2!$A2077,Controle!$Z:$Z,"5")</f>
        <v>0</v>
      </c>
      <c r="K2077" s="507">
        <f>SUMIFS(Controle!$R:$R,Controle!$H:$H,produtos_escape2!$A2077,Controle!$Z:$Z,"6")</f>
        <v>0</v>
      </c>
      <c r="L2077" s="507">
        <f t="shared" si="71"/>
        <v>700</v>
      </c>
      <c r="M2077" s="381" t="s">
        <v>5562</v>
      </c>
    </row>
    <row r="2078" spans="1:13" s="185" customFormat="1" ht="14.25" customHeight="1" thickBot="1">
      <c r="A2078" s="353">
        <v>92570</v>
      </c>
      <c r="B2078" s="194" t="s">
        <v>944</v>
      </c>
      <c r="C2078" s="339">
        <f t="shared" si="72"/>
        <v>50000</v>
      </c>
      <c r="D2078" s="196" t="s">
        <v>639</v>
      </c>
      <c r="E2078" s="187" t="s">
        <v>3608</v>
      </c>
      <c r="F2078" s="507">
        <f>SUMIFS(Controle!$R:$R,Controle!$H:$H,produtos_escape2!$A2078,Controle!$Z:$Z,"1")</f>
        <v>0</v>
      </c>
      <c r="G2078" s="507">
        <f>SUMIFS(Controle!$R:$R,Controle!$H:$H,produtos_escape2!$A2078,Controle!$Z:$Z,"2")</f>
        <v>0</v>
      </c>
      <c r="H2078" s="507">
        <f>SUMIFS(Controle!$R:$R,Controle!$H:$H,produtos_escape2!$A2078,Controle!$Z:$Z,"3")</f>
        <v>0</v>
      </c>
      <c r="I2078" s="507">
        <f>SUMIFS(Controle!$R:$R,Controle!$H:$H,produtos_escape2!$A2078,Controle!$Z:$Z,"4")</f>
        <v>0</v>
      </c>
      <c r="J2078" s="507">
        <f>SUMIFS(Controle!$R:$R,Controle!$H:$H,produtos_escape2!$A2078,Controle!$Z:$Z,"5")</f>
        <v>0</v>
      </c>
      <c r="K2078" s="507">
        <f>SUMIFS(Controle!$R:$R,Controle!$H:$H,produtos_escape2!$A2078,Controle!$Z:$Z,"6")</f>
        <v>0</v>
      </c>
      <c r="L2078" s="507">
        <f t="shared" si="71"/>
        <v>0</v>
      </c>
      <c r="M2078" s="381" t="s">
        <v>5697</v>
      </c>
    </row>
    <row r="2079" spans="1:13" s="185" customFormat="1" ht="14.25" customHeight="1" thickBot="1">
      <c r="A2079" s="333">
        <v>92573</v>
      </c>
      <c r="B2079" s="194" t="s">
        <v>1467</v>
      </c>
      <c r="C2079" s="339">
        <f t="shared" si="72"/>
        <v>50000</v>
      </c>
      <c r="D2079" s="196" t="s">
        <v>639</v>
      </c>
      <c r="E2079" s="187" t="s">
        <v>3608</v>
      </c>
      <c r="F2079" s="507">
        <f>SUMIFS(Controle!$R:$R,Controle!$H:$H,produtos_escape2!$A2079,Controle!$Z:$Z,"1")</f>
        <v>0</v>
      </c>
      <c r="G2079" s="507">
        <f>SUMIFS(Controle!$R:$R,Controle!$H:$H,produtos_escape2!$A2079,Controle!$Z:$Z,"2")</f>
        <v>0</v>
      </c>
      <c r="H2079" s="507">
        <f>SUMIFS(Controle!$R:$R,Controle!$H:$H,produtos_escape2!$A2079,Controle!$Z:$Z,"3")</f>
        <v>0</v>
      </c>
      <c r="I2079" s="507">
        <f>SUMIFS(Controle!$R:$R,Controle!$H:$H,produtos_escape2!$A2079,Controle!$Z:$Z,"4")</f>
        <v>0</v>
      </c>
      <c r="J2079" s="507">
        <f>SUMIFS(Controle!$R:$R,Controle!$H:$H,produtos_escape2!$A2079,Controle!$Z:$Z,"5")</f>
        <v>0</v>
      </c>
      <c r="K2079" s="507">
        <f>SUMIFS(Controle!$R:$R,Controle!$H:$H,produtos_escape2!$A2079,Controle!$Z:$Z,"6")</f>
        <v>0</v>
      </c>
      <c r="L2079" s="507">
        <f t="shared" si="71"/>
        <v>0</v>
      </c>
      <c r="M2079" s="381" t="s">
        <v>5696</v>
      </c>
    </row>
    <row r="2080" spans="1:13" s="185" customFormat="1" ht="14.25" customHeight="1" thickBot="1">
      <c r="A2080" s="353">
        <v>93005</v>
      </c>
      <c r="B2080" s="194" t="s">
        <v>403</v>
      </c>
      <c r="C2080" s="339">
        <f t="shared" si="72"/>
        <v>50000</v>
      </c>
      <c r="D2080" s="196" t="s">
        <v>1091</v>
      </c>
      <c r="E2080" s="187" t="s">
        <v>3608</v>
      </c>
      <c r="F2080" s="507">
        <f>SUMIFS(Controle!$R:$R,Controle!$H:$H,produtos_escape2!$A2080,Controle!$Z:$Z,"1")</f>
        <v>0</v>
      </c>
      <c r="G2080" s="507">
        <f>SUMIFS(Controle!$R:$R,Controle!$H:$H,produtos_escape2!$A2080,Controle!$Z:$Z,"2")</f>
        <v>0</v>
      </c>
      <c r="H2080" s="507">
        <f>SUMIFS(Controle!$R:$R,Controle!$H:$H,produtos_escape2!$A2080,Controle!$Z:$Z,"3")</f>
        <v>0</v>
      </c>
      <c r="I2080" s="507">
        <f>SUMIFS(Controle!$R:$R,Controle!$H:$H,produtos_escape2!$A2080,Controle!$Z:$Z,"4")</f>
        <v>0</v>
      </c>
      <c r="J2080" s="507">
        <f>SUMIFS(Controle!$R:$R,Controle!$H:$H,produtos_escape2!$A2080,Controle!$Z:$Z,"5")</f>
        <v>0</v>
      </c>
      <c r="K2080" s="507">
        <f>SUMIFS(Controle!$R:$R,Controle!$H:$H,produtos_escape2!$A2080,Controle!$Z:$Z,"6")</f>
        <v>0</v>
      </c>
      <c r="L2080" s="507">
        <f t="shared" si="71"/>
        <v>0</v>
      </c>
      <c r="M2080" s="381" t="s">
        <v>5695</v>
      </c>
    </row>
    <row r="2081" spans="1:13" s="185" customFormat="1" ht="14.25" customHeight="1" thickBot="1">
      <c r="A2081" s="353">
        <v>93010</v>
      </c>
      <c r="B2081" s="194" t="s">
        <v>970</v>
      </c>
      <c r="C2081" s="339">
        <f t="shared" si="72"/>
        <v>50000</v>
      </c>
      <c r="D2081" s="196" t="s">
        <v>747</v>
      </c>
      <c r="E2081" s="187" t="s">
        <v>3608</v>
      </c>
      <c r="F2081" s="507">
        <f>SUMIFS(Controle!$R:$R,Controle!$H:$H,produtos_escape2!$A2081,Controle!$Z:$Z,"1")</f>
        <v>0</v>
      </c>
      <c r="G2081" s="507">
        <f>SUMIFS(Controle!$R:$R,Controle!$H:$H,produtos_escape2!$A2081,Controle!$Z:$Z,"2")</f>
        <v>0</v>
      </c>
      <c r="H2081" s="507">
        <f>SUMIFS(Controle!$R:$R,Controle!$H:$H,produtos_escape2!$A2081,Controle!$Z:$Z,"3")</f>
        <v>0</v>
      </c>
      <c r="I2081" s="507">
        <f>SUMIFS(Controle!$R:$R,Controle!$H:$H,produtos_escape2!$A2081,Controle!$Z:$Z,"4")</f>
        <v>0</v>
      </c>
      <c r="J2081" s="507">
        <f>SUMIFS(Controle!$R:$R,Controle!$H:$H,produtos_escape2!$A2081,Controle!$Z:$Z,"5")</f>
        <v>0</v>
      </c>
      <c r="K2081" s="507">
        <f>SUMIFS(Controle!$R:$R,Controle!$H:$H,produtos_escape2!$A2081,Controle!$Z:$Z,"6")</f>
        <v>0</v>
      </c>
      <c r="L2081" s="507">
        <f t="shared" si="71"/>
        <v>0</v>
      </c>
      <c r="M2081" s="381" t="s">
        <v>970</v>
      </c>
    </row>
    <row r="2082" spans="1:13" s="185" customFormat="1" ht="14.25" customHeight="1" thickBot="1">
      <c r="A2082" s="353">
        <v>93097</v>
      </c>
      <c r="B2082" s="194" t="s">
        <v>442</v>
      </c>
      <c r="C2082" s="339">
        <f t="shared" si="72"/>
        <v>50000</v>
      </c>
      <c r="D2082" s="196" t="s">
        <v>848</v>
      </c>
      <c r="E2082" s="187" t="s">
        <v>3608</v>
      </c>
      <c r="F2082" s="507">
        <f>SUMIFS(Controle!$R:$R,Controle!$H:$H,produtos_escape2!$A2082,Controle!$Z:$Z,"1")</f>
        <v>0</v>
      </c>
      <c r="G2082" s="507">
        <f>SUMIFS(Controle!$R:$R,Controle!$H:$H,produtos_escape2!$A2082,Controle!$Z:$Z,"2")</f>
        <v>0</v>
      </c>
      <c r="H2082" s="507">
        <f>SUMIFS(Controle!$R:$R,Controle!$H:$H,produtos_escape2!$A2082,Controle!$Z:$Z,"3")</f>
        <v>0</v>
      </c>
      <c r="I2082" s="507">
        <f>SUMIFS(Controle!$R:$R,Controle!$H:$H,produtos_escape2!$A2082,Controle!$Z:$Z,"4")</f>
        <v>0</v>
      </c>
      <c r="J2082" s="507">
        <f>SUMIFS(Controle!$R:$R,Controle!$H:$H,produtos_escape2!$A2082,Controle!$Z:$Z,"5")</f>
        <v>0</v>
      </c>
      <c r="K2082" s="507">
        <f>SUMIFS(Controle!$R:$R,Controle!$H:$H,produtos_escape2!$A2082,Controle!$Z:$Z,"6")</f>
        <v>0</v>
      </c>
      <c r="L2082" s="507">
        <f t="shared" si="71"/>
        <v>0</v>
      </c>
      <c r="M2082" s="381" t="s">
        <v>5563</v>
      </c>
    </row>
    <row r="2083" spans="1:13" s="185" customFormat="1" ht="14.25" customHeight="1" thickBot="1">
      <c r="A2083" s="353">
        <v>93100</v>
      </c>
      <c r="B2083" s="338" t="s">
        <v>439</v>
      </c>
      <c r="C2083" s="339">
        <f t="shared" si="72"/>
        <v>50000</v>
      </c>
      <c r="D2083" s="196" t="s">
        <v>624</v>
      </c>
      <c r="E2083" s="187" t="s">
        <v>3608</v>
      </c>
      <c r="F2083" s="507">
        <f>SUMIFS(Controle!$R:$R,Controle!$H:$H,produtos_escape2!$A2083,Controle!$Z:$Z,"1")</f>
        <v>0</v>
      </c>
      <c r="G2083" s="507">
        <f>SUMIFS(Controle!$R:$R,Controle!$H:$H,produtos_escape2!$A2083,Controle!$Z:$Z,"2")</f>
        <v>0</v>
      </c>
      <c r="H2083" s="507">
        <f>SUMIFS(Controle!$R:$R,Controle!$H:$H,produtos_escape2!$A2083,Controle!$Z:$Z,"3")</f>
        <v>0</v>
      </c>
      <c r="I2083" s="507">
        <f>SUMIFS(Controle!$R:$R,Controle!$H:$H,produtos_escape2!$A2083,Controle!$Z:$Z,"4")</f>
        <v>0</v>
      </c>
      <c r="J2083" s="507">
        <f>SUMIFS(Controle!$R:$R,Controle!$H:$H,produtos_escape2!$A2083,Controle!$Z:$Z,"5")</f>
        <v>0</v>
      </c>
      <c r="K2083" s="507">
        <f>SUMIFS(Controle!$R:$R,Controle!$H:$H,produtos_escape2!$A2083,Controle!$Z:$Z,"6")</f>
        <v>0</v>
      </c>
      <c r="L2083" s="507">
        <f t="shared" si="71"/>
        <v>0</v>
      </c>
      <c r="M2083" s="381" t="s">
        <v>5564</v>
      </c>
    </row>
    <row r="2084" spans="1:13" s="185" customFormat="1" ht="14.25" customHeight="1" thickBot="1">
      <c r="A2084" s="353">
        <v>93101</v>
      </c>
      <c r="B2084" s="194" t="s">
        <v>1018</v>
      </c>
      <c r="C2084" s="339">
        <f t="shared" si="72"/>
        <v>50000</v>
      </c>
      <c r="D2084" s="196" t="s">
        <v>1017</v>
      </c>
      <c r="E2084" s="187" t="s">
        <v>3608</v>
      </c>
      <c r="F2084" s="507">
        <f>SUMIFS(Controle!$R:$R,Controle!$H:$H,produtos_escape2!$A2084,Controle!$Z:$Z,"1")</f>
        <v>0</v>
      </c>
      <c r="G2084" s="507">
        <f>SUMIFS(Controle!$R:$R,Controle!$H:$H,produtos_escape2!$A2084,Controle!$Z:$Z,"2")</f>
        <v>0</v>
      </c>
      <c r="H2084" s="507">
        <f>SUMIFS(Controle!$R:$R,Controle!$H:$H,produtos_escape2!$A2084,Controle!$Z:$Z,"3")</f>
        <v>0</v>
      </c>
      <c r="I2084" s="507">
        <f>SUMIFS(Controle!$R:$R,Controle!$H:$H,produtos_escape2!$A2084,Controle!$Z:$Z,"4")</f>
        <v>0</v>
      </c>
      <c r="J2084" s="507">
        <f>SUMIFS(Controle!$R:$R,Controle!$H:$H,produtos_escape2!$A2084,Controle!$Z:$Z,"5")</f>
        <v>0</v>
      </c>
      <c r="K2084" s="507">
        <f>SUMIFS(Controle!$R:$R,Controle!$H:$H,produtos_escape2!$A2084,Controle!$Z:$Z,"6")</f>
        <v>0</v>
      </c>
      <c r="L2084" s="507">
        <f t="shared" si="71"/>
        <v>0</v>
      </c>
      <c r="M2084" s="381" t="s">
        <v>1018</v>
      </c>
    </row>
    <row r="2085" spans="1:13" s="185" customFormat="1" ht="14.25" customHeight="1" thickBot="1">
      <c r="A2085" s="353">
        <v>93103</v>
      </c>
      <c r="B2085" s="194" t="s">
        <v>441</v>
      </c>
      <c r="C2085" s="339">
        <f t="shared" si="72"/>
        <v>50000</v>
      </c>
      <c r="D2085" s="196" t="s">
        <v>624</v>
      </c>
      <c r="E2085" s="187" t="s">
        <v>3608</v>
      </c>
      <c r="F2085" s="507">
        <f>SUMIFS(Controle!$R:$R,Controle!$H:$H,produtos_escape2!$A2085,Controle!$Z:$Z,"1")</f>
        <v>0</v>
      </c>
      <c r="G2085" s="507">
        <f>SUMIFS(Controle!$R:$R,Controle!$H:$H,produtos_escape2!$A2085,Controle!$Z:$Z,"2")</f>
        <v>0</v>
      </c>
      <c r="H2085" s="507">
        <f>SUMIFS(Controle!$R:$R,Controle!$H:$H,produtos_escape2!$A2085,Controle!$Z:$Z,"3")</f>
        <v>0</v>
      </c>
      <c r="I2085" s="507">
        <f>SUMIFS(Controle!$R:$R,Controle!$H:$H,produtos_escape2!$A2085,Controle!$Z:$Z,"4")</f>
        <v>0</v>
      </c>
      <c r="J2085" s="507">
        <f>SUMIFS(Controle!$R:$R,Controle!$H:$H,produtos_escape2!$A2085,Controle!$Z:$Z,"5")</f>
        <v>0</v>
      </c>
      <c r="K2085" s="507">
        <f>SUMIFS(Controle!$R:$R,Controle!$H:$H,produtos_escape2!$A2085,Controle!$Z:$Z,"6")</f>
        <v>0</v>
      </c>
      <c r="L2085" s="507">
        <f t="shared" si="71"/>
        <v>0</v>
      </c>
      <c r="M2085" s="381" t="s">
        <v>5565</v>
      </c>
    </row>
    <row r="2086" spans="1:13" s="185" customFormat="1" ht="14.25" customHeight="1" thickBot="1">
      <c r="A2086" s="353">
        <v>93104</v>
      </c>
      <c r="B2086" s="194" t="s">
        <v>2696</v>
      </c>
      <c r="C2086" s="339">
        <f t="shared" si="72"/>
        <v>50000</v>
      </c>
      <c r="D2086" s="196" t="s">
        <v>548</v>
      </c>
      <c r="E2086" s="187" t="s">
        <v>3608</v>
      </c>
      <c r="F2086" s="507">
        <f>SUMIFS(Controle!$R:$R,Controle!$H:$H,produtos_escape2!$A2086,Controle!$Z:$Z,"1")</f>
        <v>0</v>
      </c>
      <c r="G2086" s="507">
        <f>SUMIFS(Controle!$R:$R,Controle!$H:$H,produtos_escape2!$A2086,Controle!$Z:$Z,"2")</f>
        <v>0</v>
      </c>
      <c r="H2086" s="507">
        <f>SUMIFS(Controle!$R:$R,Controle!$H:$H,produtos_escape2!$A2086,Controle!$Z:$Z,"3")</f>
        <v>0</v>
      </c>
      <c r="I2086" s="507">
        <f>SUMIFS(Controle!$R:$R,Controle!$H:$H,produtos_escape2!$A2086,Controle!$Z:$Z,"4")</f>
        <v>0</v>
      </c>
      <c r="J2086" s="507">
        <f>SUMIFS(Controle!$R:$R,Controle!$H:$H,produtos_escape2!$A2086,Controle!$Z:$Z,"5")</f>
        <v>0</v>
      </c>
      <c r="K2086" s="507">
        <f>SUMIFS(Controle!$R:$R,Controle!$H:$H,produtos_escape2!$A2086,Controle!$Z:$Z,"6")</f>
        <v>0</v>
      </c>
      <c r="L2086" s="507">
        <f t="shared" si="71"/>
        <v>0</v>
      </c>
      <c r="M2086" s="381" t="s">
        <v>2696</v>
      </c>
    </row>
    <row r="2087" spans="1:13" s="185" customFormat="1" ht="14.25" customHeight="1" thickBot="1">
      <c r="A2087" s="333">
        <v>93110</v>
      </c>
      <c r="B2087" s="194" t="s">
        <v>2697</v>
      </c>
      <c r="C2087" s="339">
        <f t="shared" si="72"/>
        <v>50000</v>
      </c>
      <c r="D2087" s="196" t="s">
        <v>830</v>
      </c>
      <c r="E2087" s="187" t="s">
        <v>3608</v>
      </c>
      <c r="F2087" s="507">
        <f>SUMIFS(Controle!$R:$R,Controle!$H:$H,produtos_escape2!$A2087,Controle!$Z:$Z,"1")</f>
        <v>0</v>
      </c>
      <c r="G2087" s="507">
        <f>SUMIFS(Controle!$R:$R,Controle!$H:$H,produtos_escape2!$A2087,Controle!$Z:$Z,"2")</f>
        <v>0</v>
      </c>
      <c r="H2087" s="507">
        <f>SUMIFS(Controle!$R:$R,Controle!$H:$H,produtos_escape2!$A2087,Controle!$Z:$Z,"3")</f>
        <v>0</v>
      </c>
      <c r="I2087" s="507">
        <f>SUMIFS(Controle!$R:$R,Controle!$H:$H,produtos_escape2!$A2087,Controle!$Z:$Z,"4")</f>
        <v>0</v>
      </c>
      <c r="J2087" s="507">
        <f>SUMIFS(Controle!$R:$R,Controle!$H:$H,produtos_escape2!$A2087,Controle!$Z:$Z,"5")</f>
        <v>0</v>
      </c>
      <c r="K2087" s="507">
        <f>SUMIFS(Controle!$R:$R,Controle!$H:$H,produtos_escape2!$A2087,Controle!$Z:$Z,"6")</f>
        <v>0</v>
      </c>
      <c r="L2087" s="507">
        <f t="shared" si="71"/>
        <v>0</v>
      </c>
      <c r="M2087" s="381" t="s">
        <v>5566</v>
      </c>
    </row>
    <row r="2088" spans="1:13" s="185" customFormat="1" ht="14.25" customHeight="1" thickBot="1">
      <c r="A2088" s="353">
        <v>93111</v>
      </c>
      <c r="B2088" s="194" t="s">
        <v>2698</v>
      </c>
      <c r="C2088" s="339">
        <f t="shared" si="72"/>
        <v>50000</v>
      </c>
      <c r="D2088" s="196" t="s">
        <v>830</v>
      </c>
      <c r="E2088" s="187" t="s">
        <v>3608</v>
      </c>
      <c r="F2088" s="507">
        <f>SUMIFS(Controle!$R:$R,Controle!$H:$H,produtos_escape2!$A2088,Controle!$Z:$Z,"1")</f>
        <v>0</v>
      </c>
      <c r="G2088" s="507">
        <f>SUMIFS(Controle!$R:$R,Controle!$H:$H,produtos_escape2!$A2088,Controle!$Z:$Z,"2")</f>
        <v>0</v>
      </c>
      <c r="H2088" s="507">
        <f>SUMIFS(Controle!$R:$R,Controle!$H:$H,produtos_escape2!$A2088,Controle!$Z:$Z,"3")</f>
        <v>0</v>
      </c>
      <c r="I2088" s="507">
        <f>SUMIFS(Controle!$R:$R,Controle!$H:$H,produtos_escape2!$A2088,Controle!$Z:$Z,"4")</f>
        <v>0</v>
      </c>
      <c r="J2088" s="507">
        <f>SUMIFS(Controle!$R:$R,Controle!$H:$H,produtos_escape2!$A2088,Controle!$Z:$Z,"5")</f>
        <v>0</v>
      </c>
      <c r="K2088" s="507">
        <f>SUMIFS(Controle!$R:$R,Controle!$H:$H,produtos_escape2!$A2088,Controle!$Z:$Z,"6")</f>
        <v>0</v>
      </c>
      <c r="L2088" s="507">
        <f t="shared" si="71"/>
        <v>0</v>
      </c>
      <c r="M2088" s="381" t="s">
        <v>5566</v>
      </c>
    </row>
    <row r="2089" spans="1:13" s="185" customFormat="1" ht="14.25" customHeight="1" thickBot="1">
      <c r="A2089" s="353">
        <v>93113</v>
      </c>
      <c r="B2089" s="194" t="s">
        <v>2699</v>
      </c>
      <c r="C2089" s="339">
        <f t="shared" si="72"/>
        <v>50000</v>
      </c>
      <c r="D2089" s="196" t="s">
        <v>848</v>
      </c>
      <c r="E2089" s="187" t="s">
        <v>3608</v>
      </c>
      <c r="F2089" s="507">
        <f>SUMIFS(Controle!$R:$R,Controle!$H:$H,produtos_escape2!$A2089,Controle!$Z:$Z,"1")</f>
        <v>0</v>
      </c>
      <c r="G2089" s="507">
        <f>SUMIFS(Controle!$R:$R,Controle!$H:$H,produtos_escape2!$A2089,Controle!$Z:$Z,"2")</f>
        <v>0</v>
      </c>
      <c r="H2089" s="507">
        <f>SUMIFS(Controle!$R:$R,Controle!$H:$H,produtos_escape2!$A2089,Controle!$Z:$Z,"3")</f>
        <v>0</v>
      </c>
      <c r="I2089" s="507">
        <f>SUMIFS(Controle!$R:$R,Controle!$H:$H,produtos_escape2!$A2089,Controle!$Z:$Z,"4")</f>
        <v>0</v>
      </c>
      <c r="J2089" s="507">
        <f>SUMIFS(Controle!$R:$R,Controle!$H:$H,produtos_escape2!$A2089,Controle!$Z:$Z,"5")</f>
        <v>0</v>
      </c>
      <c r="K2089" s="507">
        <f>SUMIFS(Controle!$R:$R,Controle!$H:$H,produtos_escape2!$A2089,Controle!$Z:$Z,"6")</f>
        <v>0</v>
      </c>
      <c r="L2089" s="507">
        <f t="shared" si="71"/>
        <v>0</v>
      </c>
      <c r="M2089" s="381" t="s">
        <v>5567</v>
      </c>
    </row>
    <row r="2090" spans="1:13" s="185" customFormat="1" ht="14.25" customHeight="1" thickBot="1">
      <c r="A2090" s="353">
        <v>93119</v>
      </c>
      <c r="B2090" s="194" t="s">
        <v>7832</v>
      </c>
      <c r="C2090" s="339">
        <f t="shared" si="72"/>
        <v>49184</v>
      </c>
      <c r="D2090" s="196" t="s">
        <v>848</v>
      </c>
      <c r="E2090" s="187" t="s">
        <v>3608</v>
      </c>
      <c r="F2090" s="507">
        <f>SUMIFS(Controle!$R:$R,Controle!$H:$H,produtos_escape2!$A2090,Controle!$Z:$Z,"1")</f>
        <v>0</v>
      </c>
      <c r="G2090" s="507">
        <f>SUMIFS(Controle!$R:$R,Controle!$H:$H,produtos_escape2!$A2090,Controle!$Z:$Z,"2")</f>
        <v>260</v>
      </c>
      <c r="H2090" s="507">
        <f>SUMIFS(Controle!$R:$R,Controle!$H:$H,produtos_escape2!$A2090,Controle!$Z:$Z,"3")</f>
        <v>0</v>
      </c>
      <c r="I2090" s="507">
        <f>SUMIFS(Controle!$R:$R,Controle!$H:$H,produtos_escape2!$A2090,Controle!$Z:$Z,"4")</f>
        <v>0</v>
      </c>
      <c r="J2090" s="507">
        <f>SUMIFS(Controle!$R:$R,Controle!$H:$H,produtos_escape2!$A2090,Controle!$Z:$Z,"5")</f>
        <v>0</v>
      </c>
      <c r="K2090" s="507">
        <f>SUMIFS(Controle!$R:$R,Controle!$H:$H,produtos_escape2!$A2090,Controle!$Z:$Z,"6")</f>
        <v>556</v>
      </c>
      <c r="L2090" s="507">
        <f t="shared" si="71"/>
        <v>816</v>
      </c>
      <c r="M2090" s="381" t="s">
        <v>7833</v>
      </c>
    </row>
    <row r="2091" spans="1:13" s="185" customFormat="1" ht="14.25" customHeight="1" thickBot="1">
      <c r="A2091" s="353">
        <v>93120</v>
      </c>
      <c r="B2091" s="194" t="s">
        <v>2700</v>
      </c>
      <c r="C2091" s="339">
        <f t="shared" si="72"/>
        <v>50000</v>
      </c>
      <c r="D2091" s="196" t="s">
        <v>747</v>
      </c>
      <c r="E2091" s="187" t="s">
        <v>3608</v>
      </c>
      <c r="F2091" s="507">
        <f>SUMIFS(Controle!$R:$R,Controle!$H:$H,produtos_escape2!$A2091,Controle!$Z:$Z,"1")</f>
        <v>0</v>
      </c>
      <c r="G2091" s="507">
        <f>SUMIFS(Controle!$R:$R,Controle!$H:$H,produtos_escape2!$A2091,Controle!$Z:$Z,"2")</f>
        <v>0</v>
      </c>
      <c r="H2091" s="507">
        <f>SUMIFS(Controle!$R:$R,Controle!$H:$H,produtos_escape2!$A2091,Controle!$Z:$Z,"3")</f>
        <v>0</v>
      </c>
      <c r="I2091" s="507">
        <f>SUMIFS(Controle!$R:$R,Controle!$H:$H,produtos_escape2!$A2091,Controle!$Z:$Z,"4")</f>
        <v>0</v>
      </c>
      <c r="J2091" s="507">
        <f>SUMIFS(Controle!$R:$R,Controle!$H:$H,produtos_escape2!$A2091,Controle!$Z:$Z,"5")</f>
        <v>0</v>
      </c>
      <c r="K2091" s="507">
        <f>SUMIFS(Controle!$R:$R,Controle!$H:$H,produtos_escape2!$A2091,Controle!$Z:$Z,"6")</f>
        <v>0</v>
      </c>
      <c r="L2091" s="507">
        <f t="shared" si="71"/>
        <v>0</v>
      </c>
      <c r="M2091" s="381" t="s">
        <v>5568</v>
      </c>
    </row>
    <row r="2092" spans="1:13" s="185" customFormat="1" ht="14.25" customHeight="1" thickBot="1">
      <c r="A2092" s="353">
        <v>93150</v>
      </c>
      <c r="B2092" s="338" t="s">
        <v>7836</v>
      </c>
      <c r="C2092" s="339">
        <f t="shared" si="72"/>
        <v>49919.199999999997</v>
      </c>
      <c r="D2092" s="196" t="s">
        <v>550</v>
      </c>
      <c r="E2092" s="187" t="s">
        <v>3608</v>
      </c>
      <c r="F2092" s="507">
        <f>SUMIFS(Controle!$R:$R,Controle!$H:$H,produtos_escape2!$A2092,Controle!$Z:$Z,"1")</f>
        <v>0</v>
      </c>
      <c r="G2092" s="507">
        <f>SUMIFS(Controle!$R:$R,Controle!$H:$H,produtos_escape2!$A2092,Controle!$Z:$Z,"2")</f>
        <v>80.8</v>
      </c>
      <c r="H2092" s="507">
        <f>SUMIFS(Controle!$R:$R,Controle!$H:$H,produtos_escape2!$A2092,Controle!$Z:$Z,"3")</f>
        <v>0</v>
      </c>
      <c r="I2092" s="507">
        <f>SUMIFS(Controle!$R:$R,Controle!$H:$H,produtos_escape2!$A2092,Controle!$Z:$Z,"4")</f>
        <v>0</v>
      </c>
      <c r="J2092" s="507">
        <f>SUMIFS(Controle!$R:$R,Controle!$H:$H,produtos_escape2!$A2092,Controle!$Z:$Z,"5")</f>
        <v>0</v>
      </c>
      <c r="K2092" s="507">
        <f>SUMIFS(Controle!$R:$R,Controle!$H:$H,produtos_escape2!$A2092,Controle!$Z:$Z,"6")</f>
        <v>0</v>
      </c>
      <c r="L2092" s="507">
        <f t="shared" si="71"/>
        <v>80.8</v>
      </c>
      <c r="M2092" s="381" t="s">
        <v>7837</v>
      </c>
    </row>
    <row r="2093" spans="1:13" s="185" customFormat="1" ht="14.25" customHeight="1" thickBot="1">
      <c r="A2093" s="353">
        <v>93151</v>
      </c>
      <c r="B2093" s="338" t="s">
        <v>968</v>
      </c>
      <c r="C2093" s="339">
        <f t="shared" si="72"/>
        <v>50000</v>
      </c>
      <c r="D2093" s="196" t="s">
        <v>896</v>
      </c>
      <c r="E2093" s="187" t="s">
        <v>3608</v>
      </c>
      <c r="F2093" s="507">
        <f>SUMIFS(Controle!$R:$R,Controle!$H:$H,produtos_escape2!$A2093,Controle!$Z:$Z,"1")</f>
        <v>0</v>
      </c>
      <c r="G2093" s="507">
        <f>SUMIFS(Controle!$R:$R,Controle!$H:$H,produtos_escape2!$A2093,Controle!$Z:$Z,"2")</f>
        <v>0</v>
      </c>
      <c r="H2093" s="507">
        <f>SUMIFS(Controle!$R:$R,Controle!$H:$H,produtos_escape2!$A2093,Controle!$Z:$Z,"3")</f>
        <v>0</v>
      </c>
      <c r="I2093" s="507">
        <f>SUMIFS(Controle!$R:$R,Controle!$H:$H,produtos_escape2!$A2093,Controle!$Z:$Z,"4")</f>
        <v>0</v>
      </c>
      <c r="J2093" s="507">
        <f>SUMIFS(Controle!$R:$R,Controle!$H:$H,produtos_escape2!$A2093,Controle!$Z:$Z,"5")</f>
        <v>0</v>
      </c>
      <c r="K2093" s="507">
        <f>SUMIFS(Controle!$R:$R,Controle!$H:$H,produtos_escape2!$A2093,Controle!$Z:$Z,"6")</f>
        <v>0</v>
      </c>
      <c r="L2093" s="507">
        <f t="shared" si="71"/>
        <v>0</v>
      </c>
      <c r="M2093" s="381" t="s">
        <v>5569</v>
      </c>
    </row>
    <row r="2094" spans="1:13" s="185" customFormat="1" ht="14.25" customHeight="1" thickBot="1">
      <c r="A2094" s="353">
        <v>93152</v>
      </c>
      <c r="B2094" s="194" t="s">
        <v>2701</v>
      </c>
      <c r="C2094" s="339">
        <f t="shared" si="72"/>
        <v>50000</v>
      </c>
      <c r="D2094" s="196" t="s">
        <v>624</v>
      </c>
      <c r="E2094" s="187" t="s">
        <v>3608</v>
      </c>
      <c r="F2094" s="507">
        <f>SUMIFS(Controle!$R:$R,Controle!$H:$H,produtos_escape2!$A2094,Controle!$Z:$Z,"1")</f>
        <v>0</v>
      </c>
      <c r="G2094" s="507">
        <f>SUMIFS(Controle!$R:$R,Controle!$H:$H,produtos_escape2!$A2094,Controle!$Z:$Z,"2")</f>
        <v>0</v>
      </c>
      <c r="H2094" s="507">
        <f>SUMIFS(Controle!$R:$R,Controle!$H:$H,produtos_escape2!$A2094,Controle!$Z:$Z,"3")</f>
        <v>0</v>
      </c>
      <c r="I2094" s="507">
        <f>SUMIFS(Controle!$R:$R,Controle!$H:$H,produtos_escape2!$A2094,Controle!$Z:$Z,"4")</f>
        <v>0</v>
      </c>
      <c r="J2094" s="507">
        <f>SUMIFS(Controle!$R:$R,Controle!$H:$H,produtos_escape2!$A2094,Controle!$Z:$Z,"5")</f>
        <v>0</v>
      </c>
      <c r="K2094" s="507">
        <f>SUMIFS(Controle!$R:$R,Controle!$H:$H,produtos_escape2!$A2094,Controle!$Z:$Z,"6")</f>
        <v>0</v>
      </c>
      <c r="L2094" s="507">
        <f t="shared" si="71"/>
        <v>0</v>
      </c>
      <c r="M2094" s="381" t="s">
        <v>2701</v>
      </c>
    </row>
    <row r="2095" spans="1:13" s="185" customFormat="1" ht="14.25" customHeight="1" thickBot="1">
      <c r="A2095" s="353">
        <v>93163</v>
      </c>
      <c r="B2095" s="194" t="s">
        <v>2702</v>
      </c>
      <c r="C2095" s="339">
        <f t="shared" si="72"/>
        <v>50000</v>
      </c>
      <c r="D2095" s="196" t="s">
        <v>639</v>
      </c>
      <c r="E2095" s="187" t="s">
        <v>3608</v>
      </c>
      <c r="F2095" s="507">
        <f>SUMIFS(Controle!$R:$R,Controle!$H:$H,produtos_escape2!$A2095,Controle!$Z:$Z,"1")</f>
        <v>0</v>
      </c>
      <c r="G2095" s="507">
        <f>SUMIFS(Controle!$R:$R,Controle!$H:$H,produtos_escape2!$A2095,Controle!$Z:$Z,"2")</f>
        <v>0</v>
      </c>
      <c r="H2095" s="507">
        <f>SUMIFS(Controle!$R:$R,Controle!$H:$H,produtos_escape2!$A2095,Controle!$Z:$Z,"3")</f>
        <v>0</v>
      </c>
      <c r="I2095" s="507">
        <f>SUMIFS(Controle!$R:$R,Controle!$H:$H,produtos_escape2!$A2095,Controle!$Z:$Z,"4")</f>
        <v>0</v>
      </c>
      <c r="J2095" s="507">
        <f>SUMIFS(Controle!$R:$R,Controle!$H:$H,produtos_escape2!$A2095,Controle!$Z:$Z,"5")</f>
        <v>0</v>
      </c>
      <c r="K2095" s="507">
        <f>SUMIFS(Controle!$R:$R,Controle!$H:$H,produtos_escape2!$A2095,Controle!$Z:$Z,"6")</f>
        <v>0</v>
      </c>
      <c r="L2095" s="507">
        <f t="shared" si="71"/>
        <v>0</v>
      </c>
      <c r="M2095" s="381" t="s">
        <v>5694</v>
      </c>
    </row>
    <row r="2096" spans="1:13" s="185" customFormat="1" ht="14.25" customHeight="1" thickBot="1">
      <c r="A2096" s="353">
        <v>93168</v>
      </c>
      <c r="B2096" s="194" t="s">
        <v>1019</v>
      </c>
      <c r="C2096" s="339">
        <f t="shared" si="72"/>
        <v>50000</v>
      </c>
      <c r="D2096" s="196" t="s">
        <v>624</v>
      </c>
      <c r="E2096" s="187" t="s">
        <v>3608</v>
      </c>
      <c r="F2096" s="507">
        <f>SUMIFS(Controle!$R:$R,Controle!$H:$H,produtos_escape2!$A2096,Controle!$Z:$Z,"1")</f>
        <v>0</v>
      </c>
      <c r="G2096" s="507">
        <f>SUMIFS(Controle!$R:$R,Controle!$H:$H,produtos_escape2!$A2096,Controle!$Z:$Z,"2")</f>
        <v>0</v>
      </c>
      <c r="H2096" s="507">
        <f>SUMIFS(Controle!$R:$R,Controle!$H:$H,produtos_escape2!$A2096,Controle!$Z:$Z,"3")</f>
        <v>0</v>
      </c>
      <c r="I2096" s="507">
        <f>SUMIFS(Controle!$R:$R,Controle!$H:$H,produtos_escape2!$A2096,Controle!$Z:$Z,"4")</f>
        <v>0</v>
      </c>
      <c r="J2096" s="507">
        <f>SUMIFS(Controle!$R:$R,Controle!$H:$H,produtos_escape2!$A2096,Controle!$Z:$Z,"5")</f>
        <v>0</v>
      </c>
      <c r="K2096" s="507">
        <f>SUMIFS(Controle!$R:$R,Controle!$H:$H,produtos_escape2!$A2096,Controle!$Z:$Z,"6")</f>
        <v>0</v>
      </c>
      <c r="L2096" s="507">
        <f t="shared" si="71"/>
        <v>0</v>
      </c>
      <c r="M2096" s="381" t="s">
        <v>5693</v>
      </c>
    </row>
    <row r="2097" spans="1:13" s="185" customFormat="1" ht="14.25" customHeight="1" thickBot="1">
      <c r="A2097" s="333">
        <v>93170</v>
      </c>
      <c r="B2097" s="194" t="s">
        <v>971</v>
      </c>
      <c r="C2097" s="339">
        <f t="shared" si="72"/>
        <v>50000</v>
      </c>
      <c r="D2097" s="196" t="s">
        <v>848</v>
      </c>
      <c r="E2097" s="187" t="s">
        <v>3608</v>
      </c>
      <c r="F2097" s="507">
        <f>SUMIFS(Controle!$R:$R,Controle!$H:$H,produtos_escape2!$A2097,Controle!$Z:$Z,"1")</f>
        <v>0</v>
      </c>
      <c r="G2097" s="507">
        <f>SUMIFS(Controle!$R:$R,Controle!$H:$H,produtos_escape2!$A2097,Controle!$Z:$Z,"2")</f>
        <v>0</v>
      </c>
      <c r="H2097" s="507">
        <f>SUMIFS(Controle!$R:$R,Controle!$H:$H,produtos_escape2!$A2097,Controle!$Z:$Z,"3")</f>
        <v>0</v>
      </c>
      <c r="I2097" s="507">
        <f>SUMIFS(Controle!$R:$R,Controle!$H:$H,produtos_escape2!$A2097,Controle!$Z:$Z,"4")</f>
        <v>0</v>
      </c>
      <c r="J2097" s="507">
        <f>SUMIFS(Controle!$R:$R,Controle!$H:$H,produtos_escape2!$A2097,Controle!$Z:$Z,"5")</f>
        <v>0</v>
      </c>
      <c r="K2097" s="507">
        <f>SUMIFS(Controle!$R:$R,Controle!$H:$H,produtos_escape2!$A2097,Controle!$Z:$Z,"6")</f>
        <v>0</v>
      </c>
      <c r="L2097" s="507">
        <f t="shared" si="71"/>
        <v>0</v>
      </c>
      <c r="M2097" s="381" t="s">
        <v>971</v>
      </c>
    </row>
    <row r="2098" spans="1:13" s="185" customFormat="1" ht="14.25" customHeight="1" thickBot="1">
      <c r="A2098" s="353">
        <v>93171</v>
      </c>
      <c r="B2098" s="194" t="s">
        <v>1020</v>
      </c>
      <c r="C2098" s="339">
        <f t="shared" si="72"/>
        <v>50000</v>
      </c>
      <c r="D2098" s="196" t="s">
        <v>624</v>
      </c>
      <c r="E2098" s="187" t="s">
        <v>3608</v>
      </c>
      <c r="F2098" s="507">
        <f>SUMIFS(Controle!$R:$R,Controle!$H:$H,produtos_escape2!$A2098,Controle!$Z:$Z,"1")</f>
        <v>0</v>
      </c>
      <c r="G2098" s="507">
        <f>SUMIFS(Controle!$R:$R,Controle!$H:$H,produtos_escape2!$A2098,Controle!$Z:$Z,"2")</f>
        <v>0</v>
      </c>
      <c r="H2098" s="507">
        <f>SUMIFS(Controle!$R:$R,Controle!$H:$H,produtos_escape2!$A2098,Controle!$Z:$Z,"3")</f>
        <v>0</v>
      </c>
      <c r="I2098" s="507">
        <f>SUMIFS(Controle!$R:$R,Controle!$H:$H,produtos_escape2!$A2098,Controle!$Z:$Z,"4")</f>
        <v>0</v>
      </c>
      <c r="J2098" s="507">
        <f>SUMIFS(Controle!$R:$R,Controle!$H:$H,produtos_escape2!$A2098,Controle!$Z:$Z,"5")</f>
        <v>0</v>
      </c>
      <c r="K2098" s="507">
        <f>SUMIFS(Controle!$R:$R,Controle!$H:$H,produtos_escape2!$A2098,Controle!$Z:$Z,"6")</f>
        <v>0</v>
      </c>
      <c r="L2098" s="507">
        <f t="shared" si="71"/>
        <v>0</v>
      </c>
      <c r="M2098" s="381" t="s">
        <v>5570</v>
      </c>
    </row>
    <row r="2099" spans="1:13" s="185" customFormat="1" ht="14.25" customHeight="1" thickBot="1">
      <c r="A2099" s="353">
        <v>93180</v>
      </c>
      <c r="B2099" s="194" t="s">
        <v>900</v>
      </c>
      <c r="C2099" s="339">
        <f t="shared" si="72"/>
        <v>50000</v>
      </c>
      <c r="D2099" s="196" t="s">
        <v>624</v>
      </c>
      <c r="E2099" s="187" t="s">
        <v>3608</v>
      </c>
      <c r="F2099" s="507">
        <f>SUMIFS(Controle!$R:$R,Controle!$H:$H,produtos_escape2!$A2099,Controle!$Z:$Z,"1")</f>
        <v>0</v>
      </c>
      <c r="G2099" s="507">
        <f>SUMIFS(Controle!$R:$R,Controle!$H:$H,produtos_escape2!$A2099,Controle!$Z:$Z,"2")</f>
        <v>0</v>
      </c>
      <c r="H2099" s="507">
        <f>SUMIFS(Controle!$R:$R,Controle!$H:$H,produtos_escape2!$A2099,Controle!$Z:$Z,"3")</f>
        <v>0</v>
      </c>
      <c r="I2099" s="507">
        <f>SUMIFS(Controle!$R:$R,Controle!$H:$H,produtos_escape2!$A2099,Controle!$Z:$Z,"4")</f>
        <v>0</v>
      </c>
      <c r="J2099" s="507">
        <f>SUMIFS(Controle!$R:$R,Controle!$H:$H,produtos_escape2!$A2099,Controle!$Z:$Z,"5")</f>
        <v>0</v>
      </c>
      <c r="K2099" s="507">
        <f>SUMIFS(Controle!$R:$R,Controle!$H:$H,produtos_escape2!$A2099,Controle!$Z:$Z,"6")</f>
        <v>0</v>
      </c>
      <c r="L2099" s="507">
        <f t="shared" si="71"/>
        <v>0</v>
      </c>
      <c r="M2099" s="381" t="s">
        <v>5571</v>
      </c>
    </row>
    <row r="2100" spans="1:13" s="185" customFormat="1" ht="14.25" customHeight="1" thickBot="1">
      <c r="A2100" s="353">
        <v>93182</v>
      </c>
      <c r="B2100" s="194" t="s">
        <v>2703</v>
      </c>
      <c r="C2100" s="339">
        <f t="shared" si="72"/>
        <v>50000</v>
      </c>
      <c r="D2100" s="196" t="s">
        <v>624</v>
      </c>
      <c r="E2100" s="187" t="s">
        <v>3608</v>
      </c>
      <c r="F2100" s="507">
        <f>SUMIFS(Controle!$R:$R,Controle!$H:$H,produtos_escape2!$A2100,Controle!$Z:$Z,"1")</f>
        <v>0</v>
      </c>
      <c r="G2100" s="507">
        <f>SUMIFS(Controle!$R:$R,Controle!$H:$H,produtos_escape2!$A2100,Controle!$Z:$Z,"2")</f>
        <v>0</v>
      </c>
      <c r="H2100" s="507">
        <f>SUMIFS(Controle!$R:$R,Controle!$H:$H,produtos_escape2!$A2100,Controle!$Z:$Z,"3")</f>
        <v>0</v>
      </c>
      <c r="I2100" s="507">
        <f>SUMIFS(Controle!$R:$R,Controle!$H:$H,produtos_escape2!$A2100,Controle!$Z:$Z,"4")</f>
        <v>0</v>
      </c>
      <c r="J2100" s="507">
        <f>SUMIFS(Controle!$R:$R,Controle!$H:$H,produtos_escape2!$A2100,Controle!$Z:$Z,"5")</f>
        <v>0</v>
      </c>
      <c r="K2100" s="507">
        <f>SUMIFS(Controle!$R:$R,Controle!$H:$H,produtos_escape2!$A2100,Controle!$Z:$Z,"6")</f>
        <v>0</v>
      </c>
      <c r="L2100" s="507">
        <f t="shared" si="71"/>
        <v>0</v>
      </c>
      <c r="M2100" s="381" t="s">
        <v>5572</v>
      </c>
    </row>
    <row r="2101" spans="1:13" s="185" customFormat="1" ht="14.25" customHeight="1" thickBot="1">
      <c r="A2101" s="353">
        <v>93184</v>
      </c>
      <c r="B2101" s="338" t="s">
        <v>2704</v>
      </c>
      <c r="C2101" s="339">
        <f t="shared" si="72"/>
        <v>50000</v>
      </c>
      <c r="D2101" s="196" t="s">
        <v>2705</v>
      </c>
      <c r="E2101" s="187" t="s">
        <v>3608</v>
      </c>
      <c r="F2101" s="507">
        <f>SUMIFS(Controle!$R:$R,Controle!$H:$H,produtos_escape2!$A2101,Controle!$Z:$Z,"1")</f>
        <v>0</v>
      </c>
      <c r="G2101" s="507">
        <f>SUMIFS(Controle!$R:$R,Controle!$H:$H,produtos_escape2!$A2101,Controle!$Z:$Z,"2")</f>
        <v>0</v>
      </c>
      <c r="H2101" s="507">
        <f>SUMIFS(Controle!$R:$R,Controle!$H:$H,produtos_escape2!$A2101,Controle!$Z:$Z,"3")</f>
        <v>0</v>
      </c>
      <c r="I2101" s="507">
        <f>SUMIFS(Controle!$R:$R,Controle!$H:$H,produtos_escape2!$A2101,Controle!$Z:$Z,"4")</f>
        <v>0</v>
      </c>
      <c r="J2101" s="507">
        <f>SUMIFS(Controle!$R:$R,Controle!$H:$H,produtos_escape2!$A2101,Controle!$Z:$Z,"5")</f>
        <v>0</v>
      </c>
      <c r="K2101" s="507">
        <f>SUMIFS(Controle!$R:$R,Controle!$H:$H,produtos_escape2!$A2101,Controle!$Z:$Z,"6")</f>
        <v>0</v>
      </c>
      <c r="L2101" s="507">
        <f t="shared" si="71"/>
        <v>0</v>
      </c>
      <c r="M2101" s="381" t="s">
        <v>2704</v>
      </c>
    </row>
    <row r="2102" spans="1:13" s="185" customFormat="1" ht="14.25" customHeight="1" thickBot="1">
      <c r="A2102" s="353">
        <v>93185</v>
      </c>
      <c r="B2102" s="338" t="s">
        <v>7844</v>
      </c>
      <c r="C2102" s="339">
        <f t="shared" si="72"/>
        <v>49814.239999999998</v>
      </c>
      <c r="D2102" s="196" t="s">
        <v>1017</v>
      </c>
      <c r="E2102" s="187" t="s">
        <v>3608</v>
      </c>
      <c r="F2102" s="507">
        <f>SUMIFS(Controle!$R:$R,Controle!$H:$H,produtos_escape2!$A2102,Controle!$Z:$Z,"1")</f>
        <v>0</v>
      </c>
      <c r="G2102" s="507">
        <f>SUMIFS(Controle!$R:$R,Controle!$H:$H,produtos_escape2!$A2102,Controle!$Z:$Z,"2")</f>
        <v>185.76</v>
      </c>
      <c r="H2102" s="507">
        <f>SUMIFS(Controle!$R:$R,Controle!$H:$H,produtos_escape2!$A2102,Controle!$Z:$Z,"3")</f>
        <v>0</v>
      </c>
      <c r="I2102" s="507">
        <f>SUMIFS(Controle!$R:$R,Controle!$H:$H,produtos_escape2!$A2102,Controle!$Z:$Z,"4")</f>
        <v>0</v>
      </c>
      <c r="J2102" s="507">
        <f>SUMIFS(Controle!$R:$R,Controle!$H:$H,produtos_escape2!$A2102,Controle!$Z:$Z,"5")</f>
        <v>0</v>
      </c>
      <c r="K2102" s="507">
        <f>SUMIFS(Controle!$R:$R,Controle!$H:$H,produtos_escape2!$A2102,Controle!$Z:$Z,"6")</f>
        <v>0</v>
      </c>
      <c r="L2102" s="507">
        <f t="shared" si="71"/>
        <v>185.76</v>
      </c>
      <c r="M2102" s="381" t="s">
        <v>7845</v>
      </c>
    </row>
    <row r="2103" spans="1:13" s="185" customFormat="1" ht="14.25" customHeight="1" thickBot="1">
      <c r="A2103" s="353">
        <v>93191</v>
      </c>
      <c r="B2103" s="194" t="s">
        <v>2945</v>
      </c>
      <c r="C2103" s="339">
        <f t="shared" si="72"/>
        <v>50000</v>
      </c>
      <c r="D2103" s="196" t="s">
        <v>548</v>
      </c>
      <c r="E2103" s="187" t="s">
        <v>1739</v>
      </c>
      <c r="F2103" s="507">
        <f>SUMIFS(Controle!$R:$R,Controle!$H:$H,produtos_escape2!$A2103,Controle!$Z:$Z,"1")</f>
        <v>0</v>
      </c>
      <c r="G2103" s="507">
        <f>SUMIFS(Controle!$R:$R,Controle!$H:$H,produtos_escape2!$A2103,Controle!$Z:$Z,"2")</f>
        <v>0</v>
      </c>
      <c r="H2103" s="507">
        <f>SUMIFS(Controle!$R:$R,Controle!$H:$H,produtos_escape2!$A2103,Controle!$Z:$Z,"3")</f>
        <v>0</v>
      </c>
      <c r="I2103" s="507">
        <f>SUMIFS(Controle!$R:$R,Controle!$H:$H,produtos_escape2!$A2103,Controle!$Z:$Z,"4")</f>
        <v>0</v>
      </c>
      <c r="J2103" s="507">
        <f>SUMIFS(Controle!$R:$R,Controle!$H:$H,produtos_escape2!$A2103,Controle!$Z:$Z,"5")</f>
        <v>0</v>
      </c>
      <c r="K2103" s="507">
        <f>SUMIFS(Controle!$R:$R,Controle!$H:$H,produtos_escape2!$A2103,Controle!$Z:$Z,"6")</f>
        <v>0</v>
      </c>
      <c r="L2103" s="507">
        <f t="shared" si="71"/>
        <v>0</v>
      </c>
      <c r="M2103" s="381" t="s">
        <v>5175</v>
      </c>
    </row>
    <row r="2104" spans="1:13" s="185" customFormat="1" ht="14.25" customHeight="1" thickBot="1">
      <c r="A2104" s="353">
        <v>93194</v>
      </c>
      <c r="B2104" s="194" t="s">
        <v>384</v>
      </c>
      <c r="C2104" s="339">
        <f t="shared" si="72"/>
        <v>50000</v>
      </c>
      <c r="D2104" s="196" t="s">
        <v>753</v>
      </c>
      <c r="E2104" s="187" t="s">
        <v>3608</v>
      </c>
      <c r="F2104" s="507">
        <f>SUMIFS(Controle!$R:$R,Controle!$H:$H,produtos_escape2!$A2104,Controle!$Z:$Z,"1")</f>
        <v>0</v>
      </c>
      <c r="G2104" s="507">
        <f>SUMIFS(Controle!$R:$R,Controle!$H:$H,produtos_escape2!$A2104,Controle!$Z:$Z,"2")</f>
        <v>0</v>
      </c>
      <c r="H2104" s="507">
        <f>SUMIFS(Controle!$R:$R,Controle!$H:$H,produtos_escape2!$A2104,Controle!$Z:$Z,"3")</f>
        <v>0</v>
      </c>
      <c r="I2104" s="507">
        <f>SUMIFS(Controle!$R:$R,Controle!$H:$H,produtos_escape2!$A2104,Controle!$Z:$Z,"4")</f>
        <v>0</v>
      </c>
      <c r="J2104" s="507">
        <f>SUMIFS(Controle!$R:$R,Controle!$H:$H,produtos_escape2!$A2104,Controle!$Z:$Z,"5")</f>
        <v>0</v>
      </c>
      <c r="K2104" s="507">
        <f>SUMIFS(Controle!$R:$R,Controle!$H:$H,produtos_escape2!$A2104,Controle!$Z:$Z,"6")</f>
        <v>0</v>
      </c>
      <c r="L2104" s="507">
        <f t="shared" si="71"/>
        <v>0</v>
      </c>
      <c r="M2104" s="381" t="s">
        <v>5573</v>
      </c>
    </row>
    <row r="2105" spans="1:13" s="185" customFormat="1" ht="14.25" customHeight="1" thickBot="1">
      <c r="A2105" s="353">
        <v>95007</v>
      </c>
      <c r="B2105" s="194" t="s">
        <v>6872</v>
      </c>
      <c r="C2105" s="339">
        <f t="shared" si="72"/>
        <v>50000</v>
      </c>
      <c r="D2105" s="196" t="s">
        <v>548</v>
      </c>
      <c r="E2105" s="187" t="s">
        <v>3608</v>
      </c>
      <c r="F2105" s="507">
        <f>SUMIFS(Controle!$R:$R,Controle!$H:$H,produtos_escape2!$A2105,Controle!$Z:$Z,"1")</f>
        <v>0</v>
      </c>
      <c r="G2105" s="507">
        <f>SUMIFS(Controle!$R:$R,Controle!$H:$H,produtos_escape2!$A2105,Controle!$Z:$Z,"2")</f>
        <v>0</v>
      </c>
      <c r="H2105" s="507">
        <f>SUMIFS(Controle!$R:$R,Controle!$H:$H,produtos_escape2!$A2105,Controle!$Z:$Z,"3")</f>
        <v>0</v>
      </c>
      <c r="I2105" s="507">
        <f>SUMIFS(Controle!$R:$R,Controle!$H:$H,produtos_escape2!$A2105,Controle!$Z:$Z,"4")</f>
        <v>0</v>
      </c>
      <c r="J2105" s="507">
        <f>SUMIFS(Controle!$R:$R,Controle!$H:$H,produtos_escape2!$A2105,Controle!$Z:$Z,"5")</f>
        <v>0</v>
      </c>
      <c r="K2105" s="507">
        <f>SUMIFS(Controle!$R:$R,Controle!$H:$H,produtos_escape2!$A2105,Controle!$Z:$Z,"6")</f>
        <v>0</v>
      </c>
      <c r="L2105" s="507">
        <f t="shared" si="71"/>
        <v>0</v>
      </c>
      <c r="M2105" s="381" t="s">
        <v>6871</v>
      </c>
    </row>
    <row r="2106" spans="1:13" s="185" customFormat="1" ht="14.25" customHeight="1" thickBot="1">
      <c r="A2106" s="353">
        <v>95026</v>
      </c>
      <c r="B2106" s="194" t="s">
        <v>6873</v>
      </c>
      <c r="C2106" s="339">
        <f t="shared" si="72"/>
        <v>50000</v>
      </c>
      <c r="D2106" s="196" t="s">
        <v>548</v>
      </c>
      <c r="E2106" s="187" t="s">
        <v>3608</v>
      </c>
      <c r="F2106" s="507">
        <f>SUMIFS(Controle!$R:$R,Controle!$H:$H,produtos_escape2!$A2106,Controle!$Z:$Z,"1")</f>
        <v>0</v>
      </c>
      <c r="G2106" s="507">
        <f>SUMIFS(Controle!$R:$R,Controle!$H:$H,produtos_escape2!$A2106,Controle!$Z:$Z,"2")</f>
        <v>0</v>
      </c>
      <c r="H2106" s="507">
        <f>SUMIFS(Controle!$R:$R,Controle!$H:$H,produtos_escape2!$A2106,Controle!$Z:$Z,"3")</f>
        <v>0</v>
      </c>
      <c r="I2106" s="507">
        <f>SUMIFS(Controle!$R:$R,Controle!$H:$H,produtos_escape2!$A2106,Controle!$Z:$Z,"4")</f>
        <v>0</v>
      </c>
      <c r="J2106" s="507">
        <f>SUMIFS(Controle!$R:$R,Controle!$H:$H,produtos_escape2!$A2106,Controle!$Z:$Z,"5")</f>
        <v>0</v>
      </c>
      <c r="K2106" s="507">
        <f>SUMIFS(Controle!$R:$R,Controle!$H:$H,produtos_escape2!$A2106,Controle!$Z:$Z,"6")</f>
        <v>0</v>
      </c>
      <c r="L2106" s="507">
        <f t="shared" si="71"/>
        <v>0</v>
      </c>
      <c r="M2106" s="381" t="s">
        <v>6874</v>
      </c>
    </row>
    <row r="2107" spans="1:13" s="185" customFormat="1" ht="14.25" customHeight="1" thickBot="1">
      <c r="A2107" s="353">
        <v>95037</v>
      </c>
      <c r="B2107" s="194" t="s">
        <v>278</v>
      </c>
      <c r="C2107" s="339">
        <f t="shared" si="72"/>
        <v>50000</v>
      </c>
      <c r="D2107" s="196" t="s">
        <v>624</v>
      </c>
      <c r="E2107" s="187" t="s">
        <v>3608</v>
      </c>
      <c r="F2107" s="507">
        <f>SUMIFS(Controle!$R:$R,Controle!$H:$H,produtos_escape2!$A2107,Controle!$Z:$Z,"1")</f>
        <v>0</v>
      </c>
      <c r="G2107" s="507">
        <f>SUMIFS(Controle!$R:$R,Controle!$H:$H,produtos_escape2!$A2107,Controle!$Z:$Z,"2")</f>
        <v>0</v>
      </c>
      <c r="H2107" s="507">
        <f>SUMIFS(Controle!$R:$R,Controle!$H:$H,produtos_escape2!$A2107,Controle!$Z:$Z,"3")</f>
        <v>0</v>
      </c>
      <c r="I2107" s="507">
        <f>SUMIFS(Controle!$R:$R,Controle!$H:$H,produtos_escape2!$A2107,Controle!$Z:$Z,"4")</f>
        <v>0</v>
      </c>
      <c r="J2107" s="507">
        <f>SUMIFS(Controle!$R:$R,Controle!$H:$H,produtos_escape2!$A2107,Controle!$Z:$Z,"5")</f>
        <v>0</v>
      </c>
      <c r="K2107" s="507">
        <f>SUMIFS(Controle!$R:$R,Controle!$H:$H,produtos_escape2!$A2107,Controle!$Z:$Z,"6")</f>
        <v>0</v>
      </c>
      <c r="L2107" s="507">
        <f t="shared" si="71"/>
        <v>0</v>
      </c>
      <c r="M2107" s="381" t="s">
        <v>5574</v>
      </c>
    </row>
    <row r="2108" spans="1:13" s="185" customFormat="1" ht="14.25" customHeight="1" thickBot="1">
      <c r="A2108" s="333">
        <v>95046</v>
      </c>
      <c r="B2108" s="194" t="s">
        <v>1563</v>
      </c>
      <c r="C2108" s="339">
        <f t="shared" si="72"/>
        <v>45988.904000000002</v>
      </c>
      <c r="D2108" s="196" t="s">
        <v>548</v>
      </c>
      <c r="E2108" s="187" t="s">
        <v>3608</v>
      </c>
      <c r="F2108" s="507">
        <f>SUMIFS(Controle!$R:$R,Controle!$H:$H,produtos_escape2!$A2108,Controle!$Z:$Z,"1")</f>
        <v>0</v>
      </c>
      <c r="G2108" s="507">
        <f>SUMIFS(Controle!$R:$R,Controle!$H:$H,produtos_escape2!$A2108,Controle!$Z:$Z,"2")</f>
        <v>558.29999999999995</v>
      </c>
      <c r="H2108" s="507">
        <f>SUMIFS(Controle!$R:$R,Controle!$H:$H,produtos_escape2!$A2108,Controle!$Z:$Z,"3")</f>
        <v>1394.796</v>
      </c>
      <c r="I2108" s="507">
        <f>SUMIFS(Controle!$R:$R,Controle!$H:$H,produtos_escape2!$A2108,Controle!$Z:$Z,"4")</f>
        <v>738</v>
      </c>
      <c r="J2108" s="507">
        <f>SUMIFS(Controle!$R:$R,Controle!$H:$H,produtos_escape2!$A2108,Controle!$Z:$Z,"5")</f>
        <v>0</v>
      </c>
      <c r="K2108" s="507">
        <f>SUMIFS(Controle!$R:$R,Controle!$H:$H,produtos_escape2!$A2108,Controle!$Z:$Z,"6")</f>
        <v>1320</v>
      </c>
      <c r="L2108" s="507">
        <f t="shared" si="71"/>
        <v>4011.096</v>
      </c>
      <c r="M2108" s="381" t="s">
        <v>5575</v>
      </c>
    </row>
    <row r="2109" spans="1:13" s="185" customFormat="1" ht="14.25" customHeight="1" thickBot="1">
      <c r="A2109" s="353">
        <v>95069</v>
      </c>
      <c r="B2109" s="194" t="s">
        <v>3007</v>
      </c>
      <c r="C2109" s="339">
        <f t="shared" si="72"/>
        <v>50000</v>
      </c>
      <c r="D2109" s="196" t="s">
        <v>819</v>
      </c>
      <c r="E2109" s="187" t="s">
        <v>3608</v>
      </c>
      <c r="F2109" s="507">
        <f>SUMIFS(Controle!$R:$R,Controle!$H:$H,produtos_escape2!$A2109,Controle!$Z:$Z,"1")</f>
        <v>0</v>
      </c>
      <c r="G2109" s="507">
        <f>SUMIFS(Controle!$R:$R,Controle!$H:$H,produtos_escape2!$A2109,Controle!$Z:$Z,"2")</f>
        <v>0</v>
      </c>
      <c r="H2109" s="507">
        <f>SUMIFS(Controle!$R:$R,Controle!$H:$H,produtos_escape2!$A2109,Controle!$Z:$Z,"3")</f>
        <v>0</v>
      </c>
      <c r="I2109" s="507">
        <f>SUMIFS(Controle!$R:$R,Controle!$H:$H,produtos_escape2!$A2109,Controle!$Z:$Z,"4")</f>
        <v>0</v>
      </c>
      <c r="J2109" s="507">
        <f>SUMIFS(Controle!$R:$R,Controle!$H:$H,produtos_escape2!$A2109,Controle!$Z:$Z,"5")</f>
        <v>0</v>
      </c>
      <c r="K2109" s="507">
        <f>SUMIFS(Controle!$R:$R,Controle!$H:$H,produtos_escape2!$A2109,Controle!$Z:$Z,"6")</f>
        <v>0</v>
      </c>
      <c r="L2109" s="507">
        <f t="shared" si="71"/>
        <v>0</v>
      </c>
      <c r="M2109" s="381" t="s">
        <v>5576</v>
      </c>
    </row>
    <row r="2110" spans="1:13" s="185" customFormat="1" ht="14.25" customHeight="1" thickBot="1">
      <c r="A2110" s="353">
        <v>95075</v>
      </c>
      <c r="B2110" s="194" t="s">
        <v>2706</v>
      </c>
      <c r="C2110" s="339">
        <f t="shared" si="72"/>
        <v>49928</v>
      </c>
      <c r="D2110" s="196" t="s">
        <v>548</v>
      </c>
      <c r="E2110" s="187" t="s">
        <v>3608</v>
      </c>
      <c r="F2110" s="507">
        <f>SUMIFS(Controle!$R:$R,Controle!$H:$H,produtos_escape2!$A2110,Controle!$Z:$Z,"1")</f>
        <v>0</v>
      </c>
      <c r="G2110" s="507">
        <f>SUMIFS(Controle!$R:$R,Controle!$H:$H,produtos_escape2!$A2110,Controle!$Z:$Z,"2")</f>
        <v>0</v>
      </c>
      <c r="H2110" s="507">
        <f>SUMIFS(Controle!$R:$R,Controle!$H:$H,produtos_escape2!$A2110,Controle!$Z:$Z,"3")</f>
        <v>0</v>
      </c>
      <c r="I2110" s="507">
        <f>SUMIFS(Controle!$R:$R,Controle!$H:$H,produtos_escape2!$A2110,Controle!$Z:$Z,"4")</f>
        <v>0</v>
      </c>
      <c r="J2110" s="507">
        <f>SUMIFS(Controle!$R:$R,Controle!$H:$H,produtos_escape2!$A2110,Controle!$Z:$Z,"5")</f>
        <v>0</v>
      </c>
      <c r="K2110" s="507">
        <f>SUMIFS(Controle!$R:$R,Controle!$H:$H,produtos_escape2!$A2110,Controle!$Z:$Z,"6")</f>
        <v>72</v>
      </c>
      <c r="L2110" s="507">
        <f t="shared" si="71"/>
        <v>72</v>
      </c>
      <c r="M2110" s="381" t="s">
        <v>5577</v>
      </c>
    </row>
    <row r="2111" spans="1:13" s="185" customFormat="1" ht="14.25" customHeight="1" thickBot="1">
      <c r="A2111" s="353">
        <v>95122</v>
      </c>
      <c r="B2111" s="194" t="s">
        <v>6869</v>
      </c>
      <c r="C2111" s="339">
        <f t="shared" si="72"/>
        <v>50000</v>
      </c>
      <c r="D2111" s="196" t="s">
        <v>548</v>
      </c>
      <c r="E2111" s="187" t="s">
        <v>3614</v>
      </c>
      <c r="F2111" s="507">
        <f>SUMIFS(Controle!$R:$R,Controle!$H:$H,produtos_escape2!$A2111,Controle!$Z:$Z,"1")</f>
        <v>0</v>
      </c>
      <c r="G2111" s="507">
        <f>SUMIFS(Controle!$R:$R,Controle!$H:$H,produtos_escape2!$A2111,Controle!$Z:$Z,"2")</f>
        <v>0</v>
      </c>
      <c r="H2111" s="507">
        <f>SUMIFS(Controle!$R:$R,Controle!$H:$H,produtos_escape2!$A2111,Controle!$Z:$Z,"3")</f>
        <v>0</v>
      </c>
      <c r="I2111" s="507">
        <f>SUMIFS(Controle!$R:$R,Controle!$H:$H,produtos_escape2!$A2111,Controle!$Z:$Z,"4")</f>
        <v>0</v>
      </c>
      <c r="J2111" s="507">
        <f>SUMIFS(Controle!$R:$R,Controle!$H:$H,produtos_escape2!$A2111,Controle!$Z:$Z,"5")</f>
        <v>0</v>
      </c>
      <c r="K2111" s="507">
        <f>SUMIFS(Controle!$R:$R,Controle!$H:$H,produtos_escape2!$A2111,Controle!$Z:$Z,"6")</f>
        <v>0</v>
      </c>
      <c r="L2111" s="507">
        <f t="shared" ref="L2111:L2174" si="73">SUM(F2111:K2111)</f>
        <v>0</v>
      </c>
      <c r="M2111" s="381" t="s">
        <v>6870</v>
      </c>
    </row>
    <row r="2112" spans="1:13" s="185" customFormat="1" ht="14.25" customHeight="1" thickBot="1">
      <c r="A2112" s="353">
        <v>95131</v>
      </c>
      <c r="B2112" s="194" t="s">
        <v>2707</v>
      </c>
      <c r="C2112" s="339">
        <f t="shared" si="72"/>
        <v>47506.37</v>
      </c>
      <c r="D2112" s="196" t="s">
        <v>830</v>
      </c>
      <c r="E2112" s="187" t="s">
        <v>3614</v>
      </c>
      <c r="F2112" s="507">
        <f>SUMIFS(Controle!$R:$R,Controle!$H:$H,produtos_escape2!$A2112,Controle!$Z:$Z,"1")</f>
        <v>0</v>
      </c>
      <c r="G2112" s="507">
        <f>SUMIFS(Controle!$R:$R,Controle!$H:$H,produtos_escape2!$A2112,Controle!$Z:$Z,"2")</f>
        <v>611.01</v>
      </c>
      <c r="H2112" s="507">
        <f>SUMIFS(Controle!$R:$R,Controle!$H:$H,produtos_escape2!$A2112,Controle!$Z:$Z,"3")</f>
        <v>701.46</v>
      </c>
      <c r="I2112" s="507">
        <f>SUMIFS(Controle!$R:$R,Controle!$H:$H,produtos_escape2!$A2112,Controle!$Z:$Z,"4")</f>
        <v>0</v>
      </c>
      <c r="J2112" s="507">
        <f>SUMIFS(Controle!$R:$R,Controle!$H:$H,produtos_escape2!$A2112,Controle!$Z:$Z,"5")</f>
        <v>0</v>
      </c>
      <c r="K2112" s="507">
        <f>SUMIFS(Controle!$R:$R,Controle!$H:$H,produtos_escape2!$A2112,Controle!$Z:$Z,"6")</f>
        <v>1181.1600000000001</v>
      </c>
      <c r="L2112" s="507">
        <f t="shared" si="73"/>
        <v>2493.63</v>
      </c>
      <c r="M2112" s="381" t="s">
        <v>5578</v>
      </c>
    </row>
    <row r="2113" spans="1:13" s="185" customFormat="1" ht="14.25" customHeight="1" thickBot="1">
      <c r="A2113" s="353">
        <v>95231</v>
      </c>
      <c r="B2113" s="338" t="s">
        <v>1014</v>
      </c>
      <c r="C2113" s="339">
        <f t="shared" si="72"/>
        <v>50000</v>
      </c>
      <c r="D2113" s="196" t="s">
        <v>917</v>
      </c>
      <c r="E2113" s="187" t="s">
        <v>3608</v>
      </c>
      <c r="F2113" s="507">
        <f>SUMIFS(Controle!$R:$R,Controle!$H:$H,produtos_escape2!$A2113,Controle!$Z:$Z,"1")</f>
        <v>0</v>
      </c>
      <c r="G2113" s="507">
        <f>SUMIFS(Controle!$R:$R,Controle!$H:$H,produtos_escape2!$A2113,Controle!$Z:$Z,"2")</f>
        <v>0</v>
      </c>
      <c r="H2113" s="507">
        <f>SUMIFS(Controle!$R:$R,Controle!$H:$H,produtos_escape2!$A2113,Controle!$Z:$Z,"3")</f>
        <v>0</v>
      </c>
      <c r="I2113" s="507">
        <f>SUMIFS(Controle!$R:$R,Controle!$H:$H,produtos_escape2!$A2113,Controle!$Z:$Z,"4")</f>
        <v>0</v>
      </c>
      <c r="J2113" s="507">
        <f>SUMIFS(Controle!$R:$R,Controle!$H:$H,produtos_escape2!$A2113,Controle!$Z:$Z,"5")</f>
        <v>0</v>
      </c>
      <c r="K2113" s="507">
        <f>SUMIFS(Controle!$R:$R,Controle!$H:$H,produtos_escape2!$A2113,Controle!$Z:$Z,"6")</f>
        <v>0</v>
      </c>
      <c r="L2113" s="507">
        <f t="shared" si="73"/>
        <v>0</v>
      </c>
      <c r="M2113" s="381" t="s">
        <v>5579</v>
      </c>
    </row>
    <row r="2114" spans="1:13" s="185" customFormat="1" ht="14.25" customHeight="1" thickBot="1">
      <c r="A2114" s="353">
        <v>95242</v>
      </c>
      <c r="B2114" s="194" t="s">
        <v>9120</v>
      </c>
      <c r="C2114" s="339">
        <f t="shared" si="72"/>
        <v>40650</v>
      </c>
      <c r="D2114" s="196" t="s">
        <v>819</v>
      </c>
      <c r="E2114" s="187" t="s">
        <v>3608</v>
      </c>
      <c r="F2114" s="507">
        <f>SUMIFS(Controle!$R:$R,Controle!$H:$H,produtos_escape2!$A2114,Controle!$Z:$Z,"1")</f>
        <v>0</v>
      </c>
      <c r="G2114" s="507">
        <f>SUMIFS(Controle!$R:$R,Controle!$H:$H,produtos_escape2!$A2114,Controle!$Z:$Z,"2")</f>
        <v>0</v>
      </c>
      <c r="H2114" s="507">
        <f>SUMIFS(Controle!$R:$R,Controle!$H:$H,produtos_escape2!$A2114,Controle!$Z:$Z,"3")</f>
        <v>0</v>
      </c>
      <c r="I2114" s="507">
        <f>SUMIFS(Controle!$R:$R,Controle!$H:$H,produtos_escape2!$A2114,Controle!$Z:$Z,"4")</f>
        <v>9350</v>
      </c>
      <c r="J2114" s="507">
        <f>SUMIFS(Controle!$R:$R,Controle!$H:$H,produtos_escape2!$A2114,Controle!$Z:$Z,"5")</f>
        <v>0</v>
      </c>
      <c r="K2114" s="507">
        <f>SUMIFS(Controle!$R:$R,Controle!$H:$H,produtos_escape2!$A2114,Controle!$Z:$Z,"6")</f>
        <v>0</v>
      </c>
      <c r="L2114" s="507">
        <f t="shared" si="73"/>
        <v>9350</v>
      </c>
      <c r="M2114" s="381" t="s">
        <v>5580</v>
      </c>
    </row>
    <row r="2115" spans="1:13" s="185" customFormat="1" ht="14.25" customHeight="1" thickBot="1">
      <c r="A2115" s="353">
        <v>95244</v>
      </c>
      <c r="B2115" s="194" t="s">
        <v>3612</v>
      </c>
      <c r="C2115" s="339">
        <f t="shared" si="72"/>
        <v>49731.199999999997</v>
      </c>
      <c r="D2115" s="196" t="s">
        <v>819</v>
      </c>
      <c r="E2115" s="187" t="s">
        <v>3608</v>
      </c>
      <c r="F2115" s="507">
        <f>SUMIFS(Controle!$R:$R,Controle!$H:$H,produtos_escape2!$A2115,Controle!$Z:$Z,"1")</f>
        <v>0</v>
      </c>
      <c r="G2115" s="507">
        <f>SUMIFS(Controle!$R:$R,Controle!$H:$H,produtos_escape2!$A2115,Controle!$Z:$Z,"2")</f>
        <v>268.79999999999995</v>
      </c>
      <c r="H2115" s="507">
        <f>SUMIFS(Controle!$R:$R,Controle!$H:$H,produtos_escape2!$A2115,Controle!$Z:$Z,"3")</f>
        <v>0</v>
      </c>
      <c r="I2115" s="507">
        <f>SUMIFS(Controle!$R:$R,Controle!$H:$H,produtos_escape2!$A2115,Controle!$Z:$Z,"4")</f>
        <v>0</v>
      </c>
      <c r="J2115" s="507">
        <f>SUMIFS(Controle!$R:$R,Controle!$H:$H,produtos_escape2!$A2115,Controle!$Z:$Z,"5")</f>
        <v>0</v>
      </c>
      <c r="K2115" s="507">
        <f>SUMIFS(Controle!$R:$R,Controle!$H:$H,produtos_escape2!$A2115,Controle!$Z:$Z,"6")</f>
        <v>0</v>
      </c>
      <c r="L2115" s="507">
        <f t="shared" si="73"/>
        <v>268.79999999999995</v>
      </c>
      <c r="M2115" s="381" t="s">
        <v>5685</v>
      </c>
    </row>
    <row r="2116" spans="1:13" s="185" customFormat="1" ht="14.25" customHeight="1" thickBot="1">
      <c r="A2116" s="353">
        <v>95245</v>
      </c>
      <c r="B2116" s="194" t="s">
        <v>6914</v>
      </c>
      <c r="C2116" s="339">
        <f t="shared" si="72"/>
        <v>50000</v>
      </c>
      <c r="D2116" s="196" t="s">
        <v>819</v>
      </c>
      <c r="E2116" s="187" t="s">
        <v>3608</v>
      </c>
      <c r="F2116" s="507">
        <f>SUMIFS(Controle!$R:$R,Controle!$H:$H,produtos_escape2!$A2116,Controle!$Z:$Z,"1")</f>
        <v>0</v>
      </c>
      <c r="G2116" s="507">
        <f>SUMIFS(Controle!$R:$R,Controle!$H:$H,produtos_escape2!$A2116,Controle!$Z:$Z,"2")</f>
        <v>0</v>
      </c>
      <c r="H2116" s="507">
        <f>SUMIFS(Controle!$R:$R,Controle!$H:$H,produtos_escape2!$A2116,Controle!$Z:$Z,"3")</f>
        <v>0</v>
      </c>
      <c r="I2116" s="507">
        <f>SUMIFS(Controle!$R:$R,Controle!$H:$H,produtos_escape2!$A2116,Controle!$Z:$Z,"4")</f>
        <v>0</v>
      </c>
      <c r="J2116" s="507">
        <f>SUMIFS(Controle!$R:$R,Controle!$H:$H,produtos_escape2!$A2116,Controle!$Z:$Z,"5")</f>
        <v>0</v>
      </c>
      <c r="K2116" s="507">
        <f>SUMIFS(Controle!$R:$R,Controle!$H:$H,produtos_escape2!$A2116,Controle!$Z:$Z,"6")</f>
        <v>0</v>
      </c>
      <c r="L2116" s="507">
        <f t="shared" si="73"/>
        <v>0</v>
      </c>
      <c r="M2116" s="381" t="s">
        <v>6915</v>
      </c>
    </row>
    <row r="2117" spans="1:13" s="185" customFormat="1" ht="14.25" customHeight="1" thickBot="1">
      <c r="A2117" s="353">
        <v>95273</v>
      </c>
      <c r="B2117" s="194" t="s">
        <v>4270</v>
      </c>
      <c r="C2117" s="339">
        <f t="shared" si="72"/>
        <v>44696</v>
      </c>
      <c r="D2117" s="196" t="s">
        <v>624</v>
      </c>
      <c r="E2117" s="187" t="s">
        <v>3608</v>
      </c>
      <c r="F2117" s="507">
        <f>SUMIFS(Controle!$R:$R,Controle!$H:$H,produtos_escape2!$A2117,Controle!$Z:$Z,"1")</f>
        <v>0</v>
      </c>
      <c r="G2117" s="507">
        <f>SUMIFS(Controle!$R:$R,Controle!$H:$H,produtos_escape2!$A2117,Controle!$Z:$Z,"2")</f>
        <v>0</v>
      </c>
      <c r="H2117" s="507">
        <f>SUMIFS(Controle!$R:$R,Controle!$H:$H,produtos_escape2!$A2117,Controle!$Z:$Z,"3")</f>
        <v>0</v>
      </c>
      <c r="I2117" s="507">
        <f>SUMIFS(Controle!$R:$R,Controle!$H:$H,produtos_escape2!$A2117,Controle!$Z:$Z,"4")</f>
        <v>0</v>
      </c>
      <c r="J2117" s="507">
        <f>SUMIFS(Controle!$R:$R,Controle!$H:$H,produtos_escape2!$A2117,Controle!$Z:$Z,"5")</f>
        <v>0</v>
      </c>
      <c r="K2117" s="507">
        <f>SUMIFS(Controle!$R:$R,Controle!$H:$H,produtos_escape2!$A2117,Controle!$Z:$Z,"6")</f>
        <v>5304</v>
      </c>
      <c r="L2117" s="507">
        <f t="shared" si="73"/>
        <v>5304</v>
      </c>
      <c r="M2117" s="381" t="s">
        <v>4270</v>
      </c>
    </row>
    <row r="2118" spans="1:13" s="185" customFormat="1" ht="14.25" customHeight="1" thickBot="1">
      <c r="A2118" s="333">
        <v>95277</v>
      </c>
      <c r="B2118" s="194" t="s">
        <v>4271</v>
      </c>
      <c r="C2118" s="339">
        <f t="shared" si="72"/>
        <v>49508</v>
      </c>
      <c r="D2118" s="196" t="s">
        <v>624</v>
      </c>
      <c r="E2118" s="187" t="s">
        <v>3608</v>
      </c>
      <c r="F2118" s="507">
        <f>SUMIFS(Controle!$R:$R,Controle!$H:$H,produtos_escape2!$A2118,Controle!$Z:$Z,"1")</f>
        <v>0</v>
      </c>
      <c r="G2118" s="507">
        <f>SUMIFS(Controle!$R:$R,Controle!$H:$H,produtos_escape2!$A2118,Controle!$Z:$Z,"2")</f>
        <v>0</v>
      </c>
      <c r="H2118" s="507">
        <f>SUMIFS(Controle!$R:$R,Controle!$H:$H,produtos_escape2!$A2118,Controle!$Z:$Z,"3")</f>
        <v>0</v>
      </c>
      <c r="I2118" s="507">
        <f>SUMIFS(Controle!$R:$R,Controle!$H:$H,produtos_escape2!$A2118,Controle!$Z:$Z,"4")</f>
        <v>0</v>
      </c>
      <c r="J2118" s="507">
        <f>SUMIFS(Controle!$R:$R,Controle!$H:$H,produtos_escape2!$A2118,Controle!$Z:$Z,"5")</f>
        <v>0</v>
      </c>
      <c r="K2118" s="507">
        <f>SUMIFS(Controle!$R:$R,Controle!$H:$H,produtos_escape2!$A2118,Controle!$Z:$Z,"6")</f>
        <v>492</v>
      </c>
      <c r="L2118" s="507">
        <f t="shared" si="73"/>
        <v>492</v>
      </c>
      <c r="M2118" s="381" t="s">
        <v>4271</v>
      </c>
    </row>
    <row r="2119" spans="1:13" s="185" customFormat="1" ht="14.25" customHeight="1" thickBot="1">
      <c r="A2119" s="353">
        <v>95278</v>
      </c>
      <c r="B2119" s="194" t="s">
        <v>4272</v>
      </c>
      <c r="C2119" s="339">
        <f t="shared" si="72"/>
        <v>50000</v>
      </c>
      <c r="D2119" s="196" t="s">
        <v>624</v>
      </c>
      <c r="E2119" s="187" t="s">
        <v>3608</v>
      </c>
      <c r="F2119" s="507">
        <f>SUMIFS(Controle!$R:$R,Controle!$H:$H,produtos_escape2!$A2119,Controle!$Z:$Z,"1")</f>
        <v>0</v>
      </c>
      <c r="G2119" s="507">
        <f>SUMIFS(Controle!$R:$R,Controle!$H:$H,produtos_escape2!$A2119,Controle!$Z:$Z,"2")</f>
        <v>0</v>
      </c>
      <c r="H2119" s="507">
        <f>SUMIFS(Controle!$R:$R,Controle!$H:$H,produtos_escape2!$A2119,Controle!$Z:$Z,"3")</f>
        <v>0</v>
      </c>
      <c r="I2119" s="507">
        <f>SUMIFS(Controle!$R:$R,Controle!$H:$H,produtos_escape2!$A2119,Controle!$Z:$Z,"4")</f>
        <v>0</v>
      </c>
      <c r="J2119" s="507">
        <f>SUMIFS(Controle!$R:$R,Controle!$H:$H,produtos_escape2!$A2119,Controle!$Z:$Z,"5")</f>
        <v>0</v>
      </c>
      <c r="K2119" s="507">
        <f>SUMIFS(Controle!$R:$R,Controle!$H:$H,produtos_escape2!$A2119,Controle!$Z:$Z,"6")</f>
        <v>0</v>
      </c>
      <c r="L2119" s="507">
        <f t="shared" si="73"/>
        <v>0</v>
      </c>
      <c r="M2119" s="381" t="s">
        <v>4272</v>
      </c>
    </row>
    <row r="2120" spans="1:13" s="185" customFormat="1" ht="14.25" customHeight="1" thickBot="1">
      <c r="A2120" s="353">
        <v>95279</v>
      </c>
      <c r="B2120" s="194" t="s">
        <v>4273</v>
      </c>
      <c r="C2120" s="339">
        <f t="shared" si="72"/>
        <v>50000</v>
      </c>
      <c r="D2120" s="196" t="s">
        <v>624</v>
      </c>
      <c r="E2120" s="187" t="s">
        <v>3608</v>
      </c>
      <c r="F2120" s="507">
        <f>SUMIFS(Controle!$R:$R,Controle!$H:$H,produtos_escape2!$A2120,Controle!$Z:$Z,"1")</f>
        <v>0</v>
      </c>
      <c r="G2120" s="507">
        <f>SUMIFS(Controle!$R:$R,Controle!$H:$H,produtos_escape2!$A2120,Controle!$Z:$Z,"2")</f>
        <v>0</v>
      </c>
      <c r="H2120" s="507">
        <f>SUMIFS(Controle!$R:$R,Controle!$H:$H,produtos_escape2!$A2120,Controle!$Z:$Z,"3")</f>
        <v>0</v>
      </c>
      <c r="I2120" s="507">
        <f>SUMIFS(Controle!$R:$R,Controle!$H:$H,produtos_escape2!$A2120,Controle!$Z:$Z,"4")</f>
        <v>0</v>
      </c>
      <c r="J2120" s="507">
        <f>SUMIFS(Controle!$R:$R,Controle!$H:$H,produtos_escape2!$A2120,Controle!$Z:$Z,"5")</f>
        <v>0</v>
      </c>
      <c r="K2120" s="507">
        <f>SUMIFS(Controle!$R:$R,Controle!$H:$H,produtos_escape2!$A2120,Controle!$Z:$Z,"6")</f>
        <v>0</v>
      </c>
      <c r="L2120" s="507">
        <f t="shared" si="73"/>
        <v>0</v>
      </c>
      <c r="M2120" s="381" t="s">
        <v>4273</v>
      </c>
    </row>
    <row r="2121" spans="1:13" s="185" customFormat="1" ht="14.25" customHeight="1" thickBot="1">
      <c r="A2121" s="353">
        <v>95292</v>
      </c>
      <c r="B2121" s="194" t="s">
        <v>10171</v>
      </c>
      <c r="C2121" s="339">
        <f t="shared" ref="C2121:C2184" si="74">50000-SUM(F2121:K2121)</f>
        <v>49705</v>
      </c>
      <c r="D2121" s="196" t="s">
        <v>624</v>
      </c>
      <c r="E2121" s="187" t="s">
        <v>3608</v>
      </c>
      <c r="F2121" s="507">
        <f>SUMIFS(Controle!$R:$R,Controle!$H:$H,produtos_escape2!$A2121,Controle!$Z:$Z,"1")</f>
        <v>0</v>
      </c>
      <c r="G2121" s="507">
        <f>SUMIFS(Controle!$R:$R,Controle!$H:$H,produtos_escape2!$A2121,Controle!$Z:$Z,"2")</f>
        <v>0</v>
      </c>
      <c r="H2121" s="507">
        <f>SUMIFS(Controle!$R:$R,Controle!$H:$H,produtos_escape2!$A2121,Controle!$Z:$Z,"3")</f>
        <v>0</v>
      </c>
      <c r="I2121" s="507">
        <f>SUMIFS(Controle!$R:$R,Controle!$H:$H,produtos_escape2!$A2121,Controle!$Z:$Z,"4")</f>
        <v>0</v>
      </c>
      <c r="J2121" s="507">
        <f>SUMIFS(Controle!$R:$R,Controle!$H:$H,produtos_escape2!$A2121,Controle!$Z:$Z,"5")</f>
        <v>0</v>
      </c>
      <c r="K2121" s="507">
        <f>SUMIFS(Controle!$R:$R,Controle!$H:$H,produtos_escape2!$A2121,Controle!$Z:$Z,"6")</f>
        <v>295</v>
      </c>
      <c r="L2121" s="507">
        <f t="shared" si="73"/>
        <v>295</v>
      </c>
      <c r="M2121" s="381" t="s">
        <v>10172</v>
      </c>
    </row>
    <row r="2122" spans="1:13" s="185" customFormat="1" ht="14.25" customHeight="1" thickBot="1">
      <c r="A2122" s="353">
        <v>95312</v>
      </c>
      <c r="B2122" s="194" t="s">
        <v>1098</v>
      </c>
      <c r="C2122" s="339">
        <f t="shared" si="74"/>
        <v>45711.79</v>
      </c>
      <c r="D2122" s="196" t="s">
        <v>917</v>
      </c>
      <c r="E2122" s="187" t="s">
        <v>3608</v>
      </c>
      <c r="F2122" s="507">
        <f>SUMIFS(Controle!$R:$R,Controle!$H:$H,produtos_escape2!$A2122,Controle!$Z:$Z,"1")</f>
        <v>0</v>
      </c>
      <c r="G2122" s="507">
        <f>SUMIFS(Controle!$R:$R,Controle!$H:$H,produtos_escape2!$A2122,Controle!$Z:$Z,"2")</f>
        <v>0</v>
      </c>
      <c r="H2122" s="507">
        <f>SUMIFS(Controle!$R:$R,Controle!$H:$H,produtos_escape2!$A2122,Controle!$Z:$Z,"3")</f>
        <v>0</v>
      </c>
      <c r="I2122" s="507">
        <f>SUMIFS(Controle!$R:$R,Controle!$H:$H,produtos_escape2!$A2122,Controle!$Z:$Z,"4")</f>
        <v>0</v>
      </c>
      <c r="J2122" s="507">
        <f>SUMIFS(Controle!$R:$R,Controle!$H:$H,produtos_escape2!$A2122,Controle!$Z:$Z,"5")</f>
        <v>0</v>
      </c>
      <c r="K2122" s="507">
        <f>SUMIFS(Controle!$R:$R,Controle!$H:$H,produtos_escape2!$A2122,Controle!$Z:$Z,"6")</f>
        <v>4288.21</v>
      </c>
      <c r="L2122" s="507">
        <f t="shared" si="73"/>
        <v>4288.21</v>
      </c>
      <c r="M2122" s="381" t="s">
        <v>1098</v>
      </c>
    </row>
    <row r="2123" spans="1:13" s="185" customFormat="1" ht="14.25" customHeight="1" thickBot="1">
      <c r="A2123" s="353">
        <v>95313</v>
      </c>
      <c r="B2123" s="338" t="s">
        <v>1559</v>
      </c>
      <c r="C2123" s="339">
        <f t="shared" si="74"/>
        <v>50000</v>
      </c>
      <c r="D2123" s="196" t="s">
        <v>1255</v>
      </c>
      <c r="E2123" s="187" t="s">
        <v>3608</v>
      </c>
      <c r="F2123" s="507">
        <f>SUMIFS(Controle!$R:$R,Controle!$H:$H,produtos_escape2!$A2123,Controle!$Z:$Z,"1")</f>
        <v>0</v>
      </c>
      <c r="G2123" s="507">
        <f>SUMIFS(Controle!$R:$R,Controle!$H:$H,produtos_escape2!$A2123,Controle!$Z:$Z,"2")</f>
        <v>0</v>
      </c>
      <c r="H2123" s="507">
        <f>SUMIFS(Controle!$R:$R,Controle!$H:$H,produtos_escape2!$A2123,Controle!$Z:$Z,"3")</f>
        <v>0</v>
      </c>
      <c r="I2123" s="507">
        <f>SUMIFS(Controle!$R:$R,Controle!$H:$H,produtos_escape2!$A2123,Controle!$Z:$Z,"4")</f>
        <v>0</v>
      </c>
      <c r="J2123" s="507">
        <f>SUMIFS(Controle!$R:$R,Controle!$H:$H,produtos_escape2!$A2123,Controle!$Z:$Z,"5")</f>
        <v>0</v>
      </c>
      <c r="K2123" s="507">
        <f>SUMIFS(Controle!$R:$R,Controle!$H:$H,produtos_escape2!$A2123,Controle!$Z:$Z,"6")</f>
        <v>0</v>
      </c>
      <c r="L2123" s="507">
        <f t="shared" si="73"/>
        <v>0</v>
      </c>
      <c r="M2123" s="381" t="s">
        <v>1559</v>
      </c>
    </row>
    <row r="2124" spans="1:13" s="185" customFormat="1" ht="14.25" customHeight="1" thickBot="1">
      <c r="A2124" s="353">
        <v>95323</v>
      </c>
      <c r="B2124" s="194" t="s">
        <v>4385</v>
      </c>
      <c r="C2124" s="339">
        <f t="shared" si="74"/>
        <v>47270</v>
      </c>
      <c r="D2124" s="196" t="s">
        <v>548</v>
      </c>
      <c r="E2124" s="187" t="s">
        <v>3608</v>
      </c>
      <c r="F2124" s="507">
        <f>SUMIFS(Controle!$R:$R,Controle!$H:$H,produtos_escape2!$A2124,Controle!$Z:$Z,"1")</f>
        <v>0</v>
      </c>
      <c r="G2124" s="507">
        <f>SUMIFS(Controle!$R:$R,Controle!$H:$H,produtos_escape2!$A2124,Controle!$Z:$Z,"2")</f>
        <v>750</v>
      </c>
      <c r="H2124" s="507">
        <f>SUMIFS(Controle!$R:$R,Controle!$H:$H,produtos_escape2!$A2124,Controle!$Z:$Z,"3")</f>
        <v>0</v>
      </c>
      <c r="I2124" s="507">
        <f>SUMIFS(Controle!$R:$R,Controle!$H:$H,produtos_escape2!$A2124,Controle!$Z:$Z,"4")</f>
        <v>1200</v>
      </c>
      <c r="J2124" s="507">
        <f>SUMIFS(Controle!$R:$R,Controle!$H:$H,produtos_escape2!$A2124,Controle!$Z:$Z,"5")</f>
        <v>0</v>
      </c>
      <c r="K2124" s="507">
        <f>SUMIFS(Controle!$R:$R,Controle!$H:$H,produtos_escape2!$A2124,Controle!$Z:$Z,"6")</f>
        <v>780</v>
      </c>
      <c r="L2124" s="507">
        <f t="shared" si="73"/>
        <v>2730</v>
      </c>
      <c r="M2124" s="381" t="s">
        <v>5581</v>
      </c>
    </row>
    <row r="2125" spans="1:13" s="185" customFormat="1" ht="14.25" customHeight="1" thickBot="1">
      <c r="A2125" s="353">
        <v>95338</v>
      </c>
      <c r="B2125" s="194" t="s">
        <v>4325</v>
      </c>
      <c r="C2125" s="339">
        <f t="shared" si="74"/>
        <v>50000</v>
      </c>
      <c r="D2125" s="196" t="s">
        <v>548</v>
      </c>
      <c r="E2125" s="187" t="s">
        <v>3608</v>
      </c>
      <c r="F2125" s="507">
        <f>SUMIFS(Controle!$R:$R,Controle!$H:$H,produtos_escape2!$A2125,Controle!$Z:$Z,"1")</f>
        <v>0</v>
      </c>
      <c r="G2125" s="507">
        <f>SUMIFS(Controle!$R:$R,Controle!$H:$H,produtos_escape2!$A2125,Controle!$Z:$Z,"2")</f>
        <v>0</v>
      </c>
      <c r="H2125" s="507">
        <f>SUMIFS(Controle!$R:$R,Controle!$H:$H,produtos_escape2!$A2125,Controle!$Z:$Z,"3")</f>
        <v>0</v>
      </c>
      <c r="I2125" s="507">
        <f>SUMIFS(Controle!$R:$R,Controle!$H:$H,produtos_escape2!$A2125,Controle!$Z:$Z,"4")</f>
        <v>0</v>
      </c>
      <c r="J2125" s="507">
        <f>SUMIFS(Controle!$R:$R,Controle!$H:$H,produtos_escape2!$A2125,Controle!$Z:$Z,"5")</f>
        <v>0</v>
      </c>
      <c r="K2125" s="507">
        <f>SUMIFS(Controle!$R:$R,Controle!$H:$H,produtos_escape2!$A2125,Controle!$Z:$Z,"6")</f>
        <v>0</v>
      </c>
      <c r="L2125" s="507">
        <f t="shared" si="73"/>
        <v>0</v>
      </c>
      <c r="M2125" s="381" t="s">
        <v>4593</v>
      </c>
    </row>
    <row r="2126" spans="1:13" s="185" customFormat="1" ht="15.75" customHeight="1" thickBot="1">
      <c r="A2126" s="353">
        <v>95347</v>
      </c>
      <c r="B2126" s="194" t="s">
        <v>655</v>
      </c>
      <c r="C2126" s="339">
        <f t="shared" si="74"/>
        <v>50000</v>
      </c>
      <c r="D2126" s="196" t="s">
        <v>624</v>
      </c>
      <c r="E2126" s="187" t="s">
        <v>3608</v>
      </c>
      <c r="F2126" s="507">
        <f>SUMIFS(Controle!$R:$R,Controle!$H:$H,produtos_escape2!$A2126,Controle!$Z:$Z,"1")</f>
        <v>0</v>
      </c>
      <c r="G2126" s="507">
        <f>SUMIFS(Controle!$R:$R,Controle!$H:$H,produtos_escape2!$A2126,Controle!$Z:$Z,"2")</f>
        <v>0</v>
      </c>
      <c r="H2126" s="507">
        <f>SUMIFS(Controle!$R:$R,Controle!$H:$H,produtos_escape2!$A2126,Controle!$Z:$Z,"3")</f>
        <v>0</v>
      </c>
      <c r="I2126" s="507">
        <f>SUMIFS(Controle!$R:$R,Controle!$H:$H,produtos_escape2!$A2126,Controle!$Z:$Z,"4")</f>
        <v>0</v>
      </c>
      <c r="J2126" s="507">
        <f>SUMIFS(Controle!$R:$R,Controle!$H:$H,produtos_escape2!$A2126,Controle!$Z:$Z,"5")</f>
        <v>0</v>
      </c>
      <c r="K2126" s="507">
        <f>SUMIFS(Controle!$R:$R,Controle!$H:$H,produtos_escape2!$A2126,Controle!$Z:$Z,"6")</f>
        <v>0</v>
      </c>
      <c r="L2126" s="507">
        <f t="shared" si="73"/>
        <v>0</v>
      </c>
      <c r="M2126" s="381" t="s">
        <v>5582</v>
      </c>
    </row>
    <row r="2127" spans="1:13" s="185" customFormat="1" ht="14.25" customHeight="1" thickBot="1">
      <c r="A2127" s="333">
        <v>95349</v>
      </c>
      <c r="B2127" s="194" t="s">
        <v>855</v>
      </c>
      <c r="C2127" s="339">
        <f t="shared" si="74"/>
        <v>50000</v>
      </c>
      <c r="D2127" s="196" t="s">
        <v>624</v>
      </c>
      <c r="E2127" s="187" t="s">
        <v>3608</v>
      </c>
      <c r="F2127" s="507">
        <f>SUMIFS(Controle!$R:$R,Controle!$H:$H,produtos_escape2!$A2127,Controle!$Z:$Z,"1")</f>
        <v>0</v>
      </c>
      <c r="G2127" s="507">
        <f>SUMIFS(Controle!$R:$R,Controle!$H:$H,produtos_escape2!$A2127,Controle!$Z:$Z,"2")</f>
        <v>0</v>
      </c>
      <c r="H2127" s="507">
        <f>SUMIFS(Controle!$R:$R,Controle!$H:$H,produtos_escape2!$A2127,Controle!$Z:$Z,"3")</f>
        <v>0</v>
      </c>
      <c r="I2127" s="507">
        <f>SUMIFS(Controle!$R:$R,Controle!$H:$H,produtos_escape2!$A2127,Controle!$Z:$Z,"4")</f>
        <v>0</v>
      </c>
      <c r="J2127" s="507">
        <f>SUMIFS(Controle!$R:$R,Controle!$H:$H,produtos_escape2!$A2127,Controle!$Z:$Z,"5")</f>
        <v>0</v>
      </c>
      <c r="K2127" s="507">
        <f>SUMIFS(Controle!$R:$R,Controle!$H:$H,produtos_escape2!$A2127,Controle!$Z:$Z,"6")</f>
        <v>0</v>
      </c>
      <c r="L2127" s="507">
        <f t="shared" si="73"/>
        <v>0</v>
      </c>
      <c r="M2127" s="381" t="s">
        <v>855</v>
      </c>
    </row>
    <row r="2128" spans="1:13" s="185" customFormat="1" ht="14.25" customHeight="1" thickBot="1">
      <c r="A2128" s="333">
        <v>95351</v>
      </c>
      <c r="B2128" s="194" t="s">
        <v>6867</v>
      </c>
      <c r="C2128" s="339">
        <f t="shared" si="74"/>
        <v>47112.5</v>
      </c>
      <c r="D2128" s="196" t="s">
        <v>548</v>
      </c>
      <c r="E2128" s="187" t="s">
        <v>3608</v>
      </c>
      <c r="F2128" s="507">
        <f>SUMIFS(Controle!$R:$R,Controle!$H:$H,produtos_escape2!$A2128,Controle!$Z:$Z,"1")</f>
        <v>0</v>
      </c>
      <c r="G2128" s="507">
        <f>SUMIFS(Controle!$R:$R,Controle!$H:$H,produtos_escape2!$A2128,Controle!$Z:$Z,"2")</f>
        <v>0</v>
      </c>
      <c r="H2128" s="507">
        <f>SUMIFS(Controle!$R:$R,Controle!$H:$H,produtos_escape2!$A2128,Controle!$Z:$Z,"3")</f>
        <v>0</v>
      </c>
      <c r="I2128" s="507">
        <f>SUMIFS(Controle!$R:$R,Controle!$H:$H,produtos_escape2!$A2128,Controle!$Z:$Z,"4")</f>
        <v>0</v>
      </c>
      <c r="J2128" s="507">
        <f>SUMIFS(Controle!$R:$R,Controle!$H:$H,produtos_escape2!$A2128,Controle!$Z:$Z,"5")</f>
        <v>0</v>
      </c>
      <c r="K2128" s="507">
        <f>SUMIFS(Controle!$R:$R,Controle!$H:$H,produtos_escape2!$A2128,Controle!$Z:$Z,"6")</f>
        <v>2887.5</v>
      </c>
      <c r="L2128" s="507">
        <f t="shared" si="73"/>
        <v>2887.5</v>
      </c>
      <c r="M2128" s="381" t="s">
        <v>6868</v>
      </c>
    </row>
    <row r="2129" spans="1:13" s="185" customFormat="1" ht="14.25" customHeight="1" thickBot="1">
      <c r="A2129" s="353">
        <v>95392</v>
      </c>
      <c r="B2129" s="194" t="s">
        <v>7017</v>
      </c>
      <c r="C2129" s="339">
        <f t="shared" si="74"/>
        <v>50000</v>
      </c>
      <c r="D2129" s="196" t="s">
        <v>848</v>
      </c>
      <c r="E2129" s="187" t="s">
        <v>3608</v>
      </c>
      <c r="F2129" s="507">
        <f>SUMIFS(Controle!$R:$R,Controle!$H:$H,produtos_escape2!$A2129,Controle!$Z:$Z,"1")</f>
        <v>0</v>
      </c>
      <c r="G2129" s="507">
        <f>SUMIFS(Controle!$R:$R,Controle!$H:$H,produtos_escape2!$A2129,Controle!$Z:$Z,"2")</f>
        <v>0</v>
      </c>
      <c r="H2129" s="507">
        <f>SUMIFS(Controle!$R:$R,Controle!$H:$H,produtos_escape2!$A2129,Controle!$Z:$Z,"3")</f>
        <v>0</v>
      </c>
      <c r="I2129" s="507">
        <f>SUMIFS(Controle!$R:$R,Controle!$H:$H,produtos_escape2!$A2129,Controle!$Z:$Z,"4")</f>
        <v>0</v>
      </c>
      <c r="J2129" s="507">
        <f>SUMIFS(Controle!$R:$R,Controle!$H:$H,produtos_escape2!$A2129,Controle!$Z:$Z,"5")</f>
        <v>0</v>
      </c>
      <c r="K2129" s="507">
        <f>SUMIFS(Controle!$R:$R,Controle!$H:$H,produtos_escape2!$A2129,Controle!$Z:$Z,"6")</f>
        <v>0</v>
      </c>
      <c r="L2129" s="507">
        <f t="shared" si="73"/>
        <v>0</v>
      </c>
      <c r="M2129" s="381" t="s">
        <v>5583</v>
      </c>
    </row>
    <row r="2130" spans="1:13" s="185" customFormat="1" ht="14.25" customHeight="1" thickBot="1">
      <c r="A2130" s="353">
        <v>95396</v>
      </c>
      <c r="B2130" s="194" t="s">
        <v>7018</v>
      </c>
      <c r="C2130" s="339">
        <f t="shared" si="74"/>
        <v>50000</v>
      </c>
      <c r="D2130" s="196" t="s">
        <v>848</v>
      </c>
      <c r="E2130" s="187" t="s">
        <v>3608</v>
      </c>
      <c r="F2130" s="507">
        <f>SUMIFS(Controle!$R:$R,Controle!$H:$H,produtos_escape2!$A2130,Controle!$Z:$Z,"1")</f>
        <v>0</v>
      </c>
      <c r="G2130" s="507">
        <f>SUMIFS(Controle!$R:$R,Controle!$H:$H,produtos_escape2!$A2130,Controle!$Z:$Z,"2")</f>
        <v>0</v>
      </c>
      <c r="H2130" s="507">
        <f>SUMIFS(Controle!$R:$R,Controle!$H:$H,produtos_escape2!$A2130,Controle!$Z:$Z,"3")</f>
        <v>0</v>
      </c>
      <c r="I2130" s="507">
        <f>SUMIFS(Controle!$R:$R,Controle!$H:$H,produtos_escape2!$A2130,Controle!$Z:$Z,"4")</f>
        <v>0</v>
      </c>
      <c r="J2130" s="507">
        <f>SUMIFS(Controle!$R:$R,Controle!$H:$H,produtos_escape2!$A2130,Controle!$Z:$Z,"5")</f>
        <v>0</v>
      </c>
      <c r="K2130" s="507">
        <f>SUMIFS(Controle!$R:$R,Controle!$H:$H,produtos_escape2!$A2130,Controle!$Z:$Z,"6")</f>
        <v>0</v>
      </c>
      <c r="L2130" s="507">
        <f t="shared" si="73"/>
        <v>0</v>
      </c>
      <c r="M2130" s="381" t="s">
        <v>1119</v>
      </c>
    </row>
    <row r="2131" spans="1:13" s="185" customFormat="1" ht="14.25" customHeight="1" thickBot="1">
      <c r="A2131" s="353">
        <v>95397</v>
      </c>
      <c r="B2131" s="194" t="s">
        <v>7019</v>
      </c>
      <c r="C2131" s="339">
        <f t="shared" si="74"/>
        <v>50000</v>
      </c>
      <c r="D2131" s="196" t="s">
        <v>848</v>
      </c>
      <c r="E2131" s="187" t="s">
        <v>3608</v>
      </c>
      <c r="F2131" s="507">
        <f>SUMIFS(Controle!$R:$R,Controle!$H:$H,produtos_escape2!$A2131,Controle!$Z:$Z,"1")</f>
        <v>0</v>
      </c>
      <c r="G2131" s="507">
        <f>SUMIFS(Controle!$R:$R,Controle!$H:$H,produtos_escape2!$A2131,Controle!$Z:$Z,"2")</f>
        <v>0</v>
      </c>
      <c r="H2131" s="507">
        <f>SUMIFS(Controle!$R:$R,Controle!$H:$H,produtos_escape2!$A2131,Controle!$Z:$Z,"3")</f>
        <v>0</v>
      </c>
      <c r="I2131" s="507">
        <f>SUMIFS(Controle!$R:$R,Controle!$H:$H,produtos_escape2!$A2131,Controle!$Z:$Z,"4")</f>
        <v>0</v>
      </c>
      <c r="J2131" s="507">
        <f>SUMIFS(Controle!$R:$R,Controle!$H:$H,produtos_escape2!$A2131,Controle!$Z:$Z,"5")</f>
        <v>0</v>
      </c>
      <c r="K2131" s="507">
        <f>SUMIFS(Controle!$R:$R,Controle!$H:$H,produtos_escape2!$A2131,Controle!$Z:$Z,"6")</f>
        <v>0</v>
      </c>
      <c r="L2131" s="507">
        <f t="shared" si="73"/>
        <v>0</v>
      </c>
      <c r="M2131" s="381" t="s">
        <v>1279</v>
      </c>
    </row>
    <row r="2132" spans="1:13" s="185" customFormat="1" ht="14.25" customHeight="1" thickBot="1">
      <c r="A2132" s="353">
        <v>95407</v>
      </c>
      <c r="B2132" s="338" t="s">
        <v>6803</v>
      </c>
      <c r="C2132" s="339">
        <f t="shared" si="74"/>
        <v>50000</v>
      </c>
      <c r="D2132" s="196" t="s">
        <v>548</v>
      </c>
      <c r="E2132" s="187" t="s">
        <v>3608</v>
      </c>
      <c r="F2132" s="507">
        <f>SUMIFS(Controle!$R:$R,Controle!$H:$H,produtos_escape2!$A2132,Controle!$Z:$Z,"1")</f>
        <v>0</v>
      </c>
      <c r="G2132" s="507">
        <f>SUMIFS(Controle!$R:$R,Controle!$H:$H,produtos_escape2!$A2132,Controle!$Z:$Z,"2")</f>
        <v>0</v>
      </c>
      <c r="H2132" s="507">
        <f>SUMIFS(Controle!$R:$R,Controle!$H:$H,produtos_escape2!$A2132,Controle!$Z:$Z,"3")</f>
        <v>0</v>
      </c>
      <c r="I2132" s="507">
        <f>SUMIFS(Controle!$R:$R,Controle!$H:$H,produtos_escape2!$A2132,Controle!$Z:$Z,"4")</f>
        <v>0</v>
      </c>
      <c r="J2132" s="507">
        <f>SUMIFS(Controle!$R:$R,Controle!$H:$H,produtos_escape2!$A2132,Controle!$Z:$Z,"5")</f>
        <v>0</v>
      </c>
      <c r="K2132" s="507">
        <f>SUMIFS(Controle!$R:$R,Controle!$H:$H,produtos_escape2!$A2132,Controle!$Z:$Z,"6")</f>
        <v>0</v>
      </c>
      <c r="L2132" s="507">
        <f t="shared" si="73"/>
        <v>0</v>
      </c>
      <c r="M2132" s="381" t="s">
        <v>1185</v>
      </c>
    </row>
    <row r="2133" spans="1:13" s="185" customFormat="1" ht="14.25" customHeight="1" thickBot="1">
      <c r="A2133" s="353">
        <v>95421</v>
      </c>
      <c r="B2133" s="194" t="s">
        <v>868</v>
      </c>
      <c r="C2133" s="339">
        <f t="shared" si="74"/>
        <v>50000</v>
      </c>
      <c r="D2133" s="196" t="s">
        <v>548</v>
      </c>
      <c r="E2133" s="187" t="s">
        <v>3608</v>
      </c>
      <c r="F2133" s="507">
        <f>SUMIFS(Controle!$R:$R,Controle!$H:$H,produtos_escape2!$A2133,Controle!$Z:$Z,"1")</f>
        <v>0</v>
      </c>
      <c r="G2133" s="507">
        <f>SUMIFS(Controle!$R:$R,Controle!$H:$H,produtos_escape2!$A2133,Controle!$Z:$Z,"2")</f>
        <v>0</v>
      </c>
      <c r="H2133" s="507">
        <f>SUMIFS(Controle!$R:$R,Controle!$H:$H,produtos_escape2!$A2133,Controle!$Z:$Z,"3")</f>
        <v>0</v>
      </c>
      <c r="I2133" s="507">
        <f>SUMIFS(Controle!$R:$R,Controle!$H:$H,produtos_escape2!$A2133,Controle!$Z:$Z,"4")</f>
        <v>0</v>
      </c>
      <c r="J2133" s="507">
        <f>SUMIFS(Controle!$R:$R,Controle!$H:$H,produtos_escape2!$A2133,Controle!$Z:$Z,"5")</f>
        <v>0</v>
      </c>
      <c r="K2133" s="507">
        <f>SUMIFS(Controle!$R:$R,Controle!$H:$H,produtos_escape2!$A2133,Controle!$Z:$Z,"6")</f>
        <v>0</v>
      </c>
      <c r="L2133" s="507">
        <f t="shared" si="73"/>
        <v>0</v>
      </c>
      <c r="M2133" s="381" t="s">
        <v>868</v>
      </c>
    </row>
    <row r="2134" spans="1:13" s="185" customFormat="1" ht="14.25" customHeight="1" thickBot="1">
      <c r="A2134" s="353">
        <v>95422</v>
      </c>
      <c r="B2134" s="194" t="s">
        <v>4114</v>
      </c>
      <c r="C2134" s="339">
        <f t="shared" si="74"/>
        <v>46655</v>
      </c>
      <c r="D2134" s="196" t="s">
        <v>548</v>
      </c>
      <c r="E2134" s="187" t="s">
        <v>3608</v>
      </c>
      <c r="F2134" s="507">
        <f>SUMIFS(Controle!$R:$R,Controle!$H:$H,produtos_escape2!$A2134,Controle!$Z:$Z,"1")</f>
        <v>0</v>
      </c>
      <c r="G2134" s="507">
        <f>SUMIFS(Controle!$R:$R,Controle!$H:$H,produtos_escape2!$A2134,Controle!$Z:$Z,"2")</f>
        <v>0</v>
      </c>
      <c r="H2134" s="507">
        <f>SUMIFS(Controle!$R:$R,Controle!$H:$H,produtos_escape2!$A2134,Controle!$Z:$Z,"3")</f>
        <v>1860</v>
      </c>
      <c r="I2134" s="507">
        <f>SUMIFS(Controle!$R:$R,Controle!$H:$H,produtos_escape2!$A2134,Controle!$Z:$Z,"4")</f>
        <v>0</v>
      </c>
      <c r="J2134" s="507">
        <f>SUMIFS(Controle!$R:$R,Controle!$H:$H,produtos_escape2!$A2134,Controle!$Z:$Z,"5")</f>
        <v>0</v>
      </c>
      <c r="K2134" s="507">
        <f>SUMIFS(Controle!$R:$R,Controle!$H:$H,produtos_escape2!$A2134,Controle!$Z:$Z,"6")</f>
        <v>1485</v>
      </c>
      <c r="L2134" s="507">
        <f t="shared" si="73"/>
        <v>3345</v>
      </c>
      <c r="M2134" s="381" t="s">
        <v>5584</v>
      </c>
    </row>
    <row r="2135" spans="1:13" s="185" customFormat="1" ht="14.25" customHeight="1" thickBot="1">
      <c r="A2135" s="353">
        <v>95448</v>
      </c>
      <c r="B2135" s="194" t="s">
        <v>1055</v>
      </c>
      <c r="C2135" s="339">
        <f t="shared" si="74"/>
        <v>50000</v>
      </c>
      <c r="D2135" s="196" t="s">
        <v>548</v>
      </c>
      <c r="E2135" s="187" t="s">
        <v>3608</v>
      </c>
      <c r="F2135" s="507">
        <f>SUMIFS(Controle!$R:$R,Controle!$H:$H,produtos_escape2!$A2135,Controle!$Z:$Z,"1")</f>
        <v>0</v>
      </c>
      <c r="G2135" s="507">
        <f>SUMIFS(Controle!$R:$R,Controle!$H:$H,produtos_escape2!$A2135,Controle!$Z:$Z,"2")</f>
        <v>0</v>
      </c>
      <c r="H2135" s="507">
        <f>SUMIFS(Controle!$R:$R,Controle!$H:$H,produtos_escape2!$A2135,Controle!$Z:$Z,"3")</f>
        <v>0</v>
      </c>
      <c r="I2135" s="507">
        <f>SUMIFS(Controle!$R:$R,Controle!$H:$H,produtos_escape2!$A2135,Controle!$Z:$Z,"4")</f>
        <v>0</v>
      </c>
      <c r="J2135" s="507">
        <f>SUMIFS(Controle!$R:$R,Controle!$H:$H,produtos_escape2!$A2135,Controle!$Z:$Z,"5")</f>
        <v>0</v>
      </c>
      <c r="K2135" s="507">
        <f>SUMIFS(Controle!$R:$R,Controle!$H:$H,produtos_escape2!$A2135,Controle!$Z:$Z,"6")</f>
        <v>0</v>
      </c>
      <c r="L2135" s="507">
        <f t="shared" si="73"/>
        <v>0</v>
      </c>
      <c r="M2135" s="381" t="s">
        <v>5686</v>
      </c>
    </row>
    <row r="2136" spans="1:13" s="185" customFormat="1" ht="14.25" customHeight="1" thickBot="1">
      <c r="A2136" s="333">
        <v>95461</v>
      </c>
      <c r="B2136" s="194" t="s">
        <v>6724</v>
      </c>
      <c r="C2136" s="339">
        <f t="shared" si="74"/>
        <v>46370</v>
      </c>
      <c r="D2136" s="196" t="s">
        <v>987</v>
      </c>
      <c r="E2136" s="187" t="s">
        <v>3608</v>
      </c>
      <c r="F2136" s="507">
        <f>SUMIFS(Controle!$R:$R,Controle!$H:$H,produtos_escape2!$A2136,Controle!$Z:$Z,"1")</f>
        <v>0</v>
      </c>
      <c r="G2136" s="507">
        <f>SUMIFS(Controle!$R:$R,Controle!$H:$H,produtos_escape2!$A2136,Controle!$Z:$Z,"2")</f>
        <v>1620</v>
      </c>
      <c r="H2136" s="507">
        <f>SUMIFS(Controle!$R:$R,Controle!$H:$H,produtos_escape2!$A2136,Controle!$Z:$Z,"3")</f>
        <v>930</v>
      </c>
      <c r="I2136" s="507">
        <f>SUMIFS(Controle!$R:$R,Controle!$H:$H,produtos_escape2!$A2136,Controle!$Z:$Z,"4")</f>
        <v>1080</v>
      </c>
      <c r="J2136" s="507">
        <f>SUMIFS(Controle!$R:$R,Controle!$H:$H,produtos_escape2!$A2136,Controle!$Z:$Z,"5")</f>
        <v>0</v>
      </c>
      <c r="K2136" s="507">
        <f>SUMIFS(Controle!$R:$R,Controle!$H:$H,produtos_escape2!$A2136,Controle!$Z:$Z,"6")</f>
        <v>0</v>
      </c>
      <c r="L2136" s="507">
        <f t="shared" si="73"/>
        <v>3630</v>
      </c>
      <c r="M2136" s="381" t="s">
        <v>6712</v>
      </c>
    </row>
    <row r="2137" spans="1:13" s="185" customFormat="1" ht="14.25" customHeight="1" thickBot="1">
      <c r="A2137" s="353">
        <v>95500</v>
      </c>
      <c r="B2137" s="194" t="s">
        <v>4411</v>
      </c>
      <c r="C2137" s="339">
        <f t="shared" si="74"/>
        <v>49675</v>
      </c>
      <c r="D2137" s="196" t="s">
        <v>624</v>
      </c>
      <c r="E2137" s="187" t="s">
        <v>3608</v>
      </c>
      <c r="F2137" s="507">
        <f>SUMIFS(Controle!$R:$R,Controle!$H:$H,produtos_escape2!$A2137,Controle!$Z:$Z,"1")</f>
        <v>0</v>
      </c>
      <c r="G2137" s="507">
        <f>SUMIFS(Controle!$R:$R,Controle!$H:$H,produtos_escape2!$A2137,Controle!$Z:$Z,"2")</f>
        <v>0</v>
      </c>
      <c r="H2137" s="507">
        <f>SUMIFS(Controle!$R:$R,Controle!$H:$H,produtos_escape2!$A2137,Controle!$Z:$Z,"3")</f>
        <v>0</v>
      </c>
      <c r="I2137" s="507">
        <f>SUMIFS(Controle!$R:$R,Controle!$H:$H,produtos_escape2!$A2137,Controle!$Z:$Z,"4")</f>
        <v>0</v>
      </c>
      <c r="J2137" s="507">
        <f>SUMIFS(Controle!$R:$R,Controle!$H:$H,produtos_escape2!$A2137,Controle!$Z:$Z,"5")</f>
        <v>0</v>
      </c>
      <c r="K2137" s="507">
        <f>SUMIFS(Controle!$R:$R,Controle!$H:$H,produtos_escape2!$A2137,Controle!$Z:$Z,"6")</f>
        <v>325</v>
      </c>
      <c r="L2137" s="507">
        <f t="shared" si="73"/>
        <v>325</v>
      </c>
      <c r="M2137" s="381" t="s">
        <v>4411</v>
      </c>
    </row>
    <row r="2138" spans="1:13" s="185" customFormat="1" ht="14.25" customHeight="1" thickBot="1">
      <c r="A2138" s="353">
        <v>95504</v>
      </c>
      <c r="B2138" s="194" t="s">
        <v>10361</v>
      </c>
      <c r="C2138" s="339">
        <f t="shared" si="74"/>
        <v>48970</v>
      </c>
      <c r="D2138" s="196" t="s">
        <v>1091</v>
      </c>
      <c r="E2138" s="187" t="s">
        <v>3608</v>
      </c>
      <c r="F2138" s="507">
        <f>SUMIFS(Controle!$R:$R,Controle!$H:$H,produtos_escape2!$A2138,Controle!$Z:$Z,"1")</f>
        <v>0</v>
      </c>
      <c r="G2138" s="507">
        <f>SUMIFS(Controle!$R:$R,Controle!$H:$H,produtos_escape2!$A2138,Controle!$Z:$Z,"2")</f>
        <v>0</v>
      </c>
      <c r="H2138" s="507">
        <f>SUMIFS(Controle!$R:$R,Controle!$H:$H,produtos_escape2!$A2138,Controle!$Z:$Z,"3")</f>
        <v>280</v>
      </c>
      <c r="I2138" s="507">
        <f>SUMIFS(Controle!$R:$R,Controle!$H:$H,produtos_escape2!$A2138,Controle!$Z:$Z,"4")</f>
        <v>0</v>
      </c>
      <c r="J2138" s="507">
        <f>SUMIFS(Controle!$R:$R,Controle!$H:$H,produtos_escape2!$A2138,Controle!$Z:$Z,"5")</f>
        <v>0</v>
      </c>
      <c r="K2138" s="507">
        <f>SUMIFS(Controle!$R:$R,Controle!$H:$H,produtos_escape2!$A2138,Controle!$Z:$Z,"6")</f>
        <v>750</v>
      </c>
      <c r="L2138" s="507">
        <f t="shared" si="73"/>
        <v>1030</v>
      </c>
      <c r="M2138" s="381" t="s">
        <v>5585</v>
      </c>
    </row>
    <row r="2139" spans="1:13" s="185" customFormat="1" ht="14.25" customHeight="1" thickBot="1">
      <c r="A2139" s="353">
        <v>95505</v>
      </c>
      <c r="B2139" s="194" t="s">
        <v>1629</v>
      </c>
      <c r="C2139" s="339">
        <f t="shared" si="74"/>
        <v>50000</v>
      </c>
      <c r="D2139" s="196" t="s">
        <v>1091</v>
      </c>
      <c r="E2139" s="187" t="s">
        <v>3608</v>
      </c>
      <c r="F2139" s="507">
        <f>SUMIFS(Controle!$R:$R,Controle!$H:$H,produtos_escape2!$A2139,Controle!$Z:$Z,"1")</f>
        <v>0</v>
      </c>
      <c r="G2139" s="507">
        <f>SUMIFS(Controle!$R:$R,Controle!$H:$H,produtos_escape2!$A2139,Controle!$Z:$Z,"2")</f>
        <v>0</v>
      </c>
      <c r="H2139" s="507">
        <f>SUMIFS(Controle!$R:$R,Controle!$H:$H,produtos_escape2!$A2139,Controle!$Z:$Z,"3")</f>
        <v>0</v>
      </c>
      <c r="I2139" s="507">
        <f>SUMIFS(Controle!$R:$R,Controle!$H:$H,produtos_escape2!$A2139,Controle!$Z:$Z,"4")</f>
        <v>0</v>
      </c>
      <c r="J2139" s="507">
        <f>SUMIFS(Controle!$R:$R,Controle!$H:$H,produtos_escape2!$A2139,Controle!$Z:$Z,"5")</f>
        <v>0</v>
      </c>
      <c r="K2139" s="507">
        <f>SUMIFS(Controle!$R:$R,Controle!$H:$H,produtos_escape2!$A2139,Controle!$Z:$Z,"6")</f>
        <v>0</v>
      </c>
      <c r="L2139" s="507">
        <f t="shared" si="73"/>
        <v>0</v>
      </c>
      <c r="M2139" s="381" t="s">
        <v>5586</v>
      </c>
    </row>
    <row r="2140" spans="1:13" s="185" customFormat="1" ht="14.25" customHeight="1" thickBot="1">
      <c r="A2140" s="353">
        <v>95507</v>
      </c>
      <c r="B2140" s="194" t="s">
        <v>3028</v>
      </c>
      <c r="C2140" s="339">
        <f t="shared" si="74"/>
        <v>50000</v>
      </c>
      <c r="D2140" s="191" t="s">
        <v>624</v>
      </c>
      <c r="E2140" s="189" t="s">
        <v>3608</v>
      </c>
      <c r="F2140" s="507">
        <f>SUMIFS(Controle!$R:$R,Controle!$H:$H,produtos_escape2!$A2140,Controle!$Z:$Z,"1")</f>
        <v>0</v>
      </c>
      <c r="G2140" s="507">
        <f>SUMIFS(Controle!$R:$R,Controle!$H:$H,produtos_escape2!$A2140,Controle!$Z:$Z,"2")</f>
        <v>0</v>
      </c>
      <c r="H2140" s="507">
        <f>SUMIFS(Controle!$R:$R,Controle!$H:$H,produtos_escape2!$A2140,Controle!$Z:$Z,"3")</f>
        <v>0</v>
      </c>
      <c r="I2140" s="507">
        <f>SUMIFS(Controle!$R:$R,Controle!$H:$H,produtos_escape2!$A2140,Controle!$Z:$Z,"4")</f>
        <v>0</v>
      </c>
      <c r="J2140" s="507">
        <f>SUMIFS(Controle!$R:$R,Controle!$H:$H,produtos_escape2!$A2140,Controle!$Z:$Z,"5")</f>
        <v>0</v>
      </c>
      <c r="K2140" s="507">
        <f>SUMIFS(Controle!$R:$R,Controle!$H:$H,produtos_escape2!$A2140,Controle!$Z:$Z,"6")</f>
        <v>0</v>
      </c>
      <c r="L2140" s="507">
        <f t="shared" si="73"/>
        <v>0</v>
      </c>
      <c r="M2140" s="381" t="s">
        <v>5587</v>
      </c>
    </row>
    <row r="2141" spans="1:13" s="185" customFormat="1" ht="14.25" customHeight="1" thickBot="1">
      <c r="A2141" s="353">
        <v>95571</v>
      </c>
      <c r="B2141" s="338" t="s">
        <v>1734</v>
      </c>
      <c r="C2141" s="339">
        <f t="shared" si="74"/>
        <v>50000</v>
      </c>
      <c r="D2141" s="196" t="s">
        <v>548</v>
      </c>
      <c r="E2141" s="187" t="s">
        <v>3608</v>
      </c>
      <c r="F2141" s="507">
        <f>SUMIFS(Controle!$R:$R,Controle!$H:$H,produtos_escape2!$A2141,Controle!$Z:$Z,"1")</f>
        <v>0</v>
      </c>
      <c r="G2141" s="507">
        <f>SUMIFS(Controle!$R:$R,Controle!$H:$H,produtos_escape2!$A2141,Controle!$Z:$Z,"2")</f>
        <v>0</v>
      </c>
      <c r="H2141" s="507">
        <f>SUMIFS(Controle!$R:$R,Controle!$H:$H,produtos_escape2!$A2141,Controle!$Z:$Z,"3")</f>
        <v>0</v>
      </c>
      <c r="I2141" s="507">
        <f>SUMIFS(Controle!$R:$R,Controle!$H:$H,produtos_escape2!$A2141,Controle!$Z:$Z,"4")</f>
        <v>0</v>
      </c>
      <c r="J2141" s="507">
        <f>SUMIFS(Controle!$R:$R,Controle!$H:$H,produtos_escape2!$A2141,Controle!$Z:$Z,"5")</f>
        <v>0</v>
      </c>
      <c r="K2141" s="507">
        <f>SUMIFS(Controle!$R:$R,Controle!$H:$H,produtos_escape2!$A2141,Controle!$Z:$Z,"6")</f>
        <v>0</v>
      </c>
      <c r="L2141" s="507">
        <f t="shared" si="73"/>
        <v>0</v>
      </c>
      <c r="M2141" s="381" t="s">
        <v>5588</v>
      </c>
    </row>
    <row r="2142" spans="1:13" s="185" customFormat="1" ht="14.25" customHeight="1" thickBot="1">
      <c r="A2142" s="353">
        <v>95579</v>
      </c>
      <c r="B2142" s="194" t="s">
        <v>1531</v>
      </c>
      <c r="C2142" s="339">
        <f t="shared" si="74"/>
        <v>48392</v>
      </c>
      <c r="D2142" s="196" t="s">
        <v>624</v>
      </c>
      <c r="E2142" s="187" t="s">
        <v>3608</v>
      </c>
      <c r="F2142" s="507">
        <f>SUMIFS(Controle!$R:$R,Controle!$H:$H,produtos_escape2!$A2142,Controle!$Z:$Z,"1")</f>
        <v>0</v>
      </c>
      <c r="G2142" s="507">
        <f>SUMIFS(Controle!$R:$R,Controle!$H:$H,produtos_escape2!$A2142,Controle!$Z:$Z,"2")</f>
        <v>0</v>
      </c>
      <c r="H2142" s="507">
        <f>SUMIFS(Controle!$R:$R,Controle!$H:$H,produtos_escape2!$A2142,Controle!$Z:$Z,"3")</f>
        <v>0</v>
      </c>
      <c r="I2142" s="507">
        <f>SUMIFS(Controle!$R:$R,Controle!$H:$H,produtos_escape2!$A2142,Controle!$Z:$Z,"4")</f>
        <v>0</v>
      </c>
      <c r="J2142" s="507">
        <f>SUMIFS(Controle!$R:$R,Controle!$H:$H,produtos_escape2!$A2142,Controle!$Z:$Z,"5")</f>
        <v>0</v>
      </c>
      <c r="K2142" s="507">
        <f>SUMIFS(Controle!$R:$R,Controle!$H:$H,produtos_escape2!$A2142,Controle!$Z:$Z,"6")</f>
        <v>1608</v>
      </c>
      <c r="L2142" s="507">
        <f t="shared" si="73"/>
        <v>1608</v>
      </c>
      <c r="M2142" s="381" t="s">
        <v>1531</v>
      </c>
    </row>
    <row r="2143" spans="1:13" s="185" customFormat="1" ht="14.25" customHeight="1" thickBot="1">
      <c r="A2143" s="353">
        <v>95600</v>
      </c>
      <c r="B2143" s="194" t="s">
        <v>1762</v>
      </c>
      <c r="C2143" s="339">
        <f t="shared" si="74"/>
        <v>50000</v>
      </c>
      <c r="D2143" s="191" t="s">
        <v>624</v>
      </c>
      <c r="E2143" s="189" t="s">
        <v>3608</v>
      </c>
      <c r="F2143" s="507">
        <f>SUMIFS(Controle!$R:$R,Controle!$H:$H,produtos_escape2!$A2143,Controle!$Z:$Z,"1")</f>
        <v>0</v>
      </c>
      <c r="G2143" s="507">
        <f>SUMIFS(Controle!$R:$R,Controle!$H:$H,produtos_escape2!$A2143,Controle!$Z:$Z,"2")</f>
        <v>0</v>
      </c>
      <c r="H2143" s="507">
        <f>SUMIFS(Controle!$R:$R,Controle!$H:$H,produtos_escape2!$A2143,Controle!$Z:$Z,"3")</f>
        <v>0</v>
      </c>
      <c r="I2143" s="507">
        <f>SUMIFS(Controle!$R:$R,Controle!$H:$H,produtos_escape2!$A2143,Controle!$Z:$Z,"4")</f>
        <v>0</v>
      </c>
      <c r="J2143" s="507">
        <f>SUMIFS(Controle!$R:$R,Controle!$H:$H,produtos_escape2!$A2143,Controle!$Z:$Z,"5")</f>
        <v>0</v>
      </c>
      <c r="K2143" s="507">
        <f>SUMIFS(Controle!$R:$R,Controle!$H:$H,produtos_escape2!$A2143,Controle!$Z:$Z,"6")</f>
        <v>0</v>
      </c>
      <c r="L2143" s="507">
        <f t="shared" si="73"/>
        <v>0</v>
      </c>
      <c r="M2143" s="381" t="s">
        <v>5589</v>
      </c>
    </row>
    <row r="2144" spans="1:13" s="185" customFormat="1" ht="14.25" customHeight="1" thickBot="1">
      <c r="A2144" s="333">
        <v>95601</v>
      </c>
      <c r="B2144" s="194" t="s">
        <v>1731</v>
      </c>
      <c r="C2144" s="339">
        <f t="shared" si="74"/>
        <v>50000</v>
      </c>
      <c r="D2144" s="196" t="s">
        <v>624</v>
      </c>
      <c r="E2144" s="187" t="s">
        <v>3608</v>
      </c>
      <c r="F2144" s="507">
        <f>SUMIFS(Controle!$R:$R,Controle!$H:$H,produtos_escape2!$A2144,Controle!$Z:$Z,"1")</f>
        <v>0</v>
      </c>
      <c r="G2144" s="507">
        <f>SUMIFS(Controle!$R:$R,Controle!$H:$H,produtos_escape2!$A2144,Controle!$Z:$Z,"2")</f>
        <v>0</v>
      </c>
      <c r="H2144" s="507">
        <f>SUMIFS(Controle!$R:$R,Controle!$H:$H,produtos_escape2!$A2144,Controle!$Z:$Z,"3")</f>
        <v>0</v>
      </c>
      <c r="I2144" s="507">
        <f>SUMIFS(Controle!$R:$R,Controle!$H:$H,produtos_escape2!$A2144,Controle!$Z:$Z,"4")</f>
        <v>0</v>
      </c>
      <c r="J2144" s="507">
        <f>SUMIFS(Controle!$R:$R,Controle!$H:$H,produtos_escape2!$A2144,Controle!$Z:$Z,"5")</f>
        <v>0</v>
      </c>
      <c r="K2144" s="507">
        <f>SUMIFS(Controle!$R:$R,Controle!$H:$H,produtos_escape2!$A2144,Controle!$Z:$Z,"6")</f>
        <v>0</v>
      </c>
      <c r="L2144" s="507">
        <f t="shared" si="73"/>
        <v>0</v>
      </c>
      <c r="M2144" s="381" t="s">
        <v>5590</v>
      </c>
    </row>
    <row r="2145" spans="1:13" s="185" customFormat="1" ht="14.25" customHeight="1" thickBot="1">
      <c r="A2145" s="333">
        <v>95609</v>
      </c>
      <c r="B2145" s="194" t="s">
        <v>7711</v>
      </c>
      <c r="C2145" s="339">
        <f t="shared" si="74"/>
        <v>49850</v>
      </c>
      <c r="D2145" s="196" t="s">
        <v>624</v>
      </c>
      <c r="E2145" s="187" t="s">
        <v>3608</v>
      </c>
      <c r="F2145" s="507">
        <f>SUMIFS(Controle!$R:$R,Controle!$H:$H,produtos_escape2!$A2145,Controle!$Z:$Z,"1")</f>
        <v>0</v>
      </c>
      <c r="G2145" s="507">
        <f>SUMIFS(Controle!$R:$R,Controle!$H:$H,produtos_escape2!$A2145,Controle!$Z:$Z,"2")</f>
        <v>150</v>
      </c>
      <c r="H2145" s="507">
        <f>SUMIFS(Controle!$R:$R,Controle!$H:$H,produtos_escape2!$A2145,Controle!$Z:$Z,"3")</f>
        <v>0</v>
      </c>
      <c r="I2145" s="507">
        <f>SUMIFS(Controle!$R:$R,Controle!$H:$H,produtos_escape2!$A2145,Controle!$Z:$Z,"4")</f>
        <v>0</v>
      </c>
      <c r="J2145" s="507">
        <f>SUMIFS(Controle!$R:$R,Controle!$H:$H,produtos_escape2!$A2145,Controle!$Z:$Z,"5")</f>
        <v>0</v>
      </c>
      <c r="K2145" s="507">
        <f>SUMIFS(Controle!$R:$R,Controle!$H:$H,produtos_escape2!$A2145,Controle!$Z:$Z,"6")</f>
        <v>0</v>
      </c>
      <c r="L2145" s="507">
        <f t="shared" si="73"/>
        <v>150</v>
      </c>
      <c r="M2145" s="381" t="s">
        <v>7712</v>
      </c>
    </row>
    <row r="2146" spans="1:13" s="185" customFormat="1" ht="14.25" customHeight="1" thickBot="1">
      <c r="A2146" s="353">
        <v>95613</v>
      </c>
      <c r="B2146" s="194" t="s">
        <v>1737</v>
      </c>
      <c r="C2146" s="339">
        <f t="shared" si="74"/>
        <v>50000</v>
      </c>
      <c r="D2146" s="191" t="s">
        <v>624</v>
      </c>
      <c r="E2146" s="189" t="s">
        <v>3608</v>
      </c>
      <c r="F2146" s="507">
        <f>SUMIFS(Controle!$R:$R,Controle!$H:$H,produtos_escape2!$A2146,Controle!$Z:$Z,"1")</f>
        <v>0</v>
      </c>
      <c r="G2146" s="507">
        <f>SUMIFS(Controle!$R:$R,Controle!$H:$H,produtos_escape2!$A2146,Controle!$Z:$Z,"2")</f>
        <v>0</v>
      </c>
      <c r="H2146" s="507">
        <f>SUMIFS(Controle!$R:$R,Controle!$H:$H,produtos_escape2!$A2146,Controle!$Z:$Z,"3")</f>
        <v>0</v>
      </c>
      <c r="I2146" s="507">
        <f>SUMIFS(Controle!$R:$R,Controle!$H:$H,produtos_escape2!$A2146,Controle!$Z:$Z,"4")</f>
        <v>0</v>
      </c>
      <c r="J2146" s="507">
        <f>SUMIFS(Controle!$R:$R,Controle!$H:$H,produtos_escape2!$A2146,Controle!$Z:$Z,"5")</f>
        <v>0</v>
      </c>
      <c r="K2146" s="507">
        <f>SUMIFS(Controle!$R:$R,Controle!$H:$H,produtos_escape2!$A2146,Controle!$Z:$Z,"6")</f>
        <v>0</v>
      </c>
      <c r="L2146" s="507">
        <f t="shared" si="73"/>
        <v>0</v>
      </c>
      <c r="M2146" s="381" t="s">
        <v>5591</v>
      </c>
    </row>
    <row r="2147" spans="1:13" s="185" customFormat="1" ht="14.25" customHeight="1" thickBot="1">
      <c r="A2147" s="353">
        <v>95617</v>
      </c>
      <c r="B2147" s="194" t="s">
        <v>145</v>
      </c>
      <c r="C2147" s="339">
        <f t="shared" si="74"/>
        <v>48577</v>
      </c>
      <c r="D2147" s="196" t="s">
        <v>624</v>
      </c>
      <c r="E2147" s="187" t="s">
        <v>3608</v>
      </c>
      <c r="F2147" s="507">
        <f>SUMIFS(Controle!$R:$R,Controle!$H:$H,produtos_escape2!$A2147,Controle!$Z:$Z,"1")</f>
        <v>0</v>
      </c>
      <c r="G2147" s="507">
        <f>SUMIFS(Controle!$R:$R,Controle!$H:$H,produtos_escape2!$A2147,Controle!$Z:$Z,"2")</f>
        <v>0</v>
      </c>
      <c r="H2147" s="507">
        <f>SUMIFS(Controle!$R:$R,Controle!$H:$H,produtos_escape2!$A2147,Controle!$Z:$Z,"3")</f>
        <v>508</v>
      </c>
      <c r="I2147" s="507">
        <f>SUMIFS(Controle!$R:$R,Controle!$H:$H,produtos_escape2!$A2147,Controle!$Z:$Z,"4")</f>
        <v>0</v>
      </c>
      <c r="J2147" s="507">
        <f>SUMIFS(Controle!$R:$R,Controle!$H:$H,produtos_escape2!$A2147,Controle!$Z:$Z,"5")</f>
        <v>0</v>
      </c>
      <c r="K2147" s="507">
        <f>SUMIFS(Controle!$R:$R,Controle!$H:$H,produtos_escape2!$A2147,Controle!$Z:$Z,"6")</f>
        <v>915</v>
      </c>
      <c r="L2147" s="507">
        <f t="shared" si="73"/>
        <v>1423</v>
      </c>
      <c r="M2147" s="381" t="s">
        <v>5592</v>
      </c>
    </row>
    <row r="2148" spans="1:13" s="185" customFormat="1" ht="14.25" customHeight="1" thickBot="1">
      <c r="A2148" s="353">
        <v>95620</v>
      </c>
      <c r="B2148" s="194" t="s">
        <v>1092</v>
      </c>
      <c r="C2148" s="339">
        <f t="shared" si="74"/>
        <v>50000</v>
      </c>
      <c r="D2148" s="196" t="s">
        <v>624</v>
      </c>
      <c r="E2148" s="187" t="s">
        <v>3608</v>
      </c>
      <c r="F2148" s="507">
        <f>SUMIFS(Controle!$R:$R,Controle!$H:$H,produtos_escape2!$A2148,Controle!$Z:$Z,"1")</f>
        <v>0</v>
      </c>
      <c r="G2148" s="507">
        <f>SUMIFS(Controle!$R:$R,Controle!$H:$H,produtos_escape2!$A2148,Controle!$Z:$Z,"2")</f>
        <v>0</v>
      </c>
      <c r="H2148" s="507">
        <f>SUMIFS(Controle!$R:$R,Controle!$H:$H,produtos_escape2!$A2148,Controle!$Z:$Z,"3")</f>
        <v>0</v>
      </c>
      <c r="I2148" s="507">
        <f>SUMIFS(Controle!$R:$R,Controle!$H:$H,produtos_escape2!$A2148,Controle!$Z:$Z,"4")</f>
        <v>0</v>
      </c>
      <c r="J2148" s="507">
        <f>SUMIFS(Controle!$R:$R,Controle!$H:$H,produtos_escape2!$A2148,Controle!$Z:$Z,"5")</f>
        <v>0</v>
      </c>
      <c r="K2148" s="507">
        <f>SUMIFS(Controle!$R:$R,Controle!$H:$H,produtos_escape2!$A2148,Controle!$Z:$Z,"6")</f>
        <v>0</v>
      </c>
      <c r="L2148" s="507">
        <f t="shared" si="73"/>
        <v>0</v>
      </c>
      <c r="M2148" s="381" t="s">
        <v>1092</v>
      </c>
    </row>
    <row r="2149" spans="1:13" s="185" customFormat="1" ht="14.25" customHeight="1" thickBot="1">
      <c r="A2149" s="353">
        <v>95636</v>
      </c>
      <c r="B2149" s="194" t="s">
        <v>7590</v>
      </c>
      <c r="C2149" s="339">
        <f t="shared" si="74"/>
        <v>48296</v>
      </c>
      <c r="D2149" s="196" t="s">
        <v>548</v>
      </c>
      <c r="E2149" s="187" t="s">
        <v>3608</v>
      </c>
      <c r="F2149" s="507">
        <f>SUMIFS(Controle!$R:$R,Controle!$H:$H,produtos_escape2!$A2149,Controle!$Z:$Z,"1")</f>
        <v>0</v>
      </c>
      <c r="G2149" s="507">
        <f>SUMIFS(Controle!$R:$R,Controle!$H:$H,produtos_escape2!$A2149,Controle!$Z:$Z,"2")</f>
        <v>660</v>
      </c>
      <c r="H2149" s="507">
        <f>SUMIFS(Controle!$R:$R,Controle!$H:$H,produtos_escape2!$A2149,Controle!$Z:$Z,"3")</f>
        <v>1044</v>
      </c>
      <c r="I2149" s="507">
        <f>SUMIFS(Controle!$R:$R,Controle!$H:$H,produtos_escape2!$A2149,Controle!$Z:$Z,"4")</f>
        <v>0</v>
      </c>
      <c r="J2149" s="507">
        <f>SUMIFS(Controle!$R:$R,Controle!$H:$H,produtos_escape2!$A2149,Controle!$Z:$Z,"5")</f>
        <v>0</v>
      </c>
      <c r="K2149" s="507">
        <f>SUMIFS(Controle!$R:$R,Controle!$H:$H,produtos_escape2!$A2149,Controle!$Z:$Z,"6")</f>
        <v>0</v>
      </c>
      <c r="L2149" s="507">
        <f t="shared" si="73"/>
        <v>1704</v>
      </c>
      <c r="M2149" s="381" t="s">
        <v>5593</v>
      </c>
    </row>
    <row r="2150" spans="1:13" s="185" customFormat="1" ht="14.25" customHeight="1" thickBot="1">
      <c r="A2150" s="353">
        <v>95673</v>
      </c>
      <c r="B2150" s="338" t="s">
        <v>1033</v>
      </c>
      <c r="C2150" s="339">
        <f t="shared" si="74"/>
        <v>49040</v>
      </c>
      <c r="D2150" s="196" t="s">
        <v>548</v>
      </c>
      <c r="E2150" s="187" t="s">
        <v>3608</v>
      </c>
      <c r="F2150" s="507">
        <f>SUMIFS(Controle!$R:$R,Controle!$H:$H,produtos_escape2!$A2150,Controle!$Z:$Z,"1")</f>
        <v>0</v>
      </c>
      <c r="G2150" s="507">
        <f>SUMIFS(Controle!$R:$R,Controle!$H:$H,produtos_escape2!$A2150,Controle!$Z:$Z,"2")</f>
        <v>960</v>
      </c>
      <c r="H2150" s="507">
        <f>SUMIFS(Controle!$R:$R,Controle!$H:$H,produtos_escape2!$A2150,Controle!$Z:$Z,"3")</f>
        <v>0</v>
      </c>
      <c r="I2150" s="507">
        <f>SUMIFS(Controle!$R:$R,Controle!$H:$H,produtos_escape2!$A2150,Controle!$Z:$Z,"4")</f>
        <v>0</v>
      </c>
      <c r="J2150" s="507">
        <f>SUMIFS(Controle!$R:$R,Controle!$H:$H,produtos_escape2!$A2150,Controle!$Z:$Z,"5")</f>
        <v>0</v>
      </c>
      <c r="K2150" s="507">
        <f>SUMIFS(Controle!$R:$R,Controle!$H:$H,produtos_escape2!$A2150,Controle!$Z:$Z,"6")</f>
        <v>0</v>
      </c>
      <c r="L2150" s="507">
        <f t="shared" si="73"/>
        <v>960</v>
      </c>
      <c r="M2150" s="381" t="s">
        <v>1033</v>
      </c>
    </row>
    <row r="2151" spans="1:13" s="185" customFormat="1" ht="14.25" customHeight="1" thickBot="1">
      <c r="A2151" s="353">
        <v>95700</v>
      </c>
      <c r="B2151" s="194" t="s">
        <v>1580</v>
      </c>
      <c r="C2151" s="339">
        <f t="shared" si="74"/>
        <v>50000</v>
      </c>
      <c r="D2151" s="196" t="s">
        <v>819</v>
      </c>
      <c r="E2151" s="187" t="s">
        <v>3608</v>
      </c>
      <c r="F2151" s="507">
        <f>SUMIFS(Controle!$R:$R,Controle!$H:$H,produtos_escape2!$A2151,Controle!$Z:$Z,"1")</f>
        <v>0</v>
      </c>
      <c r="G2151" s="507">
        <f>SUMIFS(Controle!$R:$R,Controle!$H:$H,produtos_escape2!$A2151,Controle!$Z:$Z,"2")</f>
        <v>0</v>
      </c>
      <c r="H2151" s="507">
        <f>SUMIFS(Controle!$R:$R,Controle!$H:$H,produtos_escape2!$A2151,Controle!$Z:$Z,"3")</f>
        <v>0</v>
      </c>
      <c r="I2151" s="507">
        <f>SUMIFS(Controle!$R:$R,Controle!$H:$H,produtos_escape2!$A2151,Controle!$Z:$Z,"4")</f>
        <v>0</v>
      </c>
      <c r="J2151" s="507">
        <f>SUMIFS(Controle!$R:$R,Controle!$H:$H,produtos_escape2!$A2151,Controle!$Z:$Z,"5")</f>
        <v>0</v>
      </c>
      <c r="K2151" s="507">
        <f>SUMIFS(Controle!$R:$R,Controle!$H:$H,produtos_escape2!$A2151,Controle!$Z:$Z,"6")</f>
        <v>0</v>
      </c>
      <c r="L2151" s="507">
        <f t="shared" si="73"/>
        <v>0</v>
      </c>
      <c r="M2151" s="381" t="s">
        <v>5594</v>
      </c>
    </row>
    <row r="2152" spans="1:13" s="185" customFormat="1" ht="14.25" customHeight="1" thickBot="1">
      <c r="A2152" s="353">
        <v>95713</v>
      </c>
      <c r="B2152" s="194" t="s">
        <v>2802</v>
      </c>
      <c r="C2152" s="339">
        <f t="shared" si="74"/>
        <v>50000</v>
      </c>
      <c r="D2152" s="196" t="s">
        <v>548</v>
      </c>
      <c r="E2152" s="187" t="s">
        <v>7207</v>
      </c>
      <c r="F2152" s="507">
        <f>SUMIFS(Controle!$R:$R,Controle!$H:$H,produtos_escape2!$A2152,Controle!$Z:$Z,"1")</f>
        <v>0</v>
      </c>
      <c r="G2152" s="507">
        <f>SUMIFS(Controle!$R:$R,Controle!$H:$H,produtos_escape2!$A2152,Controle!$Z:$Z,"2")</f>
        <v>0</v>
      </c>
      <c r="H2152" s="507">
        <f>SUMIFS(Controle!$R:$R,Controle!$H:$H,produtos_escape2!$A2152,Controle!$Z:$Z,"3")</f>
        <v>0</v>
      </c>
      <c r="I2152" s="507">
        <f>SUMIFS(Controle!$R:$R,Controle!$H:$H,produtos_escape2!$A2152,Controle!$Z:$Z,"4")</f>
        <v>0</v>
      </c>
      <c r="J2152" s="507">
        <f>SUMIFS(Controle!$R:$R,Controle!$H:$H,produtos_escape2!$A2152,Controle!$Z:$Z,"5")</f>
        <v>0</v>
      </c>
      <c r="K2152" s="507">
        <f>SUMIFS(Controle!$R:$R,Controle!$H:$H,produtos_escape2!$A2152,Controle!$Z:$Z,"6")</f>
        <v>0</v>
      </c>
      <c r="L2152" s="507">
        <f t="shared" si="73"/>
        <v>0</v>
      </c>
      <c r="M2152" s="381" t="s">
        <v>5595</v>
      </c>
    </row>
    <row r="2153" spans="1:13" s="185" customFormat="1" ht="14.25" customHeight="1" thickBot="1">
      <c r="A2153" s="333">
        <v>95714</v>
      </c>
      <c r="B2153" s="194" t="s">
        <v>2798</v>
      </c>
      <c r="C2153" s="339">
        <f t="shared" si="74"/>
        <v>50000</v>
      </c>
      <c r="D2153" s="196" t="s">
        <v>548</v>
      </c>
      <c r="E2153" s="187" t="s">
        <v>7207</v>
      </c>
      <c r="F2153" s="507">
        <f>SUMIFS(Controle!$R:$R,Controle!$H:$H,produtos_escape2!$A2153,Controle!$Z:$Z,"1")</f>
        <v>0</v>
      </c>
      <c r="G2153" s="507">
        <f>SUMIFS(Controle!$R:$R,Controle!$H:$H,produtos_escape2!$A2153,Controle!$Z:$Z,"2")</f>
        <v>0</v>
      </c>
      <c r="H2153" s="507">
        <f>SUMIFS(Controle!$R:$R,Controle!$H:$H,produtos_escape2!$A2153,Controle!$Z:$Z,"3")</f>
        <v>0</v>
      </c>
      <c r="I2153" s="507">
        <f>SUMIFS(Controle!$R:$R,Controle!$H:$H,produtos_escape2!$A2153,Controle!$Z:$Z,"4")</f>
        <v>0</v>
      </c>
      <c r="J2153" s="507">
        <f>SUMIFS(Controle!$R:$R,Controle!$H:$H,produtos_escape2!$A2153,Controle!$Z:$Z,"5")</f>
        <v>0</v>
      </c>
      <c r="K2153" s="507">
        <f>SUMIFS(Controle!$R:$R,Controle!$H:$H,produtos_escape2!$A2153,Controle!$Z:$Z,"6")</f>
        <v>0</v>
      </c>
      <c r="L2153" s="507">
        <f t="shared" si="73"/>
        <v>0</v>
      </c>
      <c r="M2153" s="381" t="s">
        <v>5596</v>
      </c>
    </row>
    <row r="2154" spans="1:13" s="185" customFormat="1" ht="14.25" customHeight="1" thickBot="1">
      <c r="A2154" s="353">
        <v>95715</v>
      </c>
      <c r="B2154" s="194" t="s">
        <v>2799</v>
      </c>
      <c r="C2154" s="339">
        <f t="shared" si="74"/>
        <v>50000</v>
      </c>
      <c r="D2154" s="196" t="s">
        <v>548</v>
      </c>
      <c r="E2154" s="187" t="s">
        <v>7207</v>
      </c>
      <c r="F2154" s="507">
        <f>SUMIFS(Controle!$R:$R,Controle!$H:$H,produtos_escape2!$A2154,Controle!$Z:$Z,"1")</f>
        <v>0</v>
      </c>
      <c r="G2154" s="507">
        <f>SUMIFS(Controle!$R:$R,Controle!$H:$H,produtos_escape2!$A2154,Controle!$Z:$Z,"2")</f>
        <v>0</v>
      </c>
      <c r="H2154" s="507">
        <f>SUMIFS(Controle!$R:$R,Controle!$H:$H,produtos_escape2!$A2154,Controle!$Z:$Z,"3")</f>
        <v>0</v>
      </c>
      <c r="I2154" s="507">
        <f>SUMIFS(Controle!$R:$R,Controle!$H:$H,produtos_escape2!$A2154,Controle!$Z:$Z,"4")</f>
        <v>0</v>
      </c>
      <c r="J2154" s="507">
        <f>SUMIFS(Controle!$R:$R,Controle!$H:$H,produtos_escape2!$A2154,Controle!$Z:$Z,"5")</f>
        <v>0</v>
      </c>
      <c r="K2154" s="507">
        <f>SUMIFS(Controle!$R:$R,Controle!$H:$H,produtos_escape2!$A2154,Controle!$Z:$Z,"6")</f>
        <v>0</v>
      </c>
      <c r="L2154" s="507">
        <f t="shared" si="73"/>
        <v>0</v>
      </c>
      <c r="M2154" s="381" t="s">
        <v>5597</v>
      </c>
    </row>
    <row r="2155" spans="1:13" s="185" customFormat="1" ht="14.25" customHeight="1" thickBot="1">
      <c r="A2155" s="353">
        <v>95718</v>
      </c>
      <c r="B2155" s="194" t="s">
        <v>2800</v>
      </c>
      <c r="C2155" s="339">
        <f t="shared" si="74"/>
        <v>50000</v>
      </c>
      <c r="D2155" s="196" t="s">
        <v>548</v>
      </c>
      <c r="E2155" s="187" t="s">
        <v>7207</v>
      </c>
      <c r="F2155" s="507">
        <f>SUMIFS(Controle!$R:$R,Controle!$H:$H,produtos_escape2!$A2155,Controle!$Z:$Z,"1")</f>
        <v>0</v>
      </c>
      <c r="G2155" s="507">
        <f>SUMIFS(Controle!$R:$R,Controle!$H:$H,produtos_escape2!$A2155,Controle!$Z:$Z,"2")</f>
        <v>0</v>
      </c>
      <c r="H2155" s="507">
        <f>SUMIFS(Controle!$R:$R,Controle!$H:$H,produtos_escape2!$A2155,Controle!$Z:$Z,"3")</f>
        <v>0</v>
      </c>
      <c r="I2155" s="507">
        <f>SUMIFS(Controle!$R:$R,Controle!$H:$H,produtos_escape2!$A2155,Controle!$Z:$Z,"4")</f>
        <v>0</v>
      </c>
      <c r="J2155" s="507">
        <f>SUMIFS(Controle!$R:$R,Controle!$H:$H,produtos_escape2!$A2155,Controle!$Z:$Z,"5")</f>
        <v>0</v>
      </c>
      <c r="K2155" s="507">
        <f>SUMIFS(Controle!$R:$R,Controle!$H:$H,produtos_escape2!$A2155,Controle!$Z:$Z,"6")</f>
        <v>0</v>
      </c>
      <c r="L2155" s="507">
        <f t="shared" si="73"/>
        <v>0</v>
      </c>
      <c r="M2155" s="381" t="s">
        <v>5598</v>
      </c>
    </row>
    <row r="2156" spans="1:13" s="185" customFormat="1" ht="14.25" customHeight="1" thickBot="1">
      <c r="A2156" s="353">
        <v>95720</v>
      </c>
      <c r="B2156" s="194" t="s">
        <v>4113</v>
      </c>
      <c r="C2156" s="339">
        <f t="shared" si="74"/>
        <v>50000</v>
      </c>
      <c r="D2156" s="196" t="s">
        <v>819</v>
      </c>
      <c r="E2156" s="187" t="s">
        <v>3608</v>
      </c>
      <c r="F2156" s="507">
        <f>SUMIFS(Controle!$R:$R,Controle!$H:$H,produtos_escape2!$A2156,Controle!$Z:$Z,"1")</f>
        <v>0</v>
      </c>
      <c r="G2156" s="507">
        <f>SUMIFS(Controle!$R:$R,Controle!$H:$H,produtos_escape2!$A2156,Controle!$Z:$Z,"2")</f>
        <v>0</v>
      </c>
      <c r="H2156" s="507">
        <f>SUMIFS(Controle!$R:$R,Controle!$H:$H,produtos_escape2!$A2156,Controle!$Z:$Z,"3")</f>
        <v>0</v>
      </c>
      <c r="I2156" s="507">
        <f>SUMIFS(Controle!$R:$R,Controle!$H:$H,produtos_escape2!$A2156,Controle!$Z:$Z,"4")</f>
        <v>0</v>
      </c>
      <c r="J2156" s="507">
        <f>SUMIFS(Controle!$R:$R,Controle!$H:$H,produtos_escape2!$A2156,Controle!$Z:$Z,"5")</f>
        <v>0</v>
      </c>
      <c r="K2156" s="507">
        <f>SUMIFS(Controle!$R:$R,Controle!$H:$H,produtos_escape2!$A2156,Controle!$Z:$Z,"6")</f>
        <v>0</v>
      </c>
      <c r="L2156" s="507">
        <f t="shared" si="73"/>
        <v>0</v>
      </c>
      <c r="M2156" s="381" t="s">
        <v>5599</v>
      </c>
    </row>
    <row r="2157" spans="1:13" s="185" customFormat="1" ht="14.25" customHeight="1" thickBot="1">
      <c r="A2157" s="353">
        <v>95723</v>
      </c>
      <c r="B2157" s="194" t="s">
        <v>2708</v>
      </c>
      <c r="C2157" s="339">
        <f t="shared" si="74"/>
        <v>50000</v>
      </c>
      <c r="D2157" s="196" t="s">
        <v>547</v>
      </c>
      <c r="E2157" s="187" t="s">
        <v>3608</v>
      </c>
      <c r="F2157" s="507">
        <f>SUMIFS(Controle!$R:$R,Controle!$H:$H,produtos_escape2!$A2157,Controle!$Z:$Z,"1")</f>
        <v>0</v>
      </c>
      <c r="G2157" s="507">
        <f>SUMIFS(Controle!$R:$R,Controle!$H:$H,produtos_escape2!$A2157,Controle!$Z:$Z,"2")</f>
        <v>0</v>
      </c>
      <c r="H2157" s="507">
        <f>SUMIFS(Controle!$R:$R,Controle!$H:$H,produtos_escape2!$A2157,Controle!$Z:$Z,"3")</f>
        <v>0</v>
      </c>
      <c r="I2157" s="507">
        <f>SUMIFS(Controle!$R:$R,Controle!$H:$H,produtos_escape2!$A2157,Controle!$Z:$Z,"4")</f>
        <v>0</v>
      </c>
      <c r="J2157" s="507">
        <f>SUMIFS(Controle!$R:$R,Controle!$H:$H,produtos_escape2!$A2157,Controle!$Z:$Z,"5")</f>
        <v>0</v>
      </c>
      <c r="K2157" s="507">
        <f>SUMIFS(Controle!$R:$R,Controle!$H:$H,produtos_escape2!$A2157,Controle!$Z:$Z,"6")</f>
        <v>0</v>
      </c>
      <c r="L2157" s="507">
        <f t="shared" si="73"/>
        <v>0</v>
      </c>
      <c r="M2157" s="381" t="s">
        <v>5600</v>
      </c>
    </row>
    <row r="2158" spans="1:13" s="185" customFormat="1" ht="14.25" customHeight="1" thickBot="1">
      <c r="A2158" s="353">
        <v>95730</v>
      </c>
      <c r="B2158" s="338" t="s">
        <v>2801</v>
      </c>
      <c r="C2158" s="339">
        <f t="shared" si="74"/>
        <v>50000</v>
      </c>
      <c r="D2158" s="196" t="s">
        <v>548</v>
      </c>
      <c r="E2158" s="187" t="s">
        <v>7207</v>
      </c>
      <c r="F2158" s="507">
        <f>SUMIFS(Controle!$R:$R,Controle!$H:$H,produtos_escape2!$A2158,Controle!$Z:$Z,"1")</f>
        <v>0</v>
      </c>
      <c r="G2158" s="507">
        <f>SUMIFS(Controle!$R:$R,Controle!$H:$H,produtos_escape2!$A2158,Controle!$Z:$Z,"2")</f>
        <v>0</v>
      </c>
      <c r="H2158" s="507">
        <f>SUMIFS(Controle!$R:$R,Controle!$H:$H,produtos_escape2!$A2158,Controle!$Z:$Z,"3")</f>
        <v>0</v>
      </c>
      <c r="I2158" s="507">
        <f>SUMIFS(Controle!$R:$R,Controle!$H:$H,produtos_escape2!$A2158,Controle!$Z:$Z,"4")</f>
        <v>0</v>
      </c>
      <c r="J2158" s="507">
        <f>SUMIFS(Controle!$R:$R,Controle!$H:$H,produtos_escape2!$A2158,Controle!$Z:$Z,"5")</f>
        <v>0</v>
      </c>
      <c r="K2158" s="507">
        <f>SUMIFS(Controle!$R:$R,Controle!$H:$H,produtos_escape2!$A2158,Controle!$Z:$Z,"6")</f>
        <v>0</v>
      </c>
      <c r="L2158" s="507">
        <f t="shared" si="73"/>
        <v>0</v>
      </c>
      <c r="M2158" s="381" t="s">
        <v>5601</v>
      </c>
    </row>
    <row r="2159" spans="1:13" s="185" customFormat="1" ht="14.25" customHeight="1" thickBot="1">
      <c r="A2159" s="353">
        <v>95753</v>
      </c>
      <c r="B2159" s="194" t="s">
        <v>1680</v>
      </c>
      <c r="C2159" s="339">
        <f t="shared" si="74"/>
        <v>50000</v>
      </c>
      <c r="D2159" s="196" t="s">
        <v>819</v>
      </c>
      <c r="E2159" s="187" t="s">
        <v>3608</v>
      </c>
      <c r="F2159" s="507">
        <f>SUMIFS(Controle!$R:$R,Controle!$H:$H,produtos_escape2!$A2159,Controle!$Z:$Z,"1")</f>
        <v>0</v>
      </c>
      <c r="G2159" s="507">
        <f>SUMIFS(Controle!$R:$R,Controle!$H:$H,produtos_escape2!$A2159,Controle!$Z:$Z,"2")</f>
        <v>0</v>
      </c>
      <c r="H2159" s="507">
        <f>SUMIFS(Controle!$R:$R,Controle!$H:$H,produtos_escape2!$A2159,Controle!$Z:$Z,"3")</f>
        <v>0</v>
      </c>
      <c r="I2159" s="507">
        <f>SUMIFS(Controle!$R:$R,Controle!$H:$H,produtos_escape2!$A2159,Controle!$Z:$Z,"4")</f>
        <v>0</v>
      </c>
      <c r="J2159" s="507">
        <f>SUMIFS(Controle!$R:$R,Controle!$H:$H,produtos_escape2!$A2159,Controle!$Z:$Z,"5")</f>
        <v>0</v>
      </c>
      <c r="K2159" s="507">
        <f>SUMIFS(Controle!$R:$R,Controle!$H:$H,produtos_escape2!$A2159,Controle!$Z:$Z,"6")</f>
        <v>0</v>
      </c>
      <c r="L2159" s="507">
        <f t="shared" si="73"/>
        <v>0</v>
      </c>
      <c r="M2159" s="381" t="s">
        <v>5602</v>
      </c>
    </row>
    <row r="2160" spans="1:13" s="185" customFormat="1" ht="14.25" customHeight="1" thickBot="1">
      <c r="A2160" s="353">
        <v>95757</v>
      </c>
      <c r="B2160" s="194" t="s">
        <v>826</v>
      </c>
      <c r="C2160" s="339">
        <f t="shared" si="74"/>
        <v>47402.6</v>
      </c>
      <c r="D2160" s="196" t="s">
        <v>819</v>
      </c>
      <c r="E2160" s="187" t="s">
        <v>3608</v>
      </c>
      <c r="F2160" s="507">
        <f>SUMIFS(Controle!$R:$R,Controle!$H:$H,produtos_escape2!$A2160,Controle!$Z:$Z,"1")</f>
        <v>0</v>
      </c>
      <c r="G2160" s="507">
        <f>SUMIFS(Controle!$R:$R,Controle!$H:$H,produtos_escape2!$A2160,Controle!$Z:$Z,"2")</f>
        <v>0</v>
      </c>
      <c r="H2160" s="507">
        <f>SUMIFS(Controle!$R:$R,Controle!$H:$H,produtos_escape2!$A2160,Controle!$Z:$Z,"3")</f>
        <v>0</v>
      </c>
      <c r="I2160" s="507">
        <f>SUMIFS(Controle!$R:$R,Controle!$H:$H,produtos_escape2!$A2160,Controle!$Z:$Z,"4")</f>
        <v>0</v>
      </c>
      <c r="J2160" s="507">
        <f>SUMIFS(Controle!$R:$R,Controle!$H:$H,produtos_escape2!$A2160,Controle!$Z:$Z,"5")</f>
        <v>865.8</v>
      </c>
      <c r="K2160" s="507">
        <f>SUMIFS(Controle!$R:$R,Controle!$H:$H,produtos_escape2!$A2160,Controle!$Z:$Z,"6")</f>
        <v>1731.6</v>
      </c>
      <c r="L2160" s="507">
        <f t="shared" si="73"/>
        <v>2597.3999999999996</v>
      </c>
      <c r="M2160" s="381" t="s">
        <v>5603</v>
      </c>
    </row>
    <row r="2161" spans="1:13" s="185" customFormat="1" ht="14.25" customHeight="1" thickBot="1">
      <c r="A2161" s="333">
        <v>95758</v>
      </c>
      <c r="B2161" s="194" t="s">
        <v>9478</v>
      </c>
      <c r="C2161" s="339">
        <f t="shared" si="74"/>
        <v>39925.760000000002</v>
      </c>
      <c r="D2161" s="196" t="s">
        <v>819</v>
      </c>
      <c r="E2161" s="187" t="s">
        <v>3608</v>
      </c>
      <c r="F2161" s="507">
        <f>SUMIFS(Controle!$R:$R,Controle!$H:$H,produtos_escape2!$A2161,Controle!$Z:$Z,"1")</f>
        <v>0</v>
      </c>
      <c r="G2161" s="507">
        <f>SUMIFS(Controle!$R:$R,Controle!$H:$H,produtos_escape2!$A2161,Controle!$Z:$Z,"2")</f>
        <v>0</v>
      </c>
      <c r="H2161" s="507">
        <f>SUMIFS(Controle!$R:$R,Controle!$H:$H,produtos_escape2!$A2161,Controle!$Z:$Z,"3")</f>
        <v>0</v>
      </c>
      <c r="I2161" s="507">
        <f>SUMIFS(Controle!$R:$R,Controle!$H:$H,produtos_escape2!$A2161,Controle!$Z:$Z,"4")</f>
        <v>4429.74</v>
      </c>
      <c r="J2161" s="507">
        <f>SUMIFS(Controle!$R:$R,Controle!$H:$H,produtos_escape2!$A2161,Controle!$Z:$Z,"5")</f>
        <v>3373.98</v>
      </c>
      <c r="K2161" s="507">
        <f>SUMIFS(Controle!$R:$R,Controle!$H:$H,produtos_escape2!$A2161,Controle!$Z:$Z,"6")</f>
        <v>2270.52</v>
      </c>
      <c r="L2161" s="507">
        <f t="shared" si="73"/>
        <v>10074.24</v>
      </c>
      <c r="M2161" s="381" t="s">
        <v>5604</v>
      </c>
    </row>
    <row r="2162" spans="1:13" s="185" customFormat="1" ht="14.25" customHeight="1" thickBot="1">
      <c r="A2162" s="353">
        <v>95760</v>
      </c>
      <c r="B2162" s="194" t="s">
        <v>1002</v>
      </c>
      <c r="C2162" s="339">
        <f t="shared" si="74"/>
        <v>50000</v>
      </c>
      <c r="D2162" s="196" t="s">
        <v>819</v>
      </c>
      <c r="E2162" s="187" t="s">
        <v>3608</v>
      </c>
      <c r="F2162" s="507">
        <f>SUMIFS(Controle!$R:$R,Controle!$H:$H,produtos_escape2!$A2162,Controle!$Z:$Z,"1")</f>
        <v>0</v>
      </c>
      <c r="G2162" s="507">
        <f>SUMIFS(Controle!$R:$R,Controle!$H:$H,produtos_escape2!$A2162,Controle!$Z:$Z,"2")</f>
        <v>0</v>
      </c>
      <c r="H2162" s="507">
        <f>SUMIFS(Controle!$R:$R,Controle!$H:$H,produtos_escape2!$A2162,Controle!$Z:$Z,"3")</f>
        <v>0</v>
      </c>
      <c r="I2162" s="507">
        <f>SUMIFS(Controle!$R:$R,Controle!$H:$H,produtos_escape2!$A2162,Controle!$Z:$Z,"4")</f>
        <v>0</v>
      </c>
      <c r="J2162" s="507">
        <f>SUMIFS(Controle!$R:$R,Controle!$H:$H,produtos_escape2!$A2162,Controle!$Z:$Z,"5")</f>
        <v>0</v>
      </c>
      <c r="K2162" s="507">
        <f>SUMIFS(Controle!$R:$R,Controle!$H:$H,produtos_escape2!$A2162,Controle!$Z:$Z,"6")</f>
        <v>0</v>
      </c>
      <c r="L2162" s="507">
        <f t="shared" si="73"/>
        <v>0</v>
      </c>
      <c r="M2162" s="381" t="s">
        <v>5605</v>
      </c>
    </row>
    <row r="2163" spans="1:13" s="185" customFormat="1" ht="14.25" customHeight="1" thickBot="1">
      <c r="A2163" s="353">
        <v>95763</v>
      </c>
      <c r="B2163" s="194" t="s">
        <v>825</v>
      </c>
      <c r="C2163" s="339">
        <f t="shared" si="74"/>
        <v>50000</v>
      </c>
      <c r="D2163" s="196" t="s">
        <v>819</v>
      </c>
      <c r="E2163" s="187" t="s">
        <v>3608</v>
      </c>
      <c r="F2163" s="507">
        <f>SUMIFS(Controle!$R:$R,Controle!$H:$H,produtos_escape2!$A2163,Controle!$Z:$Z,"1")</f>
        <v>0</v>
      </c>
      <c r="G2163" s="507">
        <f>SUMIFS(Controle!$R:$R,Controle!$H:$H,produtos_escape2!$A2163,Controle!$Z:$Z,"2")</f>
        <v>0</v>
      </c>
      <c r="H2163" s="507">
        <f>SUMIFS(Controle!$R:$R,Controle!$H:$H,produtos_escape2!$A2163,Controle!$Z:$Z,"3")</f>
        <v>0</v>
      </c>
      <c r="I2163" s="507">
        <f>SUMIFS(Controle!$R:$R,Controle!$H:$H,produtos_escape2!$A2163,Controle!$Z:$Z,"4")</f>
        <v>0</v>
      </c>
      <c r="J2163" s="507">
        <f>SUMIFS(Controle!$R:$R,Controle!$H:$H,produtos_escape2!$A2163,Controle!$Z:$Z,"5")</f>
        <v>0</v>
      </c>
      <c r="K2163" s="507">
        <f>SUMIFS(Controle!$R:$R,Controle!$H:$H,produtos_escape2!$A2163,Controle!$Z:$Z,"6")</f>
        <v>0</v>
      </c>
      <c r="L2163" s="507">
        <f t="shared" si="73"/>
        <v>0</v>
      </c>
      <c r="M2163" s="381" t="s">
        <v>5606</v>
      </c>
    </row>
    <row r="2164" spans="1:13" s="185" customFormat="1" ht="14.25" customHeight="1" thickBot="1">
      <c r="A2164" s="353">
        <v>95770</v>
      </c>
      <c r="B2164" s="194" t="s">
        <v>1347</v>
      </c>
      <c r="C2164" s="339">
        <f t="shared" si="74"/>
        <v>50000</v>
      </c>
      <c r="D2164" s="196" t="s">
        <v>819</v>
      </c>
      <c r="E2164" s="187" t="s">
        <v>3608</v>
      </c>
      <c r="F2164" s="507">
        <f>SUMIFS(Controle!$R:$R,Controle!$H:$H,produtos_escape2!$A2164,Controle!$Z:$Z,"1")</f>
        <v>0</v>
      </c>
      <c r="G2164" s="507">
        <f>SUMIFS(Controle!$R:$R,Controle!$H:$H,produtos_escape2!$A2164,Controle!$Z:$Z,"2")</f>
        <v>0</v>
      </c>
      <c r="H2164" s="507">
        <f>SUMIFS(Controle!$R:$R,Controle!$H:$H,produtos_escape2!$A2164,Controle!$Z:$Z,"3")</f>
        <v>0</v>
      </c>
      <c r="I2164" s="507">
        <f>SUMIFS(Controle!$R:$R,Controle!$H:$H,produtos_escape2!$A2164,Controle!$Z:$Z,"4")</f>
        <v>0</v>
      </c>
      <c r="J2164" s="507">
        <f>SUMIFS(Controle!$R:$R,Controle!$H:$H,produtos_escape2!$A2164,Controle!$Z:$Z,"5")</f>
        <v>0</v>
      </c>
      <c r="K2164" s="507">
        <f>SUMIFS(Controle!$R:$R,Controle!$H:$H,produtos_escape2!$A2164,Controle!$Z:$Z,"6")</f>
        <v>0</v>
      </c>
      <c r="L2164" s="507">
        <f t="shared" si="73"/>
        <v>0</v>
      </c>
      <c r="M2164" s="381" t="s">
        <v>5607</v>
      </c>
    </row>
    <row r="2165" spans="1:13" s="185" customFormat="1" ht="14.25" customHeight="1" thickBot="1">
      <c r="A2165" s="353">
        <v>95771</v>
      </c>
      <c r="B2165" s="194" t="s">
        <v>1001</v>
      </c>
      <c r="C2165" s="339">
        <f t="shared" si="74"/>
        <v>44420.32</v>
      </c>
      <c r="D2165" s="196" t="s">
        <v>819</v>
      </c>
      <c r="E2165" s="187" t="s">
        <v>3608</v>
      </c>
      <c r="F2165" s="507">
        <f>SUMIFS(Controle!$R:$R,Controle!$H:$H,produtos_escape2!$A2165,Controle!$Z:$Z,"1")</f>
        <v>0</v>
      </c>
      <c r="G2165" s="507">
        <f>SUMIFS(Controle!$R:$R,Controle!$H:$H,produtos_escape2!$A2165,Controle!$Z:$Z,"2")</f>
        <v>0</v>
      </c>
      <c r="H2165" s="507">
        <f>SUMIFS(Controle!$R:$R,Controle!$H:$H,produtos_escape2!$A2165,Controle!$Z:$Z,"3")</f>
        <v>0</v>
      </c>
      <c r="I2165" s="507">
        <f>SUMIFS(Controle!$R:$R,Controle!$H:$H,produtos_escape2!$A2165,Controle!$Z:$Z,"4")</f>
        <v>0</v>
      </c>
      <c r="J2165" s="507">
        <f>SUMIFS(Controle!$R:$R,Controle!$H:$H,produtos_escape2!$A2165,Controle!$Z:$Z,"5")</f>
        <v>0</v>
      </c>
      <c r="K2165" s="507">
        <f>SUMIFS(Controle!$R:$R,Controle!$H:$H,produtos_escape2!$A2165,Controle!$Z:$Z,"6")</f>
        <v>5579.68</v>
      </c>
      <c r="L2165" s="507">
        <f t="shared" si="73"/>
        <v>5579.68</v>
      </c>
      <c r="M2165" s="381" t="s">
        <v>5608</v>
      </c>
    </row>
    <row r="2166" spans="1:13" s="185" customFormat="1" ht="14.25" customHeight="1" thickBot="1">
      <c r="A2166" s="353">
        <v>95772</v>
      </c>
      <c r="B2166" s="338" t="s">
        <v>1356</v>
      </c>
      <c r="C2166" s="339">
        <f t="shared" si="74"/>
        <v>50000</v>
      </c>
      <c r="D2166" s="196" t="s">
        <v>819</v>
      </c>
      <c r="E2166" s="187" t="s">
        <v>3608</v>
      </c>
      <c r="F2166" s="507">
        <f>SUMIFS(Controle!$R:$R,Controle!$H:$H,produtos_escape2!$A2166,Controle!$Z:$Z,"1")</f>
        <v>0</v>
      </c>
      <c r="G2166" s="507">
        <f>SUMIFS(Controle!$R:$R,Controle!$H:$H,produtos_escape2!$A2166,Controle!$Z:$Z,"2")</f>
        <v>0</v>
      </c>
      <c r="H2166" s="507">
        <f>SUMIFS(Controle!$R:$R,Controle!$H:$H,produtos_escape2!$A2166,Controle!$Z:$Z,"3")</f>
        <v>0</v>
      </c>
      <c r="I2166" s="507">
        <f>SUMIFS(Controle!$R:$R,Controle!$H:$H,produtos_escape2!$A2166,Controle!$Z:$Z,"4")</f>
        <v>0</v>
      </c>
      <c r="J2166" s="507">
        <f>SUMIFS(Controle!$R:$R,Controle!$H:$H,produtos_escape2!$A2166,Controle!$Z:$Z,"5")</f>
        <v>0</v>
      </c>
      <c r="K2166" s="507">
        <f>SUMIFS(Controle!$R:$R,Controle!$H:$H,produtos_escape2!$A2166,Controle!$Z:$Z,"6")</f>
        <v>0</v>
      </c>
      <c r="L2166" s="507">
        <f t="shared" si="73"/>
        <v>0</v>
      </c>
      <c r="M2166" s="381" t="s">
        <v>5609</v>
      </c>
    </row>
    <row r="2167" spans="1:13" s="185" customFormat="1" ht="14.25" customHeight="1" thickBot="1">
      <c r="A2167" s="353">
        <v>95773</v>
      </c>
      <c r="B2167" s="194" t="s">
        <v>1129</v>
      </c>
      <c r="C2167" s="339">
        <f t="shared" si="74"/>
        <v>34481.06</v>
      </c>
      <c r="D2167" s="196" t="s">
        <v>819</v>
      </c>
      <c r="E2167" s="187" t="s">
        <v>3608</v>
      </c>
      <c r="F2167" s="507">
        <f>SUMIFS(Controle!$R:$R,Controle!$H:$H,produtos_escape2!$A2167,Controle!$Z:$Z,"1")</f>
        <v>0</v>
      </c>
      <c r="G2167" s="507">
        <f>SUMIFS(Controle!$R:$R,Controle!$H:$H,produtos_escape2!$A2167,Controle!$Z:$Z,"2")</f>
        <v>0</v>
      </c>
      <c r="H2167" s="507">
        <f>SUMIFS(Controle!$R:$R,Controle!$H:$H,produtos_escape2!$A2167,Controle!$Z:$Z,"3")</f>
        <v>0</v>
      </c>
      <c r="I2167" s="507">
        <f>SUMIFS(Controle!$R:$R,Controle!$H:$H,produtos_escape2!$A2167,Controle!$Z:$Z,"4")</f>
        <v>0</v>
      </c>
      <c r="J2167" s="507">
        <f>SUMIFS(Controle!$R:$R,Controle!$H:$H,produtos_escape2!$A2167,Controle!$Z:$Z,"5")</f>
        <v>7759.47</v>
      </c>
      <c r="K2167" s="507">
        <f>SUMIFS(Controle!$R:$R,Controle!$H:$H,produtos_escape2!$A2167,Controle!$Z:$Z,"6")</f>
        <v>7759.47</v>
      </c>
      <c r="L2167" s="507">
        <f t="shared" si="73"/>
        <v>15518.94</v>
      </c>
      <c r="M2167" s="381" t="s">
        <v>5610</v>
      </c>
    </row>
    <row r="2168" spans="1:13" s="185" customFormat="1" ht="14.25" customHeight="1" thickBot="1">
      <c r="A2168" s="353">
        <v>95774</v>
      </c>
      <c r="B2168" s="194" t="s">
        <v>818</v>
      </c>
      <c r="C2168" s="339">
        <f t="shared" si="74"/>
        <v>39584.9</v>
      </c>
      <c r="D2168" s="196" t="s">
        <v>819</v>
      </c>
      <c r="E2168" s="187" t="s">
        <v>3608</v>
      </c>
      <c r="F2168" s="507">
        <f>SUMIFS(Controle!$R:$R,Controle!$H:$H,produtos_escape2!$A2168,Controle!$Z:$Z,"1")</f>
        <v>0</v>
      </c>
      <c r="G2168" s="507">
        <f>SUMIFS(Controle!$R:$R,Controle!$H:$H,produtos_escape2!$A2168,Controle!$Z:$Z,"2")</f>
        <v>0</v>
      </c>
      <c r="H2168" s="507">
        <f>SUMIFS(Controle!$R:$R,Controle!$H:$H,produtos_escape2!$A2168,Controle!$Z:$Z,"3")</f>
        <v>0</v>
      </c>
      <c r="I2168" s="507">
        <f>SUMIFS(Controle!$R:$R,Controle!$H:$H,produtos_escape2!$A2168,Controle!$Z:$Z,"4")</f>
        <v>7024.95</v>
      </c>
      <c r="J2168" s="507">
        <f>SUMIFS(Controle!$R:$R,Controle!$H:$H,produtos_escape2!$A2168,Controle!$Z:$Z,"5")</f>
        <v>0</v>
      </c>
      <c r="K2168" s="507">
        <f>SUMIFS(Controle!$R:$R,Controle!$H:$H,produtos_escape2!$A2168,Controle!$Z:$Z,"6")</f>
        <v>3390.1499999999996</v>
      </c>
      <c r="L2168" s="507">
        <f t="shared" si="73"/>
        <v>10415.099999999999</v>
      </c>
      <c r="M2168" s="381" t="s">
        <v>5611</v>
      </c>
    </row>
    <row r="2169" spans="1:13" s="185" customFormat="1" ht="14.25" customHeight="1" thickBot="1">
      <c r="A2169" s="333">
        <v>95775</v>
      </c>
      <c r="B2169" s="194" t="s">
        <v>1117</v>
      </c>
      <c r="C2169" s="339">
        <f t="shared" si="74"/>
        <v>25971.919999999998</v>
      </c>
      <c r="D2169" s="196" t="s">
        <v>819</v>
      </c>
      <c r="E2169" s="187" t="s">
        <v>3608</v>
      </c>
      <c r="F2169" s="507">
        <f>SUMIFS(Controle!$R:$R,Controle!$H:$H,produtos_escape2!$A2169,Controle!$Z:$Z,"1")</f>
        <v>0</v>
      </c>
      <c r="G2169" s="507">
        <f>SUMIFS(Controle!$R:$R,Controle!$H:$H,produtos_escape2!$A2169,Controle!$Z:$Z,"2")</f>
        <v>0</v>
      </c>
      <c r="H2169" s="507">
        <f>SUMIFS(Controle!$R:$R,Controle!$H:$H,produtos_escape2!$A2169,Controle!$Z:$Z,"3")</f>
        <v>0</v>
      </c>
      <c r="I2169" s="507">
        <f>SUMIFS(Controle!$R:$R,Controle!$H:$H,produtos_escape2!$A2169,Controle!$Z:$Z,"4")</f>
        <v>0</v>
      </c>
      <c r="J2169" s="507">
        <f>SUMIFS(Controle!$R:$R,Controle!$H:$H,produtos_escape2!$A2169,Controle!$Z:$Z,"5")</f>
        <v>6834.88</v>
      </c>
      <c r="K2169" s="507">
        <f>SUMIFS(Controle!$R:$R,Controle!$H:$H,produtos_escape2!$A2169,Controle!$Z:$Z,"6")</f>
        <v>17193.2</v>
      </c>
      <c r="L2169" s="507">
        <f t="shared" si="73"/>
        <v>24028.080000000002</v>
      </c>
      <c r="M2169" s="381" t="s">
        <v>5612</v>
      </c>
    </row>
    <row r="2170" spans="1:13" s="185" customFormat="1" ht="14.25" customHeight="1" thickBot="1">
      <c r="A2170" s="353">
        <v>95776</v>
      </c>
      <c r="B2170" s="194" t="s">
        <v>1147</v>
      </c>
      <c r="C2170" s="339">
        <f t="shared" si="74"/>
        <v>31677.799999999996</v>
      </c>
      <c r="D2170" s="196" t="s">
        <v>819</v>
      </c>
      <c r="E2170" s="187" t="s">
        <v>3608</v>
      </c>
      <c r="F2170" s="507">
        <f>SUMIFS(Controle!$R:$R,Controle!$H:$H,produtos_escape2!$A2170,Controle!$Z:$Z,"1")</f>
        <v>0</v>
      </c>
      <c r="G2170" s="507">
        <f>SUMIFS(Controle!$R:$R,Controle!$H:$H,produtos_escape2!$A2170,Controle!$Z:$Z,"2")</f>
        <v>0</v>
      </c>
      <c r="H2170" s="507">
        <f>SUMIFS(Controle!$R:$R,Controle!$H:$H,produtos_escape2!$A2170,Controle!$Z:$Z,"3")</f>
        <v>0</v>
      </c>
      <c r="I2170" s="507">
        <f>SUMIFS(Controle!$R:$R,Controle!$H:$H,produtos_escape2!$A2170,Controle!$Z:$Z,"4")</f>
        <v>9063.9000000000015</v>
      </c>
      <c r="J2170" s="507">
        <f>SUMIFS(Controle!$R:$R,Controle!$H:$H,produtos_escape2!$A2170,Controle!$Z:$Z,"5")</f>
        <v>6172.2000000000007</v>
      </c>
      <c r="K2170" s="507">
        <f>SUMIFS(Controle!$R:$R,Controle!$H:$H,produtos_escape2!$A2170,Controle!$Z:$Z,"6")</f>
        <v>3086.1000000000004</v>
      </c>
      <c r="L2170" s="507">
        <f t="shared" si="73"/>
        <v>18322.200000000004</v>
      </c>
      <c r="M2170" s="381" t="s">
        <v>5613</v>
      </c>
    </row>
    <row r="2171" spans="1:13" s="185" customFormat="1" ht="14.25" customHeight="1" thickBot="1">
      <c r="A2171" s="353">
        <v>95777</v>
      </c>
      <c r="B2171" s="194" t="s">
        <v>1592</v>
      </c>
      <c r="C2171" s="339">
        <f t="shared" si="74"/>
        <v>50000</v>
      </c>
      <c r="D2171" s="196" t="s">
        <v>819</v>
      </c>
      <c r="E2171" s="187" t="s">
        <v>3608</v>
      </c>
      <c r="F2171" s="507">
        <f>SUMIFS(Controle!$R:$R,Controle!$H:$H,produtos_escape2!$A2171,Controle!$Z:$Z,"1")</f>
        <v>0</v>
      </c>
      <c r="G2171" s="507">
        <f>SUMIFS(Controle!$R:$R,Controle!$H:$H,produtos_escape2!$A2171,Controle!$Z:$Z,"2")</f>
        <v>0</v>
      </c>
      <c r="H2171" s="507">
        <f>SUMIFS(Controle!$R:$R,Controle!$H:$H,produtos_escape2!$A2171,Controle!$Z:$Z,"3")</f>
        <v>0</v>
      </c>
      <c r="I2171" s="507">
        <f>SUMIFS(Controle!$R:$R,Controle!$H:$H,produtos_escape2!$A2171,Controle!$Z:$Z,"4")</f>
        <v>0</v>
      </c>
      <c r="J2171" s="507">
        <f>SUMIFS(Controle!$R:$R,Controle!$H:$H,produtos_escape2!$A2171,Controle!$Z:$Z,"5")</f>
        <v>0</v>
      </c>
      <c r="K2171" s="507">
        <f>SUMIFS(Controle!$R:$R,Controle!$H:$H,produtos_escape2!$A2171,Controle!$Z:$Z,"6")</f>
        <v>0</v>
      </c>
      <c r="L2171" s="507">
        <f t="shared" si="73"/>
        <v>0</v>
      </c>
      <c r="M2171" s="381" t="s">
        <v>5614</v>
      </c>
    </row>
    <row r="2172" spans="1:13" s="185" customFormat="1" ht="14.25" customHeight="1" thickBot="1">
      <c r="A2172" s="353">
        <v>95778</v>
      </c>
      <c r="B2172" s="194" t="s">
        <v>9792</v>
      </c>
      <c r="C2172" s="339">
        <f t="shared" si="74"/>
        <v>50000</v>
      </c>
      <c r="D2172" s="196" t="s">
        <v>819</v>
      </c>
      <c r="E2172" s="187" t="s">
        <v>3608</v>
      </c>
      <c r="F2172" s="507">
        <f>SUMIFS(Controle!$R:$R,Controle!$H:$H,produtos_escape2!$A2172,Controle!$Z:$Z,"1")</f>
        <v>0</v>
      </c>
      <c r="G2172" s="507">
        <f>SUMIFS(Controle!$R:$R,Controle!$H:$H,produtos_escape2!$A2172,Controle!$Z:$Z,"2")</f>
        <v>0</v>
      </c>
      <c r="H2172" s="507">
        <f>SUMIFS(Controle!$R:$R,Controle!$H:$H,produtos_escape2!$A2172,Controle!$Z:$Z,"3")</f>
        <v>0</v>
      </c>
      <c r="I2172" s="507">
        <f>SUMIFS(Controle!$R:$R,Controle!$H:$H,produtos_escape2!$A2172,Controle!$Z:$Z,"4")</f>
        <v>0</v>
      </c>
      <c r="J2172" s="507">
        <f>SUMIFS(Controle!$R:$R,Controle!$H:$H,produtos_escape2!$A2172,Controle!$Z:$Z,"5")</f>
        <v>0</v>
      </c>
      <c r="K2172" s="507">
        <f>SUMIFS(Controle!$R:$R,Controle!$H:$H,produtos_escape2!$A2172,Controle!$Z:$Z,"6")</f>
        <v>0</v>
      </c>
      <c r="L2172" s="507">
        <f t="shared" si="73"/>
        <v>0</v>
      </c>
      <c r="M2172" s="381" t="s">
        <v>5615</v>
      </c>
    </row>
    <row r="2173" spans="1:13" s="185" customFormat="1" ht="14.25" customHeight="1" thickBot="1">
      <c r="A2173" s="353">
        <v>95779</v>
      </c>
      <c r="B2173" s="194" t="s">
        <v>1678</v>
      </c>
      <c r="C2173" s="339">
        <f t="shared" si="74"/>
        <v>50000</v>
      </c>
      <c r="D2173" s="196" t="s">
        <v>819</v>
      </c>
      <c r="E2173" s="187" t="s">
        <v>3608</v>
      </c>
      <c r="F2173" s="507">
        <f>SUMIFS(Controle!$R:$R,Controle!$H:$H,produtos_escape2!$A2173,Controle!$Z:$Z,"1")</f>
        <v>0</v>
      </c>
      <c r="G2173" s="507">
        <f>SUMIFS(Controle!$R:$R,Controle!$H:$H,produtos_escape2!$A2173,Controle!$Z:$Z,"2")</f>
        <v>0</v>
      </c>
      <c r="H2173" s="507">
        <f>SUMIFS(Controle!$R:$R,Controle!$H:$H,produtos_escape2!$A2173,Controle!$Z:$Z,"3")</f>
        <v>0</v>
      </c>
      <c r="I2173" s="507">
        <f>SUMIFS(Controle!$R:$R,Controle!$H:$H,produtos_escape2!$A2173,Controle!$Z:$Z,"4")</f>
        <v>0</v>
      </c>
      <c r="J2173" s="507">
        <f>SUMIFS(Controle!$R:$R,Controle!$H:$H,produtos_escape2!$A2173,Controle!$Z:$Z,"5")</f>
        <v>0</v>
      </c>
      <c r="K2173" s="507">
        <f>SUMIFS(Controle!$R:$R,Controle!$H:$H,produtos_escape2!$A2173,Controle!$Z:$Z,"6")</f>
        <v>0</v>
      </c>
      <c r="L2173" s="507">
        <f t="shared" si="73"/>
        <v>0</v>
      </c>
      <c r="M2173" s="381" t="s">
        <v>5616</v>
      </c>
    </row>
    <row r="2174" spans="1:13" s="185" customFormat="1" ht="14.25" customHeight="1" thickBot="1">
      <c r="A2174" s="353">
        <v>95780</v>
      </c>
      <c r="B2174" s="338" t="s">
        <v>1116</v>
      </c>
      <c r="C2174" s="339">
        <f t="shared" si="74"/>
        <v>50000</v>
      </c>
      <c r="D2174" s="196" t="s">
        <v>819</v>
      </c>
      <c r="E2174" s="187" t="s">
        <v>3608</v>
      </c>
      <c r="F2174" s="507">
        <f>SUMIFS(Controle!$R:$R,Controle!$H:$H,produtos_escape2!$A2174,Controle!$Z:$Z,"1")</f>
        <v>0</v>
      </c>
      <c r="G2174" s="507">
        <f>SUMIFS(Controle!$R:$R,Controle!$H:$H,produtos_escape2!$A2174,Controle!$Z:$Z,"2")</f>
        <v>0</v>
      </c>
      <c r="H2174" s="507">
        <f>SUMIFS(Controle!$R:$R,Controle!$H:$H,produtos_escape2!$A2174,Controle!$Z:$Z,"3")</f>
        <v>0</v>
      </c>
      <c r="I2174" s="507">
        <f>SUMIFS(Controle!$R:$R,Controle!$H:$H,produtos_escape2!$A2174,Controle!$Z:$Z,"4")</f>
        <v>0</v>
      </c>
      <c r="J2174" s="507">
        <f>SUMIFS(Controle!$R:$R,Controle!$H:$H,produtos_escape2!$A2174,Controle!$Z:$Z,"5")</f>
        <v>0</v>
      </c>
      <c r="K2174" s="507">
        <f>SUMIFS(Controle!$R:$R,Controle!$H:$H,produtos_escape2!$A2174,Controle!$Z:$Z,"6")</f>
        <v>0</v>
      </c>
      <c r="L2174" s="507">
        <f t="shared" si="73"/>
        <v>0</v>
      </c>
      <c r="M2174" s="381" t="s">
        <v>5617</v>
      </c>
    </row>
    <row r="2175" spans="1:13" s="188" customFormat="1" ht="14.25" customHeight="1" thickBot="1">
      <c r="A2175" s="353">
        <v>95781</v>
      </c>
      <c r="B2175" s="194" t="s">
        <v>937</v>
      </c>
      <c r="C2175" s="339">
        <f t="shared" si="74"/>
        <v>40946.36</v>
      </c>
      <c r="D2175" s="196" t="s">
        <v>819</v>
      </c>
      <c r="E2175" s="187" t="s">
        <v>3608</v>
      </c>
      <c r="F2175" s="507">
        <f>SUMIFS(Controle!$R:$R,Controle!$H:$H,produtos_escape2!$A2175,Controle!$Z:$Z,"1")</f>
        <v>0</v>
      </c>
      <c r="G2175" s="507">
        <f>SUMIFS(Controle!$R:$R,Controle!$H:$H,produtos_escape2!$A2175,Controle!$Z:$Z,"2")</f>
        <v>0</v>
      </c>
      <c r="H2175" s="507">
        <f>SUMIFS(Controle!$R:$R,Controle!$H:$H,produtos_escape2!$A2175,Controle!$Z:$Z,"3")</f>
        <v>0</v>
      </c>
      <c r="I2175" s="507">
        <f>SUMIFS(Controle!$R:$R,Controle!$H:$H,produtos_escape2!$A2175,Controle!$Z:$Z,"4")</f>
        <v>4804.04</v>
      </c>
      <c r="J2175" s="507">
        <f>SUMIFS(Controle!$R:$R,Controle!$H:$H,produtos_escape2!$A2175,Controle!$Z:$Z,"5")</f>
        <v>2011.9199999999998</v>
      </c>
      <c r="K2175" s="507">
        <f>SUMIFS(Controle!$R:$R,Controle!$H:$H,produtos_escape2!$A2175,Controle!$Z:$Z,"6")</f>
        <v>2237.6799999999998</v>
      </c>
      <c r="L2175" s="507">
        <f t="shared" ref="L2175:L2238" si="75">SUM(F2175:K2175)</f>
        <v>9053.64</v>
      </c>
      <c r="M2175" s="381" t="s">
        <v>5618</v>
      </c>
    </row>
    <row r="2176" spans="1:13" s="84" customFormat="1" ht="14.25" customHeight="1" thickBot="1">
      <c r="A2176" s="353">
        <v>95782</v>
      </c>
      <c r="B2176" s="194" t="s">
        <v>1679</v>
      </c>
      <c r="C2176" s="339">
        <f t="shared" si="74"/>
        <v>50000</v>
      </c>
      <c r="D2176" s="976" t="s">
        <v>819</v>
      </c>
      <c r="E2176" s="197" t="s">
        <v>3608</v>
      </c>
      <c r="F2176" s="507">
        <f>SUMIFS(Controle!$R:$R,Controle!$H:$H,produtos_escape2!$A2176,Controle!$Z:$Z,"1")</f>
        <v>0</v>
      </c>
      <c r="G2176" s="507">
        <f>SUMIFS(Controle!$R:$R,Controle!$H:$H,produtos_escape2!$A2176,Controle!$Z:$Z,"2")</f>
        <v>0</v>
      </c>
      <c r="H2176" s="507">
        <f>SUMIFS(Controle!$R:$R,Controle!$H:$H,produtos_escape2!$A2176,Controle!$Z:$Z,"3")</f>
        <v>0</v>
      </c>
      <c r="I2176" s="507">
        <f>SUMIFS(Controle!$R:$R,Controle!$H:$H,produtos_escape2!$A2176,Controle!$Z:$Z,"4")</f>
        <v>0</v>
      </c>
      <c r="J2176" s="507">
        <f>SUMIFS(Controle!$R:$R,Controle!$H:$H,produtos_escape2!$A2176,Controle!$Z:$Z,"5")</f>
        <v>0</v>
      </c>
      <c r="K2176" s="507">
        <f>SUMIFS(Controle!$R:$R,Controle!$H:$H,produtos_escape2!$A2176,Controle!$Z:$Z,"6")</f>
        <v>0</v>
      </c>
      <c r="L2176" s="507">
        <f t="shared" si="75"/>
        <v>0</v>
      </c>
      <c r="M2176" s="381" t="s">
        <v>5619</v>
      </c>
    </row>
    <row r="2177" spans="1:13" s="84" customFormat="1" ht="14.25" customHeight="1" thickBot="1">
      <c r="A2177" s="333">
        <v>95783</v>
      </c>
      <c r="B2177" s="194" t="s">
        <v>1571</v>
      </c>
      <c r="C2177" s="339">
        <f t="shared" si="74"/>
        <v>50000</v>
      </c>
      <c r="D2177" s="976" t="s">
        <v>819</v>
      </c>
      <c r="E2177" s="197" t="s">
        <v>3608</v>
      </c>
      <c r="F2177" s="507">
        <f>SUMIFS(Controle!$R:$R,Controle!$H:$H,produtos_escape2!$A2177,Controle!$Z:$Z,"1")</f>
        <v>0</v>
      </c>
      <c r="G2177" s="507">
        <f>SUMIFS(Controle!$R:$R,Controle!$H:$H,produtos_escape2!$A2177,Controle!$Z:$Z,"2")</f>
        <v>0</v>
      </c>
      <c r="H2177" s="507">
        <f>SUMIFS(Controle!$R:$R,Controle!$H:$H,produtos_escape2!$A2177,Controle!$Z:$Z,"3")</f>
        <v>0</v>
      </c>
      <c r="I2177" s="507">
        <f>SUMIFS(Controle!$R:$R,Controle!$H:$H,produtos_escape2!$A2177,Controle!$Z:$Z,"4")</f>
        <v>0</v>
      </c>
      <c r="J2177" s="507">
        <f>SUMIFS(Controle!$R:$R,Controle!$H:$H,produtos_escape2!$A2177,Controle!$Z:$Z,"5")</f>
        <v>0</v>
      </c>
      <c r="K2177" s="507">
        <f>SUMIFS(Controle!$R:$R,Controle!$H:$H,produtos_escape2!$A2177,Controle!$Z:$Z,"6")</f>
        <v>0</v>
      </c>
      <c r="L2177" s="507">
        <f t="shared" si="75"/>
        <v>0</v>
      </c>
      <c r="M2177" s="381" t="s">
        <v>5620</v>
      </c>
    </row>
    <row r="2178" spans="1:13" s="84" customFormat="1" ht="14.25" customHeight="1" thickBot="1">
      <c r="A2178" s="353">
        <v>95784</v>
      </c>
      <c r="B2178" s="194" t="s">
        <v>1681</v>
      </c>
      <c r="C2178" s="339">
        <f t="shared" si="74"/>
        <v>50000</v>
      </c>
      <c r="D2178" s="976" t="s">
        <v>819</v>
      </c>
      <c r="E2178" s="197" t="s">
        <v>3608</v>
      </c>
      <c r="F2178" s="507">
        <f>SUMIFS(Controle!$R:$R,Controle!$H:$H,produtos_escape2!$A2178,Controle!$Z:$Z,"1")</f>
        <v>0</v>
      </c>
      <c r="G2178" s="507">
        <f>SUMIFS(Controle!$R:$R,Controle!$H:$H,produtos_escape2!$A2178,Controle!$Z:$Z,"2")</f>
        <v>0</v>
      </c>
      <c r="H2178" s="507">
        <f>SUMIFS(Controle!$R:$R,Controle!$H:$H,produtos_escape2!$A2178,Controle!$Z:$Z,"3")</f>
        <v>0</v>
      </c>
      <c r="I2178" s="507">
        <f>SUMIFS(Controle!$R:$R,Controle!$H:$H,produtos_escape2!$A2178,Controle!$Z:$Z,"4")</f>
        <v>0</v>
      </c>
      <c r="J2178" s="507">
        <f>SUMIFS(Controle!$R:$R,Controle!$H:$H,produtos_escape2!$A2178,Controle!$Z:$Z,"5")</f>
        <v>0</v>
      </c>
      <c r="K2178" s="507">
        <f>SUMIFS(Controle!$R:$R,Controle!$H:$H,produtos_escape2!$A2178,Controle!$Z:$Z,"6")</f>
        <v>0</v>
      </c>
      <c r="L2178" s="507">
        <f t="shared" si="75"/>
        <v>0</v>
      </c>
      <c r="M2178" s="381" t="s">
        <v>5621</v>
      </c>
    </row>
    <row r="2179" spans="1:13" s="84" customFormat="1" ht="14.25" customHeight="1" thickBot="1">
      <c r="A2179" s="353">
        <v>95785</v>
      </c>
      <c r="B2179" s="194" t="s">
        <v>1682</v>
      </c>
      <c r="C2179" s="339">
        <f t="shared" si="74"/>
        <v>50000</v>
      </c>
      <c r="D2179" s="196" t="s">
        <v>819</v>
      </c>
      <c r="E2179" s="197" t="s">
        <v>3608</v>
      </c>
      <c r="F2179" s="507">
        <f>SUMIFS(Controle!$R:$R,Controle!$H:$H,produtos_escape2!$A2179,Controle!$Z:$Z,"1")</f>
        <v>0</v>
      </c>
      <c r="G2179" s="507">
        <f>SUMIFS(Controle!$R:$R,Controle!$H:$H,produtos_escape2!$A2179,Controle!$Z:$Z,"2")</f>
        <v>0</v>
      </c>
      <c r="H2179" s="507">
        <f>SUMIFS(Controle!$R:$R,Controle!$H:$H,produtos_escape2!$A2179,Controle!$Z:$Z,"3")</f>
        <v>0</v>
      </c>
      <c r="I2179" s="507">
        <f>SUMIFS(Controle!$R:$R,Controle!$H:$H,produtos_escape2!$A2179,Controle!$Z:$Z,"4")</f>
        <v>0</v>
      </c>
      <c r="J2179" s="507">
        <f>SUMIFS(Controle!$R:$R,Controle!$H:$H,produtos_escape2!$A2179,Controle!$Z:$Z,"5")</f>
        <v>0</v>
      </c>
      <c r="K2179" s="507">
        <f>SUMIFS(Controle!$R:$R,Controle!$H:$H,produtos_escape2!$A2179,Controle!$Z:$Z,"6")</f>
        <v>0</v>
      </c>
      <c r="L2179" s="507">
        <f t="shared" si="75"/>
        <v>0</v>
      </c>
      <c r="M2179" s="381" t="s">
        <v>5622</v>
      </c>
    </row>
    <row r="2180" spans="1:13" s="84" customFormat="1" ht="14.25" customHeight="1" thickBot="1">
      <c r="A2180" s="353">
        <v>95789</v>
      </c>
      <c r="B2180" s="194" t="s">
        <v>1677</v>
      </c>
      <c r="C2180" s="339">
        <f t="shared" si="74"/>
        <v>50000</v>
      </c>
      <c r="D2180" s="196" t="s">
        <v>819</v>
      </c>
      <c r="E2180" s="197" t="s">
        <v>3608</v>
      </c>
      <c r="F2180" s="507">
        <f>SUMIFS(Controle!$R:$R,Controle!$H:$H,produtos_escape2!$A2180,Controle!$Z:$Z,"1")</f>
        <v>0</v>
      </c>
      <c r="G2180" s="507">
        <f>SUMIFS(Controle!$R:$R,Controle!$H:$H,produtos_escape2!$A2180,Controle!$Z:$Z,"2")</f>
        <v>0</v>
      </c>
      <c r="H2180" s="507">
        <f>SUMIFS(Controle!$R:$R,Controle!$H:$H,produtos_escape2!$A2180,Controle!$Z:$Z,"3")</f>
        <v>0</v>
      </c>
      <c r="I2180" s="507">
        <f>SUMIFS(Controle!$R:$R,Controle!$H:$H,produtos_escape2!$A2180,Controle!$Z:$Z,"4")</f>
        <v>0</v>
      </c>
      <c r="J2180" s="507">
        <f>SUMIFS(Controle!$R:$R,Controle!$H:$H,produtos_escape2!$A2180,Controle!$Z:$Z,"5")</f>
        <v>0</v>
      </c>
      <c r="K2180" s="507">
        <f>SUMIFS(Controle!$R:$R,Controle!$H:$H,produtos_escape2!$A2180,Controle!$Z:$Z,"6")</f>
        <v>0</v>
      </c>
      <c r="L2180" s="507">
        <f t="shared" si="75"/>
        <v>0</v>
      </c>
      <c r="M2180" s="381" t="s">
        <v>5623</v>
      </c>
    </row>
    <row r="2181" spans="1:13" s="84" customFormat="1" ht="14.25" customHeight="1" thickBot="1">
      <c r="A2181" s="353">
        <v>95790</v>
      </c>
      <c r="B2181" s="194" t="s">
        <v>656</v>
      </c>
      <c r="C2181" s="339">
        <f t="shared" si="74"/>
        <v>50000</v>
      </c>
      <c r="D2181" s="196" t="s">
        <v>819</v>
      </c>
      <c r="E2181" s="197" t="s">
        <v>3608</v>
      </c>
      <c r="F2181" s="507">
        <f>SUMIFS(Controle!$R:$R,Controle!$H:$H,produtos_escape2!$A2181,Controle!$Z:$Z,"1")</f>
        <v>0</v>
      </c>
      <c r="G2181" s="507">
        <f>SUMIFS(Controle!$R:$R,Controle!$H:$H,produtos_escape2!$A2181,Controle!$Z:$Z,"2")</f>
        <v>0</v>
      </c>
      <c r="H2181" s="507">
        <f>SUMIFS(Controle!$R:$R,Controle!$H:$H,produtos_escape2!$A2181,Controle!$Z:$Z,"3")</f>
        <v>0</v>
      </c>
      <c r="I2181" s="507">
        <f>SUMIFS(Controle!$R:$R,Controle!$H:$H,produtos_escape2!$A2181,Controle!$Z:$Z,"4")</f>
        <v>0</v>
      </c>
      <c r="J2181" s="507">
        <f>SUMIFS(Controle!$R:$R,Controle!$H:$H,produtos_escape2!$A2181,Controle!$Z:$Z,"5")</f>
        <v>0</v>
      </c>
      <c r="K2181" s="507">
        <f>SUMIFS(Controle!$R:$R,Controle!$H:$H,produtos_escape2!$A2181,Controle!$Z:$Z,"6")</f>
        <v>0</v>
      </c>
      <c r="L2181" s="507">
        <f t="shared" si="75"/>
        <v>0</v>
      </c>
      <c r="M2181" s="381" t="s">
        <v>5692</v>
      </c>
    </row>
    <row r="2182" spans="1:13" s="84" customFormat="1" ht="14.25" customHeight="1" thickBot="1">
      <c r="A2182" s="353">
        <v>100159</v>
      </c>
      <c r="B2182" s="338" t="s">
        <v>2797</v>
      </c>
      <c r="C2182" s="339">
        <f t="shared" si="74"/>
        <v>50000</v>
      </c>
      <c r="D2182" s="196" t="s">
        <v>548</v>
      </c>
      <c r="E2182" s="197" t="s">
        <v>7207</v>
      </c>
      <c r="F2182" s="507">
        <f>SUMIFS(Controle!$R:$R,Controle!$H:$H,produtos_escape2!$A2182,Controle!$Z:$Z,"1")</f>
        <v>0</v>
      </c>
      <c r="G2182" s="507">
        <f>SUMIFS(Controle!$R:$R,Controle!$H:$H,produtos_escape2!$A2182,Controle!$Z:$Z,"2")</f>
        <v>0</v>
      </c>
      <c r="H2182" s="507">
        <f>SUMIFS(Controle!$R:$R,Controle!$H:$H,produtos_escape2!$A2182,Controle!$Z:$Z,"3")</f>
        <v>0</v>
      </c>
      <c r="I2182" s="507">
        <f>SUMIFS(Controle!$R:$R,Controle!$H:$H,produtos_escape2!$A2182,Controle!$Z:$Z,"4")</f>
        <v>0</v>
      </c>
      <c r="J2182" s="507">
        <f>SUMIFS(Controle!$R:$R,Controle!$H:$H,produtos_escape2!$A2182,Controle!$Z:$Z,"5")</f>
        <v>0</v>
      </c>
      <c r="K2182" s="507">
        <f>SUMIFS(Controle!$R:$R,Controle!$H:$H,produtos_escape2!$A2182,Controle!$Z:$Z,"6")</f>
        <v>0</v>
      </c>
      <c r="L2182" s="507">
        <f t="shared" si="75"/>
        <v>0</v>
      </c>
      <c r="M2182" s="381" t="s">
        <v>5624</v>
      </c>
    </row>
    <row r="2183" spans="1:13" s="84" customFormat="1" ht="14.25" customHeight="1" thickBot="1">
      <c r="A2183" s="353">
        <v>100173</v>
      </c>
      <c r="B2183" s="194" t="s">
        <v>130</v>
      </c>
      <c r="C2183" s="339">
        <f t="shared" si="74"/>
        <v>50000</v>
      </c>
      <c r="D2183" s="191" t="s">
        <v>624</v>
      </c>
      <c r="E2183" s="172" t="s">
        <v>3608</v>
      </c>
      <c r="F2183" s="507">
        <f>SUMIFS(Controle!$R:$R,Controle!$H:$H,produtos_escape2!$A2183,Controle!$Z:$Z,"1")</f>
        <v>0</v>
      </c>
      <c r="G2183" s="507">
        <f>SUMIFS(Controle!$R:$R,Controle!$H:$H,produtos_escape2!$A2183,Controle!$Z:$Z,"2")</f>
        <v>0</v>
      </c>
      <c r="H2183" s="507">
        <f>SUMIFS(Controle!$R:$R,Controle!$H:$H,produtos_escape2!$A2183,Controle!$Z:$Z,"3")</f>
        <v>0</v>
      </c>
      <c r="I2183" s="507">
        <f>SUMIFS(Controle!$R:$R,Controle!$H:$H,produtos_escape2!$A2183,Controle!$Z:$Z,"4")</f>
        <v>0</v>
      </c>
      <c r="J2183" s="507">
        <f>SUMIFS(Controle!$R:$R,Controle!$H:$H,produtos_escape2!$A2183,Controle!$Z:$Z,"5")</f>
        <v>0</v>
      </c>
      <c r="K2183" s="507">
        <f>SUMIFS(Controle!$R:$R,Controle!$H:$H,produtos_escape2!$A2183,Controle!$Z:$Z,"6")</f>
        <v>0</v>
      </c>
      <c r="L2183" s="507">
        <f t="shared" si="75"/>
        <v>0</v>
      </c>
      <c r="M2183" s="381" t="s">
        <v>5625</v>
      </c>
    </row>
    <row r="2184" spans="1:13" s="84" customFormat="1" ht="14.25" customHeight="1" thickBot="1">
      <c r="A2184" s="353">
        <v>100192</v>
      </c>
      <c r="B2184" s="194" t="s">
        <v>274</v>
      </c>
      <c r="C2184" s="339">
        <f t="shared" si="74"/>
        <v>50000</v>
      </c>
      <c r="D2184" s="191" t="s">
        <v>624</v>
      </c>
      <c r="E2184" s="172" t="s">
        <v>3608</v>
      </c>
      <c r="F2184" s="507">
        <f>SUMIFS(Controle!$R:$R,Controle!$H:$H,produtos_escape2!$A2184,Controle!$Z:$Z,"1")</f>
        <v>0</v>
      </c>
      <c r="G2184" s="507">
        <f>SUMIFS(Controle!$R:$R,Controle!$H:$H,produtos_escape2!$A2184,Controle!$Z:$Z,"2")</f>
        <v>0</v>
      </c>
      <c r="H2184" s="507">
        <f>SUMIFS(Controle!$R:$R,Controle!$H:$H,produtos_escape2!$A2184,Controle!$Z:$Z,"3")</f>
        <v>0</v>
      </c>
      <c r="I2184" s="507">
        <f>SUMIFS(Controle!$R:$R,Controle!$H:$H,produtos_escape2!$A2184,Controle!$Z:$Z,"4")</f>
        <v>0</v>
      </c>
      <c r="J2184" s="507">
        <f>SUMIFS(Controle!$R:$R,Controle!$H:$H,produtos_escape2!$A2184,Controle!$Z:$Z,"5")</f>
        <v>0</v>
      </c>
      <c r="K2184" s="507">
        <f>SUMIFS(Controle!$R:$R,Controle!$H:$H,produtos_escape2!$A2184,Controle!$Z:$Z,"6")</f>
        <v>0</v>
      </c>
      <c r="L2184" s="507">
        <f t="shared" si="75"/>
        <v>0</v>
      </c>
      <c r="M2184" s="381" t="s">
        <v>5691</v>
      </c>
    </row>
    <row r="2185" spans="1:13" s="84" customFormat="1" ht="14.25" customHeight="1" thickBot="1">
      <c r="A2185" s="353">
        <v>100304</v>
      </c>
      <c r="B2185" s="194" t="s">
        <v>10054</v>
      </c>
      <c r="C2185" s="339">
        <f t="shared" ref="C2185:C2248" si="76">50000-SUM(F2185:K2185)</f>
        <v>50000</v>
      </c>
      <c r="D2185" s="196" t="s">
        <v>548</v>
      </c>
      <c r="E2185" s="172" t="s">
        <v>3608</v>
      </c>
      <c r="F2185" s="507">
        <f>SUMIFS(Controle!$R:$R,Controle!$H:$H,produtos_escape2!$A2185,Controle!$Z:$Z,"1")</f>
        <v>0</v>
      </c>
      <c r="G2185" s="507">
        <f>SUMIFS(Controle!$R:$R,Controle!$H:$H,produtos_escape2!$A2185,Controle!$Z:$Z,"2")</f>
        <v>0</v>
      </c>
      <c r="H2185" s="507">
        <f>SUMIFS(Controle!$R:$R,Controle!$H:$H,produtos_escape2!$A2185,Controle!$Z:$Z,"3")</f>
        <v>0</v>
      </c>
      <c r="I2185" s="507">
        <f>SUMIFS(Controle!$R:$R,Controle!$H:$H,produtos_escape2!$A2185,Controle!$Z:$Z,"4")</f>
        <v>0</v>
      </c>
      <c r="J2185" s="507">
        <f>SUMIFS(Controle!$R:$R,Controle!$H:$H,produtos_escape2!$A2185,Controle!$Z:$Z,"5")</f>
        <v>0</v>
      </c>
      <c r="K2185" s="507">
        <f>SUMIFS(Controle!$R:$R,Controle!$H:$H,produtos_escape2!$A2185,Controle!$Z:$Z,"6")</f>
        <v>0</v>
      </c>
      <c r="L2185" s="507">
        <f t="shared" si="75"/>
        <v>0</v>
      </c>
      <c r="M2185" s="65" t="s">
        <v>10055</v>
      </c>
    </row>
    <row r="2186" spans="1:13" s="84" customFormat="1" ht="14.25" customHeight="1" thickBot="1">
      <c r="A2186" s="353">
        <v>100373</v>
      </c>
      <c r="B2186" s="194" t="s">
        <v>7995</v>
      </c>
      <c r="C2186" s="339">
        <f t="shared" si="76"/>
        <v>49965.5</v>
      </c>
      <c r="D2186" s="196" t="s">
        <v>548</v>
      </c>
      <c r="E2186" s="172" t="s">
        <v>3608</v>
      </c>
      <c r="F2186" s="507">
        <f>SUMIFS(Controle!$R:$R,Controle!$H:$H,produtos_escape2!$A2186,Controle!$Z:$Z,"1")</f>
        <v>0</v>
      </c>
      <c r="G2186" s="507">
        <f>SUMIFS(Controle!$R:$R,Controle!$H:$H,produtos_escape2!$A2186,Controle!$Z:$Z,"2")</f>
        <v>0</v>
      </c>
      <c r="H2186" s="507">
        <f>SUMIFS(Controle!$R:$R,Controle!$H:$H,produtos_escape2!$A2186,Controle!$Z:$Z,"3")</f>
        <v>34.5</v>
      </c>
      <c r="I2186" s="507">
        <f>SUMIFS(Controle!$R:$R,Controle!$H:$H,produtos_escape2!$A2186,Controle!$Z:$Z,"4")</f>
        <v>0</v>
      </c>
      <c r="J2186" s="507">
        <f>SUMIFS(Controle!$R:$R,Controle!$H:$H,produtos_escape2!$A2186,Controle!$Z:$Z,"5")</f>
        <v>0</v>
      </c>
      <c r="K2186" s="507">
        <f>SUMIFS(Controle!$R:$R,Controle!$H:$H,produtos_escape2!$A2186,Controle!$Z:$Z,"6")</f>
        <v>0</v>
      </c>
      <c r="L2186" s="507">
        <f t="shared" si="75"/>
        <v>34.5</v>
      </c>
      <c r="M2186" s="65" t="s">
        <v>7995</v>
      </c>
    </row>
    <row r="2187" spans="1:13" s="84" customFormat="1" ht="14.25" customHeight="1" thickBot="1">
      <c r="A2187" s="333">
        <v>112430</v>
      </c>
      <c r="B2187" s="194" t="s">
        <v>507</v>
      </c>
      <c r="C2187" s="339">
        <f t="shared" si="76"/>
        <v>50000</v>
      </c>
      <c r="D2187" s="196" t="s">
        <v>624</v>
      </c>
      <c r="E2187" s="197" t="s">
        <v>1739</v>
      </c>
      <c r="F2187" s="507">
        <f>SUMIFS(Controle!$R:$R,Controle!$H:$H,produtos_escape2!$A2187,Controle!$Z:$Z,"1")</f>
        <v>0</v>
      </c>
      <c r="G2187" s="507">
        <f>SUMIFS(Controle!$R:$R,Controle!$H:$H,produtos_escape2!$A2187,Controle!$Z:$Z,"2")</f>
        <v>0</v>
      </c>
      <c r="H2187" s="507">
        <f>SUMIFS(Controle!$R:$R,Controle!$H:$H,produtos_escape2!$A2187,Controle!$Z:$Z,"3")</f>
        <v>0</v>
      </c>
      <c r="I2187" s="507">
        <f>SUMIFS(Controle!$R:$R,Controle!$H:$H,produtos_escape2!$A2187,Controle!$Z:$Z,"4")</f>
        <v>0</v>
      </c>
      <c r="J2187" s="507">
        <f>SUMIFS(Controle!$R:$R,Controle!$H:$H,produtos_escape2!$A2187,Controle!$Z:$Z,"5")</f>
        <v>0</v>
      </c>
      <c r="K2187" s="507">
        <f>SUMIFS(Controle!$R:$R,Controle!$H:$H,produtos_escape2!$A2187,Controle!$Z:$Z,"6")</f>
        <v>0</v>
      </c>
      <c r="L2187" s="507">
        <f t="shared" si="75"/>
        <v>0</v>
      </c>
      <c r="M2187" s="381" t="s">
        <v>5626</v>
      </c>
    </row>
    <row r="2188" spans="1:13" s="84" customFormat="1" ht="14.25" customHeight="1" thickBot="1">
      <c r="A2188" s="353">
        <v>200040</v>
      </c>
      <c r="B2188" s="194" t="s">
        <v>10058</v>
      </c>
      <c r="C2188" s="339">
        <f t="shared" si="76"/>
        <v>49816</v>
      </c>
      <c r="D2188" s="196" t="s">
        <v>548</v>
      </c>
      <c r="E2188" s="197" t="s">
        <v>7207</v>
      </c>
      <c r="F2188" s="507">
        <f>SUMIFS(Controle!$R:$R,Controle!$H:$H,produtos_escape2!$A2188,Controle!$Z:$Z,"1")</f>
        <v>0</v>
      </c>
      <c r="G2188" s="507">
        <f>SUMIFS(Controle!$R:$R,Controle!$H:$H,produtos_escape2!$A2188,Controle!$Z:$Z,"2")</f>
        <v>0</v>
      </c>
      <c r="H2188" s="507">
        <f>SUMIFS(Controle!$R:$R,Controle!$H:$H,produtos_escape2!$A2188,Controle!$Z:$Z,"3")</f>
        <v>0</v>
      </c>
      <c r="I2188" s="507">
        <f>SUMIFS(Controle!$R:$R,Controle!$H:$H,produtos_escape2!$A2188,Controle!$Z:$Z,"4")</f>
        <v>0</v>
      </c>
      <c r="J2188" s="507">
        <f>SUMIFS(Controle!$R:$R,Controle!$H:$H,produtos_escape2!$A2188,Controle!$Z:$Z,"5")</f>
        <v>0</v>
      </c>
      <c r="K2188" s="507">
        <f>SUMIFS(Controle!$R:$R,Controle!$H:$H,produtos_escape2!$A2188,Controle!$Z:$Z,"6")</f>
        <v>184</v>
      </c>
      <c r="L2188" s="507">
        <f t="shared" si="75"/>
        <v>184</v>
      </c>
      <c r="M2188" s="381" t="s">
        <v>10059</v>
      </c>
    </row>
    <row r="2189" spans="1:13" s="84" customFormat="1" ht="14.25" customHeight="1" thickBot="1">
      <c r="A2189" s="353">
        <v>200259</v>
      </c>
      <c r="B2189" s="194" t="s">
        <v>1632</v>
      </c>
      <c r="C2189" s="339">
        <f t="shared" si="76"/>
        <v>50000</v>
      </c>
      <c r="D2189" s="196" t="s">
        <v>624</v>
      </c>
      <c r="E2189" s="197" t="s">
        <v>7207</v>
      </c>
      <c r="F2189" s="507">
        <f>SUMIFS(Controle!$R:$R,Controle!$H:$H,produtos_escape2!$A2189,Controle!$Z:$Z,"1")</f>
        <v>0</v>
      </c>
      <c r="G2189" s="507">
        <f>SUMIFS(Controle!$R:$R,Controle!$H:$H,produtos_escape2!$A2189,Controle!$Z:$Z,"2")</f>
        <v>0</v>
      </c>
      <c r="H2189" s="507">
        <f>SUMIFS(Controle!$R:$R,Controle!$H:$H,produtos_escape2!$A2189,Controle!$Z:$Z,"3")</f>
        <v>0</v>
      </c>
      <c r="I2189" s="507">
        <f>SUMIFS(Controle!$R:$R,Controle!$H:$H,produtos_escape2!$A2189,Controle!$Z:$Z,"4")</f>
        <v>0</v>
      </c>
      <c r="J2189" s="507">
        <f>SUMIFS(Controle!$R:$R,Controle!$H:$H,produtos_escape2!$A2189,Controle!$Z:$Z,"5")</f>
        <v>0</v>
      </c>
      <c r="K2189" s="507">
        <f>SUMIFS(Controle!$R:$R,Controle!$H:$H,produtos_escape2!$A2189,Controle!$Z:$Z,"6")</f>
        <v>0</v>
      </c>
      <c r="L2189" s="507">
        <f t="shared" si="75"/>
        <v>0</v>
      </c>
      <c r="M2189" s="381" t="s">
        <v>5690</v>
      </c>
    </row>
    <row r="2190" spans="1:13" s="84" customFormat="1" ht="14.25" customHeight="1" thickBot="1">
      <c r="A2190" s="353">
        <v>200260</v>
      </c>
      <c r="B2190" s="194" t="s">
        <v>6946</v>
      </c>
      <c r="C2190" s="339">
        <f t="shared" si="76"/>
        <v>50000</v>
      </c>
      <c r="D2190" s="196" t="s">
        <v>624</v>
      </c>
      <c r="E2190" s="197" t="s">
        <v>7207</v>
      </c>
      <c r="F2190" s="507">
        <f>SUMIFS(Controle!$R:$R,Controle!$H:$H,produtos_escape2!$A2190,Controle!$Z:$Z,"1")</f>
        <v>0</v>
      </c>
      <c r="G2190" s="507">
        <f>SUMIFS(Controle!$R:$R,Controle!$H:$H,produtos_escape2!$A2190,Controle!$Z:$Z,"2")</f>
        <v>0</v>
      </c>
      <c r="H2190" s="507">
        <f>SUMIFS(Controle!$R:$R,Controle!$H:$H,produtos_escape2!$A2190,Controle!$Z:$Z,"3")</f>
        <v>0</v>
      </c>
      <c r="I2190" s="507">
        <f>SUMIFS(Controle!$R:$R,Controle!$H:$H,produtos_escape2!$A2190,Controle!$Z:$Z,"4")</f>
        <v>0</v>
      </c>
      <c r="J2190" s="507">
        <f>SUMIFS(Controle!$R:$R,Controle!$H:$H,produtos_escape2!$A2190,Controle!$Z:$Z,"5")</f>
        <v>0</v>
      </c>
      <c r="K2190" s="507">
        <f>SUMIFS(Controle!$R:$R,Controle!$H:$H,produtos_escape2!$A2190,Controle!$Z:$Z,"6")</f>
        <v>0</v>
      </c>
      <c r="L2190" s="507">
        <f t="shared" si="75"/>
        <v>0</v>
      </c>
      <c r="M2190" s="381" t="s">
        <v>6945</v>
      </c>
    </row>
    <row r="2191" spans="1:13" s="84" customFormat="1" ht="14.25" customHeight="1" thickBot="1">
      <c r="A2191" s="353">
        <v>200277</v>
      </c>
      <c r="B2191" s="194" t="s">
        <v>3467</v>
      </c>
      <c r="C2191" s="339">
        <f t="shared" si="76"/>
        <v>50000</v>
      </c>
      <c r="D2191" s="196" t="s">
        <v>624</v>
      </c>
      <c r="E2191" s="172" t="s">
        <v>7207</v>
      </c>
      <c r="F2191" s="507">
        <f>SUMIFS(Controle!$R:$R,Controle!$H:$H,produtos_escape2!$A2191,Controle!$Z:$Z,"1")</f>
        <v>0</v>
      </c>
      <c r="G2191" s="507">
        <f>SUMIFS(Controle!$R:$R,Controle!$H:$H,produtos_escape2!$A2191,Controle!$Z:$Z,"2")</f>
        <v>0</v>
      </c>
      <c r="H2191" s="507">
        <f>SUMIFS(Controle!$R:$R,Controle!$H:$H,produtos_escape2!$A2191,Controle!$Z:$Z,"3")</f>
        <v>0</v>
      </c>
      <c r="I2191" s="507">
        <f>SUMIFS(Controle!$R:$R,Controle!$H:$H,produtos_escape2!$A2191,Controle!$Z:$Z,"4")</f>
        <v>0</v>
      </c>
      <c r="J2191" s="507">
        <f>SUMIFS(Controle!$R:$R,Controle!$H:$H,produtos_escape2!$A2191,Controle!$Z:$Z,"5")</f>
        <v>0</v>
      </c>
      <c r="K2191" s="507">
        <f>SUMIFS(Controle!$R:$R,Controle!$H:$H,produtos_escape2!$A2191,Controle!$Z:$Z,"6")</f>
        <v>0</v>
      </c>
      <c r="L2191" s="507">
        <f t="shared" si="75"/>
        <v>0</v>
      </c>
      <c r="M2191" s="381" t="s">
        <v>5627</v>
      </c>
    </row>
    <row r="2192" spans="1:13" s="84" customFormat="1" ht="14.25" customHeight="1" thickBot="1">
      <c r="A2192" s="353">
        <v>200279</v>
      </c>
      <c r="B2192" s="194" t="s">
        <v>582</v>
      </c>
      <c r="C2192" s="339">
        <f t="shared" si="76"/>
        <v>50000</v>
      </c>
      <c r="D2192" s="196"/>
      <c r="E2192" s="197" t="s">
        <v>1739</v>
      </c>
      <c r="F2192" s="507">
        <f>SUMIFS(Controle!$R:$R,Controle!$H:$H,produtos_escape2!$A2192,Controle!$Z:$Z,"1")</f>
        <v>0</v>
      </c>
      <c r="G2192" s="507">
        <f>SUMIFS(Controle!$R:$R,Controle!$H:$H,produtos_escape2!$A2192,Controle!$Z:$Z,"2")</f>
        <v>0</v>
      </c>
      <c r="H2192" s="507">
        <f>SUMIFS(Controle!$R:$R,Controle!$H:$H,produtos_escape2!$A2192,Controle!$Z:$Z,"3")</f>
        <v>0</v>
      </c>
      <c r="I2192" s="507">
        <f>SUMIFS(Controle!$R:$R,Controle!$H:$H,produtos_escape2!$A2192,Controle!$Z:$Z,"4")</f>
        <v>0</v>
      </c>
      <c r="J2192" s="507">
        <f>SUMIFS(Controle!$R:$R,Controle!$H:$H,produtos_escape2!$A2192,Controle!$Z:$Z,"5")</f>
        <v>0</v>
      </c>
      <c r="K2192" s="507">
        <f>SUMIFS(Controle!$R:$R,Controle!$H:$H,produtos_escape2!$A2192,Controle!$Z:$Z,"6")</f>
        <v>0</v>
      </c>
      <c r="L2192" s="507">
        <f t="shared" si="75"/>
        <v>0</v>
      </c>
      <c r="M2192" s="381" t="s">
        <v>5628</v>
      </c>
    </row>
    <row r="2193" spans="1:13" s="84" customFormat="1" ht="14.25" customHeight="1" thickBot="1">
      <c r="A2193" s="353">
        <v>200293</v>
      </c>
      <c r="B2193" s="194" t="s">
        <v>7562</v>
      </c>
      <c r="C2193" s="339">
        <f t="shared" si="76"/>
        <v>43550</v>
      </c>
      <c r="D2193" s="196" t="s">
        <v>550</v>
      </c>
      <c r="E2193" s="197" t="s">
        <v>7207</v>
      </c>
      <c r="F2193" s="507">
        <f>SUMIFS(Controle!$R:$R,Controle!$H:$H,produtos_escape2!$A2193,Controle!$Z:$Z,"1")</f>
        <v>0</v>
      </c>
      <c r="G2193" s="507">
        <f>SUMIFS(Controle!$R:$R,Controle!$H:$H,produtos_escape2!$A2193,Controle!$Z:$Z,"2")</f>
        <v>6450</v>
      </c>
      <c r="H2193" s="507">
        <f>SUMIFS(Controle!$R:$R,Controle!$H:$H,produtos_escape2!$A2193,Controle!$Z:$Z,"3")</f>
        <v>0</v>
      </c>
      <c r="I2193" s="507">
        <f>SUMIFS(Controle!$R:$R,Controle!$H:$H,produtos_escape2!$A2193,Controle!$Z:$Z,"4")</f>
        <v>0</v>
      </c>
      <c r="J2193" s="507">
        <f>SUMIFS(Controle!$R:$R,Controle!$H:$H,produtos_escape2!$A2193,Controle!$Z:$Z,"5")</f>
        <v>0</v>
      </c>
      <c r="K2193" s="507">
        <f>SUMIFS(Controle!$R:$R,Controle!$H:$H,produtos_escape2!$A2193,Controle!$Z:$Z,"6")</f>
        <v>0</v>
      </c>
      <c r="L2193" s="507">
        <f t="shared" si="75"/>
        <v>6450</v>
      </c>
      <c r="M2193" s="381" t="s">
        <v>7563</v>
      </c>
    </row>
    <row r="2194" spans="1:13" s="84" customFormat="1" ht="14.25" customHeight="1" thickBot="1">
      <c r="A2194" s="353">
        <v>200295</v>
      </c>
      <c r="B2194" s="194" t="s">
        <v>517</v>
      </c>
      <c r="C2194" s="339">
        <f t="shared" si="76"/>
        <v>50000</v>
      </c>
      <c r="D2194" s="196"/>
      <c r="E2194" s="197" t="s">
        <v>1739</v>
      </c>
      <c r="F2194" s="507">
        <f>SUMIFS(Controle!$R:$R,Controle!$H:$H,produtos_escape2!$A2194,Controle!$Z:$Z,"1")</f>
        <v>0</v>
      </c>
      <c r="G2194" s="507">
        <f>SUMIFS(Controle!$R:$R,Controle!$H:$H,produtos_escape2!$A2194,Controle!$Z:$Z,"2")</f>
        <v>0</v>
      </c>
      <c r="H2194" s="507">
        <f>SUMIFS(Controle!$R:$R,Controle!$H:$H,produtos_escape2!$A2194,Controle!$Z:$Z,"3")</f>
        <v>0</v>
      </c>
      <c r="I2194" s="507">
        <f>SUMIFS(Controle!$R:$R,Controle!$H:$H,produtos_escape2!$A2194,Controle!$Z:$Z,"4")</f>
        <v>0</v>
      </c>
      <c r="J2194" s="507">
        <f>SUMIFS(Controle!$R:$R,Controle!$H:$H,produtos_escape2!$A2194,Controle!$Z:$Z,"5")</f>
        <v>0</v>
      </c>
      <c r="K2194" s="507">
        <f>SUMIFS(Controle!$R:$R,Controle!$H:$H,produtos_escape2!$A2194,Controle!$Z:$Z,"6")</f>
        <v>0</v>
      </c>
      <c r="L2194" s="507">
        <f t="shared" si="75"/>
        <v>0</v>
      </c>
      <c r="M2194" s="381" t="s">
        <v>5629</v>
      </c>
    </row>
    <row r="2195" spans="1:13" s="84" customFormat="1" ht="14.25" customHeight="1" thickBot="1">
      <c r="A2195" s="353">
        <v>200299</v>
      </c>
      <c r="B2195" s="338" t="s">
        <v>4434</v>
      </c>
      <c r="C2195" s="339">
        <f t="shared" si="76"/>
        <v>50000</v>
      </c>
      <c r="D2195" s="196" t="s">
        <v>624</v>
      </c>
      <c r="E2195" s="197" t="s">
        <v>1739</v>
      </c>
      <c r="F2195" s="507">
        <f>SUMIFS(Controle!$R:$R,Controle!$H:$H,produtos_escape2!$A2195,Controle!$Z:$Z,"1")</f>
        <v>0</v>
      </c>
      <c r="G2195" s="507">
        <f>SUMIFS(Controle!$R:$R,Controle!$H:$H,produtos_escape2!$A2195,Controle!$Z:$Z,"2")</f>
        <v>0</v>
      </c>
      <c r="H2195" s="507">
        <f>SUMIFS(Controle!$R:$R,Controle!$H:$H,produtos_escape2!$A2195,Controle!$Z:$Z,"3")</f>
        <v>0</v>
      </c>
      <c r="I2195" s="507">
        <f>SUMIFS(Controle!$R:$R,Controle!$H:$H,produtos_escape2!$A2195,Controle!$Z:$Z,"4")</f>
        <v>0</v>
      </c>
      <c r="J2195" s="507">
        <f>SUMIFS(Controle!$R:$R,Controle!$H:$H,produtos_escape2!$A2195,Controle!$Z:$Z,"5")</f>
        <v>0</v>
      </c>
      <c r="K2195" s="507">
        <f>SUMIFS(Controle!$R:$R,Controle!$H:$H,produtos_escape2!$A2195,Controle!$Z:$Z,"6")</f>
        <v>0</v>
      </c>
      <c r="L2195" s="507">
        <f t="shared" si="75"/>
        <v>0</v>
      </c>
      <c r="M2195" s="381" t="s">
        <v>5630</v>
      </c>
    </row>
    <row r="2196" spans="1:13" s="84" customFormat="1" ht="14.25" customHeight="1" thickBot="1">
      <c r="A2196" s="353">
        <v>200397</v>
      </c>
      <c r="B2196" s="403" t="s">
        <v>408</v>
      </c>
      <c r="C2196" s="339">
        <f t="shared" si="76"/>
        <v>50000</v>
      </c>
      <c r="D2196" s="196"/>
      <c r="E2196" s="197"/>
      <c r="F2196" s="507">
        <f>SUMIFS(Controle!$R:$R,Controle!$H:$H,produtos_escape2!$A2196,Controle!$Z:$Z,"1")</f>
        <v>0</v>
      </c>
      <c r="G2196" s="507">
        <f>SUMIFS(Controle!$R:$R,Controle!$H:$H,produtos_escape2!$A2196,Controle!$Z:$Z,"2")</f>
        <v>0</v>
      </c>
      <c r="H2196" s="507">
        <f>SUMIFS(Controle!$R:$R,Controle!$H:$H,produtos_escape2!$A2196,Controle!$Z:$Z,"3")</f>
        <v>0</v>
      </c>
      <c r="I2196" s="507">
        <f>SUMIFS(Controle!$R:$R,Controle!$H:$H,produtos_escape2!$A2196,Controle!$Z:$Z,"4")</f>
        <v>0</v>
      </c>
      <c r="J2196" s="507">
        <f>SUMIFS(Controle!$R:$R,Controle!$H:$H,produtos_escape2!$A2196,Controle!$Z:$Z,"5")</f>
        <v>0</v>
      </c>
      <c r="K2196" s="507">
        <f>SUMIFS(Controle!$R:$R,Controle!$H:$H,produtos_escape2!$A2196,Controle!$Z:$Z,"6")</f>
        <v>0</v>
      </c>
      <c r="L2196" s="507">
        <f t="shared" si="75"/>
        <v>0</v>
      </c>
      <c r="M2196" s="381" t="s">
        <v>5631</v>
      </c>
    </row>
    <row r="2197" spans="1:13" s="84" customFormat="1" ht="14.25" customHeight="1" thickBot="1">
      <c r="A2197" s="353">
        <v>200398</v>
      </c>
      <c r="B2197" s="194" t="s">
        <v>1328</v>
      </c>
      <c r="C2197" s="339">
        <f t="shared" si="76"/>
        <v>50000</v>
      </c>
      <c r="D2197" s="196" t="s">
        <v>624</v>
      </c>
      <c r="E2197" s="197" t="s">
        <v>7207</v>
      </c>
      <c r="F2197" s="507">
        <f>SUMIFS(Controle!$R:$R,Controle!$H:$H,produtos_escape2!$A2197,Controle!$Z:$Z,"1")</f>
        <v>0</v>
      </c>
      <c r="G2197" s="507">
        <f>SUMIFS(Controle!$R:$R,Controle!$H:$H,produtos_escape2!$A2197,Controle!$Z:$Z,"2")</f>
        <v>0</v>
      </c>
      <c r="H2197" s="507">
        <f>SUMIFS(Controle!$R:$R,Controle!$H:$H,produtos_escape2!$A2197,Controle!$Z:$Z,"3")</f>
        <v>0</v>
      </c>
      <c r="I2197" s="507">
        <f>SUMIFS(Controle!$R:$R,Controle!$H:$H,produtos_escape2!$A2197,Controle!$Z:$Z,"4")</f>
        <v>0</v>
      </c>
      <c r="J2197" s="507">
        <f>SUMIFS(Controle!$R:$R,Controle!$H:$H,produtos_escape2!$A2197,Controle!$Z:$Z,"5")</f>
        <v>0</v>
      </c>
      <c r="K2197" s="507">
        <f>SUMIFS(Controle!$R:$R,Controle!$H:$H,produtos_escape2!$A2197,Controle!$Z:$Z,"6")</f>
        <v>0</v>
      </c>
      <c r="L2197" s="507">
        <f t="shared" si="75"/>
        <v>0</v>
      </c>
      <c r="M2197" s="381" t="s">
        <v>4850</v>
      </c>
    </row>
    <row r="2198" spans="1:13" s="84" customFormat="1" ht="14.25" customHeight="1" thickBot="1">
      <c r="A2198" s="333">
        <v>200574</v>
      </c>
      <c r="B2198" s="194" t="s">
        <v>153</v>
      </c>
      <c r="C2198" s="339">
        <f t="shared" si="76"/>
        <v>50000</v>
      </c>
      <c r="D2198" s="191" t="s">
        <v>624</v>
      </c>
      <c r="E2198" s="172" t="s">
        <v>7207</v>
      </c>
      <c r="F2198" s="507">
        <f>SUMIFS(Controle!$R:$R,Controle!$H:$H,produtos_escape2!$A2198,Controle!$Z:$Z,"1")</f>
        <v>0</v>
      </c>
      <c r="G2198" s="507">
        <f>SUMIFS(Controle!$R:$R,Controle!$H:$H,produtos_escape2!$A2198,Controle!$Z:$Z,"2")</f>
        <v>0</v>
      </c>
      <c r="H2198" s="507">
        <f>SUMIFS(Controle!$R:$R,Controle!$H:$H,produtos_escape2!$A2198,Controle!$Z:$Z,"3")</f>
        <v>0</v>
      </c>
      <c r="I2198" s="507">
        <f>SUMIFS(Controle!$R:$R,Controle!$H:$H,produtos_escape2!$A2198,Controle!$Z:$Z,"4")</f>
        <v>0</v>
      </c>
      <c r="J2198" s="507">
        <f>SUMIFS(Controle!$R:$R,Controle!$H:$H,produtos_escape2!$A2198,Controle!$Z:$Z,"5")</f>
        <v>0</v>
      </c>
      <c r="K2198" s="507">
        <f>SUMIFS(Controle!$R:$R,Controle!$H:$H,produtos_escape2!$A2198,Controle!$Z:$Z,"6")</f>
        <v>0</v>
      </c>
      <c r="L2198" s="507">
        <f t="shared" si="75"/>
        <v>0</v>
      </c>
      <c r="M2198" s="381" t="s">
        <v>7368</v>
      </c>
    </row>
    <row r="2199" spans="1:13" s="84" customFormat="1" ht="14.25" customHeight="1" thickBot="1">
      <c r="A2199" s="353">
        <v>200575</v>
      </c>
      <c r="B2199" s="194" t="s">
        <v>154</v>
      </c>
      <c r="C2199" s="339">
        <f t="shared" si="76"/>
        <v>50000</v>
      </c>
      <c r="D2199" s="191" t="s">
        <v>624</v>
      </c>
      <c r="E2199" s="172" t="s">
        <v>7207</v>
      </c>
      <c r="F2199" s="507">
        <f>SUMIFS(Controle!$R:$R,Controle!$H:$H,produtos_escape2!$A2199,Controle!$Z:$Z,"1")</f>
        <v>0</v>
      </c>
      <c r="G2199" s="507">
        <f>SUMIFS(Controle!$R:$R,Controle!$H:$H,produtos_escape2!$A2199,Controle!$Z:$Z,"2")</f>
        <v>0</v>
      </c>
      <c r="H2199" s="507">
        <f>SUMIFS(Controle!$R:$R,Controle!$H:$H,produtos_escape2!$A2199,Controle!$Z:$Z,"3")</f>
        <v>0</v>
      </c>
      <c r="I2199" s="507">
        <f>SUMIFS(Controle!$R:$R,Controle!$H:$H,produtos_escape2!$A2199,Controle!$Z:$Z,"4")</f>
        <v>0</v>
      </c>
      <c r="J2199" s="507">
        <f>SUMIFS(Controle!$R:$R,Controle!$H:$H,produtos_escape2!$A2199,Controle!$Z:$Z,"5")</f>
        <v>0</v>
      </c>
      <c r="K2199" s="507">
        <f>SUMIFS(Controle!$R:$R,Controle!$H:$H,produtos_escape2!$A2199,Controle!$Z:$Z,"6")</f>
        <v>0</v>
      </c>
      <c r="L2199" s="507">
        <f t="shared" si="75"/>
        <v>0</v>
      </c>
      <c r="M2199" s="381" t="s">
        <v>7368</v>
      </c>
    </row>
    <row r="2200" spans="1:13" s="84" customFormat="1" ht="14.25" customHeight="1" thickBot="1">
      <c r="A2200" s="353">
        <v>200576</v>
      </c>
      <c r="B2200" s="194" t="s">
        <v>155</v>
      </c>
      <c r="C2200" s="339">
        <f t="shared" si="76"/>
        <v>50000</v>
      </c>
      <c r="D2200" s="196"/>
      <c r="E2200" s="197"/>
      <c r="F2200" s="507">
        <f>SUMIFS(Controle!$R:$R,Controle!$H:$H,produtos_escape2!$A2200,Controle!$Z:$Z,"1")</f>
        <v>0</v>
      </c>
      <c r="G2200" s="507">
        <f>SUMIFS(Controle!$R:$R,Controle!$H:$H,produtos_escape2!$A2200,Controle!$Z:$Z,"2")</f>
        <v>0</v>
      </c>
      <c r="H2200" s="507">
        <f>SUMIFS(Controle!$R:$R,Controle!$H:$H,produtos_escape2!$A2200,Controle!$Z:$Z,"3")</f>
        <v>0</v>
      </c>
      <c r="I2200" s="507">
        <f>SUMIFS(Controle!$R:$R,Controle!$H:$H,produtos_escape2!$A2200,Controle!$Z:$Z,"4")</f>
        <v>0</v>
      </c>
      <c r="J2200" s="507">
        <f>SUMIFS(Controle!$R:$R,Controle!$H:$H,produtos_escape2!$A2200,Controle!$Z:$Z,"5")</f>
        <v>0</v>
      </c>
      <c r="K2200" s="507">
        <f>SUMIFS(Controle!$R:$R,Controle!$H:$H,produtos_escape2!$A2200,Controle!$Z:$Z,"6")</f>
        <v>0</v>
      </c>
      <c r="L2200" s="507">
        <f t="shared" si="75"/>
        <v>0</v>
      </c>
      <c r="M2200" s="381" t="s">
        <v>7368</v>
      </c>
    </row>
    <row r="2201" spans="1:13" s="84" customFormat="1" ht="17.25" customHeight="1" thickBot="1">
      <c r="A2201" s="353">
        <v>200590</v>
      </c>
      <c r="B2201" s="194" t="s">
        <v>4046</v>
      </c>
      <c r="C2201" s="339">
        <f t="shared" si="76"/>
        <v>50000</v>
      </c>
      <c r="D2201" s="196" t="s">
        <v>830</v>
      </c>
      <c r="E2201" s="197" t="s">
        <v>7207</v>
      </c>
      <c r="F2201" s="507">
        <f>SUMIFS(Controle!$R:$R,Controle!$H:$H,produtos_escape2!$A2201,Controle!$Z:$Z,"1")</f>
        <v>0</v>
      </c>
      <c r="G2201" s="507">
        <f>SUMIFS(Controle!$R:$R,Controle!$H:$H,produtos_escape2!$A2201,Controle!$Z:$Z,"2")</f>
        <v>0</v>
      </c>
      <c r="H2201" s="507">
        <f>SUMIFS(Controle!$R:$R,Controle!$H:$H,produtos_escape2!$A2201,Controle!$Z:$Z,"3")</f>
        <v>0</v>
      </c>
      <c r="I2201" s="507">
        <f>SUMIFS(Controle!$R:$R,Controle!$H:$H,produtos_escape2!$A2201,Controle!$Z:$Z,"4")</f>
        <v>0</v>
      </c>
      <c r="J2201" s="507">
        <f>SUMIFS(Controle!$R:$R,Controle!$H:$H,produtos_escape2!$A2201,Controle!$Z:$Z,"5")</f>
        <v>0</v>
      </c>
      <c r="K2201" s="507">
        <f>SUMIFS(Controle!$R:$R,Controle!$H:$H,produtos_escape2!$A2201,Controle!$Z:$Z,"6")</f>
        <v>0</v>
      </c>
      <c r="L2201" s="507">
        <f t="shared" si="75"/>
        <v>0</v>
      </c>
      <c r="M2201" s="381" t="s">
        <v>4548</v>
      </c>
    </row>
    <row r="2202" spans="1:13" s="84" customFormat="1" ht="14.25" customHeight="1" thickBot="1">
      <c r="A2202" s="353">
        <v>200628</v>
      </c>
      <c r="B2202" s="194" t="s">
        <v>609</v>
      </c>
      <c r="C2202" s="339">
        <f t="shared" si="76"/>
        <v>50000</v>
      </c>
      <c r="D2202" s="196" t="s">
        <v>896</v>
      </c>
      <c r="E2202" s="197" t="s">
        <v>7207</v>
      </c>
      <c r="F2202" s="507">
        <f>SUMIFS(Controle!$R:$R,Controle!$H:$H,produtos_escape2!$A2202,Controle!$Z:$Z,"1")</f>
        <v>0</v>
      </c>
      <c r="G2202" s="507">
        <f>SUMIFS(Controle!$R:$R,Controle!$H:$H,produtos_escape2!$A2202,Controle!$Z:$Z,"2")</f>
        <v>0</v>
      </c>
      <c r="H2202" s="507">
        <f>SUMIFS(Controle!$R:$R,Controle!$H:$H,produtos_escape2!$A2202,Controle!$Z:$Z,"3")</f>
        <v>0</v>
      </c>
      <c r="I2202" s="507">
        <f>SUMIFS(Controle!$R:$R,Controle!$H:$H,produtos_escape2!$A2202,Controle!$Z:$Z,"4")</f>
        <v>0</v>
      </c>
      <c r="J2202" s="507">
        <f>SUMIFS(Controle!$R:$R,Controle!$H:$H,produtos_escape2!$A2202,Controle!$Z:$Z,"5")</f>
        <v>0</v>
      </c>
      <c r="K2202" s="507">
        <f>SUMIFS(Controle!$R:$R,Controle!$H:$H,produtos_escape2!$A2202,Controle!$Z:$Z,"6")</f>
        <v>0</v>
      </c>
      <c r="L2202" s="507">
        <f t="shared" si="75"/>
        <v>0</v>
      </c>
      <c r="M2202" s="381" t="s">
        <v>5632</v>
      </c>
    </row>
    <row r="2203" spans="1:13" s="84" customFormat="1" ht="14.25" customHeight="1" thickBot="1">
      <c r="A2203" s="353">
        <v>200655</v>
      </c>
      <c r="B2203" s="338" t="s">
        <v>1604</v>
      </c>
      <c r="C2203" s="339">
        <f t="shared" si="76"/>
        <v>50000</v>
      </c>
      <c r="D2203" s="196" t="s">
        <v>1605</v>
      </c>
      <c r="E2203" s="197" t="s">
        <v>1739</v>
      </c>
      <c r="F2203" s="507">
        <f>SUMIFS(Controle!$R:$R,Controle!$H:$H,produtos_escape2!$A2203,Controle!$Z:$Z,"1")</f>
        <v>0</v>
      </c>
      <c r="G2203" s="507">
        <f>SUMIFS(Controle!$R:$R,Controle!$H:$H,produtos_escape2!$A2203,Controle!$Z:$Z,"2")</f>
        <v>0</v>
      </c>
      <c r="H2203" s="507">
        <f>SUMIFS(Controle!$R:$R,Controle!$H:$H,produtos_escape2!$A2203,Controle!$Z:$Z,"3")</f>
        <v>0</v>
      </c>
      <c r="I2203" s="507">
        <f>SUMIFS(Controle!$R:$R,Controle!$H:$H,produtos_escape2!$A2203,Controle!$Z:$Z,"4")</f>
        <v>0</v>
      </c>
      <c r="J2203" s="507">
        <f>SUMIFS(Controle!$R:$R,Controle!$H:$H,produtos_escape2!$A2203,Controle!$Z:$Z,"5")</f>
        <v>0</v>
      </c>
      <c r="K2203" s="507">
        <f>SUMIFS(Controle!$R:$R,Controle!$H:$H,produtos_escape2!$A2203,Controle!$Z:$Z,"6")</f>
        <v>0</v>
      </c>
      <c r="L2203" s="507">
        <f t="shared" si="75"/>
        <v>0</v>
      </c>
      <c r="M2203" s="381" t="s">
        <v>5633</v>
      </c>
    </row>
    <row r="2204" spans="1:13" s="84" customFormat="1" ht="14.25" customHeight="1" thickBot="1">
      <c r="A2204" s="353">
        <v>200683</v>
      </c>
      <c r="B2204" s="194" t="s">
        <v>925</v>
      </c>
      <c r="C2204" s="339">
        <f t="shared" si="76"/>
        <v>50000</v>
      </c>
      <c r="D2204" s="196" t="s">
        <v>624</v>
      </c>
      <c r="E2204" s="197" t="s">
        <v>7207</v>
      </c>
      <c r="F2204" s="507">
        <f>SUMIFS(Controle!$R:$R,Controle!$H:$H,produtos_escape2!$A2204,Controle!$Z:$Z,"1")</f>
        <v>0</v>
      </c>
      <c r="G2204" s="507">
        <f>SUMIFS(Controle!$R:$R,Controle!$H:$H,produtos_escape2!$A2204,Controle!$Z:$Z,"2")</f>
        <v>0</v>
      </c>
      <c r="H2204" s="507">
        <f>SUMIFS(Controle!$R:$R,Controle!$H:$H,produtos_escape2!$A2204,Controle!$Z:$Z,"3")</f>
        <v>0</v>
      </c>
      <c r="I2204" s="507">
        <f>SUMIFS(Controle!$R:$R,Controle!$H:$H,produtos_escape2!$A2204,Controle!$Z:$Z,"4")</f>
        <v>0</v>
      </c>
      <c r="J2204" s="507">
        <f>SUMIFS(Controle!$R:$R,Controle!$H:$H,produtos_escape2!$A2204,Controle!$Z:$Z,"5")</f>
        <v>0</v>
      </c>
      <c r="K2204" s="507">
        <f>SUMIFS(Controle!$R:$R,Controle!$H:$H,produtos_escape2!$A2204,Controle!$Z:$Z,"6")</f>
        <v>0</v>
      </c>
      <c r="L2204" s="507">
        <f t="shared" si="75"/>
        <v>0</v>
      </c>
      <c r="M2204" s="381" t="s">
        <v>5634</v>
      </c>
    </row>
    <row r="2205" spans="1:13" s="84" customFormat="1" ht="14.25" customHeight="1" thickBot="1">
      <c r="A2205" s="353">
        <v>200684</v>
      </c>
      <c r="B2205" s="194" t="s">
        <v>924</v>
      </c>
      <c r="C2205" s="339">
        <f t="shared" si="76"/>
        <v>50000</v>
      </c>
      <c r="D2205" s="196" t="s">
        <v>624</v>
      </c>
      <c r="E2205" s="197" t="s">
        <v>7207</v>
      </c>
      <c r="F2205" s="507">
        <f>SUMIFS(Controle!$R:$R,Controle!$H:$H,produtos_escape2!$A2205,Controle!$Z:$Z,"1")</f>
        <v>0</v>
      </c>
      <c r="G2205" s="507">
        <f>SUMIFS(Controle!$R:$R,Controle!$H:$H,produtos_escape2!$A2205,Controle!$Z:$Z,"2")</f>
        <v>0</v>
      </c>
      <c r="H2205" s="507">
        <f>SUMIFS(Controle!$R:$R,Controle!$H:$H,produtos_escape2!$A2205,Controle!$Z:$Z,"3")</f>
        <v>0</v>
      </c>
      <c r="I2205" s="507">
        <f>SUMIFS(Controle!$R:$R,Controle!$H:$H,produtos_escape2!$A2205,Controle!$Z:$Z,"4")</f>
        <v>0</v>
      </c>
      <c r="J2205" s="507">
        <f>SUMIFS(Controle!$R:$R,Controle!$H:$H,produtos_escape2!$A2205,Controle!$Z:$Z,"5")</f>
        <v>0</v>
      </c>
      <c r="K2205" s="507">
        <f>SUMIFS(Controle!$R:$R,Controle!$H:$H,produtos_escape2!$A2205,Controle!$Z:$Z,"6")</f>
        <v>0</v>
      </c>
      <c r="L2205" s="507">
        <f t="shared" si="75"/>
        <v>0</v>
      </c>
      <c r="M2205" s="381" t="s">
        <v>5635</v>
      </c>
    </row>
    <row r="2206" spans="1:13" s="84" customFormat="1" ht="14.25" customHeight="1" thickBot="1">
      <c r="A2206" s="353">
        <v>200724</v>
      </c>
      <c r="B2206" s="402" t="s">
        <v>8652</v>
      </c>
      <c r="C2206" s="339">
        <f t="shared" si="76"/>
        <v>45197</v>
      </c>
      <c r="D2206" s="196" t="s">
        <v>550</v>
      </c>
      <c r="E2206" s="197" t="s">
        <v>7207</v>
      </c>
      <c r="F2206" s="507">
        <f>SUMIFS(Controle!$R:$R,Controle!$H:$H,produtos_escape2!$A2206,Controle!$Z:$Z,"1")</f>
        <v>0</v>
      </c>
      <c r="G2206" s="507">
        <f>SUMIFS(Controle!$R:$R,Controle!$H:$H,produtos_escape2!$A2206,Controle!$Z:$Z,"2")</f>
        <v>0</v>
      </c>
      <c r="H2206" s="507">
        <f>SUMIFS(Controle!$R:$R,Controle!$H:$H,produtos_escape2!$A2206,Controle!$Z:$Z,"3")</f>
        <v>0</v>
      </c>
      <c r="I2206" s="507">
        <f>SUMIFS(Controle!$R:$R,Controle!$H:$H,produtos_escape2!$A2206,Controle!$Z:$Z,"4")</f>
        <v>3625.5</v>
      </c>
      <c r="J2206" s="507">
        <f>SUMIFS(Controle!$R:$R,Controle!$H:$H,produtos_escape2!$A2206,Controle!$Z:$Z,"5")</f>
        <v>0</v>
      </c>
      <c r="K2206" s="507">
        <f>SUMIFS(Controle!$R:$R,Controle!$H:$H,produtos_escape2!$A2206,Controle!$Z:$Z,"6")</f>
        <v>1177.5</v>
      </c>
      <c r="L2206" s="507">
        <f t="shared" si="75"/>
        <v>4803</v>
      </c>
      <c r="M2206" s="381" t="s">
        <v>8653</v>
      </c>
    </row>
    <row r="2207" spans="1:13" s="84" customFormat="1" ht="14.25" customHeight="1" thickBot="1">
      <c r="A2207" s="333">
        <v>200812</v>
      </c>
      <c r="B2207" s="194" t="s">
        <v>290</v>
      </c>
      <c r="C2207" s="339">
        <f t="shared" si="76"/>
        <v>50000</v>
      </c>
      <c r="D2207" s="196"/>
      <c r="E2207" s="197"/>
      <c r="F2207" s="507">
        <f>SUMIFS(Controle!$R:$R,Controle!$H:$H,produtos_escape2!$A2207,Controle!$Z:$Z,"1")</f>
        <v>0</v>
      </c>
      <c r="G2207" s="507">
        <f>SUMIFS(Controle!$R:$R,Controle!$H:$H,produtos_escape2!$A2207,Controle!$Z:$Z,"2")</f>
        <v>0</v>
      </c>
      <c r="H2207" s="507">
        <f>SUMIFS(Controle!$R:$R,Controle!$H:$H,produtos_escape2!$A2207,Controle!$Z:$Z,"3")</f>
        <v>0</v>
      </c>
      <c r="I2207" s="507">
        <f>SUMIFS(Controle!$R:$R,Controle!$H:$H,produtos_escape2!$A2207,Controle!$Z:$Z,"4")</f>
        <v>0</v>
      </c>
      <c r="J2207" s="507">
        <f>SUMIFS(Controle!$R:$R,Controle!$H:$H,produtos_escape2!$A2207,Controle!$Z:$Z,"5")</f>
        <v>0</v>
      </c>
      <c r="K2207" s="507">
        <f>SUMIFS(Controle!$R:$R,Controle!$H:$H,produtos_escape2!$A2207,Controle!$Z:$Z,"6")</f>
        <v>0</v>
      </c>
      <c r="L2207" s="507">
        <f t="shared" si="75"/>
        <v>0</v>
      </c>
      <c r="M2207" s="381" t="s">
        <v>5636</v>
      </c>
    </row>
    <row r="2208" spans="1:13" s="84" customFormat="1" ht="14.25" customHeight="1" thickBot="1">
      <c r="A2208" s="353">
        <v>200831</v>
      </c>
      <c r="B2208" s="194" t="s">
        <v>9235</v>
      </c>
      <c r="C2208" s="339">
        <f t="shared" si="76"/>
        <v>50000</v>
      </c>
      <c r="D2208" s="196" t="s">
        <v>624</v>
      </c>
      <c r="E2208" s="172" t="s">
        <v>7207</v>
      </c>
      <c r="F2208" s="507">
        <f>SUMIFS(Controle!$R:$R,Controle!$H:$H,produtos_escape2!$A2208,Controle!$Z:$Z,"1")</f>
        <v>0</v>
      </c>
      <c r="G2208" s="507">
        <f>SUMIFS(Controle!$R:$R,Controle!$H:$H,produtos_escape2!$A2208,Controle!$Z:$Z,"2")</f>
        <v>0</v>
      </c>
      <c r="H2208" s="507">
        <f>SUMIFS(Controle!$R:$R,Controle!$H:$H,produtos_escape2!$A2208,Controle!$Z:$Z,"3")</f>
        <v>0</v>
      </c>
      <c r="I2208" s="507">
        <f>SUMIFS(Controle!$R:$R,Controle!$H:$H,produtos_escape2!$A2208,Controle!$Z:$Z,"4")</f>
        <v>0</v>
      </c>
      <c r="J2208" s="507">
        <f>SUMIFS(Controle!$R:$R,Controle!$H:$H,produtos_escape2!$A2208,Controle!$Z:$Z,"5")</f>
        <v>0</v>
      </c>
      <c r="K2208" s="507">
        <f>SUMIFS(Controle!$R:$R,Controle!$H:$H,produtos_escape2!$A2208,Controle!$Z:$Z,"6")</f>
        <v>0</v>
      </c>
      <c r="L2208" s="507">
        <f t="shared" si="75"/>
        <v>0</v>
      </c>
      <c r="M2208" s="381" t="s">
        <v>9236</v>
      </c>
    </row>
    <row r="2209" spans="1:13" s="84" customFormat="1" ht="14.25" customHeight="1" thickBot="1">
      <c r="A2209" s="353">
        <v>200848</v>
      </c>
      <c r="B2209" s="194" t="s">
        <v>49</v>
      </c>
      <c r="C2209" s="339">
        <f t="shared" si="76"/>
        <v>50000</v>
      </c>
      <c r="D2209" s="196"/>
      <c r="E2209" s="197"/>
      <c r="F2209" s="507">
        <f>SUMIFS(Controle!$R:$R,Controle!$H:$H,produtos_escape2!$A2209,Controle!$Z:$Z,"1")</f>
        <v>0</v>
      </c>
      <c r="G2209" s="507">
        <f>SUMIFS(Controle!$R:$R,Controle!$H:$H,produtos_escape2!$A2209,Controle!$Z:$Z,"2")</f>
        <v>0</v>
      </c>
      <c r="H2209" s="507">
        <f>SUMIFS(Controle!$R:$R,Controle!$H:$H,produtos_escape2!$A2209,Controle!$Z:$Z,"3")</f>
        <v>0</v>
      </c>
      <c r="I2209" s="507">
        <f>SUMIFS(Controle!$R:$R,Controle!$H:$H,produtos_escape2!$A2209,Controle!$Z:$Z,"4")</f>
        <v>0</v>
      </c>
      <c r="J2209" s="507">
        <f>SUMIFS(Controle!$R:$R,Controle!$H:$H,produtos_escape2!$A2209,Controle!$Z:$Z,"5")</f>
        <v>0</v>
      </c>
      <c r="K2209" s="507">
        <f>SUMIFS(Controle!$R:$R,Controle!$H:$H,produtos_escape2!$A2209,Controle!$Z:$Z,"6")</f>
        <v>0</v>
      </c>
      <c r="L2209" s="507">
        <f t="shared" si="75"/>
        <v>0</v>
      </c>
      <c r="M2209" s="381" t="s">
        <v>5637</v>
      </c>
    </row>
    <row r="2210" spans="1:13" s="84" customFormat="1" ht="14.25" customHeight="1" thickBot="1">
      <c r="A2210" s="353">
        <v>200853</v>
      </c>
      <c r="B2210" s="194" t="s">
        <v>1417</v>
      </c>
      <c r="C2210" s="339">
        <f t="shared" si="76"/>
        <v>50000</v>
      </c>
      <c r="D2210" s="196" t="s">
        <v>624</v>
      </c>
      <c r="E2210" s="197" t="s">
        <v>7207</v>
      </c>
      <c r="F2210" s="507">
        <f>SUMIFS(Controle!$R:$R,Controle!$H:$H,produtos_escape2!$A2210,Controle!$Z:$Z,"1")</f>
        <v>0</v>
      </c>
      <c r="G2210" s="507">
        <f>SUMIFS(Controle!$R:$R,Controle!$H:$H,produtos_escape2!$A2210,Controle!$Z:$Z,"2")</f>
        <v>0</v>
      </c>
      <c r="H2210" s="507">
        <f>SUMIFS(Controle!$R:$R,Controle!$H:$H,produtos_escape2!$A2210,Controle!$Z:$Z,"3")</f>
        <v>0</v>
      </c>
      <c r="I2210" s="507">
        <f>SUMIFS(Controle!$R:$R,Controle!$H:$H,produtos_escape2!$A2210,Controle!$Z:$Z,"4")</f>
        <v>0</v>
      </c>
      <c r="J2210" s="507">
        <f>SUMIFS(Controle!$R:$R,Controle!$H:$H,produtos_escape2!$A2210,Controle!$Z:$Z,"5")</f>
        <v>0</v>
      </c>
      <c r="K2210" s="507">
        <f>SUMIFS(Controle!$R:$R,Controle!$H:$H,produtos_escape2!$A2210,Controle!$Z:$Z,"6")</f>
        <v>0</v>
      </c>
      <c r="L2210" s="507">
        <f t="shared" si="75"/>
        <v>0</v>
      </c>
      <c r="M2210" s="381" t="s">
        <v>4624</v>
      </c>
    </row>
    <row r="2211" spans="1:13" s="84" customFormat="1" ht="14.25" customHeight="1" thickBot="1">
      <c r="A2211" s="353">
        <v>200857</v>
      </c>
      <c r="B2211" s="194" t="s">
        <v>389</v>
      </c>
      <c r="C2211" s="339">
        <f t="shared" si="76"/>
        <v>50000</v>
      </c>
      <c r="D2211" s="196"/>
      <c r="E2211" s="197"/>
      <c r="F2211" s="507">
        <f>SUMIFS(Controle!$R:$R,Controle!$H:$H,produtos_escape2!$A2211,Controle!$Z:$Z,"1")</f>
        <v>0</v>
      </c>
      <c r="G2211" s="507">
        <f>SUMIFS(Controle!$R:$R,Controle!$H:$H,produtos_escape2!$A2211,Controle!$Z:$Z,"2")</f>
        <v>0</v>
      </c>
      <c r="H2211" s="507">
        <f>SUMIFS(Controle!$R:$R,Controle!$H:$H,produtos_escape2!$A2211,Controle!$Z:$Z,"3")</f>
        <v>0</v>
      </c>
      <c r="I2211" s="507">
        <f>SUMIFS(Controle!$R:$R,Controle!$H:$H,produtos_escape2!$A2211,Controle!$Z:$Z,"4")</f>
        <v>0</v>
      </c>
      <c r="J2211" s="507">
        <f>SUMIFS(Controle!$R:$R,Controle!$H:$H,produtos_escape2!$A2211,Controle!$Z:$Z,"5")</f>
        <v>0</v>
      </c>
      <c r="K2211" s="507">
        <f>SUMIFS(Controle!$R:$R,Controle!$H:$H,produtos_escape2!$A2211,Controle!$Z:$Z,"6")</f>
        <v>0</v>
      </c>
      <c r="L2211" s="507">
        <f t="shared" si="75"/>
        <v>0</v>
      </c>
      <c r="M2211" s="381" t="s">
        <v>5638</v>
      </c>
    </row>
    <row r="2212" spans="1:13" s="84" customFormat="1" ht="14.25" customHeight="1" thickBot="1">
      <c r="A2212" s="353">
        <v>200919</v>
      </c>
      <c r="B2212" s="194" t="s">
        <v>402</v>
      </c>
      <c r="C2212" s="339">
        <f t="shared" si="76"/>
        <v>50000</v>
      </c>
      <c r="D2212" s="196"/>
      <c r="E2212" s="197"/>
      <c r="F2212" s="507">
        <f>SUMIFS(Controle!$R:$R,Controle!$H:$H,produtos_escape2!$A2212,Controle!$Z:$Z,"1")</f>
        <v>0</v>
      </c>
      <c r="G2212" s="507">
        <f>SUMIFS(Controle!$R:$R,Controle!$H:$H,produtos_escape2!$A2212,Controle!$Z:$Z,"2")</f>
        <v>0</v>
      </c>
      <c r="H2212" s="507">
        <f>SUMIFS(Controle!$R:$R,Controle!$H:$H,produtos_escape2!$A2212,Controle!$Z:$Z,"3")</f>
        <v>0</v>
      </c>
      <c r="I2212" s="507">
        <f>SUMIFS(Controle!$R:$R,Controle!$H:$H,produtos_escape2!$A2212,Controle!$Z:$Z,"4")</f>
        <v>0</v>
      </c>
      <c r="J2212" s="507">
        <f>SUMIFS(Controle!$R:$R,Controle!$H:$H,produtos_escape2!$A2212,Controle!$Z:$Z,"5")</f>
        <v>0</v>
      </c>
      <c r="K2212" s="507">
        <f>SUMIFS(Controle!$R:$R,Controle!$H:$H,produtos_escape2!$A2212,Controle!$Z:$Z,"6")</f>
        <v>0</v>
      </c>
      <c r="L2212" s="507">
        <f t="shared" si="75"/>
        <v>0</v>
      </c>
      <c r="M2212" s="381" t="s">
        <v>5639</v>
      </c>
    </row>
    <row r="2213" spans="1:13" s="84" customFormat="1" ht="14.25" customHeight="1" thickBot="1">
      <c r="A2213" s="353">
        <v>200926</v>
      </c>
      <c r="B2213" s="338" t="s">
        <v>4442</v>
      </c>
      <c r="C2213" s="339">
        <f t="shared" si="76"/>
        <v>50000</v>
      </c>
      <c r="D2213" s="191" t="s">
        <v>624</v>
      </c>
      <c r="E2213" s="172" t="s">
        <v>7207</v>
      </c>
      <c r="F2213" s="507">
        <f>SUMIFS(Controle!$R:$R,Controle!$H:$H,produtos_escape2!$A2213,Controle!$Z:$Z,"1")</f>
        <v>0</v>
      </c>
      <c r="G2213" s="507">
        <f>SUMIFS(Controle!$R:$R,Controle!$H:$H,produtos_escape2!$A2213,Controle!$Z:$Z,"2")</f>
        <v>0</v>
      </c>
      <c r="H2213" s="507">
        <f>SUMIFS(Controle!$R:$R,Controle!$H:$H,produtos_escape2!$A2213,Controle!$Z:$Z,"3")</f>
        <v>0</v>
      </c>
      <c r="I2213" s="507">
        <f>SUMIFS(Controle!$R:$R,Controle!$H:$H,produtos_escape2!$A2213,Controle!$Z:$Z,"4")</f>
        <v>0</v>
      </c>
      <c r="J2213" s="507">
        <f>SUMIFS(Controle!$R:$R,Controle!$H:$H,produtos_escape2!$A2213,Controle!$Z:$Z,"5")</f>
        <v>0</v>
      </c>
      <c r="K2213" s="507">
        <f>SUMIFS(Controle!$R:$R,Controle!$H:$H,produtos_escape2!$A2213,Controle!$Z:$Z,"6")</f>
        <v>0</v>
      </c>
      <c r="L2213" s="507">
        <f t="shared" si="75"/>
        <v>0</v>
      </c>
      <c r="M2213" s="381" t="s">
        <v>5640</v>
      </c>
    </row>
    <row r="2214" spans="1:13" s="84" customFormat="1" ht="14.25" customHeight="1" thickBot="1">
      <c r="A2214" s="353">
        <v>200985</v>
      </c>
      <c r="B2214" s="194" t="s">
        <v>48</v>
      </c>
      <c r="C2214" s="339">
        <f t="shared" si="76"/>
        <v>50000</v>
      </c>
      <c r="D2214" s="196"/>
      <c r="E2214" s="197"/>
      <c r="F2214" s="507">
        <f>SUMIFS(Controle!$R:$R,Controle!$H:$H,produtos_escape2!$A2214,Controle!$Z:$Z,"1")</f>
        <v>0</v>
      </c>
      <c r="G2214" s="507">
        <f>SUMIFS(Controle!$R:$R,Controle!$H:$H,produtos_escape2!$A2214,Controle!$Z:$Z,"2")</f>
        <v>0</v>
      </c>
      <c r="H2214" s="507">
        <f>SUMIFS(Controle!$R:$R,Controle!$H:$H,produtos_escape2!$A2214,Controle!$Z:$Z,"3")</f>
        <v>0</v>
      </c>
      <c r="I2214" s="507">
        <f>SUMIFS(Controle!$R:$R,Controle!$H:$H,produtos_escape2!$A2214,Controle!$Z:$Z,"4")</f>
        <v>0</v>
      </c>
      <c r="J2214" s="507">
        <f>SUMIFS(Controle!$R:$R,Controle!$H:$H,produtos_escape2!$A2214,Controle!$Z:$Z,"5")</f>
        <v>0</v>
      </c>
      <c r="K2214" s="507">
        <f>SUMIFS(Controle!$R:$R,Controle!$H:$H,produtos_escape2!$A2214,Controle!$Z:$Z,"6")</f>
        <v>0</v>
      </c>
      <c r="L2214" s="507">
        <f t="shared" si="75"/>
        <v>0</v>
      </c>
      <c r="M2214" s="381" t="s">
        <v>5641</v>
      </c>
    </row>
    <row r="2215" spans="1:13" s="84" customFormat="1" ht="14.25" customHeight="1" thickBot="1">
      <c r="A2215" s="353">
        <v>200993</v>
      </c>
      <c r="B2215" s="194" t="s">
        <v>1158</v>
      </c>
      <c r="C2215" s="339">
        <f t="shared" si="76"/>
        <v>50000</v>
      </c>
      <c r="D2215" s="196" t="s">
        <v>1157</v>
      </c>
      <c r="E2215" s="197" t="s">
        <v>7207</v>
      </c>
      <c r="F2215" s="507">
        <f>SUMIFS(Controle!$R:$R,Controle!$H:$H,produtos_escape2!$A2215,Controle!$Z:$Z,"1")</f>
        <v>0</v>
      </c>
      <c r="G2215" s="507">
        <f>SUMIFS(Controle!$R:$R,Controle!$H:$H,produtos_escape2!$A2215,Controle!$Z:$Z,"2")</f>
        <v>0</v>
      </c>
      <c r="H2215" s="507">
        <f>SUMIFS(Controle!$R:$R,Controle!$H:$H,produtos_escape2!$A2215,Controle!$Z:$Z,"3")</f>
        <v>0</v>
      </c>
      <c r="I2215" s="507">
        <f>SUMIFS(Controle!$R:$R,Controle!$H:$H,produtos_escape2!$A2215,Controle!$Z:$Z,"4")</f>
        <v>0</v>
      </c>
      <c r="J2215" s="507">
        <f>SUMIFS(Controle!$R:$R,Controle!$H:$H,produtos_escape2!$A2215,Controle!$Z:$Z,"5")</f>
        <v>0</v>
      </c>
      <c r="K2215" s="507">
        <f>SUMIFS(Controle!$R:$R,Controle!$H:$H,produtos_escape2!$A2215,Controle!$Z:$Z,"6")</f>
        <v>0</v>
      </c>
      <c r="L2215" s="507">
        <f t="shared" si="75"/>
        <v>0</v>
      </c>
      <c r="M2215" s="381" t="s">
        <v>5642</v>
      </c>
    </row>
    <row r="2216" spans="1:13" s="84" customFormat="1" ht="14.25" customHeight="1" thickBot="1">
      <c r="A2216" s="333">
        <v>201158</v>
      </c>
      <c r="B2216" s="194" t="s">
        <v>10478</v>
      </c>
      <c r="C2216" s="339">
        <f t="shared" si="76"/>
        <v>25844</v>
      </c>
      <c r="D2216" s="196" t="s">
        <v>1093</v>
      </c>
      <c r="E2216" s="197" t="s">
        <v>7207</v>
      </c>
      <c r="F2216" s="507">
        <f>SUMIFS(Controle!$R:$R,Controle!$H:$H,produtos_escape2!$A2216,Controle!$Z:$Z,"1")</f>
        <v>0</v>
      </c>
      <c r="G2216" s="507">
        <f>SUMIFS(Controle!$R:$R,Controle!$H:$H,produtos_escape2!$A2216,Controle!$Z:$Z,"2")</f>
        <v>2955.9999999999995</v>
      </c>
      <c r="H2216" s="507">
        <f>SUMIFS(Controle!$R:$R,Controle!$H:$H,produtos_escape2!$A2216,Controle!$Z:$Z,"3")</f>
        <v>6400</v>
      </c>
      <c r="I2216" s="507">
        <f>SUMIFS(Controle!$R:$R,Controle!$H:$H,produtos_escape2!$A2216,Controle!$Z:$Z,"4")</f>
        <v>0</v>
      </c>
      <c r="J2216" s="507">
        <f>SUMIFS(Controle!$R:$R,Controle!$H:$H,produtos_escape2!$A2216,Controle!$Z:$Z,"5")</f>
        <v>2800.0000000000005</v>
      </c>
      <c r="K2216" s="507">
        <f>SUMIFS(Controle!$R:$R,Controle!$H:$H,produtos_escape2!$A2216,Controle!$Z:$Z,"6")</f>
        <v>12000</v>
      </c>
      <c r="L2216" s="507">
        <f t="shared" si="75"/>
        <v>24156</v>
      </c>
      <c r="M2216" s="381" t="s">
        <v>5643</v>
      </c>
    </row>
    <row r="2217" spans="1:13" s="84" customFormat="1" ht="14.25" customHeight="1" thickBot="1">
      <c r="A2217" s="353">
        <v>201223</v>
      </c>
      <c r="B2217" s="194" t="s">
        <v>308</v>
      </c>
      <c r="C2217" s="339">
        <f t="shared" si="76"/>
        <v>46400</v>
      </c>
      <c r="D2217" s="196" t="s">
        <v>624</v>
      </c>
      <c r="E2217" s="197" t="s">
        <v>7207</v>
      </c>
      <c r="F2217" s="507">
        <f>SUMIFS(Controle!$R:$R,Controle!$H:$H,produtos_escape2!$A2217,Controle!$Z:$Z,"1")</f>
        <v>0</v>
      </c>
      <c r="G2217" s="507">
        <f>SUMIFS(Controle!$R:$R,Controle!$H:$H,produtos_escape2!$A2217,Controle!$Z:$Z,"2")</f>
        <v>0</v>
      </c>
      <c r="H2217" s="507">
        <f>SUMIFS(Controle!$R:$R,Controle!$H:$H,produtos_escape2!$A2217,Controle!$Z:$Z,"3")</f>
        <v>0</v>
      </c>
      <c r="I2217" s="507">
        <f>SUMIFS(Controle!$R:$R,Controle!$H:$H,produtos_escape2!$A2217,Controle!$Z:$Z,"4")</f>
        <v>3600</v>
      </c>
      <c r="J2217" s="507">
        <f>SUMIFS(Controle!$R:$R,Controle!$H:$H,produtos_escape2!$A2217,Controle!$Z:$Z,"5")</f>
        <v>0</v>
      </c>
      <c r="K2217" s="507">
        <f>SUMIFS(Controle!$R:$R,Controle!$H:$H,produtos_escape2!$A2217,Controle!$Z:$Z,"6")</f>
        <v>0</v>
      </c>
      <c r="L2217" s="507">
        <f t="shared" si="75"/>
        <v>3600</v>
      </c>
      <c r="M2217" s="381" t="s">
        <v>5644</v>
      </c>
    </row>
    <row r="2218" spans="1:13" s="84" customFormat="1" ht="14.25" customHeight="1" thickBot="1">
      <c r="A2218" s="353">
        <v>201454</v>
      </c>
      <c r="B2218" s="194" t="s">
        <v>411</v>
      </c>
      <c r="C2218" s="339">
        <f t="shared" si="76"/>
        <v>50000</v>
      </c>
      <c r="D2218" s="196"/>
      <c r="E2218" s="197"/>
      <c r="F2218" s="507">
        <f>SUMIFS(Controle!$R:$R,Controle!$H:$H,produtos_escape2!$A2218,Controle!$Z:$Z,"1")</f>
        <v>0</v>
      </c>
      <c r="G2218" s="507">
        <f>SUMIFS(Controle!$R:$R,Controle!$H:$H,produtos_escape2!$A2218,Controle!$Z:$Z,"2")</f>
        <v>0</v>
      </c>
      <c r="H2218" s="507">
        <f>SUMIFS(Controle!$R:$R,Controle!$H:$H,produtos_escape2!$A2218,Controle!$Z:$Z,"3")</f>
        <v>0</v>
      </c>
      <c r="I2218" s="507">
        <f>SUMIFS(Controle!$R:$R,Controle!$H:$H,produtos_escape2!$A2218,Controle!$Z:$Z,"4")</f>
        <v>0</v>
      </c>
      <c r="J2218" s="507">
        <f>SUMIFS(Controle!$R:$R,Controle!$H:$H,produtos_escape2!$A2218,Controle!$Z:$Z,"5")</f>
        <v>0</v>
      </c>
      <c r="K2218" s="507">
        <f>SUMIFS(Controle!$R:$R,Controle!$H:$H,produtos_escape2!$A2218,Controle!$Z:$Z,"6")</f>
        <v>0</v>
      </c>
      <c r="L2218" s="507">
        <f t="shared" si="75"/>
        <v>0</v>
      </c>
      <c r="M2218" s="381" t="s">
        <v>5645</v>
      </c>
    </row>
    <row r="2219" spans="1:13" s="84" customFormat="1" ht="14.25" customHeight="1" thickBot="1">
      <c r="A2219" s="353">
        <v>201511</v>
      </c>
      <c r="B2219" s="194" t="s">
        <v>3906</v>
      </c>
      <c r="C2219" s="339">
        <f t="shared" si="76"/>
        <v>50000</v>
      </c>
      <c r="D2219" s="196" t="s">
        <v>548</v>
      </c>
      <c r="E2219" s="197" t="s">
        <v>3608</v>
      </c>
      <c r="F2219" s="507">
        <f>SUMIFS(Controle!$R:$R,Controle!$H:$H,produtos_escape2!$A2219,Controle!$Z:$Z,"1")</f>
        <v>0</v>
      </c>
      <c r="G2219" s="507">
        <f>SUMIFS(Controle!$R:$R,Controle!$H:$H,produtos_escape2!$A2219,Controle!$Z:$Z,"2")</f>
        <v>0</v>
      </c>
      <c r="H2219" s="507">
        <f>SUMIFS(Controle!$R:$R,Controle!$H:$H,produtos_escape2!$A2219,Controle!$Z:$Z,"3")</f>
        <v>0</v>
      </c>
      <c r="I2219" s="507">
        <f>SUMIFS(Controle!$R:$R,Controle!$H:$H,produtos_escape2!$A2219,Controle!$Z:$Z,"4")</f>
        <v>0</v>
      </c>
      <c r="J2219" s="507">
        <f>SUMIFS(Controle!$R:$R,Controle!$H:$H,produtos_escape2!$A2219,Controle!$Z:$Z,"5")</f>
        <v>0</v>
      </c>
      <c r="K2219" s="507">
        <f>SUMIFS(Controle!$R:$R,Controle!$H:$H,produtos_escape2!$A2219,Controle!$Z:$Z,"6")</f>
        <v>0</v>
      </c>
      <c r="L2219" s="507">
        <f t="shared" si="75"/>
        <v>0</v>
      </c>
      <c r="M2219" s="381" t="s">
        <v>5646</v>
      </c>
    </row>
    <row r="2220" spans="1:13" s="84" customFormat="1" ht="14.25" customHeight="1" thickBot="1">
      <c r="A2220" s="353">
        <v>201519</v>
      </c>
      <c r="B2220" s="194" t="s">
        <v>321</v>
      </c>
      <c r="C2220" s="339">
        <f t="shared" si="76"/>
        <v>50000</v>
      </c>
      <c r="D2220" s="196"/>
      <c r="E2220" s="197"/>
      <c r="F2220" s="507">
        <f>SUMIFS(Controle!$R:$R,Controle!$H:$H,produtos_escape2!$A2220,Controle!$Z:$Z,"1")</f>
        <v>0</v>
      </c>
      <c r="G2220" s="507">
        <f>SUMIFS(Controle!$R:$R,Controle!$H:$H,produtos_escape2!$A2220,Controle!$Z:$Z,"2")</f>
        <v>0</v>
      </c>
      <c r="H2220" s="507">
        <f>SUMIFS(Controle!$R:$R,Controle!$H:$H,produtos_escape2!$A2220,Controle!$Z:$Z,"3")</f>
        <v>0</v>
      </c>
      <c r="I2220" s="507">
        <f>SUMIFS(Controle!$R:$R,Controle!$H:$H,produtos_escape2!$A2220,Controle!$Z:$Z,"4")</f>
        <v>0</v>
      </c>
      <c r="J2220" s="507">
        <f>SUMIFS(Controle!$R:$R,Controle!$H:$H,produtos_escape2!$A2220,Controle!$Z:$Z,"5")</f>
        <v>0</v>
      </c>
      <c r="K2220" s="507">
        <f>SUMIFS(Controle!$R:$R,Controle!$H:$H,produtos_escape2!$A2220,Controle!$Z:$Z,"6")</f>
        <v>0</v>
      </c>
      <c r="L2220" s="507">
        <f t="shared" si="75"/>
        <v>0</v>
      </c>
      <c r="M2220" s="381" t="s">
        <v>5647</v>
      </c>
    </row>
    <row r="2221" spans="1:13" s="84" customFormat="1" ht="14.25" customHeight="1" thickBot="1">
      <c r="A2221" s="353">
        <v>201534</v>
      </c>
      <c r="B2221" s="338" t="s">
        <v>2731</v>
      </c>
      <c r="C2221" s="339">
        <f t="shared" si="76"/>
        <v>50000</v>
      </c>
      <c r="D2221" s="196" t="s">
        <v>651</v>
      </c>
      <c r="E2221" s="197" t="s">
        <v>1739</v>
      </c>
      <c r="F2221" s="507">
        <f>SUMIFS(Controle!$R:$R,Controle!$H:$H,produtos_escape2!$A2221,Controle!$Z:$Z,"1")</f>
        <v>0</v>
      </c>
      <c r="G2221" s="507">
        <f>SUMIFS(Controle!$R:$R,Controle!$H:$H,produtos_escape2!$A2221,Controle!$Z:$Z,"2")</f>
        <v>0</v>
      </c>
      <c r="H2221" s="507">
        <f>SUMIFS(Controle!$R:$R,Controle!$H:$H,produtos_escape2!$A2221,Controle!$Z:$Z,"3")</f>
        <v>0</v>
      </c>
      <c r="I2221" s="507">
        <f>SUMIFS(Controle!$R:$R,Controle!$H:$H,produtos_escape2!$A2221,Controle!$Z:$Z,"4")</f>
        <v>0</v>
      </c>
      <c r="J2221" s="507">
        <f>SUMIFS(Controle!$R:$R,Controle!$H:$H,produtos_escape2!$A2221,Controle!$Z:$Z,"5")</f>
        <v>0</v>
      </c>
      <c r="K2221" s="507">
        <f>SUMIFS(Controle!$R:$R,Controle!$H:$H,produtos_escape2!$A2221,Controle!$Z:$Z,"6")</f>
        <v>0</v>
      </c>
      <c r="L2221" s="507">
        <f t="shared" si="75"/>
        <v>0</v>
      </c>
      <c r="M2221" s="381" t="s">
        <v>5648</v>
      </c>
    </row>
    <row r="2222" spans="1:13" s="84" customFormat="1" ht="14.25" customHeight="1" thickBot="1">
      <c r="A2222" s="353">
        <v>201547</v>
      </c>
      <c r="B2222" s="194" t="s">
        <v>140</v>
      </c>
      <c r="C2222" s="339">
        <f t="shared" si="76"/>
        <v>50000</v>
      </c>
      <c r="D2222" s="196" t="s">
        <v>624</v>
      </c>
      <c r="E2222" s="197" t="s">
        <v>1739</v>
      </c>
      <c r="F2222" s="507">
        <f>SUMIFS(Controle!$R:$R,Controle!$H:$H,produtos_escape2!$A2222,Controle!$Z:$Z,"1")</f>
        <v>0</v>
      </c>
      <c r="G2222" s="507">
        <f>SUMIFS(Controle!$R:$R,Controle!$H:$H,produtos_escape2!$A2222,Controle!$Z:$Z,"2")</f>
        <v>0</v>
      </c>
      <c r="H2222" s="507">
        <f>SUMIFS(Controle!$R:$R,Controle!$H:$H,produtos_escape2!$A2222,Controle!$Z:$Z,"3")</f>
        <v>0</v>
      </c>
      <c r="I2222" s="507">
        <f>SUMIFS(Controle!$R:$R,Controle!$H:$H,produtos_escape2!$A2222,Controle!$Z:$Z,"4")</f>
        <v>0</v>
      </c>
      <c r="J2222" s="507">
        <f>SUMIFS(Controle!$R:$R,Controle!$H:$H,produtos_escape2!$A2222,Controle!$Z:$Z,"5")</f>
        <v>0</v>
      </c>
      <c r="K2222" s="507">
        <f>SUMIFS(Controle!$R:$R,Controle!$H:$H,produtos_escape2!$A2222,Controle!$Z:$Z,"6")</f>
        <v>0</v>
      </c>
      <c r="L2222" s="507">
        <f t="shared" si="75"/>
        <v>0</v>
      </c>
      <c r="M2222" s="381" t="s">
        <v>5649</v>
      </c>
    </row>
    <row r="2223" spans="1:13" s="84" customFormat="1" ht="14.25" customHeight="1" thickBot="1">
      <c r="A2223" s="353">
        <v>201688</v>
      </c>
      <c r="B2223" s="194" t="s">
        <v>68</v>
      </c>
      <c r="C2223" s="339">
        <f t="shared" si="76"/>
        <v>50000</v>
      </c>
      <c r="D2223" s="196" t="s">
        <v>624</v>
      </c>
      <c r="E2223" s="197" t="s">
        <v>7207</v>
      </c>
      <c r="F2223" s="507">
        <f>SUMIFS(Controle!$R:$R,Controle!$H:$H,produtos_escape2!$A2223,Controle!$Z:$Z,"1")</f>
        <v>0</v>
      </c>
      <c r="G2223" s="507">
        <f>SUMIFS(Controle!$R:$R,Controle!$H:$H,produtos_escape2!$A2223,Controle!$Z:$Z,"2")</f>
        <v>0</v>
      </c>
      <c r="H2223" s="507">
        <f>SUMIFS(Controle!$R:$R,Controle!$H:$H,produtos_escape2!$A2223,Controle!$Z:$Z,"3")</f>
        <v>0</v>
      </c>
      <c r="I2223" s="507">
        <f>SUMIFS(Controle!$R:$R,Controle!$H:$H,produtos_escape2!$A2223,Controle!$Z:$Z,"4")</f>
        <v>0</v>
      </c>
      <c r="J2223" s="507">
        <f>SUMIFS(Controle!$R:$R,Controle!$H:$H,produtos_escape2!$A2223,Controle!$Z:$Z,"5")</f>
        <v>0</v>
      </c>
      <c r="K2223" s="507">
        <f>SUMIFS(Controle!$R:$R,Controle!$H:$H,produtos_escape2!$A2223,Controle!$Z:$Z,"6")</f>
        <v>0</v>
      </c>
      <c r="L2223" s="507">
        <f t="shared" si="75"/>
        <v>0</v>
      </c>
      <c r="M2223" s="381" t="s">
        <v>5650</v>
      </c>
    </row>
    <row r="2224" spans="1:13" s="84" customFormat="1" ht="14.25" customHeight="1" thickBot="1">
      <c r="A2224" s="333">
        <v>201695</v>
      </c>
      <c r="B2224" s="194" t="s">
        <v>231</v>
      </c>
      <c r="C2224" s="339">
        <f t="shared" si="76"/>
        <v>50000</v>
      </c>
      <c r="D2224" s="196"/>
      <c r="E2224" s="197"/>
      <c r="F2224" s="507">
        <f>SUMIFS(Controle!$R:$R,Controle!$H:$H,produtos_escape2!$A2224,Controle!$Z:$Z,"1")</f>
        <v>0</v>
      </c>
      <c r="G2224" s="507">
        <f>SUMIFS(Controle!$R:$R,Controle!$H:$H,produtos_escape2!$A2224,Controle!$Z:$Z,"2")</f>
        <v>0</v>
      </c>
      <c r="H2224" s="507">
        <f>SUMIFS(Controle!$R:$R,Controle!$H:$H,produtos_escape2!$A2224,Controle!$Z:$Z,"3")</f>
        <v>0</v>
      </c>
      <c r="I2224" s="507">
        <f>SUMIFS(Controle!$R:$R,Controle!$H:$H,produtos_escape2!$A2224,Controle!$Z:$Z,"4")</f>
        <v>0</v>
      </c>
      <c r="J2224" s="507">
        <f>SUMIFS(Controle!$R:$R,Controle!$H:$H,produtos_escape2!$A2224,Controle!$Z:$Z,"5")</f>
        <v>0</v>
      </c>
      <c r="K2224" s="507">
        <f>SUMIFS(Controle!$R:$R,Controle!$H:$H,produtos_escape2!$A2224,Controle!$Z:$Z,"6")</f>
        <v>0</v>
      </c>
      <c r="L2224" s="507">
        <f t="shared" si="75"/>
        <v>0</v>
      </c>
      <c r="M2224" s="381" t="s">
        <v>5689</v>
      </c>
    </row>
    <row r="2225" spans="1:13" s="84" customFormat="1" ht="14.25" customHeight="1" thickBot="1">
      <c r="A2225" s="353">
        <v>201867</v>
      </c>
      <c r="B2225" s="194" t="s">
        <v>1267</v>
      </c>
      <c r="C2225" s="339">
        <f t="shared" si="76"/>
        <v>50000</v>
      </c>
      <c r="D2225" s="191" t="s">
        <v>624</v>
      </c>
      <c r="E2225" s="172" t="s">
        <v>1739</v>
      </c>
      <c r="F2225" s="507">
        <f>SUMIFS(Controle!$R:$R,Controle!$H:$H,produtos_escape2!$A2225,Controle!$Z:$Z,"1")</f>
        <v>0</v>
      </c>
      <c r="G2225" s="507">
        <f>SUMIFS(Controle!$R:$R,Controle!$H:$H,produtos_escape2!$A2225,Controle!$Z:$Z,"2")</f>
        <v>0</v>
      </c>
      <c r="H2225" s="507">
        <f>SUMIFS(Controle!$R:$R,Controle!$H:$H,produtos_escape2!$A2225,Controle!$Z:$Z,"3")</f>
        <v>0</v>
      </c>
      <c r="I2225" s="507">
        <f>SUMIFS(Controle!$R:$R,Controle!$H:$H,produtos_escape2!$A2225,Controle!$Z:$Z,"4")</f>
        <v>0</v>
      </c>
      <c r="J2225" s="507">
        <f>SUMIFS(Controle!$R:$R,Controle!$H:$H,produtos_escape2!$A2225,Controle!$Z:$Z,"5")</f>
        <v>0</v>
      </c>
      <c r="K2225" s="507">
        <f>SUMIFS(Controle!$R:$R,Controle!$H:$H,produtos_escape2!$A2225,Controle!$Z:$Z,"6")</f>
        <v>0</v>
      </c>
      <c r="L2225" s="507">
        <f t="shared" si="75"/>
        <v>0</v>
      </c>
      <c r="M2225" s="381" t="s">
        <v>5651</v>
      </c>
    </row>
    <row r="2226" spans="1:13" s="84" customFormat="1" ht="14.25" customHeight="1" thickBot="1">
      <c r="A2226" s="353">
        <v>201932</v>
      </c>
      <c r="B2226" s="194" t="s">
        <v>658</v>
      </c>
      <c r="C2226" s="339">
        <f t="shared" si="76"/>
        <v>50000</v>
      </c>
      <c r="D2226" s="196" t="s">
        <v>624</v>
      </c>
      <c r="E2226" s="197" t="s">
        <v>7207</v>
      </c>
      <c r="F2226" s="507">
        <f>SUMIFS(Controle!$R:$R,Controle!$H:$H,produtos_escape2!$A2226,Controle!$Z:$Z,"1")</f>
        <v>0</v>
      </c>
      <c r="G2226" s="507">
        <f>SUMIFS(Controle!$R:$R,Controle!$H:$H,produtos_escape2!$A2226,Controle!$Z:$Z,"2")</f>
        <v>0</v>
      </c>
      <c r="H2226" s="507">
        <f>SUMIFS(Controle!$R:$R,Controle!$H:$H,produtos_escape2!$A2226,Controle!$Z:$Z,"3")</f>
        <v>0</v>
      </c>
      <c r="I2226" s="507">
        <f>SUMIFS(Controle!$R:$R,Controle!$H:$H,produtos_escape2!$A2226,Controle!$Z:$Z,"4")</f>
        <v>0</v>
      </c>
      <c r="J2226" s="507">
        <f>SUMIFS(Controle!$R:$R,Controle!$H:$H,produtos_escape2!$A2226,Controle!$Z:$Z,"5")</f>
        <v>0</v>
      </c>
      <c r="K2226" s="507">
        <f>SUMIFS(Controle!$R:$R,Controle!$H:$H,produtos_escape2!$A2226,Controle!$Z:$Z,"6")</f>
        <v>0</v>
      </c>
      <c r="L2226" s="507">
        <f t="shared" si="75"/>
        <v>0</v>
      </c>
      <c r="M2226" s="381" t="s">
        <v>5652</v>
      </c>
    </row>
    <row r="2227" spans="1:13" s="84" customFormat="1" ht="14.25" customHeight="1" thickBot="1">
      <c r="A2227" s="353">
        <v>202042</v>
      </c>
      <c r="B2227" s="194" t="s">
        <v>149</v>
      </c>
      <c r="C2227" s="339">
        <f t="shared" si="76"/>
        <v>50000</v>
      </c>
      <c r="D2227" s="196"/>
      <c r="E2227" s="197"/>
      <c r="F2227" s="507">
        <f>SUMIFS(Controle!$R:$R,Controle!$H:$H,produtos_escape2!$A2227,Controle!$Z:$Z,"1")</f>
        <v>0</v>
      </c>
      <c r="G2227" s="507">
        <f>SUMIFS(Controle!$R:$R,Controle!$H:$H,produtos_escape2!$A2227,Controle!$Z:$Z,"2")</f>
        <v>0</v>
      </c>
      <c r="H2227" s="507">
        <f>SUMIFS(Controle!$R:$R,Controle!$H:$H,produtos_escape2!$A2227,Controle!$Z:$Z,"3")</f>
        <v>0</v>
      </c>
      <c r="I2227" s="507">
        <f>SUMIFS(Controle!$R:$R,Controle!$H:$H,produtos_escape2!$A2227,Controle!$Z:$Z,"4")</f>
        <v>0</v>
      </c>
      <c r="J2227" s="507">
        <f>SUMIFS(Controle!$R:$R,Controle!$H:$H,produtos_escape2!$A2227,Controle!$Z:$Z,"5")</f>
        <v>0</v>
      </c>
      <c r="K2227" s="507">
        <f>SUMIFS(Controle!$R:$R,Controle!$H:$H,produtos_escape2!$A2227,Controle!$Z:$Z,"6")</f>
        <v>0</v>
      </c>
      <c r="L2227" s="507">
        <f t="shared" si="75"/>
        <v>0</v>
      </c>
      <c r="M2227" s="381" t="s">
        <v>5653</v>
      </c>
    </row>
    <row r="2228" spans="1:13" s="84" customFormat="1" ht="14.25" customHeight="1" thickBot="1">
      <c r="A2228" s="353">
        <v>202048</v>
      </c>
      <c r="B2228" s="194" t="s">
        <v>1675</v>
      </c>
      <c r="C2228" s="339">
        <f t="shared" si="76"/>
        <v>50000</v>
      </c>
      <c r="D2228" s="196" t="s">
        <v>987</v>
      </c>
      <c r="E2228" s="197" t="s">
        <v>7207</v>
      </c>
      <c r="F2228" s="507">
        <f>SUMIFS(Controle!$R:$R,Controle!$H:$H,produtos_escape2!$A2228,Controle!$Z:$Z,"1")</f>
        <v>0</v>
      </c>
      <c r="G2228" s="507">
        <f>SUMIFS(Controle!$R:$R,Controle!$H:$H,produtos_escape2!$A2228,Controle!$Z:$Z,"2")</f>
        <v>0</v>
      </c>
      <c r="H2228" s="507">
        <f>SUMIFS(Controle!$R:$R,Controle!$H:$H,produtos_escape2!$A2228,Controle!$Z:$Z,"3")</f>
        <v>0</v>
      </c>
      <c r="I2228" s="507">
        <f>SUMIFS(Controle!$R:$R,Controle!$H:$H,produtos_escape2!$A2228,Controle!$Z:$Z,"4")</f>
        <v>0</v>
      </c>
      <c r="J2228" s="507">
        <f>SUMIFS(Controle!$R:$R,Controle!$H:$H,produtos_escape2!$A2228,Controle!$Z:$Z,"5")</f>
        <v>0</v>
      </c>
      <c r="K2228" s="507">
        <f>SUMIFS(Controle!$R:$R,Controle!$H:$H,produtos_escape2!$A2228,Controle!$Z:$Z,"6")</f>
        <v>0</v>
      </c>
      <c r="L2228" s="507">
        <f t="shared" si="75"/>
        <v>0</v>
      </c>
      <c r="M2228" s="381" t="s">
        <v>5335</v>
      </c>
    </row>
    <row r="2229" spans="1:13" s="84" customFormat="1" ht="14.25" customHeight="1" thickBot="1">
      <c r="A2229" s="353">
        <v>202054</v>
      </c>
      <c r="B2229" s="338" t="s">
        <v>185</v>
      </c>
      <c r="C2229" s="339">
        <f t="shared" si="76"/>
        <v>50000</v>
      </c>
      <c r="D2229" s="191" t="s">
        <v>624</v>
      </c>
      <c r="E2229" s="172" t="s">
        <v>7207</v>
      </c>
      <c r="F2229" s="507">
        <f>SUMIFS(Controle!$R:$R,Controle!$H:$H,produtos_escape2!$A2229,Controle!$Z:$Z,"1")</f>
        <v>0</v>
      </c>
      <c r="G2229" s="507">
        <f>SUMIFS(Controle!$R:$R,Controle!$H:$H,produtos_escape2!$A2229,Controle!$Z:$Z,"2")</f>
        <v>0</v>
      </c>
      <c r="H2229" s="507">
        <f>SUMIFS(Controle!$R:$R,Controle!$H:$H,produtos_escape2!$A2229,Controle!$Z:$Z,"3")</f>
        <v>0</v>
      </c>
      <c r="I2229" s="507">
        <f>SUMIFS(Controle!$R:$R,Controle!$H:$H,produtos_escape2!$A2229,Controle!$Z:$Z,"4")</f>
        <v>0</v>
      </c>
      <c r="J2229" s="507">
        <f>SUMIFS(Controle!$R:$R,Controle!$H:$H,produtos_escape2!$A2229,Controle!$Z:$Z,"5")</f>
        <v>0</v>
      </c>
      <c r="K2229" s="507">
        <f>SUMIFS(Controle!$R:$R,Controle!$H:$H,produtos_escape2!$A2229,Controle!$Z:$Z,"6")</f>
        <v>0</v>
      </c>
      <c r="L2229" s="507">
        <f t="shared" si="75"/>
        <v>0</v>
      </c>
      <c r="M2229" s="381" t="s">
        <v>5654</v>
      </c>
    </row>
    <row r="2230" spans="1:13" s="84" customFormat="1" ht="14.25" customHeight="1" thickBot="1">
      <c r="A2230" s="353">
        <v>202055</v>
      </c>
      <c r="B2230" s="194" t="s">
        <v>186</v>
      </c>
      <c r="C2230" s="339">
        <f t="shared" si="76"/>
        <v>50000</v>
      </c>
      <c r="D2230" s="196"/>
      <c r="E2230" s="197"/>
      <c r="F2230" s="507">
        <f>SUMIFS(Controle!$R:$R,Controle!$H:$H,produtos_escape2!$A2230,Controle!$Z:$Z,"1")</f>
        <v>0</v>
      </c>
      <c r="G2230" s="507">
        <f>SUMIFS(Controle!$R:$R,Controle!$H:$H,produtos_escape2!$A2230,Controle!$Z:$Z,"2")</f>
        <v>0</v>
      </c>
      <c r="H2230" s="507">
        <f>SUMIFS(Controle!$R:$R,Controle!$H:$H,produtos_escape2!$A2230,Controle!$Z:$Z,"3")</f>
        <v>0</v>
      </c>
      <c r="I2230" s="507">
        <f>SUMIFS(Controle!$R:$R,Controle!$H:$H,produtos_escape2!$A2230,Controle!$Z:$Z,"4")</f>
        <v>0</v>
      </c>
      <c r="J2230" s="507">
        <f>SUMIFS(Controle!$R:$R,Controle!$H:$H,produtos_escape2!$A2230,Controle!$Z:$Z,"5")</f>
        <v>0</v>
      </c>
      <c r="K2230" s="507">
        <f>SUMIFS(Controle!$R:$R,Controle!$H:$H,produtos_escape2!$A2230,Controle!$Z:$Z,"6")</f>
        <v>0</v>
      </c>
      <c r="L2230" s="507">
        <f t="shared" si="75"/>
        <v>0</v>
      </c>
      <c r="M2230" s="381" t="s">
        <v>5654</v>
      </c>
    </row>
    <row r="2231" spans="1:13" s="84" customFormat="1" ht="14.25" customHeight="1" thickBot="1">
      <c r="A2231" s="353">
        <v>202091</v>
      </c>
      <c r="B2231" s="194" t="s">
        <v>304</v>
      </c>
      <c r="C2231" s="339">
        <f t="shared" si="76"/>
        <v>50000</v>
      </c>
      <c r="D2231" s="196"/>
      <c r="E2231" s="197"/>
      <c r="F2231" s="507">
        <f>SUMIFS(Controle!$R:$R,Controle!$H:$H,produtos_escape2!$A2231,Controle!$Z:$Z,"1")</f>
        <v>0</v>
      </c>
      <c r="G2231" s="507">
        <f>SUMIFS(Controle!$R:$R,Controle!$H:$H,produtos_escape2!$A2231,Controle!$Z:$Z,"2")</f>
        <v>0</v>
      </c>
      <c r="H2231" s="507">
        <f>SUMIFS(Controle!$R:$R,Controle!$H:$H,produtos_escape2!$A2231,Controle!$Z:$Z,"3")</f>
        <v>0</v>
      </c>
      <c r="I2231" s="507">
        <f>SUMIFS(Controle!$R:$R,Controle!$H:$H,produtos_escape2!$A2231,Controle!$Z:$Z,"4")</f>
        <v>0</v>
      </c>
      <c r="J2231" s="507">
        <f>SUMIFS(Controle!$R:$R,Controle!$H:$H,produtos_escape2!$A2231,Controle!$Z:$Z,"5")</f>
        <v>0</v>
      </c>
      <c r="K2231" s="507">
        <f>SUMIFS(Controle!$R:$R,Controle!$H:$H,produtos_escape2!$A2231,Controle!$Z:$Z,"6")</f>
        <v>0</v>
      </c>
      <c r="L2231" s="507">
        <f t="shared" si="75"/>
        <v>0</v>
      </c>
      <c r="M2231" s="381" t="s">
        <v>5655</v>
      </c>
    </row>
    <row r="2232" spans="1:13" s="84" customFormat="1" ht="14.25" customHeight="1" thickBot="1">
      <c r="A2232" s="353">
        <v>202092</v>
      </c>
      <c r="B2232" s="194" t="s">
        <v>6822</v>
      </c>
      <c r="C2232" s="339">
        <f t="shared" si="76"/>
        <v>50000</v>
      </c>
      <c r="D2232" s="196" t="s">
        <v>550</v>
      </c>
      <c r="E2232" s="197" t="s">
        <v>7207</v>
      </c>
      <c r="F2232" s="507">
        <f>SUMIFS(Controle!$R:$R,Controle!$H:$H,produtos_escape2!$A2232,Controle!$Z:$Z,"1")</f>
        <v>0</v>
      </c>
      <c r="G2232" s="507">
        <f>SUMIFS(Controle!$R:$R,Controle!$H:$H,produtos_escape2!$A2232,Controle!$Z:$Z,"2")</f>
        <v>0</v>
      </c>
      <c r="H2232" s="507">
        <f>SUMIFS(Controle!$R:$R,Controle!$H:$H,produtos_escape2!$A2232,Controle!$Z:$Z,"3")</f>
        <v>0</v>
      </c>
      <c r="I2232" s="507">
        <f>SUMIFS(Controle!$R:$R,Controle!$H:$H,produtos_escape2!$A2232,Controle!$Z:$Z,"4")</f>
        <v>0</v>
      </c>
      <c r="J2232" s="507">
        <f>SUMIFS(Controle!$R:$R,Controle!$H:$H,produtos_escape2!$A2232,Controle!$Z:$Z,"5")</f>
        <v>0</v>
      </c>
      <c r="K2232" s="507">
        <f>SUMIFS(Controle!$R:$R,Controle!$H:$H,produtos_escape2!$A2232,Controle!$Z:$Z,"6")</f>
        <v>0</v>
      </c>
      <c r="L2232" s="507">
        <f t="shared" si="75"/>
        <v>0</v>
      </c>
      <c r="M2232" s="381" t="s">
        <v>6823</v>
      </c>
    </row>
    <row r="2233" spans="1:13" s="84" customFormat="1" ht="14.25" customHeight="1" thickBot="1">
      <c r="A2233" s="333">
        <v>202093</v>
      </c>
      <c r="B2233" s="194" t="s">
        <v>305</v>
      </c>
      <c r="C2233" s="339">
        <f t="shared" si="76"/>
        <v>50000</v>
      </c>
      <c r="D2233" s="196"/>
      <c r="E2233" s="197"/>
      <c r="F2233" s="507">
        <f>SUMIFS(Controle!$R:$R,Controle!$H:$H,produtos_escape2!$A2233,Controle!$Z:$Z,"1")</f>
        <v>0</v>
      </c>
      <c r="G2233" s="507">
        <f>SUMIFS(Controle!$R:$R,Controle!$H:$H,produtos_escape2!$A2233,Controle!$Z:$Z,"2")</f>
        <v>0</v>
      </c>
      <c r="H2233" s="507">
        <f>SUMIFS(Controle!$R:$R,Controle!$H:$H,produtos_escape2!$A2233,Controle!$Z:$Z,"3")</f>
        <v>0</v>
      </c>
      <c r="I2233" s="507">
        <f>SUMIFS(Controle!$R:$R,Controle!$H:$H,produtos_escape2!$A2233,Controle!$Z:$Z,"4")</f>
        <v>0</v>
      </c>
      <c r="J2233" s="507">
        <f>SUMIFS(Controle!$R:$R,Controle!$H:$H,produtos_escape2!$A2233,Controle!$Z:$Z,"5")</f>
        <v>0</v>
      </c>
      <c r="K2233" s="507">
        <f>SUMIFS(Controle!$R:$R,Controle!$H:$H,produtos_escape2!$A2233,Controle!$Z:$Z,"6")</f>
        <v>0</v>
      </c>
      <c r="L2233" s="507">
        <f t="shared" si="75"/>
        <v>0</v>
      </c>
      <c r="M2233" s="381" t="s">
        <v>5656</v>
      </c>
    </row>
    <row r="2234" spans="1:13" s="84" customFormat="1" ht="14.25" customHeight="1" thickBot="1">
      <c r="A2234" s="333">
        <v>202094</v>
      </c>
      <c r="B2234" s="194" t="s">
        <v>6824</v>
      </c>
      <c r="C2234" s="339">
        <f t="shared" si="76"/>
        <v>50000</v>
      </c>
      <c r="D2234" s="196" t="s">
        <v>550</v>
      </c>
      <c r="E2234" s="197" t="s">
        <v>7207</v>
      </c>
      <c r="F2234" s="507">
        <f>SUMIFS(Controle!$R:$R,Controle!$H:$H,produtos_escape2!$A2234,Controle!$Z:$Z,"1")</f>
        <v>0</v>
      </c>
      <c r="G2234" s="507">
        <f>SUMIFS(Controle!$R:$R,Controle!$H:$H,produtos_escape2!$A2234,Controle!$Z:$Z,"2")</f>
        <v>0</v>
      </c>
      <c r="H2234" s="507">
        <f>SUMIFS(Controle!$R:$R,Controle!$H:$H,produtos_escape2!$A2234,Controle!$Z:$Z,"3")</f>
        <v>0</v>
      </c>
      <c r="I2234" s="507">
        <f>SUMIFS(Controle!$R:$R,Controle!$H:$H,produtos_escape2!$A2234,Controle!$Z:$Z,"4")</f>
        <v>0</v>
      </c>
      <c r="J2234" s="507">
        <f>SUMIFS(Controle!$R:$R,Controle!$H:$H,produtos_escape2!$A2234,Controle!$Z:$Z,"5")</f>
        <v>0</v>
      </c>
      <c r="K2234" s="507">
        <f>SUMIFS(Controle!$R:$R,Controle!$H:$H,produtos_escape2!$A2234,Controle!$Z:$Z,"6")</f>
        <v>0</v>
      </c>
      <c r="L2234" s="507">
        <f t="shared" si="75"/>
        <v>0</v>
      </c>
      <c r="M2234" s="381" t="s">
        <v>6826</v>
      </c>
    </row>
    <row r="2235" spans="1:13" s="84" customFormat="1" ht="14.25" customHeight="1" thickBot="1">
      <c r="A2235" s="333">
        <v>202095</v>
      </c>
      <c r="B2235" s="194" t="s">
        <v>6825</v>
      </c>
      <c r="C2235" s="339">
        <f t="shared" si="76"/>
        <v>50000</v>
      </c>
      <c r="D2235" s="196" t="s">
        <v>550</v>
      </c>
      <c r="E2235" s="197" t="s">
        <v>7207</v>
      </c>
      <c r="F2235" s="507">
        <f>SUMIFS(Controle!$R:$R,Controle!$H:$H,produtos_escape2!$A2235,Controle!$Z:$Z,"1")</f>
        <v>0</v>
      </c>
      <c r="G2235" s="507">
        <f>SUMIFS(Controle!$R:$R,Controle!$H:$H,produtos_escape2!$A2235,Controle!$Z:$Z,"2")</f>
        <v>0</v>
      </c>
      <c r="H2235" s="507">
        <f>SUMIFS(Controle!$R:$R,Controle!$H:$H,produtos_escape2!$A2235,Controle!$Z:$Z,"3")</f>
        <v>0</v>
      </c>
      <c r="I2235" s="507">
        <f>SUMIFS(Controle!$R:$R,Controle!$H:$H,produtos_escape2!$A2235,Controle!$Z:$Z,"4")</f>
        <v>0</v>
      </c>
      <c r="J2235" s="507">
        <f>SUMIFS(Controle!$R:$R,Controle!$H:$H,produtos_escape2!$A2235,Controle!$Z:$Z,"5")</f>
        <v>0</v>
      </c>
      <c r="K2235" s="507">
        <f>SUMIFS(Controle!$R:$R,Controle!$H:$H,produtos_escape2!$A2235,Controle!$Z:$Z,"6")</f>
        <v>0</v>
      </c>
      <c r="L2235" s="507">
        <f t="shared" si="75"/>
        <v>0</v>
      </c>
      <c r="M2235" s="381" t="s">
        <v>6826</v>
      </c>
    </row>
    <row r="2236" spans="1:13" s="84" customFormat="1" ht="14.25" customHeight="1" thickBot="1">
      <c r="A2236" s="353">
        <v>202099</v>
      </c>
      <c r="B2236" s="194" t="s">
        <v>306</v>
      </c>
      <c r="C2236" s="339">
        <f t="shared" si="76"/>
        <v>50000</v>
      </c>
      <c r="D2236" s="196"/>
      <c r="E2236" s="197"/>
      <c r="F2236" s="507">
        <f>SUMIFS(Controle!$R:$R,Controle!$H:$H,produtos_escape2!$A2236,Controle!$Z:$Z,"1")</f>
        <v>0</v>
      </c>
      <c r="G2236" s="507">
        <f>SUMIFS(Controle!$R:$R,Controle!$H:$H,produtos_escape2!$A2236,Controle!$Z:$Z,"2")</f>
        <v>0</v>
      </c>
      <c r="H2236" s="507">
        <f>SUMIFS(Controle!$R:$R,Controle!$H:$H,produtos_escape2!$A2236,Controle!$Z:$Z,"3")</f>
        <v>0</v>
      </c>
      <c r="I2236" s="507">
        <f>SUMIFS(Controle!$R:$R,Controle!$H:$H,produtos_escape2!$A2236,Controle!$Z:$Z,"4")</f>
        <v>0</v>
      </c>
      <c r="J2236" s="507">
        <f>SUMIFS(Controle!$R:$R,Controle!$H:$H,produtos_escape2!$A2236,Controle!$Z:$Z,"5")</f>
        <v>0</v>
      </c>
      <c r="K2236" s="507">
        <f>SUMIFS(Controle!$R:$R,Controle!$H:$H,produtos_escape2!$A2236,Controle!$Z:$Z,"6")</f>
        <v>0</v>
      </c>
      <c r="L2236" s="507">
        <f t="shared" si="75"/>
        <v>0</v>
      </c>
      <c r="M2236" s="381" t="s">
        <v>5656</v>
      </c>
    </row>
    <row r="2237" spans="1:13" s="84" customFormat="1" ht="14.25" customHeight="1" thickBot="1">
      <c r="A2237" s="353">
        <v>202125</v>
      </c>
      <c r="B2237" s="194" t="s">
        <v>420</v>
      </c>
      <c r="C2237" s="339">
        <f t="shared" si="76"/>
        <v>50000</v>
      </c>
      <c r="D2237" s="196"/>
      <c r="E2237" s="197"/>
      <c r="F2237" s="507">
        <f>SUMIFS(Controle!$R:$R,Controle!$H:$H,produtos_escape2!$A2237,Controle!$Z:$Z,"1")</f>
        <v>0</v>
      </c>
      <c r="G2237" s="507">
        <f>SUMIFS(Controle!$R:$R,Controle!$H:$H,produtos_escape2!$A2237,Controle!$Z:$Z,"2")</f>
        <v>0</v>
      </c>
      <c r="H2237" s="507">
        <f>SUMIFS(Controle!$R:$R,Controle!$H:$H,produtos_escape2!$A2237,Controle!$Z:$Z,"3")</f>
        <v>0</v>
      </c>
      <c r="I2237" s="507">
        <f>SUMIFS(Controle!$R:$R,Controle!$H:$H,produtos_escape2!$A2237,Controle!$Z:$Z,"4")</f>
        <v>0</v>
      </c>
      <c r="J2237" s="507">
        <f>SUMIFS(Controle!$R:$R,Controle!$H:$H,produtos_escape2!$A2237,Controle!$Z:$Z,"5")</f>
        <v>0</v>
      </c>
      <c r="K2237" s="507">
        <f>SUMIFS(Controle!$R:$R,Controle!$H:$H,produtos_escape2!$A2237,Controle!$Z:$Z,"6")</f>
        <v>0</v>
      </c>
      <c r="L2237" s="507">
        <f t="shared" si="75"/>
        <v>0</v>
      </c>
      <c r="M2237" s="381" t="s">
        <v>5657</v>
      </c>
    </row>
    <row r="2238" spans="1:13" s="84" customFormat="1" ht="14.25" customHeight="1" thickBot="1">
      <c r="A2238" s="353">
        <v>202137</v>
      </c>
      <c r="B2238" s="194" t="s">
        <v>69</v>
      </c>
      <c r="C2238" s="339">
        <f t="shared" si="76"/>
        <v>50000</v>
      </c>
      <c r="D2238" s="196" t="s">
        <v>624</v>
      </c>
      <c r="E2238" s="197" t="s">
        <v>7207</v>
      </c>
      <c r="F2238" s="507">
        <f>SUMIFS(Controle!$R:$R,Controle!$H:$H,produtos_escape2!$A2238,Controle!$Z:$Z,"1")</f>
        <v>0</v>
      </c>
      <c r="G2238" s="507">
        <f>SUMIFS(Controle!$R:$R,Controle!$H:$H,produtos_escape2!$A2238,Controle!$Z:$Z,"2")</f>
        <v>0</v>
      </c>
      <c r="H2238" s="507">
        <f>SUMIFS(Controle!$R:$R,Controle!$H:$H,produtos_escape2!$A2238,Controle!$Z:$Z,"3")</f>
        <v>0</v>
      </c>
      <c r="I2238" s="507">
        <f>SUMIFS(Controle!$R:$R,Controle!$H:$H,produtos_escape2!$A2238,Controle!$Z:$Z,"4")</f>
        <v>0</v>
      </c>
      <c r="J2238" s="507">
        <f>SUMIFS(Controle!$R:$R,Controle!$H:$H,produtos_escape2!$A2238,Controle!$Z:$Z,"5")</f>
        <v>0</v>
      </c>
      <c r="K2238" s="507">
        <f>SUMIFS(Controle!$R:$R,Controle!$H:$H,produtos_escape2!$A2238,Controle!$Z:$Z,"6")</f>
        <v>0</v>
      </c>
      <c r="L2238" s="507">
        <f t="shared" si="75"/>
        <v>0</v>
      </c>
      <c r="M2238" s="381" t="s">
        <v>5658</v>
      </c>
    </row>
    <row r="2239" spans="1:13" s="84" customFormat="1" ht="14.25" customHeight="1" thickBot="1">
      <c r="A2239" s="353">
        <v>202214</v>
      </c>
      <c r="B2239" s="194" t="s">
        <v>1331</v>
      </c>
      <c r="C2239" s="339">
        <f t="shared" si="76"/>
        <v>50000</v>
      </c>
      <c r="D2239" s="196" t="s">
        <v>624</v>
      </c>
      <c r="E2239" s="197" t="s">
        <v>7207</v>
      </c>
      <c r="F2239" s="507">
        <f>SUMIFS(Controle!$R:$R,Controle!$H:$H,produtos_escape2!$A2239,Controle!$Z:$Z,"1")</f>
        <v>0</v>
      </c>
      <c r="G2239" s="507">
        <f>SUMIFS(Controle!$R:$R,Controle!$H:$H,produtos_escape2!$A2239,Controle!$Z:$Z,"2")</f>
        <v>0</v>
      </c>
      <c r="H2239" s="507">
        <f>SUMIFS(Controle!$R:$R,Controle!$H:$H,produtos_escape2!$A2239,Controle!$Z:$Z,"3")</f>
        <v>0</v>
      </c>
      <c r="I2239" s="507">
        <f>SUMIFS(Controle!$R:$R,Controle!$H:$H,produtos_escape2!$A2239,Controle!$Z:$Z,"4")</f>
        <v>0</v>
      </c>
      <c r="J2239" s="507">
        <f>SUMIFS(Controle!$R:$R,Controle!$H:$H,produtos_escape2!$A2239,Controle!$Z:$Z,"5")</f>
        <v>0</v>
      </c>
      <c r="K2239" s="507">
        <f>SUMIFS(Controle!$R:$R,Controle!$H:$H,produtos_escape2!$A2239,Controle!$Z:$Z,"6")</f>
        <v>0</v>
      </c>
      <c r="L2239" s="507">
        <f t="shared" ref="L2239:L2302" si="77">SUM(F2239:K2239)</f>
        <v>0</v>
      </c>
      <c r="M2239" s="381" t="s">
        <v>5659</v>
      </c>
    </row>
    <row r="2240" spans="1:13" s="84" customFormat="1" ht="14.25" customHeight="1" thickBot="1">
      <c r="A2240" s="353">
        <v>202247</v>
      </c>
      <c r="B2240" s="338" t="s">
        <v>50</v>
      </c>
      <c r="C2240" s="339">
        <f t="shared" si="76"/>
        <v>50000</v>
      </c>
      <c r="D2240" s="191" t="s">
        <v>624</v>
      </c>
      <c r="E2240" s="172" t="s">
        <v>1687</v>
      </c>
      <c r="F2240" s="507">
        <f>SUMIFS(Controle!$R:$R,Controle!$H:$H,produtos_escape2!$A2240,Controle!$Z:$Z,"1")</f>
        <v>0</v>
      </c>
      <c r="G2240" s="507">
        <f>SUMIFS(Controle!$R:$R,Controle!$H:$H,produtos_escape2!$A2240,Controle!$Z:$Z,"2")</f>
        <v>0</v>
      </c>
      <c r="H2240" s="507">
        <f>SUMIFS(Controle!$R:$R,Controle!$H:$H,produtos_escape2!$A2240,Controle!$Z:$Z,"3")</f>
        <v>0</v>
      </c>
      <c r="I2240" s="507">
        <f>SUMIFS(Controle!$R:$R,Controle!$H:$H,produtos_escape2!$A2240,Controle!$Z:$Z,"4")</f>
        <v>0</v>
      </c>
      <c r="J2240" s="507">
        <f>SUMIFS(Controle!$R:$R,Controle!$H:$H,produtos_escape2!$A2240,Controle!$Z:$Z,"5")</f>
        <v>0</v>
      </c>
      <c r="K2240" s="507">
        <f>SUMIFS(Controle!$R:$R,Controle!$H:$H,produtos_escape2!$A2240,Controle!$Z:$Z,"6")</f>
        <v>0</v>
      </c>
      <c r="L2240" s="507">
        <f t="shared" si="77"/>
        <v>0</v>
      </c>
      <c r="M2240" s="381" t="s">
        <v>4768</v>
      </c>
    </row>
    <row r="2241" spans="1:13" s="84" customFormat="1" ht="14.25" customHeight="1" thickBot="1">
      <c r="A2241" s="353">
        <v>202354</v>
      </c>
      <c r="B2241" s="194" t="s">
        <v>1616</v>
      </c>
      <c r="C2241" s="339">
        <f t="shared" si="76"/>
        <v>49722</v>
      </c>
      <c r="D2241" s="196" t="s">
        <v>639</v>
      </c>
      <c r="E2241" s="197" t="s">
        <v>3608</v>
      </c>
      <c r="F2241" s="507">
        <f>SUMIFS(Controle!$R:$R,Controle!$H:$H,produtos_escape2!$A2241,Controle!$Z:$Z,"1")</f>
        <v>0</v>
      </c>
      <c r="G2241" s="507">
        <f>SUMIFS(Controle!$R:$R,Controle!$H:$H,produtos_escape2!$A2241,Controle!$Z:$Z,"2")</f>
        <v>278</v>
      </c>
      <c r="H2241" s="507">
        <f>SUMIFS(Controle!$R:$R,Controle!$H:$H,produtos_escape2!$A2241,Controle!$Z:$Z,"3")</f>
        <v>0</v>
      </c>
      <c r="I2241" s="507">
        <f>SUMIFS(Controle!$R:$R,Controle!$H:$H,produtos_escape2!$A2241,Controle!$Z:$Z,"4")</f>
        <v>0</v>
      </c>
      <c r="J2241" s="507">
        <f>SUMIFS(Controle!$R:$R,Controle!$H:$H,produtos_escape2!$A2241,Controle!$Z:$Z,"5")</f>
        <v>0</v>
      </c>
      <c r="K2241" s="507">
        <f>SUMIFS(Controle!$R:$R,Controle!$H:$H,produtos_escape2!$A2241,Controle!$Z:$Z,"6")</f>
        <v>0</v>
      </c>
      <c r="L2241" s="507">
        <f t="shared" si="77"/>
        <v>278</v>
      </c>
      <c r="M2241" s="381" t="s">
        <v>5660</v>
      </c>
    </row>
    <row r="2242" spans="1:13" s="84" customFormat="1" ht="14.25" customHeight="1" thickBot="1">
      <c r="A2242" s="353">
        <v>202456</v>
      </c>
      <c r="B2242" s="194" t="s">
        <v>9105</v>
      </c>
      <c r="C2242" s="339">
        <f t="shared" si="76"/>
        <v>50000</v>
      </c>
      <c r="D2242" s="196" t="s">
        <v>550</v>
      </c>
      <c r="E2242" s="197" t="s">
        <v>3608</v>
      </c>
      <c r="F2242" s="507">
        <f>SUMIFS(Controle!$R:$R,Controle!$H:$H,produtos_escape2!$A2242,Controle!$Z:$Z,"1")</f>
        <v>0</v>
      </c>
      <c r="G2242" s="507">
        <f>SUMIFS(Controle!$R:$R,Controle!$H:$H,produtos_escape2!$A2242,Controle!$Z:$Z,"2")</f>
        <v>0</v>
      </c>
      <c r="H2242" s="507">
        <f>SUMIFS(Controle!$R:$R,Controle!$H:$H,produtos_escape2!$A2242,Controle!$Z:$Z,"3")</f>
        <v>0</v>
      </c>
      <c r="I2242" s="507">
        <f>SUMIFS(Controle!$R:$R,Controle!$H:$H,produtos_escape2!$A2242,Controle!$Z:$Z,"4")</f>
        <v>0</v>
      </c>
      <c r="J2242" s="507">
        <f>SUMIFS(Controle!$R:$R,Controle!$H:$H,produtos_escape2!$A2242,Controle!$Z:$Z,"5")</f>
        <v>0</v>
      </c>
      <c r="K2242" s="507">
        <f>SUMIFS(Controle!$R:$R,Controle!$H:$H,produtos_escape2!$A2242,Controle!$Z:$Z,"6")</f>
        <v>0</v>
      </c>
      <c r="L2242" s="507">
        <f t="shared" si="77"/>
        <v>0</v>
      </c>
      <c r="M2242" s="381" t="s">
        <v>9104</v>
      </c>
    </row>
    <row r="2243" spans="1:13" s="84" customFormat="1" ht="14.25" customHeight="1" thickBot="1">
      <c r="A2243" s="353">
        <v>202533</v>
      </c>
      <c r="B2243" s="194" t="s">
        <v>602</v>
      </c>
      <c r="C2243" s="339">
        <f t="shared" si="76"/>
        <v>50000</v>
      </c>
      <c r="D2243" s="196" t="s">
        <v>917</v>
      </c>
      <c r="E2243" s="197" t="s">
        <v>3608</v>
      </c>
      <c r="F2243" s="507">
        <f>SUMIFS(Controle!$R:$R,Controle!$H:$H,produtos_escape2!$A2243,Controle!$Z:$Z,"1")</f>
        <v>0</v>
      </c>
      <c r="G2243" s="507">
        <f>SUMIFS(Controle!$R:$R,Controle!$H:$H,produtos_escape2!$A2243,Controle!$Z:$Z,"2")</f>
        <v>0</v>
      </c>
      <c r="H2243" s="507">
        <f>SUMIFS(Controle!$R:$R,Controle!$H:$H,produtos_escape2!$A2243,Controle!$Z:$Z,"3")</f>
        <v>0</v>
      </c>
      <c r="I2243" s="507">
        <f>SUMIFS(Controle!$R:$R,Controle!$H:$H,produtos_escape2!$A2243,Controle!$Z:$Z,"4")</f>
        <v>0</v>
      </c>
      <c r="J2243" s="507">
        <f>SUMIFS(Controle!$R:$R,Controle!$H:$H,produtos_escape2!$A2243,Controle!$Z:$Z,"5")</f>
        <v>0</v>
      </c>
      <c r="K2243" s="507">
        <f>SUMIFS(Controle!$R:$R,Controle!$H:$H,produtos_escape2!$A2243,Controle!$Z:$Z,"6")</f>
        <v>0</v>
      </c>
      <c r="L2243" s="507">
        <f t="shared" si="77"/>
        <v>0</v>
      </c>
      <c r="M2243" s="381" t="s">
        <v>5688</v>
      </c>
    </row>
    <row r="2244" spans="1:13" s="84" customFormat="1" ht="14.25" customHeight="1" thickBot="1">
      <c r="A2244" s="333">
        <v>202534</v>
      </c>
      <c r="B2244" s="194" t="s">
        <v>3398</v>
      </c>
      <c r="C2244" s="339">
        <f t="shared" si="76"/>
        <v>50000</v>
      </c>
      <c r="D2244" s="196" t="s">
        <v>624</v>
      </c>
      <c r="E2244" s="197" t="s">
        <v>7207</v>
      </c>
      <c r="F2244" s="507">
        <f>SUMIFS(Controle!$R:$R,Controle!$H:$H,produtos_escape2!$A2244,Controle!$Z:$Z,"1")</f>
        <v>0</v>
      </c>
      <c r="G2244" s="507">
        <f>SUMIFS(Controle!$R:$R,Controle!$H:$H,produtos_escape2!$A2244,Controle!$Z:$Z,"2")</f>
        <v>0</v>
      </c>
      <c r="H2244" s="507">
        <f>SUMIFS(Controle!$R:$R,Controle!$H:$H,produtos_escape2!$A2244,Controle!$Z:$Z,"3")</f>
        <v>0</v>
      </c>
      <c r="I2244" s="507">
        <f>SUMIFS(Controle!$R:$R,Controle!$H:$H,produtos_escape2!$A2244,Controle!$Z:$Z,"4")</f>
        <v>0</v>
      </c>
      <c r="J2244" s="507">
        <f>SUMIFS(Controle!$R:$R,Controle!$H:$H,produtos_escape2!$A2244,Controle!$Z:$Z,"5")</f>
        <v>0</v>
      </c>
      <c r="K2244" s="507">
        <f>SUMIFS(Controle!$R:$R,Controle!$H:$H,produtos_escape2!$A2244,Controle!$Z:$Z,"6")</f>
        <v>0</v>
      </c>
      <c r="L2244" s="507">
        <f t="shared" si="77"/>
        <v>0</v>
      </c>
      <c r="M2244" s="381" t="s">
        <v>5687</v>
      </c>
    </row>
    <row r="2245" spans="1:13" s="84" customFormat="1" ht="14.25" customHeight="1" thickBot="1">
      <c r="A2245" s="353">
        <v>202583</v>
      </c>
      <c r="B2245" s="194" t="s">
        <v>1441</v>
      </c>
      <c r="C2245" s="339">
        <f t="shared" si="76"/>
        <v>50000</v>
      </c>
      <c r="D2245" s="196" t="s">
        <v>624</v>
      </c>
      <c r="E2245" s="197" t="s">
        <v>7207</v>
      </c>
      <c r="F2245" s="507">
        <f>SUMIFS(Controle!$R:$R,Controle!$H:$H,produtos_escape2!$A2245,Controle!$Z:$Z,"1")</f>
        <v>0</v>
      </c>
      <c r="G2245" s="507">
        <f>SUMIFS(Controle!$R:$R,Controle!$H:$H,produtos_escape2!$A2245,Controle!$Z:$Z,"2")</f>
        <v>0</v>
      </c>
      <c r="H2245" s="507">
        <f>SUMIFS(Controle!$R:$R,Controle!$H:$H,produtos_escape2!$A2245,Controle!$Z:$Z,"3")</f>
        <v>0</v>
      </c>
      <c r="I2245" s="507">
        <f>SUMIFS(Controle!$R:$R,Controle!$H:$H,produtos_escape2!$A2245,Controle!$Z:$Z,"4")</f>
        <v>0</v>
      </c>
      <c r="J2245" s="507">
        <f>SUMIFS(Controle!$R:$R,Controle!$H:$H,produtos_escape2!$A2245,Controle!$Z:$Z,"5")</f>
        <v>0</v>
      </c>
      <c r="K2245" s="507">
        <f>SUMIFS(Controle!$R:$R,Controle!$H:$H,produtos_escape2!$A2245,Controle!$Z:$Z,"6")</f>
        <v>0</v>
      </c>
      <c r="L2245" s="507">
        <f t="shared" si="77"/>
        <v>0</v>
      </c>
      <c r="M2245" s="381" t="s">
        <v>5661</v>
      </c>
    </row>
    <row r="2246" spans="1:13" s="84" customFormat="1" ht="14.25" customHeight="1" thickBot="1">
      <c r="A2246" s="353">
        <v>202660</v>
      </c>
      <c r="B2246" s="194" t="s">
        <v>865</v>
      </c>
      <c r="C2246" s="339">
        <f t="shared" si="76"/>
        <v>50000</v>
      </c>
      <c r="D2246" s="196" t="s">
        <v>830</v>
      </c>
      <c r="E2246" s="197" t="s">
        <v>1739</v>
      </c>
      <c r="F2246" s="507">
        <f>SUMIFS(Controle!$R:$R,Controle!$H:$H,produtos_escape2!$A2246,Controle!$Z:$Z,"1")</f>
        <v>0</v>
      </c>
      <c r="G2246" s="507">
        <f>SUMIFS(Controle!$R:$R,Controle!$H:$H,produtos_escape2!$A2246,Controle!$Z:$Z,"2")</f>
        <v>0</v>
      </c>
      <c r="H2246" s="507">
        <f>SUMIFS(Controle!$R:$R,Controle!$H:$H,produtos_escape2!$A2246,Controle!$Z:$Z,"3")</f>
        <v>0</v>
      </c>
      <c r="I2246" s="507">
        <f>SUMIFS(Controle!$R:$R,Controle!$H:$H,produtos_escape2!$A2246,Controle!$Z:$Z,"4")</f>
        <v>0</v>
      </c>
      <c r="J2246" s="507">
        <f>SUMIFS(Controle!$R:$R,Controle!$H:$H,produtos_escape2!$A2246,Controle!$Z:$Z,"5")</f>
        <v>0</v>
      </c>
      <c r="K2246" s="507">
        <f>SUMIFS(Controle!$R:$R,Controle!$H:$H,produtos_escape2!$A2246,Controle!$Z:$Z,"6")</f>
        <v>0</v>
      </c>
      <c r="L2246" s="507">
        <f t="shared" si="77"/>
        <v>0</v>
      </c>
      <c r="M2246" s="381" t="s">
        <v>865</v>
      </c>
    </row>
    <row r="2247" spans="1:13" s="84" customFormat="1" ht="14.25" customHeight="1" thickBot="1">
      <c r="A2247" s="353">
        <v>202671</v>
      </c>
      <c r="B2247" s="194" t="s">
        <v>3955</v>
      </c>
      <c r="C2247" s="339">
        <f t="shared" si="76"/>
        <v>50000</v>
      </c>
      <c r="D2247" s="196" t="s">
        <v>624</v>
      </c>
      <c r="E2247" s="197" t="s">
        <v>3608</v>
      </c>
      <c r="F2247" s="507">
        <f>SUMIFS(Controle!$R:$R,Controle!$H:$H,produtos_escape2!$A2247,Controle!$Z:$Z,"1")</f>
        <v>0</v>
      </c>
      <c r="G2247" s="507">
        <f>SUMIFS(Controle!$R:$R,Controle!$H:$H,produtos_escape2!$A2247,Controle!$Z:$Z,"2")</f>
        <v>0</v>
      </c>
      <c r="H2247" s="507">
        <f>SUMIFS(Controle!$R:$R,Controle!$H:$H,produtos_escape2!$A2247,Controle!$Z:$Z,"3")</f>
        <v>0</v>
      </c>
      <c r="I2247" s="507">
        <f>SUMIFS(Controle!$R:$R,Controle!$H:$H,produtos_escape2!$A2247,Controle!$Z:$Z,"4")</f>
        <v>0</v>
      </c>
      <c r="J2247" s="507">
        <f>SUMIFS(Controle!$R:$R,Controle!$H:$H,produtos_escape2!$A2247,Controle!$Z:$Z,"5")</f>
        <v>0</v>
      </c>
      <c r="K2247" s="507">
        <f>SUMIFS(Controle!$R:$R,Controle!$H:$H,produtos_escape2!$A2247,Controle!$Z:$Z,"6")</f>
        <v>0</v>
      </c>
      <c r="L2247" s="507">
        <f t="shared" si="77"/>
        <v>0</v>
      </c>
      <c r="M2247" s="381" t="s">
        <v>5662</v>
      </c>
    </row>
    <row r="2248" spans="1:13" s="84" customFormat="1" ht="14.25" customHeight="1" thickBot="1">
      <c r="A2248" s="353">
        <v>202686</v>
      </c>
      <c r="B2248" s="194" t="s">
        <v>9434</v>
      </c>
      <c r="C2248" s="339">
        <f t="shared" si="76"/>
        <v>50000</v>
      </c>
      <c r="D2248" s="196" t="s">
        <v>624</v>
      </c>
      <c r="E2248" s="197" t="s">
        <v>7207</v>
      </c>
      <c r="F2248" s="507">
        <f>SUMIFS(Controle!$R:$R,Controle!$H:$H,produtos_escape2!$A2248,Controle!$Z:$Z,"1")</f>
        <v>0</v>
      </c>
      <c r="G2248" s="507">
        <f>SUMIFS(Controle!$R:$R,Controle!$H:$H,produtos_escape2!$A2248,Controle!$Z:$Z,"2")</f>
        <v>0</v>
      </c>
      <c r="H2248" s="507">
        <f>SUMIFS(Controle!$R:$R,Controle!$H:$H,produtos_escape2!$A2248,Controle!$Z:$Z,"3")</f>
        <v>0</v>
      </c>
      <c r="I2248" s="507">
        <f>SUMIFS(Controle!$R:$R,Controle!$H:$H,produtos_escape2!$A2248,Controle!$Z:$Z,"4")</f>
        <v>0</v>
      </c>
      <c r="J2248" s="507">
        <f>SUMIFS(Controle!$R:$R,Controle!$H:$H,produtos_escape2!$A2248,Controle!$Z:$Z,"5")</f>
        <v>0</v>
      </c>
      <c r="K2248" s="507">
        <f>SUMIFS(Controle!$R:$R,Controle!$H:$H,produtos_escape2!$A2248,Controle!$Z:$Z,"6")</f>
        <v>0</v>
      </c>
      <c r="L2248" s="507">
        <f t="shared" si="77"/>
        <v>0</v>
      </c>
      <c r="M2248" s="381" t="s">
        <v>9435</v>
      </c>
    </row>
    <row r="2249" spans="1:13" s="84" customFormat="1" ht="14.25" customHeight="1" thickBot="1">
      <c r="A2249" s="353">
        <v>202713</v>
      </c>
      <c r="B2249" s="194" t="s">
        <v>510</v>
      </c>
      <c r="C2249" s="339">
        <f t="shared" ref="C2249:C2312" si="78">50000-SUM(F2249:K2249)</f>
        <v>50000</v>
      </c>
      <c r="D2249" s="196"/>
      <c r="E2249" s="197"/>
      <c r="F2249" s="507">
        <f>SUMIFS(Controle!$R:$R,Controle!$H:$H,produtos_escape2!$A2249,Controle!$Z:$Z,"1")</f>
        <v>0</v>
      </c>
      <c r="G2249" s="507">
        <f>SUMIFS(Controle!$R:$R,Controle!$H:$H,produtos_escape2!$A2249,Controle!$Z:$Z,"2")</f>
        <v>0</v>
      </c>
      <c r="H2249" s="507">
        <f>SUMIFS(Controle!$R:$R,Controle!$H:$H,produtos_escape2!$A2249,Controle!$Z:$Z,"3")</f>
        <v>0</v>
      </c>
      <c r="I2249" s="507">
        <f>SUMIFS(Controle!$R:$R,Controle!$H:$H,produtos_escape2!$A2249,Controle!$Z:$Z,"4")</f>
        <v>0</v>
      </c>
      <c r="J2249" s="507">
        <f>SUMIFS(Controle!$R:$R,Controle!$H:$H,produtos_escape2!$A2249,Controle!$Z:$Z,"5")</f>
        <v>0</v>
      </c>
      <c r="K2249" s="507">
        <f>SUMIFS(Controle!$R:$R,Controle!$H:$H,produtos_escape2!$A2249,Controle!$Z:$Z,"6")</f>
        <v>0</v>
      </c>
      <c r="L2249" s="507">
        <f t="shared" si="77"/>
        <v>0</v>
      </c>
      <c r="M2249" s="381" t="s">
        <v>510</v>
      </c>
    </row>
    <row r="2250" spans="1:13" s="84" customFormat="1" ht="14.25" customHeight="1" thickBot="1">
      <c r="A2250" s="353">
        <v>202714</v>
      </c>
      <c r="B2250" s="338" t="s">
        <v>511</v>
      </c>
      <c r="C2250" s="339">
        <f t="shared" si="78"/>
        <v>50000</v>
      </c>
      <c r="D2250" s="196"/>
      <c r="E2250" s="197"/>
      <c r="F2250" s="507">
        <f>SUMIFS(Controle!$R:$R,Controle!$H:$H,produtos_escape2!$A2250,Controle!$Z:$Z,"1")</f>
        <v>0</v>
      </c>
      <c r="G2250" s="507">
        <f>SUMIFS(Controle!$R:$R,Controle!$H:$H,produtos_escape2!$A2250,Controle!$Z:$Z,"2")</f>
        <v>0</v>
      </c>
      <c r="H2250" s="507">
        <f>SUMIFS(Controle!$R:$R,Controle!$H:$H,produtos_escape2!$A2250,Controle!$Z:$Z,"3")</f>
        <v>0</v>
      </c>
      <c r="I2250" s="507">
        <f>SUMIFS(Controle!$R:$R,Controle!$H:$H,produtos_escape2!$A2250,Controle!$Z:$Z,"4")</f>
        <v>0</v>
      </c>
      <c r="J2250" s="507">
        <f>SUMIFS(Controle!$R:$R,Controle!$H:$H,produtos_escape2!$A2250,Controle!$Z:$Z,"5")</f>
        <v>0</v>
      </c>
      <c r="K2250" s="507">
        <f>SUMIFS(Controle!$R:$R,Controle!$H:$H,produtos_escape2!$A2250,Controle!$Z:$Z,"6")</f>
        <v>0</v>
      </c>
      <c r="L2250" s="507">
        <f t="shared" si="77"/>
        <v>0</v>
      </c>
      <c r="M2250" s="381" t="s">
        <v>511</v>
      </c>
    </row>
    <row r="2251" spans="1:13" s="84" customFormat="1" ht="14.25" customHeight="1" thickBot="1">
      <c r="A2251" s="353">
        <v>202715</v>
      </c>
      <c r="B2251" s="194" t="s">
        <v>512</v>
      </c>
      <c r="C2251" s="339">
        <f t="shared" si="78"/>
        <v>50000</v>
      </c>
      <c r="D2251" s="196"/>
      <c r="E2251" s="197"/>
      <c r="F2251" s="507">
        <f>SUMIFS(Controle!$R:$R,Controle!$H:$H,produtos_escape2!$A2251,Controle!$Z:$Z,"1")</f>
        <v>0</v>
      </c>
      <c r="G2251" s="507">
        <f>SUMIFS(Controle!$R:$R,Controle!$H:$H,produtos_escape2!$A2251,Controle!$Z:$Z,"2")</f>
        <v>0</v>
      </c>
      <c r="H2251" s="507">
        <f>SUMIFS(Controle!$R:$R,Controle!$H:$H,produtos_escape2!$A2251,Controle!$Z:$Z,"3")</f>
        <v>0</v>
      </c>
      <c r="I2251" s="507">
        <f>SUMIFS(Controle!$R:$R,Controle!$H:$H,produtos_escape2!$A2251,Controle!$Z:$Z,"4")</f>
        <v>0</v>
      </c>
      <c r="J2251" s="507">
        <f>SUMIFS(Controle!$R:$R,Controle!$H:$H,produtos_escape2!$A2251,Controle!$Z:$Z,"5")</f>
        <v>0</v>
      </c>
      <c r="K2251" s="507">
        <f>SUMIFS(Controle!$R:$R,Controle!$H:$H,produtos_escape2!$A2251,Controle!$Z:$Z,"6")</f>
        <v>0</v>
      </c>
      <c r="L2251" s="507">
        <f t="shared" si="77"/>
        <v>0</v>
      </c>
      <c r="M2251" s="381" t="s">
        <v>512</v>
      </c>
    </row>
    <row r="2252" spans="1:13" s="84" customFormat="1" ht="14.25" customHeight="1" thickBot="1">
      <c r="A2252" s="353">
        <v>202716</v>
      </c>
      <c r="B2252" s="194" t="s">
        <v>544</v>
      </c>
      <c r="C2252" s="339">
        <f t="shared" si="78"/>
        <v>50000</v>
      </c>
      <c r="D2252" s="196"/>
      <c r="E2252" s="197"/>
      <c r="F2252" s="507">
        <f>SUMIFS(Controle!$R:$R,Controle!$H:$H,produtos_escape2!$A2252,Controle!$Z:$Z,"1")</f>
        <v>0</v>
      </c>
      <c r="G2252" s="507">
        <f>SUMIFS(Controle!$R:$R,Controle!$H:$H,produtos_escape2!$A2252,Controle!$Z:$Z,"2")</f>
        <v>0</v>
      </c>
      <c r="H2252" s="507">
        <f>SUMIFS(Controle!$R:$R,Controle!$H:$H,produtos_escape2!$A2252,Controle!$Z:$Z,"3")</f>
        <v>0</v>
      </c>
      <c r="I2252" s="507">
        <f>SUMIFS(Controle!$R:$R,Controle!$H:$H,produtos_escape2!$A2252,Controle!$Z:$Z,"4")</f>
        <v>0</v>
      </c>
      <c r="J2252" s="507">
        <f>SUMIFS(Controle!$R:$R,Controle!$H:$H,produtos_escape2!$A2252,Controle!$Z:$Z,"5")</f>
        <v>0</v>
      </c>
      <c r="K2252" s="507">
        <f>SUMIFS(Controle!$R:$R,Controle!$H:$H,produtos_escape2!$A2252,Controle!$Z:$Z,"6")</f>
        <v>0</v>
      </c>
      <c r="L2252" s="507">
        <f t="shared" si="77"/>
        <v>0</v>
      </c>
      <c r="M2252" s="381" t="s">
        <v>544</v>
      </c>
    </row>
    <row r="2253" spans="1:13" s="84" customFormat="1" ht="14.25" customHeight="1" thickBot="1">
      <c r="A2253" s="333">
        <v>202766</v>
      </c>
      <c r="B2253" s="194" t="s">
        <v>2709</v>
      </c>
      <c r="C2253" s="339">
        <f t="shared" si="78"/>
        <v>50000</v>
      </c>
      <c r="D2253" s="196" t="s">
        <v>624</v>
      </c>
      <c r="E2253" s="197" t="s">
        <v>7207</v>
      </c>
      <c r="F2253" s="507">
        <f>SUMIFS(Controle!$R:$R,Controle!$H:$H,produtos_escape2!$A2253,Controle!$Z:$Z,"1")</f>
        <v>0</v>
      </c>
      <c r="G2253" s="507">
        <f>SUMIFS(Controle!$R:$R,Controle!$H:$H,produtos_escape2!$A2253,Controle!$Z:$Z,"2")</f>
        <v>0</v>
      </c>
      <c r="H2253" s="507">
        <f>SUMIFS(Controle!$R:$R,Controle!$H:$H,produtos_escape2!$A2253,Controle!$Z:$Z,"3")</f>
        <v>0</v>
      </c>
      <c r="I2253" s="507">
        <f>SUMIFS(Controle!$R:$R,Controle!$H:$H,produtos_escape2!$A2253,Controle!$Z:$Z,"4")</f>
        <v>0</v>
      </c>
      <c r="J2253" s="507">
        <f>SUMIFS(Controle!$R:$R,Controle!$H:$H,produtos_escape2!$A2253,Controle!$Z:$Z,"5")</f>
        <v>0</v>
      </c>
      <c r="K2253" s="507">
        <f>SUMIFS(Controle!$R:$R,Controle!$H:$H,produtos_escape2!$A2253,Controle!$Z:$Z,"6")</f>
        <v>0</v>
      </c>
      <c r="L2253" s="507">
        <f t="shared" si="77"/>
        <v>0</v>
      </c>
      <c r="M2253" s="381" t="s">
        <v>2709</v>
      </c>
    </row>
    <row r="2254" spans="1:13" s="84" customFormat="1" ht="14.25" customHeight="1" thickBot="1">
      <c r="A2254" s="333">
        <v>202794</v>
      </c>
      <c r="B2254" s="194" t="s">
        <v>9049</v>
      </c>
      <c r="C2254" s="339">
        <f t="shared" si="78"/>
        <v>47278.400000000001</v>
      </c>
      <c r="D2254" s="196" t="s">
        <v>624</v>
      </c>
      <c r="E2254" s="197" t="s">
        <v>7207</v>
      </c>
      <c r="F2254" s="507">
        <f>SUMIFS(Controle!$R:$R,Controle!$H:$H,produtos_escape2!$A2254,Controle!$Z:$Z,"1")</f>
        <v>0</v>
      </c>
      <c r="G2254" s="507">
        <f>SUMIFS(Controle!$R:$R,Controle!$H:$H,produtos_escape2!$A2254,Controle!$Z:$Z,"2")</f>
        <v>0</v>
      </c>
      <c r="H2254" s="507">
        <f>SUMIFS(Controle!$R:$R,Controle!$H:$H,produtos_escape2!$A2254,Controle!$Z:$Z,"3")</f>
        <v>0</v>
      </c>
      <c r="I2254" s="507">
        <f>SUMIFS(Controle!$R:$R,Controle!$H:$H,produtos_escape2!$A2254,Controle!$Z:$Z,"4")</f>
        <v>2721.6</v>
      </c>
      <c r="J2254" s="507">
        <f>SUMIFS(Controle!$R:$R,Controle!$H:$H,produtos_escape2!$A2254,Controle!$Z:$Z,"5")</f>
        <v>0</v>
      </c>
      <c r="K2254" s="507">
        <f>SUMIFS(Controle!$R:$R,Controle!$H:$H,produtos_escape2!$A2254,Controle!$Z:$Z,"6")</f>
        <v>0</v>
      </c>
      <c r="L2254" s="507">
        <f t="shared" si="77"/>
        <v>2721.6</v>
      </c>
      <c r="M2254" s="381" t="s">
        <v>9050</v>
      </c>
    </row>
    <row r="2255" spans="1:13" s="84" customFormat="1" ht="14.25" customHeight="1" thickBot="1">
      <c r="A2255" s="333">
        <v>202798</v>
      </c>
      <c r="B2255" s="194" t="s">
        <v>9441</v>
      </c>
      <c r="C2255" s="339">
        <f t="shared" si="78"/>
        <v>50000</v>
      </c>
      <c r="D2255" s="196" t="s">
        <v>624</v>
      </c>
      <c r="E2255" s="197" t="s">
        <v>7207</v>
      </c>
      <c r="F2255" s="507">
        <f>SUMIFS(Controle!$R:$R,Controle!$H:$H,produtos_escape2!$A2255,Controle!$Z:$Z,"1")</f>
        <v>0</v>
      </c>
      <c r="G2255" s="507">
        <f>SUMIFS(Controle!$R:$R,Controle!$H:$H,produtos_escape2!$A2255,Controle!$Z:$Z,"2")</f>
        <v>0</v>
      </c>
      <c r="H2255" s="507">
        <f>SUMIFS(Controle!$R:$R,Controle!$H:$H,produtos_escape2!$A2255,Controle!$Z:$Z,"3")</f>
        <v>0</v>
      </c>
      <c r="I2255" s="507">
        <f>SUMIFS(Controle!$R:$R,Controle!$H:$H,produtos_escape2!$A2255,Controle!$Z:$Z,"4")</f>
        <v>0</v>
      </c>
      <c r="J2255" s="507">
        <f>SUMIFS(Controle!$R:$R,Controle!$H:$H,produtos_escape2!$A2255,Controle!$Z:$Z,"5")</f>
        <v>0</v>
      </c>
      <c r="K2255" s="507">
        <f>SUMIFS(Controle!$R:$R,Controle!$H:$H,produtos_escape2!$A2255,Controle!$Z:$Z,"6")</f>
        <v>0</v>
      </c>
      <c r="L2255" s="507">
        <f t="shared" si="77"/>
        <v>0</v>
      </c>
      <c r="M2255" s="381" t="s">
        <v>9442</v>
      </c>
    </row>
    <row r="2256" spans="1:13" s="84" customFormat="1" ht="14.25" customHeight="1" thickBot="1">
      <c r="A2256" s="353">
        <v>202814</v>
      </c>
      <c r="B2256" s="194" t="s">
        <v>9051</v>
      </c>
      <c r="C2256" s="339">
        <f t="shared" si="78"/>
        <v>48500</v>
      </c>
      <c r="D2256" s="196" t="s">
        <v>624</v>
      </c>
      <c r="E2256" s="172" t="s">
        <v>7207</v>
      </c>
      <c r="F2256" s="507">
        <f>SUMIFS(Controle!$R:$R,Controle!$H:$H,produtos_escape2!$A2256,Controle!$Z:$Z,"1")</f>
        <v>0</v>
      </c>
      <c r="G2256" s="507">
        <f>SUMIFS(Controle!$R:$R,Controle!$H:$H,produtos_escape2!$A2256,Controle!$Z:$Z,"2")</f>
        <v>0</v>
      </c>
      <c r="H2256" s="507">
        <f>SUMIFS(Controle!$R:$R,Controle!$H:$H,produtos_escape2!$A2256,Controle!$Z:$Z,"3")</f>
        <v>0</v>
      </c>
      <c r="I2256" s="507">
        <f>SUMIFS(Controle!$R:$R,Controle!$H:$H,produtos_escape2!$A2256,Controle!$Z:$Z,"4")</f>
        <v>1500</v>
      </c>
      <c r="J2256" s="507">
        <f>SUMIFS(Controle!$R:$R,Controle!$H:$H,produtos_escape2!$A2256,Controle!$Z:$Z,"5")</f>
        <v>0</v>
      </c>
      <c r="K2256" s="507">
        <f>SUMIFS(Controle!$R:$R,Controle!$H:$H,produtos_escape2!$A2256,Controle!$Z:$Z,"6")</f>
        <v>0</v>
      </c>
      <c r="L2256" s="507">
        <f t="shared" si="77"/>
        <v>1500</v>
      </c>
      <c r="M2256" s="381" t="s">
        <v>9052</v>
      </c>
    </row>
    <row r="2257" spans="1:13" s="84" customFormat="1" ht="14.25" customHeight="1" thickBot="1">
      <c r="A2257" s="353">
        <v>202819</v>
      </c>
      <c r="B2257" s="194" t="s">
        <v>9047</v>
      </c>
      <c r="C2257" s="339">
        <f t="shared" si="78"/>
        <v>47888.15</v>
      </c>
      <c r="D2257" s="196" t="s">
        <v>624</v>
      </c>
      <c r="E2257" s="172" t="s">
        <v>7207</v>
      </c>
      <c r="F2257" s="507">
        <f>SUMIFS(Controle!$R:$R,Controle!$H:$H,produtos_escape2!$A2257,Controle!$Z:$Z,"1")</f>
        <v>0</v>
      </c>
      <c r="G2257" s="507">
        <f>SUMIFS(Controle!$R:$R,Controle!$H:$H,produtos_escape2!$A2257,Controle!$Z:$Z,"2")</f>
        <v>0</v>
      </c>
      <c r="H2257" s="507">
        <f>SUMIFS(Controle!$R:$R,Controle!$H:$H,produtos_escape2!$A2257,Controle!$Z:$Z,"3")</f>
        <v>0</v>
      </c>
      <c r="I2257" s="507">
        <f>SUMIFS(Controle!$R:$R,Controle!$H:$H,produtos_escape2!$A2257,Controle!$Z:$Z,"4")</f>
        <v>2111.85</v>
      </c>
      <c r="J2257" s="507">
        <f>SUMIFS(Controle!$R:$R,Controle!$H:$H,produtos_escape2!$A2257,Controle!$Z:$Z,"5")</f>
        <v>0</v>
      </c>
      <c r="K2257" s="507">
        <f>SUMIFS(Controle!$R:$R,Controle!$H:$H,produtos_escape2!$A2257,Controle!$Z:$Z,"6")</f>
        <v>0</v>
      </c>
      <c r="L2257" s="507">
        <f t="shared" si="77"/>
        <v>2111.85</v>
      </c>
      <c r="M2257" s="381" t="s">
        <v>9046</v>
      </c>
    </row>
    <row r="2258" spans="1:13" s="84" customFormat="1" ht="14.25" customHeight="1" thickBot="1">
      <c r="A2258" s="353">
        <v>202849</v>
      </c>
      <c r="B2258" s="194" t="s">
        <v>4232</v>
      </c>
      <c r="C2258" s="339">
        <f t="shared" si="78"/>
        <v>50000</v>
      </c>
      <c r="D2258" s="196" t="s">
        <v>624</v>
      </c>
      <c r="E2258" s="172" t="s">
        <v>7207</v>
      </c>
      <c r="F2258" s="507">
        <f>SUMIFS(Controle!$R:$R,Controle!$H:$H,produtos_escape2!$A2258,Controle!$Z:$Z,"1")</f>
        <v>0</v>
      </c>
      <c r="G2258" s="507">
        <f>SUMIFS(Controle!$R:$R,Controle!$H:$H,produtos_escape2!$A2258,Controle!$Z:$Z,"2")</f>
        <v>0</v>
      </c>
      <c r="H2258" s="507">
        <f>SUMIFS(Controle!$R:$R,Controle!$H:$H,produtos_escape2!$A2258,Controle!$Z:$Z,"3")</f>
        <v>0</v>
      </c>
      <c r="I2258" s="507">
        <f>SUMIFS(Controle!$R:$R,Controle!$H:$H,produtos_escape2!$A2258,Controle!$Z:$Z,"4")</f>
        <v>0</v>
      </c>
      <c r="J2258" s="507">
        <f>SUMIFS(Controle!$R:$R,Controle!$H:$H,produtos_escape2!$A2258,Controle!$Z:$Z,"5")</f>
        <v>0</v>
      </c>
      <c r="K2258" s="507">
        <f>SUMIFS(Controle!$R:$R,Controle!$H:$H,produtos_escape2!$A2258,Controle!$Z:$Z,"6")</f>
        <v>0</v>
      </c>
      <c r="L2258" s="507">
        <f t="shared" si="77"/>
        <v>0</v>
      </c>
      <c r="M2258" s="381" t="s">
        <v>5663</v>
      </c>
    </row>
    <row r="2259" spans="1:13" s="84" customFormat="1" ht="14.25" customHeight="1" thickBot="1">
      <c r="A2259" s="353">
        <v>202871</v>
      </c>
      <c r="B2259" s="194" t="s">
        <v>9103</v>
      </c>
      <c r="C2259" s="339">
        <f t="shared" si="78"/>
        <v>47711</v>
      </c>
      <c r="D2259" s="196" t="s">
        <v>624</v>
      </c>
      <c r="E2259" s="172" t="s">
        <v>7207</v>
      </c>
      <c r="F2259" s="507">
        <f>SUMIFS(Controle!$R:$R,Controle!$H:$H,produtos_escape2!$A2259,Controle!$Z:$Z,"1")</f>
        <v>0</v>
      </c>
      <c r="G2259" s="507">
        <f>SUMIFS(Controle!$R:$R,Controle!$H:$H,produtos_escape2!$A2259,Controle!$Z:$Z,"2")</f>
        <v>0</v>
      </c>
      <c r="H2259" s="507">
        <f>SUMIFS(Controle!$R:$R,Controle!$H:$H,produtos_escape2!$A2259,Controle!$Z:$Z,"3")</f>
        <v>0</v>
      </c>
      <c r="I2259" s="507">
        <f>SUMIFS(Controle!$R:$R,Controle!$H:$H,produtos_escape2!$A2259,Controle!$Z:$Z,"4")</f>
        <v>0</v>
      </c>
      <c r="J2259" s="507">
        <f>SUMIFS(Controle!$R:$R,Controle!$H:$H,produtos_escape2!$A2259,Controle!$Z:$Z,"5")</f>
        <v>0</v>
      </c>
      <c r="K2259" s="507">
        <f>SUMIFS(Controle!$R:$R,Controle!$H:$H,produtos_escape2!$A2259,Controle!$Z:$Z,"6")</f>
        <v>2289</v>
      </c>
      <c r="L2259" s="507">
        <f t="shared" si="77"/>
        <v>2289</v>
      </c>
      <c r="M2259" s="381" t="s">
        <v>9102</v>
      </c>
    </row>
    <row r="2260" spans="1:13" s="84" customFormat="1" ht="14.25" customHeight="1" thickBot="1">
      <c r="A2260" s="353">
        <v>202895</v>
      </c>
      <c r="B2260" s="194" t="s">
        <v>3368</v>
      </c>
      <c r="C2260" s="339">
        <f t="shared" si="78"/>
        <v>50000</v>
      </c>
      <c r="D2260" s="196" t="s">
        <v>624</v>
      </c>
      <c r="E2260" s="172" t="s">
        <v>7207</v>
      </c>
      <c r="F2260" s="507">
        <f>SUMIFS(Controle!$R:$R,Controle!$H:$H,produtos_escape2!$A2260,Controle!$Z:$Z,"1")</f>
        <v>0</v>
      </c>
      <c r="G2260" s="507">
        <f>SUMIFS(Controle!$R:$R,Controle!$H:$H,produtos_escape2!$A2260,Controle!$Z:$Z,"2")</f>
        <v>0</v>
      </c>
      <c r="H2260" s="507">
        <f>SUMIFS(Controle!$R:$R,Controle!$H:$H,produtos_escape2!$A2260,Controle!$Z:$Z,"3")</f>
        <v>0</v>
      </c>
      <c r="I2260" s="507">
        <f>SUMIFS(Controle!$R:$R,Controle!$H:$H,produtos_escape2!$A2260,Controle!$Z:$Z,"4")</f>
        <v>0</v>
      </c>
      <c r="J2260" s="507">
        <f>SUMIFS(Controle!$R:$R,Controle!$H:$H,produtos_escape2!$A2260,Controle!$Z:$Z,"5")</f>
        <v>0</v>
      </c>
      <c r="K2260" s="507">
        <f>SUMIFS(Controle!$R:$R,Controle!$H:$H,produtos_escape2!$A2260,Controle!$Z:$Z,"6")</f>
        <v>0</v>
      </c>
      <c r="L2260" s="507">
        <f t="shared" si="77"/>
        <v>0</v>
      </c>
      <c r="M2260" s="381" t="s">
        <v>5664</v>
      </c>
    </row>
    <row r="2261" spans="1:13" s="84" customFormat="1" ht="14.25" customHeight="1" thickBot="1">
      <c r="A2261" s="353">
        <v>202937</v>
      </c>
      <c r="B2261" s="194" t="s">
        <v>9273</v>
      </c>
      <c r="C2261" s="339">
        <f t="shared" si="78"/>
        <v>50000</v>
      </c>
      <c r="D2261" s="191" t="s">
        <v>624</v>
      </c>
      <c r="E2261" s="172" t="s">
        <v>7207</v>
      </c>
      <c r="F2261" s="507">
        <f>SUMIFS(Controle!$R:$R,Controle!$H:$H,produtos_escape2!$A2261,Controle!$Z:$Z,"1")</f>
        <v>0</v>
      </c>
      <c r="G2261" s="507">
        <f>SUMIFS(Controle!$R:$R,Controle!$H:$H,produtos_escape2!$A2261,Controle!$Z:$Z,"2")</f>
        <v>0</v>
      </c>
      <c r="H2261" s="507">
        <f>SUMIFS(Controle!$R:$R,Controle!$H:$H,produtos_escape2!$A2261,Controle!$Z:$Z,"3")</f>
        <v>0</v>
      </c>
      <c r="I2261" s="507">
        <f>SUMIFS(Controle!$R:$R,Controle!$H:$H,produtos_escape2!$A2261,Controle!$Z:$Z,"4")</f>
        <v>0</v>
      </c>
      <c r="J2261" s="507">
        <f>SUMIFS(Controle!$R:$R,Controle!$H:$H,produtos_escape2!$A2261,Controle!$Z:$Z,"5")</f>
        <v>0</v>
      </c>
      <c r="K2261" s="507">
        <f>SUMIFS(Controle!$R:$R,Controle!$H:$H,produtos_escape2!$A2261,Controle!$Z:$Z,"6")</f>
        <v>0</v>
      </c>
      <c r="L2261" s="507">
        <f t="shared" si="77"/>
        <v>0</v>
      </c>
      <c r="M2261" s="381"/>
    </row>
    <row r="2262" spans="1:13" s="84" customFormat="1" ht="14.25" customHeight="1" thickBot="1">
      <c r="A2262" s="353">
        <v>202985</v>
      </c>
      <c r="B2262" s="194" t="s">
        <v>926</v>
      </c>
      <c r="C2262" s="339">
        <f t="shared" si="78"/>
        <v>50000</v>
      </c>
      <c r="D2262" s="191" t="s">
        <v>624</v>
      </c>
      <c r="E2262" s="172" t="s">
        <v>7207</v>
      </c>
      <c r="F2262" s="507">
        <f>SUMIFS(Controle!$R:$R,Controle!$H:$H,produtos_escape2!$A2262,Controle!$Z:$Z,"1")</f>
        <v>0</v>
      </c>
      <c r="G2262" s="507">
        <f>SUMIFS(Controle!$R:$R,Controle!$H:$H,produtos_escape2!$A2262,Controle!$Z:$Z,"2")</f>
        <v>0</v>
      </c>
      <c r="H2262" s="507">
        <f>SUMIFS(Controle!$R:$R,Controle!$H:$H,produtos_escape2!$A2262,Controle!$Z:$Z,"3")</f>
        <v>0</v>
      </c>
      <c r="I2262" s="507">
        <f>SUMIFS(Controle!$R:$R,Controle!$H:$H,produtos_escape2!$A2262,Controle!$Z:$Z,"4")</f>
        <v>0</v>
      </c>
      <c r="J2262" s="507">
        <f>SUMIFS(Controle!$R:$R,Controle!$H:$H,produtos_escape2!$A2262,Controle!$Z:$Z,"5")</f>
        <v>0</v>
      </c>
      <c r="K2262" s="507">
        <f>SUMIFS(Controle!$R:$R,Controle!$H:$H,produtos_escape2!$A2262,Controle!$Z:$Z,"6")</f>
        <v>0</v>
      </c>
      <c r="L2262" s="507">
        <f t="shared" si="77"/>
        <v>0</v>
      </c>
      <c r="M2262" s="381" t="s">
        <v>5665</v>
      </c>
    </row>
    <row r="2263" spans="1:13" s="84" customFormat="1" ht="14.25" customHeight="1" thickBot="1">
      <c r="A2263" s="353">
        <v>203000</v>
      </c>
      <c r="B2263" s="194" t="s">
        <v>923</v>
      </c>
      <c r="C2263" s="339">
        <f t="shared" si="78"/>
        <v>50000</v>
      </c>
      <c r="D2263" s="196" t="s">
        <v>624</v>
      </c>
      <c r="E2263" s="197" t="s">
        <v>7207</v>
      </c>
      <c r="F2263" s="507">
        <f>SUMIFS(Controle!$R:$R,Controle!$H:$H,produtos_escape2!$A2263,Controle!$Z:$Z,"1")</f>
        <v>0</v>
      </c>
      <c r="G2263" s="507">
        <f>SUMIFS(Controle!$R:$R,Controle!$H:$H,produtos_escape2!$A2263,Controle!$Z:$Z,"2")</f>
        <v>0</v>
      </c>
      <c r="H2263" s="507">
        <f>SUMIFS(Controle!$R:$R,Controle!$H:$H,produtos_escape2!$A2263,Controle!$Z:$Z,"3")</f>
        <v>0</v>
      </c>
      <c r="I2263" s="507">
        <f>SUMIFS(Controle!$R:$R,Controle!$H:$H,produtos_escape2!$A2263,Controle!$Z:$Z,"4")</f>
        <v>0</v>
      </c>
      <c r="J2263" s="507">
        <f>SUMIFS(Controle!$R:$R,Controle!$H:$H,produtos_escape2!$A2263,Controle!$Z:$Z,"5")</f>
        <v>0</v>
      </c>
      <c r="K2263" s="507">
        <f>SUMIFS(Controle!$R:$R,Controle!$H:$H,produtos_escape2!$A2263,Controle!$Z:$Z,"6")</f>
        <v>0</v>
      </c>
      <c r="L2263" s="507">
        <f t="shared" si="77"/>
        <v>0</v>
      </c>
      <c r="M2263" s="381" t="s">
        <v>5666</v>
      </c>
    </row>
    <row r="2264" spans="1:13" s="84" customFormat="1" ht="14.25" customHeight="1" thickBot="1">
      <c r="A2264" s="353">
        <v>203001</v>
      </c>
      <c r="B2264" s="338" t="s">
        <v>1659</v>
      </c>
      <c r="C2264" s="339">
        <f t="shared" si="78"/>
        <v>50000</v>
      </c>
      <c r="D2264" s="196" t="s">
        <v>624</v>
      </c>
      <c r="E2264" s="197" t="s">
        <v>7207</v>
      </c>
      <c r="F2264" s="507">
        <f>SUMIFS(Controle!$R:$R,Controle!$H:$H,produtos_escape2!$A2264,Controle!$Z:$Z,"1")</f>
        <v>0</v>
      </c>
      <c r="G2264" s="507">
        <f>SUMIFS(Controle!$R:$R,Controle!$H:$H,produtos_escape2!$A2264,Controle!$Z:$Z,"2")</f>
        <v>0</v>
      </c>
      <c r="H2264" s="507">
        <f>SUMIFS(Controle!$R:$R,Controle!$H:$H,produtos_escape2!$A2264,Controle!$Z:$Z,"3")</f>
        <v>0</v>
      </c>
      <c r="I2264" s="507">
        <f>SUMIFS(Controle!$R:$R,Controle!$H:$H,produtos_escape2!$A2264,Controle!$Z:$Z,"4")</f>
        <v>0</v>
      </c>
      <c r="J2264" s="507">
        <f>SUMIFS(Controle!$R:$R,Controle!$H:$H,produtos_escape2!$A2264,Controle!$Z:$Z,"5")</f>
        <v>0</v>
      </c>
      <c r="K2264" s="507">
        <f>SUMIFS(Controle!$R:$R,Controle!$H:$H,produtos_escape2!$A2264,Controle!$Z:$Z,"6")</f>
        <v>0</v>
      </c>
      <c r="L2264" s="507">
        <f t="shared" si="77"/>
        <v>0</v>
      </c>
      <c r="M2264" s="381" t="s">
        <v>5667</v>
      </c>
    </row>
    <row r="2265" spans="1:13" s="84" customFormat="1" ht="14.25" customHeight="1" thickBot="1">
      <c r="A2265" s="353">
        <v>203002</v>
      </c>
      <c r="B2265" s="194" t="s">
        <v>1215</v>
      </c>
      <c r="C2265" s="339">
        <f t="shared" si="78"/>
        <v>50000</v>
      </c>
      <c r="D2265" s="196" t="s">
        <v>624</v>
      </c>
      <c r="E2265" s="197" t="s">
        <v>7207</v>
      </c>
      <c r="F2265" s="507">
        <f>SUMIFS(Controle!$R:$R,Controle!$H:$H,produtos_escape2!$A2265,Controle!$Z:$Z,"1")</f>
        <v>0</v>
      </c>
      <c r="G2265" s="507">
        <f>SUMIFS(Controle!$R:$R,Controle!$H:$H,produtos_escape2!$A2265,Controle!$Z:$Z,"2")</f>
        <v>0</v>
      </c>
      <c r="H2265" s="507">
        <f>SUMIFS(Controle!$R:$R,Controle!$H:$H,produtos_escape2!$A2265,Controle!$Z:$Z,"3")</f>
        <v>0</v>
      </c>
      <c r="I2265" s="507">
        <f>SUMIFS(Controle!$R:$R,Controle!$H:$H,produtos_escape2!$A2265,Controle!$Z:$Z,"4")</f>
        <v>0</v>
      </c>
      <c r="J2265" s="507">
        <f>SUMIFS(Controle!$R:$R,Controle!$H:$H,produtos_escape2!$A2265,Controle!$Z:$Z,"5")</f>
        <v>0</v>
      </c>
      <c r="K2265" s="507">
        <f>SUMIFS(Controle!$R:$R,Controle!$H:$H,produtos_escape2!$A2265,Controle!$Z:$Z,"6")</f>
        <v>0</v>
      </c>
      <c r="L2265" s="507">
        <f t="shared" si="77"/>
        <v>0</v>
      </c>
      <c r="M2265" s="381" t="s">
        <v>5668</v>
      </c>
    </row>
    <row r="2266" spans="1:13" s="84" customFormat="1" ht="14.25" customHeight="1" thickBot="1">
      <c r="A2266" s="353">
        <v>203003</v>
      </c>
      <c r="B2266" s="194" t="s">
        <v>1660</v>
      </c>
      <c r="C2266" s="339">
        <f t="shared" si="78"/>
        <v>50000</v>
      </c>
      <c r="D2266" s="196" t="s">
        <v>624</v>
      </c>
      <c r="E2266" s="197" t="s">
        <v>7207</v>
      </c>
      <c r="F2266" s="507">
        <f>SUMIFS(Controle!$R:$R,Controle!$H:$H,produtos_escape2!$A2266,Controle!$Z:$Z,"1")</f>
        <v>0</v>
      </c>
      <c r="G2266" s="507">
        <f>SUMIFS(Controle!$R:$R,Controle!$H:$H,produtos_escape2!$A2266,Controle!$Z:$Z,"2")</f>
        <v>0</v>
      </c>
      <c r="H2266" s="507">
        <f>SUMIFS(Controle!$R:$R,Controle!$H:$H,produtos_escape2!$A2266,Controle!$Z:$Z,"3")</f>
        <v>0</v>
      </c>
      <c r="I2266" s="507">
        <f>SUMIFS(Controle!$R:$R,Controle!$H:$H,produtos_escape2!$A2266,Controle!$Z:$Z,"4")</f>
        <v>0</v>
      </c>
      <c r="J2266" s="507">
        <f>SUMIFS(Controle!$R:$R,Controle!$H:$H,produtos_escape2!$A2266,Controle!$Z:$Z,"5")</f>
        <v>0</v>
      </c>
      <c r="K2266" s="507">
        <f>SUMIFS(Controle!$R:$R,Controle!$H:$H,produtos_escape2!$A2266,Controle!$Z:$Z,"6")</f>
        <v>0</v>
      </c>
      <c r="L2266" s="507">
        <f t="shared" si="77"/>
        <v>0</v>
      </c>
      <c r="M2266" s="381" t="s">
        <v>5669</v>
      </c>
    </row>
    <row r="2267" spans="1:13" s="84" customFormat="1" ht="14.25" customHeight="1" thickBot="1">
      <c r="A2267" s="353">
        <v>203010</v>
      </c>
      <c r="B2267" s="194" t="s">
        <v>9274</v>
      </c>
      <c r="C2267" s="339">
        <f t="shared" si="78"/>
        <v>50000</v>
      </c>
      <c r="D2267" s="191" t="s">
        <v>624</v>
      </c>
      <c r="E2267" s="172" t="s">
        <v>7207</v>
      </c>
      <c r="F2267" s="507">
        <f>SUMIFS(Controle!$R:$R,Controle!$H:$H,produtos_escape2!$A2267,Controle!$Z:$Z,"1")</f>
        <v>0</v>
      </c>
      <c r="G2267" s="507">
        <f>SUMIFS(Controle!$R:$R,Controle!$H:$H,produtos_escape2!$A2267,Controle!$Z:$Z,"2")</f>
        <v>0</v>
      </c>
      <c r="H2267" s="507">
        <f>SUMIFS(Controle!$R:$R,Controle!$H:$H,produtos_escape2!$A2267,Controle!$Z:$Z,"3")</f>
        <v>0</v>
      </c>
      <c r="I2267" s="507">
        <f>SUMIFS(Controle!$R:$R,Controle!$H:$H,produtos_escape2!$A2267,Controle!$Z:$Z,"4")</f>
        <v>0</v>
      </c>
      <c r="J2267" s="507">
        <f>SUMIFS(Controle!$R:$R,Controle!$H:$H,produtos_escape2!$A2267,Controle!$Z:$Z,"5")</f>
        <v>0</v>
      </c>
      <c r="K2267" s="507">
        <f>SUMIFS(Controle!$R:$R,Controle!$H:$H,produtos_escape2!$A2267,Controle!$Z:$Z,"6")</f>
        <v>0</v>
      </c>
      <c r="L2267" s="507">
        <f t="shared" si="77"/>
        <v>0</v>
      </c>
      <c r="M2267" s="381"/>
    </row>
    <row r="2268" spans="1:13" s="84" customFormat="1" ht="14.25" customHeight="1" thickBot="1">
      <c r="A2268" s="333">
        <v>203012</v>
      </c>
      <c r="B2268" s="194" t="s">
        <v>467</v>
      </c>
      <c r="C2268" s="339">
        <f t="shared" si="78"/>
        <v>45021</v>
      </c>
      <c r="D2268" s="191" t="s">
        <v>624</v>
      </c>
      <c r="E2268" s="172" t="s">
        <v>7207</v>
      </c>
      <c r="F2268" s="507">
        <f>SUMIFS(Controle!$R:$R,Controle!$H:$H,produtos_escape2!$A2268,Controle!$Z:$Z,"1")</f>
        <v>0</v>
      </c>
      <c r="G2268" s="507">
        <f>SUMIFS(Controle!$R:$R,Controle!$H:$H,produtos_escape2!$A2268,Controle!$Z:$Z,"2")</f>
        <v>0</v>
      </c>
      <c r="H2268" s="507">
        <f>SUMIFS(Controle!$R:$R,Controle!$H:$H,produtos_escape2!$A2268,Controle!$Z:$Z,"3")</f>
        <v>0</v>
      </c>
      <c r="I2268" s="507">
        <f>SUMIFS(Controle!$R:$R,Controle!$H:$H,produtos_escape2!$A2268,Controle!$Z:$Z,"4")</f>
        <v>4979</v>
      </c>
      <c r="J2268" s="507">
        <f>SUMIFS(Controle!$R:$R,Controle!$H:$H,produtos_escape2!$A2268,Controle!$Z:$Z,"5")</f>
        <v>0</v>
      </c>
      <c r="K2268" s="507">
        <f>SUMIFS(Controle!$R:$R,Controle!$H:$H,produtos_escape2!$A2268,Controle!$Z:$Z,"6")</f>
        <v>0</v>
      </c>
      <c r="L2268" s="507">
        <f t="shared" si="77"/>
        <v>4979</v>
      </c>
      <c r="M2268" s="381" t="s">
        <v>5670</v>
      </c>
    </row>
    <row r="2269" spans="1:13" s="84" customFormat="1" ht="14.25" customHeight="1" thickBot="1">
      <c r="A2269" s="353">
        <v>203013</v>
      </c>
      <c r="B2269" s="194" t="s">
        <v>4226</v>
      </c>
      <c r="C2269" s="339">
        <f t="shared" si="78"/>
        <v>50000</v>
      </c>
      <c r="D2269" s="196" t="s">
        <v>624</v>
      </c>
      <c r="E2269" s="172" t="s">
        <v>7207</v>
      </c>
      <c r="F2269" s="507">
        <f>SUMIFS(Controle!$R:$R,Controle!$H:$H,produtos_escape2!$A2269,Controle!$Z:$Z,"1")</f>
        <v>0</v>
      </c>
      <c r="G2269" s="507">
        <f>SUMIFS(Controle!$R:$R,Controle!$H:$H,produtos_escape2!$A2269,Controle!$Z:$Z,"2")</f>
        <v>0</v>
      </c>
      <c r="H2269" s="507">
        <f>SUMIFS(Controle!$R:$R,Controle!$H:$H,produtos_escape2!$A2269,Controle!$Z:$Z,"3")</f>
        <v>0</v>
      </c>
      <c r="I2269" s="507">
        <f>SUMIFS(Controle!$R:$R,Controle!$H:$H,produtos_escape2!$A2269,Controle!$Z:$Z,"4")</f>
        <v>0</v>
      </c>
      <c r="J2269" s="507">
        <f>SUMIFS(Controle!$R:$R,Controle!$H:$H,produtos_escape2!$A2269,Controle!$Z:$Z,"5")</f>
        <v>0</v>
      </c>
      <c r="K2269" s="507">
        <f>SUMIFS(Controle!$R:$R,Controle!$H:$H,produtos_escape2!$A2269,Controle!$Z:$Z,"6")</f>
        <v>0</v>
      </c>
      <c r="L2269" s="507">
        <f t="shared" si="77"/>
        <v>0</v>
      </c>
      <c r="M2269" s="381" t="s">
        <v>5671</v>
      </c>
    </row>
    <row r="2270" spans="1:13" s="84" customFormat="1" ht="14.25" customHeight="1" thickBot="1">
      <c r="A2270" s="353">
        <v>203040</v>
      </c>
      <c r="B2270" s="194" t="s">
        <v>4228</v>
      </c>
      <c r="C2270" s="339">
        <f t="shared" si="78"/>
        <v>50000</v>
      </c>
      <c r="D2270" s="196" t="s">
        <v>624</v>
      </c>
      <c r="E2270" s="172" t="s">
        <v>7207</v>
      </c>
      <c r="F2270" s="507">
        <f>SUMIFS(Controle!$R:$R,Controle!$H:$H,produtos_escape2!$A2270,Controle!$Z:$Z,"1")</f>
        <v>0</v>
      </c>
      <c r="G2270" s="507">
        <f>SUMIFS(Controle!$R:$R,Controle!$H:$H,produtos_escape2!$A2270,Controle!$Z:$Z,"2")</f>
        <v>0</v>
      </c>
      <c r="H2270" s="507">
        <f>SUMIFS(Controle!$R:$R,Controle!$H:$H,produtos_escape2!$A2270,Controle!$Z:$Z,"3")</f>
        <v>0</v>
      </c>
      <c r="I2270" s="507">
        <f>SUMIFS(Controle!$R:$R,Controle!$H:$H,produtos_escape2!$A2270,Controle!$Z:$Z,"4")</f>
        <v>0</v>
      </c>
      <c r="J2270" s="507">
        <f>SUMIFS(Controle!$R:$R,Controle!$H:$H,produtos_escape2!$A2270,Controle!$Z:$Z,"5")</f>
        <v>0</v>
      </c>
      <c r="K2270" s="507">
        <f>SUMIFS(Controle!$R:$R,Controle!$H:$H,produtos_escape2!$A2270,Controle!$Z:$Z,"6")</f>
        <v>0</v>
      </c>
      <c r="L2270" s="507">
        <f t="shared" si="77"/>
        <v>0</v>
      </c>
      <c r="M2270" s="381" t="s">
        <v>5672</v>
      </c>
    </row>
    <row r="2271" spans="1:13" s="84" customFormat="1" ht="14.25" customHeight="1" thickBot="1">
      <c r="A2271" s="353">
        <v>203096</v>
      </c>
      <c r="B2271" s="194" t="s">
        <v>1653</v>
      </c>
      <c r="C2271" s="339">
        <f t="shared" si="78"/>
        <v>48400</v>
      </c>
      <c r="D2271" s="196" t="s">
        <v>1654</v>
      </c>
      <c r="E2271" s="197" t="s">
        <v>7207</v>
      </c>
      <c r="F2271" s="507">
        <f>SUMIFS(Controle!$R:$R,Controle!$H:$H,produtos_escape2!$A2271,Controle!$Z:$Z,"1")</f>
        <v>0</v>
      </c>
      <c r="G2271" s="507">
        <f>SUMIFS(Controle!$R:$R,Controle!$H:$H,produtos_escape2!$A2271,Controle!$Z:$Z,"2")</f>
        <v>0</v>
      </c>
      <c r="H2271" s="507">
        <f>SUMIFS(Controle!$R:$R,Controle!$H:$H,produtos_escape2!$A2271,Controle!$Z:$Z,"3")</f>
        <v>0</v>
      </c>
      <c r="I2271" s="507">
        <f>SUMIFS(Controle!$R:$R,Controle!$H:$H,produtos_escape2!$A2271,Controle!$Z:$Z,"4")</f>
        <v>0</v>
      </c>
      <c r="J2271" s="507">
        <f>SUMIFS(Controle!$R:$R,Controle!$H:$H,produtos_escape2!$A2271,Controle!$Z:$Z,"5")</f>
        <v>0</v>
      </c>
      <c r="K2271" s="507">
        <f>SUMIFS(Controle!$R:$R,Controle!$H:$H,produtos_escape2!$A2271,Controle!$Z:$Z,"6")</f>
        <v>1600</v>
      </c>
      <c r="L2271" s="507">
        <f t="shared" si="77"/>
        <v>1600</v>
      </c>
      <c r="M2271" s="381" t="s">
        <v>5673</v>
      </c>
    </row>
    <row r="2272" spans="1:13" s="84" customFormat="1" ht="14.25" customHeight="1" thickBot="1">
      <c r="A2272" s="353">
        <v>203097</v>
      </c>
      <c r="B2272" s="194" t="s">
        <v>9546</v>
      </c>
      <c r="C2272" s="339">
        <f t="shared" si="78"/>
        <v>48934.400000000001</v>
      </c>
      <c r="D2272" s="196" t="s">
        <v>1654</v>
      </c>
      <c r="E2272" s="197" t="s">
        <v>7207</v>
      </c>
      <c r="F2272" s="507">
        <f>SUMIFS(Controle!$R:$R,Controle!$H:$H,produtos_escape2!$A2272,Controle!$Z:$Z,"1")</f>
        <v>0</v>
      </c>
      <c r="G2272" s="507">
        <f>SUMIFS(Controle!$R:$R,Controle!$H:$H,produtos_escape2!$A2272,Controle!$Z:$Z,"2")</f>
        <v>0</v>
      </c>
      <c r="H2272" s="507">
        <f>SUMIFS(Controle!$R:$R,Controle!$H:$H,produtos_escape2!$A2272,Controle!$Z:$Z,"3")</f>
        <v>0</v>
      </c>
      <c r="I2272" s="507">
        <f>SUMIFS(Controle!$R:$R,Controle!$H:$H,produtos_escape2!$A2272,Controle!$Z:$Z,"4")</f>
        <v>0</v>
      </c>
      <c r="J2272" s="507">
        <f>SUMIFS(Controle!$R:$R,Controle!$H:$H,produtos_escape2!$A2272,Controle!$Z:$Z,"5")</f>
        <v>0</v>
      </c>
      <c r="K2272" s="507">
        <f>SUMIFS(Controle!$R:$R,Controle!$H:$H,produtos_escape2!$A2272,Controle!$Z:$Z,"6")</f>
        <v>1065.5999999999999</v>
      </c>
      <c r="L2272" s="507">
        <f t="shared" si="77"/>
        <v>1065.5999999999999</v>
      </c>
      <c r="M2272" s="381" t="s">
        <v>9436</v>
      </c>
    </row>
    <row r="2273" spans="1:13" s="84" customFormat="1" ht="14.25" customHeight="1" thickBot="1">
      <c r="A2273" s="353">
        <v>203104</v>
      </c>
      <c r="B2273" s="194" t="s">
        <v>9270</v>
      </c>
      <c r="C2273" s="339">
        <f t="shared" si="78"/>
        <v>50000</v>
      </c>
      <c r="D2273" s="196" t="s">
        <v>624</v>
      </c>
      <c r="E2273" s="172" t="s">
        <v>7207</v>
      </c>
      <c r="F2273" s="507">
        <f>SUMIFS(Controle!$R:$R,Controle!$H:$H,produtos_escape2!$A2273,Controle!$Z:$Z,"1")</f>
        <v>0</v>
      </c>
      <c r="G2273" s="507">
        <f>SUMIFS(Controle!$R:$R,Controle!$H:$H,produtos_escape2!$A2273,Controle!$Z:$Z,"2")</f>
        <v>0</v>
      </c>
      <c r="H2273" s="507">
        <f>SUMIFS(Controle!$R:$R,Controle!$H:$H,produtos_escape2!$A2273,Controle!$Z:$Z,"3")</f>
        <v>0</v>
      </c>
      <c r="I2273" s="507">
        <f>SUMIFS(Controle!$R:$R,Controle!$H:$H,produtos_escape2!$A2273,Controle!$Z:$Z,"4")</f>
        <v>0</v>
      </c>
      <c r="J2273" s="507">
        <f>SUMIFS(Controle!$R:$R,Controle!$H:$H,produtos_escape2!$A2273,Controle!$Z:$Z,"5")</f>
        <v>0</v>
      </c>
      <c r="K2273" s="507">
        <f>SUMIFS(Controle!$R:$R,Controle!$H:$H,produtos_escape2!$A2273,Controle!$Z:$Z,"6")</f>
        <v>0</v>
      </c>
      <c r="L2273" s="507">
        <f t="shared" si="77"/>
        <v>0</v>
      </c>
      <c r="M2273" s="381"/>
    </row>
    <row r="2274" spans="1:13" s="84" customFormat="1" ht="14.25" customHeight="1" thickBot="1">
      <c r="A2274" s="353">
        <v>203134</v>
      </c>
      <c r="B2274" s="402" t="s">
        <v>10121</v>
      </c>
      <c r="C2274" s="339">
        <f t="shared" si="78"/>
        <v>48200</v>
      </c>
      <c r="D2274" s="196" t="s">
        <v>624</v>
      </c>
      <c r="E2274" s="197" t="s">
        <v>7207</v>
      </c>
      <c r="F2274" s="507">
        <f>SUMIFS(Controle!$R:$R,Controle!$H:$H,produtos_escape2!$A2274,Controle!$Z:$Z,"1")</f>
        <v>0</v>
      </c>
      <c r="G2274" s="507">
        <f>SUMIFS(Controle!$R:$R,Controle!$H:$H,produtos_escape2!$A2274,Controle!$Z:$Z,"2")</f>
        <v>0</v>
      </c>
      <c r="H2274" s="507">
        <f>SUMIFS(Controle!$R:$R,Controle!$H:$H,produtos_escape2!$A2274,Controle!$Z:$Z,"3")</f>
        <v>0</v>
      </c>
      <c r="I2274" s="507">
        <f>SUMIFS(Controle!$R:$R,Controle!$H:$H,produtos_escape2!$A2274,Controle!$Z:$Z,"4")</f>
        <v>0</v>
      </c>
      <c r="J2274" s="507">
        <f>SUMIFS(Controle!$R:$R,Controle!$H:$H,produtos_escape2!$A2274,Controle!$Z:$Z,"5")</f>
        <v>0</v>
      </c>
      <c r="K2274" s="507">
        <f>SUMIFS(Controle!$R:$R,Controle!$H:$H,produtos_escape2!$A2274,Controle!$Z:$Z,"6")</f>
        <v>1800</v>
      </c>
      <c r="L2274" s="507">
        <f t="shared" si="77"/>
        <v>1800</v>
      </c>
      <c r="M2274" s="381" t="s">
        <v>10120</v>
      </c>
    </row>
    <row r="2275" spans="1:13" s="84" customFormat="1" ht="14.25" customHeight="1" thickBot="1">
      <c r="A2275" s="353">
        <v>203211</v>
      </c>
      <c r="B2275" s="194" t="s">
        <v>4220</v>
      </c>
      <c r="C2275" s="339">
        <f t="shared" si="78"/>
        <v>50000</v>
      </c>
      <c r="D2275" s="196" t="s">
        <v>624</v>
      </c>
      <c r="E2275" s="172" t="s">
        <v>7207</v>
      </c>
      <c r="F2275" s="507">
        <f>SUMIFS(Controle!$R:$R,Controle!$H:$H,produtos_escape2!$A2275,Controle!$Z:$Z,"1")</f>
        <v>0</v>
      </c>
      <c r="G2275" s="507">
        <f>SUMIFS(Controle!$R:$R,Controle!$H:$H,produtos_escape2!$A2275,Controle!$Z:$Z,"2")</f>
        <v>0</v>
      </c>
      <c r="H2275" s="507">
        <f>SUMIFS(Controle!$R:$R,Controle!$H:$H,produtos_escape2!$A2275,Controle!$Z:$Z,"3")</f>
        <v>0</v>
      </c>
      <c r="I2275" s="507">
        <f>SUMIFS(Controle!$R:$R,Controle!$H:$H,produtos_escape2!$A2275,Controle!$Z:$Z,"4")</f>
        <v>0</v>
      </c>
      <c r="J2275" s="507">
        <f>SUMIFS(Controle!$R:$R,Controle!$H:$H,produtos_escape2!$A2275,Controle!$Z:$Z,"5")</f>
        <v>0</v>
      </c>
      <c r="K2275" s="507">
        <f>SUMIFS(Controle!$R:$R,Controle!$H:$H,produtos_escape2!$A2275,Controle!$Z:$Z,"6")</f>
        <v>0</v>
      </c>
      <c r="L2275" s="507">
        <f t="shared" si="77"/>
        <v>0</v>
      </c>
      <c r="M2275" s="381" t="s">
        <v>5674</v>
      </c>
    </row>
    <row r="2276" spans="1:13" s="84" customFormat="1" ht="14.25" customHeight="1" thickBot="1">
      <c r="A2276" s="353">
        <v>203212</v>
      </c>
      <c r="B2276" s="338" t="s">
        <v>4221</v>
      </c>
      <c r="C2276" s="339">
        <f t="shared" si="78"/>
        <v>50000</v>
      </c>
      <c r="D2276" s="196" t="s">
        <v>624</v>
      </c>
      <c r="E2276" s="172" t="s">
        <v>7207</v>
      </c>
      <c r="F2276" s="507">
        <f>SUMIFS(Controle!$R:$R,Controle!$H:$H,produtos_escape2!$A2276,Controle!$Z:$Z,"1")</f>
        <v>0</v>
      </c>
      <c r="G2276" s="507">
        <f>SUMIFS(Controle!$R:$R,Controle!$H:$H,produtos_escape2!$A2276,Controle!$Z:$Z,"2")</f>
        <v>0</v>
      </c>
      <c r="H2276" s="507">
        <f>SUMIFS(Controle!$R:$R,Controle!$H:$H,produtos_escape2!$A2276,Controle!$Z:$Z,"3")</f>
        <v>0</v>
      </c>
      <c r="I2276" s="507">
        <f>SUMIFS(Controle!$R:$R,Controle!$H:$H,produtos_escape2!$A2276,Controle!$Z:$Z,"4")</f>
        <v>0</v>
      </c>
      <c r="J2276" s="507">
        <f>SUMIFS(Controle!$R:$R,Controle!$H:$H,produtos_escape2!$A2276,Controle!$Z:$Z,"5")</f>
        <v>0</v>
      </c>
      <c r="K2276" s="507">
        <f>SUMIFS(Controle!$R:$R,Controle!$H:$H,produtos_escape2!$A2276,Controle!$Z:$Z,"6")</f>
        <v>0</v>
      </c>
      <c r="L2276" s="507">
        <f t="shared" si="77"/>
        <v>0</v>
      </c>
      <c r="M2276" s="381" t="s">
        <v>5674</v>
      </c>
    </row>
    <row r="2277" spans="1:13" s="84" customFormat="1" ht="14.25" customHeight="1" thickBot="1">
      <c r="A2277" s="353">
        <v>203213</v>
      </c>
      <c r="B2277" s="338" t="s">
        <v>9437</v>
      </c>
      <c r="C2277" s="339">
        <f t="shared" si="78"/>
        <v>50000</v>
      </c>
      <c r="D2277" s="196" t="s">
        <v>624</v>
      </c>
      <c r="E2277" s="172" t="s">
        <v>7207</v>
      </c>
      <c r="F2277" s="507">
        <f>SUMIFS(Controle!$R:$R,Controle!$H:$H,produtos_escape2!$A2277,Controle!$Z:$Z,"1")</f>
        <v>0</v>
      </c>
      <c r="G2277" s="507">
        <f>SUMIFS(Controle!$R:$R,Controle!$H:$H,produtos_escape2!$A2277,Controle!$Z:$Z,"2")</f>
        <v>0</v>
      </c>
      <c r="H2277" s="507">
        <f>SUMIFS(Controle!$R:$R,Controle!$H:$H,produtos_escape2!$A2277,Controle!$Z:$Z,"3")</f>
        <v>0</v>
      </c>
      <c r="I2277" s="507">
        <f>SUMIFS(Controle!$R:$R,Controle!$H:$H,produtos_escape2!$A2277,Controle!$Z:$Z,"4")</f>
        <v>0</v>
      </c>
      <c r="J2277" s="507">
        <f>SUMIFS(Controle!$R:$R,Controle!$H:$H,produtos_escape2!$A2277,Controle!$Z:$Z,"5")</f>
        <v>0</v>
      </c>
      <c r="K2277" s="507">
        <f>SUMIFS(Controle!$R:$R,Controle!$H:$H,produtos_escape2!$A2277,Controle!$Z:$Z,"6")</f>
        <v>0</v>
      </c>
      <c r="L2277" s="507">
        <f t="shared" si="77"/>
        <v>0</v>
      </c>
      <c r="M2277" s="381" t="s">
        <v>9438</v>
      </c>
    </row>
    <row r="2278" spans="1:13" s="84" customFormat="1" ht="14.25" customHeight="1" thickBot="1">
      <c r="A2278" s="353">
        <v>203214</v>
      </c>
      <c r="B2278" s="338" t="s">
        <v>9439</v>
      </c>
      <c r="C2278" s="339">
        <f t="shared" si="78"/>
        <v>50000</v>
      </c>
      <c r="D2278" s="196" t="s">
        <v>624</v>
      </c>
      <c r="E2278" s="172" t="s">
        <v>7207</v>
      </c>
      <c r="F2278" s="507">
        <f>SUMIFS(Controle!$R:$R,Controle!$H:$H,produtos_escape2!$A2278,Controle!$Z:$Z,"1")</f>
        <v>0</v>
      </c>
      <c r="G2278" s="507">
        <f>SUMIFS(Controle!$R:$R,Controle!$H:$H,produtos_escape2!$A2278,Controle!$Z:$Z,"2")</f>
        <v>0</v>
      </c>
      <c r="H2278" s="507">
        <f>SUMIFS(Controle!$R:$R,Controle!$H:$H,produtos_escape2!$A2278,Controle!$Z:$Z,"3")</f>
        <v>0</v>
      </c>
      <c r="I2278" s="507">
        <f>SUMIFS(Controle!$R:$R,Controle!$H:$H,produtos_escape2!$A2278,Controle!$Z:$Z,"4")</f>
        <v>0</v>
      </c>
      <c r="J2278" s="507">
        <f>SUMIFS(Controle!$R:$R,Controle!$H:$H,produtos_escape2!$A2278,Controle!$Z:$Z,"5")</f>
        <v>0</v>
      </c>
      <c r="K2278" s="507">
        <f>SUMIFS(Controle!$R:$R,Controle!$H:$H,produtos_escape2!$A2278,Controle!$Z:$Z,"6")</f>
        <v>0</v>
      </c>
      <c r="L2278" s="507">
        <f t="shared" si="77"/>
        <v>0</v>
      </c>
      <c r="M2278" s="381" t="s">
        <v>9438</v>
      </c>
    </row>
    <row r="2279" spans="1:13" s="84" customFormat="1" ht="14.25" customHeight="1" thickBot="1">
      <c r="A2279" s="353">
        <v>203215</v>
      </c>
      <c r="B2279" s="338" t="s">
        <v>9440</v>
      </c>
      <c r="C2279" s="339">
        <f t="shared" si="78"/>
        <v>50000</v>
      </c>
      <c r="D2279" s="196" t="s">
        <v>624</v>
      </c>
      <c r="E2279" s="172" t="s">
        <v>7207</v>
      </c>
      <c r="F2279" s="507">
        <f>SUMIFS(Controle!$R:$R,Controle!$H:$H,produtos_escape2!$A2279,Controle!$Z:$Z,"1")</f>
        <v>0</v>
      </c>
      <c r="G2279" s="507">
        <f>SUMIFS(Controle!$R:$R,Controle!$H:$H,produtos_escape2!$A2279,Controle!$Z:$Z,"2")</f>
        <v>0</v>
      </c>
      <c r="H2279" s="507">
        <f>SUMIFS(Controle!$R:$R,Controle!$H:$H,produtos_escape2!$A2279,Controle!$Z:$Z,"3")</f>
        <v>0</v>
      </c>
      <c r="I2279" s="507">
        <f>SUMIFS(Controle!$R:$R,Controle!$H:$H,produtos_escape2!$A2279,Controle!$Z:$Z,"4")</f>
        <v>0</v>
      </c>
      <c r="J2279" s="507">
        <f>SUMIFS(Controle!$R:$R,Controle!$H:$H,produtos_escape2!$A2279,Controle!$Z:$Z,"5")</f>
        <v>0</v>
      </c>
      <c r="K2279" s="507">
        <f>SUMIFS(Controle!$R:$R,Controle!$H:$H,produtos_escape2!$A2279,Controle!$Z:$Z,"6")</f>
        <v>0</v>
      </c>
      <c r="L2279" s="507">
        <f t="shared" si="77"/>
        <v>0</v>
      </c>
      <c r="M2279" s="381" t="s">
        <v>9438</v>
      </c>
    </row>
    <row r="2280" spans="1:13" s="84" customFormat="1" ht="14.25" customHeight="1" thickBot="1">
      <c r="A2280" s="353">
        <v>203216</v>
      </c>
      <c r="B2280" s="194" t="s">
        <v>9262</v>
      </c>
      <c r="C2280" s="339">
        <f t="shared" si="78"/>
        <v>50000</v>
      </c>
      <c r="D2280" s="191" t="s">
        <v>624</v>
      </c>
      <c r="E2280" s="172" t="s">
        <v>7207</v>
      </c>
      <c r="F2280" s="507">
        <f>SUMIFS(Controle!$R:$R,Controle!$H:$H,produtos_escape2!$A2280,Controle!$Z:$Z,"1")</f>
        <v>0</v>
      </c>
      <c r="G2280" s="507">
        <f>SUMIFS(Controle!$R:$R,Controle!$H:$H,produtos_escape2!$A2280,Controle!$Z:$Z,"2")</f>
        <v>0</v>
      </c>
      <c r="H2280" s="507">
        <f>SUMIFS(Controle!$R:$R,Controle!$H:$H,produtos_escape2!$A2280,Controle!$Z:$Z,"3")</f>
        <v>0</v>
      </c>
      <c r="I2280" s="507">
        <f>SUMIFS(Controle!$R:$R,Controle!$H:$H,produtos_escape2!$A2280,Controle!$Z:$Z,"4")</f>
        <v>0</v>
      </c>
      <c r="J2280" s="507">
        <f>SUMIFS(Controle!$R:$R,Controle!$H:$H,produtos_escape2!$A2280,Controle!$Z:$Z,"5")</f>
        <v>0</v>
      </c>
      <c r="K2280" s="507">
        <f>SUMIFS(Controle!$R:$R,Controle!$H:$H,produtos_escape2!$A2280,Controle!$Z:$Z,"6")</f>
        <v>0</v>
      </c>
      <c r="L2280" s="507">
        <f t="shared" si="77"/>
        <v>0</v>
      </c>
    </row>
    <row r="2281" spans="1:13" s="84" customFormat="1" ht="14.25" customHeight="1" thickBot="1">
      <c r="A2281" s="353">
        <v>203217</v>
      </c>
      <c r="B2281" s="194" t="s">
        <v>9263</v>
      </c>
      <c r="C2281" s="339">
        <f t="shared" si="78"/>
        <v>50000</v>
      </c>
      <c r="D2281" s="191" t="s">
        <v>624</v>
      </c>
      <c r="E2281" s="172" t="s">
        <v>7207</v>
      </c>
      <c r="F2281" s="507">
        <f>SUMIFS(Controle!$R:$R,Controle!$H:$H,produtos_escape2!$A2281,Controle!$Z:$Z,"1")</f>
        <v>0</v>
      </c>
      <c r="G2281" s="507">
        <f>SUMIFS(Controle!$R:$R,Controle!$H:$H,produtos_escape2!$A2281,Controle!$Z:$Z,"2")</f>
        <v>0</v>
      </c>
      <c r="H2281" s="507">
        <f>SUMIFS(Controle!$R:$R,Controle!$H:$H,produtos_escape2!$A2281,Controle!$Z:$Z,"3")</f>
        <v>0</v>
      </c>
      <c r="I2281" s="507">
        <f>SUMIFS(Controle!$R:$R,Controle!$H:$H,produtos_escape2!$A2281,Controle!$Z:$Z,"4")</f>
        <v>0</v>
      </c>
      <c r="J2281" s="507">
        <f>SUMIFS(Controle!$R:$R,Controle!$H:$H,produtos_escape2!$A2281,Controle!$Z:$Z,"5")</f>
        <v>0</v>
      </c>
      <c r="K2281" s="507">
        <f>SUMIFS(Controle!$R:$R,Controle!$H:$H,produtos_escape2!$A2281,Controle!$Z:$Z,"6")</f>
        <v>0</v>
      </c>
      <c r="L2281" s="507">
        <f t="shared" si="77"/>
        <v>0</v>
      </c>
    </row>
    <row r="2282" spans="1:13" s="84" customFormat="1" ht="14.25" customHeight="1" thickBot="1">
      <c r="A2282" s="353">
        <v>203218</v>
      </c>
      <c r="B2282" s="194" t="s">
        <v>4222</v>
      </c>
      <c r="C2282" s="339">
        <f t="shared" si="78"/>
        <v>50000</v>
      </c>
      <c r="D2282" s="196" t="s">
        <v>624</v>
      </c>
      <c r="E2282" s="172" t="s">
        <v>7207</v>
      </c>
      <c r="F2282" s="507">
        <f>SUMIFS(Controle!$R:$R,Controle!$H:$H,produtos_escape2!$A2282,Controle!$Z:$Z,"1")</f>
        <v>0</v>
      </c>
      <c r="G2282" s="507">
        <f>SUMIFS(Controle!$R:$R,Controle!$H:$H,produtos_escape2!$A2282,Controle!$Z:$Z,"2")</f>
        <v>0</v>
      </c>
      <c r="H2282" s="507">
        <f>SUMIFS(Controle!$R:$R,Controle!$H:$H,produtos_escape2!$A2282,Controle!$Z:$Z,"3")</f>
        <v>0</v>
      </c>
      <c r="I2282" s="507">
        <f>SUMIFS(Controle!$R:$R,Controle!$H:$H,produtos_escape2!$A2282,Controle!$Z:$Z,"4")</f>
        <v>0</v>
      </c>
      <c r="J2282" s="507">
        <f>SUMIFS(Controle!$R:$R,Controle!$H:$H,produtos_escape2!$A2282,Controle!$Z:$Z,"5")</f>
        <v>0</v>
      </c>
      <c r="K2282" s="507">
        <f>SUMIFS(Controle!$R:$R,Controle!$H:$H,produtos_escape2!$A2282,Controle!$Z:$Z,"6")</f>
        <v>0</v>
      </c>
      <c r="L2282" s="507">
        <f t="shared" si="77"/>
        <v>0</v>
      </c>
      <c r="M2282" s="381" t="s">
        <v>5675</v>
      </c>
    </row>
    <row r="2283" spans="1:13" s="84" customFormat="1" ht="14.25" customHeight="1" thickBot="1">
      <c r="A2283" s="353">
        <v>203219</v>
      </c>
      <c r="B2283" s="194" t="s">
        <v>4223</v>
      </c>
      <c r="C2283" s="339">
        <f t="shared" si="78"/>
        <v>50000</v>
      </c>
      <c r="D2283" s="196" t="s">
        <v>624</v>
      </c>
      <c r="E2283" s="172" t="s">
        <v>7207</v>
      </c>
      <c r="F2283" s="507">
        <f>SUMIFS(Controle!$R:$R,Controle!$H:$H,produtos_escape2!$A2283,Controle!$Z:$Z,"1")</f>
        <v>0</v>
      </c>
      <c r="G2283" s="507">
        <f>SUMIFS(Controle!$R:$R,Controle!$H:$H,produtos_escape2!$A2283,Controle!$Z:$Z,"2")</f>
        <v>0</v>
      </c>
      <c r="H2283" s="507">
        <f>SUMIFS(Controle!$R:$R,Controle!$H:$H,produtos_escape2!$A2283,Controle!$Z:$Z,"3")</f>
        <v>0</v>
      </c>
      <c r="I2283" s="507">
        <f>SUMIFS(Controle!$R:$R,Controle!$H:$H,produtos_escape2!$A2283,Controle!$Z:$Z,"4")</f>
        <v>0</v>
      </c>
      <c r="J2283" s="507">
        <f>SUMIFS(Controle!$R:$R,Controle!$H:$H,produtos_escape2!$A2283,Controle!$Z:$Z,"5")</f>
        <v>0</v>
      </c>
      <c r="K2283" s="507">
        <f>SUMIFS(Controle!$R:$R,Controle!$H:$H,produtos_escape2!$A2283,Controle!$Z:$Z,"6")</f>
        <v>0</v>
      </c>
      <c r="L2283" s="507">
        <f t="shared" si="77"/>
        <v>0</v>
      </c>
      <c r="M2283" s="381" t="s">
        <v>5675</v>
      </c>
    </row>
    <row r="2284" spans="1:13" s="84" customFormat="1" ht="14.25" customHeight="1" thickBot="1">
      <c r="A2284" s="353">
        <v>203221</v>
      </c>
      <c r="B2284" s="194" t="s">
        <v>9264</v>
      </c>
      <c r="C2284" s="339">
        <f t="shared" si="78"/>
        <v>50000</v>
      </c>
      <c r="D2284" s="191" t="s">
        <v>624</v>
      </c>
      <c r="E2284" s="172" t="s">
        <v>7207</v>
      </c>
      <c r="F2284" s="507">
        <f>SUMIFS(Controle!$R:$R,Controle!$H:$H,produtos_escape2!$A2284,Controle!$Z:$Z,"1")</f>
        <v>0</v>
      </c>
      <c r="G2284" s="507">
        <f>SUMIFS(Controle!$R:$R,Controle!$H:$H,produtos_escape2!$A2284,Controle!$Z:$Z,"2")</f>
        <v>0</v>
      </c>
      <c r="H2284" s="507">
        <f>SUMIFS(Controle!$R:$R,Controle!$H:$H,produtos_escape2!$A2284,Controle!$Z:$Z,"3")</f>
        <v>0</v>
      </c>
      <c r="I2284" s="507">
        <f>SUMIFS(Controle!$R:$R,Controle!$H:$H,produtos_escape2!$A2284,Controle!$Z:$Z,"4")</f>
        <v>0</v>
      </c>
      <c r="J2284" s="507">
        <f>SUMIFS(Controle!$R:$R,Controle!$H:$H,produtos_escape2!$A2284,Controle!$Z:$Z,"5")</f>
        <v>0</v>
      </c>
      <c r="K2284" s="507">
        <f>SUMIFS(Controle!$R:$R,Controle!$H:$H,produtos_escape2!$A2284,Controle!$Z:$Z,"6")</f>
        <v>0</v>
      </c>
      <c r="L2284" s="507">
        <f t="shared" si="77"/>
        <v>0</v>
      </c>
    </row>
    <row r="2285" spans="1:13" s="84" customFormat="1" ht="14.25" customHeight="1" thickBot="1">
      <c r="A2285" s="353">
        <v>203222</v>
      </c>
      <c r="B2285" s="194" t="s">
        <v>9265</v>
      </c>
      <c r="C2285" s="339">
        <f t="shared" si="78"/>
        <v>50000</v>
      </c>
      <c r="D2285" s="191" t="s">
        <v>624</v>
      </c>
      <c r="E2285" s="172" t="s">
        <v>7207</v>
      </c>
      <c r="F2285" s="507">
        <f>SUMIFS(Controle!$R:$R,Controle!$H:$H,produtos_escape2!$A2285,Controle!$Z:$Z,"1")</f>
        <v>0</v>
      </c>
      <c r="G2285" s="507">
        <f>SUMIFS(Controle!$R:$R,Controle!$H:$H,produtos_escape2!$A2285,Controle!$Z:$Z,"2")</f>
        <v>0</v>
      </c>
      <c r="H2285" s="507">
        <f>SUMIFS(Controle!$R:$R,Controle!$H:$H,produtos_escape2!$A2285,Controle!$Z:$Z,"3")</f>
        <v>0</v>
      </c>
      <c r="I2285" s="507">
        <f>SUMIFS(Controle!$R:$R,Controle!$H:$H,produtos_escape2!$A2285,Controle!$Z:$Z,"4")</f>
        <v>0</v>
      </c>
      <c r="J2285" s="507">
        <f>SUMIFS(Controle!$R:$R,Controle!$H:$H,produtos_escape2!$A2285,Controle!$Z:$Z,"5")</f>
        <v>0</v>
      </c>
      <c r="K2285" s="507">
        <f>SUMIFS(Controle!$R:$R,Controle!$H:$H,produtos_escape2!$A2285,Controle!$Z:$Z,"6")</f>
        <v>0</v>
      </c>
      <c r="L2285" s="507">
        <f t="shared" si="77"/>
        <v>0</v>
      </c>
    </row>
    <row r="2286" spans="1:13" s="84" customFormat="1" ht="14.25" customHeight="1" thickBot="1">
      <c r="A2286" s="353">
        <v>203296</v>
      </c>
      <c r="B2286" s="194" t="s">
        <v>9266</v>
      </c>
      <c r="C2286" s="339">
        <f t="shared" si="78"/>
        <v>49021.5</v>
      </c>
      <c r="D2286" s="191" t="s">
        <v>624</v>
      </c>
      <c r="E2286" s="172" t="s">
        <v>7207</v>
      </c>
      <c r="F2286" s="507">
        <f>SUMIFS(Controle!$R:$R,Controle!$H:$H,produtos_escape2!$A2286,Controle!$Z:$Z,"1")</f>
        <v>0</v>
      </c>
      <c r="G2286" s="507">
        <f>SUMIFS(Controle!$R:$R,Controle!$H:$H,produtos_escape2!$A2286,Controle!$Z:$Z,"2")</f>
        <v>0</v>
      </c>
      <c r="H2286" s="507">
        <f>SUMIFS(Controle!$R:$R,Controle!$H:$H,produtos_escape2!$A2286,Controle!$Z:$Z,"3")</f>
        <v>0</v>
      </c>
      <c r="I2286" s="507">
        <f>SUMIFS(Controle!$R:$R,Controle!$H:$H,produtos_escape2!$A2286,Controle!$Z:$Z,"4")</f>
        <v>0</v>
      </c>
      <c r="J2286" s="507">
        <f>SUMIFS(Controle!$R:$R,Controle!$H:$H,produtos_escape2!$A2286,Controle!$Z:$Z,"5")</f>
        <v>0</v>
      </c>
      <c r="K2286" s="507">
        <f>SUMIFS(Controle!$R:$R,Controle!$H:$H,produtos_escape2!$A2286,Controle!$Z:$Z,"6")</f>
        <v>978.5</v>
      </c>
      <c r="L2286" s="507">
        <f t="shared" si="77"/>
        <v>978.5</v>
      </c>
    </row>
    <row r="2287" spans="1:13" s="84" customFormat="1" ht="14.25" customHeight="1" thickBot="1">
      <c r="A2287" s="333">
        <v>203299</v>
      </c>
      <c r="B2287" s="194" t="s">
        <v>490</v>
      </c>
      <c r="C2287" s="339">
        <f t="shared" si="78"/>
        <v>50000</v>
      </c>
      <c r="D2287" s="191" t="s">
        <v>819</v>
      </c>
      <c r="E2287" s="172" t="s">
        <v>3608</v>
      </c>
      <c r="F2287" s="507">
        <f>SUMIFS(Controle!$R:$R,Controle!$H:$H,produtos_escape2!$A2287,Controle!$Z:$Z,"1")</f>
        <v>0</v>
      </c>
      <c r="G2287" s="507">
        <f>SUMIFS(Controle!$R:$R,Controle!$H:$H,produtos_escape2!$A2287,Controle!$Z:$Z,"2")</f>
        <v>0</v>
      </c>
      <c r="H2287" s="507">
        <f>SUMIFS(Controle!$R:$R,Controle!$H:$H,produtos_escape2!$A2287,Controle!$Z:$Z,"3")</f>
        <v>0</v>
      </c>
      <c r="I2287" s="507">
        <f>SUMIFS(Controle!$R:$R,Controle!$H:$H,produtos_escape2!$A2287,Controle!$Z:$Z,"4")</f>
        <v>0</v>
      </c>
      <c r="J2287" s="507">
        <f>SUMIFS(Controle!$R:$R,Controle!$H:$H,produtos_escape2!$A2287,Controle!$Z:$Z,"5")</f>
        <v>0</v>
      </c>
      <c r="K2287" s="507">
        <f>SUMIFS(Controle!$R:$R,Controle!$H:$H,produtos_escape2!$A2287,Controle!$Z:$Z,"6")</f>
        <v>0</v>
      </c>
      <c r="L2287" s="507">
        <f t="shared" si="77"/>
        <v>0</v>
      </c>
      <c r="M2287" s="381" t="s">
        <v>5676</v>
      </c>
    </row>
    <row r="2288" spans="1:13" s="84" customFormat="1" ht="14.25" customHeight="1" thickBot="1">
      <c r="A2288" s="353">
        <v>203315</v>
      </c>
      <c r="B2288" s="194" t="s">
        <v>846</v>
      </c>
      <c r="C2288" s="339">
        <f t="shared" si="78"/>
        <v>50000</v>
      </c>
      <c r="D2288" s="196" t="s">
        <v>729</v>
      </c>
      <c r="E2288" s="197" t="s">
        <v>1739</v>
      </c>
      <c r="F2288" s="507">
        <f>SUMIFS(Controle!$R:$R,Controle!$H:$H,produtos_escape2!$A2288,Controle!$Z:$Z,"1")</f>
        <v>0</v>
      </c>
      <c r="G2288" s="507">
        <f>SUMIFS(Controle!$R:$R,Controle!$H:$H,produtos_escape2!$A2288,Controle!$Z:$Z,"2")</f>
        <v>0</v>
      </c>
      <c r="H2288" s="507">
        <f>SUMIFS(Controle!$R:$R,Controle!$H:$H,produtos_escape2!$A2288,Controle!$Z:$Z,"3")</f>
        <v>0</v>
      </c>
      <c r="I2288" s="507">
        <f>SUMIFS(Controle!$R:$R,Controle!$H:$H,produtos_escape2!$A2288,Controle!$Z:$Z,"4")</f>
        <v>0</v>
      </c>
      <c r="J2288" s="507">
        <f>SUMIFS(Controle!$R:$R,Controle!$H:$H,produtos_escape2!$A2288,Controle!$Z:$Z,"5")</f>
        <v>0</v>
      </c>
      <c r="K2288" s="507">
        <f>SUMIFS(Controle!$R:$R,Controle!$H:$H,produtos_escape2!$A2288,Controle!$Z:$Z,"6")</f>
        <v>0</v>
      </c>
      <c r="L2288" s="507">
        <f t="shared" si="77"/>
        <v>0</v>
      </c>
      <c r="M2288" s="381" t="s">
        <v>5677</v>
      </c>
    </row>
    <row r="2289" spans="1:13" s="84" customFormat="1" ht="14.25" customHeight="1" thickBot="1">
      <c r="A2289" s="353">
        <v>203338</v>
      </c>
      <c r="B2289" s="194" t="s">
        <v>335</v>
      </c>
      <c r="C2289" s="339">
        <f t="shared" si="78"/>
        <v>50000</v>
      </c>
      <c r="D2289" s="191"/>
      <c r="E2289" s="172" t="s">
        <v>1687</v>
      </c>
      <c r="F2289" s="507">
        <f>SUMIFS(Controle!$R:$R,Controle!$H:$H,produtos_escape2!$A2289,Controle!$Z:$Z,"1")</f>
        <v>0</v>
      </c>
      <c r="G2289" s="507">
        <f>SUMIFS(Controle!$R:$R,Controle!$H:$H,produtos_escape2!$A2289,Controle!$Z:$Z,"2")</f>
        <v>0</v>
      </c>
      <c r="H2289" s="507">
        <f>SUMIFS(Controle!$R:$R,Controle!$H:$H,produtos_escape2!$A2289,Controle!$Z:$Z,"3")</f>
        <v>0</v>
      </c>
      <c r="I2289" s="507">
        <f>SUMIFS(Controle!$R:$R,Controle!$H:$H,produtos_escape2!$A2289,Controle!$Z:$Z,"4")</f>
        <v>0</v>
      </c>
      <c r="J2289" s="507">
        <f>SUMIFS(Controle!$R:$R,Controle!$H:$H,produtos_escape2!$A2289,Controle!$Z:$Z,"5")</f>
        <v>0</v>
      </c>
      <c r="K2289" s="507">
        <f>SUMIFS(Controle!$R:$R,Controle!$H:$H,produtos_escape2!$A2289,Controle!$Z:$Z,"6")</f>
        <v>0</v>
      </c>
      <c r="L2289" s="507">
        <f t="shared" si="77"/>
        <v>0</v>
      </c>
      <c r="M2289" s="381" t="s">
        <v>5678</v>
      </c>
    </row>
    <row r="2290" spans="1:13" s="84" customFormat="1" ht="14.25" customHeight="1" thickBot="1">
      <c r="A2290" s="353">
        <v>203339</v>
      </c>
      <c r="B2290" s="194" t="s">
        <v>343</v>
      </c>
      <c r="C2290" s="339">
        <f t="shared" si="78"/>
        <v>50000</v>
      </c>
      <c r="D2290" s="191"/>
      <c r="E2290" s="172" t="s">
        <v>1687</v>
      </c>
      <c r="F2290" s="507">
        <f>SUMIFS(Controle!$R:$R,Controle!$H:$H,produtos_escape2!$A2290,Controle!$Z:$Z,"1")</f>
        <v>0</v>
      </c>
      <c r="G2290" s="507">
        <f>SUMIFS(Controle!$R:$R,Controle!$H:$H,produtos_escape2!$A2290,Controle!$Z:$Z,"2")</f>
        <v>0</v>
      </c>
      <c r="H2290" s="507">
        <f>SUMIFS(Controle!$R:$R,Controle!$H:$H,produtos_escape2!$A2290,Controle!$Z:$Z,"3")</f>
        <v>0</v>
      </c>
      <c r="I2290" s="507">
        <f>SUMIFS(Controle!$R:$R,Controle!$H:$H,produtos_escape2!$A2290,Controle!$Z:$Z,"4")</f>
        <v>0</v>
      </c>
      <c r="J2290" s="507">
        <f>SUMIFS(Controle!$R:$R,Controle!$H:$H,produtos_escape2!$A2290,Controle!$Z:$Z,"5")</f>
        <v>0</v>
      </c>
      <c r="K2290" s="507">
        <f>SUMIFS(Controle!$R:$R,Controle!$H:$H,produtos_escape2!$A2290,Controle!$Z:$Z,"6")</f>
        <v>0</v>
      </c>
      <c r="L2290" s="507">
        <f t="shared" si="77"/>
        <v>0</v>
      </c>
      <c r="M2290" s="381" t="s">
        <v>5678</v>
      </c>
    </row>
    <row r="2291" spans="1:13" s="84" customFormat="1" ht="14.25" customHeight="1" thickBot="1">
      <c r="A2291" s="353">
        <v>203362</v>
      </c>
      <c r="B2291" s="194" t="s">
        <v>960</v>
      </c>
      <c r="C2291" s="339">
        <f t="shared" si="78"/>
        <v>48200</v>
      </c>
      <c r="D2291" s="196" t="s">
        <v>624</v>
      </c>
      <c r="E2291" s="197" t="s">
        <v>3608</v>
      </c>
      <c r="F2291" s="507">
        <f>SUMIFS(Controle!$R:$R,Controle!$H:$H,produtos_escape2!$A2291,Controle!$Z:$Z,"1")</f>
        <v>0</v>
      </c>
      <c r="G2291" s="507">
        <f>SUMIFS(Controle!$R:$R,Controle!$H:$H,produtos_escape2!$A2291,Controle!$Z:$Z,"2")</f>
        <v>1800</v>
      </c>
      <c r="H2291" s="507">
        <f>SUMIFS(Controle!$R:$R,Controle!$H:$H,produtos_escape2!$A2291,Controle!$Z:$Z,"3")</f>
        <v>0</v>
      </c>
      <c r="I2291" s="507">
        <f>SUMIFS(Controle!$R:$R,Controle!$H:$H,produtos_escape2!$A2291,Controle!$Z:$Z,"4")</f>
        <v>0</v>
      </c>
      <c r="J2291" s="507">
        <f>SUMIFS(Controle!$R:$R,Controle!$H:$H,produtos_escape2!$A2291,Controle!$Z:$Z,"5")</f>
        <v>0</v>
      </c>
      <c r="K2291" s="507">
        <f>SUMIFS(Controle!$R:$R,Controle!$H:$H,produtos_escape2!$A2291,Controle!$Z:$Z,"6")</f>
        <v>0</v>
      </c>
      <c r="L2291" s="507">
        <f t="shared" si="77"/>
        <v>1800</v>
      </c>
      <c r="M2291" s="381" t="s">
        <v>5679</v>
      </c>
    </row>
    <row r="2292" spans="1:13" s="84" customFormat="1" ht="14.25" customHeight="1" thickBot="1">
      <c r="A2292" s="353">
        <v>203363</v>
      </c>
      <c r="B2292" s="338" t="s">
        <v>961</v>
      </c>
      <c r="C2292" s="339">
        <f t="shared" si="78"/>
        <v>50000</v>
      </c>
      <c r="D2292" s="196" t="s">
        <v>624</v>
      </c>
      <c r="E2292" s="197" t="s">
        <v>3608</v>
      </c>
      <c r="F2292" s="507">
        <f>SUMIFS(Controle!$R:$R,Controle!$H:$H,produtos_escape2!$A2292,Controle!$Z:$Z,"1")</f>
        <v>0</v>
      </c>
      <c r="G2292" s="507">
        <f>SUMIFS(Controle!$R:$R,Controle!$H:$H,produtos_escape2!$A2292,Controle!$Z:$Z,"2")</f>
        <v>0</v>
      </c>
      <c r="H2292" s="507">
        <f>SUMIFS(Controle!$R:$R,Controle!$H:$H,produtos_escape2!$A2292,Controle!$Z:$Z,"3")</f>
        <v>0</v>
      </c>
      <c r="I2292" s="507">
        <f>SUMIFS(Controle!$R:$R,Controle!$H:$H,produtos_escape2!$A2292,Controle!$Z:$Z,"4")</f>
        <v>0</v>
      </c>
      <c r="J2292" s="507">
        <f>SUMIFS(Controle!$R:$R,Controle!$H:$H,produtos_escape2!$A2292,Controle!$Z:$Z,"5")</f>
        <v>0</v>
      </c>
      <c r="K2292" s="507">
        <f>SUMIFS(Controle!$R:$R,Controle!$H:$H,produtos_escape2!$A2292,Controle!$Z:$Z,"6")</f>
        <v>0</v>
      </c>
      <c r="L2292" s="507">
        <f t="shared" si="77"/>
        <v>0</v>
      </c>
      <c r="M2292" s="381" t="s">
        <v>5680</v>
      </c>
    </row>
    <row r="2293" spans="1:13" s="84" customFormat="1" ht="14.25" customHeight="1" thickBot="1">
      <c r="A2293" s="353">
        <v>203380</v>
      </c>
      <c r="B2293" s="194" t="s">
        <v>2710</v>
      </c>
      <c r="C2293" s="339">
        <f t="shared" si="78"/>
        <v>50000</v>
      </c>
      <c r="D2293" s="196" t="s">
        <v>624</v>
      </c>
      <c r="E2293" s="197" t="s">
        <v>3608</v>
      </c>
      <c r="F2293" s="507">
        <f>SUMIFS(Controle!$R:$R,Controle!$H:$H,produtos_escape2!$A2293,Controle!$Z:$Z,"1")</f>
        <v>0</v>
      </c>
      <c r="G2293" s="507">
        <f>SUMIFS(Controle!$R:$R,Controle!$H:$H,produtos_escape2!$A2293,Controle!$Z:$Z,"2")</f>
        <v>0</v>
      </c>
      <c r="H2293" s="507">
        <f>SUMIFS(Controle!$R:$R,Controle!$H:$H,produtos_escape2!$A2293,Controle!$Z:$Z,"3")</f>
        <v>0</v>
      </c>
      <c r="I2293" s="507">
        <f>SUMIFS(Controle!$R:$R,Controle!$H:$H,produtos_escape2!$A2293,Controle!$Z:$Z,"4")</f>
        <v>0</v>
      </c>
      <c r="J2293" s="507">
        <f>SUMIFS(Controle!$R:$R,Controle!$H:$H,produtos_escape2!$A2293,Controle!$Z:$Z,"5")</f>
        <v>0</v>
      </c>
      <c r="K2293" s="507">
        <f>SUMIFS(Controle!$R:$R,Controle!$H:$H,produtos_escape2!$A2293,Controle!$Z:$Z,"6")</f>
        <v>0</v>
      </c>
      <c r="L2293" s="507">
        <f t="shared" si="77"/>
        <v>0</v>
      </c>
      <c r="M2293" s="381" t="s">
        <v>5681</v>
      </c>
    </row>
    <row r="2294" spans="1:13" s="84" customFormat="1" ht="14.25" customHeight="1" thickBot="1">
      <c r="A2294" s="353">
        <v>203385</v>
      </c>
      <c r="B2294" s="194" t="s">
        <v>314</v>
      </c>
      <c r="C2294" s="339">
        <f t="shared" si="78"/>
        <v>50000</v>
      </c>
      <c r="D2294" s="191"/>
      <c r="E2294" s="172" t="s">
        <v>1687</v>
      </c>
      <c r="F2294" s="507">
        <f>SUMIFS(Controle!$R:$R,Controle!$H:$H,produtos_escape2!$A2294,Controle!$Z:$Z,"1")</f>
        <v>0</v>
      </c>
      <c r="G2294" s="507">
        <f>SUMIFS(Controle!$R:$R,Controle!$H:$H,produtos_escape2!$A2294,Controle!$Z:$Z,"2")</f>
        <v>0</v>
      </c>
      <c r="H2294" s="507">
        <f>SUMIFS(Controle!$R:$R,Controle!$H:$H,produtos_escape2!$A2294,Controle!$Z:$Z,"3")</f>
        <v>0</v>
      </c>
      <c r="I2294" s="507">
        <f>SUMIFS(Controle!$R:$R,Controle!$H:$H,produtos_escape2!$A2294,Controle!$Z:$Z,"4")</f>
        <v>0</v>
      </c>
      <c r="J2294" s="507">
        <f>SUMIFS(Controle!$R:$R,Controle!$H:$H,produtos_escape2!$A2294,Controle!$Z:$Z,"5")</f>
        <v>0</v>
      </c>
      <c r="K2294" s="507">
        <f>SUMIFS(Controle!$R:$R,Controle!$H:$H,produtos_escape2!$A2294,Controle!$Z:$Z,"6")</f>
        <v>0</v>
      </c>
      <c r="L2294" s="507">
        <f t="shared" si="77"/>
        <v>0</v>
      </c>
      <c r="M2294" s="381" t="s">
        <v>5677</v>
      </c>
    </row>
    <row r="2295" spans="1:13" s="84" customFormat="1" ht="14.25" customHeight="1" thickBot="1">
      <c r="A2295" s="333">
        <v>203405</v>
      </c>
      <c r="B2295" s="194" t="s">
        <v>409</v>
      </c>
      <c r="C2295" s="339">
        <f t="shared" si="78"/>
        <v>50000</v>
      </c>
      <c r="D2295" s="191"/>
      <c r="E2295" s="172" t="s">
        <v>7207</v>
      </c>
      <c r="F2295" s="507">
        <f>SUMIFS(Controle!$R:$R,Controle!$H:$H,produtos_escape2!$A2295,Controle!$Z:$Z,"1")</f>
        <v>0</v>
      </c>
      <c r="G2295" s="507">
        <f>SUMIFS(Controle!$R:$R,Controle!$H:$H,produtos_escape2!$A2295,Controle!$Z:$Z,"2")</f>
        <v>0</v>
      </c>
      <c r="H2295" s="507">
        <f>SUMIFS(Controle!$R:$R,Controle!$H:$H,produtos_escape2!$A2295,Controle!$Z:$Z,"3")</f>
        <v>0</v>
      </c>
      <c r="I2295" s="507">
        <f>SUMIFS(Controle!$R:$R,Controle!$H:$H,produtos_escape2!$A2295,Controle!$Z:$Z,"4")</f>
        <v>0</v>
      </c>
      <c r="J2295" s="507">
        <f>SUMIFS(Controle!$R:$R,Controle!$H:$H,produtos_escape2!$A2295,Controle!$Z:$Z,"5")</f>
        <v>0</v>
      </c>
      <c r="K2295" s="507">
        <f>SUMIFS(Controle!$R:$R,Controle!$H:$H,produtos_escape2!$A2295,Controle!$Z:$Z,"6")</f>
        <v>0</v>
      </c>
      <c r="L2295" s="507">
        <f t="shared" si="77"/>
        <v>0</v>
      </c>
      <c r="M2295" s="381" t="s">
        <v>5682</v>
      </c>
    </row>
    <row r="2296" spans="1:13" s="84" customFormat="1" ht="14.25" customHeight="1" thickBot="1">
      <c r="A2296" s="353">
        <v>203416</v>
      </c>
      <c r="B2296" s="194" t="s">
        <v>754</v>
      </c>
      <c r="C2296" s="339">
        <f t="shared" si="78"/>
        <v>50000</v>
      </c>
      <c r="D2296" s="196" t="s">
        <v>624</v>
      </c>
      <c r="E2296" s="197" t="s">
        <v>3608</v>
      </c>
      <c r="F2296" s="507">
        <f>SUMIFS(Controle!$R:$R,Controle!$H:$H,produtos_escape2!$A2296,Controle!$Z:$Z,"1")</f>
        <v>0</v>
      </c>
      <c r="G2296" s="507">
        <f>SUMIFS(Controle!$R:$R,Controle!$H:$H,produtos_escape2!$A2296,Controle!$Z:$Z,"2")</f>
        <v>0</v>
      </c>
      <c r="H2296" s="507">
        <f>SUMIFS(Controle!$R:$R,Controle!$H:$H,produtos_escape2!$A2296,Controle!$Z:$Z,"3")</f>
        <v>0</v>
      </c>
      <c r="I2296" s="507">
        <f>SUMIFS(Controle!$R:$R,Controle!$H:$H,produtos_escape2!$A2296,Controle!$Z:$Z,"4")</f>
        <v>0</v>
      </c>
      <c r="J2296" s="507">
        <f>SUMIFS(Controle!$R:$R,Controle!$H:$H,produtos_escape2!$A2296,Controle!$Z:$Z,"5")</f>
        <v>0</v>
      </c>
      <c r="K2296" s="507">
        <f>SUMIFS(Controle!$R:$R,Controle!$H:$H,produtos_escape2!$A2296,Controle!$Z:$Z,"6")</f>
        <v>0</v>
      </c>
      <c r="L2296" s="507">
        <f t="shared" si="77"/>
        <v>0</v>
      </c>
      <c r="M2296" s="381" t="s">
        <v>5683</v>
      </c>
    </row>
    <row r="2297" spans="1:13" s="84" customFormat="1" ht="14.25" customHeight="1" thickBot="1">
      <c r="A2297" s="353">
        <v>203437</v>
      </c>
      <c r="B2297" s="194" t="s">
        <v>1047</v>
      </c>
      <c r="C2297" s="339">
        <f t="shared" si="78"/>
        <v>49283</v>
      </c>
      <c r="D2297" s="196" t="s">
        <v>624</v>
      </c>
      <c r="E2297" s="197" t="s">
        <v>3608</v>
      </c>
      <c r="F2297" s="507">
        <f>SUMIFS(Controle!$R:$R,Controle!$H:$H,produtos_escape2!$A2297,Controle!$Z:$Z,"1")</f>
        <v>0</v>
      </c>
      <c r="G2297" s="507">
        <f>SUMIFS(Controle!$R:$R,Controle!$H:$H,produtos_escape2!$A2297,Controle!$Z:$Z,"2")</f>
        <v>150</v>
      </c>
      <c r="H2297" s="507">
        <f>SUMIFS(Controle!$R:$R,Controle!$H:$H,produtos_escape2!$A2297,Controle!$Z:$Z,"3")</f>
        <v>567</v>
      </c>
      <c r="I2297" s="507">
        <f>SUMIFS(Controle!$R:$R,Controle!$H:$H,produtos_escape2!$A2297,Controle!$Z:$Z,"4")</f>
        <v>0</v>
      </c>
      <c r="J2297" s="507">
        <f>SUMIFS(Controle!$R:$R,Controle!$H:$H,produtos_escape2!$A2297,Controle!$Z:$Z,"5")</f>
        <v>0</v>
      </c>
      <c r="K2297" s="507">
        <f>SUMIFS(Controle!$R:$R,Controle!$H:$H,produtos_escape2!$A2297,Controle!$Z:$Z,"6")</f>
        <v>0</v>
      </c>
      <c r="L2297" s="507">
        <f t="shared" si="77"/>
        <v>717</v>
      </c>
      <c r="M2297" s="381" t="s">
        <v>5684</v>
      </c>
    </row>
    <row r="2298" spans="1:13" s="84" customFormat="1" ht="14.25" customHeight="1" thickBot="1">
      <c r="A2298" s="353">
        <v>280675</v>
      </c>
      <c r="B2298" s="194" t="s">
        <v>428</v>
      </c>
      <c r="C2298" s="339">
        <f t="shared" si="78"/>
        <v>50000</v>
      </c>
      <c r="D2298" s="191"/>
      <c r="E2298" s="172" t="s">
        <v>1687</v>
      </c>
      <c r="F2298" s="507">
        <f>SUMIFS(Controle!$R:$R,Controle!$H:$H,produtos_escape2!$A2298,Controle!$Z:$Z,"1")</f>
        <v>0</v>
      </c>
      <c r="G2298" s="507">
        <f>SUMIFS(Controle!$R:$R,Controle!$H:$H,produtos_escape2!$A2298,Controle!$Z:$Z,"2")</f>
        <v>0</v>
      </c>
      <c r="H2298" s="507">
        <f>SUMIFS(Controle!$R:$R,Controle!$H:$H,produtos_escape2!$A2298,Controle!$Z:$Z,"3")</f>
        <v>0</v>
      </c>
      <c r="I2298" s="507">
        <f>SUMIFS(Controle!$R:$R,Controle!$H:$H,produtos_escape2!$A2298,Controle!$Z:$Z,"4")</f>
        <v>0</v>
      </c>
      <c r="J2298" s="507">
        <f>SUMIFS(Controle!$R:$R,Controle!$H:$H,produtos_escape2!$A2298,Controle!$Z:$Z,"5")</f>
        <v>0</v>
      </c>
      <c r="K2298" s="507">
        <f>SUMIFS(Controle!$R:$R,Controle!$H:$H,produtos_escape2!$A2298,Controle!$Z:$Z,"6")</f>
        <v>0</v>
      </c>
      <c r="L2298" s="507">
        <f t="shared" si="77"/>
        <v>0</v>
      </c>
      <c r="M2298" s="381" t="s">
        <v>5150</v>
      </c>
    </row>
    <row r="2299" spans="1:13" s="84" customFormat="1" ht="14.25" customHeight="1" thickBot="1">
      <c r="A2299" s="353" t="s">
        <v>1206</v>
      </c>
      <c r="B2299" s="194" t="s">
        <v>1207</v>
      </c>
      <c r="C2299" s="339">
        <f t="shared" si="78"/>
        <v>50000</v>
      </c>
      <c r="D2299" s="191" t="s">
        <v>624</v>
      </c>
      <c r="E2299" s="172" t="s">
        <v>7207</v>
      </c>
      <c r="F2299" s="507">
        <f>SUMIFS(Controle!$R:$R,Controle!$H:$H,produtos_escape2!$A2299,Controle!$Z:$Z,"1")</f>
        <v>0</v>
      </c>
      <c r="G2299" s="507">
        <f>SUMIFS(Controle!$R:$R,Controle!$H:$H,produtos_escape2!$A2299,Controle!$Z:$Z,"2")</f>
        <v>0</v>
      </c>
      <c r="H2299" s="507">
        <f>SUMIFS(Controle!$R:$R,Controle!$H:$H,produtos_escape2!$A2299,Controle!$Z:$Z,"3")</f>
        <v>0</v>
      </c>
      <c r="I2299" s="507">
        <f>SUMIFS(Controle!$R:$R,Controle!$H:$H,produtos_escape2!$A2299,Controle!$Z:$Z,"4")</f>
        <v>0</v>
      </c>
      <c r="J2299" s="507">
        <f>SUMIFS(Controle!$R:$R,Controle!$H:$H,produtos_escape2!$A2299,Controle!$Z:$Z,"5")</f>
        <v>0</v>
      </c>
      <c r="K2299" s="507">
        <f>SUMIFS(Controle!$R:$R,Controle!$H:$H,produtos_escape2!$A2299,Controle!$Z:$Z,"6")</f>
        <v>0</v>
      </c>
      <c r="L2299" s="507">
        <f t="shared" si="77"/>
        <v>0</v>
      </c>
    </row>
    <row r="2300" spans="1:13" s="84" customFormat="1" ht="14.25" customHeight="1" thickBot="1">
      <c r="A2300" s="353" t="s">
        <v>3120</v>
      </c>
      <c r="B2300" s="338" t="s">
        <v>3246</v>
      </c>
      <c r="C2300" s="339">
        <f t="shared" si="78"/>
        <v>50000</v>
      </c>
      <c r="D2300" s="196" t="s">
        <v>636</v>
      </c>
      <c r="E2300" s="197" t="s">
        <v>1739</v>
      </c>
      <c r="F2300" s="507">
        <f>SUMIFS(Controle!$R:$R,Controle!$H:$H,produtos_escape2!$A2300,Controle!$Z:$Z,"1")</f>
        <v>0</v>
      </c>
      <c r="G2300" s="507">
        <f>SUMIFS(Controle!$R:$R,Controle!$H:$H,produtos_escape2!$A2300,Controle!$Z:$Z,"2")</f>
        <v>0</v>
      </c>
      <c r="H2300" s="507">
        <f>SUMIFS(Controle!$R:$R,Controle!$H:$H,produtos_escape2!$A2300,Controle!$Z:$Z,"3")</f>
        <v>0</v>
      </c>
      <c r="I2300" s="507">
        <f>SUMIFS(Controle!$R:$R,Controle!$H:$H,produtos_escape2!$A2300,Controle!$Z:$Z,"4")</f>
        <v>0</v>
      </c>
      <c r="J2300" s="507">
        <f>SUMIFS(Controle!$R:$R,Controle!$H:$H,produtos_escape2!$A2300,Controle!$Z:$Z,"5")</f>
        <v>0</v>
      </c>
      <c r="K2300" s="507">
        <f>SUMIFS(Controle!$R:$R,Controle!$H:$H,produtos_escape2!$A2300,Controle!$Z:$Z,"6")</f>
        <v>0</v>
      </c>
      <c r="L2300" s="507">
        <f t="shared" si="77"/>
        <v>0</v>
      </c>
    </row>
    <row r="2301" spans="1:13" s="84" customFormat="1" ht="14.25" customHeight="1" thickBot="1">
      <c r="A2301" s="353" t="s">
        <v>3121</v>
      </c>
      <c r="B2301" s="194" t="s">
        <v>3247</v>
      </c>
      <c r="C2301" s="339">
        <f t="shared" si="78"/>
        <v>50000</v>
      </c>
      <c r="D2301" s="196" t="s">
        <v>636</v>
      </c>
      <c r="E2301" s="197" t="s">
        <v>1687</v>
      </c>
      <c r="F2301" s="507">
        <f>SUMIFS(Controle!$R:$R,Controle!$H:$H,produtos_escape2!$A2301,Controle!$Z:$Z,"1")</f>
        <v>0</v>
      </c>
      <c r="G2301" s="507">
        <f>SUMIFS(Controle!$R:$R,Controle!$H:$H,produtos_escape2!$A2301,Controle!$Z:$Z,"2")</f>
        <v>0</v>
      </c>
      <c r="H2301" s="507">
        <f>SUMIFS(Controle!$R:$R,Controle!$H:$H,produtos_escape2!$A2301,Controle!$Z:$Z,"3")</f>
        <v>0</v>
      </c>
      <c r="I2301" s="507">
        <f>SUMIFS(Controle!$R:$R,Controle!$H:$H,produtos_escape2!$A2301,Controle!$Z:$Z,"4")</f>
        <v>0</v>
      </c>
      <c r="J2301" s="507">
        <f>SUMIFS(Controle!$R:$R,Controle!$H:$H,produtos_escape2!$A2301,Controle!$Z:$Z,"5")</f>
        <v>0</v>
      </c>
      <c r="K2301" s="507">
        <f>SUMIFS(Controle!$R:$R,Controle!$H:$H,produtos_escape2!$A2301,Controle!$Z:$Z,"6")</f>
        <v>0</v>
      </c>
      <c r="L2301" s="507">
        <f t="shared" si="77"/>
        <v>0</v>
      </c>
    </row>
    <row r="2302" spans="1:13" s="84" customFormat="1" ht="14.25" customHeight="1" thickBot="1">
      <c r="A2302" s="353" t="s">
        <v>3098</v>
      </c>
      <c r="B2302" s="194" t="s">
        <v>3114</v>
      </c>
      <c r="C2302" s="339">
        <f t="shared" si="78"/>
        <v>50000</v>
      </c>
      <c r="D2302" s="196" t="s">
        <v>636</v>
      </c>
      <c r="E2302" s="197" t="s">
        <v>1687</v>
      </c>
      <c r="F2302" s="507">
        <f>SUMIFS(Controle!$R:$R,Controle!$H:$H,produtos_escape2!$A2302,Controle!$Z:$Z,"1")</f>
        <v>0</v>
      </c>
      <c r="G2302" s="507">
        <f>SUMIFS(Controle!$R:$R,Controle!$H:$H,produtos_escape2!$A2302,Controle!$Z:$Z,"2")</f>
        <v>0</v>
      </c>
      <c r="H2302" s="507">
        <f>SUMIFS(Controle!$R:$R,Controle!$H:$H,produtos_escape2!$A2302,Controle!$Z:$Z,"3")</f>
        <v>0</v>
      </c>
      <c r="I2302" s="507">
        <f>SUMIFS(Controle!$R:$R,Controle!$H:$H,produtos_escape2!$A2302,Controle!$Z:$Z,"4")</f>
        <v>0</v>
      </c>
      <c r="J2302" s="507">
        <f>SUMIFS(Controle!$R:$R,Controle!$H:$H,produtos_escape2!$A2302,Controle!$Z:$Z,"5")</f>
        <v>0</v>
      </c>
      <c r="K2302" s="507">
        <f>SUMIFS(Controle!$R:$R,Controle!$H:$H,produtos_escape2!$A2302,Controle!$Z:$Z,"6")</f>
        <v>0</v>
      </c>
      <c r="L2302" s="507">
        <f t="shared" si="77"/>
        <v>0</v>
      </c>
    </row>
    <row r="2303" spans="1:13" s="84" customFormat="1" ht="14.25" customHeight="1" thickBot="1">
      <c r="A2303" s="333" t="s">
        <v>3099</v>
      </c>
      <c r="B2303" s="194" t="s">
        <v>3115</v>
      </c>
      <c r="C2303" s="339">
        <f t="shared" si="78"/>
        <v>50000</v>
      </c>
      <c r="D2303" s="196" t="s">
        <v>636</v>
      </c>
      <c r="E2303" s="197" t="s">
        <v>1687</v>
      </c>
      <c r="F2303" s="507">
        <f>SUMIFS(Controle!$R:$R,Controle!$H:$H,produtos_escape2!$A2303,Controle!$Z:$Z,"1")</f>
        <v>0</v>
      </c>
      <c r="G2303" s="507">
        <f>SUMIFS(Controle!$R:$R,Controle!$H:$H,produtos_escape2!$A2303,Controle!$Z:$Z,"2")</f>
        <v>0</v>
      </c>
      <c r="H2303" s="507">
        <f>SUMIFS(Controle!$R:$R,Controle!$H:$H,produtos_escape2!$A2303,Controle!$Z:$Z,"3")</f>
        <v>0</v>
      </c>
      <c r="I2303" s="507">
        <f>SUMIFS(Controle!$R:$R,Controle!$H:$H,produtos_escape2!$A2303,Controle!$Z:$Z,"4")</f>
        <v>0</v>
      </c>
      <c r="J2303" s="507">
        <f>SUMIFS(Controle!$R:$R,Controle!$H:$H,produtos_escape2!$A2303,Controle!$Z:$Z,"5")</f>
        <v>0</v>
      </c>
      <c r="K2303" s="507">
        <f>SUMIFS(Controle!$R:$R,Controle!$H:$H,produtos_escape2!$A2303,Controle!$Z:$Z,"6")</f>
        <v>0</v>
      </c>
      <c r="L2303" s="507">
        <f t="shared" ref="L2303:L2366" si="79">SUM(F2303:K2303)</f>
        <v>0</v>
      </c>
    </row>
    <row r="2304" spans="1:13" s="84" customFormat="1" ht="14.25" customHeight="1" thickBot="1">
      <c r="A2304" s="353" t="s">
        <v>3100</v>
      </c>
      <c r="B2304" s="194" t="s">
        <v>3116</v>
      </c>
      <c r="C2304" s="339">
        <f t="shared" si="78"/>
        <v>50000</v>
      </c>
      <c r="D2304" s="196" t="s">
        <v>636</v>
      </c>
      <c r="E2304" s="197" t="s">
        <v>1687</v>
      </c>
      <c r="F2304" s="507">
        <f>SUMIFS(Controle!$R:$R,Controle!$H:$H,produtos_escape2!$A2304,Controle!$Z:$Z,"1")</f>
        <v>0</v>
      </c>
      <c r="G2304" s="507">
        <f>SUMIFS(Controle!$R:$R,Controle!$H:$H,produtos_escape2!$A2304,Controle!$Z:$Z,"2")</f>
        <v>0</v>
      </c>
      <c r="H2304" s="507">
        <f>SUMIFS(Controle!$R:$R,Controle!$H:$H,produtos_escape2!$A2304,Controle!$Z:$Z,"3")</f>
        <v>0</v>
      </c>
      <c r="I2304" s="507">
        <f>SUMIFS(Controle!$R:$R,Controle!$H:$H,produtos_escape2!$A2304,Controle!$Z:$Z,"4")</f>
        <v>0</v>
      </c>
      <c r="J2304" s="507">
        <f>SUMIFS(Controle!$R:$R,Controle!$H:$H,produtos_escape2!$A2304,Controle!$Z:$Z,"5")</f>
        <v>0</v>
      </c>
      <c r="K2304" s="507">
        <f>SUMIFS(Controle!$R:$R,Controle!$H:$H,produtos_escape2!$A2304,Controle!$Z:$Z,"6")</f>
        <v>0</v>
      </c>
      <c r="L2304" s="507">
        <f t="shared" si="79"/>
        <v>0</v>
      </c>
    </row>
    <row r="2305" spans="1:12" s="84" customFormat="1" ht="14.25" customHeight="1" thickBot="1">
      <c r="A2305" s="353" t="s">
        <v>3101</v>
      </c>
      <c r="B2305" s="194" t="s">
        <v>2711</v>
      </c>
      <c r="C2305" s="339">
        <f t="shared" si="78"/>
        <v>50000</v>
      </c>
      <c r="D2305" s="196" t="s">
        <v>636</v>
      </c>
      <c r="E2305" s="197" t="s">
        <v>1687</v>
      </c>
      <c r="F2305" s="507">
        <f>SUMIFS(Controle!$R:$R,Controle!$H:$H,produtos_escape2!$A2305,Controle!$Z:$Z,"1")</f>
        <v>0</v>
      </c>
      <c r="G2305" s="507">
        <f>SUMIFS(Controle!$R:$R,Controle!$H:$H,produtos_escape2!$A2305,Controle!$Z:$Z,"2")</f>
        <v>0</v>
      </c>
      <c r="H2305" s="507">
        <f>SUMIFS(Controle!$R:$R,Controle!$H:$H,produtos_escape2!$A2305,Controle!$Z:$Z,"3")</f>
        <v>0</v>
      </c>
      <c r="I2305" s="507">
        <f>SUMIFS(Controle!$R:$R,Controle!$H:$H,produtos_escape2!$A2305,Controle!$Z:$Z,"4")</f>
        <v>0</v>
      </c>
      <c r="J2305" s="507">
        <f>SUMIFS(Controle!$R:$R,Controle!$H:$H,produtos_escape2!$A2305,Controle!$Z:$Z,"5")</f>
        <v>0</v>
      </c>
      <c r="K2305" s="507">
        <f>SUMIFS(Controle!$R:$R,Controle!$H:$H,produtos_escape2!$A2305,Controle!$Z:$Z,"6")</f>
        <v>0</v>
      </c>
      <c r="L2305" s="507">
        <f t="shared" si="79"/>
        <v>0</v>
      </c>
    </row>
    <row r="2306" spans="1:12" s="84" customFormat="1" ht="14.25" customHeight="1" thickBot="1">
      <c r="A2306" s="353" t="s">
        <v>3102</v>
      </c>
      <c r="B2306" s="194" t="s">
        <v>3084</v>
      </c>
      <c r="C2306" s="339">
        <f t="shared" si="78"/>
        <v>50000</v>
      </c>
      <c r="D2306" s="196" t="s">
        <v>636</v>
      </c>
      <c r="E2306" s="197" t="s">
        <v>1687</v>
      </c>
      <c r="F2306" s="507">
        <f>SUMIFS(Controle!$R:$R,Controle!$H:$H,produtos_escape2!$A2306,Controle!$Z:$Z,"1")</f>
        <v>0</v>
      </c>
      <c r="G2306" s="507">
        <f>SUMIFS(Controle!$R:$R,Controle!$H:$H,produtos_escape2!$A2306,Controle!$Z:$Z,"2")</f>
        <v>0</v>
      </c>
      <c r="H2306" s="507">
        <f>SUMIFS(Controle!$R:$R,Controle!$H:$H,produtos_escape2!$A2306,Controle!$Z:$Z,"3")</f>
        <v>0</v>
      </c>
      <c r="I2306" s="507">
        <f>SUMIFS(Controle!$R:$R,Controle!$H:$H,produtos_escape2!$A2306,Controle!$Z:$Z,"4")</f>
        <v>0</v>
      </c>
      <c r="J2306" s="507">
        <f>SUMIFS(Controle!$R:$R,Controle!$H:$H,produtos_escape2!$A2306,Controle!$Z:$Z,"5")</f>
        <v>0</v>
      </c>
      <c r="K2306" s="507">
        <f>SUMIFS(Controle!$R:$R,Controle!$H:$H,produtos_escape2!$A2306,Controle!$Z:$Z,"6")</f>
        <v>0</v>
      </c>
      <c r="L2306" s="507">
        <f t="shared" si="79"/>
        <v>0</v>
      </c>
    </row>
    <row r="2307" spans="1:12" s="84" customFormat="1" ht="14.25" customHeight="1" thickBot="1">
      <c r="A2307" s="353" t="s">
        <v>3103</v>
      </c>
      <c r="B2307" s="194" t="s">
        <v>3082</v>
      </c>
      <c r="C2307" s="339">
        <f t="shared" si="78"/>
        <v>50000</v>
      </c>
      <c r="D2307" s="196" t="s">
        <v>636</v>
      </c>
      <c r="E2307" s="197" t="s">
        <v>1687</v>
      </c>
      <c r="F2307" s="507">
        <f>SUMIFS(Controle!$R:$R,Controle!$H:$H,produtos_escape2!$A2307,Controle!$Z:$Z,"1")</f>
        <v>0</v>
      </c>
      <c r="G2307" s="507">
        <f>SUMIFS(Controle!$R:$R,Controle!$H:$H,produtos_escape2!$A2307,Controle!$Z:$Z,"2")</f>
        <v>0</v>
      </c>
      <c r="H2307" s="507">
        <f>SUMIFS(Controle!$R:$R,Controle!$H:$H,produtos_escape2!$A2307,Controle!$Z:$Z,"3")</f>
        <v>0</v>
      </c>
      <c r="I2307" s="507">
        <f>SUMIFS(Controle!$R:$R,Controle!$H:$H,produtos_escape2!$A2307,Controle!$Z:$Z,"4")</f>
        <v>0</v>
      </c>
      <c r="J2307" s="507">
        <f>SUMIFS(Controle!$R:$R,Controle!$H:$H,produtos_escape2!$A2307,Controle!$Z:$Z,"5")</f>
        <v>0</v>
      </c>
      <c r="K2307" s="507">
        <f>SUMIFS(Controle!$R:$R,Controle!$H:$H,produtos_escape2!$A2307,Controle!$Z:$Z,"6")</f>
        <v>0</v>
      </c>
      <c r="L2307" s="507">
        <f t="shared" si="79"/>
        <v>0</v>
      </c>
    </row>
    <row r="2308" spans="1:12" s="84" customFormat="1" ht="14.25" customHeight="1" thickBot="1">
      <c r="A2308" s="353" t="s">
        <v>3104</v>
      </c>
      <c r="B2308" s="338" t="s">
        <v>3117</v>
      </c>
      <c r="C2308" s="339">
        <f t="shared" si="78"/>
        <v>50000</v>
      </c>
      <c r="D2308" s="196" t="s">
        <v>636</v>
      </c>
      <c r="E2308" s="197" t="s">
        <v>1687</v>
      </c>
      <c r="F2308" s="507">
        <f>SUMIFS(Controle!$R:$R,Controle!$H:$H,produtos_escape2!$A2308,Controle!$Z:$Z,"1")</f>
        <v>0</v>
      </c>
      <c r="G2308" s="507">
        <f>SUMIFS(Controle!$R:$R,Controle!$H:$H,produtos_escape2!$A2308,Controle!$Z:$Z,"2")</f>
        <v>0</v>
      </c>
      <c r="H2308" s="507">
        <f>SUMIFS(Controle!$R:$R,Controle!$H:$H,produtos_escape2!$A2308,Controle!$Z:$Z,"3")</f>
        <v>0</v>
      </c>
      <c r="I2308" s="507">
        <f>SUMIFS(Controle!$R:$R,Controle!$H:$H,produtos_escape2!$A2308,Controle!$Z:$Z,"4")</f>
        <v>0</v>
      </c>
      <c r="J2308" s="507">
        <f>SUMIFS(Controle!$R:$R,Controle!$H:$H,produtos_escape2!$A2308,Controle!$Z:$Z,"5")</f>
        <v>0</v>
      </c>
      <c r="K2308" s="507">
        <f>SUMIFS(Controle!$R:$R,Controle!$H:$H,produtos_escape2!$A2308,Controle!$Z:$Z,"6")</f>
        <v>0</v>
      </c>
      <c r="L2308" s="507">
        <f t="shared" si="79"/>
        <v>0</v>
      </c>
    </row>
    <row r="2309" spans="1:12" s="84" customFormat="1" ht="14.25" customHeight="1" thickBot="1">
      <c r="A2309" s="353" t="s">
        <v>3105</v>
      </c>
      <c r="B2309" s="194" t="s">
        <v>3118</v>
      </c>
      <c r="C2309" s="339">
        <f t="shared" si="78"/>
        <v>50000</v>
      </c>
      <c r="D2309" s="196" t="s">
        <v>636</v>
      </c>
      <c r="E2309" s="197" t="s">
        <v>1687</v>
      </c>
      <c r="F2309" s="507">
        <f>SUMIFS(Controle!$R:$R,Controle!$H:$H,produtos_escape2!$A2309,Controle!$Z:$Z,"1")</f>
        <v>0</v>
      </c>
      <c r="G2309" s="507">
        <f>SUMIFS(Controle!$R:$R,Controle!$H:$H,produtos_escape2!$A2309,Controle!$Z:$Z,"2")</f>
        <v>0</v>
      </c>
      <c r="H2309" s="507">
        <f>SUMIFS(Controle!$R:$R,Controle!$H:$H,produtos_escape2!$A2309,Controle!$Z:$Z,"3")</f>
        <v>0</v>
      </c>
      <c r="I2309" s="507">
        <f>SUMIFS(Controle!$R:$R,Controle!$H:$H,produtos_escape2!$A2309,Controle!$Z:$Z,"4")</f>
        <v>0</v>
      </c>
      <c r="J2309" s="507">
        <f>SUMIFS(Controle!$R:$R,Controle!$H:$H,produtos_escape2!$A2309,Controle!$Z:$Z,"5")</f>
        <v>0</v>
      </c>
      <c r="K2309" s="507">
        <f>SUMIFS(Controle!$R:$R,Controle!$H:$H,produtos_escape2!$A2309,Controle!$Z:$Z,"6")</f>
        <v>0</v>
      </c>
      <c r="L2309" s="507">
        <f t="shared" si="79"/>
        <v>0</v>
      </c>
    </row>
    <row r="2310" spans="1:12" s="84" customFormat="1" ht="14.25" customHeight="1" thickBot="1">
      <c r="A2310" s="353" t="s">
        <v>3106</v>
      </c>
      <c r="B2310" s="194" t="s">
        <v>3085</v>
      </c>
      <c r="C2310" s="339">
        <f t="shared" si="78"/>
        <v>50000</v>
      </c>
      <c r="D2310" s="196" t="s">
        <v>636</v>
      </c>
      <c r="E2310" s="197" t="s">
        <v>1687</v>
      </c>
      <c r="F2310" s="507">
        <f>SUMIFS(Controle!$R:$R,Controle!$H:$H,produtos_escape2!$A2310,Controle!$Z:$Z,"1")</f>
        <v>0</v>
      </c>
      <c r="G2310" s="507">
        <f>SUMIFS(Controle!$R:$R,Controle!$H:$H,produtos_escape2!$A2310,Controle!$Z:$Z,"2")</f>
        <v>0</v>
      </c>
      <c r="H2310" s="507">
        <f>SUMIFS(Controle!$R:$R,Controle!$H:$H,produtos_escape2!$A2310,Controle!$Z:$Z,"3")</f>
        <v>0</v>
      </c>
      <c r="I2310" s="507">
        <f>SUMIFS(Controle!$R:$R,Controle!$H:$H,produtos_escape2!$A2310,Controle!$Z:$Z,"4")</f>
        <v>0</v>
      </c>
      <c r="J2310" s="507">
        <f>SUMIFS(Controle!$R:$R,Controle!$H:$H,produtos_escape2!$A2310,Controle!$Z:$Z,"5")</f>
        <v>0</v>
      </c>
      <c r="K2310" s="507">
        <f>SUMIFS(Controle!$R:$R,Controle!$H:$H,produtos_escape2!$A2310,Controle!$Z:$Z,"6")</f>
        <v>0</v>
      </c>
      <c r="L2310" s="507">
        <f t="shared" si="79"/>
        <v>0</v>
      </c>
    </row>
    <row r="2311" spans="1:12" s="84" customFormat="1" ht="14.25" customHeight="1" thickBot="1">
      <c r="A2311" s="333" t="s">
        <v>3107</v>
      </c>
      <c r="B2311" s="194" t="s">
        <v>3083</v>
      </c>
      <c r="C2311" s="339">
        <f t="shared" si="78"/>
        <v>50000</v>
      </c>
      <c r="D2311" s="196" t="s">
        <v>636</v>
      </c>
      <c r="E2311" s="197" t="s">
        <v>1687</v>
      </c>
      <c r="F2311" s="507">
        <f>SUMIFS(Controle!$R:$R,Controle!$H:$H,produtos_escape2!$A2311,Controle!$Z:$Z,"1")</f>
        <v>0</v>
      </c>
      <c r="G2311" s="507">
        <f>SUMIFS(Controle!$R:$R,Controle!$H:$H,produtos_escape2!$A2311,Controle!$Z:$Z,"2")</f>
        <v>0</v>
      </c>
      <c r="H2311" s="507">
        <f>SUMIFS(Controle!$R:$R,Controle!$H:$H,produtos_escape2!$A2311,Controle!$Z:$Z,"3")</f>
        <v>0</v>
      </c>
      <c r="I2311" s="507">
        <f>SUMIFS(Controle!$R:$R,Controle!$H:$H,produtos_escape2!$A2311,Controle!$Z:$Z,"4")</f>
        <v>0</v>
      </c>
      <c r="J2311" s="507">
        <f>SUMIFS(Controle!$R:$R,Controle!$H:$H,produtos_escape2!$A2311,Controle!$Z:$Z,"5")</f>
        <v>0</v>
      </c>
      <c r="K2311" s="507">
        <f>SUMIFS(Controle!$R:$R,Controle!$H:$H,produtos_escape2!$A2311,Controle!$Z:$Z,"6")</f>
        <v>0</v>
      </c>
      <c r="L2311" s="507">
        <f t="shared" si="79"/>
        <v>0</v>
      </c>
    </row>
    <row r="2312" spans="1:12" s="84" customFormat="1" ht="14.25" customHeight="1" thickBot="1">
      <c r="A2312" s="353" t="s">
        <v>3108</v>
      </c>
      <c r="B2312" s="194" t="s">
        <v>3069</v>
      </c>
      <c r="C2312" s="339">
        <f t="shared" si="78"/>
        <v>50000</v>
      </c>
      <c r="D2312" s="196" t="s">
        <v>636</v>
      </c>
      <c r="E2312" s="197" t="s">
        <v>1687</v>
      </c>
      <c r="F2312" s="507">
        <f>SUMIFS(Controle!$R:$R,Controle!$H:$H,produtos_escape2!$A2312,Controle!$Z:$Z,"1")</f>
        <v>0</v>
      </c>
      <c r="G2312" s="507">
        <f>SUMIFS(Controle!$R:$R,Controle!$H:$H,produtos_escape2!$A2312,Controle!$Z:$Z,"2")</f>
        <v>0</v>
      </c>
      <c r="H2312" s="507">
        <f>SUMIFS(Controle!$R:$R,Controle!$H:$H,produtos_escape2!$A2312,Controle!$Z:$Z,"3")</f>
        <v>0</v>
      </c>
      <c r="I2312" s="507">
        <f>SUMIFS(Controle!$R:$R,Controle!$H:$H,produtos_escape2!$A2312,Controle!$Z:$Z,"4")</f>
        <v>0</v>
      </c>
      <c r="J2312" s="507">
        <f>SUMIFS(Controle!$R:$R,Controle!$H:$H,produtos_escape2!$A2312,Controle!$Z:$Z,"5")</f>
        <v>0</v>
      </c>
      <c r="K2312" s="507">
        <f>SUMIFS(Controle!$R:$R,Controle!$H:$H,produtos_escape2!$A2312,Controle!$Z:$Z,"6")</f>
        <v>0</v>
      </c>
      <c r="L2312" s="507">
        <f t="shared" si="79"/>
        <v>0</v>
      </c>
    </row>
    <row r="2313" spans="1:12" s="84" customFormat="1" ht="14.25" customHeight="1" thickBot="1">
      <c r="A2313" s="353" t="s">
        <v>3109</v>
      </c>
      <c r="B2313" s="194" t="s">
        <v>3073</v>
      </c>
      <c r="C2313" s="339">
        <f t="shared" ref="C2313:C2376" si="80">50000-SUM(F2313:K2313)</f>
        <v>50000</v>
      </c>
      <c r="D2313" s="196" t="s">
        <v>636</v>
      </c>
      <c r="E2313" s="197" t="s">
        <v>1687</v>
      </c>
      <c r="F2313" s="507">
        <f>SUMIFS(Controle!$R:$R,Controle!$H:$H,produtos_escape2!$A2313,Controle!$Z:$Z,"1")</f>
        <v>0</v>
      </c>
      <c r="G2313" s="507">
        <f>SUMIFS(Controle!$R:$R,Controle!$H:$H,produtos_escape2!$A2313,Controle!$Z:$Z,"2")</f>
        <v>0</v>
      </c>
      <c r="H2313" s="507">
        <f>SUMIFS(Controle!$R:$R,Controle!$H:$H,produtos_escape2!$A2313,Controle!$Z:$Z,"3")</f>
        <v>0</v>
      </c>
      <c r="I2313" s="507">
        <f>SUMIFS(Controle!$R:$R,Controle!$H:$H,produtos_escape2!$A2313,Controle!$Z:$Z,"4")</f>
        <v>0</v>
      </c>
      <c r="J2313" s="507">
        <f>SUMIFS(Controle!$R:$R,Controle!$H:$H,produtos_escape2!$A2313,Controle!$Z:$Z,"5")</f>
        <v>0</v>
      </c>
      <c r="K2313" s="507">
        <f>SUMIFS(Controle!$R:$R,Controle!$H:$H,produtos_escape2!$A2313,Controle!$Z:$Z,"6")</f>
        <v>0</v>
      </c>
      <c r="L2313" s="507">
        <f t="shared" si="79"/>
        <v>0</v>
      </c>
    </row>
    <row r="2314" spans="1:12" s="84" customFormat="1" ht="14.25" customHeight="1" thickBot="1">
      <c r="A2314" s="353" t="s">
        <v>3110</v>
      </c>
      <c r="B2314" s="194" t="s">
        <v>3070</v>
      </c>
      <c r="C2314" s="339">
        <f t="shared" si="80"/>
        <v>50000</v>
      </c>
      <c r="D2314" s="196" t="s">
        <v>636</v>
      </c>
      <c r="E2314" s="197" t="s">
        <v>1687</v>
      </c>
      <c r="F2314" s="507">
        <f>SUMIFS(Controle!$R:$R,Controle!$H:$H,produtos_escape2!$A2314,Controle!$Z:$Z,"1")</f>
        <v>0</v>
      </c>
      <c r="G2314" s="507">
        <f>SUMIFS(Controle!$R:$R,Controle!$H:$H,produtos_escape2!$A2314,Controle!$Z:$Z,"2")</f>
        <v>0</v>
      </c>
      <c r="H2314" s="507">
        <f>SUMIFS(Controle!$R:$R,Controle!$H:$H,produtos_escape2!$A2314,Controle!$Z:$Z,"3")</f>
        <v>0</v>
      </c>
      <c r="I2314" s="507">
        <f>SUMIFS(Controle!$R:$R,Controle!$H:$H,produtos_escape2!$A2314,Controle!$Z:$Z,"4")</f>
        <v>0</v>
      </c>
      <c r="J2314" s="507">
        <f>SUMIFS(Controle!$R:$R,Controle!$H:$H,produtos_escape2!$A2314,Controle!$Z:$Z,"5")</f>
        <v>0</v>
      </c>
      <c r="K2314" s="507">
        <f>SUMIFS(Controle!$R:$R,Controle!$H:$H,produtos_escape2!$A2314,Controle!$Z:$Z,"6")</f>
        <v>0</v>
      </c>
      <c r="L2314" s="507">
        <f t="shared" si="79"/>
        <v>0</v>
      </c>
    </row>
    <row r="2315" spans="1:12" s="84" customFormat="1" ht="14.25" customHeight="1" thickBot="1">
      <c r="A2315" s="353" t="s">
        <v>3111</v>
      </c>
      <c r="B2315" s="194" t="s">
        <v>3074</v>
      </c>
      <c r="C2315" s="339">
        <f t="shared" si="80"/>
        <v>50000</v>
      </c>
      <c r="D2315" s="196" t="s">
        <v>636</v>
      </c>
      <c r="E2315" s="197" t="s">
        <v>1687</v>
      </c>
      <c r="F2315" s="507">
        <f>SUMIFS(Controle!$R:$R,Controle!$H:$H,produtos_escape2!$A2315,Controle!$Z:$Z,"1")</f>
        <v>0</v>
      </c>
      <c r="G2315" s="507">
        <f>SUMIFS(Controle!$R:$R,Controle!$H:$H,produtos_escape2!$A2315,Controle!$Z:$Z,"2")</f>
        <v>0</v>
      </c>
      <c r="H2315" s="507">
        <f>SUMIFS(Controle!$R:$R,Controle!$H:$H,produtos_escape2!$A2315,Controle!$Z:$Z,"3")</f>
        <v>0</v>
      </c>
      <c r="I2315" s="507">
        <f>SUMIFS(Controle!$R:$R,Controle!$H:$H,produtos_escape2!$A2315,Controle!$Z:$Z,"4")</f>
        <v>0</v>
      </c>
      <c r="J2315" s="507">
        <f>SUMIFS(Controle!$R:$R,Controle!$H:$H,produtos_escape2!$A2315,Controle!$Z:$Z,"5")</f>
        <v>0</v>
      </c>
      <c r="K2315" s="507">
        <f>SUMIFS(Controle!$R:$R,Controle!$H:$H,produtos_escape2!$A2315,Controle!$Z:$Z,"6")</f>
        <v>0</v>
      </c>
      <c r="L2315" s="507">
        <f t="shared" si="79"/>
        <v>0</v>
      </c>
    </row>
    <row r="2316" spans="1:12" s="84" customFormat="1" ht="14.25" customHeight="1" thickBot="1">
      <c r="A2316" s="353" t="s">
        <v>3112</v>
      </c>
      <c r="B2316" s="338" t="s">
        <v>3071</v>
      </c>
      <c r="C2316" s="339">
        <f t="shared" si="80"/>
        <v>50000</v>
      </c>
      <c r="D2316" s="196" t="s">
        <v>636</v>
      </c>
      <c r="E2316" s="197" t="s">
        <v>1687</v>
      </c>
      <c r="F2316" s="507">
        <f>SUMIFS(Controle!$R:$R,Controle!$H:$H,produtos_escape2!$A2316,Controle!$Z:$Z,"1")</f>
        <v>0</v>
      </c>
      <c r="G2316" s="507">
        <f>SUMIFS(Controle!$R:$R,Controle!$H:$H,produtos_escape2!$A2316,Controle!$Z:$Z,"2")</f>
        <v>0</v>
      </c>
      <c r="H2316" s="507">
        <f>SUMIFS(Controle!$R:$R,Controle!$H:$H,produtos_escape2!$A2316,Controle!$Z:$Z,"3")</f>
        <v>0</v>
      </c>
      <c r="I2316" s="507">
        <f>SUMIFS(Controle!$R:$R,Controle!$H:$H,produtos_escape2!$A2316,Controle!$Z:$Z,"4")</f>
        <v>0</v>
      </c>
      <c r="J2316" s="507">
        <f>SUMIFS(Controle!$R:$R,Controle!$H:$H,produtos_escape2!$A2316,Controle!$Z:$Z,"5")</f>
        <v>0</v>
      </c>
      <c r="K2316" s="507">
        <f>SUMIFS(Controle!$R:$R,Controle!$H:$H,produtos_escape2!$A2316,Controle!$Z:$Z,"6")</f>
        <v>0</v>
      </c>
      <c r="L2316" s="507">
        <f t="shared" si="79"/>
        <v>0</v>
      </c>
    </row>
    <row r="2317" spans="1:12" s="84" customFormat="1" ht="14.25" customHeight="1" thickBot="1">
      <c r="A2317" s="353" t="s">
        <v>3113</v>
      </c>
      <c r="B2317" s="194" t="s">
        <v>3072</v>
      </c>
      <c r="C2317" s="339">
        <f t="shared" si="80"/>
        <v>50000</v>
      </c>
      <c r="D2317" s="196" t="s">
        <v>636</v>
      </c>
      <c r="E2317" s="197" t="s">
        <v>1687</v>
      </c>
      <c r="F2317" s="507">
        <f>SUMIFS(Controle!$R:$R,Controle!$H:$H,produtos_escape2!$A2317,Controle!$Z:$Z,"1")</f>
        <v>0</v>
      </c>
      <c r="G2317" s="507">
        <f>SUMIFS(Controle!$R:$R,Controle!$H:$H,produtos_escape2!$A2317,Controle!$Z:$Z,"2")</f>
        <v>0</v>
      </c>
      <c r="H2317" s="507">
        <f>SUMIFS(Controle!$R:$R,Controle!$H:$H,produtos_escape2!$A2317,Controle!$Z:$Z,"3")</f>
        <v>0</v>
      </c>
      <c r="I2317" s="507">
        <f>SUMIFS(Controle!$R:$R,Controle!$H:$H,produtos_escape2!$A2317,Controle!$Z:$Z,"4")</f>
        <v>0</v>
      </c>
      <c r="J2317" s="507">
        <f>SUMIFS(Controle!$R:$R,Controle!$H:$H,produtos_escape2!$A2317,Controle!$Z:$Z,"5")</f>
        <v>0</v>
      </c>
      <c r="K2317" s="507">
        <f>SUMIFS(Controle!$R:$R,Controle!$H:$H,produtos_escape2!$A2317,Controle!$Z:$Z,"6")</f>
        <v>0</v>
      </c>
      <c r="L2317" s="507">
        <f t="shared" si="79"/>
        <v>0</v>
      </c>
    </row>
    <row r="2318" spans="1:12" s="84" customFormat="1" ht="14.25" customHeight="1" thickBot="1">
      <c r="A2318" s="353" t="s">
        <v>3097</v>
      </c>
      <c r="B2318" s="194" t="s">
        <v>5762</v>
      </c>
      <c r="C2318" s="339">
        <f t="shared" si="80"/>
        <v>50000</v>
      </c>
      <c r="D2318" s="196" t="s">
        <v>636</v>
      </c>
      <c r="E2318" s="197" t="s">
        <v>1739</v>
      </c>
      <c r="F2318" s="507">
        <f>SUMIFS(Controle!$R:$R,Controle!$H:$H,produtos_escape2!$A2318,Controle!$Z:$Z,"1")</f>
        <v>0</v>
      </c>
      <c r="G2318" s="507">
        <f>SUMIFS(Controle!$R:$R,Controle!$H:$H,produtos_escape2!$A2318,Controle!$Z:$Z,"2")</f>
        <v>0</v>
      </c>
      <c r="H2318" s="507">
        <f>SUMIFS(Controle!$R:$R,Controle!$H:$H,produtos_escape2!$A2318,Controle!$Z:$Z,"3")</f>
        <v>0</v>
      </c>
      <c r="I2318" s="507">
        <f>SUMIFS(Controle!$R:$R,Controle!$H:$H,produtos_escape2!$A2318,Controle!$Z:$Z,"4")</f>
        <v>0</v>
      </c>
      <c r="J2318" s="507">
        <f>SUMIFS(Controle!$R:$R,Controle!$H:$H,produtos_escape2!$A2318,Controle!$Z:$Z,"5")</f>
        <v>0</v>
      </c>
      <c r="K2318" s="507">
        <f>SUMIFS(Controle!$R:$R,Controle!$H:$H,produtos_escape2!$A2318,Controle!$Z:$Z,"6")</f>
        <v>0</v>
      </c>
      <c r="L2318" s="507">
        <f t="shared" si="79"/>
        <v>0</v>
      </c>
    </row>
    <row r="2319" spans="1:12" s="84" customFormat="1" ht="14.25" customHeight="1" thickBot="1">
      <c r="A2319" s="333" t="s">
        <v>4039</v>
      </c>
      <c r="B2319" s="194" t="s">
        <v>4041</v>
      </c>
      <c r="C2319" s="339">
        <f t="shared" si="80"/>
        <v>50000</v>
      </c>
      <c r="D2319" s="196" t="s">
        <v>636</v>
      </c>
      <c r="E2319" s="197" t="s">
        <v>1687</v>
      </c>
      <c r="F2319" s="507">
        <f>SUMIFS(Controle!$R:$R,Controle!$H:$H,produtos_escape2!$A2319,Controle!$Z:$Z,"1")</f>
        <v>0</v>
      </c>
      <c r="G2319" s="507">
        <f>SUMIFS(Controle!$R:$R,Controle!$H:$H,produtos_escape2!$A2319,Controle!$Z:$Z,"2")</f>
        <v>0</v>
      </c>
      <c r="H2319" s="507">
        <f>SUMIFS(Controle!$R:$R,Controle!$H:$H,produtos_escape2!$A2319,Controle!$Z:$Z,"3")</f>
        <v>0</v>
      </c>
      <c r="I2319" s="507">
        <f>SUMIFS(Controle!$R:$R,Controle!$H:$H,produtos_escape2!$A2319,Controle!$Z:$Z,"4")</f>
        <v>0</v>
      </c>
      <c r="J2319" s="507">
        <f>SUMIFS(Controle!$R:$R,Controle!$H:$H,produtos_escape2!$A2319,Controle!$Z:$Z,"5")</f>
        <v>0</v>
      </c>
      <c r="K2319" s="507">
        <f>SUMIFS(Controle!$R:$R,Controle!$H:$H,produtos_escape2!$A2319,Controle!$Z:$Z,"6")</f>
        <v>0</v>
      </c>
      <c r="L2319" s="507">
        <f t="shared" si="79"/>
        <v>0</v>
      </c>
    </row>
    <row r="2320" spans="1:12" s="84" customFormat="1" ht="14.25" customHeight="1" thickBot="1">
      <c r="A2320" s="353" t="s">
        <v>4040</v>
      </c>
      <c r="B2320" s="194" t="s">
        <v>4042</v>
      </c>
      <c r="C2320" s="339">
        <f t="shared" si="80"/>
        <v>50000</v>
      </c>
      <c r="D2320" s="196" t="s">
        <v>636</v>
      </c>
      <c r="E2320" s="197" t="s">
        <v>1687</v>
      </c>
      <c r="F2320" s="507">
        <f>SUMIFS(Controle!$R:$R,Controle!$H:$H,produtos_escape2!$A2320,Controle!$Z:$Z,"1")</f>
        <v>0</v>
      </c>
      <c r="G2320" s="507">
        <f>SUMIFS(Controle!$R:$R,Controle!$H:$H,produtos_escape2!$A2320,Controle!$Z:$Z,"2")</f>
        <v>0</v>
      </c>
      <c r="H2320" s="507">
        <f>SUMIFS(Controle!$R:$R,Controle!$H:$H,produtos_escape2!$A2320,Controle!$Z:$Z,"3")</f>
        <v>0</v>
      </c>
      <c r="I2320" s="507">
        <f>SUMIFS(Controle!$R:$R,Controle!$H:$H,produtos_escape2!$A2320,Controle!$Z:$Z,"4")</f>
        <v>0</v>
      </c>
      <c r="J2320" s="507">
        <f>SUMIFS(Controle!$R:$R,Controle!$H:$H,produtos_escape2!$A2320,Controle!$Z:$Z,"5")</f>
        <v>0</v>
      </c>
      <c r="K2320" s="507">
        <f>SUMIFS(Controle!$R:$R,Controle!$H:$H,produtos_escape2!$A2320,Controle!$Z:$Z,"6")</f>
        <v>0</v>
      </c>
      <c r="L2320" s="507">
        <f t="shared" si="79"/>
        <v>0</v>
      </c>
    </row>
    <row r="2321" spans="1:12" s="84" customFormat="1" ht="14.25" customHeight="1" thickBot="1">
      <c r="A2321" s="353" t="s">
        <v>3727</v>
      </c>
      <c r="B2321" s="194" t="s">
        <v>3729</v>
      </c>
      <c r="C2321" s="339">
        <f t="shared" si="80"/>
        <v>50000</v>
      </c>
      <c r="D2321" s="196" t="s">
        <v>636</v>
      </c>
      <c r="E2321" s="197" t="s">
        <v>1687</v>
      </c>
      <c r="F2321" s="507">
        <f>SUMIFS(Controle!$R:$R,Controle!$H:$H,produtos_escape2!$A2321,Controle!$Z:$Z,"1")</f>
        <v>0</v>
      </c>
      <c r="G2321" s="507">
        <f>SUMIFS(Controle!$R:$R,Controle!$H:$H,produtos_escape2!$A2321,Controle!$Z:$Z,"2")</f>
        <v>0</v>
      </c>
      <c r="H2321" s="507">
        <f>SUMIFS(Controle!$R:$R,Controle!$H:$H,produtos_escape2!$A2321,Controle!$Z:$Z,"3")</f>
        <v>0</v>
      </c>
      <c r="I2321" s="507">
        <f>SUMIFS(Controle!$R:$R,Controle!$H:$H,produtos_escape2!$A2321,Controle!$Z:$Z,"4")</f>
        <v>0</v>
      </c>
      <c r="J2321" s="507">
        <f>SUMIFS(Controle!$R:$R,Controle!$H:$H,produtos_escape2!$A2321,Controle!$Z:$Z,"5")</f>
        <v>0</v>
      </c>
      <c r="K2321" s="507">
        <f>SUMIFS(Controle!$R:$R,Controle!$H:$H,produtos_escape2!$A2321,Controle!$Z:$Z,"6")</f>
        <v>0</v>
      </c>
      <c r="L2321" s="507">
        <f t="shared" si="79"/>
        <v>0</v>
      </c>
    </row>
    <row r="2322" spans="1:12" s="84" customFormat="1" ht="14.25" customHeight="1" thickBot="1">
      <c r="A2322" s="353" t="s">
        <v>3728</v>
      </c>
      <c r="B2322" s="194" t="s">
        <v>3730</v>
      </c>
      <c r="C2322" s="339">
        <f t="shared" si="80"/>
        <v>50000</v>
      </c>
      <c r="D2322" s="196" t="s">
        <v>636</v>
      </c>
      <c r="E2322" s="197" t="s">
        <v>1687</v>
      </c>
      <c r="F2322" s="507">
        <f>SUMIFS(Controle!$R:$R,Controle!$H:$H,produtos_escape2!$A2322,Controle!$Z:$Z,"1")</f>
        <v>0</v>
      </c>
      <c r="G2322" s="507">
        <f>SUMIFS(Controle!$R:$R,Controle!$H:$H,produtos_escape2!$A2322,Controle!$Z:$Z,"2")</f>
        <v>0</v>
      </c>
      <c r="H2322" s="507">
        <f>SUMIFS(Controle!$R:$R,Controle!$H:$H,produtos_escape2!$A2322,Controle!$Z:$Z,"3")</f>
        <v>0</v>
      </c>
      <c r="I2322" s="507">
        <f>SUMIFS(Controle!$R:$R,Controle!$H:$H,produtos_escape2!$A2322,Controle!$Z:$Z,"4")</f>
        <v>0</v>
      </c>
      <c r="J2322" s="507">
        <f>SUMIFS(Controle!$R:$R,Controle!$H:$H,produtos_escape2!$A2322,Controle!$Z:$Z,"5")</f>
        <v>0</v>
      </c>
      <c r="K2322" s="507">
        <f>SUMIFS(Controle!$R:$R,Controle!$H:$H,produtos_escape2!$A2322,Controle!$Z:$Z,"6")</f>
        <v>0</v>
      </c>
      <c r="L2322" s="507">
        <f t="shared" si="79"/>
        <v>0</v>
      </c>
    </row>
    <row r="2323" spans="1:12" s="84" customFormat="1" ht="14.25" customHeight="1" thickBot="1">
      <c r="A2323" s="353" t="s">
        <v>6738</v>
      </c>
      <c r="B2323" s="194" t="s">
        <v>6739</v>
      </c>
      <c r="C2323" s="339">
        <f t="shared" si="80"/>
        <v>50000</v>
      </c>
      <c r="D2323" s="196" t="s">
        <v>636</v>
      </c>
      <c r="E2323" s="197" t="s">
        <v>1687</v>
      </c>
      <c r="F2323" s="507">
        <f>SUMIFS(Controle!$R:$R,Controle!$H:$H,produtos_escape2!$A2323,Controle!$Z:$Z,"1")</f>
        <v>0</v>
      </c>
      <c r="G2323" s="507">
        <f>SUMIFS(Controle!$R:$R,Controle!$H:$H,produtos_escape2!$A2323,Controle!$Z:$Z,"2")</f>
        <v>0</v>
      </c>
      <c r="H2323" s="507">
        <f>SUMIFS(Controle!$R:$R,Controle!$H:$H,produtos_escape2!$A2323,Controle!$Z:$Z,"3")</f>
        <v>0</v>
      </c>
      <c r="I2323" s="507">
        <f>SUMIFS(Controle!$R:$R,Controle!$H:$H,produtos_escape2!$A2323,Controle!$Z:$Z,"4")</f>
        <v>0</v>
      </c>
      <c r="J2323" s="507">
        <f>SUMIFS(Controle!$R:$R,Controle!$H:$H,produtos_escape2!$A2323,Controle!$Z:$Z,"5")</f>
        <v>0</v>
      </c>
      <c r="K2323" s="507">
        <f>SUMIFS(Controle!$R:$R,Controle!$H:$H,produtos_escape2!$A2323,Controle!$Z:$Z,"6")</f>
        <v>0</v>
      </c>
      <c r="L2323" s="507">
        <f t="shared" si="79"/>
        <v>0</v>
      </c>
    </row>
    <row r="2324" spans="1:12" s="84" customFormat="1" ht="14.25" customHeight="1" thickBot="1">
      <c r="A2324" s="353" t="s">
        <v>6920</v>
      </c>
      <c r="B2324" s="194" t="s">
        <v>6921</v>
      </c>
      <c r="C2324" s="339">
        <f t="shared" si="80"/>
        <v>50000</v>
      </c>
      <c r="D2324" s="196" t="s">
        <v>636</v>
      </c>
      <c r="E2324" s="197" t="s">
        <v>1687</v>
      </c>
      <c r="F2324" s="507">
        <f>SUMIFS(Controle!$R:$R,Controle!$H:$H,produtos_escape2!$A2324,Controle!$Z:$Z,"1")</f>
        <v>0</v>
      </c>
      <c r="G2324" s="507">
        <f>SUMIFS(Controle!$R:$R,Controle!$H:$H,produtos_escape2!$A2324,Controle!$Z:$Z,"2")</f>
        <v>0</v>
      </c>
      <c r="H2324" s="507">
        <f>SUMIFS(Controle!$R:$R,Controle!$H:$H,produtos_escape2!$A2324,Controle!$Z:$Z,"3")</f>
        <v>0</v>
      </c>
      <c r="I2324" s="507">
        <f>SUMIFS(Controle!$R:$R,Controle!$H:$H,produtos_escape2!$A2324,Controle!$Z:$Z,"4")</f>
        <v>0</v>
      </c>
      <c r="J2324" s="507">
        <f>SUMIFS(Controle!$R:$R,Controle!$H:$H,produtos_escape2!$A2324,Controle!$Z:$Z,"5")</f>
        <v>0</v>
      </c>
      <c r="K2324" s="507">
        <f>SUMIFS(Controle!$R:$R,Controle!$H:$H,produtos_escape2!$A2324,Controle!$Z:$Z,"6")</f>
        <v>0</v>
      </c>
      <c r="L2324" s="507">
        <f t="shared" si="79"/>
        <v>0</v>
      </c>
    </row>
    <row r="2325" spans="1:12" s="84" customFormat="1" ht="14.25" customHeight="1" thickBot="1">
      <c r="A2325" s="353" t="s">
        <v>6984</v>
      </c>
      <c r="B2325" s="194" t="s">
        <v>6985</v>
      </c>
      <c r="C2325" s="339">
        <f t="shared" si="80"/>
        <v>50000</v>
      </c>
      <c r="D2325" s="196" t="s">
        <v>636</v>
      </c>
      <c r="E2325" s="197" t="s">
        <v>1687</v>
      </c>
      <c r="F2325" s="507">
        <f>SUMIFS(Controle!$R:$R,Controle!$H:$H,produtos_escape2!$A2325,Controle!$Z:$Z,"1")</f>
        <v>0</v>
      </c>
      <c r="G2325" s="507">
        <f>SUMIFS(Controle!$R:$R,Controle!$H:$H,produtos_escape2!$A2325,Controle!$Z:$Z,"2")</f>
        <v>0</v>
      </c>
      <c r="H2325" s="507">
        <f>SUMIFS(Controle!$R:$R,Controle!$H:$H,produtos_escape2!$A2325,Controle!$Z:$Z,"3")</f>
        <v>0</v>
      </c>
      <c r="I2325" s="507">
        <f>SUMIFS(Controle!$R:$R,Controle!$H:$H,produtos_escape2!$A2325,Controle!$Z:$Z,"4")</f>
        <v>0</v>
      </c>
      <c r="J2325" s="507">
        <f>SUMIFS(Controle!$R:$R,Controle!$H:$H,produtos_escape2!$A2325,Controle!$Z:$Z,"5")</f>
        <v>0</v>
      </c>
      <c r="K2325" s="507">
        <f>SUMIFS(Controle!$R:$R,Controle!$H:$H,produtos_escape2!$A2325,Controle!$Z:$Z,"6")</f>
        <v>0</v>
      </c>
      <c r="L2325" s="507">
        <f t="shared" si="79"/>
        <v>0</v>
      </c>
    </row>
    <row r="2326" spans="1:12" s="84" customFormat="1" ht="14.25" customHeight="1" thickBot="1">
      <c r="A2326" s="353" t="s">
        <v>3841</v>
      </c>
      <c r="B2326" s="194" t="s">
        <v>3836</v>
      </c>
      <c r="C2326" s="339">
        <f t="shared" si="80"/>
        <v>50000</v>
      </c>
      <c r="D2326" s="196" t="s">
        <v>636</v>
      </c>
      <c r="E2326" s="197" t="s">
        <v>1687</v>
      </c>
      <c r="F2326" s="507">
        <f>SUMIFS(Controle!$R:$R,Controle!$H:$H,produtos_escape2!$A2326,Controle!$Z:$Z,"1")</f>
        <v>0</v>
      </c>
      <c r="G2326" s="507">
        <f>SUMIFS(Controle!$R:$R,Controle!$H:$H,produtos_escape2!$A2326,Controle!$Z:$Z,"2")</f>
        <v>0</v>
      </c>
      <c r="H2326" s="507">
        <f>SUMIFS(Controle!$R:$R,Controle!$H:$H,produtos_escape2!$A2326,Controle!$Z:$Z,"3")</f>
        <v>0</v>
      </c>
      <c r="I2326" s="507">
        <f>SUMIFS(Controle!$R:$R,Controle!$H:$H,produtos_escape2!$A2326,Controle!$Z:$Z,"4")</f>
        <v>0</v>
      </c>
      <c r="J2326" s="507">
        <f>SUMIFS(Controle!$R:$R,Controle!$H:$H,produtos_escape2!$A2326,Controle!$Z:$Z,"5")</f>
        <v>0</v>
      </c>
      <c r="K2326" s="507">
        <f>SUMIFS(Controle!$R:$R,Controle!$H:$H,produtos_escape2!$A2326,Controle!$Z:$Z,"6")</f>
        <v>0</v>
      </c>
      <c r="L2326" s="507">
        <f t="shared" si="79"/>
        <v>0</v>
      </c>
    </row>
    <row r="2327" spans="1:12" s="84" customFormat="1" ht="14.25" customHeight="1" thickBot="1">
      <c r="A2327" s="353" t="s">
        <v>3843</v>
      </c>
      <c r="B2327" s="338" t="s">
        <v>3837</v>
      </c>
      <c r="C2327" s="339">
        <f t="shared" si="80"/>
        <v>50000</v>
      </c>
      <c r="D2327" s="196" t="s">
        <v>636</v>
      </c>
      <c r="E2327" s="197" t="s">
        <v>1687</v>
      </c>
      <c r="F2327" s="507">
        <f>SUMIFS(Controle!$R:$R,Controle!$H:$H,produtos_escape2!$A2327,Controle!$Z:$Z,"1")</f>
        <v>0</v>
      </c>
      <c r="G2327" s="507">
        <f>SUMIFS(Controle!$R:$R,Controle!$H:$H,produtos_escape2!$A2327,Controle!$Z:$Z,"2")</f>
        <v>0</v>
      </c>
      <c r="H2327" s="507">
        <f>SUMIFS(Controle!$R:$R,Controle!$H:$H,produtos_escape2!$A2327,Controle!$Z:$Z,"3")</f>
        <v>0</v>
      </c>
      <c r="I2327" s="507">
        <f>SUMIFS(Controle!$R:$R,Controle!$H:$H,produtos_escape2!$A2327,Controle!$Z:$Z,"4")</f>
        <v>0</v>
      </c>
      <c r="J2327" s="507">
        <f>SUMIFS(Controle!$R:$R,Controle!$H:$H,produtos_escape2!$A2327,Controle!$Z:$Z,"5")</f>
        <v>0</v>
      </c>
      <c r="K2327" s="507">
        <f>SUMIFS(Controle!$R:$R,Controle!$H:$H,produtos_escape2!$A2327,Controle!$Z:$Z,"6")</f>
        <v>0</v>
      </c>
      <c r="L2327" s="507">
        <f t="shared" si="79"/>
        <v>0</v>
      </c>
    </row>
    <row r="2328" spans="1:12" s="84" customFormat="1" ht="14.25" customHeight="1" thickBot="1">
      <c r="A2328" s="353" t="s">
        <v>3842</v>
      </c>
      <c r="B2328" s="194" t="s">
        <v>3838</v>
      </c>
      <c r="C2328" s="339">
        <f t="shared" si="80"/>
        <v>50000</v>
      </c>
      <c r="D2328" s="196" t="s">
        <v>636</v>
      </c>
      <c r="E2328" s="197" t="s">
        <v>1687</v>
      </c>
      <c r="F2328" s="507">
        <f>SUMIFS(Controle!$R:$R,Controle!$H:$H,produtos_escape2!$A2328,Controle!$Z:$Z,"1")</f>
        <v>0</v>
      </c>
      <c r="G2328" s="507">
        <f>SUMIFS(Controle!$R:$R,Controle!$H:$H,produtos_escape2!$A2328,Controle!$Z:$Z,"2")</f>
        <v>0</v>
      </c>
      <c r="H2328" s="507">
        <f>SUMIFS(Controle!$R:$R,Controle!$H:$H,produtos_escape2!$A2328,Controle!$Z:$Z,"3")</f>
        <v>0</v>
      </c>
      <c r="I2328" s="507">
        <f>SUMIFS(Controle!$R:$R,Controle!$H:$H,produtos_escape2!$A2328,Controle!$Z:$Z,"4")</f>
        <v>0</v>
      </c>
      <c r="J2328" s="507">
        <f>SUMIFS(Controle!$R:$R,Controle!$H:$H,produtos_escape2!$A2328,Controle!$Z:$Z,"5")</f>
        <v>0</v>
      </c>
      <c r="K2328" s="507">
        <f>SUMIFS(Controle!$R:$R,Controle!$H:$H,produtos_escape2!$A2328,Controle!$Z:$Z,"6")</f>
        <v>0</v>
      </c>
      <c r="L2328" s="507">
        <f t="shared" si="79"/>
        <v>0</v>
      </c>
    </row>
    <row r="2329" spans="1:12" s="84" customFormat="1" ht="14.25" customHeight="1" thickBot="1">
      <c r="A2329" s="333" t="s">
        <v>3844</v>
      </c>
      <c r="B2329" s="194" t="s">
        <v>3839</v>
      </c>
      <c r="C2329" s="339">
        <f t="shared" si="80"/>
        <v>50000</v>
      </c>
      <c r="D2329" s="196" t="s">
        <v>636</v>
      </c>
      <c r="E2329" s="197" t="s">
        <v>1687</v>
      </c>
      <c r="F2329" s="507">
        <f>SUMIFS(Controle!$R:$R,Controle!$H:$H,produtos_escape2!$A2329,Controle!$Z:$Z,"1")</f>
        <v>0</v>
      </c>
      <c r="G2329" s="507">
        <f>SUMIFS(Controle!$R:$R,Controle!$H:$H,produtos_escape2!$A2329,Controle!$Z:$Z,"2")</f>
        <v>0</v>
      </c>
      <c r="H2329" s="507">
        <f>SUMIFS(Controle!$R:$R,Controle!$H:$H,produtos_escape2!$A2329,Controle!$Z:$Z,"3")</f>
        <v>0</v>
      </c>
      <c r="I2329" s="507">
        <f>SUMIFS(Controle!$R:$R,Controle!$H:$H,produtos_escape2!$A2329,Controle!$Z:$Z,"4")</f>
        <v>0</v>
      </c>
      <c r="J2329" s="507">
        <f>SUMIFS(Controle!$R:$R,Controle!$H:$H,produtos_escape2!$A2329,Controle!$Z:$Z,"5")</f>
        <v>0</v>
      </c>
      <c r="K2329" s="507">
        <f>SUMIFS(Controle!$R:$R,Controle!$H:$H,produtos_escape2!$A2329,Controle!$Z:$Z,"6")</f>
        <v>0</v>
      </c>
      <c r="L2329" s="507">
        <f t="shared" si="79"/>
        <v>0</v>
      </c>
    </row>
    <row r="2330" spans="1:12" s="84" customFormat="1" ht="14.25" customHeight="1" thickBot="1">
      <c r="A2330" s="353" t="s">
        <v>3845</v>
      </c>
      <c r="B2330" s="194" t="s">
        <v>3840</v>
      </c>
      <c r="C2330" s="339">
        <f t="shared" si="80"/>
        <v>50000</v>
      </c>
      <c r="D2330" s="196" t="s">
        <v>636</v>
      </c>
      <c r="E2330" s="197" t="s">
        <v>1687</v>
      </c>
      <c r="F2330" s="507">
        <f>SUMIFS(Controle!$R:$R,Controle!$H:$H,produtos_escape2!$A2330,Controle!$Z:$Z,"1")</f>
        <v>0</v>
      </c>
      <c r="G2330" s="507">
        <f>SUMIFS(Controle!$R:$R,Controle!$H:$H,produtos_escape2!$A2330,Controle!$Z:$Z,"2")</f>
        <v>0</v>
      </c>
      <c r="H2330" s="507">
        <f>SUMIFS(Controle!$R:$R,Controle!$H:$H,produtos_escape2!$A2330,Controle!$Z:$Z,"3")</f>
        <v>0</v>
      </c>
      <c r="I2330" s="507">
        <f>SUMIFS(Controle!$R:$R,Controle!$H:$H,produtos_escape2!$A2330,Controle!$Z:$Z,"4")</f>
        <v>0</v>
      </c>
      <c r="J2330" s="507">
        <f>SUMIFS(Controle!$R:$R,Controle!$H:$H,produtos_escape2!$A2330,Controle!$Z:$Z,"5")</f>
        <v>0</v>
      </c>
      <c r="K2330" s="507">
        <f>SUMIFS(Controle!$R:$R,Controle!$H:$H,produtos_escape2!$A2330,Controle!$Z:$Z,"6")</f>
        <v>0</v>
      </c>
      <c r="L2330" s="507">
        <f t="shared" si="79"/>
        <v>0</v>
      </c>
    </row>
    <row r="2331" spans="1:12" s="84" customFormat="1" ht="14.25" customHeight="1" thickBot="1">
      <c r="A2331" s="353" t="s">
        <v>3124</v>
      </c>
      <c r="B2331" s="194" t="s">
        <v>3248</v>
      </c>
      <c r="C2331" s="339">
        <f t="shared" si="80"/>
        <v>50000</v>
      </c>
      <c r="D2331" s="196" t="s">
        <v>636</v>
      </c>
      <c r="E2331" s="197" t="s">
        <v>1739</v>
      </c>
      <c r="F2331" s="507">
        <f>SUMIFS(Controle!$R:$R,Controle!$H:$H,produtos_escape2!$A2331,Controle!$Z:$Z,"1")</f>
        <v>0</v>
      </c>
      <c r="G2331" s="507">
        <f>SUMIFS(Controle!$R:$R,Controle!$H:$H,produtos_escape2!$A2331,Controle!$Z:$Z,"2")</f>
        <v>0</v>
      </c>
      <c r="H2331" s="507">
        <f>SUMIFS(Controle!$R:$R,Controle!$H:$H,produtos_escape2!$A2331,Controle!$Z:$Z,"3")</f>
        <v>0</v>
      </c>
      <c r="I2331" s="507">
        <f>SUMIFS(Controle!$R:$R,Controle!$H:$H,produtos_escape2!$A2331,Controle!$Z:$Z,"4")</f>
        <v>0</v>
      </c>
      <c r="J2331" s="507">
        <f>SUMIFS(Controle!$R:$R,Controle!$H:$H,produtos_escape2!$A2331,Controle!$Z:$Z,"5")</f>
        <v>0</v>
      </c>
      <c r="K2331" s="507">
        <f>SUMIFS(Controle!$R:$R,Controle!$H:$H,produtos_escape2!$A2331,Controle!$Z:$Z,"6")</f>
        <v>0</v>
      </c>
      <c r="L2331" s="507">
        <f t="shared" si="79"/>
        <v>0</v>
      </c>
    </row>
    <row r="2332" spans="1:12" s="84" customFormat="1" ht="14.25" customHeight="1" thickBot="1">
      <c r="A2332" s="353" t="s">
        <v>3125</v>
      </c>
      <c r="B2332" s="194" t="s">
        <v>2788</v>
      </c>
      <c r="C2332" s="339">
        <f t="shared" si="80"/>
        <v>50000</v>
      </c>
      <c r="D2332" s="196" t="s">
        <v>636</v>
      </c>
      <c r="E2332" s="197" t="s">
        <v>1739</v>
      </c>
      <c r="F2332" s="507">
        <f>SUMIFS(Controle!$R:$R,Controle!$H:$H,produtos_escape2!$A2332,Controle!$Z:$Z,"1")</f>
        <v>0</v>
      </c>
      <c r="G2332" s="507">
        <f>SUMIFS(Controle!$R:$R,Controle!$H:$H,produtos_escape2!$A2332,Controle!$Z:$Z,"2")</f>
        <v>0</v>
      </c>
      <c r="H2332" s="507">
        <f>SUMIFS(Controle!$R:$R,Controle!$H:$H,produtos_escape2!$A2332,Controle!$Z:$Z,"3")</f>
        <v>0</v>
      </c>
      <c r="I2332" s="507">
        <f>SUMIFS(Controle!$R:$R,Controle!$H:$H,produtos_escape2!$A2332,Controle!$Z:$Z,"4")</f>
        <v>0</v>
      </c>
      <c r="J2332" s="507">
        <f>SUMIFS(Controle!$R:$R,Controle!$H:$H,produtos_escape2!$A2332,Controle!$Z:$Z,"5")</f>
        <v>0</v>
      </c>
      <c r="K2332" s="507">
        <f>SUMIFS(Controle!$R:$R,Controle!$H:$H,produtos_escape2!$A2332,Controle!$Z:$Z,"6")</f>
        <v>0</v>
      </c>
      <c r="L2332" s="507">
        <f t="shared" si="79"/>
        <v>0</v>
      </c>
    </row>
    <row r="2333" spans="1:12" s="84" customFormat="1" ht="14.25" customHeight="1" thickBot="1">
      <c r="A2333" s="353" t="s">
        <v>3720</v>
      </c>
      <c r="B2333" s="194" t="s">
        <v>3721</v>
      </c>
      <c r="C2333" s="339">
        <f t="shared" si="80"/>
        <v>50000</v>
      </c>
      <c r="D2333" s="196" t="s">
        <v>636</v>
      </c>
      <c r="E2333" s="197" t="s">
        <v>1687</v>
      </c>
      <c r="F2333" s="507">
        <f>SUMIFS(Controle!$R:$R,Controle!$H:$H,produtos_escape2!$A2333,Controle!$Z:$Z,"1")</f>
        <v>0</v>
      </c>
      <c r="G2333" s="507">
        <f>SUMIFS(Controle!$R:$R,Controle!$H:$H,produtos_escape2!$A2333,Controle!$Z:$Z,"2")</f>
        <v>0</v>
      </c>
      <c r="H2333" s="507">
        <f>SUMIFS(Controle!$R:$R,Controle!$H:$H,produtos_escape2!$A2333,Controle!$Z:$Z,"3")</f>
        <v>0</v>
      </c>
      <c r="I2333" s="507">
        <f>SUMIFS(Controle!$R:$R,Controle!$H:$H,produtos_escape2!$A2333,Controle!$Z:$Z,"4")</f>
        <v>0</v>
      </c>
      <c r="J2333" s="507">
        <f>SUMIFS(Controle!$R:$R,Controle!$H:$H,produtos_escape2!$A2333,Controle!$Z:$Z,"5")</f>
        <v>0</v>
      </c>
      <c r="K2333" s="507">
        <f>SUMIFS(Controle!$R:$R,Controle!$H:$H,produtos_escape2!$A2333,Controle!$Z:$Z,"6")</f>
        <v>0</v>
      </c>
      <c r="L2333" s="507">
        <f t="shared" si="79"/>
        <v>0</v>
      </c>
    </row>
    <row r="2334" spans="1:12" s="84" customFormat="1" ht="14.25" customHeight="1" thickBot="1">
      <c r="A2334" s="353" t="s">
        <v>4043</v>
      </c>
      <c r="B2334" s="194" t="s">
        <v>4044</v>
      </c>
      <c r="C2334" s="339">
        <f t="shared" si="80"/>
        <v>50000</v>
      </c>
      <c r="D2334" s="196" t="s">
        <v>636</v>
      </c>
      <c r="E2334" s="197" t="s">
        <v>1687</v>
      </c>
      <c r="F2334" s="507">
        <f>SUMIFS(Controle!$R:$R,Controle!$H:$H,produtos_escape2!$A2334,Controle!$Z:$Z,"1")</f>
        <v>0</v>
      </c>
      <c r="G2334" s="507">
        <f>SUMIFS(Controle!$R:$R,Controle!$H:$H,produtos_escape2!$A2334,Controle!$Z:$Z,"2")</f>
        <v>0</v>
      </c>
      <c r="H2334" s="507">
        <f>SUMIFS(Controle!$R:$R,Controle!$H:$H,produtos_escape2!$A2334,Controle!$Z:$Z,"3")</f>
        <v>0</v>
      </c>
      <c r="I2334" s="507">
        <f>SUMIFS(Controle!$R:$R,Controle!$H:$H,produtos_escape2!$A2334,Controle!$Z:$Z,"4")</f>
        <v>0</v>
      </c>
      <c r="J2334" s="507">
        <f>SUMIFS(Controle!$R:$R,Controle!$H:$H,produtos_escape2!$A2334,Controle!$Z:$Z,"5")</f>
        <v>0</v>
      </c>
      <c r="K2334" s="507">
        <f>SUMIFS(Controle!$R:$R,Controle!$H:$H,produtos_escape2!$A2334,Controle!$Z:$Z,"6")</f>
        <v>0</v>
      </c>
      <c r="L2334" s="507">
        <f t="shared" si="79"/>
        <v>0</v>
      </c>
    </row>
    <row r="2335" spans="1:12" s="84" customFormat="1" ht="14.25" customHeight="1" thickBot="1">
      <c r="A2335" s="353" t="s">
        <v>6674</v>
      </c>
      <c r="B2335" s="194" t="s">
        <v>6675</v>
      </c>
      <c r="C2335" s="339">
        <f t="shared" si="80"/>
        <v>50000</v>
      </c>
      <c r="D2335" s="196" t="s">
        <v>636</v>
      </c>
      <c r="E2335" s="197" t="s">
        <v>1687</v>
      </c>
      <c r="F2335" s="507">
        <f>SUMIFS(Controle!$R:$R,Controle!$H:$H,produtos_escape2!$A2335,Controle!$Z:$Z,"1")</f>
        <v>0</v>
      </c>
      <c r="G2335" s="507">
        <f>SUMIFS(Controle!$R:$R,Controle!$H:$H,produtos_escape2!$A2335,Controle!$Z:$Z,"2")</f>
        <v>0</v>
      </c>
      <c r="H2335" s="507">
        <f>SUMIFS(Controle!$R:$R,Controle!$H:$H,produtos_escape2!$A2335,Controle!$Z:$Z,"3")</f>
        <v>0</v>
      </c>
      <c r="I2335" s="507">
        <f>SUMIFS(Controle!$R:$R,Controle!$H:$H,produtos_escape2!$A2335,Controle!$Z:$Z,"4")</f>
        <v>0</v>
      </c>
      <c r="J2335" s="507">
        <f>SUMIFS(Controle!$R:$R,Controle!$H:$H,produtos_escape2!$A2335,Controle!$Z:$Z,"5")</f>
        <v>0</v>
      </c>
      <c r="K2335" s="507">
        <f>SUMIFS(Controle!$R:$R,Controle!$H:$H,produtos_escape2!$A2335,Controle!$Z:$Z,"6")</f>
        <v>0</v>
      </c>
      <c r="L2335" s="507">
        <f t="shared" si="79"/>
        <v>0</v>
      </c>
    </row>
    <row r="2336" spans="1:12" s="84" customFormat="1" ht="14.25" customHeight="1" thickBot="1">
      <c r="A2336" s="353" t="s">
        <v>3127</v>
      </c>
      <c r="B2336" s="338" t="s">
        <v>3310</v>
      </c>
      <c r="C2336" s="339">
        <f t="shared" si="80"/>
        <v>50000</v>
      </c>
      <c r="D2336" s="196" t="s">
        <v>636</v>
      </c>
      <c r="E2336" s="197" t="s">
        <v>1687</v>
      </c>
      <c r="F2336" s="507">
        <f>SUMIFS(Controle!$R:$R,Controle!$H:$H,produtos_escape2!$A2336,Controle!$Z:$Z,"1")</f>
        <v>0</v>
      </c>
      <c r="G2336" s="507">
        <f>SUMIFS(Controle!$R:$R,Controle!$H:$H,produtos_escape2!$A2336,Controle!$Z:$Z,"2")</f>
        <v>0</v>
      </c>
      <c r="H2336" s="507">
        <f>SUMIFS(Controle!$R:$R,Controle!$H:$H,produtos_escape2!$A2336,Controle!$Z:$Z,"3")</f>
        <v>0</v>
      </c>
      <c r="I2336" s="507">
        <f>SUMIFS(Controle!$R:$R,Controle!$H:$H,produtos_escape2!$A2336,Controle!$Z:$Z,"4")</f>
        <v>0</v>
      </c>
      <c r="J2336" s="507">
        <f>SUMIFS(Controle!$R:$R,Controle!$H:$H,produtos_escape2!$A2336,Controle!$Z:$Z,"5")</f>
        <v>0</v>
      </c>
      <c r="K2336" s="507">
        <f>SUMIFS(Controle!$R:$R,Controle!$H:$H,produtos_escape2!$A2336,Controle!$Z:$Z,"6")</f>
        <v>0</v>
      </c>
      <c r="L2336" s="507">
        <f t="shared" si="79"/>
        <v>0</v>
      </c>
    </row>
    <row r="2337" spans="1:12" s="84" customFormat="1" ht="14.25" customHeight="1" thickBot="1">
      <c r="A2337" s="333" t="s">
        <v>3128</v>
      </c>
      <c r="B2337" s="194" t="s">
        <v>3311</v>
      </c>
      <c r="C2337" s="339">
        <f t="shared" si="80"/>
        <v>50000</v>
      </c>
      <c r="D2337" s="196" t="s">
        <v>636</v>
      </c>
      <c r="E2337" s="197" t="s">
        <v>1687</v>
      </c>
      <c r="F2337" s="507">
        <f>SUMIFS(Controle!$R:$R,Controle!$H:$H,produtos_escape2!$A2337,Controle!$Z:$Z,"1")</f>
        <v>0</v>
      </c>
      <c r="G2337" s="507">
        <f>SUMIFS(Controle!$R:$R,Controle!$H:$H,produtos_escape2!$A2337,Controle!$Z:$Z,"2")</f>
        <v>0</v>
      </c>
      <c r="H2337" s="507">
        <f>SUMIFS(Controle!$R:$R,Controle!$H:$H,produtos_escape2!$A2337,Controle!$Z:$Z,"3")</f>
        <v>0</v>
      </c>
      <c r="I2337" s="507">
        <f>SUMIFS(Controle!$R:$R,Controle!$H:$H,produtos_escape2!$A2337,Controle!$Z:$Z,"4")</f>
        <v>0</v>
      </c>
      <c r="J2337" s="507">
        <f>SUMIFS(Controle!$R:$R,Controle!$H:$H,produtos_escape2!$A2337,Controle!$Z:$Z,"5")</f>
        <v>0</v>
      </c>
      <c r="K2337" s="507">
        <f>SUMIFS(Controle!$R:$R,Controle!$H:$H,produtos_escape2!$A2337,Controle!$Z:$Z,"6")</f>
        <v>0</v>
      </c>
      <c r="L2337" s="507">
        <f t="shared" si="79"/>
        <v>0</v>
      </c>
    </row>
    <row r="2338" spans="1:12" s="84" customFormat="1" ht="14.25" customHeight="1" thickBot="1">
      <c r="A2338" s="353" t="s">
        <v>3129</v>
      </c>
      <c r="B2338" s="194" t="s">
        <v>3312</v>
      </c>
      <c r="C2338" s="339">
        <f t="shared" si="80"/>
        <v>50000</v>
      </c>
      <c r="D2338" s="196" t="s">
        <v>636</v>
      </c>
      <c r="E2338" s="197" t="s">
        <v>1687</v>
      </c>
      <c r="F2338" s="507">
        <f>SUMIFS(Controle!$R:$R,Controle!$H:$H,produtos_escape2!$A2338,Controle!$Z:$Z,"1")</f>
        <v>0</v>
      </c>
      <c r="G2338" s="507">
        <f>SUMIFS(Controle!$R:$R,Controle!$H:$H,produtos_escape2!$A2338,Controle!$Z:$Z,"2")</f>
        <v>0</v>
      </c>
      <c r="H2338" s="507">
        <f>SUMIFS(Controle!$R:$R,Controle!$H:$H,produtos_escape2!$A2338,Controle!$Z:$Z,"3")</f>
        <v>0</v>
      </c>
      <c r="I2338" s="507">
        <f>SUMIFS(Controle!$R:$R,Controle!$H:$H,produtos_escape2!$A2338,Controle!$Z:$Z,"4")</f>
        <v>0</v>
      </c>
      <c r="J2338" s="507">
        <f>SUMIFS(Controle!$R:$R,Controle!$H:$H,produtos_escape2!$A2338,Controle!$Z:$Z,"5")</f>
        <v>0</v>
      </c>
      <c r="K2338" s="507">
        <f>SUMIFS(Controle!$R:$R,Controle!$H:$H,produtos_escape2!$A2338,Controle!$Z:$Z,"6")</f>
        <v>0</v>
      </c>
      <c r="L2338" s="507">
        <f t="shared" si="79"/>
        <v>0</v>
      </c>
    </row>
    <row r="2339" spans="1:12" s="84" customFormat="1" ht="14.25" customHeight="1" thickBot="1">
      <c r="A2339" s="353" t="s">
        <v>3130</v>
      </c>
      <c r="B2339" s="194" t="s">
        <v>3313</v>
      </c>
      <c r="C2339" s="339">
        <f t="shared" si="80"/>
        <v>50000</v>
      </c>
      <c r="D2339" s="196" t="s">
        <v>636</v>
      </c>
      <c r="E2339" s="197" t="s">
        <v>1687</v>
      </c>
      <c r="F2339" s="507">
        <f>SUMIFS(Controle!$R:$R,Controle!$H:$H,produtos_escape2!$A2339,Controle!$Z:$Z,"1")</f>
        <v>0</v>
      </c>
      <c r="G2339" s="507">
        <f>SUMIFS(Controle!$R:$R,Controle!$H:$H,produtos_escape2!$A2339,Controle!$Z:$Z,"2")</f>
        <v>0</v>
      </c>
      <c r="H2339" s="507">
        <f>SUMIFS(Controle!$R:$R,Controle!$H:$H,produtos_escape2!$A2339,Controle!$Z:$Z,"3")</f>
        <v>0</v>
      </c>
      <c r="I2339" s="507">
        <f>SUMIFS(Controle!$R:$R,Controle!$H:$H,produtos_escape2!$A2339,Controle!$Z:$Z,"4")</f>
        <v>0</v>
      </c>
      <c r="J2339" s="507">
        <f>SUMIFS(Controle!$R:$R,Controle!$H:$H,produtos_escape2!$A2339,Controle!$Z:$Z,"5")</f>
        <v>0</v>
      </c>
      <c r="K2339" s="507">
        <f>SUMIFS(Controle!$R:$R,Controle!$H:$H,produtos_escape2!$A2339,Controle!$Z:$Z,"6")</f>
        <v>0</v>
      </c>
      <c r="L2339" s="507">
        <f t="shared" si="79"/>
        <v>0</v>
      </c>
    </row>
    <row r="2340" spans="1:12" s="84" customFormat="1" ht="14.25" customHeight="1" thickBot="1">
      <c r="A2340" s="353" t="s">
        <v>3131</v>
      </c>
      <c r="B2340" s="194" t="s">
        <v>3314</v>
      </c>
      <c r="C2340" s="339">
        <f t="shared" si="80"/>
        <v>50000</v>
      </c>
      <c r="D2340" s="196" t="s">
        <v>636</v>
      </c>
      <c r="E2340" s="197" t="s">
        <v>1687</v>
      </c>
      <c r="F2340" s="507">
        <f>SUMIFS(Controle!$R:$R,Controle!$H:$H,produtos_escape2!$A2340,Controle!$Z:$Z,"1")</f>
        <v>0</v>
      </c>
      <c r="G2340" s="507">
        <f>SUMIFS(Controle!$R:$R,Controle!$H:$H,produtos_escape2!$A2340,Controle!$Z:$Z,"2")</f>
        <v>0</v>
      </c>
      <c r="H2340" s="507">
        <f>SUMIFS(Controle!$R:$R,Controle!$H:$H,produtos_escape2!$A2340,Controle!$Z:$Z,"3")</f>
        <v>0</v>
      </c>
      <c r="I2340" s="507">
        <f>SUMIFS(Controle!$R:$R,Controle!$H:$H,produtos_escape2!$A2340,Controle!$Z:$Z,"4")</f>
        <v>0</v>
      </c>
      <c r="J2340" s="507">
        <f>SUMIFS(Controle!$R:$R,Controle!$H:$H,produtos_escape2!$A2340,Controle!$Z:$Z,"5")</f>
        <v>0</v>
      </c>
      <c r="K2340" s="507">
        <f>SUMIFS(Controle!$R:$R,Controle!$H:$H,produtos_escape2!$A2340,Controle!$Z:$Z,"6")</f>
        <v>0</v>
      </c>
      <c r="L2340" s="507">
        <f t="shared" si="79"/>
        <v>0</v>
      </c>
    </row>
    <row r="2341" spans="1:12" s="84" customFormat="1" ht="14.25" customHeight="1" thickBot="1">
      <c r="A2341" s="353" t="s">
        <v>3132</v>
      </c>
      <c r="B2341" s="194" t="s">
        <v>9528</v>
      </c>
      <c r="C2341" s="339">
        <f t="shared" si="80"/>
        <v>49600</v>
      </c>
      <c r="D2341" s="196" t="s">
        <v>636</v>
      </c>
      <c r="E2341" s="197" t="s">
        <v>1687</v>
      </c>
      <c r="F2341" s="507">
        <f>SUMIFS(Controle!$R:$R,Controle!$H:$H,produtos_escape2!$A2341,Controle!$Z:$Z,"1")</f>
        <v>0</v>
      </c>
      <c r="G2341" s="507">
        <f>SUMIFS(Controle!$R:$R,Controle!$H:$H,produtos_escape2!$A2341,Controle!$Z:$Z,"2")</f>
        <v>0</v>
      </c>
      <c r="H2341" s="507">
        <f>SUMIFS(Controle!$R:$R,Controle!$H:$H,produtos_escape2!$A2341,Controle!$Z:$Z,"3")</f>
        <v>0</v>
      </c>
      <c r="I2341" s="507">
        <f>SUMIFS(Controle!$R:$R,Controle!$H:$H,produtos_escape2!$A2341,Controle!$Z:$Z,"4")</f>
        <v>0</v>
      </c>
      <c r="J2341" s="507">
        <f>SUMIFS(Controle!$R:$R,Controle!$H:$H,produtos_escape2!$A2341,Controle!$Z:$Z,"5")</f>
        <v>0</v>
      </c>
      <c r="K2341" s="507">
        <f>SUMIFS(Controle!$R:$R,Controle!$H:$H,produtos_escape2!$A2341,Controle!$Z:$Z,"6")</f>
        <v>400</v>
      </c>
      <c r="L2341" s="507">
        <f t="shared" si="79"/>
        <v>400</v>
      </c>
    </row>
    <row r="2342" spans="1:12" s="84" customFormat="1" ht="14.25" customHeight="1" thickBot="1">
      <c r="A2342" s="353" t="s">
        <v>3133</v>
      </c>
      <c r="B2342" s="194" t="s">
        <v>3315</v>
      </c>
      <c r="C2342" s="339">
        <f t="shared" si="80"/>
        <v>50000</v>
      </c>
      <c r="D2342" s="196" t="s">
        <v>636</v>
      </c>
      <c r="E2342" s="197" t="s">
        <v>1687</v>
      </c>
      <c r="F2342" s="507">
        <f>SUMIFS(Controle!$R:$R,Controle!$H:$H,produtos_escape2!$A2342,Controle!$Z:$Z,"1")</f>
        <v>0</v>
      </c>
      <c r="G2342" s="507">
        <f>SUMIFS(Controle!$R:$R,Controle!$H:$H,produtos_escape2!$A2342,Controle!$Z:$Z,"2")</f>
        <v>0</v>
      </c>
      <c r="H2342" s="507">
        <f>SUMIFS(Controle!$R:$R,Controle!$H:$H,produtos_escape2!$A2342,Controle!$Z:$Z,"3")</f>
        <v>0</v>
      </c>
      <c r="I2342" s="507">
        <f>SUMIFS(Controle!$R:$R,Controle!$H:$H,produtos_escape2!$A2342,Controle!$Z:$Z,"4")</f>
        <v>0</v>
      </c>
      <c r="J2342" s="507">
        <f>SUMIFS(Controle!$R:$R,Controle!$H:$H,produtos_escape2!$A2342,Controle!$Z:$Z,"5")</f>
        <v>0</v>
      </c>
      <c r="K2342" s="507">
        <f>SUMIFS(Controle!$R:$R,Controle!$H:$H,produtos_escape2!$A2342,Controle!$Z:$Z,"6")</f>
        <v>0</v>
      </c>
      <c r="L2342" s="507">
        <f t="shared" si="79"/>
        <v>0</v>
      </c>
    </row>
    <row r="2343" spans="1:12" s="84" customFormat="1" ht="14.25" customHeight="1" thickBot="1">
      <c r="A2343" s="353" t="s">
        <v>3795</v>
      </c>
      <c r="B2343" s="194" t="s">
        <v>3892</v>
      </c>
      <c r="C2343" s="339">
        <f t="shared" si="80"/>
        <v>50000</v>
      </c>
      <c r="D2343" s="191" t="s">
        <v>636</v>
      </c>
      <c r="E2343" s="172" t="s">
        <v>1687</v>
      </c>
      <c r="F2343" s="507">
        <f>SUMIFS(Controle!$R:$R,Controle!$H:$H,produtos_escape2!$A2343,Controle!$Z:$Z,"1")</f>
        <v>0</v>
      </c>
      <c r="G2343" s="507">
        <f>SUMIFS(Controle!$R:$R,Controle!$H:$H,produtos_escape2!$A2343,Controle!$Z:$Z,"2")</f>
        <v>0</v>
      </c>
      <c r="H2343" s="507">
        <f>SUMIFS(Controle!$R:$R,Controle!$H:$H,produtos_escape2!$A2343,Controle!$Z:$Z,"3")</f>
        <v>0</v>
      </c>
      <c r="I2343" s="507">
        <f>SUMIFS(Controle!$R:$R,Controle!$H:$H,produtos_escape2!$A2343,Controle!$Z:$Z,"4")</f>
        <v>0</v>
      </c>
      <c r="J2343" s="507">
        <f>SUMIFS(Controle!$R:$R,Controle!$H:$H,produtos_escape2!$A2343,Controle!$Z:$Z,"5")</f>
        <v>0</v>
      </c>
      <c r="K2343" s="507">
        <f>SUMIFS(Controle!$R:$R,Controle!$H:$H,produtos_escape2!$A2343,Controle!$Z:$Z,"6")</f>
        <v>0</v>
      </c>
      <c r="L2343" s="507">
        <f t="shared" si="79"/>
        <v>0</v>
      </c>
    </row>
    <row r="2344" spans="1:12" s="84" customFormat="1" ht="14.25" customHeight="1" thickBot="1">
      <c r="A2344" s="353" t="s">
        <v>3986</v>
      </c>
      <c r="B2344" s="338" t="s">
        <v>3987</v>
      </c>
      <c r="C2344" s="339">
        <f t="shared" si="80"/>
        <v>50000</v>
      </c>
      <c r="D2344" s="191" t="s">
        <v>636</v>
      </c>
      <c r="E2344" s="172" t="s">
        <v>1687</v>
      </c>
      <c r="F2344" s="507">
        <f>SUMIFS(Controle!$R:$R,Controle!$H:$H,produtos_escape2!$A2344,Controle!$Z:$Z,"1")</f>
        <v>0</v>
      </c>
      <c r="G2344" s="507">
        <f>SUMIFS(Controle!$R:$R,Controle!$H:$H,produtos_escape2!$A2344,Controle!$Z:$Z,"2")</f>
        <v>0</v>
      </c>
      <c r="H2344" s="507">
        <f>SUMIFS(Controle!$R:$R,Controle!$H:$H,produtos_escape2!$A2344,Controle!$Z:$Z,"3")</f>
        <v>0</v>
      </c>
      <c r="I2344" s="507">
        <f>SUMIFS(Controle!$R:$R,Controle!$H:$H,produtos_escape2!$A2344,Controle!$Z:$Z,"4")</f>
        <v>0</v>
      </c>
      <c r="J2344" s="507">
        <f>SUMIFS(Controle!$R:$R,Controle!$H:$H,produtos_escape2!$A2344,Controle!$Z:$Z,"5")</f>
        <v>0</v>
      </c>
      <c r="K2344" s="507">
        <f>SUMIFS(Controle!$R:$R,Controle!$H:$H,produtos_escape2!$A2344,Controle!$Z:$Z,"6")</f>
        <v>0</v>
      </c>
      <c r="L2344" s="507">
        <f t="shared" si="79"/>
        <v>0</v>
      </c>
    </row>
    <row r="2345" spans="1:12" s="84" customFormat="1" ht="14.25" customHeight="1" thickBot="1">
      <c r="A2345" s="353" t="s">
        <v>6848</v>
      </c>
      <c r="B2345" s="338" t="s">
        <v>6849</v>
      </c>
      <c r="C2345" s="339">
        <f t="shared" si="80"/>
        <v>50000</v>
      </c>
      <c r="D2345" s="191" t="s">
        <v>636</v>
      </c>
      <c r="E2345" s="172" t="s">
        <v>1687</v>
      </c>
      <c r="F2345" s="507">
        <f>SUMIFS(Controle!$R:$R,Controle!$H:$H,produtos_escape2!$A2345,Controle!$Z:$Z,"1")</f>
        <v>0</v>
      </c>
      <c r="G2345" s="507">
        <f>SUMIFS(Controle!$R:$R,Controle!$H:$H,produtos_escape2!$A2345,Controle!$Z:$Z,"2")</f>
        <v>0</v>
      </c>
      <c r="H2345" s="507">
        <f>SUMIFS(Controle!$R:$R,Controle!$H:$H,produtos_escape2!$A2345,Controle!$Z:$Z,"3")</f>
        <v>0</v>
      </c>
      <c r="I2345" s="507">
        <f>SUMIFS(Controle!$R:$R,Controle!$H:$H,produtos_escape2!$A2345,Controle!$Z:$Z,"4")</f>
        <v>0</v>
      </c>
      <c r="J2345" s="507">
        <f>SUMIFS(Controle!$R:$R,Controle!$H:$H,produtos_escape2!$A2345,Controle!$Z:$Z,"5")</f>
        <v>0</v>
      </c>
      <c r="K2345" s="507">
        <f>SUMIFS(Controle!$R:$R,Controle!$H:$H,produtos_escape2!$A2345,Controle!$Z:$Z,"6")</f>
        <v>0</v>
      </c>
      <c r="L2345" s="507">
        <f t="shared" si="79"/>
        <v>0</v>
      </c>
    </row>
    <row r="2346" spans="1:12" s="84" customFormat="1" ht="14.25" customHeight="1" thickBot="1">
      <c r="A2346" s="353" t="s">
        <v>7271</v>
      </c>
      <c r="B2346" s="338" t="s">
        <v>7272</v>
      </c>
      <c r="C2346" s="339">
        <f t="shared" si="80"/>
        <v>50000</v>
      </c>
      <c r="D2346" s="191" t="s">
        <v>636</v>
      </c>
      <c r="E2346" s="172" t="s">
        <v>1687</v>
      </c>
      <c r="F2346" s="507">
        <f>SUMIFS(Controle!$R:$R,Controle!$H:$H,produtos_escape2!$A2346,Controle!$Z:$Z,"1")</f>
        <v>0</v>
      </c>
      <c r="G2346" s="507">
        <f>SUMIFS(Controle!$R:$R,Controle!$H:$H,produtos_escape2!$A2346,Controle!$Z:$Z,"2")</f>
        <v>0</v>
      </c>
      <c r="H2346" s="507">
        <f>SUMIFS(Controle!$R:$R,Controle!$H:$H,produtos_escape2!$A2346,Controle!$Z:$Z,"3")</f>
        <v>0</v>
      </c>
      <c r="I2346" s="507">
        <f>SUMIFS(Controle!$R:$R,Controle!$H:$H,produtos_escape2!$A2346,Controle!$Z:$Z,"4")</f>
        <v>0</v>
      </c>
      <c r="J2346" s="507">
        <f>SUMIFS(Controle!$R:$R,Controle!$H:$H,produtos_escape2!$A2346,Controle!$Z:$Z,"5")</f>
        <v>0</v>
      </c>
      <c r="K2346" s="507">
        <f>SUMIFS(Controle!$R:$R,Controle!$H:$H,produtos_escape2!$A2346,Controle!$Z:$Z,"6")</f>
        <v>0</v>
      </c>
      <c r="L2346" s="507">
        <f t="shared" si="79"/>
        <v>0</v>
      </c>
    </row>
    <row r="2347" spans="1:12" s="84" customFormat="1" ht="14.25" customHeight="1" thickBot="1">
      <c r="A2347" s="353" t="s">
        <v>9524</v>
      </c>
      <c r="B2347" s="338" t="s">
        <v>9526</v>
      </c>
      <c r="C2347" s="339">
        <f t="shared" si="80"/>
        <v>45936.05</v>
      </c>
      <c r="D2347" s="191" t="s">
        <v>636</v>
      </c>
      <c r="E2347" s="172" t="s">
        <v>1687</v>
      </c>
      <c r="F2347" s="507">
        <f>SUMIFS(Controle!$R:$R,Controle!$H:$H,produtos_escape2!$A2347,Controle!$Z:$Z,"1")</f>
        <v>0</v>
      </c>
      <c r="G2347" s="507">
        <f>SUMIFS(Controle!$R:$R,Controle!$H:$H,produtos_escape2!$A2347,Controle!$Z:$Z,"2")</f>
        <v>0</v>
      </c>
      <c r="H2347" s="507">
        <f>SUMIFS(Controle!$R:$R,Controle!$H:$H,produtos_escape2!$A2347,Controle!$Z:$Z,"3")</f>
        <v>0</v>
      </c>
      <c r="I2347" s="507">
        <f>SUMIFS(Controle!$R:$R,Controle!$H:$H,produtos_escape2!$A2347,Controle!$Z:$Z,"4")</f>
        <v>0</v>
      </c>
      <c r="J2347" s="507">
        <f>SUMIFS(Controle!$R:$R,Controle!$H:$H,produtos_escape2!$A2347,Controle!$Z:$Z,"5")</f>
        <v>0</v>
      </c>
      <c r="K2347" s="507">
        <f>SUMIFS(Controle!$R:$R,Controle!$H:$H,produtos_escape2!$A2347,Controle!$Z:$Z,"6")</f>
        <v>4063.95</v>
      </c>
      <c r="L2347" s="507">
        <f t="shared" si="79"/>
        <v>4063.95</v>
      </c>
    </row>
    <row r="2348" spans="1:12" s="84" customFormat="1" ht="14.25" customHeight="1" thickBot="1">
      <c r="A2348" s="353" t="s">
        <v>9525</v>
      </c>
      <c r="B2348" s="338" t="s">
        <v>9527</v>
      </c>
      <c r="C2348" s="339">
        <f t="shared" si="80"/>
        <v>49600</v>
      </c>
      <c r="D2348" s="191" t="s">
        <v>636</v>
      </c>
      <c r="E2348" s="172" t="s">
        <v>1687</v>
      </c>
      <c r="F2348" s="507">
        <f>SUMIFS(Controle!$R:$R,Controle!$H:$H,produtos_escape2!$A2348,Controle!$Z:$Z,"1")</f>
        <v>0</v>
      </c>
      <c r="G2348" s="507">
        <f>SUMIFS(Controle!$R:$R,Controle!$H:$H,produtos_escape2!$A2348,Controle!$Z:$Z,"2")</f>
        <v>0</v>
      </c>
      <c r="H2348" s="507">
        <f>SUMIFS(Controle!$R:$R,Controle!$H:$H,produtos_escape2!$A2348,Controle!$Z:$Z,"3")</f>
        <v>0</v>
      </c>
      <c r="I2348" s="507">
        <f>SUMIFS(Controle!$R:$R,Controle!$H:$H,produtos_escape2!$A2348,Controle!$Z:$Z,"4")</f>
        <v>0</v>
      </c>
      <c r="J2348" s="507">
        <f>SUMIFS(Controle!$R:$R,Controle!$H:$H,produtos_escape2!$A2348,Controle!$Z:$Z,"5")</f>
        <v>0</v>
      </c>
      <c r="K2348" s="507">
        <f>SUMIFS(Controle!$R:$R,Controle!$H:$H,produtos_escape2!$A2348,Controle!$Z:$Z,"6")</f>
        <v>400</v>
      </c>
      <c r="L2348" s="507">
        <f t="shared" si="79"/>
        <v>400</v>
      </c>
    </row>
    <row r="2349" spans="1:12" s="84" customFormat="1" ht="14.25" customHeight="1" thickBot="1">
      <c r="A2349" s="333" t="s">
        <v>3480</v>
      </c>
      <c r="B2349" s="194" t="s">
        <v>3485</v>
      </c>
      <c r="C2349" s="339">
        <f t="shared" si="80"/>
        <v>50000</v>
      </c>
      <c r="D2349" s="191" t="s">
        <v>636</v>
      </c>
      <c r="E2349" s="172" t="s">
        <v>1739</v>
      </c>
      <c r="F2349" s="507">
        <f>SUMIFS(Controle!$R:$R,Controle!$H:$H,produtos_escape2!$A2349,Controle!$Z:$Z,"1")</f>
        <v>0</v>
      </c>
      <c r="G2349" s="507">
        <f>SUMIFS(Controle!$R:$R,Controle!$H:$H,produtos_escape2!$A2349,Controle!$Z:$Z,"2")</f>
        <v>0</v>
      </c>
      <c r="H2349" s="507">
        <f>SUMIFS(Controle!$R:$R,Controle!$H:$H,produtos_escape2!$A2349,Controle!$Z:$Z,"3")</f>
        <v>0</v>
      </c>
      <c r="I2349" s="507">
        <f>SUMIFS(Controle!$R:$R,Controle!$H:$H,produtos_escape2!$A2349,Controle!$Z:$Z,"4")</f>
        <v>0</v>
      </c>
      <c r="J2349" s="507">
        <f>SUMIFS(Controle!$R:$R,Controle!$H:$H,produtos_escape2!$A2349,Controle!$Z:$Z,"5")</f>
        <v>0</v>
      </c>
      <c r="K2349" s="507">
        <f>SUMIFS(Controle!$R:$R,Controle!$H:$H,produtos_escape2!$A2349,Controle!$Z:$Z,"6")</f>
        <v>0</v>
      </c>
      <c r="L2349" s="507">
        <f t="shared" si="79"/>
        <v>0</v>
      </c>
    </row>
    <row r="2350" spans="1:12" s="84" customFormat="1" ht="14.25" customHeight="1" thickBot="1">
      <c r="A2350" s="353" t="s">
        <v>3481</v>
      </c>
      <c r="B2350" s="194" t="s">
        <v>3486</v>
      </c>
      <c r="C2350" s="339">
        <f t="shared" si="80"/>
        <v>50000</v>
      </c>
      <c r="D2350" s="191" t="s">
        <v>636</v>
      </c>
      <c r="E2350" s="172" t="s">
        <v>1739</v>
      </c>
      <c r="F2350" s="507">
        <f>SUMIFS(Controle!$R:$R,Controle!$H:$H,produtos_escape2!$A2350,Controle!$Z:$Z,"1")</f>
        <v>0</v>
      </c>
      <c r="G2350" s="507">
        <f>SUMIFS(Controle!$R:$R,Controle!$H:$H,produtos_escape2!$A2350,Controle!$Z:$Z,"2")</f>
        <v>0</v>
      </c>
      <c r="H2350" s="507">
        <f>SUMIFS(Controle!$R:$R,Controle!$H:$H,produtos_escape2!$A2350,Controle!$Z:$Z,"3")</f>
        <v>0</v>
      </c>
      <c r="I2350" s="507">
        <f>SUMIFS(Controle!$R:$R,Controle!$H:$H,produtos_escape2!$A2350,Controle!$Z:$Z,"4")</f>
        <v>0</v>
      </c>
      <c r="J2350" s="507">
        <f>SUMIFS(Controle!$R:$R,Controle!$H:$H,produtos_escape2!$A2350,Controle!$Z:$Z,"5")</f>
        <v>0</v>
      </c>
      <c r="K2350" s="507">
        <f>SUMIFS(Controle!$R:$R,Controle!$H:$H,produtos_escape2!$A2350,Controle!$Z:$Z,"6")</f>
        <v>0</v>
      </c>
      <c r="L2350" s="507">
        <f t="shared" si="79"/>
        <v>0</v>
      </c>
    </row>
    <row r="2351" spans="1:12" s="84" customFormat="1" ht="14.25" customHeight="1" thickBot="1">
      <c r="A2351" s="353" t="s">
        <v>3482</v>
      </c>
      <c r="B2351" s="194" t="s">
        <v>3487</v>
      </c>
      <c r="C2351" s="339">
        <f t="shared" si="80"/>
        <v>50000</v>
      </c>
      <c r="D2351" s="191" t="s">
        <v>636</v>
      </c>
      <c r="E2351" s="172" t="s">
        <v>1739</v>
      </c>
      <c r="F2351" s="507">
        <f>SUMIFS(Controle!$R:$R,Controle!$H:$H,produtos_escape2!$A2351,Controle!$Z:$Z,"1")</f>
        <v>0</v>
      </c>
      <c r="G2351" s="507">
        <f>SUMIFS(Controle!$R:$R,Controle!$H:$H,produtos_escape2!$A2351,Controle!$Z:$Z,"2")</f>
        <v>0</v>
      </c>
      <c r="H2351" s="507">
        <f>SUMIFS(Controle!$R:$R,Controle!$H:$H,produtos_escape2!$A2351,Controle!$Z:$Z,"3")</f>
        <v>0</v>
      </c>
      <c r="I2351" s="507">
        <f>SUMIFS(Controle!$R:$R,Controle!$H:$H,produtos_escape2!$A2351,Controle!$Z:$Z,"4")</f>
        <v>0</v>
      </c>
      <c r="J2351" s="507">
        <f>SUMIFS(Controle!$R:$R,Controle!$H:$H,produtos_escape2!$A2351,Controle!$Z:$Z,"5")</f>
        <v>0</v>
      </c>
      <c r="K2351" s="507">
        <f>SUMIFS(Controle!$R:$R,Controle!$H:$H,produtos_escape2!$A2351,Controle!$Z:$Z,"6")</f>
        <v>0</v>
      </c>
      <c r="L2351" s="507">
        <f t="shared" si="79"/>
        <v>0</v>
      </c>
    </row>
    <row r="2352" spans="1:12" s="84" customFormat="1" ht="14.25" customHeight="1" thickBot="1">
      <c r="A2352" s="353" t="s">
        <v>3483</v>
      </c>
      <c r="B2352" s="194" t="s">
        <v>3488</v>
      </c>
      <c r="C2352" s="339">
        <f t="shared" si="80"/>
        <v>50000</v>
      </c>
      <c r="D2352" s="191" t="s">
        <v>636</v>
      </c>
      <c r="E2352" s="172" t="s">
        <v>1739</v>
      </c>
      <c r="F2352" s="507">
        <f>SUMIFS(Controle!$R:$R,Controle!$H:$H,produtos_escape2!$A2352,Controle!$Z:$Z,"1")</f>
        <v>0</v>
      </c>
      <c r="G2352" s="507">
        <f>SUMIFS(Controle!$R:$R,Controle!$H:$H,produtos_escape2!$A2352,Controle!$Z:$Z,"2")</f>
        <v>0</v>
      </c>
      <c r="H2352" s="507">
        <f>SUMIFS(Controle!$R:$R,Controle!$H:$H,produtos_escape2!$A2352,Controle!$Z:$Z,"3")</f>
        <v>0</v>
      </c>
      <c r="I2352" s="507">
        <f>SUMIFS(Controle!$R:$R,Controle!$H:$H,produtos_escape2!$A2352,Controle!$Z:$Z,"4")</f>
        <v>0</v>
      </c>
      <c r="J2352" s="507">
        <f>SUMIFS(Controle!$R:$R,Controle!$H:$H,produtos_escape2!$A2352,Controle!$Z:$Z,"5")</f>
        <v>0</v>
      </c>
      <c r="K2352" s="507">
        <f>SUMIFS(Controle!$R:$R,Controle!$H:$H,produtos_escape2!$A2352,Controle!$Z:$Z,"6")</f>
        <v>0</v>
      </c>
      <c r="L2352" s="507">
        <f t="shared" si="79"/>
        <v>0</v>
      </c>
    </row>
    <row r="2353" spans="1:12" s="84" customFormat="1" ht="14.25" customHeight="1" thickBot="1">
      <c r="A2353" s="353" t="s">
        <v>3484</v>
      </c>
      <c r="B2353" s="194" t="s">
        <v>3489</v>
      </c>
      <c r="C2353" s="339">
        <f t="shared" si="80"/>
        <v>50000</v>
      </c>
      <c r="D2353" s="191" t="s">
        <v>636</v>
      </c>
      <c r="E2353" s="172" t="s">
        <v>1739</v>
      </c>
      <c r="F2353" s="507">
        <f>SUMIFS(Controle!$R:$R,Controle!$H:$H,produtos_escape2!$A2353,Controle!$Z:$Z,"1")</f>
        <v>0</v>
      </c>
      <c r="G2353" s="507">
        <f>SUMIFS(Controle!$R:$R,Controle!$H:$H,produtos_escape2!$A2353,Controle!$Z:$Z,"2")</f>
        <v>0</v>
      </c>
      <c r="H2353" s="507">
        <f>SUMIFS(Controle!$R:$R,Controle!$H:$H,produtos_escape2!$A2353,Controle!$Z:$Z,"3")</f>
        <v>0</v>
      </c>
      <c r="I2353" s="507">
        <f>SUMIFS(Controle!$R:$R,Controle!$H:$H,produtos_escape2!$A2353,Controle!$Z:$Z,"4")</f>
        <v>0</v>
      </c>
      <c r="J2353" s="507">
        <f>SUMIFS(Controle!$R:$R,Controle!$H:$H,produtos_escape2!$A2353,Controle!$Z:$Z,"5")</f>
        <v>0</v>
      </c>
      <c r="K2353" s="507">
        <f>SUMIFS(Controle!$R:$R,Controle!$H:$H,produtos_escape2!$A2353,Controle!$Z:$Z,"6")</f>
        <v>0</v>
      </c>
      <c r="L2353" s="507">
        <f t="shared" si="79"/>
        <v>0</v>
      </c>
    </row>
    <row r="2354" spans="1:12" s="84" customFormat="1" ht="14.25" customHeight="1" thickBot="1">
      <c r="A2354" s="353" t="s">
        <v>3126</v>
      </c>
      <c r="B2354" s="194" t="s">
        <v>3249</v>
      </c>
      <c r="C2354" s="339">
        <f t="shared" si="80"/>
        <v>50000</v>
      </c>
      <c r="D2354" s="191" t="s">
        <v>636</v>
      </c>
      <c r="E2354" s="172" t="s">
        <v>1687</v>
      </c>
      <c r="F2354" s="507">
        <f>SUMIFS(Controle!$R:$R,Controle!$H:$H,produtos_escape2!$A2354,Controle!$Z:$Z,"1")</f>
        <v>0</v>
      </c>
      <c r="G2354" s="507">
        <f>SUMIFS(Controle!$R:$R,Controle!$H:$H,produtos_escape2!$A2354,Controle!$Z:$Z,"2")</f>
        <v>0</v>
      </c>
      <c r="H2354" s="507">
        <f>SUMIFS(Controle!$R:$R,Controle!$H:$H,produtos_escape2!$A2354,Controle!$Z:$Z,"3")</f>
        <v>0</v>
      </c>
      <c r="I2354" s="507">
        <f>SUMIFS(Controle!$R:$R,Controle!$H:$H,produtos_escape2!$A2354,Controle!$Z:$Z,"4")</f>
        <v>0</v>
      </c>
      <c r="J2354" s="507">
        <f>SUMIFS(Controle!$R:$R,Controle!$H:$H,produtos_escape2!$A2354,Controle!$Z:$Z,"5")</f>
        <v>0</v>
      </c>
      <c r="K2354" s="507">
        <f>SUMIFS(Controle!$R:$R,Controle!$H:$H,produtos_escape2!$A2354,Controle!$Z:$Z,"6")</f>
        <v>0</v>
      </c>
      <c r="L2354" s="507">
        <f t="shared" si="79"/>
        <v>0</v>
      </c>
    </row>
    <row r="2355" spans="1:12" s="84" customFormat="1" ht="14.25" customHeight="1" thickBot="1">
      <c r="A2355" s="353" t="s">
        <v>3134</v>
      </c>
      <c r="B2355" s="194" t="s">
        <v>3250</v>
      </c>
      <c r="C2355" s="339">
        <f t="shared" si="80"/>
        <v>50000</v>
      </c>
      <c r="D2355" s="196" t="s">
        <v>636</v>
      </c>
      <c r="E2355" s="172" t="s">
        <v>1687</v>
      </c>
      <c r="F2355" s="507">
        <f>SUMIFS(Controle!$R:$R,Controle!$H:$H,produtos_escape2!$A2355,Controle!$Z:$Z,"1")</f>
        <v>0</v>
      </c>
      <c r="G2355" s="507">
        <f>SUMIFS(Controle!$R:$R,Controle!$H:$H,produtos_escape2!$A2355,Controle!$Z:$Z,"2")</f>
        <v>0</v>
      </c>
      <c r="H2355" s="507">
        <f>SUMIFS(Controle!$R:$R,Controle!$H:$H,produtos_escape2!$A2355,Controle!$Z:$Z,"3")</f>
        <v>0</v>
      </c>
      <c r="I2355" s="507">
        <f>SUMIFS(Controle!$R:$R,Controle!$H:$H,produtos_escape2!$A2355,Controle!$Z:$Z,"4")</f>
        <v>0</v>
      </c>
      <c r="J2355" s="507">
        <f>SUMIFS(Controle!$R:$R,Controle!$H:$H,produtos_escape2!$A2355,Controle!$Z:$Z,"5")</f>
        <v>0</v>
      </c>
      <c r="K2355" s="507">
        <f>SUMIFS(Controle!$R:$R,Controle!$H:$H,produtos_escape2!$A2355,Controle!$Z:$Z,"6")</f>
        <v>0</v>
      </c>
      <c r="L2355" s="507">
        <f t="shared" si="79"/>
        <v>0</v>
      </c>
    </row>
    <row r="2356" spans="1:12" s="84" customFormat="1" ht="14.25" customHeight="1" thickBot="1">
      <c r="A2356" s="353" t="s">
        <v>3135</v>
      </c>
      <c r="B2356" s="338" t="s">
        <v>3251</v>
      </c>
      <c r="C2356" s="339">
        <f t="shared" si="80"/>
        <v>50000</v>
      </c>
      <c r="D2356" s="196" t="s">
        <v>636</v>
      </c>
      <c r="E2356" s="172" t="s">
        <v>1687</v>
      </c>
      <c r="F2356" s="507">
        <f>SUMIFS(Controle!$R:$R,Controle!$H:$H,produtos_escape2!$A2356,Controle!$Z:$Z,"1")</f>
        <v>0</v>
      </c>
      <c r="G2356" s="507">
        <f>SUMIFS(Controle!$R:$R,Controle!$H:$H,produtos_escape2!$A2356,Controle!$Z:$Z,"2")</f>
        <v>0</v>
      </c>
      <c r="H2356" s="507">
        <f>SUMIFS(Controle!$R:$R,Controle!$H:$H,produtos_escape2!$A2356,Controle!$Z:$Z,"3")</f>
        <v>0</v>
      </c>
      <c r="I2356" s="507">
        <f>SUMIFS(Controle!$R:$R,Controle!$H:$H,produtos_escape2!$A2356,Controle!$Z:$Z,"4")</f>
        <v>0</v>
      </c>
      <c r="J2356" s="507">
        <f>SUMIFS(Controle!$R:$R,Controle!$H:$H,produtos_escape2!$A2356,Controle!$Z:$Z,"5")</f>
        <v>0</v>
      </c>
      <c r="K2356" s="507">
        <f>SUMIFS(Controle!$R:$R,Controle!$H:$H,produtos_escape2!$A2356,Controle!$Z:$Z,"6")</f>
        <v>0</v>
      </c>
      <c r="L2356" s="507">
        <f t="shared" si="79"/>
        <v>0</v>
      </c>
    </row>
    <row r="2357" spans="1:12" s="84" customFormat="1" ht="14.25" customHeight="1" thickBot="1">
      <c r="A2357" s="333" t="s">
        <v>3136</v>
      </c>
      <c r="B2357" s="194" t="s">
        <v>3252</v>
      </c>
      <c r="C2357" s="339">
        <f t="shared" si="80"/>
        <v>50000</v>
      </c>
      <c r="D2357" s="196" t="s">
        <v>636</v>
      </c>
      <c r="E2357" s="172" t="s">
        <v>1687</v>
      </c>
      <c r="F2357" s="507">
        <f>SUMIFS(Controle!$R:$R,Controle!$H:$H,produtos_escape2!$A2357,Controle!$Z:$Z,"1")</f>
        <v>0</v>
      </c>
      <c r="G2357" s="507">
        <f>SUMIFS(Controle!$R:$R,Controle!$H:$H,produtos_escape2!$A2357,Controle!$Z:$Z,"2")</f>
        <v>0</v>
      </c>
      <c r="H2357" s="507">
        <f>SUMIFS(Controle!$R:$R,Controle!$H:$H,produtos_escape2!$A2357,Controle!$Z:$Z,"3")</f>
        <v>0</v>
      </c>
      <c r="I2357" s="507">
        <f>SUMIFS(Controle!$R:$R,Controle!$H:$H,produtos_escape2!$A2357,Controle!$Z:$Z,"4")</f>
        <v>0</v>
      </c>
      <c r="J2357" s="507">
        <f>SUMIFS(Controle!$R:$R,Controle!$H:$H,produtos_escape2!$A2357,Controle!$Z:$Z,"5")</f>
        <v>0</v>
      </c>
      <c r="K2357" s="507">
        <f>SUMIFS(Controle!$R:$R,Controle!$H:$H,produtos_escape2!$A2357,Controle!$Z:$Z,"6")</f>
        <v>0</v>
      </c>
      <c r="L2357" s="507">
        <f t="shared" si="79"/>
        <v>0</v>
      </c>
    </row>
    <row r="2358" spans="1:12" s="84" customFormat="1" ht="14.25" customHeight="1" thickBot="1">
      <c r="A2358" s="353" t="s">
        <v>3656</v>
      </c>
      <c r="B2358" s="194" t="s">
        <v>3657</v>
      </c>
      <c r="C2358" s="339">
        <f t="shared" si="80"/>
        <v>50000</v>
      </c>
      <c r="D2358" s="196" t="s">
        <v>636</v>
      </c>
      <c r="E2358" s="172" t="s">
        <v>1687</v>
      </c>
      <c r="F2358" s="507">
        <f>SUMIFS(Controle!$R:$R,Controle!$H:$H,produtos_escape2!$A2358,Controle!$Z:$Z,"1")</f>
        <v>0</v>
      </c>
      <c r="G2358" s="507">
        <f>SUMIFS(Controle!$R:$R,Controle!$H:$H,produtos_escape2!$A2358,Controle!$Z:$Z,"2")</f>
        <v>0</v>
      </c>
      <c r="H2358" s="507">
        <f>SUMIFS(Controle!$R:$R,Controle!$H:$H,produtos_escape2!$A2358,Controle!$Z:$Z,"3")</f>
        <v>0</v>
      </c>
      <c r="I2358" s="507">
        <f>SUMIFS(Controle!$R:$R,Controle!$H:$H,produtos_escape2!$A2358,Controle!$Z:$Z,"4")</f>
        <v>0</v>
      </c>
      <c r="J2358" s="507">
        <f>SUMIFS(Controle!$R:$R,Controle!$H:$H,produtos_escape2!$A2358,Controle!$Z:$Z,"5")</f>
        <v>0</v>
      </c>
      <c r="K2358" s="507">
        <f>SUMIFS(Controle!$R:$R,Controle!$H:$H,produtos_escape2!$A2358,Controle!$Z:$Z,"6")</f>
        <v>0</v>
      </c>
      <c r="L2358" s="507">
        <f t="shared" si="79"/>
        <v>0</v>
      </c>
    </row>
    <row r="2359" spans="1:12" s="84" customFormat="1" ht="14.25" customHeight="1" thickBot="1">
      <c r="A2359" s="353" t="s">
        <v>3658</v>
      </c>
      <c r="B2359" s="194" t="s">
        <v>3659</v>
      </c>
      <c r="C2359" s="339">
        <f t="shared" si="80"/>
        <v>50000</v>
      </c>
      <c r="D2359" s="196" t="s">
        <v>636</v>
      </c>
      <c r="E2359" s="172" t="s">
        <v>1687</v>
      </c>
      <c r="F2359" s="507">
        <f>SUMIFS(Controle!$R:$R,Controle!$H:$H,produtos_escape2!$A2359,Controle!$Z:$Z,"1")</f>
        <v>0</v>
      </c>
      <c r="G2359" s="507">
        <f>SUMIFS(Controle!$R:$R,Controle!$H:$H,produtos_escape2!$A2359,Controle!$Z:$Z,"2")</f>
        <v>0</v>
      </c>
      <c r="H2359" s="507">
        <f>SUMIFS(Controle!$R:$R,Controle!$H:$H,produtos_escape2!$A2359,Controle!$Z:$Z,"3")</f>
        <v>0</v>
      </c>
      <c r="I2359" s="507">
        <f>SUMIFS(Controle!$R:$R,Controle!$H:$H,produtos_escape2!$A2359,Controle!$Z:$Z,"4")</f>
        <v>0</v>
      </c>
      <c r="J2359" s="507">
        <f>SUMIFS(Controle!$R:$R,Controle!$H:$H,produtos_escape2!$A2359,Controle!$Z:$Z,"5")</f>
        <v>0</v>
      </c>
      <c r="K2359" s="507">
        <f>SUMIFS(Controle!$R:$R,Controle!$H:$H,produtos_escape2!$A2359,Controle!$Z:$Z,"6")</f>
        <v>0</v>
      </c>
      <c r="L2359" s="507">
        <f t="shared" si="79"/>
        <v>0</v>
      </c>
    </row>
    <row r="2360" spans="1:12" s="84" customFormat="1" ht="14.25" customHeight="1" thickBot="1">
      <c r="A2360" s="353" t="s">
        <v>4293</v>
      </c>
      <c r="B2360" s="194" t="s">
        <v>4295</v>
      </c>
      <c r="C2360" s="339">
        <f t="shared" si="80"/>
        <v>50000</v>
      </c>
      <c r="D2360" s="196" t="s">
        <v>636</v>
      </c>
      <c r="E2360" s="172" t="s">
        <v>1687</v>
      </c>
      <c r="F2360" s="507">
        <f>SUMIFS(Controle!$R:$R,Controle!$H:$H,produtos_escape2!$A2360,Controle!$Z:$Z,"1")</f>
        <v>0</v>
      </c>
      <c r="G2360" s="507">
        <f>SUMIFS(Controle!$R:$R,Controle!$H:$H,produtos_escape2!$A2360,Controle!$Z:$Z,"2")</f>
        <v>0</v>
      </c>
      <c r="H2360" s="507">
        <f>SUMIFS(Controle!$R:$R,Controle!$H:$H,produtos_escape2!$A2360,Controle!$Z:$Z,"3")</f>
        <v>0</v>
      </c>
      <c r="I2360" s="507">
        <f>SUMIFS(Controle!$R:$R,Controle!$H:$H,produtos_escape2!$A2360,Controle!$Z:$Z,"4")</f>
        <v>0</v>
      </c>
      <c r="J2360" s="507">
        <f>SUMIFS(Controle!$R:$R,Controle!$H:$H,produtos_escape2!$A2360,Controle!$Z:$Z,"5")</f>
        <v>0</v>
      </c>
      <c r="K2360" s="507">
        <f>SUMIFS(Controle!$R:$R,Controle!$H:$H,produtos_escape2!$A2360,Controle!$Z:$Z,"6")</f>
        <v>0</v>
      </c>
      <c r="L2360" s="507">
        <f t="shared" si="79"/>
        <v>0</v>
      </c>
    </row>
    <row r="2361" spans="1:12" s="84" customFormat="1" ht="14.25" customHeight="1" thickBot="1">
      <c r="A2361" s="353" t="s">
        <v>4294</v>
      </c>
      <c r="B2361" s="194" t="s">
        <v>4296</v>
      </c>
      <c r="C2361" s="339">
        <f t="shared" si="80"/>
        <v>50000</v>
      </c>
      <c r="D2361" s="196" t="s">
        <v>636</v>
      </c>
      <c r="E2361" s="172" t="s">
        <v>1687</v>
      </c>
      <c r="F2361" s="507">
        <f>SUMIFS(Controle!$R:$R,Controle!$H:$H,produtos_escape2!$A2361,Controle!$Z:$Z,"1")</f>
        <v>0</v>
      </c>
      <c r="G2361" s="507">
        <f>SUMIFS(Controle!$R:$R,Controle!$H:$H,produtos_escape2!$A2361,Controle!$Z:$Z,"2")</f>
        <v>0</v>
      </c>
      <c r="H2361" s="507">
        <f>SUMIFS(Controle!$R:$R,Controle!$H:$H,produtos_escape2!$A2361,Controle!$Z:$Z,"3")</f>
        <v>0</v>
      </c>
      <c r="I2361" s="507">
        <f>SUMIFS(Controle!$R:$R,Controle!$H:$H,produtos_escape2!$A2361,Controle!$Z:$Z,"4")</f>
        <v>0</v>
      </c>
      <c r="J2361" s="507">
        <f>SUMIFS(Controle!$R:$R,Controle!$H:$H,produtos_escape2!$A2361,Controle!$Z:$Z,"5")</f>
        <v>0</v>
      </c>
      <c r="K2361" s="507">
        <f>SUMIFS(Controle!$R:$R,Controle!$H:$H,produtos_escape2!$A2361,Controle!$Z:$Z,"6")</f>
        <v>0</v>
      </c>
      <c r="L2361" s="507">
        <f t="shared" si="79"/>
        <v>0</v>
      </c>
    </row>
    <row r="2362" spans="1:12" s="84" customFormat="1" ht="14.25" customHeight="1" thickBot="1">
      <c r="A2362" s="353" t="s">
        <v>4435</v>
      </c>
      <c r="B2362" s="194" t="s">
        <v>4436</v>
      </c>
      <c r="C2362" s="339">
        <f t="shared" si="80"/>
        <v>50000</v>
      </c>
      <c r="D2362" s="196" t="s">
        <v>636</v>
      </c>
      <c r="E2362" s="172" t="s">
        <v>1687</v>
      </c>
      <c r="F2362" s="507">
        <f>SUMIFS(Controle!$R:$R,Controle!$H:$H,produtos_escape2!$A2362,Controle!$Z:$Z,"1")</f>
        <v>0</v>
      </c>
      <c r="G2362" s="507">
        <f>SUMIFS(Controle!$R:$R,Controle!$H:$H,produtos_escape2!$A2362,Controle!$Z:$Z,"2")</f>
        <v>0</v>
      </c>
      <c r="H2362" s="507">
        <f>SUMIFS(Controle!$R:$R,Controle!$H:$H,produtos_escape2!$A2362,Controle!$Z:$Z,"3")</f>
        <v>0</v>
      </c>
      <c r="I2362" s="507">
        <f>SUMIFS(Controle!$R:$R,Controle!$H:$H,produtos_escape2!$A2362,Controle!$Z:$Z,"4")</f>
        <v>0</v>
      </c>
      <c r="J2362" s="507">
        <f>SUMIFS(Controle!$R:$R,Controle!$H:$H,produtos_escape2!$A2362,Controle!$Z:$Z,"5")</f>
        <v>0</v>
      </c>
      <c r="K2362" s="507">
        <f>SUMIFS(Controle!$R:$R,Controle!$H:$H,produtos_escape2!$A2362,Controle!$Z:$Z,"6")</f>
        <v>0</v>
      </c>
      <c r="L2362" s="507">
        <f t="shared" si="79"/>
        <v>0</v>
      </c>
    </row>
    <row r="2363" spans="1:12" s="84" customFormat="1" ht="14.25" customHeight="1" thickBot="1">
      <c r="A2363" s="353" t="s">
        <v>6763</v>
      </c>
      <c r="B2363" s="194" t="s">
        <v>6764</v>
      </c>
      <c r="C2363" s="339">
        <f t="shared" si="80"/>
        <v>50000</v>
      </c>
      <c r="D2363" s="196" t="s">
        <v>636</v>
      </c>
      <c r="E2363" s="172" t="s">
        <v>1687</v>
      </c>
      <c r="F2363" s="507">
        <f>SUMIFS(Controle!$R:$R,Controle!$H:$H,produtos_escape2!$A2363,Controle!$Z:$Z,"1")</f>
        <v>0</v>
      </c>
      <c r="G2363" s="507">
        <f>SUMIFS(Controle!$R:$R,Controle!$H:$H,produtos_escape2!$A2363,Controle!$Z:$Z,"2")</f>
        <v>0</v>
      </c>
      <c r="H2363" s="507">
        <f>SUMIFS(Controle!$R:$R,Controle!$H:$H,produtos_escape2!$A2363,Controle!$Z:$Z,"3")</f>
        <v>0</v>
      </c>
      <c r="I2363" s="507">
        <f>SUMIFS(Controle!$R:$R,Controle!$H:$H,produtos_escape2!$A2363,Controle!$Z:$Z,"4")</f>
        <v>0</v>
      </c>
      <c r="J2363" s="507">
        <f>SUMIFS(Controle!$R:$R,Controle!$H:$H,produtos_escape2!$A2363,Controle!$Z:$Z,"5")</f>
        <v>0</v>
      </c>
      <c r="K2363" s="507">
        <f>SUMIFS(Controle!$R:$R,Controle!$H:$H,produtos_escape2!$A2363,Controle!$Z:$Z,"6")</f>
        <v>0</v>
      </c>
      <c r="L2363" s="507">
        <f t="shared" si="79"/>
        <v>0</v>
      </c>
    </row>
    <row r="2364" spans="1:12" s="84" customFormat="1" ht="14.25" customHeight="1" thickBot="1">
      <c r="A2364" s="353" t="s">
        <v>3784</v>
      </c>
      <c r="B2364" s="194" t="s">
        <v>3785</v>
      </c>
      <c r="C2364" s="339">
        <f t="shared" si="80"/>
        <v>50000</v>
      </c>
      <c r="D2364" s="191" t="s">
        <v>636</v>
      </c>
      <c r="E2364" s="172" t="s">
        <v>1687</v>
      </c>
      <c r="F2364" s="507">
        <f>SUMIFS(Controle!$R:$R,Controle!$H:$H,produtos_escape2!$A2364,Controle!$Z:$Z,"1")</f>
        <v>0</v>
      </c>
      <c r="G2364" s="507">
        <f>SUMIFS(Controle!$R:$R,Controle!$H:$H,produtos_escape2!$A2364,Controle!$Z:$Z,"2")</f>
        <v>0</v>
      </c>
      <c r="H2364" s="507">
        <f>SUMIFS(Controle!$R:$R,Controle!$H:$H,produtos_escape2!$A2364,Controle!$Z:$Z,"3")</f>
        <v>0</v>
      </c>
      <c r="I2364" s="507">
        <f>SUMIFS(Controle!$R:$R,Controle!$H:$H,produtos_escape2!$A2364,Controle!$Z:$Z,"4")</f>
        <v>0</v>
      </c>
      <c r="J2364" s="507">
        <f>SUMIFS(Controle!$R:$R,Controle!$H:$H,produtos_escape2!$A2364,Controle!$Z:$Z,"5")</f>
        <v>0</v>
      </c>
      <c r="K2364" s="507">
        <f>SUMIFS(Controle!$R:$R,Controle!$H:$H,produtos_escape2!$A2364,Controle!$Z:$Z,"6")</f>
        <v>0</v>
      </c>
      <c r="L2364" s="507">
        <f t="shared" si="79"/>
        <v>0</v>
      </c>
    </row>
    <row r="2365" spans="1:12" s="84" customFormat="1" ht="14.25" customHeight="1" thickBot="1">
      <c r="A2365" s="353" t="s">
        <v>3786</v>
      </c>
      <c r="B2365" s="338" t="s">
        <v>3788</v>
      </c>
      <c r="C2365" s="339">
        <f t="shared" si="80"/>
        <v>50000</v>
      </c>
      <c r="D2365" s="191" t="s">
        <v>636</v>
      </c>
      <c r="E2365" s="172" t="s">
        <v>1687</v>
      </c>
      <c r="F2365" s="507">
        <f>SUMIFS(Controle!$R:$R,Controle!$H:$H,produtos_escape2!$A2365,Controle!$Z:$Z,"1")</f>
        <v>0</v>
      </c>
      <c r="G2365" s="507">
        <f>SUMIFS(Controle!$R:$R,Controle!$H:$H,produtos_escape2!$A2365,Controle!$Z:$Z,"2")</f>
        <v>0</v>
      </c>
      <c r="H2365" s="507">
        <f>SUMIFS(Controle!$R:$R,Controle!$H:$H,produtos_escape2!$A2365,Controle!$Z:$Z,"3")</f>
        <v>0</v>
      </c>
      <c r="I2365" s="507">
        <f>SUMIFS(Controle!$R:$R,Controle!$H:$H,produtos_escape2!$A2365,Controle!$Z:$Z,"4")</f>
        <v>0</v>
      </c>
      <c r="J2365" s="507">
        <f>SUMIFS(Controle!$R:$R,Controle!$H:$H,produtos_escape2!$A2365,Controle!$Z:$Z,"5")</f>
        <v>0</v>
      </c>
      <c r="K2365" s="507">
        <f>SUMIFS(Controle!$R:$R,Controle!$H:$H,produtos_escape2!$A2365,Controle!$Z:$Z,"6")</f>
        <v>0</v>
      </c>
      <c r="L2365" s="507">
        <f t="shared" si="79"/>
        <v>0</v>
      </c>
    </row>
    <row r="2366" spans="1:12" s="84" customFormat="1" ht="14.25" customHeight="1" thickBot="1">
      <c r="A2366" s="333" t="s">
        <v>3787</v>
      </c>
      <c r="B2366" s="194" t="s">
        <v>3789</v>
      </c>
      <c r="C2366" s="339">
        <f t="shared" si="80"/>
        <v>50000</v>
      </c>
      <c r="D2366" s="191" t="s">
        <v>636</v>
      </c>
      <c r="E2366" s="172" t="s">
        <v>1687</v>
      </c>
      <c r="F2366" s="507">
        <f>SUMIFS(Controle!$R:$R,Controle!$H:$H,produtos_escape2!$A2366,Controle!$Z:$Z,"1")</f>
        <v>0</v>
      </c>
      <c r="G2366" s="507">
        <f>SUMIFS(Controle!$R:$R,Controle!$H:$H,produtos_escape2!$A2366,Controle!$Z:$Z,"2")</f>
        <v>0</v>
      </c>
      <c r="H2366" s="507">
        <f>SUMIFS(Controle!$R:$R,Controle!$H:$H,produtos_escape2!$A2366,Controle!$Z:$Z,"3")</f>
        <v>0</v>
      </c>
      <c r="I2366" s="507">
        <f>SUMIFS(Controle!$R:$R,Controle!$H:$H,produtos_escape2!$A2366,Controle!$Z:$Z,"4")</f>
        <v>0</v>
      </c>
      <c r="J2366" s="507">
        <f>SUMIFS(Controle!$R:$R,Controle!$H:$H,produtos_escape2!$A2366,Controle!$Z:$Z,"5")</f>
        <v>0</v>
      </c>
      <c r="K2366" s="507">
        <f>SUMIFS(Controle!$R:$R,Controle!$H:$H,produtos_escape2!$A2366,Controle!$Z:$Z,"6")</f>
        <v>0</v>
      </c>
      <c r="L2366" s="507">
        <f t="shared" si="79"/>
        <v>0</v>
      </c>
    </row>
    <row r="2367" spans="1:12" s="84" customFormat="1" ht="14.25" customHeight="1" thickBot="1">
      <c r="A2367" s="353" t="s">
        <v>5730</v>
      </c>
      <c r="B2367" s="194" t="s">
        <v>5732</v>
      </c>
      <c r="C2367" s="339">
        <f t="shared" si="80"/>
        <v>50000</v>
      </c>
      <c r="D2367" s="196" t="s">
        <v>636</v>
      </c>
      <c r="E2367" s="197" t="s">
        <v>1687</v>
      </c>
      <c r="F2367" s="507">
        <f>SUMIFS(Controle!$R:$R,Controle!$H:$H,produtos_escape2!$A2367,Controle!$Z:$Z,"1")</f>
        <v>0</v>
      </c>
      <c r="G2367" s="507">
        <f>SUMIFS(Controle!$R:$R,Controle!$H:$H,produtos_escape2!$A2367,Controle!$Z:$Z,"2")</f>
        <v>0</v>
      </c>
      <c r="H2367" s="507">
        <f>SUMIFS(Controle!$R:$R,Controle!$H:$H,produtos_escape2!$A2367,Controle!$Z:$Z,"3")</f>
        <v>0</v>
      </c>
      <c r="I2367" s="507">
        <f>SUMIFS(Controle!$R:$R,Controle!$H:$H,produtos_escape2!$A2367,Controle!$Z:$Z,"4")</f>
        <v>0</v>
      </c>
      <c r="J2367" s="507">
        <f>SUMIFS(Controle!$R:$R,Controle!$H:$H,produtos_escape2!$A2367,Controle!$Z:$Z,"5")</f>
        <v>0</v>
      </c>
      <c r="K2367" s="507">
        <f>SUMIFS(Controle!$R:$R,Controle!$H:$H,produtos_escape2!$A2367,Controle!$Z:$Z,"6")</f>
        <v>0</v>
      </c>
      <c r="L2367" s="507">
        <f t="shared" ref="L2367:L2430" si="81">SUM(F2367:K2367)</f>
        <v>0</v>
      </c>
    </row>
    <row r="2368" spans="1:12" s="84" customFormat="1" ht="14.25" customHeight="1" thickBot="1">
      <c r="A2368" s="353" t="s">
        <v>5731</v>
      </c>
      <c r="B2368" s="194" t="s">
        <v>5733</v>
      </c>
      <c r="C2368" s="339">
        <f t="shared" si="80"/>
        <v>50000</v>
      </c>
      <c r="D2368" s="196" t="s">
        <v>636</v>
      </c>
      <c r="E2368" s="197" t="s">
        <v>1687</v>
      </c>
      <c r="F2368" s="507">
        <f>SUMIFS(Controle!$R:$R,Controle!$H:$H,produtos_escape2!$A2368,Controle!$Z:$Z,"1")</f>
        <v>0</v>
      </c>
      <c r="G2368" s="507">
        <f>SUMIFS(Controle!$R:$R,Controle!$H:$H,produtos_escape2!$A2368,Controle!$Z:$Z,"2")</f>
        <v>0</v>
      </c>
      <c r="H2368" s="507">
        <f>SUMIFS(Controle!$R:$R,Controle!$H:$H,produtos_escape2!$A2368,Controle!$Z:$Z,"3")</f>
        <v>0</v>
      </c>
      <c r="I2368" s="507">
        <f>SUMIFS(Controle!$R:$R,Controle!$H:$H,produtos_escape2!$A2368,Controle!$Z:$Z,"4")</f>
        <v>0</v>
      </c>
      <c r="J2368" s="507">
        <f>SUMIFS(Controle!$R:$R,Controle!$H:$H,produtos_escape2!$A2368,Controle!$Z:$Z,"5")</f>
        <v>0</v>
      </c>
      <c r="K2368" s="507">
        <f>SUMIFS(Controle!$R:$R,Controle!$H:$H,produtos_escape2!$A2368,Controle!$Z:$Z,"6")</f>
        <v>0</v>
      </c>
      <c r="L2368" s="507">
        <f t="shared" si="81"/>
        <v>0</v>
      </c>
    </row>
    <row r="2369" spans="1:12" s="84" customFormat="1" ht="14.25" customHeight="1" thickBot="1">
      <c r="A2369" s="353" t="s">
        <v>8591</v>
      </c>
      <c r="B2369" s="194" t="s">
        <v>8592</v>
      </c>
      <c r="C2369" s="339">
        <f t="shared" si="80"/>
        <v>50000</v>
      </c>
      <c r="D2369" s="191" t="s">
        <v>636</v>
      </c>
      <c r="E2369" s="172" t="s">
        <v>1687</v>
      </c>
      <c r="F2369" s="507">
        <f>SUMIFS(Controle!$R:$R,Controle!$H:$H,produtos_escape2!$A2369,Controle!$Z:$Z,"1")</f>
        <v>0</v>
      </c>
      <c r="G2369" s="507">
        <f>SUMIFS(Controle!$R:$R,Controle!$H:$H,produtos_escape2!$A2369,Controle!$Z:$Z,"2")</f>
        <v>0</v>
      </c>
      <c r="H2369" s="507">
        <f>SUMIFS(Controle!$R:$R,Controle!$H:$H,produtos_escape2!$A2369,Controle!$Z:$Z,"3")</f>
        <v>0</v>
      </c>
      <c r="I2369" s="507">
        <f>SUMIFS(Controle!$R:$R,Controle!$H:$H,produtos_escape2!$A2369,Controle!$Z:$Z,"4")</f>
        <v>0</v>
      </c>
      <c r="J2369" s="507">
        <f>SUMIFS(Controle!$R:$R,Controle!$H:$H,produtos_escape2!$A2369,Controle!$Z:$Z,"5")</f>
        <v>0</v>
      </c>
      <c r="K2369" s="507">
        <f>SUMIFS(Controle!$R:$R,Controle!$H:$H,produtos_escape2!$A2369,Controle!$Z:$Z,"6")</f>
        <v>0</v>
      </c>
      <c r="L2369" s="507">
        <f t="shared" si="81"/>
        <v>0</v>
      </c>
    </row>
    <row r="2370" spans="1:12" s="84" customFormat="1" ht="14.25" customHeight="1" thickBot="1">
      <c r="A2370" s="353" t="s">
        <v>4008</v>
      </c>
      <c r="B2370" s="194" t="s">
        <v>4009</v>
      </c>
      <c r="C2370" s="339">
        <f t="shared" si="80"/>
        <v>50000</v>
      </c>
      <c r="D2370" s="191" t="s">
        <v>636</v>
      </c>
      <c r="E2370" s="172" t="s">
        <v>1687</v>
      </c>
      <c r="F2370" s="507">
        <f>SUMIFS(Controle!$R:$R,Controle!$H:$H,produtos_escape2!$A2370,Controle!$Z:$Z,"1")</f>
        <v>0</v>
      </c>
      <c r="G2370" s="507">
        <f>SUMIFS(Controle!$R:$R,Controle!$H:$H,produtos_escape2!$A2370,Controle!$Z:$Z,"2")</f>
        <v>0</v>
      </c>
      <c r="H2370" s="507">
        <f>SUMIFS(Controle!$R:$R,Controle!$H:$H,produtos_escape2!$A2370,Controle!$Z:$Z,"3")</f>
        <v>0</v>
      </c>
      <c r="I2370" s="507">
        <f>SUMIFS(Controle!$R:$R,Controle!$H:$H,produtos_escape2!$A2370,Controle!$Z:$Z,"4")</f>
        <v>0</v>
      </c>
      <c r="J2370" s="507">
        <f>SUMIFS(Controle!$R:$R,Controle!$H:$H,produtos_escape2!$A2370,Controle!$Z:$Z,"5")</f>
        <v>0</v>
      </c>
      <c r="K2370" s="507">
        <f>SUMIFS(Controle!$R:$R,Controle!$H:$H,produtos_escape2!$A2370,Controle!$Z:$Z,"6")</f>
        <v>0</v>
      </c>
      <c r="L2370" s="507">
        <f t="shared" si="81"/>
        <v>0</v>
      </c>
    </row>
    <row r="2371" spans="1:12" s="84" customFormat="1" ht="14.25" customHeight="1" thickBot="1">
      <c r="A2371" s="353" t="s">
        <v>4027</v>
      </c>
      <c r="B2371" s="194" t="s">
        <v>4020</v>
      </c>
      <c r="C2371" s="339">
        <f t="shared" si="80"/>
        <v>49510</v>
      </c>
      <c r="D2371" s="191" t="s">
        <v>636</v>
      </c>
      <c r="E2371" s="172" t="s">
        <v>1687</v>
      </c>
      <c r="F2371" s="507">
        <f>SUMIFS(Controle!$R:$R,Controle!$H:$H,produtos_escape2!$A2371,Controle!$Z:$Z,"1")</f>
        <v>0</v>
      </c>
      <c r="G2371" s="507">
        <f>SUMIFS(Controle!$R:$R,Controle!$H:$H,produtos_escape2!$A2371,Controle!$Z:$Z,"2")</f>
        <v>0</v>
      </c>
      <c r="H2371" s="507">
        <f>SUMIFS(Controle!$R:$R,Controle!$H:$H,produtos_escape2!$A2371,Controle!$Z:$Z,"3")</f>
        <v>0</v>
      </c>
      <c r="I2371" s="507">
        <f>SUMIFS(Controle!$R:$R,Controle!$H:$H,produtos_escape2!$A2371,Controle!$Z:$Z,"4")</f>
        <v>0</v>
      </c>
      <c r="J2371" s="507">
        <f>SUMIFS(Controle!$R:$R,Controle!$H:$H,produtos_escape2!$A2371,Controle!$Z:$Z,"5")</f>
        <v>0</v>
      </c>
      <c r="K2371" s="507">
        <f>SUMIFS(Controle!$R:$R,Controle!$H:$H,produtos_escape2!$A2371,Controle!$Z:$Z,"6")</f>
        <v>490</v>
      </c>
      <c r="L2371" s="507">
        <f t="shared" si="81"/>
        <v>490</v>
      </c>
    </row>
    <row r="2372" spans="1:12" s="84" customFormat="1" ht="14.25" customHeight="1" thickBot="1">
      <c r="A2372" s="353" t="s">
        <v>4028</v>
      </c>
      <c r="B2372" s="194" t="s">
        <v>4021</v>
      </c>
      <c r="C2372" s="339">
        <f t="shared" si="80"/>
        <v>49510</v>
      </c>
      <c r="D2372" s="191" t="s">
        <v>636</v>
      </c>
      <c r="E2372" s="172" t="s">
        <v>1687</v>
      </c>
      <c r="F2372" s="507">
        <f>SUMIFS(Controle!$R:$R,Controle!$H:$H,produtos_escape2!$A2372,Controle!$Z:$Z,"1")</f>
        <v>0</v>
      </c>
      <c r="G2372" s="507">
        <f>SUMIFS(Controle!$R:$R,Controle!$H:$H,produtos_escape2!$A2372,Controle!$Z:$Z,"2")</f>
        <v>0</v>
      </c>
      <c r="H2372" s="507">
        <f>SUMIFS(Controle!$R:$R,Controle!$H:$H,produtos_escape2!$A2372,Controle!$Z:$Z,"3")</f>
        <v>0</v>
      </c>
      <c r="I2372" s="507">
        <f>SUMIFS(Controle!$R:$R,Controle!$H:$H,produtos_escape2!$A2372,Controle!$Z:$Z,"4")</f>
        <v>0</v>
      </c>
      <c r="J2372" s="507">
        <f>SUMIFS(Controle!$R:$R,Controle!$H:$H,produtos_escape2!$A2372,Controle!$Z:$Z,"5")</f>
        <v>0</v>
      </c>
      <c r="K2372" s="507">
        <f>SUMIFS(Controle!$R:$R,Controle!$H:$H,produtos_escape2!$A2372,Controle!$Z:$Z,"6")</f>
        <v>490</v>
      </c>
      <c r="L2372" s="507">
        <f t="shared" si="81"/>
        <v>490</v>
      </c>
    </row>
    <row r="2373" spans="1:12" s="84" customFormat="1" ht="14.25" customHeight="1" thickBot="1">
      <c r="A2373" s="353" t="s">
        <v>4029</v>
      </c>
      <c r="B2373" s="194" t="s">
        <v>4022</v>
      </c>
      <c r="C2373" s="339">
        <f t="shared" si="80"/>
        <v>50000</v>
      </c>
      <c r="D2373" s="191" t="s">
        <v>636</v>
      </c>
      <c r="E2373" s="172" t="s">
        <v>1687</v>
      </c>
      <c r="F2373" s="507">
        <f>SUMIFS(Controle!$R:$R,Controle!$H:$H,produtos_escape2!$A2373,Controle!$Z:$Z,"1")</f>
        <v>0</v>
      </c>
      <c r="G2373" s="507">
        <f>SUMIFS(Controle!$R:$R,Controle!$H:$H,produtos_escape2!$A2373,Controle!$Z:$Z,"2")</f>
        <v>0</v>
      </c>
      <c r="H2373" s="507">
        <f>SUMIFS(Controle!$R:$R,Controle!$H:$H,produtos_escape2!$A2373,Controle!$Z:$Z,"3")</f>
        <v>0</v>
      </c>
      <c r="I2373" s="507">
        <f>SUMIFS(Controle!$R:$R,Controle!$H:$H,produtos_escape2!$A2373,Controle!$Z:$Z,"4")</f>
        <v>0</v>
      </c>
      <c r="J2373" s="507">
        <f>SUMIFS(Controle!$R:$R,Controle!$H:$H,produtos_escape2!$A2373,Controle!$Z:$Z,"5")</f>
        <v>0</v>
      </c>
      <c r="K2373" s="507">
        <f>SUMIFS(Controle!$R:$R,Controle!$H:$H,produtos_escape2!$A2373,Controle!$Z:$Z,"6")</f>
        <v>0</v>
      </c>
      <c r="L2373" s="507">
        <f t="shared" si="81"/>
        <v>0</v>
      </c>
    </row>
    <row r="2374" spans="1:12" s="84" customFormat="1" ht="14.25" customHeight="1" thickBot="1">
      <c r="A2374" s="353" t="s">
        <v>4030</v>
      </c>
      <c r="B2374" s="338" t="s">
        <v>4023</v>
      </c>
      <c r="C2374" s="339">
        <f t="shared" si="80"/>
        <v>50000</v>
      </c>
      <c r="D2374" s="191" t="s">
        <v>636</v>
      </c>
      <c r="E2374" s="172" t="s">
        <v>1687</v>
      </c>
      <c r="F2374" s="507">
        <f>SUMIFS(Controle!$R:$R,Controle!$H:$H,produtos_escape2!$A2374,Controle!$Z:$Z,"1")</f>
        <v>0</v>
      </c>
      <c r="G2374" s="507">
        <f>SUMIFS(Controle!$R:$R,Controle!$H:$H,produtos_escape2!$A2374,Controle!$Z:$Z,"2")</f>
        <v>0</v>
      </c>
      <c r="H2374" s="507">
        <f>SUMIFS(Controle!$R:$R,Controle!$H:$H,produtos_escape2!$A2374,Controle!$Z:$Z,"3")</f>
        <v>0</v>
      </c>
      <c r="I2374" s="507">
        <f>SUMIFS(Controle!$R:$R,Controle!$H:$H,produtos_escape2!$A2374,Controle!$Z:$Z,"4")</f>
        <v>0</v>
      </c>
      <c r="J2374" s="507">
        <f>SUMIFS(Controle!$R:$R,Controle!$H:$H,produtos_escape2!$A2374,Controle!$Z:$Z,"5")</f>
        <v>0</v>
      </c>
      <c r="K2374" s="507">
        <f>SUMIFS(Controle!$R:$R,Controle!$H:$H,produtos_escape2!$A2374,Controle!$Z:$Z,"6")</f>
        <v>0</v>
      </c>
      <c r="L2374" s="507">
        <f t="shared" si="81"/>
        <v>0</v>
      </c>
    </row>
    <row r="2375" spans="1:12" s="84" customFormat="1" ht="14.25" customHeight="1" thickBot="1">
      <c r="A2375" s="333" t="s">
        <v>4031</v>
      </c>
      <c r="B2375" s="194" t="s">
        <v>4024</v>
      </c>
      <c r="C2375" s="339">
        <f t="shared" si="80"/>
        <v>50000</v>
      </c>
      <c r="D2375" s="191" t="s">
        <v>636</v>
      </c>
      <c r="E2375" s="172" t="s">
        <v>1687</v>
      </c>
      <c r="F2375" s="507">
        <f>SUMIFS(Controle!$R:$R,Controle!$H:$H,produtos_escape2!$A2375,Controle!$Z:$Z,"1")</f>
        <v>0</v>
      </c>
      <c r="G2375" s="507">
        <f>SUMIFS(Controle!$R:$R,Controle!$H:$H,produtos_escape2!$A2375,Controle!$Z:$Z,"2")</f>
        <v>0</v>
      </c>
      <c r="H2375" s="507">
        <f>SUMIFS(Controle!$R:$R,Controle!$H:$H,produtos_escape2!$A2375,Controle!$Z:$Z,"3")</f>
        <v>0</v>
      </c>
      <c r="I2375" s="507">
        <f>SUMIFS(Controle!$R:$R,Controle!$H:$H,produtos_escape2!$A2375,Controle!$Z:$Z,"4")</f>
        <v>0</v>
      </c>
      <c r="J2375" s="507">
        <f>SUMIFS(Controle!$R:$R,Controle!$H:$H,produtos_escape2!$A2375,Controle!$Z:$Z,"5")</f>
        <v>0</v>
      </c>
      <c r="K2375" s="507">
        <f>SUMIFS(Controle!$R:$R,Controle!$H:$H,produtos_escape2!$A2375,Controle!$Z:$Z,"6")</f>
        <v>0</v>
      </c>
      <c r="L2375" s="507">
        <f t="shared" si="81"/>
        <v>0</v>
      </c>
    </row>
    <row r="2376" spans="1:12" s="84" customFormat="1" ht="14.25" customHeight="1" thickBot="1">
      <c r="A2376" s="353" t="s">
        <v>4032</v>
      </c>
      <c r="B2376" s="194" t="s">
        <v>4025</v>
      </c>
      <c r="C2376" s="339">
        <f t="shared" si="80"/>
        <v>50000</v>
      </c>
      <c r="D2376" s="191" t="s">
        <v>636</v>
      </c>
      <c r="E2376" s="172" t="s">
        <v>1687</v>
      </c>
      <c r="F2376" s="507">
        <f>SUMIFS(Controle!$R:$R,Controle!$H:$H,produtos_escape2!$A2376,Controle!$Z:$Z,"1")</f>
        <v>0</v>
      </c>
      <c r="G2376" s="507">
        <f>SUMIFS(Controle!$R:$R,Controle!$H:$H,produtos_escape2!$A2376,Controle!$Z:$Z,"2")</f>
        <v>0</v>
      </c>
      <c r="H2376" s="507">
        <f>SUMIFS(Controle!$R:$R,Controle!$H:$H,produtos_escape2!$A2376,Controle!$Z:$Z,"3")</f>
        <v>0</v>
      </c>
      <c r="I2376" s="507">
        <f>SUMIFS(Controle!$R:$R,Controle!$H:$H,produtos_escape2!$A2376,Controle!$Z:$Z,"4")</f>
        <v>0</v>
      </c>
      <c r="J2376" s="507">
        <f>SUMIFS(Controle!$R:$R,Controle!$H:$H,produtos_escape2!$A2376,Controle!$Z:$Z,"5")</f>
        <v>0</v>
      </c>
      <c r="K2376" s="507">
        <f>SUMIFS(Controle!$R:$R,Controle!$H:$H,produtos_escape2!$A2376,Controle!$Z:$Z,"6")</f>
        <v>0</v>
      </c>
      <c r="L2376" s="507">
        <f t="shared" si="81"/>
        <v>0</v>
      </c>
    </row>
    <row r="2377" spans="1:12" s="84" customFormat="1" ht="14.25" customHeight="1" thickBot="1">
      <c r="A2377" s="353" t="s">
        <v>4033</v>
      </c>
      <c r="B2377" s="194" t="s">
        <v>4026</v>
      </c>
      <c r="C2377" s="339">
        <f t="shared" ref="C2377:C2440" si="82">50000-SUM(F2377:K2377)</f>
        <v>50000</v>
      </c>
      <c r="D2377" s="191" t="s">
        <v>636</v>
      </c>
      <c r="E2377" s="172" t="s">
        <v>1687</v>
      </c>
      <c r="F2377" s="507">
        <f>SUMIFS(Controle!$R:$R,Controle!$H:$H,produtos_escape2!$A2377,Controle!$Z:$Z,"1")</f>
        <v>0</v>
      </c>
      <c r="G2377" s="507">
        <f>SUMIFS(Controle!$R:$R,Controle!$H:$H,produtos_escape2!$A2377,Controle!$Z:$Z,"2")</f>
        <v>0</v>
      </c>
      <c r="H2377" s="507">
        <f>SUMIFS(Controle!$R:$R,Controle!$H:$H,produtos_escape2!$A2377,Controle!$Z:$Z,"3")</f>
        <v>0</v>
      </c>
      <c r="I2377" s="507">
        <f>SUMIFS(Controle!$R:$R,Controle!$H:$H,produtos_escape2!$A2377,Controle!$Z:$Z,"4")</f>
        <v>0</v>
      </c>
      <c r="J2377" s="507">
        <f>SUMIFS(Controle!$R:$R,Controle!$H:$H,produtos_escape2!$A2377,Controle!$Z:$Z,"5")</f>
        <v>0</v>
      </c>
      <c r="K2377" s="507">
        <f>SUMIFS(Controle!$R:$R,Controle!$H:$H,produtos_escape2!$A2377,Controle!$Z:$Z,"6")</f>
        <v>0</v>
      </c>
      <c r="L2377" s="507">
        <f t="shared" si="81"/>
        <v>0</v>
      </c>
    </row>
    <row r="2378" spans="1:12" s="84" customFormat="1" ht="14.25" customHeight="1" thickBot="1">
      <c r="A2378" s="353" t="s">
        <v>10193</v>
      </c>
      <c r="B2378" s="194" t="s">
        <v>10194</v>
      </c>
      <c r="C2378" s="339">
        <f t="shared" si="82"/>
        <v>49510</v>
      </c>
      <c r="D2378" s="191" t="s">
        <v>636</v>
      </c>
      <c r="E2378" s="172" t="s">
        <v>1687</v>
      </c>
      <c r="F2378" s="507">
        <f>SUMIFS(Controle!$R:$R,Controle!$H:$H,produtos_escape2!$A2378,Controle!$Z:$Z,"1")</f>
        <v>0</v>
      </c>
      <c r="G2378" s="507">
        <f>SUMIFS(Controle!$R:$R,Controle!$H:$H,produtos_escape2!$A2378,Controle!$Z:$Z,"2")</f>
        <v>0</v>
      </c>
      <c r="H2378" s="507">
        <f>SUMIFS(Controle!$R:$R,Controle!$H:$H,produtos_escape2!$A2378,Controle!$Z:$Z,"3")</f>
        <v>0</v>
      </c>
      <c r="I2378" s="507">
        <f>SUMIFS(Controle!$R:$R,Controle!$H:$H,produtos_escape2!$A2378,Controle!$Z:$Z,"4")</f>
        <v>0</v>
      </c>
      <c r="J2378" s="507">
        <f>SUMIFS(Controle!$R:$R,Controle!$H:$H,produtos_escape2!$A2378,Controle!$Z:$Z,"5")</f>
        <v>0</v>
      </c>
      <c r="K2378" s="507">
        <f>SUMIFS(Controle!$R:$R,Controle!$H:$H,produtos_escape2!$A2378,Controle!$Z:$Z,"6")</f>
        <v>490</v>
      </c>
      <c r="L2378" s="507">
        <f t="shared" si="81"/>
        <v>490</v>
      </c>
    </row>
    <row r="2379" spans="1:12" s="84" customFormat="1" ht="14.25" customHeight="1" thickBot="1">
      <c r="A2379" s="353" t="s">
        <v>3145</v>
      </c>
      <c r="B2379" s="194" t="s">
        <v>3316</v>
      </c>
      <c r="C2379" s="339">
        <f t="shared" si="82"/>
        <v>50000</v>
      </c>
      <c r="D2379" s="191" t="s">
        <v>636</v>
      </c>
      <c r="E2379" s="172" t="s">
        <v>1687</v>
      </c>
      <c r="F2379" s="507">
        <f>SUMIFS(Controle!$R:$R,Controle!$H:$H,produtos_escape2!$A2379,Controle!$Z:$Z,"1")</f>
        <v>0</v>
      </c>
      <c r="G2379" s="507">
        <f>SUMIFS(Controle!$R:$R,Controle!$H:$H,produtos_escape2!$A2379,Controle!$Z:$Z,"2")</f>
        <v>0</v>
      </c>
      <c r="H2379" s="507">
        <f>SUMIFS(Controle!$R:$R,Controle!$H:$H,produtos_escape2!$A2379,Controle!$Z:$Z,"3")</f>
        <v>0</v>
      </c>
      <c r="I2379" s="507">
        <f>SUMIFS(Controle!$R:$R,Controle!$H:$H,produtos_escape2!$A2379,Controle!$Z:$Z,"4")</f>
        <v>0</v>
      </c>
      <c r="J2379" s="507">
        <f>SUMIFS(Controle!$R:$R,Controle!$H:$H,produtos_escape2!$A2379,Controle!$Z:$Z,"5")</f>
        <v>0</v>
      </c>
      <c r="K2379" s="507">
        <f>SUMIFS(Controle!$R:$R,Controle!$H:$H,produtos_escape2!$A2379,Controle!$Z:$Z,"6")</f>
        <v>0</v>
      </c>
      <c r="L2379" s="507">
        <f t="shared" si="81"/>
        <v>0</v>
      </c>
    </row>
    <row r="2380" spans="1:12" s="84" customFormat="1" ht="14.25" customHeight="1" thickBot="1">
      <c r="A2380" s="353" t="s">
        <v>3146</v>
      </c>
      <c r="B2380" s="194" t="s">
        <v>3317</v>
      </c>
      <c r="C2380" s="339">
        <f t="shared" si="82"/>
        <v>50000</v>
      </c>
      <c r="D2380" s="191" t="s">
        <v>636</v>
      </c>
      <c r="E2380" s="172" t="s">
        <v>1687</v>
      </c>
      <c r="F2380" s="507">
        <f>SUMIFS(Controle!$R:$R,Controle!$H:$H,produtos_escape2!$A2380,Controle!$Z:$Z,"1")</f>
        <v>0</v>
      </c>
      <c r="G2380" s="507">
        <f>SUMIFS(Controle!$R:$R,Controle!$H:$H,produtos_escape2!$A2380,Controle!$Z:$Z,"2")</f>
        <v>0</v>
      </c>
      <c r="H2380" s="507">
        <f>SUMIFS(Controle!$R:$R,Controle!$H:$H,produtos_escape2!$A2380,Controle!$Z:$Z,"3")</f>
        <v>0</v>
      </c>
      <c r="I2380" s="507">
        <f>SUMIFS(Controle!$R:$R,Controle!$H:$H,produtos_escape2!$A2380,Controle!$Z:$Z,"4")</f>
        <v>0</v>
      </c>
      <c r="J2380" s="507">
        <f>SUMIFS(Controle!$R:$R,Controle!$H:$H,produtos_escape2!$A2380,Controle!$Z:$Z,"5")</f>
        <v>0</v>
      </c>
      <c r="K2380" s="507">
        <f>SUMIFS(Controle!$R:$R,Controle!$H:$H,produtos_escape2!$A2380,Controle!$Z:$Z,"6")</f>
        <v>0</v>
      </c>
      <c r="L2380" s="507">
        <f t="shared" si="81"/>
        <v>0</v>
      </c>
    </row>
    <row r="2381" spans="1:12" s="84" customFormat="1" ht="14.25" customHeight="1" thickBot="1">
      <c r="A2381" s="353" t="s">
        <v>3147</v>
      </c>
      <c r="B2381" s="194" t="s">
        <v>3318</v>
      </c>
      <c r="C2381" s="339">
        <f t="shared" si="82"/>
        <v>50000</v>
      </c>
      <c r="D2381" s="191" t="s">
        <v>636</v>
      </c>
      <c r="E2381" s="172" t="s">
        <v>1687</v>
      </c>
      <c r="F2381" s="507">
        <f>SUMIFS(Controle!$R:$R,Controle!$H:$H,produtos_escape2!$A2381,Controle!$Z:$Z,"1")</f>
        <v>0</v>
      </c>
      <c r="G2381" s="507">
        <f>SUMIFS(Controle!$R:$R,Controle!$H:$H,produtos_escape2!$A2381,Controle!$Z:$Z,"2")</f>
        <v>0</v>
      </c>
      <c r="H2381" s="507">
        <f>SUMIFS(Controle!$R:$R,Controle!$H:$H,produtos_escape2!$A2381,Controle!$Z:$Z,"3")</f>
        <v>0</v>
      </c>
      <c r="I2381" s="507">
        <f>SUMIFS(Controle!$R:$R,Controle!$H:$H,produtos_escape2!$A2381,Controle!$Z:$Z,"4")</f>
        <v>0</v>
      </c>
      <c r="J2381" s="507">
        <f>SUMIFS(Controle!$R:$R,Controle!$H:$H,produtos_escape2!$A2381,Controle!$Z:$Z,"5")</f>
        <v>0</v>
      </c>
      <c r="K2381" s="507">
        <f>SUMIFS(Controle!$R:$R,Controle!$H:$H,produtos_escape2!$A2381,Controle!$Z:$Z,"6")</f>
        <v>0</v>
      </c>
      <c r="L2381" s="507">
        <f t="shared" si="81"/>
        <v>0</v>
      </c>
    </row>
    <row r="2382" spans="1:12" s="84" customFormat="1" ht="14.25" customHeight="1" thickBot="1">
      <c r="A2382" s="353" t="s">
        <v>3148</v>
      </c>
      <c r="B2382" s="194" t="s">
        <v>3319</v>
      </c>
      <c r="C2382" s="339">
        <f t="shared" si="82"/>
        <v>50000</v>
      </c>
      <c r="D2382" s="191" t="s">
        <v>636</v>
      </c>
      <c r="E2382" s="172" t="s">
        <v>1687</v>
      </c>
      <c r="F2382" s="507">
        <f>SUMIFS(Controle!$R:$R,Controle!$H:$H,produtos_escape2!$A2382,Controle!$Z:$Z,"1")</f>
        <v>0</v>
      </c>
      <c r="G2382" s="507">
        <f>SUMIFS(Controle!$R:$R,Controle!$H:$H,produtos_escape2!$A2382,Controle!$Z:$Z,"2")</f>
        <v>0</v>
      </c>
      <c r="H2382" s="507">
        <f>SUMIFS(Controle!$R:$R,Controle!$H:$H,produtos_escape2!$A2382,Controle!$Z:$Z,"3")</f>
        <v>0</v>
      </c>
      <c r="I2382" s="507">
        <f>SUMIFS(Controle!$R:$R,Controle!$H:$H,produtos_escape2!$A2382,Controle!$Z:$Z,"4")</f>
        <v>0</v>
      </c>
      <c r="J2382" s="507">
        <f>SUMIFS(Controle!$R:$R,Controle!$H:$H,produtos_escape2!$A2382,Controle!$Z:$Z,"5")</f>
        <v>0</v>
      </c>
      <c r="K2382" s="507">
        <f>SUMIFS(Controle!$R:$R,Controle!$H:$H,produtos_escape2!$A2382,Controle!$Z:$Z,"6")</f>
        <v>0</v>
      </c>
      <c r="L2382" s="507">
        <f t="shared" si="81"/>
        <v>0</v>
      </c>
    </row>
    <row r="2383" spans="1:12" s="84" customFormat="1" ht="14.25" customHeight="1" thickBot="1">
      <c r="A2383" s="353" t="s">
        <v>3149</v>
      </c>
      <c r="B2383" s="338" t="s">
        <v>3320</v>
      </c>
      <c r="C2383" s="339">
        <f t="shared" si="82"/>
        <v>50000</v>
      </c>
      <c r="D2383" s="191" t="s">
        <v>636</v>
      </c>
      <c r="E2383" s="172" t="s">
        <v>1687</v>
      </c>
      <c r="F2383" s="507">
        <f>SUMIFS(Controle!$R:$R,Controle!$H:$H,produtos_escape2!$A2383,Controle!$Z:$Z,"1")</f>
        <v>0</v>
      </c>
      <c r="G2383" s="507">
        <f>SUMIFS(Controle!$R:$R,Controle!$H:$H,produtos_escape2!$A2383,Controle!$Z:$Z,"2")</f>
        <v>0</v>
      </c>
      <c r="H2383" s="507">
        <f>SUMIFS(Controle!$R:$R,Controle!$H:$H,produtos_escape2!$A2383,Controle!$Z:$Z,"3")</f>
        <v>0</v>
      </c>
      <c r="I2383" s="507">
        <f>SUMIFS(Controle!$R:$R,Controle!$H:$H,produtos_escape2!$A2383,Controle!$Z:$Z,"4")</f>
        <v>0</v>
      </c>
      <c r="J2383" s="507">
        <f>SUMIFS(Controle!$R:$R,Controle!$H:$H,produtos_escape2!$A2383,Controle!$Z:$Z,"5")</f>
        <v>0</v>
      </c>
      <c r="K2383" s="507">
        <f>SUMIFS(Controle!$R:$R,Controle!$H:$H,produtos_escape2!$A2383,Controle!$Z:$Z,"6")</f>
        <v>0</v>
      </c>
      <c r="L2383" s="507">
        <f t="shared" si="81"/>
        <v>0</v>
      </c>
    </row>
    <row r="2384" spans="1:12" s="84" customFormat="1" ht="14.25" customHeight="1" thickBot="1">
      <c r="A2384" s="333" t="s">
        <v>3150</v>
      </c>
      <c r="B2384" s="194" t="s">
        <v>3321</v>
      </c>
      <c r="C2384" s="339">
        <f t="shared" si="82"/>
        <v>50000</v>
      </c>
      <c r="D2384" s="191" t="s">
        <v>636</v>
      </c>
      <c r="E2384" s="172" t="s">
        <v>1687</v>
      </c>
      <c r="F2384" s="507">
        <f>SUMIFS(Controle!$R:$R,Controle!$H:$H,produtos_escape2!$A2384,Controle!$Z:$Z,"1")</f>
        <v>0</v>
      </c>
      <c r="G2384" s="507">
        <f>SUMIFS(Controle!$R:$R,Controle!$H:$H,produtos_escape2!$A2384,Controle!$Z:$Z,"2")</f>
        <v>0</v>
      </c>
      <c r="H2384" s="507">
        <f>SUMIFS(Controle!$R:$R,Controle!$H:$H,produtos_escape2!$A2384,Controle!$Z:$Z,"3")</f>
        <v>0</v>
      </c>
      <c r="I2384" s="507">
        <f>SUMIFS(Controle!$R:$R,Controle!$H:$H,produtos_escape2!$A2384,Controle!$Z:$Z,"4")</f>
        <v>0</v>
      </c>
      <c r="J2384" s="507">
        <f>SUMIFS(Controle!$R:$R,Controle!$H:$H,produtos_escape2!$A2384,Controle!$Z:$Z,"5")</f>
        <v>0</v>
      </c>
      <c r="K2384" s="507">
        <f>SUMIFS(Controle!$R:$R,Controle!$H:$H,produtos_escape2!$A2384,Controle!$Z:$Z,"6")</f>
        <v>0</v>
      </c>
      <c r="L2384" s="507">
        <f t="shared" si="81"/>
        <v>0</v>
      </c>
    </row>
    <row r="2385" spans="1:12" s="84" customFormat="1" ht="14.25" customHeight="1" thickBot="1">
      <c r="A2385" s="353" t="s">
        <v>3151</v>
      </c>
      <c r="B2385" s="194" t="s">
        <v>3322</v>
      </c>
      <c r="C2385" s="339">
        <f t="shared" si="82"/>
        <v>50000</v>
      </c>
      <c r="D2385" s="191" t="s">
        <v>636</v>
      </c>
      <c r="E2385" s="172" t="s">
        <v>1687</v>
      </c>
      <c r="F2385" s="507">
        <f>SUMIFS(Controle!$R:$R,Controle!$H:$H,produtos_escape2!$A2385,Controle!$Z:$Z,"1")</f>
        <v>0</v>
      </c>
      <c r="G2385" s="507">
        <f>SUMIFS(Controle!$R:$R,Controle!$H:$H,produtos_escape2!$A2385,Controle!$Z:$Z,"2")</f>
        <v>0</v>
      </c>
      <c r="H2385" s="507">
        <f>SUMIFS(Controle!$R:$R,Controle!$H:$H,produtos_escape2!$A2385,Controle!$Z:$Z,"3")</f>
        <v>0</v>
      </c>
      <c r="I2385" s="507">
        <f>SUMIFS(Controle!$R:$R,Controle!$H:$H,produtos_escape2!$A2385,Controle!$Z:$Z,"4")</f>
        <v>0</v>
      </c>
      <c r="J2385" s="507">
        <f>SUMIFS(Controle!$R:$R,Controle!$H:$H,produtos_escape2!$A2385,Controle!$Z:$Z,"5")</f>
        <v>0</v>
      </c>
      <c r="K2385" s="507">
        <f>SUMIFS(Controle!$R:$R,Controle!$H:$H,produtos_escape2!$A2385,Controle!$Z:$Z,"6")</f>
        <v>0</v>
      </c>
      <c r="L2385" s="507">
        <f t="shared" si="81"/>
        <v>0</v>
      </c>
    </row>
    <row r="2386" spans="1:12" s="84" customFormat="1" ht="14.25" customHeight="1" thickBot="1">
      <c r="A2386" s="353" t="s">
        <v>3152</v>
      </c>
      <c r="B2386" s="194" t="s">
        <v>3323</v>
      </c>
      <c r="C2386" s="339">
        <f t="shared" si="82"/>
        <v>50000</v>
      </c>
      <c r="D2386" s="191" t="s">
        <v>636</v>
      </c>
      <c r="E2386" s="172" t="s">
        <v>1687</v>
      </c>
      <c r="F2386" s="507">
        <f>SUMIFS(Controle!$R:$R,Controle!$H:$H,produtos_escape2!$A2386,Controle!$Z:$Z,"1")</f>
        <v>0</v>
      </c>
      <c r="G2386" s="507">
        <f>SUMIFS(Controle!$R:$R,Controle!$H:$H,produtos_escape2!$A2386,Controle!$Z:$Z,"2")</f>
        <v>0</v>
      </c>
      <c r="H2386" s="507">
        <f>SUMIFS(Controle!$R:$R,Controle!$H:$H,produtos_escape2!$A2386,Controle!$Z:$Z,"3")</f>
        <v>0</v>
      </c>
      <c r="I2386" s="507">
        <f>SUMIFS(Controle!$R:$R,Controle!$H:$H,produtos_escape2!$A2386,Controle!$Z:$Z,"4")</f>
        <v>0</v>
      </c>
      <c r="J2386" s="507">
        <f>SUMIFS(Controle!$R:$R,Controle!$H:$H,produtos_escape2!$A2386,Controle!$Z:$Z,"5")</f>
        <v>0</v>
      </c>
      <c r="K2386" s="507">
        <f>SUMIFS(Controle!$R:$R,Controle!$H:$H,produtos_escape2!$A2386,Controle!$Z:$Z,"6")</f>
        <v>0</v>
      </c>
      <c r="L2386" s="507">
        <f t="shared" si="81"/>
        <v>0</v>
      </c>
    </row>
    <row r="2387" spans="1:12" s="84" customFormat="1" ht="14.25" customHeight="1" thickBot="1">
      <c r="A2387" s="353" t="s">
        <v>3153</v>
      </c>
      <c r="B2387" s="194" t="s">
        <v>3324</v>
      </c>
      <c r="C2387" s="339">
        <f t="shared" si="82"/>
        <v>50000</v>
      </c>
      <c r="D2387" s="191" t="s">
        <v>636</v>
      </c>
      <c r="E2387" s="172" t="s">
        <v>1687</v>
      </c>
      <c r="F2387" s="507">
        <f>SUMIFS(Controle!$R:$R,Controle!$H:$H,produtos_escape2!$A2387,Controle!$Z:$Z,"1")</f>
        <v>0</v>
      </c>
      <c r="G2387" s="507">
        <f>SUMIFS(Controle!$R:$R,Controle!$H:$H,produtos_escape2!$A2387,Controle!$Z:$Z,"2")</f>
        <v>0</v>
      </c>
      <c r="H2387" s="507">
        <f>SUMIFS(Controle!$R:$R,Controle!$H:$H,produtos_escape2!$A2387,Controle!$Z:$Z,"3")</f>
        <v>0</v>
      </c>
      <c r="I2387" s="507">
        <f>SUMIFS(Controle!$R:$R,Controle!$H:$H,produtos_escape2!$A2387,Controle!$Z:$Z,"4")</f>
        <v>0</v>
      </c>
      <c r="J2387" s="507">
        <f>SUMIFS(Controle!$R:$R,Controle!$H:$H,produtos_escape2!$A2387,Controle!$Z:$Z,"5")</f>
        <v>0</v>
      </c>
      <c r="K2387" s="507">
        <f>SUMIFS(Controle!$R:$R,Controle!$H:$H,produtos_escape2!$A2387,Controle!$Z:$Z,"6")</f>
        <v>0</v>
      </c>
      <c r="L2387" s="507">
        <f t="shared" si="81"/>
        <v>0</v>
      </c>
    </row>
    <row r="2388" spans="1:12" s="84" customFormat="1" ht="14.25" customHeight="1" thickBot="1">
      <c r="A2388" s="353" t="s">
        <v>3154</v>
      </c>
      <c r="B2388" s="194" t="s">
        <v>3325</v>
      </c>
      <c r="C2388" s="339">
        <f t="shared" si="82"/>
        <v>50000</v>
      </c>
      <c r="D2388" s="191" t="s">
        <v>636</v>
      </c>
      <c r="E2388" s="172" t="s">
        <v>1687</v>
      </c>
      <c r="F2388" s="507">
        <f>SUMIFS(Controle!$R:$R,Controle!$H:$H,produtos_escape2!$A2388,Controle!$Z:$Z,"1")</f>
        <v>0</v>
      </c>
      <c r="G2388" s="507">
        <f>SUMIFS(Controle!$R:$R,Controle!$H:$H,produtos_escape2!$A2388,Controle!$Z:$Z,"2")</f>
        <v>0</v>
      </c>
      <c r="H2388" s="507">
        <f>SUMIFS(Controle!$R:$R,Controle!$H:$H,produtos_escape2!$A2388,Controle!$Z:$Z,"3")</f>
        <v>0</v>
      </c>
      <c r="I2388" s="507">
        <f>SUMIFS(Controle!$R:$R,Controle!$H:$H,produtos_escape2!$A2388,Controle!$Z:$Z,"4")</f>
        <v>0</v>
      </c>
      <c r="J2388" s="507">
        <f>SUMIFS(Controle!$R:$R,Controle!$H:$H,produtos_escape2!$A2388,Controle!$Z:$Z,"5")</f>
        <v>0</v>
      </c>
      <c r="K2388" s="507">
        <f>SUMIFS(Controle!$R:$R,Controle!$H:$H,produtos_escape2!$A2388,Controle!$Z:$Z,"6")</f>
        <v>0</v>
      </c>
      <c r="L2388" s="507">
        <f t="shared" si="81"/>
        <v>0</v>
      </c>
    </row>
    <row r="2389" spans="1:12" s="84" customFormat="1" ht="14.25" customHeight="1" thickBot="1">
      <c r="A2389" s="353" t="s">
        <v>3155</v>
      </c>
      <c r="B2389" s="194" t="s">
        <v>3326</v>
      </c>
      <c r="C2389" s="339">
        <f t="shared" si="82"/>
        <v>50000</v>
      </c>
      <c r="D2389" s="191" t="s">
        <v>636</v>
      </c>
      <c r="E2389" s="172" t="s">
        <v>1687</v>
      </c>
      <c r="F2389" s="507">
        <f>SUMIFS(Controle!$R:$R,Controle!$H:$H,produtos_escape2!$A2389,Controle!$Z:$Z,"1")</f>
        <v>0</v>
      </c>
      <c r="G2389" s="507">
        <f>SUMIFS(Controle!$R:$R,Controle!$H:$H,produtos_escape2!$A2389,Controle!$Z:$Z,"2")</f>
        <v>0</v>
      </c>
      <c r="H2389" s="507">
        <f>SUMIFS(Controle!$R:$R,Controle!$H:$H,produtos_escape2!$A2389,Controle!$Z:$Z,"3")</f>
        <v>0</v>
      </c>
      <c r="I2389" s="507">
        <f>SUMIFS(Controle!$R:$R,Controle!$H:$H,produtos_escape2!$A2389,Controle!$Z:$Z,"4")</f>
        <v>0</v>
      </c>
      <c r="J2389" s="507">
        <f>SUMIFS(Controle!$R:$R,Controle!$H:$H,produtos_escape2!$A2389,Controle!$Z:$Z,"5")</f>
        <v>0</v>
      </c>
      <c r="K2389" s="507">
        <f>SUMIFS(Controle!$R:$R,Controle!$H:$H,produtos_escape2!$A2389,Controle!$Z:$Z,"6")</f>
        <v>0</v>
      </c>
      <c r="L2389" s="507">
        <f t="shared" si="81"/>
        <v>0</v>
      </c>
    </row>
    <row r="2390" spans="1:12" s="84" customFormat="1" ht="14.25" customHeight="1" thickBot="1">
      <c r="A2390" s="353" t="s">
        <v>3156</v>
      </c>
      <c r="B2390" s="194" t="s">
        <v>3327</v>
      </c>
      <c r="C2390" s="339">
        <f t="shared" si="82"/>
        <v>50000</v>
      </c>
      <c r="D2390" s="191" t="s">
        <v>636</v>
      </c>
      <c r="E2390" s="172" t="s">
        <v>1687</v>
      </c>
      <c r="F2390" s="507">
        <f>SUMIFS(Controle!$R:$R,Controle!$H:$H,produtos_escape2!$A2390,Controle!$Z:$Z,"1")</f>
        <v>0</v>
      </c>
      <c r="G2390" s="507">
        <f>SUMIFS(Controle!$R:$R,Controle!$H:$H,produtos_escape2!$A2390,Controle!$Z:$Z,"2")</f>
        <v>0</v>
      </c>
      <c r="H2390" s="507">
        <f>SUMIFS(Controle!$R:$R,Controle!$H:$H,produtos_escape2!$A2390,Controle!$Z:$Z,"3")</f>
        <v>0</v>
      </c>
      <c r="I2390" s="507">
        <f>SUMIFS(Controle!$R:$R,Controle!$H:$H,produtos_escape2!$A2390,Controle!$Z:$Z,"4")</f>
        <v>0</v>
      </c>
      <c r="J2390" s="507">
        <f>SUMIFS(Controle!$R:$R,Controle!$H:$H,produtos_escape2!$A2390,Controle!$Z:$Z,"5")</f>
        <v>0</v>
      </c>
      <c r="K2390" s="507">
        <f>SUMIFS(Controle!$R:$R,Controle!$H:$H,produtos_escape2!$A2390,Controle!$Z:$Z,"6")</f>
        <v>0</v>
      </c>
      <c r="L2390" s="507">
        <f t="shared" si="81"/>
        <v>0</v>
      </c>
    </row>
    <row r="2391" spans="1:12" s="84" customFormat="1" ht="14.25" customHeight="1" thickBot="1">
      <c r="A2391" s="353" t="s">
        <v>3157</v>
      </c>
      <c r="B2391" s="338" t="s">
        <v>3328</v>
      </c>
      <c r="C2391" s="339">
        <f t="shared" si="82"/>
        <v>50000</v>
      </c>
      <c r="D2391" s="191" t="s">
        <v>636</v>
      </c>
      <c r="E2391" s="172" t="s">
        <v>1687</v>
      </c>
      <c r="F2391" s="507">
        <f>SUMIFS(Controle!$R:$R,Controle!$H:$H,produtos_escape2!$A2391,Controle!$Z:$Z,"1")</f>
        <v>0</v>
      </c>
      <c r="G2391" s="507">
        <f>SUMIFS(Controle!$R:$R,Controle!$H:$H,produtos_escape2!$A2391,Controle!$Z:$Z,"2")</f>
        <v>0</v>
      </c>
      <c r="H2391" s="507">
        <f>SUMIFS(Controle!$R:$R,Controle!$H:$H,produtos_escape2!$A2391,Controle!$Z:$Z,"3")</f>
        <v>0</v>
      </c>
      <c r="I2391" s="507">
        <f>SUMIFS(Controle!$R:$R,Controle!$H:$H,produtos_escape2!$A2391,Controle!$Z:$Z,"4")</f>
        <v>0</v>
      </c>
      <c r="J2391" s="507">
        <f>SUMIFS(Controle!$R:$R,Controle!$H:$H,produtos_escape2!$A2391,Controle!$Z:$Z,"5")</f>
        <v>0</v>
      </c>
      <c r="K2391" s="507">
        <f>SUMIFS(Controle!$R:$R,Controle!$H:$H,produtos_escape2!$A2391,Controle!$Z:$Z,"6")</f>
        <v>0</v>
      </c>
      <c r="L2391" s="507">
        <f t="shared" si="81"/>
        <v>0</v>
      </c>
    </row>
    <row r="2392" spans="1:12" s="84" customFormat="1" ht="14.25" customHeight="1" thickBot="1">
      <c r="A2392" s="333" t="s">
        <v>3158</v>
      </c>
      <c r="B2392" s="194" t="s">
        <v>3329</v>
      </c>
      <c r="C2392" s="339">
        <f t="shared" si="82"/>
        <v>50000</v>
      </c>
      <c r="D2392" s="191" t="s">
        <v>636</v>
      </c>
      <c r="E2392" s="172" t="s">
        <v>1687</v>
      </c>
      <c r="F2392" s="507">
        <f>SUMIFS(Controle!$R:$R,Controle!$H:$H,produtos_escape2!$A2392,Controle!$Z:$Z,"1")</f>
        <v>0</v>
      </c>
      <c r="G2392" s="507">
        <f>SUMIFS(Controle!$R:$R,Controle!$H:$H,produtos_escape2!$A2392,Controle!$Z:$Z,"2")</f>
        <v>0</v>
      </c>
      <c r="H2392" s="507">
        <f>SUMIFS(Controle!$R:$R,Controle!$H:$H,produtos_escape2!$A2392,Controle!$Z:$Z,"3")</f>
        <v>0</v>
      </c>
      <c r="I2392" s="507">
        <f>SUMIFS(Controle!$R:$R,Controle!$H:$H,produtos_escape2!$A2392,Controle!$Z:$Z,"4")</f>
        <v>0</v>
      </c>
      <c r="J2392" s="507">
        <f>SUMIFS(Controle!$R:$R,Controle!$H:$H,produtos_escape2!$A2392,Controle!$Z:$Z,"5")</f>
        <v>0</v>
      </c>
      <c r="K2392" s="507">
        <f>SUMIFS(Controle!$R:$R,Controle!$H:$H,produtos_escape2!$A2392,Controle!$Z:$Z,"6")</f>
        <v>0</v>
      </c>
      <c r="L2392" s="507">
        <f t="shared" si="81"/>
        <v>0</v>
      </c>
    </row>
    <row r="2393" spans="1:12" s="84" customFormat="1" ht="14.25" customHeight="1" thickBot="1">
      <c r="A2393" s="353" t="s">
        <v>3159</v>
      </c>
      <c r="B2393" s="194" t="s">
        <v>3330</v>
      </c>
      <c r="C2393" s="339">
        <f t="shared" si="82"/>
        <v>50000</v>
      </c>
      <c r="D2393" s="191" t="s">
        <v>636</v>
      </c>
      <c r="E2393" s="172" t="s">
        <v>1687</v>
      </c>
      <c r="F2393" s="507">
        <f>SUMIFS(Controle!$R:$R,Controle!$H:$H,produtos_escape2!$A2393,Controle!$Z:$Z,"1")</f>
        <v>0</v>
      </c>
      <c r="G2393" s="507">
        <f>SUMIFS(Controle!$R:$R,Controle!$H:$H,produtos_escape2!$A2393,Controle!$Z:$Z,"2")</f>
        <v>0</v>
      </c>
      <c r="H2393" s="507">
        <f>SUMIFS(Controle!$R:$R,Controle!$H:$H,produtos_escape2!$A2393,Controle!$Z:$Z,"3")</f>
        <v>0</v>
      </c>
      <c r="I2393" s="507">
        <f>SUMIFS(Controle!$R:$R,Controle!$H:$H,produtos_escape2!$A2393,Controle!$Z:$Z,"4")</f>
        <v>0</v>
      </c>
      <c r="J2393" s="507">
        <f>SUMIFS(Controle!$R:$R,Controle!$H:$H,produtos_escape2!$A2393,Controle!$Z:$Z,"5")</f>
        <v>0</v>
      </c>
      <c r="K2393" s="507">
        <f>SUMIFS(Controle!$R:$R,Controle!$H:$H,produtos_escape2!$A2393,Controle!$Z:$Z,"6")</f>
        <v>0</v>
      </c>
      <c r="L2393" s="507">
        <f t="shared" si="81"/>
        <v>0</v>
      </c>
    </row>
    <row r="2394" spans="1:12" s="84" customFormat="1" ht="14.25" customHeight="1" thickBot="1">
      <c r="A2394" s="353" t="s">
        <v>3160</v>
      </c>
      <c r="B2394" s="194" t="s">
        <v>3331</v>
      </c>
      <c r="C2394" s="339">
        <f t="shared" si="82"/>
        <v>50000</v>
      </c>
      <c r="D2394" s="191" t="s">
        <v>636</v>
      </c>
      <c r="E2394" s="172" t="s">
        <v>1687</v>
      </c>
      <c r="F2394" s="507">
        <f>SUMIFS(Controle!$R:$R,Controle!$H:$H,produtos_escape2!$A2394,Controle!$Z:$Z,"1")</f>
        <v>0</v>
      </c>
      <c r="G2394" s="507">
        <f>SUMIFS(Controle!$R:$R,Controle!$H:$H,produtos_escape2!$A2394,Controle!$Z:$Z,"2")</f>
        <v>0</v>
      </c>
      <c r="H2394" s="507">
        <f>SUMIFS(Controle!$R:$R,Controle!$H:$H,produtos_escape2!$A2394,Controle!$Z:$Z,"3")</f>
        <v>0</v>
      </c>
      <c r="I2394" s="507">
        <f>SUMIFS(Controle!$R:$R,Controle!$H:$H,produtos_escape2!$A2394,Controle!$Z:$Z,"4")</f>
        <v>0</v>
      </c>
      <c r="J2394" s="507">
        <f>SUMIFS(Controle!$R:$R,Controle!$H:$H,produtos_escape2!$A2394,Controle!$Z:$Z,"5")</f>
        <v>0</v>
      </c>
      <c r="K2394" s="507">
        <f>SUMIFS(Controle!$R:$R,Controle!$H:$H,produtos_escape2!$A2394,Controle!$Z:$Z,"6")</f>
        <v>0</v>
      </c>
      <c r="L2394" s="507">
        <f t="shared" si="81"/>
        <v>0</v>
      </c>
    </row>
    <row r="2395" spans="1:12" s="84" customFormat="1" ht="14.25" customHeight="1" thickBot="1">
      <c r="A2395" s="353" t="s">
        <v>3425</v>
      </c>
      <c r="B2395" s="194" t="s">
        <v>3422</v>
      </c>
      <c r="C2395" s="339">
        <f t="shared" si="82"/>
        <v>50000</v>
      </c>
      <c r="D2395" s="191" t="s">
        <v>636</v>
      </c>
      <c r="E2395" s="172" t="s">
        <v>1687</v>
      </c>
      <c r="F2395" s="507">
        <f>SUMIFS(Controle!$R:$R,Controle!$H:$H,produtos_escape2!$A2395,Controle!$Z:$Z,"1")</f>
        <v>0</v>
      </c>
      <c r="G2395" s="507">
        <f>SUMIFS(Controle!$R:$R,Controle!$H:$H,produtos_escape2!$A2395,Controle!$Z:$Z,"2")</f>
        <v>0</v>
      </c>
      <c r="H2395" s="507">
        <f>SUMIFS(Controle!$R:$R,Controle!$H:$H,produtos_escape2!$A2395,Controle!$Z:$Z,"3")</f>
        <v>0</v>
      </c>
      <c r="I2395" s="507">
        <f>SUMIFS(Controle!$R:$R,Controle!$H:$H,produtos_escape2!$A2395,Controle!$Z:$Z,"4")</f>
        <v>0</v>
      </c>
      <c r="J2395" s="507">
        <f>SUMIFS(Controle!$R:$R,Controle!$H:$H,produtos_escape2!$A2395,Controle!$Z:$Z,"5")</f>
        <v>0</v>
      </c>
      <c r="K2395" s="507">
        <f>SUMIFS(Controle!$R:$R,Controle!$H:$H,produtos_escape2!$A2395,Controle!$Z:$Z,"6")</f>
        <v>0</v>
      </c>
      <c r="L2395" s="507">
        <f t="shared" si="81"/>
        <v>0</v>
      </c>
    </row>
    <row r="2396" spans="1:12" s="84" customFormat="1" ht="14.25" customHeight="1" thickBot="1">
      <c r="A2396" s="353" t="s">
        <v>3426</v>
      </c>
      <c r="B2396" s="194" t="s">
        <v>3423</v>
      </c>
      <c r="C2396" s="339">
        <f t="shared" si="82"/>
        <v>50000</v>
      </c>
      <c r="D2396" s="191" t="s">
        <v>636</v>
      </c>
      <c r="E2396" s="172" t="s">
        <v>1687</v>
      </c>
      <c r="F2396" s="507">
        <f>SUMIFS(Controle!$R:$R,Controle!$H:$H,produtos_escape2!$A2396,Controle!$Z:$Z,"1")</f>
        <v>0</v>
      </c>
      <c r="G2396" s="507">
        <f>SUMIFS(Controle!$R:$R,Controle!$H:$H,produtos_escape2!$A2396,Controle!$Z:$Z,"2")</f>
        <v>0</v>
      </c>
      <c r="H2396" s="507">
        <f>SUMIFS(Controle!$R:$R,Controle!$H:$H,produtos_escape2!$A2396,Controle!$Z:$Z,"3")</f>
        <v>0</v>
      </c>
      <c r="I2396" s="507">
        <f>SUMIFS(Controle!$R:$R,Controle!$H:$H,produtos_escape2!$A2396,Controle!$Z:$Z,"4")</f>
        <v>0</v>
      </c>
      <c r="J2396" s="507">
        <f>SUMIFS(Controle!$R:$R,Controle!$H:$H,produtos_escape2!$A2396,Controle!$Z:$Z,"5")</f>
        <v>0</v>
      </c>
      <c r="K2396" s="507">
        <f>SUMIFS(Controle!$R:$R,Controle!$H:$H,produtos_escape2!$A2396,Controle!$Z:$Z,"6")</f>
        <v>0</v>
      </c>
      <c r="L2396" s="507">
        <f t="shared" si="81"/>
        <v>0</v>
      </c>
    </row>
    <row r="2397" spans="1:12" s="84" customFormat="1" ht="14.25" customHeight="1" thickBot="1">
      <c r="A2397" s="353" t="s">
        <v>3427</v>
      </c>
      <c r="B2397" s="194" t="s">
        <v>3424</v>
      </c>
      <c r="C2397" s="339">
        <f t="shared" si="82"/>
        <v>50000</v>
      </c>
      <c r="D2397" s="191" t="s">
        <v>636</v>
      </c>
      <c r="E2397" s="172" t="s">
        <v>1687</v>
      </c>
      <c r="F2397" s="507">
        <f>SUMIFS(Controle!$R:$R,Controle!$H:$H,produtos_escape2!$A2397,Controle!$Z:$Z,"1")</f>
        <v>0</v>
      </c>
      <c r="G2397" s="507">
        <f>SUMIFS(Controle!$R:$R,Controle!$H:$H,produtos_escape2!$A2397,Controle!$Z:$Z,"2")</f>
        <v>0</v>
      </c>
      <c r="H2397" s="507">
        <f>SUMIFS(Controle!$R:$R,Controle!$H:$H,produtos_escape2!$A2397,Controle!$Z:$Z,"3")</f>
        <v>0</v>
      </c>
      <c r="I2397" s="507">
        <f>SUMIFS(Controle!$R:$R,Controle!$H:$H,produtos_escape2!$A2397,Controle!$Z:$Z,"4")</f>
        <v>0</v>
      </c>
      <c r="J2397" s="507">
        <f>SUMIFS(Controle!$R:$R,Controle!$H:$H,produtos_escape2!$A2397,Controle!$Z:$Z,"5")</f>
        <v>0</v>
      </c>
      <c r="K2397" s="507">
        <f>SUMIFS(Controle!$R:$R,Controle!$H:$H,produtos_escape2!$A2397,Controle!$Z:$Z,"6")</f>
        <v>0</v>
      </c>
      <c r="L2397" s="507">
        <f t="shared" si="81"/>
        <v>0</v>
      </c>
    </row>
    <row r="2398" spans="1:12" s="84" customFormat="1" ht="14.25" customHeight="1" thickBot="1">
      <c r="A2398" s="353" t="s">
        <v>6909</v>
      </c>
      <c r="B2398" s="194" t="s">
        <v>6910</v>
      </c>
      <c r="C2398" s="339">
        <f t="shared" si="82"/>
        <v>50000</v>
      </c>
      <c r="D2398" s="191" t="s">
        <v>636</v>
      </c>
      <c r="E2398" s="172" t="s">
        <v>1687</v>
      </c>
      <c r="F2398" s="507">
        <f>SUMIFS(Controle!$R:$R,Controle!$H:$H,produtos_escape2!$A2398,Controle!$Z:$Z,"1")</f>
        <v>0</v>
      </c>
      <c r="G2398" s="507">
        <f>SUMIFS(Controle!$R:$R,Controle!$H:$H,produtos_escape2!$A2398,Controle!$Z:$Z,"2")</f>
        <v>0</v>
      </c>
      <c r="H2398" s="507">
        <f>SUMIFS(Controle!$R:$R,Controle!$H:$H,produtos_escape2!$A2398,Controle!$Z:$Z,"3")</f>
        <v>0</v>
      </c>
      <c r="I2398" s="507">
        <f>SUMIFS(Controle!$R:$R,Controle!$H:$H,produtos_escape2!$A2398,Controle!$Z:$Z,"4")</f>
        <v>0</v>
      </c>
      <c r="J2398" s="507">
        <f>SUMIFS(Controle!$R:$R,Controle!$H:$H,produtos_escape2!$A2398,Controle!$Z:$Z,"5")</f>
        <v>0</v>
      </c>
      <c r="K2398" s="507">
        <f>SUMIFS(Controle!$R:$R,Controle!$H:$H,produtos_escape2!$A2398,Controle!$Z:$Z,"6")</f>
        <v>0</v>
      </c>
      <c r="L2398" s="507">
        <f t="shared" si="81"/>
        <v>0</v>
      </c>
    </row>
    <row r="2399" spans="1:12" s="84" customFormat="1" ht="14.25" customHeight="1" thickBot="1">
      <c r="A2399" s="353" t="s">
        <v>7006</v>
      </c>
      <c r="B2399" s="194" t="s">
        <v>7007</v>
      </c>
      <c r="C2399" s="339">
        <f t="shared" si="82"/>
        <v>50000</v>
      </c>
      <c r="D2399" s="191" t="s">
        <v>636</v>
      </c>
      <c r="E2399" s="172" t="s">
        <v>1687</v>
      </c>
      <c r="F2399" s="507">
        <f>SUMIFS(Controle!$R:$R,Controle!$H:$H,produtos_escape2!$A2399,Controle!$Z:$Z,"1")</f>
        <v>0</v>
      </c>
      <c r="G2399" s="507">
        <f>SUMIFS(Controle!$R:$R,Controle!$H:$H,produtos_escape2!$A2399,Controle!$Z:$Z,"2")</f>
        <v>0</v>
      </c>
      <c r="H2399" s="507">
        <f>SUMIFS(Controle!$R:$R,Controle!$H:$H,produtos_escape2!$A2399,Controle!$Z:$Z,"3")</f>
        <v>0</v>
      </c>
      <c r="I2399" s="507">
        <f>SUMIFS(Controle!$R:$R,Controle!$H:$H,produtos_escape2!$A2399,Controle!$Z:$Z,"4")</f>
        <v>0</v>
      </c>
      <c r="J2399" s="507">
        <f>SUMIFS(Controle!$R:$R,Controle!$H:$H,produtos_escape2!$A2399,Controle!$Z:$Z,"5")</f>
        <v>0</v>
      </c>
      <c r="K2399" s="507">
        <f>SUMIFS(Controle!$R:$R,Controle!$H:$H,produtos_escape2!$A2399,Controle!$Z:$Z,"6")</f>
        <v>0</v>
      </c>
      <c r="L2399" s="507">
        <f t="shared" si="81"/>
        <v>0</v>
      </c>
    </row>
    <row r="2400" spans="1:12" s="84" customFormat="1" ht="14.25" customHeight="1" thickBot="1">
      <c r="A2400" s="353" t="s">
        <v>7899</v>
      </c>
      <c r="B2400" s="194" t="s">
        <v>7900</v>
      </c>
      <c r="C2400" s="339">
        <f t="shared" si="82"/>
        <v>45005.56</v>
      </c>
      <c r="D2400" s="191" t="s">
        <v>636</v>
      </c>
      <c r="E2400" s="172" t="s">
        <v>1687</v>
      </c>
      <c r="F2400" s="507">
        <f>SUMIFS(Controle!$R:$R,Controle!$H:$H,produtos_escape2!$A2400,Controle!$Z:$Z,"1")</f>
        <v>0</v>
      </c>
      <c r="G2400" s="507">
        <f>SUMIFS(Controle!$R:$R,Controle!$H:$H,produtos_escape2!$A2400,Controle!$Z:$Z,"2")</f>
        <v>0</v>
      </c>
      <c r="H2400" s="507">
        <f>SUMIFS(Controle!$R:$R,Controle!$H:$H,produtos_escape2!$A2400,Controle!$Z:$Z,"3")</f>
        <v>4994.4399999999996</v>
      </c>
      <c r="I2400" s="507">
        <f>SUMIFS(Controle!$R:$R,Controle!$H:$H,produtos_escape2!$A2400,Controle!$Z:$Z,"4")</f>
        <v>0</v>
      </c>
      <c r="J2400" s="507">
        <f>SUMIFS(Controle!$R:$R,Controle!$H:$H,produtos_escape2!$A2400,Controle!$Z:$Z,"5")</f>
        <v>0</v>
      </c>
      <c r="K2400" s="507">
        <f>SUMIFS(Controle!$R:$R,Controle!$H:$H,produtos_escape2!$A2400,Controle!$Z:$Z,"6")</f>
        <v>0</v>
      </c>
      <c r="L2400" s="507">
        <f t="shared" si="81"/>
        <v>4994.4399999999996</v>
      </c>
    </row>
    <row r="2401" spans="1:12" s="84" customFormat="1" ht="14.25" customHeight="1" thickBot="1">
      <c r="A2401" s="353" t="s">
        <v>8054</v>
      </c>
      <c r="B2401" s="194" t="s">
        <v>3696</v>
      </c>
      <c r="C2401" s="339">
        <f t="shared" si="82"/>
        <v>50000</v>
      </c>
      <c r="D2401" s="191" t="s">
        <v>636</v>
      </c>
      <c r="E2401" s="172" t="s">
        <v>1687</v>
      </c>
      <c r="F2401" s="507">
        <f>SUMIFS(Controle!$R:$R,Controle!$H:$H,produtos_escape2!$A2401,Controle!$Z:$Z,"1")</f>
        <v>0</v>
      </c>
      <c r="G2401" s="507">
        <f>SUMIFS(Controle!$R:$R,Controle!$H:$H,produtos_escape2!$A2401,Controle!$Z:$Z,"2")</f>
        <v>0</v>
      </c>
      <c r="H2401" s="507">
        <f>SUMIFS(Controle!$R:$R,Controle!$H:$H,produtos_escape2!$A2401,Controle!$Z:$Z,"3")</f>
        <v>0</v>
      </c>
      <c r="I2401" s="507">
        <f>SUMIFS(Controle!$R:$R,Controle!$H:$H,produtos_escape2!$A2401,Controle!$Z:$Z,"4")</f>
        <v>0</v>
      </c>
      <c r="J2401" s="507">
        <f>SUMIFS(Controle!$R:$R,Controle!$H:$H,produtos_escape2!$A2401,Controle!$Z:$Z,"5")</f>
        <v>0</v>
      </c>
      <c r="K2401" s="507">
        <f>SUMIFS(Controle!$R:$R,Controle!$H:$H,produtos_escape2!$A2401,Controle!$Z:$Z,"6")</f>
        <v>0</v>
      </c>
      <c r="L2401" s="507">
        <f t="shared" si="81"/>
        <v>0</v>
      </c>
    </row>
    <row r="2402" spans="1:12" s="84" customFormat="1" ht="14.25" customHeight="1" thickBot="1">
      <c r="A2402" s="353" t="s">
        <v>8055</v>
      </c>
      <c r="B2402" s="194" t="s">
        <v>3697</v>
      </c>
      <c r="C2402" s="339">
        <f t="shared" si="82"/>
        <v>50000</v>
      </c>
      <c r="D2402" s="191" t="s">
        <v>636</v>
      </c>
      <c r="E2402" s="172" t="s">
        <v>1687</v>
      </c>
      <c r="F2402" s="507">
        <f>SUMIFS(Controle!$R:$R,Controle!$H:$H,produtos_escape2!$A2402,Controle!$Z:$Z,"1")</f>
        <v>0</v>
      </c>
      <c r="G2402" s="507">
        <f>SUMIFS(Controle!$R:$R,Controle!$H:$H,produtos_escape2!$A2402,Controle!$Z:$Z,"2")</f>
        <v>0</v>
      </c>
      <c r="H2402" s="507">
        <f>SUMIFS(Controle!$R:$R,Controle!$H:$H,produtos_escape2!$A2402,Controle!$Z:$Z,"3")</f>
        <v>0</v>
      </c>
      <c r="I2402" s="507">
        <f>SUMIFS(Controle!$R:$R,Controle!$H:$H,produtos_escape2!$A2402,Controle!$Z:$Z,"4")</f>
        <v>0</v>
      </c>
      <c r="J2402" s="507">
        <f>SUMIFS(Controle!$R:$R,Controle!$H:$H,produtos_escape2!$A2402,Controle!$Z:$Z,"5")</f>
        <v>0</v>
      </c>
      <c r="K2402" s="507">
        <f>SUMIFS(Controle!$R:$R,Controle!$H:$H,produtos_escape2!$A2402,Controle!$Z:$Z,"6")</f>
        <v>0</v>
      </c>
      <c r="L2402" s="507">
        <f t="shared" si="81"/>
        <v>0</v>
      </c>
    </row>
    <row r="2403" spans="1:12" s="84" customFormat="1" ht="14.25" customHeight="1" thickBot="1">
      <c r="A2403" s="353" t="s">
        <v>8056</v>
      </c>
      <c r="B2403" s="194" t="s">
        <v>3698</v>
      </c>
      <c r="C2403" s="339">
        <f t="shared" si="82"/>
        <v>50000</v>
      </c>
      <c r="D2403" s="191" t="s">
        <v>636</v>
      </c>
      <c r="E2403" s="172" t="s">
        <v>1687</v>
      </c>
      <c r="F2403" s="507">
        <f>SUMIFS(Controle!$R:$R,Controle!$H:$H,produtos_escape2!$A2403,Controle!$Z:$Z,"1")</f>
        <v>0</v>
      </c>
      <c r="G2403" s="507">
        <f>SUMIFS(Controle!$R:$R,Controle!$H:$H,produtos_escape2!$A2403,Controle!$Z:$Z,"2")</f>
        <v>0</v>
      </c>
      <c r="H2403" s="507">
        <f>SUMIFS(Controle!$R:$R,Controle!$H:$H,produtos_escape2!$A2403,Controle!$Z:$Z,"3")</f>
        <v>0</v>
      </c>
      <c r="I2403" s="507">
        <f>SUMIFS(Controle!$R:$R,Controle!$H:$H,produtos_escape2!$A2403,Controle!$Z:$Z,"4")</f>
        <v>0</v>
      </c>
      <c r="J2403" s="507">
        <f>SUMIFS(Controle!$R:$R,Controle!$H:$H,produtos_escape2!$A2403,Controle!$Z:$Z,"5")</f>
        <v>0</v>
      </c>
      <c r="K2403" s="507">
        <f>SUMIFS(Controle!$R:$R,Controle!$H:$H,produtos_escape2!$A2403,Controle!$Z:$Z,"6")</f>
        <v>0</v>
      </c>
      <c r="L2403" s="507">
        <f t="shared" si="81"/>
        <v>0</v>
      </c>
    </row>
    <row r="2404" spans="1:12" s="84" customFormat="1" ht="14.25" customHeight="1" thickBot="1">
      <c r="A2404" s="353" t="s">
        <v>8057</v>
      </c>
      <c r="B2404" s="194" t="s">
        <v>3699</v>
      </c>
      <c r="C2404" s="339">
        <f t="shared" si="82"/>
        <v>50000</v>
      </c>
      <c r="D2404" s="191" t="s">
        <v>636</v>
      </c>
      <c r="E2404" s="172" t="s">
        <v>1687</v>
      </c>
      <c r="F2404" s="507">
        <f>SUMIFS(Controle!$R:$R,Controle!$H:$H,produtos_escape2!$A2404,Controle!$Z:$Z,"1")</f>
        <v>0</v>
      </c>
      <c r="G2404" s="507">
        <f>SUMIFS(Controle!$R:$R,Controle!$H:$H,produtos_escape2!$A2404,Controle!$Z:$Z,"2")</f>
        <v>0</v>
      </c>
      <c r="H2404" s="507">
        <f>SUMIFS(Controle!$R:$R,Controle!$H:$H,produtos_escape2!$A2404,Controle!$Z:$Z,"3")</f>
        <v>0</v>
      </c>
      <c r="I2404" s="507">
        <f>SUMIFS(Controle!$R:$R,Controle!$H:$H,produtos_escape2!$A2404,Controle!$Z:$Z,"4")</f>
        <v>0</v>
      </c>
      <c r="J2404" s="507">
        <f>SUMIFS(Controle!$R:$R,Controle!$H:$H,produtos_escape2!$A2404,Controle!$Z:$Z,"5")</f>
        <v>0</v>
      </c>
      <c r="K2404" s="507">
        <f>SUMIFS(Controle!$R:$R,Controle!$H:$H,produtos_escape2!$A2404,Controle!$Z:$Z,"6")</f>
        <v>0</v>
      </c>
      <c r="L2404" s="507">
        <f t="shared" si="81"/>
        <v>0</v>
      </c>
    </row>
    <row r="2405" spans="1:12" s="84" customFormat="1" ht="14.25" customHeight="1" thickBot="1">
      <c r="A2405" s="353" t="s">
        <v>8058</v>
      </c>
      <c r="B2405" s="194" t="s">
        <v>3700</v>
      </c>
      <c r="C2405" s="339">
        <f t="shared" si="82"/>
        <v>50000</v>
      </c>
      <c r="D2405" s="191" t="s">
        <v>636</v>
      </c>
      <c r="E2405" s="172" t="s">
        <v>1687</v>
      </c>
      <c r="F2405" s="507">
        <f>SUMIFS(Controle!$R:$R,Controle!$H:$H,produtos_escape2!$A2405,Controle!$Z:$Z,"1")</f>
        <v>0</v>
      </c>
      <c r="G2405" s="507">
        <f>SUMIFS(Controle!$R:$R,Controle!$H:$H,produtos_escape2!$A2405,Controle!$Z:$Z,"2")</f>
        <v>0</v>
      </c>
      <c r="H2405" s="507">
        <f>SUMIFS(Controle!$R:$R,Controle!$H:$H,produtos_escape2!$A2405,Controle!$Z:$Z,"3")</f>
        <v>0</v>
      </c>
      <c r="I2405" s="507">
        <f>SUMIFS(Controle!$R:$R,Controle!$H:$H,produtos_escape2!$A2405,Controle!$Z:$Z,"4")</f>
        <v>0</v>
      </c>
      <c r="J2405" s="507">
        <f>SUMIFS(Controle!$R:$R,Controle!$H:$H,produtos_escape2!$A2405,Controle!$Z:$Z,"5")</f>
        <v>0</v>
      </c>
      <c r="K2405" s="507">
        <f>SUMIFS(Controle!$R:$R,Controle!$H:$H,produtos_escape2!$A2405,Controle!$Z:$Z,"6")</f>
        <v>0</v>
      </c>
      <c r="L2405" s="507">
        <f t="shared" si="81"/>
        <v>0</v>
      </c>
    </row>
    <row r="2406" spans="1:12" s="84" customFormat="1" ht="14.25" customHeight="1" thickBot="1">
      <c r="A2406" s="353" t="s">
        <v>8059</v>
      </c>
      <c r="B2406" s="194" t="s">
        <v>3701</v>
      </c>
      <c r="C2406" s="339">
        <f t="shared" si="82"/>
        <v>50000</v>
      </c>
      <c r="D2406" s="191" t="s">
        <v>636</v>
      </c>
      <c r="E2406" s="172" t="s">
        <v>1687</v>
      </c>
      <c r="F2406" s="507">
        <f>SUMIFS(Controle!$R:$R,Controle!$H:$H,produtos_escape2!$A2406,Controle!$Z:$Z,"1")</f>
        <v>0</v>
      </c>
      <c r="G2406" s="507">
        <f>SUMIFS(Controle!$R:$R,Controle!$H:$H,produtos_escape2!$A2406,Controle!$Z:$Z,"2")</f>
        <v>0</v>
      </c>
      <c r="H2406" s="507">
        <f>SUMIFS(Controle!$R:$R,Controle!$H:$H,produtos_escape2!$A2406,Controle!$Z:$Z,"3")</f>
        <v>0</v>
      </c>
      <c r="I2406" s="507">
        <f>SUMIFS(Controle!$R:$R,Controle!$H:$H,produtos_escape2!$A2406,Controle!$Z:$Z,"4")</f>
        <v>0</v>
      </c>
      <c r="J2406" s="507">
        <f>SUMIFS(Controle!$R:$R,Controle!$H:$H,produtos_escape2!$A2406,Controle!$Z:$Z,"5")</f>
        <v>0</v>
      </c>
      <c r="K2406" s="507">
        <f>SUMIFS(Controle!$R:$R,Controle!$H:$H,produtos_escape2!$A2406,Controle!$Z:$Z,"6")</f>
        <v>0</v>
      </c>
      <c r="L2406" s="507">
        <f t="shared" si="81"/>
        <v>0</v>
      </c>
    </row>
    <row r="2407" spans="1:12" s="84" customFormat="1" ht="14.25" customHeight="1" thickBot="1">
      <c r="A2407" s="353" t="s">
        <v>8060</v>
      </c>
      <c r="B2407" s="338" t="s">
        <v>3702</v>
      </c>
      <c r="C2407" s="339">
        <f t="shared" si="82"/>
        <v>50000</v>
      </c>
      <c r="D2407" s="191" t="s">
        <v>636</v>
      </c>
      <c r="E2407" s="172" t="s">
        <v>1687</v>
      </c>
      <c r="F2407" s="507">
        <f>SUMIFS(Controle!$R:$R,Controle!$H:$H,produtos_escape2!$A2407,Controle!$Z:$Z,"1")</f>
        <v>0</v>
      </c>
      <c r="G2407" s="507">
        <f>SUMIFS(Controle!$R:$R,Controle!$H:$H,produtos_escape2!$A2407,Controle!$Z:$Z,"2")</f>
        <v>0</v>
      </c>
      <c r="H2407" s="507">
        <f>SUMIFS(Controle!$R:$R,Controle!$H:$H,produtos_escape2!$A2407,Controle!$Z:$Z,"3")</f>
        <v>0</v>
      </c>
      <c r="I2407" s="507">
        <f>SUMIFS(Controle!$R:$R,Controle!$H:$H,produtos_escape2!$A2407,Controle!$Z:$Z,"4")</f>
        <v>0</v>
      </c>
      <c r="J2407" s="507">
        <f>SUMIFS(Controle!$R:$R,Controle!$H:$H,produtos_escape2!$A2407,Controle!$Z:$Z,"5")</f>
        <v>0</v>
      </c>
      <c r="K2407" s="507">
        <f>SUMIFS(Controle!$R:$R,Controle!$H:$H,produtos_escape2!$A2407,Controle!$Z:$Z,"6")</f>
        <v>0</v>
      </c>
      <c r="L2407" s="507">
        <f t="shared" si="81"/>
        <v>0</v>
      </c>
    </row>
    <row r="2408" spans="1:12" s="84" customFormat="1" ht="14.25" customHeight="1" thickBot="1">
      <c r="A2408" s="353" t="s">
        <v>8061</v>
      </c>
      <c r="B2408" s="194" t="s">
        <v>3703</v>
      </c>
      <c r="C2408" s="339">
        <f t="shared" si="82"/>
        <v>50000</v>
      </c>
      <c r="D2408" s="191" t="s">
        <v>636</v>
      </c>
      <c r="E2408" s="172" t="s">
        <v>1687</v>
      </c>
      <c r="F2408" s="507">
        <f>SUMIFS(Controle!$R:$R,Controle!$H:$H,produtos_escape2!$A2408,Controle!$Z:$Z,"1")</f>
        <v>0</v>
      </c>
      <c r="G2408" s="507">
        <f>SUMIFS(Controle!$R:$R,Controle!$H:$H,produtos_escape2!$A2408,Controle!$Z:$Z,"2")</f>
        <v>0</v>
      </c>
      <c r="H2408" s="507">
        <f>SUMIFS(Controle!$R:$R,Controle!$H:$H,produtos_escape2!$A2408,Controle!$Z:$Z,"3")</f>
        <v>0</v>
      </c>
      <c r="I2408" s="507">
        <f>SUMIFS(Controle!$R:$R,Controle!$H:$H,produtos_escape2!$A2408,Controle!$Z:$Z,"4")</f>
        <v>0</v>
      </c>
      <c r="J2408" s="507">
        <f>SUMIFS(Controle!$R:$R,Controle!$H:$H,produtos_escape2!$A2408,Controle!$Z:$Z,"5")</f>
        <v>0</v>
      </c>
      <c r="K2408" s="507">
        <f>SUMIFS(Controle!$R:$R,Controle!$H:$H,produtos_escape2!$A2408,Controle!$Z:$Z,"6")</f>
        <v>0</v>
      </c>
      <c r="L2408" s="507">
        <f t="shared" si="81"/>
        <v>0</v>
      </c>
    </row>
    <row r="2409" spans="1:12" s="84" customFormat="1" ht="14.25" customHeight="1" thickBot="1">
      <c r="A2409" s="353" t="s">
        <v>8062</v>
      </c>
      <c r="B2409" s="194" t="s">
        <v>3704</v>
      </c>
      <c r="C2409" s="339">
        <f t="shared" si="82"/>
        <v>50000</v>
      </c>
      <c r="D2409" s="191" t="s">
        <v>636</v>
      </c>
      <c r="E2409" s="172" t="s">
        <v>1687</v>
      </c>
      <c r="F2409" s="507">
        <f>SUMIFS(Controle!$R:$R,Controle!$H:$H,produtos_escape2!$A2409,Controle!$Z:$Z,"1")</f>
        <v>0</v>
      </c>
      <c r="G2409" s="507">
        <f>SUMIFS(Controle!$R:$R,Controle!$H:$H,produtos_escape2!$A2409,Controle!$Z:$Z,"2")</f>
        <v>0</v>
      </c>
      <c r="H2409" s="507">
        <f>SUMIFS(Controle!$R:$R,Controle!$H:$H,produtos_escape2!$A2409,Controle!$Z:$Z,"3")</f>
        <v>0</v>
      </c>
      <c r="I2409" s="507">
        <f>SUMIFS(Controle!$R:$R,Controle!$H:$H,produtos_escape2!$A2409,Controle!$Z:$Z,"4")</f>
        <v>0</v>
      </c>
      <c r="J2409" s="507">
        <f>SUMIFS(Controle!$R:$R,Controle!$H:$H,produtos_escape2!$A2409,Controle!$Z:$Z,"5")</f>
        <v>0</v>
      </c>
      <c r="K2409" s="507">
        <f>SUMIFS(Controle!$R:$R,Controle!$H:$H,produtos_escape2!$A2409,Controle!$Z:$Z,"6")</f>
        <v>0</v>
      </c>
      <c r="L2409" s="507">
        <f t="shared" si="81"/>
        <v>0</v>
      </c>
    </row>
    <row r="2410" spans="1:12" s="84" customFormat="1" ht="14.25" customHeight="1" thickBot="1">
      <c r="A2410" s="353" t="s">
        <v>8063</v>
      </c>
      <c r="B2410" s="194" t="s">
        <v>3705</v>
      </c>
      <c r="C2410" s="339">
        <f t="shared" si="82"/>
        <v>50000</v>
      </c>
      <c r="D2410" s="191" t="s">
        <v>636</v>
      </c>
      <c r="E2410" s="172" t="s">
        <v>1687</v>
      </c>
      <c r="F2410" s="507">
        <f>SUMIFS(Controle!$R:$R,Controle!$H:$H,produtos_escape2!$A2410,Controle!$Z:$Z,"1")</f>
        <v>0</v>
      </c>
      <c r="G2410" s="507">
        <f>SUMIFS(Controle!$R:$R,Controle!$H:$H,produtos_escape2!$A2410,Controle!$Z:$Z,"2")</f>
        <v>0</v>
      </c>
      <c r="H2410" s="507">
        <f>SUMIFS(Controle!$R:$R,Controle!$H:$H,produtos_escape2!$A2410,Controle!$Z:$Z,"3")</f>
        <v>0</v>
      </c>
      <c r="I2410" s="507">
        <f>SUMIFS(Controle!$R:$R,Controle!$H:$H,produtos_escape2!$A2410,Controle!$Z:$Z,"4")</f>
        <v>0</v>
      </c>
      <c r="J2410" s="507">
        <f>SUMIFS(Controle!$R:$R,Controle!$H:$H,produtos_escape2!$A2410,Controle!$Z:$Z,"5")</f>
        <v>0</v>
      </c>
      <c r="K2410" s="507">
        <f>SUMIFS(Controle!$R:$R,Controle!$H:$H,produtos_escape2!$A2410,Controle!$Z:$Z,"6")</f>
        <v>0</v>
      </c>
      <c r="L2410" s="507">
        <f t="shared" si="81"/>
        <v>0</v>
      </c>
    </row>
    <row r="2411" spans="1:12" s="84" customFormat="1" ht="14.25" customHeight="1" thickBot="1">
      <c r="A2411" s="353" t="s">
        <v>8064</v>
      </c>
      <c r="B2411" s="194" t="s">
        <v>3706</v>
      </c>
      <c r="C2411" s="339">
        <f t="shared" si="82"/>
        <v>50000</v>
      </c>
      <c r="D2411" s="191" t="s">
        <v>636</v>
      </c>
      <c r="E2411" s="172" t="s">
        <v>1687</v>
      </c>
      <c r="F2411" s="507">
        <f>SUMIFS(Controle!$R:$R,Controle!$H:$H,produtos_escape2!$A2411,Controle!$Z:$Z,"1")</f>
        <v>0</v>
      </c>
      <c r="G2411" s="507">
        <f>SUMIFS(Controle!$R:$R,Controle!$H:$H,produtos_escape2!$A2411,Controle!$Z:$Z,"2")</f>
        <v>0</v>
      </c>
      <c r="H2411" s="507">
        <f>SUMIFS(Controle!$R:$R,Controle!$H:$H,produtos_escape2!$A2411,Controle!$Z:$Z,"3")</f>
        <v>0</v>
      </c>
      <c r="I2411" s="507">
        <f>SUMIFS(Controle!$R:$R,Controle!$H:$H,produtos_escape2!$A2411,Controle!$Z:$Z,"4")</f>
        <v>0</v>
      </c>
      <c r="J2411" s="507">
        <f>SUMIFS(Controle!$R:$R,Controle!$H:$H,produtos_escape2!$A2411,Controle!$Z:$Z,"5")</f>
        <v>0</v>
      </c>
      <c r="K2411" s="507">
        <f>SUMIFS(Controle!$R:$R,Controle!$H:$H,produtos_escape2!$A2411,Controle!$Z:$Z,"6")</f>
        <v>0</v>
      </c>
      <c r="L2411" s="507">
        <f t="shared" si="81"/>
        <v>0</v>
      </c>
    </row>
    <row r="2412" spans="1:12" s="84" customFormat="1" ht="14.25" customHeight="1" thickBot="1">
      <c r="A2412" s="353" t="s">
        <v>8065</v>
      </c>
      <c r="B2412" s="194" t="s">
        <v>3707</v>
      </c>
      <c r="C2412" s="339">
        <f t="shared" si="82"/>
        <v>50000</v>
      </c>
      <c r="D2412" s="191" t="s">
        <v>636</v>
      </c>
      <c r="E2412" s="172" t="s">
        <v>1687</v>
      </c>
      <c r="F2412" s="507">
        <f>SUMIFS(Controle!$R:$R,Controle!$H:$H,produtos_escape2!$A2412,Controle!$Z:$Z,"1")</f>
        <v>0</v>
      </c>
      <c r="G2412" s="507">
        <f>SUMIFS(Controle!$R:$R,Controle!$H:$H,produtos_escape2!$A2412,Controle!$Z:$Z,"2")</f>
        <v>0</v>
      </c>
      <c r="H2412" s="507">
        <f>SUMIFS(Controle!$R:$R,Controle!$H:$H,produtos_escape2!$A2412,Controle!$Z:$Z,"3")</f>
        <v>0</v>
      </c>
      <c r="I2412" s="507">
        <f>SUMIFS(Controle!$R:$R,Controle!$H:$H,produtos_escape2!$A2412,Controle!$Z:$Z,"4")</f>
        <v>0</v>
      </c>
      <c r="J2412" s="507">
        <f>SUMIFS(Controle!$R:$R,Controle!$H:$H,produtos_escape2!$A2412,Controle!$Z:$Z,"5")</f>
        <v>0</v>
      </c>
      <c r="K2412" s="507">
        <f>SUMIFS(Controle!$R:$R,Controle!$H:$H,produtos_escape2!$A2412,Controle!$Z:$Z,"6")</f>
        <v>0</v>
      </c>
      <c r="L2412" s="507">
        <f t="shared" si="81"/>
        <v>0</v>
      </c>
    </row>
    <row r="2413" spans="1:12" s="84" customFormat="1" ht="14.25" customHeight="1" thickBot="1">
      <c r="A2413" s="353" t="s">
        <v>8066</v>
      </c>
      <c r="B2413" s="194" t="s">
        <v>3708</v>
      </c>
      <c r="C2413" s="339">
        <f t="shared" si="82"/>
        <v>50000</v>
      </c>
      <c r="D2413" s="191" t="s">
        <v>636</v>
      </c>
      <c r="E2413" s="172" t="s">
        <v>1687</v>
      </c>
      <c r="F2413" s="507">
        <f>SUMIFS(Controle!$R:$R,Controle!$H:$H,produtos_escape2!$A2413,Controle!$Z:$Z,"1")</f>
        <v>0</v>
      </c>
      <c r="G2413" s="507">
        <f>SUMIFS(Controle!$R:$R,Controle!$H:$H,produtos_escape2!$A2413,Controle!$Z:$Z,"2")</f>
        <v>0</v>
      </c>
      <c r="H2413" s="507">
        <f>SUMIFS(Controle!$R:$R,Controle!$H:$H,produtos_escape2!$A2413,Controle!$Z:$Z,"3")</f>
        <v>0</v>
      </c>
      <c r="I2413" s="507">
        <f>SUMIFS(Controle!$R:$R,Controle!$H:$H,produtos_escape2!$A2413,Controle!$Z:$Z,"4")</f>
        <v>0</v>
      </c>
      <c r="J2413" s="507">
        <f>SUMIFS(Controle!$R:$R,Controle!$H:$H,produtos_escape2!$A2413,Controle!$Z:$Z,"5")</f>
        <v>0</v>
      </c>
      <c r="K2413" s="507">
        <f>SUMIFS(Controle!$R:$R,Controle!$H:$H,produtos_escape2!$A2413,Controle!$Z:$Z,"6")</f>
        <v>0</v>
      </c>
      <c r="L2413" s="507">
        <f t="shared" si="81"/>
        <v>0</v>
      </c>
    </row>
    <row r="2414" spans="1:12" s="84" customFormat="1" ht="14.25" customHeight="1" thickBot="1">
      <c r="A2414" s="353" t="s">
        <v>8067</v>
      </c>
      <c r="B2414" s="194" t="s">
        <v>3709</v>
      </c>
      <c r="C2414" s="339">
        <f t="shared" si="82"/>
        <v>50000</v>
      </c>
      <c r="D2414" s="191" t="s">
        <v>636</v>
      </c>
      <c r="E2414" s="172" t="s">
        <v>1687</v>
      </c>
      <c r="F2414" s="507">
        <f>SUMIFS(Controle!$R:$R,Controle!$H:$H,produtos_escape2!$A2414,Controle!$Z:$Z,"1")</f>
        <v>0</v>
      </c>
      <c r="G2414" s="507">
        <f>SUMIFS(Controle!$R:$R,Controle!$H:$H,produtos_escape2!$A2414,Controle!$Z:$Z,"2")</f>
        <v>0</v>
      </c>
      <c r="H2414" s="507">
        <f>SUMIFS(Controle!$R:$R,Controle!$H:$H,produtos_escape2!$A2414,Controle!$Z:$Z,"3")</f>
        <v>0</v>
      </c>
      <c r="I2414" s="507">
        <f>SUMIFS(Controle!$R:$R,Controle!$H:$H,produtos_escape2!$A2414,Controle!$Z:$Z,"4")</f>
        <v>0</v>
      </c>
      <c r="J2414" s="507">
        <f>SUMIFS(Controle!$R:$R,Controle!$H:$H,produtos_escape2!$A2414,Controle!$Z:$Z,"5")</f>
        <v>0</v>
      </c>
      <c r="K2414" s="507">
        <f>SUMIFS(Controle!$R:$R,Controle!$H:$H,produtos_escape2!$A2414,Controle!$Z:$Z,"6")</f>
        <v>0</v>
      </c>
      <c r="L2414" s="507">
        <f t="shared" si="81"/>
        <v>0</v>
      </c>
    </row>
    <row r="2415" spans="1:12" s="84" customFormat="1" ht="14.25" customHeight="1" thickBot="1">
      <c r="A2415" s="353" t="s">
        <v>8068</v>
      </c>
      <c r="B2415" s="338" t="s">
        <v>3710</v>
      </c>
      <c r="C2415" s="339">
        <f t="shared" si="82"/>
        <v>50000</v>
      </c>
      <c r="D2415" s="191" t="s">
        <v>636</v>
      </c>
      <c r="E2415" s="172" t="s">
        <v>1687</v>
      </c>
      <c r="F2415" s="507">
        <f>SUMIFS(Controle!$R:$R,Controle!$H:$H,produtos_escape2!$A2415,Controle!$Z:$Z,"1")</f>
        <v>0</v>
      </c>
      <c r="G2415" s="507">
        <f>SUMIFS(Controle!$R:$R,Controle!$H:$H,produtos_escape2!$A2415,Controle!$Z:$Z,"2")</f>
        <v>0</v>
      </c>
      <c r="H2415" s="507">
        <f>SUMIFS(Controle!$R:$R,Controle!$H:$H,produtos_escape2!$A2415,Controle!$Z:$Z,"3")</f>
        <v>0</v>
      </c>
      <c r="I2415" s="507">
        <f>SUMIFS(Controle!$R:$R,Controle!$H:$H,produtos_escape2!$A2415,Controle!$Z:$Z,"4")</f>
        <v>0</v>
      </c>
      <c r="J2415" s="507">
        <f>SUMIFS(Controle!$R:$R,Controle!$H:$H,produtos_escape2!$A2415,Controle!$Z:$Z,"5")</f>
        <v>0</v>
      </c>
      <c r="K2415" s="507">
        <f>SUMIFS(Controle!$R:$R,Controle!$H:$H,produtos_escape2!$A2415,Controle!$Z:$Z,"6")</f>
        <v>0</v>
      </c>
      <c r="L2415" s="507">
        <f t="shared" si="81"/>
        <v>0</v>
      </c>
    </row>
    <row r="2416" spans="1:12" s="84" customFormat="1" ht="14.25" customHeight="1" thickBot="1">
      <c r="A2416" s="353" t="s">
        <v>8069</v>
      </c>
      <c r="B2416" s="194" t="s">
        <v>3711</v>
      </c>
      <c r="C2416" s="339">
        <f t="shared" si="82"/>
        <v>50000</v>
      </c>
      <c r="D2416" s="191" t="s">
        <v>636</v>
      </c>
      <c r="E2416" s="172" t="s">
        <v>1687</v>
      </c>
      <c r="F2416" s="507">
        <f>SUMIFS(Controle!$R:$R,Controle!$H:$H,produtos_escape2!$A2416,Controle!$Z:$Z,"1")</f>
        <v>0</v>
      </c>
      <c r="G2416" s="507">
        <f>SUMIFS(Controle!$R:$R,Controle!$H:$H,produtos_escape2!$A2416,Controle!$Z:$Z,"2")</f>
        <v>0</v>
      </c>
      <c r="H2416" s="507">
        <f>SUMIFS(Controle!$R:$R,Controle!$H:$H,produtos_escape2!$A2416,Controle!$Z:$Z,"3")</f>
        <v>0</v>
      </c>
      <c r="I2416" s="507">
        <f>SUMIFS(Controle!$R:$R,Controle!$H:$H,produtos_escape2!$A2416,Controle!$Z:$Z,"4")</f>
        <v>0</v>
      </c>
      <c r="J2416" s="507">
        <f>SUMIFS(Controle!$R:$R,Controle!$H:$H,produtos_escape2!$A2416,Controle!$Z:$Z,"5")</f>
        <v>0</v>
      </c>
      <c r="K2416" s="507">
        <f>SUMIFS(Controle!$R:$R,Controle!$H:$H,produtos_escape2!$A2416,Controle!$Z:$Z,"6")</f>
        <v>0</v>
      </c>
      <c r="L2416" s="507">
        <f t="shared" si="81"/>
        <v>0</v>
      </c>
    </row>
    <row r="2417" spans="1:12" s="84" customFormat="1" ht="14.25" customHeight="1" thickBot="1">
      <c r="A2417" s="353" t="s">
        <v>8070</v>
      </c>
      <c r="B2417" s="194" t="s">
        <v>3712</v>
      </c>
      <c r="C2417" s="339">
        <f t="shared" si="82"/>
        <v>50000</v>
      </c>
      <c r="D2417" s="191" t="s">
        <v>636</v>
      </c>
      <c r="E2417" s="172" t="s">
        <v>1687</v>
      </c>
      <c r="F2417" s="507">
        <f>SUMIFS(Controle!$R:$R,Controle!$H:$H,produtos_escape2!$A2417,Controle!$Z:$Z,"1")</f>
        <v>0</v>
      </c>
      <c r="G2417" s="507">
        <f>SUMIFS(Controle!$R:$R,Controle!$H:$H,produtos_escape2!$A2417,Controle!$Z:$Z,"2")</f>
        <v>0</v>
      </c>
      <c r="H2417" s="507">
        <f>SUMIFS(Controle!$R:$R,Controle!$H:$H,produtos_escape2!$A2417,Controle!$Z:$Z,"3")</f>
        <v>0</v>
      </c>
      <c r="I2417" s="507">
        <f>SUMIFS(Controle!$R:$R,Controle!$H:$H,produtos_escape2!$A2417,Controle!$Z:$Z,"4")</f>
        <v>0</v>
      </c>
      <c r="J2417" s="507">
        <f>SUMIFS(Controle!$R:$R,Controle!$H:$H,produtos_escape2!$A2417,Controle!$Z:$Z,"5")</f>
        <v>0</v>
      </c>
      <c r="K2417" s="507">
        <f>SUMIFS(Controle!$R:$R,Controle!$H:$H,produtos_escape2!$A2417,Controle!$Z:$Z,"6")</f>
        <v>0</v>
      </c>
      <c r="L2417" s="507">
        <f t="shared" si="81"/>
        <v>0</v>
      </c>
    </row>
    <row r="2418" spans="1:12" s="84" customFormat="1" ht="14.25" customHeight="1" thickBot="1">
      <c r="A2418" s="353" t="s">
        <v>8071</v>
      </c>
      <c r="B2418" s="194" t="s">
        <v>3713</v>
      </c>
      <c r="C2418" s="339">
        <f t="shared" si="82"/>
        <v>50000</v>
      </c>
      <c r="D2418" s="191" t="s">
        <v>636</v>
      </c>
      <c r="E2418" s="172" t="s">
        <v>1687</v>
      </c>
      <c r="F2418" s="507">
        <f>SUMIFS(Controle!$R:$R,Controle!$H:$H,produtos_escape2!$A2418,Controle!$Z:$Z,"1")</f>
        <v>0</v>
      </c>
      <c r="G2418" s="507">
        <f>SUMIFS(Controle!$R:$R,Controle!$H:$H,produtos_escape2!$A2418,Controle!$Z:$Z,"2")</f>
        <v>0</v>
      </c>
      <c r="H2418" s="507">
        <f>SUMIFS(Controle!$R:$R,Controle!$H:$H,produtos_escape2!$A2418,Controle!$Z:$Z,"3")</f>
        <v>0</v>
      </c>
      <c r="I2418" s="507">
        <f>SUMIFS(Controle!$R:$R,Controle!$H:$H,produtos_escape2!$A2418,Controle!$Z:$Z,"4")</f>
        <v>0</v>
      </c>
      <c r="J2418" s="507">
        <f>SUMIFS(Controle!$R:$R,Controle!$H:$H,produtos_escape2!$A2418,Controle!$Z:$Z,"5")</f>
        <v>0</v>
      </c>
      <c r="K2418" s="507">
        <f>SUMIFS(Controle!$R:$R,Controle!$H:$H,produtos_escape2!$A2418,Controle!$Z:$Z,"6")</f>
        <v>0</v>
      </c>
      <c r="L2418" s="507">
        <f t="shared" si="81"/>
        <v>0</v>
      </c>
    </row>
    <row r="2419" spans="1:12" s="84" customFormat="1" ht="14.25" customHeight="1" thickBot="1">
      <c r="A2419" s="353" t="s">
        <v>8072</v>
      </c>
      <c r="B2419" s="194" t="s">
        <v>3714</v>
      </c>
      <c r="C2419" s="339">
        <f t="shared" si="82"/>
        <v>50000</v>
      </c>
      <c r="D2419" s="191" t="s">
        <v>636</v>
      </c>
      <c r="E2419" s="172" t="s">
        <v>1687</v>
      </c>
      <c r="F2419" s="507">
        <f>SUMIFS(Controle!$R:$R,Controle!$H:$H,produtos_escape2!$A2419,Controle!$Z:$Z,"1")</f>
        <v>0</v>
      </c>
      <c r="G2419" s="507">
        <f>SUMIFS(Controle!$R:$R,Controle!$H:$H,produtos_escape2!$A2419,Controle!$Z:$Z,"2")</f>
        <v>0</v>
      </c>
      <c r="H2419" s="507">
        <f>SUMIFS(Controle!$R:$R,Controle!$H:$H,produtos_escape2!$A2419,Controle!$Z:$Z,"3")</f>
        <v>0</v>
      </c>
      <c r="I2419" s="507">
        <f>SUMIFS(Controle!$R:$R,Controle!$H:$H,produtos_escape2!$A2419,Controle!$Z:$Z,"4")</f>
        <v>0</v>
      </c>
      <c r="J2419" s="507">
        <f>SUMIFS(Controle!$R:$R,Controle!$H:$H,produtos_escape2!$A2419,Controle!$Z:$Z,"5")</f>
        <v>0</v>
      </c>
      <c r="K2419" s="507">
        <f>SUMIFS(Controle!$R:$R,Controle!$H:$H,produtos_escape2!$A2419,Controle!$Z:$Z,"6")</f>
        <v>0</v>
      </c>
      <c r="L2419" s="507">
        <f t="shared" si="81"/>
        <v>0</v>
      </c>
    </row>
    <row r="2420" spans="1:12" s="84" customFormat="1" ht="14.25" customHeight="1" thickBot="1">
      <c r="A2420" s="353" t="s">
        <v>8073</v>
      </c>
      <c r="B2420" s="194" t="s">
        <v>3715</v>
      </c>
      <c r="C2420" s="339">
        <f t="shared" si="82"/>
        <v>50000</v>
      </c>
      <c r="D2420" s="191" t="s">
        <v>636</v>
      </c>
      <c r="E2420" s="172" t="s">
        <v>1687</v>
      </c>
      <c r="F2420" s="507">
        <f>SUMIFS(Controle!$R:$R,Controle!$H:$H,produtos_escape2!$A2420,Controle!$Z:$Z,"1")</f>
        <v>0</v>
      </c>
      <c r="G2420" s="507">
        <f>SUMIFS(Controle!$R:$R,Controle!$H:$H,produtos_escape2!$A2420,Controle!$Z:$Z,"2")</f>
        <v>0</v>
      </c>
      <c r="H2420" s="507">
        <f>SUMIFS(Controle!$R:$R,Controle!$H:$H,produtos_escape2!$A2420,Controle!$Z:$Z,"3")</f>
        <v>0</v>
      </c>
      <c r="I2420" s="507">
        <f>SUMIFS(Controle!$R:$R,Controle!$H:$H,produtos_escape2!$A2420,Controle!$Z:$Z,"4")</f>
        <v>0</v>
      </c>
      <c r="J2420" s="507">
        <f>SUMIFS(Controle!$R:$R,Controle!$H:$H,produtos_escape2!$A2420,Controle!$Z:$Z,"5")</f>
        <v>0</v>
      </c>
      <c r="K2420" s="507">
        <f>SUMIFS(Controle!$R:$R,Controle!$H:$H,produtos_escape2!$A2420,Controle!$Z:$Z,"6")</f>
        <v>0</v>
      </c>
      <c r="L2420" s="507">
        <f t="shared" si="81"/>
        <v>0</v>
      </c>
    </row>
    <row r="2421" spans="1:12" s="84" customFormat="1" ht="14.25" customHeight="1" thickBot="1">
      <c r="A2421" s="353" t="s">
        <v>8074</v>
      </c>
      <c r="B2421" s="194" t="s">
        <v>3716</v>
      </c>
      <c r="C2421" s="339">
        <f t="shared" si="82"/>
        <v>50000</v>
      </c>
      <c r="D2421" s="191" t="s">
        <v>636</v>
      </c>
      <c r="E2421" s="172" t="s">
        <v>1687</v>
      </c>
      <c r="F2421" s="507">
        <f>SUMIFS(Controle!$R:$R,Controle!$H:$H,produtos_escape2!$A2421,Controle!$Z:$Z,"1")</f>
        <v>0</v>
      </c>
      <c r="G2421" s="507">
        <f>SUMIFS(Controle!$R:$R,Controle!$H:$H,produtos_escape2!$A2421,Controle!$Z:$Z,"2")</f>
        <v>0</v>
      </c>
      <c r="H2421" s="507">
        <f>SUMIFS(Controle!$R:$R,Controle!$H:$H,produtos_escape2!$A2421,Controle!$Z:$Z,"3")</f>
        <v>0</v>
      </c>
      <c r="I2421" s="507">
        <f>SUMIFS(Controle!$R:$R,Controle!$H:$H,produtos_escape2!$A2421,Controle!$Z:$Z,"4")</f>
        <v>0</v>
      </c>
      <c r="J2421" s="507">
        <f>SUMIFS(Controle!$R:$R,Controle!$H:$H,produtos_escape2!$A2421,Controle!$Z:$Z,"5")</f>
        <v>0</v>
      </c>
      <c r="K2421" s="507">
        <f>SUMIFS(Controle!$R:$R,Controle!$H:$H,produtos_escape2!$A2421,Controle!$Z:$Z,"6")</f>
        <v>0</v>
      </c>
      <c r="L2421" s="507">
        <f t="shared" si="81"/>
        <v>0</v>
      </c>
    </row>
    <row r="2422" spans="1:12" s="84" customFormat="1" ht="14.25" customHeight="1" thickBot="1">
      <c r="A2422" s="353" t="s">
        <v>8075</v>
      </c>
      <c r="B2422" s="194" t="s">
        <v>3717</v>
      </c>
      <c r="C2422" s="339">
        <f t="shared" si="82"/>
        <v>50000</v>
      </c>
      <c r="D2422" s="191" t="s">
        <v>636</v>
      </c>
      <c r="E2422" s="172" t="s">
        <v>1687</v>
      </c>
      <c r="F2422" s="507">
        <f>SUMIFS(Controle!$R:$R,Controle!$H:$H,produtos_escape2!$A2422,Controle!$Z:$Z,"1")</f>
        <v>0</v>
      </c>
      <c r="G2422" s="507">
        <f>SUMIFS(Controle!$R:$R,Controle!$H:$H,produtos_escape2!$A2422,Controle!$Z:$Z,"2")</f>
        <v>0</v>
      </c>
      <c r="H2422" s="507">
        <f>SUMIFS(Controle!$R:$R,Controle!$H:$H,produtos_escape2!$A2422,Controle!$Z:$Z,"3")</f>
        <v>0</v>
      </c>
      <c r="I2422" s="507">
        <f>SUMIFS(Controle!$R:$R,Controle!$H:$H,produtos_escape2!$A2422,Controle!$Z:$Z,"4")</f>
        <v>0</v>
      </c>
      <c r="J2422" s="507">
        <f>SUMIFS(Controle!$R:$R,Controle!$H:$H,produtos_escape2!$A2422,Controle!$Z:$Z,"5")</f>
        <v>0</v>
      </c>
      <c r="K2422" s="507">
        <f>SUMIFS(Controle!$R:$R,Controle!$H:$H,produtos_escape2!$A2422,Controle!$Z:$Z,"6")</f>
        <v>0</v>
      </c>
      <c r="L2422" s="507">
        <f t="shared" si="81"/>
        <v>0</v>
      </c>
    </row>
    <row r="2423" spans="1:12" s="84" customFormat="1" ht="14.25" customHeight="1" thickBot="1">
      <c r="A2423" s="353" t="s">
        <v>8076</v>
      </c>
      <c r="B2423" s="338" t="s">
        <v>3718</v>
      </c>
      <c r="C2423" s="339">
        <f t="shared" si="82"/>
        <v>50000</v>
      </c>
      <c r="D2423" s="191" t="s">
        <v>636</v>
      </c>
      <c r="E2423" s="172" t="s">
        <v>1687</v>
      </c>
      <c r="F2423" s="507">
        <f>SUMIFS(Controle!$R:$R,Controle!$H:$H,produtos_escape2!$A2423,Controle!$Z:$Z,"1")</f>
        <v>0</v>
      </c>
      <c r="G2423" s="507">
        <f>SUMIFS(Controle!$R:$R,Controle!$H:$H,produtos_escape2!$A2423,Controle!$Z:$Z,"2")</f>
        <v>0</v>
      </c>
      <c r="H2423" s="507">
        <f>SUMIFS(Controle!$R:$R,Controle!$H:$H,produtos_escape2!$A2423,Controle!$Z:$Z,"3")</f>
        <v>0</v>
      </c>
      <c r="I2423" s="507">
        <f>SUMIFS(Controle!$R:$R,Controle!$H:$H,produtos_escape2!$A2423,Controle!$Z:$Z,"4")</f>
        <v>0</v>
      </c>
      <c r="J2423" s="507">
        <f>SUMIFS(Controle!$R:$R,Controle!$H:$H,produtos_escape2!$A2423,Controle!$Z:$Z,"5")</f>
        <v>0</v>
      </c>
      <c r="K2423" s="507">
        <f>SUMIFS(Controle!$R:$R,Controle!$H:$H,produtos_escape2!$A2423,Controle!$Z:$Z,"6")</f>
        <v>0</v>
      </c>
      <c r="L2423" s="507">
        <f t="shared" si="81"/>
        <v>0</v>
      </c>
    </row>
    <row r="2424" spans="1:12" s="84" customFormat="1" ht="14.25" customHeight="1" thickBot="1">
      <c r="A2424" s="353" t="s">
        <v>8077</v>
      </c>
      <c r="B2424" s="194" t="s">
        <v>3719</v>
      </c>
      <c r="C2424" s="339">
        <f t="shared" si="82"/>
        <v>50000</v>
      </c>
      <c r="D2424" s="191" t="s">
        <v>636</v>
      </c>
      <c r="E2424" s="172" t="s">
        <v>1687</v>
      </c>
      <c r="F2424" s="507">
        <f>SUMIFS(Controle!$R:$R,Controle!$H:$H,produtos_escape2!$A2424,Controle!$Z:$Z,"1")</f>
        <v>0</v>
      </c>
      <c r="G2424" s="507">
        <f>SUMIFS(Controle!$R:$R,Controle!$H:$H,produtos_escape2!$A2424,Controle!$Z:$Z,"2")</f>
        <v>0</v>
      </c>
      <c r="H2424" s="507">
        <f>SUMIFS(Controle!$R:$R,Controle!$H:$H,produtos_escape2!$A2424,Controle!$Z:$Z,"3")</f>
        <v>0</v>
      </c>
      <c r="I2424" s="507">
        <f>SUMIFS(Controle!$R:$R,Controle!$H:$H,produtos_escape2!$A2424,Controle!$Z:$Z,"4")</f>
        <v>0</v>
      </c>
      <c r="J2424" s="507">
        <f>SUMIFS(Controle!$R:$R,Controle!$H:$H,produtos_escape2!$A2424,Controle!$Z:$Z,"5")</f>
        <v>0</v>
      </c>
      <c r="K2424" s="507">
        <f>SUMIFS(Controle!$R:$R,Controle!$H:$H,produtos_escape2!$A2424,Controle!$Z:$Z,"6")</f>
        <v>0</v>
      </c>
      <c r="L2424" s="507">
        <f t="shared" si="81"/>
        <v>0</v>
      </c>
    </row>
    <row r="2425" spans="1:12" s="84" customFormat="1" ht="14.25" customHeight="1" thickBot="1">
      <c r="A2425" s="353" t="s">
        <v>8078</v>
      </c>
      <c r="B2425" s="194" t="s">
        <v>3770</v>
      </c>
      <c r="C2425" s="339">
        <f t="shared" si="82"/>
        <v>50000</v>
      </c>
      <c r="D2425" s="191" t="s">
        <v>636</v>
      </c>
      <c r="E2425" s="172" t="s">
        <v>1687</v>
      </c>
      <c r="F2425" s="507">
        <f>SUMIFS(Controle!$R:$R,Controle!$H:$H,produtos_escape2!$A2425,Controle!$Z:$Z,"1")</f>
        <v>0</v>
      </c>
      <c r="G2425" s="507">
        <f>SUMIFS(Controle!$R:$R,Controle!$H:$H,produtos_escape2!$A2425,Controle!$Z:$Z,"2")</f>
        <v>0</v>
      </c>
      <c r="H2425" s="507">
        <f>SUMIFS(Controle!$R:$R,Controle!$H:$H,produtos_escape2!$A2425,Controle!$Z:$Z,"3")</f>
        <v>0</v>
      </c>
      <c r="I2425" s="507">
        <f>SUMIFS(Controle!$R:$R,Controle!$H:$H,produtos_escape2!$A2425,Controle!$Z:$Z,"4")</f>
        <v>0</v>
      </c>
      <c r="J2425" s="507">
        <f>SUMIFS(Controle!$R:$R,Controle!$H:$H,produtos_escape2!$A2425,Controle!$Z:$Z,"5")</f>
        <v>0</v>
      </c>
      <c r="K2425" s="507">
        <f>SUMIFS(Controle!$R:$R,Controle!$H:$H,produtos_escape2!$A2425,Controle!$Z:$Z,"6")</f>
        <v>0</v>
      </c>
      <c r="L2425" s="507">
        <f t="shared" si="81"/>
        <v>0</v>
      </c>
    </row>
    <row r="2426" spans="1:12" s="84" customFormat="1" ht="14.25" customHeight="1" thickBot="1">
      <c r="A2426" s="353" t="s">
        <v>8079</v>
      </c>
      <c r="B2426" s="194" t="s">
        <v>3771</v>
      </c>
      <c r="C2426" s="339">
        <f t="shared" si="82"/>
        <v>50000</v>
      </c>
      <c r="D2426" s="191" t="s">
        <v>636</v>
      </c>
      <c r="E2426" s="172" t="s">
        <v>1687</v>
      </c>
      <c r="F2426" s="507">
        <f>SUMIFS(Controle!$R:$R,Controle!$H:$H,produtos_escape2!$A2426,Controle!$Z:$Z,"1")</f>
        <v>0</v>
      </c>
      <c r="G2426" s="507">
        <f>SUMIFS(Controle!$R:$R,Controle!$H:$H,produtos_escape2!$A2426,Controle!$Z:$Z,"2")</f>
        <v>0</v>
      </c>
      <c r="H2426" s="507">
        <f>SUMIFS(Controle!$R:$R,Controle!$H:$H,produtos_escape2!$A2426,Controle!$Z:$Z,"3")</f>
        <v>0</v>
      </c>
      <c r="I2426" s="507">
        <f>SUMIFS(Controle!$R:$R,Controle!$H:$H,produtos_escape2!$A2426,Controle!$Z:$Z,"4")</f>
        <v>0</v>
      </c>
      <c r="J2426" s="507">
        <f>SUMIFS(Controle!$R:$R,Controle!$H:$H,produtos_escape2!$A2426,Controle!$Z:$Z,"5")</f>
        <v>0</v>
      </c>
      <c r="K2426" s="507">
        <f>SUMIFS(Controle!$R:$R,Controle!$H:$H,produtos_escape2!$A2426,Controle!$Z:$Z,"6")</f>
        <v>0</v>
      </c>
      <c r="L2426" s="507">
        <f t="shared" si="81"/>
        <v>0</v>
      </c>
    </row>
    <row r="2427" spans="1:12" s="84" customFormat="1" ht="14.25" customHeight="1" thickBot="1">
      <c r="A2427" s="353" t="s">
        <v>8080</v>
      </c>
      <c r="B2427" s="194" t="s">
        <v>3772</v>
      </c>
      <c r="C2427" s="339">
        <f t="shared" si="82"/>
        <v>50000</v>
      </c>
      <c r="D2427" s="191" t="s">
        <v>636</v>
      </c>
      <c r="E2427" s="172" t="s">
        <v>1687</v>
      </c>
      <c r="F2427" s="507">
        <f>SUMIFS(Controle!$R:$R,Controle!$H:$H,produtos_escape2!$A2427,Controle!$Z:$Z,"1")</f>
        <v>0</v>
      </c>
      <c r="G2427" s="507">
        <f>SUMIFS(Controle!$R:$R,Controle!$H:$H,produtos_escape2!$A2427,Controle!$Z:$Z,"2")</f>
        <v>0</v>
      </c>
      <c r="H2427" s="507">
        <f>SUMIFS(Controle!$R:$R,Controle!$H:$H,produtos_escape2!$A2427,Controle!$Z:$Z,"3")</f>
        <v>0</v>
      </c>
      <c r="I2427" s="507">
        <f>SUMIFS(Controle!$R:$R,Controle!$H:$H,produtos_escape2!$A2427,Controle!$Z:$Z,"4")</f>
        <v>0</v>
      </c>
      <c r="J2427" s="507">
        <f>SUMIFS(Controle!$R:$R,Controle!$H:$H,produtos_escape2!$A2427,Controle!$Z:$Z,"5")</f>
        <v>0</v>
      </c>
      <c r="K2427" s="507">
        <f>SUMIFS(Controle!$R:$R,Controle!$H:$H,produtos_escape2!$A2427,Controle!$Z:$Z,"6")</f>
        <v>0</v>
      </c>
      <c r="L2427" s="507">
        <f t="shared" si="81"/>
        <v>0</v>
      </c>
    </row>
    <row r="2428" spans="1:12" s="84" customFormat="1" ht="14.25" customHeight="1" thickBot="1">
      <c r="A2428" s="353" t="s">
        <v>8081</v>
      </c>
      <c r="B2428" s="194" t="s">
        <v>3773</v>
      </c>
      <c r="C2428" s="339">
        <f t="shared" si="82"/>
        <v>50000</v>
      </c>
      <c r="D2428" s="191" t="s">
        <v>636</v>
      </c>
      <c r="E2428" s="172" t="s">
        <v>1687</v>
      </c>
      <c r="F2428" s="507">
        <f>SUMIFS(Controle!$R:$R,Controle!$H:$H,produtos_escape2!$A2428,Controle!$Z:$Z,"1")</f>
        <v>0</v>
      </c>
      <c r="G2428" s="507">
        <f>SUMIFS(Controle!$R:$R,Controle!$H:$H,produtos_escape2!$A2428,Controle!$Z:$Z,"2")</f>
        <v>0</v>
      </c>
      <c r="H2428" s="507">
        <f>SUMIFS(Controle!$R:$R,Controle!$H:$H,produtos_escape2!$A2428,Controle!$Z:$Z,"3")</f>
        <v>0</v>
      </c>
      <c r="I2428" s="507">
        <f>SUMIFS(Controle!$R:$R,Controle!$H:$H,produtos_escape2!$A2428,Controle!$Z:$Z,"4")</f>
        <v>0</v>
      </c>
      <c r="J2428" s="507">
        <f>SUMIFS(Controle!$R:$R,Controle!$H:$H,produtos_escape2!$A2428,Controle!$Z:$Z,"5")</f>
        <v>0</v>
      </c>
      <c r="K2428" s="507">
        <f>SUMIFS(Controle!$R:$R,Controle!$H:$H,produtos_escape2!$A2428,Controle!$Z:$Z,"6")</f>
        <v>0</v>
      </c>
      <c r="L2428" s="507">
        <f t="shared" si="81"/>
        <v>0</v>
      </c>
    </row>
    <row r="2429" spans="1:12" s="84" customFormat="1" ht="14.25" customHeight="1" thickBot="1">
      <c r="A2429" s="353" t="s">
        <v>8082</v>
      </c>
      <c r="B2429" s="194" t="s">
        <v>3774</v>
      </c>
      <c r="C2429" s="339">
        <f t="shared" si="82"/>
        <v>50000</v>
      </c>
      <c r="D2429" s="191" t="s">
        <v>636</v>
      </c>
      <c r="E2429" s="172" t="s">
        <v>1687</v>
      </c>
      <c r="F2429" s="507">
        <f>SUMIFS(Controle!$R:$R,Controle!$H:$H,produtos_escape2!$A2429,Controle!$Z:$Z,"1")</f>
        <v>0</v>
      </c>
      <c r="G2429" s="507">
        <f>SUMIFS(Controle!$R:$R,Controle!$H:$H,produtos_escape2!$A2429,Controle!$Z:$Z,"2")</f>
        <v>0</v>
      </c>
      <c r="H2429" s="507">
        <f>SUMIFS(Controle!$R:$R,Controle!$H:$H,produtos_escape2!$A2429,Controle!$Z:$Z,"3")</f>
        <v>0</v>
      </c>
      <c r="I2429" s="507">
        <f>SUMIFS(Controle!$R:$R,Controle!$H:$H,produtos_escape2!$A2429,Controle!$Z:$Z,"4")</f>
        <v>0</v>
      </c>
      <c r="J2429" s="507">
        <f>SUMIFS(Controle!$R:$R,Controle!$H:$H,produtos_escape2!$A2429,Controle!$Z:$Z,"5")</f>
        <v>0</v>
      </c>
      <c r="K2429" s="507">
        <f>SUMIFS(Controle!$R:$R,Controle!$H:$H,produtos_escape2!$A2429,Controle!$Z:$Z,"6")</f>
        <v>0</v>
      </c>
      <c r="L2429" s="507">
        <f t="shared" si="81"/>
        <v>0</v>
      </c>
    </row>
    <row r="2430" spans="1:12" s="84" customFormat="1" ht="14.25" customHeight="1" thickBot="1">
      <c r="A2430" s="353" t="s">
        <v>8083</v>
      </c>
      <c r="B2430" s="194" t="s">
        <v>3775</v>
      </c>
      <c r="C2430" s="339">
        <f t="shared" si="82"/>
        <v>50000</v>
      </c>
      <c r="D2430" s="191" t="s">
        <v>636</v>
      </c>
      <c r="E2430" s="172" t="s">
        <v>1687</v>
      </c>
      <c r="F2430" s="507">
        <f>SUMIFS(Controle!$R:$R,Controle!$H:$H,produtos_escape2!$A2430,Controle!$Z:$Z,"1")</f>
        <v>0</v>
      </c>
      <c r="G2430" s="507">
        <f>SUMIFS(Controle!$R:$R,Controle!$H:$H,produtos_escape2!$A2430,Controle!$Z:$Z,"2")</f>
        <v>0</v>
      </c>
      <c r="H2430" s="507">
        <f>SUMIFS(Controle!$R:$R,Controle!$H:$H,produtos_escape2!$A2430,Controle!$Z:$Z,"3")</f>
        <v>0</v>
      </c>
      <c r="I2430" s="507">
        <f>SUMIFS(Controle!$R:$R,Controle!$H:$H,produtos_escape2!$A2430,Controle!$Z:$Z,"4")</f>
        <v>0</v>
      </c>
      <c r="J2430" s="507">
        <f>SUMIFS(Controle!$R:$R,Controle!$H:$H,produtos_escape2!$A2430,Controle!$Z:$Z,"5")</f>
        <v>0</v>
      </c>
      <c r="K2430" s="507">
        <f>SUMIFS(Controle!$R:$R,Controle!$H:$H,produtos_escape2!$A2430,Controle!$Z:$Z,"6")</f>
        <v>0</v>
      </c>
      <c r="L2430" s="507">
        <f t="shared" si="81"/>
        <v>0</v>
      </c>
    </row>
    <row r="2431" spans="1:12" s="84" customFormat="1" ht="14.25" customHeight="1" thickBot="1">
      <c r="A2431" s="353" t="s">
        <v>8084</v>
      </c>
      <c r="B2431" s="338" t="s">
        <v>3776</v>
      </c>
      <c r="C2431" s="339">
        <f t="shared" si="82"/>
        <v>50000</v>
      </c>
      <c r="D2431" s="191" t="s">
        <v>636</v>
      </c>
      <c r="E2431" s="172" t="s">
        <v>1687</v>
      </c>
      <c r="F2431" s="507">
        <f>SUMIFS(Controle!$R:$R,Controle!$H:$H,produtos_escape2!$A2431,Controle!$Z:$Z,"1")</f>
        <v>0</v>
      </c>
      <c r="G2431" s="507">
        <f>SUMIFS(Controle!$R:$R,Controle!$H:$H,produtos_escape2!$A2431,Controle!$Z:$Z,"2")</f>
        <v>0</v>
      </c>
      <c r="H2431" s="507">
        <f>SUMIFS(Controle!$R:$R,Controle!$H:$H,produtos_escape2!$A2431,Controle!$Z:$Z,"3")</f>
        <v>0</v>
      </c>
      <c r="I2431" s="507">
        <f>SUMIFS(Controle!$R:$R,Controle!$H:$H,produtos_escape2!$A2431,Controle!$Z:$Z,"4")</f>
        <v>0</v>
      </c>
      <c r="J2431" s="507">
        <f>SUMIFS(Controle!$R:$R,Controle!$H:$H,produtos_escape2!$A2431,Controle!$Z:$Z,"5")</f>
        <v>0</v>
      </c>
      <c r="K2431" s="507">
        <f>SUMIFS(Controle!$R:$R,Controle!$H:$H,produtos_escape2!$A2431,Controle!$Z:$Z,"6")</f>
        <v>0</v>
      </c>
      <c r="L2431" s="507">
        <f t="shared" ref="L2431:L2494" si="83">SUM(F2431:K2431)</f>
        <v>0</v>
      </c>
    </row>
    <row r="2432" spans="1:12" s="84" customFormat="1" ht="14.25" customHeight="1" thickBot="1">
      <c r="A2432" s="353" t="s">
        <v>8085</v>
      </c>
      <c r="B2432" s="194" t="s">
        <v>3777</v>
      </c>
      <c r="C2432" s="339">
        <f t="shared" si="82"/>
        <v>50000</v>
      </c>
      <c r="D2432" s="191" t="s">
        <v>636</v>
      </c>
      <c r="E2432" s="172" t="s">
        <v>1687</v>
      </c>
      <c r="F2432" s="507">
        <f>SUMIFS(Controle!$R:$R,Controle!$H:$H,produtos_escape2!$A2432,Controle!$Z:$Z,"1")</f>
        <v>0</v>
      </c>
      <c r="G2432" s="507">
        <f>SUMIFS(Controle!$R:$R,Controle!$H:$H,produtos_escape2!$A2432,Controle!$Z:$Z,"2")</f>
        <v>0</v>
      </c>
      <c r="H2432" s="507">
        <f>SUMIFS(Controle!$R:$R,Controle!$H:$H,produtos_escape2!$A2432,Controle!$Z:$Z,"3")</f>
        <v>0</v>
      </c>
      <c r="I2432" s="507">
        <f>SUMIFS(Controle!$R:$R,Controle!$H:$H,produtos_escape2!$A2432,Controle!$Z:$Z,"4")</f>
        <v>0</v>
      </c>
      <c r="J2432" s="507">
        <f>SUMIFS(Controle!$R:$R,Controle!$H:$H,produtos_escape2!$A2432,Controle!$Z:$Z,"5")</f>
        <v>0</v>
      </c>
      <c r="K2432" s="507">
        <f>SUMIFS(Controle!$R:$R,Controle!$H:$H,produtos_escape2!$A2432,Controle!$Z:$Z,"6")</f>
        <v>0</v>
      </c>
      <c r="L2432" s="507">
        <f t="shared" si="83"/>
        <v>0</v>
      </c>
    </row>
    <row r="2433" spans="1:12" s="84" customFormat="1" ht="14.25" customHeight="1" thickBot="1">
      <c r="A2433" s="353" t="s">
        <v>8086</v>
      </c>
      <c r="B2433" s="194" t="s">
        <v>3778</v>
      </c>
      <c r="C2433" s="339">
        <f t="shared" si="82"/>
        <v>50000</v>
      </c>
      <c r="D2433" s="191" t="s">
        <v>636</v>
      </c>
      <c r="E2433" s="172" t="s">
        <v>1687</v>
      </c>
      <c r="F2433" s="507">
        <f>SUMIFS(Controle!$R:$R,Controle!$H:$H,produtos_escape2!$A2433,Controle!$Z:$Z,"1")</f>
        <v>0</v>
      </c>
      <c r="G2433" s="507">
        <f>SUMIFS(Controle!$R:$R,Controle!$H:$H,produtos_escape2!$A2433,Controle!$Z:$Z,"2")</f>
        <v>0</v>
      </c>
      <c r="H2433" s="507">
        <f>SUMIFS(Controle!$R:$R,Controle!$H:$H,produtos_escape2!$A2433,Controle!$Z:$Z,"3")</f>
        <v>0</v>
      </c>
      <c r="I2433" s="507">
        <f>SUMIFS(Controle!$R:$R,Controle!$H:$H,produtos_escape2!$A2433,Controle!$Z:$Z,"4")</f>
        <v>0</v>
      </c>
      <c r="J2433" s="507">
        <f>SUMIFS(Controle!$R:$R,Controle!$H:$H,produtos_escape2!$A2433,Controle!$Z:$Z,"5")</f>
        <v>0</v>
      </c>
      <c r="K2433" s="507">
        <f>SUMIFS(Controle!$R:$R,Controle!$H:$H,produtos_escape2!$A2433,Controle!$Z:$Z,"6")</f>
        <v>0</v>
      </c>
      <c r="L2433" s="507">
        <f t="shared" si="83"/>
        <v>0</v>
      </c>
    </row>
    <row r="2434" spans="1:12" s="84" customFormat="1" ht="14.25" customHeight="1" thickBot="1">
      <c r="A2434" s="353" t="s">
        <v>8087</v>
      </c>
      <c r="B2434" s="194" t="s">
        <v>3779</v>
      </c>
      <c r="C2434" s="339">
        <f t="shared" si="82"/>
        <v>50000</v>
      </c>
      <c r="D2434" s="191" t="s">
        <v>636</v>
      </c>
      <c r="E2434" s="172" t="s">
        <v>1687</v>
      </c>
      <c r="F2434" s="507">
        <f>SUMIFS(Controle!$R:$R,Controle!$H:$H,produtos_escape2!$A2434,Controle!$Z:$Z,"1")</f>
        <v>0</v>
      </c>
      <c r="G2434" s="507">
        <f>SUMIFS(Controle!$R:$R,Controle!$H:$H,produtos_escape2!$A2434,Controle!$Z:$Z,"2")</f>
        <v>0</v>
      </c>
      <c r="H2434" s="507">
        <f>SUMIFS(Controle!$R:$R,Controle!$H:$H,produtos_escape2!$A2434,Controle!$Z:$Z,"3")</f>
        <v>0</v>
      </c>
      <c r="I2434" s="507">
        <f>SUMIFS(Controle!$R:$R,Controle!$H:$H,produtos_escape2!$A2434,Controle!$Z:$Z,"4")</f>
        <v>0</v>
      </c>
      <c r="J2434" s="507">
        <f>SUMIFS(Controle!$R:$R,Controle!$H:$H,produtos_escape2!$A2434,Controle!$Z:$Z,"5")</f>
        <v>0</v>
      </c>
      <c r="K2434" s="507">
        <f>SUMIFS(Controle!$R:$R,Controle!$H:$H,produtos_escape2!$A2434,Controle!$Z:$Z,"6")</f>
        <v>0</v>
      </c>
      <c r="L2434" s="507">
        <f t="shared" si="83"/>
        <v>0</v>
      </c>
    </row>
    <row r="2435" spans="1:12" s="84" customFormat="1" ht="14.25" customHeight="1" thickBot="1">
      <c r="A2435" s="353" t="s">
        <v>8088</v>
      </c>
      <c r="B2435" s="194" t="s">
        <v>3780</v>
      </c>
      <c r="C2435" s="339">
        <f t="shared" si="82"/>
        <v>50000</v>
      </c>
      <c r="D2435" s="191" t="s">
        <v>636</v>
      </c>
      <c r="E2435" s="172" t="s">
        <v>1687</v>
      </c>
      <c r="F2435" s="507">
        <f>SUMIFS(Controle!$R:$R,Controle!$H:$H,produtos_escape2!$A2435,Controle!$Z:$Z,"1")</f>
        <v>0</v>
      </c>
      <c r="G2435" s="507">
        <f>SUMIFS(Controle!$R:$R,Controle!$H:$H,produtos_escape2!$A2435,Controle!$Z:$Z,"2")</f>
        <v>0</v>
      </c>
      <c r="H2435" s="507">
        <f>SUMIFS(Controle!$R:$R,Controle!$H:$H,produtos_escape2!$A2435,Controle!$Z:$Z,"3")</f>
        <v>0</v>
      </c>
      <c r="I2435" s="507">
        <f>SUMIFS(Controle!$R:$R,Controle!$H:$H,produtos_escape2!$A2435,Controle!$Z:$Z,"4")</f>
        <v>0</v>
      </c>
      <c r="J2435" s="507">
        <f>SUMIFS(Controle!$R:$R,Controle!$H:$H,produtos_escape2!$A2435,Controle!$Z:$Z,"5")</f>
        <v>0</v>
      </c>
      <c r="K2435" s="507">
        <f>SUMIFS(Controle!$R:$R,Controle!$H:$H,produtos_escape2!$A2435,Controle!$Z:$Z,"6")</f>
        <v>0</v>
      </c>
      <c r="L2435" s="507">
        <f t="shared" si="83"/>
        <v>0</v>
      </c>
    </row>
    <row r="2436" spans="1:12" s="84" customFormat="1" ht="14.25" customHeight="1" thickBot="1">
      <c r="A2436" s="353" t="s">
        <v>8089</v>
      </c>
      <c r="B2436" s="194" t="s">
        <v>3781</v>
      </c>
      <c r="C2436" s="339">
        <f t="shared" si="82"/>
        <v>50000</v>
      </c>
      <c r="D2436" s="191" t="s">
        <v>636</v>
      </c>
      <c r="E2436" s="172" t="s">
        <v>1687</v>
      </c>
      <c r="F2436" s="507">
        <f>SUMIFS(Controle!$R:$R,Controle!$H:$H,produtos_escape2!$A2436,Controle!$Z:$Z,"1")</f>
        <v>0</v>
      </c>
      <c r="G2436" s="507">
        <f>SUMIFS(Controle!$R:$R,Controle!$H:$H,produtos_escape2!$A2436,Controle!$Z:$Z,"2")</f>
        <v>0</v>
      </c>
      <c r="H2436" s="507">
        <f>SUMIFS(Controle!$R:$R,Controle!$H:$H,produtos_escape2!$A2436,Controle!$Z:$Z,"3")</f>
        <v>0</v>
      </c>
      <c r="I2436" s="507">
        <f>SUMIFS(Controle!$R:$R,Controle!$H:$H,produtos_escape2!$A2436,Controle!$Z:$Z,"4")</f>
        <v>0</v>
      </c>
      <c r="J2436" s="507">
        <f>SUMIFS(Controle!$R:$R,Controle!$H:$H,produtos_escape2!$A2436,Controle!$Z:$Z,"5")</f>
        <v>0</v>
      </c>
      <c r="K2436" s="507">
        <f>SUMIFS(Controle!$R:$R,Controle!$H:$H,produtos_escape2!$A2436,Controle!$Z:$Z,"6")</f>
        <v>0</v>
      </c>
      <c r="L2436" s="507">
        <f t="shared" si="83"/>
        <v>0</v>
      </c>
    </row>
    <row r="2437" spans="1:12" s="84" customFormat="1" ht="14.25" customHeight="1" thickBot="1">
      <c r="A2437" s="353" t="s">
        <v>8090</v>
      </c>
      <c r="B2437" s="194" t="s">
        <v>3791</v>
      </c>
      <c r="C2437" s="339">
        <f t="shared" si="82"/>
        <v>50000</v>
      </c>
      <c r="D2437" s="191" t="s">
        <v>636</v>
      </c>
      <c r="E2437" s="172" t="s">
        <v>1687</v>
      </c>
      <c r="F2437" s="507">
        <f>SUMIFS(Controle!$R:$R,Controle!$H:$H,produtos_escape2!$A2437,Controle!$Z:$Z,"1")</f>
        <v>0</v>
      </c>
      <c r="G2437" s="507">
        <f>SUMIFS(Controle!$R:$R,Controle!$H:$H,produtos_escape2!$A2437,Controle!$Z:$Z,"2")</f>
        <v>0</v>
      </c>
      <c r="H2437" s="507">
        <f>SUMIFS(Controle!$R:$R,Controle!$H:$H,produtos_escape2!$A2437,Controle!$Z:$Z,"3")</f>
        <v>0</v>
      </c>
      <c r="I2437" s="507">
        <f>SUMIFS(Controle!$R:$R,Controle!$H:$H,produtos_escape2!$A2437,Controle!$Z:$Z,"4")</f>
        <v>0</v>
      </c>
      <c r="J2437" s="507">
        <f>SUMIFS(Controle!$R:$R,Controle!$H:$H,produtos_escape2!$A2437,Controle!$Z:$Z,"5")</f>
        <v>0</v>
      </c>
      <c r="K2437" s="507">
        <f>SUMIFS(Controle!$R:$R,Controle!$H:$H,produtos_escape2!$A2437,Controle!$Z:$Z,"6")</f>
        <v>0</v>
      </c>
      <c r="L2437" s="507">
        <f t="shared" si="83"/>
        <v>0</v>
      </c>
    </row>
    <row r="2438" spans="1:12" s="84" customFormat="1" ht="14.25" customHeight="1" thickBot="1">
      <c r="A2438" s="353" t="s">
        <v>8091</v>
      </c>
      <c r="B2438" s="194" t="s">
        <v>3792</v>
      </c>
      <c r="C2438" s="339">
        <f t="shared" si="82"/>
        <v>50000</v>
      </c>
      <c r="D2438" s="191" t="s">
        <v>636</v>
      </c>
      <c r="E2438" s="172" t="s">
        <v>1687</v>
      </c>
      <c r="F2438" s="507">
        <f>SUMIFS(Controle!$R:$R,Controle!$H:$H,produtos_escape2!$A2438,Controle!$Z:$Z,"1")</f>
        <v>0</v>
      </c>
      <c r="G2438" s="507">
        <f>SUMIFS(Controle!$R:$R,Controle!$H:$H,produtos_escape2!$A2438,Controle!$Z:$Z,"2")</f>
        <v>0</v>
      </c>
      <c r="H2438" s="507">
        <f>SUMIFS(Controle!$R:$R,Controle!$H:$H,produtos_escape2!$A2438,Controle!$Z:$Z,"3")</f>
        <v>0</v>
      </c>
      <c r="I2438" s="507">
        <f>SUMIFS(Controle!$R:$R,Controle!$H:$H,produtos_escape2!$A2438,Controle!$Z:$Z,"4")</f>
        <v>0</v>
      </c>
      <c r="J2438" s="507">
        <f>SUMIFS(Controle!$R:$R,Controle!$H:$H,produtos_escape2!$A2438,Controle!$Z:$Z,"5")</f>
        <v>0</v>
      </c>
      <c r="K2438" s="507">
        <f>SUMIFS(Controle!$R:$R,Controle!$H:$H,produtos_escape2!$A2438,Controle!$Z:$Z,"6")</f>
        <v>0</v>
      </c>
      <c r="L2438" s="507">
        <f t="shared" si="83"/>
        <v>0</v>
      </c>
    </row>
    <row r="2439" spans="1:12" s="84" customFormat="1" ht="14.25" customHeight="1" thickBot="1">
      <c r="A2439" s="353" t="s">
        <v>8092</v>
      </c>
      <c r="B2439" s="338" t="s">
        <v>8226</v>
      </c>
      <c r="C2439" s="339">
        <f t="shared" si="82"/>
        <v>49044</v>
      </c>
      <c r="D2439" s="191" t="s">
        <v>636</v>
      </c>
      <c r="E2439" s="172" t="s">
        <v>1687</v>
      </c>
      <c r="F2439" s="507">
        <f>SUMIFS(Controle!$R:$R,Controle!$H:$H,produtos_escape2!$A2439,Controle!$Z:$Z,"1")</f>
        <v>0</v>
      </c>
      <c r="G2439" s="507">
        <f>SUMIFS(Controle!$R:$R,Controle!$H:$H,produtos_escape2!$A2439,Controle!$Z:$Z,"2")</f>
        <v>0</v>
      </c>
      <c r="H2439" s="507">
        <f>SUMIFS(Controle!$R:$R,Controle!$H:$H,produtos_escape2!$A2439,Controle!$Z:$Z,"3")</f>
        <v>956</v>
      </c>
      <c r="I2439" s="507">
        <f>SUMIFS(Controle!$R:$R,Controle!$H:$H,produtos_escape2!$A2439,Controle!$Z:$Z,"4")</f>
        <v>0</v>
      </c>
      <c r="J2439" s="507">
        <f>SUMIFS(Controle!$R:$R,Controle!$H:$H,produtos_escape2!$A2439,Controle!$Z:$Z,"5")</f>
        <v>0</v>
      </c>
      <c r="K2439" s="507">
        <f>SUMIFS(Controle!$R:$R,Controle!$H:$H,produtos_escape2!$A2439,Controle!$Z:$Z,"6")</f>
        <v>0</v>
      </c>
      <c r="L2439" s="507">
        <f t="shared" si="83"/>
        <v>956</v>
      </c>
    </row>
    <row r="2440" spans="1:12" s="84" customFormat="1" ht="14.25" customHeight="1" thickBot="1">
      <c r="A2440" s="353" t="s">
        <v>8093</v>
      </c>
      <c r="B2440" s="194" t="s">
        <v>3798</v>
      </c>
      <c r="C2440" s="339">
        <f t="shared" si="82"/>
        <v>50000</v>
      </c>
      <c r="D2440" s="191" t="s">
        <v>636</v>
      </c>
      <c r="E2440" s="172" t="s">
        <v>1687</v>
      </c>
      <c r="F2440" s="507">
        <f>SUMIFS(Controle!$R:$R,Controle!$H:$H,produtos_escape2!$A2440,Controle!$Z:$Z,"1")</f>
        <v>0</v>
      </c>
      <c r="G2440" s="507">
        <f>SUMIFS(Controle!$R:$R,Controle!$H:$H,produtos_escape2!$A2440,Controle!$Z:$Z,"2")</f>
        <v>0</v>
      </c>
      <c r="H2440" s="507">
        <f>SUMIFS(Controle!$R:$R,Controle!$H:$H,produtos_escape2!$A2440,Controle!$Z:$Z,"3")</f>
        <v>0</v>
      </c>
      <c r="I2440" s="507">
        <f>SUMIFS(Controle!$R:$R,Controle!$H:$H,produtos_escape2!$A2440,Controle!$Z:$Z,"4")</f>
        <v>0</v>
      </c>
      <c r="J2440" s="507">
        <f>SUMIFS(Controle!$R:$R,Controle!$H:$H,produtos_escape2!$A2440,Controle!$Z:$Z,"5")</f>
        <v>0</v>
      </c>
      <c r="K2440" s="507">
        <f>SUMIFS(Controle!$R:$R,Controle!$H:$H,produtos_escape2!$A2440,Controle!$Z:$Z,"6")</f>
        <v>0</v>
      </c>
      <c r="L2440" s="507">
        <f t="shared" si="83"/>
        <v>0</v>
      </c>
    </row>
    <row r="2441" spans="1:12" s="84" customFormat="1" ht="14.25" customHeight="1" thickBot="1">
      <c r="A2441" s="353" t="s">
        <v>8094</v>
      </c>
      <c r="B2441" s="194" t="s">
        <v>3799</v>
      </c>
      <c r="C2441" s="339">
        <f t="shared" ref="C2441:C2504" si="84">50000-SUM(F2441:K2441)</f>
        <v>50000</v>
      </c>
      <c r="D2441" s="191" t="s">
        <v>636</v>
      </c>
      <c r="E2441" s="172" t="s">
        <v>1687</v>
      </c>
      <c r="F2441" s="507">
        <f>SUMIFS(Controle!$R:$R,Controle!$H:$H,produtos_escape2!$A2441,Controle!$Z:$Z,"1")</f>
        <v>0</v>
      </c>
      <c r="G2441" s="507">
        <f>SUMIFS(Controle!$R:$R,Controle!$H:$H,produtos_escape2!$A2441,Controle!$Z:$Z,"2")</f>
        <v>0</v>
      </c>
      <c r="H2441" s="507">
        <f>SUMIFS(Controle!$R:$R,Controle!$H:$H,produtos_escape2!$A2441,Controle!$Z:$Z,"3")</f>
        <v>0</v>
      </c>
      <c r="I2441" s="507">
        <f>SUMIFS(Controle!$R:$R,Controle!$H:$H,produtos_escape2!$A2441,Controle!$Z:$Z,"4")</f>
        <v>0</v>
      </c>
      <c r="J2441" s="507">
        <f>SUMIFS(Controle!$R:$R,Controle!$H:$H,produtos_escape2!$A2441,Controle!$Z:$Z,"5")</f>
        <v>0</v>
      </c>
      <c r="K2441" s="507">
        <f>SUMIFS(Controle!$R:$R,Controle!$H:$H,produtos_escape2!$A2441,Controle!$Z:$Z,"6")</f>
        <v>0</v>
      </c>
      <c r="L2441" s="507">
        <f t="shared" si="83"/>
        <v>0</v>
      </c>
    </row>
    <row r="2442" spans="1:12" s="84" customFormat="1" ht="14.25" customHeight="1" thickBot="1">
      <c r="A2442" s="353" t="s">
        <v>8095</v>
      </c>
      <c r="B2442" s="194" t="s">
        <v>4010</v>
      </c>
      <c r="C2442" s="339">
        <f t="shared" si="84"/>
        <v>50000</v>
      </c>
      <c r="D2442" s="191" t="s">
        <v>636</v>
      </c>
      <c r="E2442" s="172" t="s">
        <v>1687</v>
      </c>
      <c r="F2442" s="507">
        <f>SUMIFS(Controle!$R:$R,Controle!$H:$H,produtos_escape2!$A2442,Controle!$Z:$Z,"1")</f>
        <v>0</v>
      </c>
      <c r="G2442" s="507">
        <f>SUMIFS(Controle!$R:$R,Controle!$H:$H,produtos_escape2!$A2442,Controle!$Z:$Z,"2")</f>
        <v>0</v>
      </c>
      <c r="H2442" s="507">
        <f>SUMIFS(Controle!$R:$R,Controle!$H:$H,produtos_escape2!$A2442,Controle!$Z:$Z,"3")</f>
        <v>0</v>
      </c>
      <c r="I2442" s="507">
        <f>SUMIFS(Controle!$R:$R,Controle!$H:$H,produtos_escape2!$A2442,Controle!$Z:$Z,"4")</f>
        <v>0</v>
      </c>
      <c r="J2442" s="507">
        <f>SUMIFS(Controle!$R:$R,Controle!$H:$H,produtos_escape2!$A2442,Controle!$Z:$Z,"5")</f>
        <v>0</v>
      </c>
      <c r="K2442" s="507">
        <f>SUMIFS(Controle!$R:$R,Controle!$H:$H,produtos_escape2!$A2442,Controle!$Z:$Z,"6")</f>
        <v>0</v>
      </c>
      <c r="L2442" s="507">
        <f t="shared" si="83"/>
        <v>0</v>
      </c>
    </row>
    <row r="2443" spans="1:12" s="84" customFormat="1" ht="14.25" customHeight="1" thickBot="1">
      <c r="A2443" s="353" t="s">
        <v>8096</v>
      </c>
      <c r="B2443" s="194" t="s">
        <v>4011</v>
      </c>
      <c r="C2443" s="339">
        <f t="shared" si="84"/>
        <v>50000</v>
      </c>
      <c r="D2443" s="191" t="s">
        <v>636</v>
      </c>
      <c r="E2443" s="172" t="s">
        <v>1687</v>
      </c>
      <c r="F2443" s="507">
        <f>SUMIFS(Controle!$R:$R,Controle!$H:$H,produtos_escape2!$A2443,Controle!$Z:$Z,"1")</f>
        <v>0</v>
      </c>
      <c r="G2443" s="507">
        <f>SUMIFS(Controle!$R:$R,Controle!$H:$H,produtos_escape2!$A2443,Controle!$Z:$Z,"2")</f>
        <v>0</v>
      </c>
      <c r="H2443" s="507">
        <f>SUMIFS(Controle!$R:$R,Controle!$H:$H,produtos_escape2!$A2443,Controle!$Z:$Z,"3")</f>
        <v>0</v>
      </c>
      <c r="I2443" s="507">
        <f>SUMIFS(Controle!$R:$R,Controle!$H:$H,produtos_escape2!$A2443,Controle!$Z:$Z,"4")</f>
        <v>0</v>
      </c>
      <c r="J2443" s="507">
        <f>SUMIFS(Controle!$R:$R,Controle!$H:$H,produtos_escape2!$A2443,Controle!$Z:$Z,"5")</f>
        <v>0</v>
      </c>
      <c r="K2443" s="507">
        <f>SUMIFS(Controle!$R:$R,Controle!$H:$H,produtos_escape2!$A2443,Controle!$Z:$Z,"6")</f>
        <v>0</v>
      </c>
      <c r="L2443" s="507">
        <f t="shared" si="83"/>
        <v>0</v>
      </c>
    </row>
    <row r="2444" spans="1:12" s="84" customFormat="1" ht="14.25" customHeight="1" thickBot="1">
      <c r="A2444" s="353" t="s">
        <v>8097</v>
      </c>
      <c r="B2444" s="194" t="s">
        <v>4012</v>
      </c>
      <c r="C2444" s="339">
        <f t="shared" si="84"/>
        <v>50000</v>
      </c>
      <c r="D2444" s="191" t="s">
        <v>636</v>
      </c>
      <c r="E2444" s="172" t="s">
        <v>1687</v>
      </c>
      <c r="F2444" s="507">
        <f>SUMIFS(Controle!$R:$R,Controle!$H:$H,produtos_escape2!$A2444,Controle!$Z:$Z,"1")</f>
        <v>0</v>
      </c>
      <c r="G2444" s="507">
        <f>SUMIFS(Controle!$R:$R,Controle!$H:$H,produtos_escape2!$A2444,Controle!$Z:$Z,"2")</f>
        <v>0</v>
      </c>
      <c r="H2444" s="507">
        <f>SUMIFS(Controle!$R:$R,Controle!$H:$H,produtos_escape2!$A2444,Controle!$Z:$Z,"3")</f>
        <v>0</v>
      </c>
      <c r="I2444" s="507">
        <f>SUMIFS(Controle!$R:$R,Controle!$H:$H,produtos_escape2!$A2444,Controle!$Z:$Z,"4")</f>
        <v>0</v>
      </c>
      <c r="J2444" s="507">
        <f>SUMIFS(Controle!$R:$R,Controle!$H:$H,produtos_escape2!$A2444,Controle!$Z:$Z,"5")</f>
        <v>0</v>
      </c>
      <c r="K2444" s="507">
        <f>SUMIFS(Controle!$R:$R,Controle!$H:$H,produtos_escape2!$A2444,Controle!$Z:$Z,"6")</f>
        <v>0</v>
      </c>
      <c r="L2444" s="507">
        <f t="shared" si="83"/>
        <v>0</v>
      </c>
    </row>
    <row r="2445" spans="1:12" s="84" customFormat="1" ht="14.25" customHeight="1" thickBot="1">
      <c r="A2445" s="353" t="s">
        <v>8098</v>
      </c>
      <c r="B2445" s="194" t="s">
        <v>4013</v>
      </c>
      <c r="C2445" s="339">
        <f t="shared" si="84"/>
        <v>50000</v>
      </c>
      <c r="D2445" s="191" t="s">
        <v>636</v>
      </c>
      <c r="E2445" s="172" t="s">
        <v>1687</v>
      </c>
      <c r="F2445" s="507">
        <f>SUMIFS(Controle!$R:$R,Controle!$H:$H,produtos_escape2!$A2445,Controle!$Z:$Z,"1")</f>
        <v>0</v>
      </c>
      <c r="G2445" s="507">
        <f>SUMIFS(Controle!$R:$R,Controle!$H:$H,produtos_escape2!$A2445,Controle!$Z:$Z,"2")</f>
        <v>0</v>
      </c>
      <c r="H2445" s="507">
        <f>SUMIFS(Controle!$R:$R,Controle!$H:$H,produtos_escape2!$A2445,Controle!$Z:$Z,"3")</f>
        <v>0</v>
      </c>
      <c r="I2445" s="507">
        <f>SUMIFS(Controle!$R:$R,Controle!$H:$H,produtos_escape2!$A2445,Controle!$Z:$Z,"4")</f>
        <v>0</v>
      </c>
      <c r="J2445" s="507">
        <f>SUMIFS(Controle!$R:$R,Controle!$H:$H,produtos_escape2!$A2445,Controle!$Z:$Z,"5")</f>
        <v>0</v>
      </c>
      <c r="K2445" s="507">
        <f>SUMIFS(Controle!$R:$R,Controle!$H:$H,produtos_escape2!$A2445,Controle!$Z:$Z,"6")</f>
        <v>0</v>
      </c>
      <c r="L2445" s="507">
        <f t="shared" si="83"/>
        <v>0</v>
      </c>
    </row>
    <row r="2446" spans="1:12" s="84" customFormat="1" ht="14.25" customHeight="1" thickBot="1">
      <c r="A2446" s="353" t="s">
        <v>8099</v>
      </c>
      <c r="B2446" s="194" t="s">
        <v>6660</v>
      </c>
      <c r="C2446" s="339">
        <f t="shared" si="84"/>
        <v>48440</v>
      </c>
      <c r="D2446" s="191" t="s">
        <v>636</v>
      </c>
      <c r="E2446" s="172" t="s">
        <v>1687</v>
      </c>
      <c r="F2446" s="507">
        <f>SUMIFS(Controle!$R:$R,Controle!$H:$H,produtos_escape2!$A2446,Controle!$Z:$Z,"1")</f>
        <v>0</v>
      </c>
      <c r="G2446" s="507">
        <f>SUMIFS(Controle!$R:$R,Controle!$H:$H,produtos_escape2!$A2446,Controle!$Z:$Z,"2")</f>
        <v>0</v>
      </c>
      <c r="H2446" s="507">
        <f>SUMIFS(Controle!$R:$R,Controle!$H:$H,produtos_escape2!$A2446,Controle!$Z:$Z,"3")</f>
        <v>0</v>
      </c>
      <c r="I2446" s="507">
        <f>SUMIFS(Controle!$R:$R,Controle!$H:$H,produtos_escape2!$A2446,Controle!$Z:$Z,"4")</f>
        <v>1560</v>
      </c>
      <c r="J2446" s="507">
        <f>SUMIFS(Controle!$R:$R,Controle!$H:$H,produtos_escape2!$A2446,Controle!$Z:$Z,"5")</f>
        <v>0</v>
      </c>
      <c r="K2446" s="507">
        <f>SUMIFS(Controle!$R:$R,Controle!$H:$H,produtos_escape2!$A2446,Controle!$Z:$Z,"6")</f>
        <v>0</v>
      </c>
      <c r="L2446" s="507">
        <f t="shared" si="83"/>
        <v>1560</v>
      </c>
    </row>
    <row r="2447" spans="1:12" s="84" customFormat="1" ht="14.25" customHeight="1" thickBot="1">
      <c r="A2447" s="353" t="s">
        <v>8100</v>
      </c>
      <c r="B2447" s="194" t="s">
        <v>7005</v>
      </c>
      <c r="C2447" s="339">
        <f t="shared" si="84"/>
        <v>50000</v>
      </c>
      <c r="D2447" s="191" t="s">
        <v>636</v>
      </c>
      <c r="E2447" s="172" t="s">
        <v>1687</v>
      </c>
      <c r="F2447" s="507">
        <f>SUMIFS(Controle!$R:$R,Controle!$H:$H,produtos_escape2!$A2447,Controle!$Z:$Z,"1")</f>
        <v>0</v>
      </c>
      <c r="G2447" s="507">
        <f>SUMIFS(Controle!$R:$R,Controle!$H:$H,produtos_escape2!$A2447,Controle!$Z:$Z,"2")</f>
        <v>0</v>
      </c>
      <c r="H2447" s="507">
        <f>SUMIFS(Controle!$R:$R,Controle!$H:$H,produtos_escape2!$A2447,Controle!$Z:$Z,"3")</f>
        <v>0</v>
      </c>
      <c r="I2447" s="507">
        <f>SUMIFS(Controle!$R:$R,Controle!$H:$H,produtos_escape2!$A2447,Controle!$Z:$Z,"4")</f>
        <v>0</v>
      </c>
      <c r="J2447" s="507">
        <f>SUMIFS(Controle!$R:$R,Controle!$H:$H,produtos_escape2!$A2447,Controle!$Z:$Z,"5")</f>
        <v>0</v>
      </c>
      <c r="K2447" s="507">
        <f>SUMIFS(Controle!$R:$R,Controle!$H:$H,produtos_escape2!$A2447,Controle!$Z:$Z,"6")</f>
        <v>0</v>
      </c>
      <c r="L2447" s="507">
        <f t="shared" si="83"/>
        <v>0</v>
      </c>
    </row>
    <row r="2448" spans="1:12" s="84" customFormat="1" ht="14.25" customHeight="1" thickBot="1">
      <c r="A2448" s="353" t="s">
        <v>8101</v>
      </c>
      <c r="B2448" s="194" t="s">
        <v>8225</v>
      </c>
      <c r="C2448" s="339">
        <f t="shared" si="84"/>
        <v>49044</v>
      </c>
      <c r="D2448" s="191" t="s">
        <v>636</v>
      </c>
      <c r="E2448" s="172" t="s">
        <v>1687</v>
      </c>
      <c r="F2448" s="507">
        <f>SUMIFS(Controle!$R:$R,Controle!$H:$H,produtos_escape2!$A2448,Controle!$Z:$Z,"1")</f>
        <v>0</v>
      </c>
      <c r="G2448" s="507">
        <f>SUMIFS(Controle!$R:$R,Controle!$H:$H,produtos_escape2!$A2448,Controle!$Z:$Z,"2")</f>
        <v>0</v>
      </c>
      <c r="H2448" s="507">
        <f>SUMIFS(Controle!$R:$R,Controle!$H:$H,produtos_escape2!$A2448,Controle!$Z:$Z,"3")</f>
        <v>956</v>
      </c>
      <c r="I2448" s="507">
        <f>SUMIFS(Controle!$R:$R,Controle!$H:$H,produtos_escape2!$A2448,Controle!$Z:$Z,"4")</f>
        <v>0</v>
      </c>
      <c r="J2448" s="507">
        <f>SUMIFS(Controle!$R:$R,Controle!$H:$H,produtos_escape2!$A2448,Controle!$Z:$Z,"5")</f>
        <v>0</v>
      </c>
      <c r="K2448" s="507">
        <f>SUMIFS(Controle!$R:$R,Controle!$H:$H,produtos_escape2!$A2448,Controle!$Z:$Z,"6")</f>
        <v>0</v>
      </c>
      <c r="L2448" s="507">
        <f t="shared" si="83"/>
        <v>956</v>
      </c>
    </row>
    <row r="2449" spans="1:12" s="84" customFormat="1" ht="14.25" customHeight="1" thickBot="1">
      <c r="A2449" s="353" t="s">
        <v>8102</v>
      </c>
      <c r="B2449" s="194" t="s">
        <v>8050</v>
      </c>
      <c r="C2449" s="339">
        <f t="shared" si="84"/>
        <v>50000</v>
      </c>
      <c r="D2449" s="191" t="s">
        <v>636</v>
      </c>
      <c r="E2449" s="172" t="s">
        <v>1687</v>
      </c>
      <c r="F2449" s="507">
        <f>SUMIFS(Controle!$R:$R,Controle!$H:$H,produtos_escape2!$A2449,Controle!$Z:$Z,"1")</f>
        <v>0</v>
      </c>
      <c r="G2449" s="507">
        <f>SUMIFS(Controle!$R:$R,Controle!$H:$H,produtos_escape2!$A2449,Controle!$Z:$Z,"2")</f>
        <v>0</v>
      </c>
      <c r="H2449" s="507">
        <f>SUMIFS(Controle!$R:$R,Controle!$H:$H,produtos_escape2!$A2449,Controle!$Z:$Z,"3")</f>
        <v>0</v>
      </c>
      <c r="I2449" s="507">
        <f>SUMIFS(Controle!$R:$R,Controle!$H:$H,produtos_escape2!$A2449,Controle!$Z:$Z,"4")</f>
        <v>0</v>
      </c>
      <c r="J2449" s="507">
        <f>SUMIFS(Controle!$R:$R,Controle!$H:$H,produtos_escape2!$A2449,Controle!$Z:$Z,"5")</f>
        <v>0</v>
      </c>
      <c r="K2449" s="507">
        <f>SUMIFS(Controle!$R:$R,Controle!$H:$H,produtos_escape2!$A2449,Controle!$Z:$Z,"6")</f>
        <v>0</v>
      </c>
      <c r="L2449" s="507">
        <f t="shared" si="83"/>
        <v>0</v>
      </c>
    </row>
    <row r="2450" spans="1:12" s="84" customFormat="1" ht="14.25" customHeight="1" thickBot="1">
      <c r="A2450" s="353" t="s">
        <v>8103</v>
      </c>
      <c r="B2450" s="194" t="s">
        <v>8051</v>
      </c>
      <c r="C2450" s="339">
        <f t="shared" si="84"/>
        <v>50000</v>
      </c>
      <c r="D2450" s="191" t="s">
        <v>636</v>
      </c>
      <c r="E2450" s="172" t="s">
        <v>1687</v>
      </c>
      <c r="F2450" s="507">
        <f>SUMIFS(Controle!$R:$R,Controle!$H:$H,produtos_escape2!$A2450,Controle!$Z:$Z,"1")</f>
        <v>0</v>
      </c>
      <c r="G2450" s="507">
        <f>SUMIFS(Controle!$R:$R,Controle!$H:$H,produtos_escape2!$A2450,Controle!$Z:$Z,"2")</f>
        <v>0</v>
      </c>
      <c r="H2450" s="507">
        <f>SUMIFS(Controle!$R:$R,Controle!$H:$H,produtos_escape2!$A2450,Controle!$Z:$Z,"3")</f>
        <v>0</v>
      </c>
      <c r="I2450" s="507">
        <f>SUMIFS(Controle!$R:$R,Controle!$H:$H,produtos_escape2!$A2450,Controle!$Z:$Z,"4")</f>
        <v>0</v>
      </c>
      <c r="J2450" s="507">
        <f>SUMIFS(Controle!$R:$R,Controle!$H:$H,produtos_escape2!$A2450,Controle!$Z:$Z,"5")</f>
        <v>0</v>
      </c>
      <c r="K2450" s="507">
        <f>SUMIFS(Controle!$R:$R,Controle!$H:$H,produtos_escape2!$A2450,Controle!$Z:$Z,"6")</f>
        <v>0</v>
      </c>
      <c r="L2450" s="507">
        <f t="shared" si="83"/>
        <v>0</v>
      </c>
    </row>
    <row r="2451" spans="1:12" s="84" customFormat="1" ht="14.25" customHeight="1" thickBot="1">
      <c r="A2451" s="353" t="s">
        <v>8104</v>
      </c>
      <c r="B2451" s="194" t="s">
        <v>8052</v>
      </c>
      <c r="C2451" s="339">
        <f t="shared" si="84"/>
        <v>50000</v>
      </c>
      <c r="D2451" s="191" t="s">
        <v>636</v>
      </c>
      <c r="E2451" s="172" t="s">
        <v>1687</v>
      </c>
      <c r="F2451" s="507">
        <f>SUMIFS(Controle!$R:$R,Controle!$H:$H,produtos_escape2!$A2451,Controle!$Z:$Z,"1")</f>
        <v>0</v>
      </c>
      <c r="G2451" s="507">
        <f>SUMIFS(Controle!$R:$R,Controle!$H:$H,produtos_escape2!$A2451,Controle!$Z:$Z,"2")</f>
        <v>0</v>
      </c>
      <c r="H2451" s="507">
        <f>SUMIFS(Controle!$R:$R,Controle!$H:$H,produtos_escape2!$A2451,Controle!$Z:$Z,"3")</f>
        <v>0</v>
      </c>
      <c r="I2451" s="507">
        <f>SUMIFS(Controle!$R:$R,Controle!$H:$H,produtos_escape2!$A2451,Controle!$Z:$Z,"4")</f>
        <v>0</v>
      </c>
      <c r="J2451" s="507">
        <f>SUMIFS(Controle!$R:$R,Controle!$H:$H,produtos_escape2!$A2451,Controle!$Z:$Z,"5")</f>
        <v>0</v>
      </c>
      <c r="K2451" s="507">
        <f>SUMIFS(Controle!$R:$R,Controle!$H:$H,produtos_escape2!$A2451,Controle!$Z:$Z,"6")</f>
        <v>0</v>
      </c>
      <c r="L2451" s="507">
        <f t="shared" si="83"/>
        <v>0</v>
      </c>
    </row>
    <row r="2452" spans="1:12" s="84" customFormat="1" ht="14.25" customHeight="1" thickBot="1">
      <c r="A2452" s="353" t="s">
        <v>8105</v>
      </c>
      <c r="B2452" s="194" t="s">
        <v>8053</v>
      </c>
      <c r="C2452" s="339">
        <f t="shared" si="84"/>
        <v>50000</v>
      </c>
      <c r="D2452" s="191" t="s">
        <v>636</v>
      </c>
      <c r="E2452" s="172" t="s">
        <v>1687</v>
      </c>
      <c r="F2452" s="507">
        <f>SUMIFS(Controle!$R:$R,Controle!$H:$H,produtos_escape2!$A2452,Controle!$Z:$Z,"1")</f>
        <v>0</v>
      </c>
      <c r="G2452" s="507">
        <f>SUMIFS(Controle!$R:$R,Controle!$H:$H,produtos_escape2!$A2452,Controle!$Z:$Z,"2")</f>
        <v>0</v>
      </c>
      <c r="H2452" s="507">
        <f>SUMIFS(Controle!$R:$R,Controle!$H:$H,produtos_escape2!$A2452,Controle!$Z:$Z,"3")</f>
        <v>0</v>
      </c>
      <c r="I2452" s="507">
        <f>SUMIFS(Controle!$R:$R,Controle!$H:$H,produtos_escape2!$A2452,Controle!$Z:$Z,"4")</f>
        <v>0</v>
      </c>
      <c r="J2452" s="507">
        <f>SUMIFS(Controle!$R:$R,Controle!$H:$H,produtos_escape2!$A2452,Controle!$Z:$Z,"5")</f>
        <v>0</v>
      </c>
      <c r="K2452" s="507">
        <f>SUMIFS(Controle!$R:$R,Controle!$H:$H,produtos_escape2!$A2452,Controle!$Z:$Z,"6")</f>
        <v>0</v>
      </c>
      <c r="L2452" s="507">
        <f t="shared" si="83"/>
        <v>0</v>
      </c>
    </row>
    <row r="2453" spans="1:12" s="84" customFormat="1" ht="14.25" customHeight="1" thickBot="1">
      <c r="A2453" s="353" t="s">
        <v>3400</v>
      </c>
      <c r="B2453" s="194" t="s">
        <v>7011</v>
      </c>
      <c r="C2453" s="339">
        <f t="shared" si="84"/>
        <v>50000</v>
      </c>
      <c r="D2453" s="191" t="s">
        <v>636</v>
      </c>
      <c r="E2453" s="172" t="s">
        <v>1687</v>
      </c>
      <c r="F2453" s="507">
        <f>SUMIFS(Controle!$R:$R,Controle!$H:$H,produtos_escape2!$A2453,Controle!$Z:$Z,"1")</f>
        <v>0</v>
      </c>
      <c r="G2453" s="507">
        <f>SUMIFS(Controle!$R:$R,Controle!$H:$H,produtos_escape2!$A2453,Controle!$Z:$Z,"2")</f>
        <v>0</v>
      </c>
      <c r="H2453" s="507">
        <f>SUMIFS(Controle!$R:$R,Controle!$H:$H,produtos_escape2!$A2453,Controle!$Z:$Z,"3")</f>
        <v>0</v>
      </c>
      <c r="I2453" s="507">
        <f>SUMIFS(Controle!$R:$R,Controle!$H:$H,produtos_escape2!$A2453,Controle!$Z:$Z,"4")</f>
        <v>0</v>
      </c>
      <c r="J2453" s="507">
        <f>SUMIFS(Controle!$R:$R,Controle!$H:$H,produtos_escape2!$A2453,Controle!$Z:$Z,"5")</f>
        <v>0</v>
      </c>
      <c r="K2453" s="507">
        <f>SUMIFS(Controle!$R:$R,Controle!$H:$H,produtos_escape2!$A2453,Controle!$Z:$Z,"6")</f>
        <v>0</v>
      </c>
      <c r="L2453" s="507">
        <f t="shared" si="83"/>
        <v>0</v>
      </c>
    </row>
    <row r="2454" spans="1:12" s="84" customFormat="1" ht="14.25" customHeight="1" thickBot="1">
      <c r="A2454" s="353" t="s">
        <v>3401</v>
      </c>
      <c r="B2454" s="338" t="s">
        <v>7012</v>
      </c>
      <c r="C2454" s="339">
        <f t="shared" si="84"/>
        <v>50000</v>
      </c>
      <c r="D2454" s="191" t="s">
        <v>636</v>
      </c>
      <c r="E2454" s="172" t="s">
        <v>1687</v>
      </c>
      <c r="F2454" s="507">
        <f>SUMIFS(Controle!$R:$R,Controle!$H:$H,produtos_escape2!$A2454,Controle!$Z:$Z,"1")</f>
        <v>0</v>
      </c>
      <c r="G2454" s="507">
        <f>SUMIFS(Controle!$R:$R,Controle!$H:$H,produtos_escape2!$A2454,Controle!$Z:$Z,"2")</f>
        <v>0</v>
      </c>
      <c r="H2454" s="507">
        <f>SUMIFS(Controle!$R:$R,Controle!$H:$H,produtos_escape2!$A2454,Controle!$Z:$Z,"3")</f>
        <v>0</v>
      </c>
      <c r="I2454" s="507">
        <f>SUMIFS(Controle!$R:$R,Controle!$H:$H,produtos_escape2!$A2454,Controle!$Z:$Z,"4")</f>
        <v>0</v>
      </c>
      <c r="J2454" s="507">
        <f>SUMIFS(Controle!$R:$R,Controle!$H:$H,produtos_escape2!$A2454,Controle!$Z:$Z,"5")</f>
        <v>0</v>
      </c>
      <c r="K2454" s="507">
        <f>SUMIFS(Controle!$R:$R,Controle!$H:$H,produtos_escape2!$A2454,Controle!$Z:$Z,"6")</f>
        <v>0</v>
      </c>
      <c r="L2454" s="507">
        <f t="shared" si="83"/>
        <v>0</v>
      </c>
    </row>
    <row r="2455" spans="1:12" s="84" customFormat="1" ht="14.25" customHeight="1" thickBot="1">
      <c r="A2455" s="333" t="s">
        <v>3402</v>
      </c>
      <c r="B2455" s="194" t="s">
        <v>7013</v>
      </c>
      <c r="C2455" s="339">
        <f t="shared" si="84"/>
        <v>50000</v>
      </c>
      <c r="D2455" s="191" t="s">
        <v>636</v>
      </c>
      <c r="E2455" s="172" t="s">
        <v>1687</v>
      </c>
      <c r="F2455" s="507">
        <f>SUMIFS(Controle!$R:$R,Controle!$H:$H,produtos_escape2!$A2455,Controle!$Z:$Z,"1")</f>
        <v>0</v>
      </c>
      <c r="G2455" s="507">
        <f>SUMIFS(Controle!$R:$R,Controle!$H:$H,produtos_escape2!$A2455,Controle!$Z:$Z,"2")</f>
        <v>0</v>
      </c>
      <c r="H2455" s="507">
        <f>SUMIFS(Controle!$R:$R,Controle!$H:$H,produtos_escape2!$A2455,Controle!$Z:$Z,"3")</f>
        <v>0</v>
      </c>
      <c r="I2455" s="507">
        <f>SUMIFS(Controle!$R:$R,Controle!$H:$H,produtos_escape2!$A2455,Controle!$Z:$Z,"4")</f>
        <v>0</v>
      </c>
      <c r="J2455" s="507">
        <f>SUMIFS(Controle!$R:$R,Controle!$H:$H,produtos_escape2!$A2455,Controle!$Z:$Z,"5")</f>
        <v>0</v>
      </c>
      <c r="K2455" s="507">
        <f>SUMIFS(Controle!$R:$R,Controle!$H:$H,produtos_escape2!$A2455,Controle!$Z:$Z,"6")</f>
        <v>0</v>
      </c>
      <c r="L2455" s="507">
        <f t="shared" si="83"/>
        <v>0</v>
      </c>
    </row>
    <row r="2456" spans="1:12" s="84" customFormat="1" ht="14.25" customHeight="1" thickBot="1">
      <c r="A2456" s="353" t="s">
        <v>3403</v>
      </c>
      <c r="B2456" s="194" t="s">
        <v>7014</v>
      </c>
      <c r="C2456" s="339">
        <f t="shared" si="84"/>
        <v>50000</v>
      </c>
      <c r="D2456" s="191" t="s">
        <v>636</v>
      </c>
      <c r="E2456" s="172" t="s">
        <v>1687</v>
      </c>
      <c r="F2456" s="507">
        <f>SUMIFS(Controle!$R:$R,Controle!$H:$H,produtos_escape2!$A2456,Controle!$Z:$Z,"1")</f>
        <v>0</v>
      </c>
      <c r="G2456" s="507">
        <f>SUMIFS(Controle!$R:$R,Controle!$H:$H,produtos_escape2!$A2456,Controle!$Z:$Z,"2")</f>
        <v>0</v>
      </c>
      <c r="H2456" s="507">
        <f>SUMIFS(Controle!$R:$R,Controle!$H:$H,produtos_escape2!$A2456,Controle!$Z:$Z,"3")</f>
        <v>0</v>
      </c>
      <c r="I2456" s="507">
        <f>SUMIFS(Controle!$R:$R,Controle!$H:$H,produtos_escape2!$A2456,Controle!$Z:$Z,"4")</f>
        <v>0</v>
      </c>
      <c r="J2456" s="507">
        <f>SUMIFS(Controle!$R:$R,Controle!$H:$H,produtos_escape2!$A2456,Controle!$Z:$Z,"5")</f>
        <v>0</v>
      </c>
      <c r="K2456" s="507">
        <f>SUMIFS(Controle!$R:$R,Controle!$H:$H,produtos_escape2!$A2456,Controle!$Z:$Z,"6")</f>
        <v>0</v>
      </c>
      <c r="L2456" s="507">
        <f t="shared" si="83"/>
        <v>0</v>
      </c>
    </row>
    <row r="2457" spans="1:12" s="84" customFormat="1" ht="14.25" customHeight="1" thickBot="1">
      <c r="A2457" s="353" t="s">
        <v>3404</v>
      </c>
      <c r="B2457" s="194" t="s">
        <v>3405</v>
      </c>
      <c r="C2457" s="339">
        <f t="shared" si="84"/>
        <v>50000</v>
      </c>
      <c r="D2457" s="191" t="s">
        <v>636</v>
      </c>
      <c r="E2457" s="172" t="s">
        <v>1687</v>
      </c>
      <c r="F2457" s="507">
        <f>SUMIFS(Controle!$R:$R,Controle!$H:$H,produtos_escape2!$A2457,Controle!$Z:$Z,"1")</f>
        <v>0</v>
      </c>
      <c r="G2457" s="507">
        <f>SUMIFS(Controle!$R:$R,Controle!$H:$H,produtos_escape2!$A2457,Controle!$Z:$Z,"2")</f>
        <v>0</v>
      </c>
      <c r="H2457" s="507">
        <f>SUMIFS(Controle!$R:$R,Controle!$H:$H,produtos_escape2!$A2457,Controle!$Z:$Z,"3")</f>
        <v>0</v>
      </c>
      <c r="I2457" s="507">
        <f>SUMIFS(Controle!$R:$R,Controle!$H:$H,produtos_escape2!$A2457,Controle!$Z:$Z,"4")</f>
        <v>0</v>
      </c>
      <c r="J2457" s="507">
        <f>SUMIFS(Controle!$R:$R,Controle!$H:$H,produtos_escape2!$A2457,Controle!$Z:$Z,"5")</f>
        <v>0</v>
      </c>
      <c r="K2457" s="507">
        <f>SUMIFS(Controle!$R:$R,Controle!$H:$H,produtos_escape2!$A2457,Controle!$Z:$Z,"6")</f>
        <v>0</v>
      </c>
      <c r="L2457" s="507">
        <f t="shared" si="83"/>
        <v>0</v>
      </c>
    </row>
    <row r="2458" spans="1:12" s="84" customFormat="1" ht="14.25" customHeight="1" thickBot="1">
      <c r="A2458" s="353" t="s">
        <v>7020</v>
      </c>
      <c r="B2458" s="194" t="s">
        <v>7021</v>
      </c>
      <c r="C2458" s="339">
        <f t="shared" si="84"/>
        <v>50000</v>
      </c>
      <c r="D2458" s="191" t="s">
        <v>636</v>
      </c>
      <c r="E2458" s="172" t="s">
        <v>1687</v>
      </c>
      <c r="F2458" s="507">
        <f>SUMIFS(Controle!$R:$R,Controle!$H:$H,produtos_escape2!$A2458,Controle!$Z:$Z,"1")</f>
        <v>0</v>
      </c>
      <c r="G2458" s="507">
        <f>SUMIFS(Controle!$R:$R,Controle!$H:$H,produtos_escape2!$A2458,Controle!$Z:$Z,"2")</f>
        <v>0</v>
      </c>
      <c r="H2458" s="507">
        <f>SUMIFS(Controle!$R:$R,Controle!$H:$H,produtos_escape2!$A2458,Controle!$Z:$Z,"3")</f>
        <v>0</v>
      </c>
      <c r="I2458" s="507">
        <f>SUMIFS(Controle!$R:$R,Controle!$H:$H,produtos_escape2!$A2458,Controle!$Z:$Z,"4")</f>
        <v>0</v>
      </c>
      <c r="J2458" s="507">
        <f>SUMIFS(Controle!$R:$R,Controle!$H:$H,produtos_escape2!$A2458,Controle!$Z:$Z,"5")</f>
        <v>0</v>
      </c>
      <c r="K2458" s="507">
        <f>SUMIFS(Controle!$R:$R,Controle!$H:$H,produtos_escape2!$A2458,Controle!$Z:$Z,"6")</f>
        <v>0</v>
      </c>
      <c r="L2458" s="507">
        <f t="shared" si="83"/>
        <v>0</v>
      </c>
    </row>
    <row r="2459" spans="1:12" s="84" customFormat="1" ht="14.25" customHeight="1" thickBot="1">
      <c r="A2459" s="353" t="s">
        <v>3393</v>
      </c>
      <c r="B2459" s="194" t="s">
        <v>3394</v>
      </c>
      <c r="C2459" s="339">
        <f t="shared" si="84"/>
        <v>50000</v>
      </c>
      <c r="D2459" s="191" t="s">
        <v>636</v>
      </c>
      <c r="E2459" s="172" t="s">
        <v>1687</v>
      </c>
      <c r="F2459" s="507">
        <f>SUMIFS(Controle!$R:$R,Controle!$H:$H,produtos_escape2!$A2459,Controle!$Z:$Z,"1")</f>
        <v>0</v>
      </c>
      <c r="G2459" s="507">
        <f>SUMIFS(Controle!$R:$R,Controle!$H:$H,produtos_escape2!$A2459,Controle!$Z:$Z,"2")</f>
        <v>0</v>
      </c>
      <c r="H2459" s="507">
        <f>SUMIFS(Controle!$R:$R,Controle!$H:$H,produtos_escape2!$A2459,Controle!$Z:$Z,"3")</f>
        <v>0</v>
      </c>
      <c r="I2459" s="507">
        <f>SUMIFS(Controle!$R:$R,Controle!$H:$H,produtos_escape2!$A2459,Controle!$Z:$Z,"4")</f>
        <v>0</v>
      </c>
      <c r="J2459" s="507">
        <f>SUMIFS(Controle!$R:$R,Controle!$H:$H,produtos_escape2!$A2459,Controle!$Z:$Z,"5")</f>
        <v>0</v>
      </c>
      <c r="K2459" s="507">
        <f>SUMIFS(Controle!$R:$R,Controle!$H:$H,produtos_escape2!$A2459,Controle!$Z:$Z,"6")</f>
        <v>0</v>
      </c>
      <c r="L2459" s="507">
        <f t="shared" si="83"/>
        <v>0</v>
      </c>
    </row>
    <row r="2460" spans="1:12" s="84" customFormat="1" ht="14.25" customHeight="1" thickBot="1">
      <c r="A2460" s="353" t="s">
        <v>4202</v>
      </c>
      <c r="B2460" s="194" t="s">
        <v>4203</v>
      </c>
      <c r="C2460" s="339">
        <f t="shared" si="84"/>
        <v>50000</v>
      </c>
      <c r="D2460" s="191" t="s">
        <v>636</v>
      </c>
      <c r="E2460" s="172" t="s">
        <v>1687</v>
      </c>
      <c r="F2460" s="507">
        <f>SUMIFS(Controle!$R:$R,Controle!$H:$H,produtos_escape2!$A2460,Controle!$Z:$Z,"1")</f>
        <v>0</v>
      </c>
      <c r="G2460" s="507">
        <f>SUMIFS(Controle!$R:$R,Controle!$H:$H,produtos_escape2!$A2460,Controle!$Z:$Z,"2")</f>
        <v>0</v>
      </c>
      <c r="H2460" s="507">
        <f>SUMIFS(Controle!$R:$R,Controle!$H:$H,produtos_escape2!$A2460,Controle!$Z:$Z,"3")</f>
        <v>0</v>
      </c>
      <c r="I2460" s="507">
        <f>SUMIFS(Controle!$R:$R,Controle!$H:$H,produtos_escape2!$A2460,Controle!$Z:$Z,"4")</f>
        <v>0</v>
      </c>
      <c r="J2460" s="507">
        <f>SUMIFS(Controle!$R:$R,Controle!$H:$H,produtos_escape2!$A2460,Controle!$Z:$Z,"5")</f>
        <v>0</v>
      </c>
      <c r="K2460" s="507">
        <f>SUMIFS(Controle!$R:$R,Controle!$H:$H,produtos_escape2!$A2460,Controle!$Z:$Z,"6")</f>
        <v>0</v>
      </c>
      <c r="L2460" s="507">
        <f t="shared" si="83"/>
        <v>0</v>
      </c>
    </row>
    <row r="2461" spans="1:12" s="84" customFormat="1" ht="14.25" customHeight="1" thickBot="1">
      <c r="A2461" s="353" t="s">
        <v>3140</v>
      </c>
      <c r="B2461" s="194" t="s">
        <v>3332</v>
      </c>
      <c r="C2461" s="339">
        <f t="shared" si="84"/>
        <v>50000</v>
      </c>
      <c r="D2461" s="191" t="s">
        <v>636</v>
      </c>
      <c r="E2461" s="172" t="s">
        <v>1687</v>
      </c>
      <c r="F2461" s="507">
        <f>SUMIFS(Controle!$R:$R,Controle!$H:$H,produtos_escape2!$A2461,Controle!$Z:$Z,"1")</f>
        <v>0</v>
      </c>
      <c r="G2461" s="507">
        <f>SUMIFS(Controle!$R:$R,Controle!$H:$H,produtos_escape2!$A2461,Controle!$Z:$Z,"2")</f>
        <v>0</v>
      </c>
      <c r="H2461" s="507">
        <f>SUMIFS(Controle!$R:$R,Controle!$H:$H,produtos_escape2!$A2461,Controle!$Z:$Z,"3")</f>
        <v>0</v>
      </c>
      <c r="I2461" s="507">
        <f>SUMIFS(Controle!$R:$R,Controle!$H:$H,produtos_escape2!$A2461,Controle!$Z:$Z,"4")</f>
        <v>0</v>
      </c>
      <c r="J2461" s="507">
        <f>SUMIFS(Controle!$R:$R,Controle!$H:$H,produtos_escape2!$A2461,Controle!$Z:$Z,"5")</f>
        <v>0</v>
      </c>
      <c r="K2461" s="507">
        <f>SUMIFS(Controle!$R:$R,Controle!$H:$H,produtos_escape2!$A2461,Controle!$Z:$Z,"6")</f>
        <v>0</v>
      </c>
      <c r="L2461" s="507">
        <f t="shared" si="83"/>
        <v>0</v>
      </c>
    </row>
    <row r="2462" spans="1:12" s="84" customFormat="1" ht="14.25" customHeight="1" thickBot="1">
      <c r="A2462" s="353" t="s">
        <v>3141</v>
      </c>
      <c r="B2462" s="194" t="s">
        <v>3333</v>
      </c>
      <c r="C2462" s="339">
        <f t="shared" si="84"/>
        <v>50000</v>
      </c>
      <c r="D2462" s="191" t="s">
        <v>636</v>
      </c>
      <c r="E2462" s="172" t="s">
        <v>1687</v>
      </c>
      <c r="F2462" s="507">
        <f>SUMIFS(Controle!$R:$R,Controle!$H:$H,produtos_escape2!$A2462,Controle!$Z:$Z,"1")</f>
        <v>0</v>
      </c>
      <c r="G2462" s="507">
        <f>SUMIFS(Controle!$R:$R,Controle!$H:$H,produtos_escape2!$A2462,Controle!$Z:$Z,"2")</f>
        <v>0</v>
      </c>
      <c r="H2462" s="507">
        <f>SUMIFS(Controle!$R:$R,Controle!$H:$H,produtos_escape2!$A2462,Controle!$Z:$Z,"3")</f>
        <v>0</v>
      </c>
      <c r="I2462" s="507">
        <f>SUMIFS(Controle!$R:$R,Controle!$H:$H,produtos_escape2!$A2462,Controle!$Z:$Z,"4")</f>
        <v>0</v>
      </c>
      <c r="J2462" s="507">
        <f>SUMIFS(Controle!$R:$R,Controle!$H:$H,produtos_escape2!$A2462,Controle!$Z:$Z,"5")</f>
        <v>0</v>
      </c>
      <c r="K2462" s="507">
        <f>SUMIFS(Controle!$R:$R,Controle!$H:$H,produtos_escape2!$A2462,Controle!$Z:$Z,"6")</f>
        <v>0</v>
      </c>
      <c r="L2462" s="507">
        <f t="shared" si="83"/>
        <v>0</v>
      </c>
    </row>
    <row r="2463" spans="1:12" s="84" customFormat="1" ht="14.25" customHeight="1" thickBot="1">
      <c r="A2463" s="353" t="s">
        <v>3142</v>
      </c>
      <c r="B2463" s="338" t="s">
        <v>3334</v>
      </c>
      <c r="C2463" s="339">
        <f t="shared" si="84"/>
        <v>50000</v>
      </c>
      <c r="D2463" s="191" t="s">
        <v>636</v>
      </c>
      <c r="E2463" s="172" t="s">
        <v>1687</v>
      </c>
      <c r="F2463" s="507">
        <f>SUMIFS(Controle!$R:$R,Controle!$H:$H,produtos_escape2!$A2463,Controle!$Z:$Z,"1")</f>
        <v>0</v>
      </c>
      <c r="G2463" s="507">
        <f>SUMIFS(Controle!$R:$R,Controle!$H:$H,produtos_escape2!$A2463,Controle!$Z:$Z,"2")</f>
        <v>0</v>
      </c>
      <c r="H2463" s="507">
        <f>SUMIFS(Controle!$R:$R,Controle!$H:$H,produtos_escape2!$A2463,Controle!$Z:$Z,"3")</f>
        <v>0</v>
      </c>
      <c r="I2463" s="507">
        <f>SUMIFS(Controle!$R:$R,Controle!$H:$H,produtos_escape2!$A2463,Controle!$Z:$Z,"4")</f>
        <v>0</v>
      </c>
      <c r="J2463" s="507">
        <f>SUMIFS(Controle!$R:$R,Controle!$H:$H,produtos_escape2!$A2463,Controle!$Z:$Z,"5")</f>
        <v>0</v>
      </c>
      <c r="K2463" s="507">
        <f>SUMIFS(Controle!$R:$R,Controle!$H:$H,produtos_escape2!$A2463,Controle!$Z:$Z,"6")</f>
        <v>0</v>
      </c>
      <c r="L2463" s="507">
        <f t="shared" si="83"/>
        <v>0</v>
      </c>
    </row>
    <row r="2464" spans="1:12" s="84" customFormat="1" ht="14.25" customHeight="1" thickBot="1">
      <c r="A2464" s="333" t="s">
        <v>4014</v>
      </c>
      <c r="B2464" s="194" t="s">
        <v>4017</v>
      </c>
      <c r="C2464" s="339">
        <f t="shared" si="84"/>
        <v>50000</v>
      </c>
      <c r="D2464" s="191" t="s">
        <v>636</v>
      </c>
      <c r="E2464" s="172" t="s">
        <v>1687</v>
      </c>
      <c r="F2464" s="507">
        <f>SUMIFS(Controle!$R:$R,Controle!$H:$H,produtos_escape2!$A2464,Controle!$Z:$Z,"1")</f>
        <v>0</v>
      </c>
      <c r="G2464" s="507">
        <f>SUMIFS(Controle!$R:$R,Controle!$H:$H,produtos_escape2!$A2464,Controle!$Z:$Z,"2")</f>
        <v>0</v>
      </c>
      <c r="H2464" s="507">
        <f>SUMIFS(Controle!$R:$R,Controle!$H:$H,produtos_escape2!$A2464,Controle!$Z:$Z,"3")</f>
        <v>0</v>
      </c>
      <c r="I2464" s="507">
        <f>SUMIFS(Controle!$R:$R,Controle!$H:$H,produtos_escape2!$A2464,Controle!$Z:$Z,"4")</f>
        <v>0</v>
      </c>
      <c r="J2464" s="507">
        <f>SUMIFS(Controle!$R:$R,Controle!$H:$H,produtos_escape2!$A2464,Controle!$Z:$Z,"5")</f>
        <v>0</v>
      </c>
      <c r="K2464" s="507">
        <f>SUMIFS(Controle!$R:$R,Controle!$H:$H,produtos_escape2!$A2464,Controle!$Z:$Z,"6")</f>
        <v>0</v>
      </c>
      <c r="L2464" s="507">
        <f t="shared" si="83"/>
        <v>0</v>
      </c>
    </row>
    <row r="2465" spans="1:12" s="84" customFormat="1" ht="14.25" customHeight="1" thickBot="1">
      <c r="A2465" s="353" t="s">
        <v>4015</v>
      </c>
      <c r="B2465" s="194" t="s">
        <v>4018</v>
      </c>
      <c r="C2465" s="339">
        <f t="shared" si="84"/>
        <v>50000</v>
      </c>
      <c r="D2465" s="191" t="s">
        <v>636</v>
      </c>
      <c r="E2465" s="172" t="s">
        <v>1687</v>
      </c>
      <c r="F2465" s="507">
        <f>SUMIFS(Controle!$R:$R,Controle!$H:$H,produtos_escape2!$A2465,Controle!$Z:$Z,"1")</f>
        <v>0</v>
      </c>
      <c r="G2465" s="507">
        <f>SUMIFS(Controle!$R:$R,Controle!$H:$H,produtos_escape2!$A2465,Controle!$Z:$Z,"2")</f>
        <v>0</v>
      </c>
      <c r="H2465" s="507">
        <f>SUMIFS(Controle!$R:$R,Controle!$H:$H,produtos_escape2!$A2465,Controle!$Z:$Z,"3")</f>
        <v>0</v>
      </c>
      <c r="I2465" s="507">
        <f>SUMIFS(Controle!$R:$R,Controle!$H:$H,produtos_escape2!$A2465,Controle!$Z:$Z,"4")</f>
        <v>0</v>
      </c>
      <c r="J2465" s="507">
        <f>SUMIFS(Controle!$R:$R,Controle!$H:$H,produtos_escape2!$A2465,Controle!$Z:$Z,"5")</f>
        <v>0</v>
      </c>
      <c r="K2465" s="507">
        <f>SUMIFS(Controle!$R:$R,Controle!$H:$H,produtos_escape2!$A2465,Controle!$Z:$Z,"6")</f>
        <v>0</v>
      </c>
      <c r="L2465" s="507">
        <f t="shared" si="83"/>
        <v>0</v>
      </c>
    </row>
    <row r="2466" spans="1:12" s="84" customFormat="1" ht="14.25" customHeight="1" thickBot="1">
      <c r="A2466" s="353" t="s">
        <v>4016</v>
      </c>
      <c r="B2466" s="194" t="s">
        <v>4019</v>
      </c>
      <c r="C2466" s="339">
        <f t="shared" si="84"/>
        <v>50000</v>
      </c>
      <c r="D2466" s="191" t="s">
        <v>636</v>
      </c>
      <c r="E2466" s="172" t="s">
        <v>1687</v>
      </c>
      <c r="F2466" s="507">
        <f>SUMIFS(Controle!$R:$R,Controle!$H:$H,produtos_escape2!$A2466,Controle!$Z:$Z,"1")</f>
        <v>0</v>
      </c>
      <c r="G2466" s="507">
        <f>SUMIFS(Controle!$R:$R,Controle!$H:$H,produtos_escape2!$A2466,Controle!$Z:$Z,"2")</f>
        <v>0</v>
      </c>
      <c r="H2466" s="507">
        <f>SUMIFS(Controle!$R:$R,Controle!$H:$H,produtos_escape2!$A2466,Controle!$Z:$Z,"3")</f>
        <v>0</v>
      </c>
      <c r="I2466" s="507">
        <f>SUMIFS(Controle!$R:$R,Controle!$H:$H,produtos_escape2!$A2466,Controle!$Z:$Z,"4")</f>
        <v>0</v>
      </c>
      <c r="J2466" s="507">
        <f>SUMIFS(Controle!$R:$R,Controle!$H:$H,produtos_escape2!$A2466,Controle!$Z:$Z,"5")</f>
        <v>0</v>
      </c>
      <c r="K2466" s="507">
        <f>SUMIFS(Controle!$R:$R,Controle!$H:$H,produtos_escape2!$A2466,Controle!$Z:$Z,"6")</f>
        <v>0</v>
      </c>
      <c r="L2466" s="507">
        <f t="shared" si="83"/>
        <v>0</v>
      </c>
    </row>
    <row r="2467" spans="1:12" s="84" customFormat="1" ht="14.25" customHeight="1" thickBot="1">
      <c r="A2467" s="353" t="s">
        <v>4034</v>
      </c>
      <c r="B2467" s="194" t="s">
        <v>4037</v>
      </c>
      <c r="C2467" s="339">
        <f t="shared" si="84"/>
        <v>50000</v>
      </c>
      <c r="D2467" s="191" t="s">
        <v>636</v>
      </c>
      <c r="E2467" s="172" t="s">
        <v>1687</v>
      </c>
      <c r="F2467" s="507">
        <f>SUMIFS(Controle!$R:$R,Controle!$H:$H,produtos_escape2!$A2467,Controle!$Z:$Z,"1")</f>
        <v>0</v>
      </c>
      <c r="G2467" s="507">
        <f>SUMIFS(Controle!$R:$R,Controle!$H:$H,produtos_escape2!$A2467,Controle!$Z:$Z,"2")</f>
        <v>0</v>
      </c>
      <c r="H2467" s="507">
        <f>SUMIFS(Controle!$R:$R,Controle!$H:$H,produtos_escape2!$A2467,Controle!$Z:$Z,"3")</f>
        <v>0</v>
      </c>
      <c r="I2467" s="507">
        <f>SUMIFS(Controle!$R:$R,Controle!$H:$H,produtos_escape2!$A2467,Controle!$Z:$Z,"4")</f>
        <v>0</v>
      </c>
      <c r="J2467" s="507">
        <f>SUMIFS(Controle!$R:$R,Controle!$H:$H,produtos_escape2!$A2467,Controle!$Z:$Z,"5")</f>
        <v>0</v>
      </c>
      <c r="K2467" s="507">
        <f>SUMIFS(Controle!$R:$R,Controle!$H:$H,produtos_escape2!$A2467,Controle!$Z:$Z,"6")</f>
        <v>0</v>
      </c>
      <c r="L2467" s="507">
        <f t="shared" si="83"/>
        <v>0</v>
      </c>
    </row>
    <row r="2468" spans="1:12" s="84" customFormat="1" ht="14.25" customHeight="1" thickBot="1">
      <c r="A2468" s="353" t="s">
        <v>4035</v>
      </c>
      <c r="B2468" s="194" t="s">
        <v>4038</v>
      </c>
      <c r="C2468" s="339">
        <f t="shared" si="84"/>
        <v>50000</v>
      </c>
      <c r="D2468" s="191" t="s">
        <v>636</v>
      </c>
      <c r="E2468" s="172" t="s">
        <v>1687</v>
      </c>
      <c r="F2468" s="507">
        <f>SUMIFS(Controle!$R:$R,Controle!$H:$H,produtos_escape2!$A2468,Controle!$Z:$Z,"1")</f>
        <v>0</v>
      </c>
      <c r="G2468" s="507">
        <f>SUMIFS(Controle!$R:$R,Controle!$H:$H,produtos_escape2!$A2468,Controle!$Z:$Z,"2")</f>
        <v>0</v>
      </c>
      <c r="H2468" s="507">
        <f>SUMIFS(Controle!$R:$R,Controle!$H:$H,produtos_escape2!$A2468,Controle!$Z:$Z,"3")</f>
        <v>0</v>
      </c>
      <c r="I2468" s="507">
        <f>SUMIFS(Controle!$R:$R,Controle!$H:$H,produtos_escape2!$A2468,Controle!$Z:$Z,"4")</f>
        <v>0</v>
      </c>
      <c r="J2468" s="507">
        <f>SUMIFS(Controle!$R:$R,Controle!$H:$H,produtos_escape2!$A2468,Controle!$Z:$Z,"5")</f>
        <v>0</v>
      </c>
      <c r="K2468" s="507">
        <f>SUMIFS(Controle!$R:$R,Controle!$H:$H,produtos_escape2!$A2468,Controle!$Z:$Z,"6")</f>
        <v>0</v>
      </c>
      <c r="L2468" s="507">
        <f t="shared" si="83"/>
        <v>0</v>
      </c>
    </row>
    <row r="2469" spans="1:12" s="84" customFormat="1" ht="14.25" customHeight="1" thickBot="1">
      <c r="A2469" s="353" t="s">
        <v>4036</v>
      </c>
      <c r="B2469" s="194" t="s">
        <v>4045</v>
      </c>
      <c r="C2469" s="339">
        <f t="shared" si="84"/>
        <v>50000</v>
      </c>
      <c r="D2469" s="191" t="s">
        <v>636</v>
      </c>
      <c r="E2469" s="172" t="s">
        <v>1687</v>
      </c>
      <c r="F2469" s="507">
        <f>SUMIFS(Controle!$R:$R,Controle!$H:$H,produtos_escape2!$A2469,Controle!$Z:$Z,"1")</f>
        <v>0</v>
      </c>
      <c r="G2469" s="507">
        <f>SUMIFS(Controle!$R:$R,Controle!$H:$H,produtos_escape2!$A2469,Controle!$Z:$Z,"2")</f>
        <v>0</v>
      </c>
      <c r="H2469" s="507">
        <f>SUMIFS(Controle!$R:$R,Controle!$H:$H,produtos_escape2!$A2469,Controle!$Z:$Z,"3")</f>
        <v>0</v>
      </c>
      <c r="I2469" s="507">
        <f>SUMIFS(Controle!$R:$R,Controle!$H:$H,produtos_escape2!$A2469,Controle!$Z:$Z,"4")</f>
        <v>0</v>
      </c>
      <c r="J2469" s="507">
        <f>SUMIFS(Controle!$R:$R,Controle!$H:$H,produtos_escape2!$A2469,Controle!$Z:$Z,"5")</f>
        <v>0</v>
      </c>
      <c r="K2469" s="507">
        <f>SUMIFS(Controle!$R:$R,Controle!$H:$H,produtos_escape2!$A2469,Controle!$Z:$Z,"6")</f>
        <v>0</v>
      </c>
      <c r="L2469" s="507">
        <f t="shared" si="83"/>
        <v>0</v>
      </c>
    </row>
    <row r="2470" spans="1:12" s="84" customFormat="1" ht="14.25" customHeight="1" thickBot="1">
      <c r="A2470" s="353" t="s">
        <v>4198</v>
      </c>
      <c r="B2470" s="194" t="s">
        <v>4200</v>
      </c>
      <c r="C2470" s="339">
        <f t="shared" si="84"/>
        <v>50000</v>
      </c>
      <c r="D2470" s="191" t="s">
        <v>636</v>
      </c>
      <c r="E2470" s="172" t="s">
        <v>1687</v>
      </c>
      <c r="F2470" s="507">
        <f>SUMIFS(Controle!$R:$R,Controle!$H:$H,produtos_escape2!$A2470,Controle!$Z:$Z,"1")</f>
        <v>0</v>
      </c>
      <c r="G2470" s="507">
        <f>SUMIFS(Controle!$R:$R,Controle!$H:$H,produtos_escape2!$A2470,Controle!$Z:$Z,"2")</f>
        <v>0</v>
      </c>
      <c r="H2470" s="507">
        <f>SUMIFS(Controle!$R:$R,Controle!$H:$H,produtos_escape2!$A2470,Controle!$Z:$Z,"3")</f>
        <v>0</v>
      </c>
      <c r="I2470" s="507">
        <f>SUMIFS(Controle!$R:$R,Controle!$H:$H,produtos_escape2!$A2470,Controle!$Z:$Z,"4")</f>
        <v>0</v>
      </c>
      <c r="J2470" s="507">
        <f>SUMIFS(Controle!$R:$R,Controle!$H:$H,produtos_escape2!$A2470,Controle!$Z:$Z,"5")</f>
        <v>0</v>
      </c>
      <c r="K2470" s="507">
        <f>SUMIFS(Controle!$R:$R,Controle!$H:$H,produtos_escape2!$A2470,Controle!$Z:$Z,"6")</f>
        <v>0</v>
      </c>
      <c r="L2470" s="507">
        <f t="shared" si="83"/>
        <v>0</v>
      </c>
    </row>
    <row r="2471" spans="1:12" s="84" customFormat="1" ht="14.25" customHeight="1" thickBot="1">
      <c r="A2471" s="353" t="s">
        <v>4199</v>
      </c>
      <c r="B2471" s="338" t="s">
        <v>4201</v>
      </c>
      <c r="C2471" s="339">
        <f t="shared" si="84"/>
        <v>50000</v>
      </c>
      <c r="D2471" s="191" t="s">
        <v>636</v>
      </c>
      <c r="E2471" s="172" t="s">
        <v>1687</v>
      </c>
      <c r="F2471" s="507">
        <f>SUMIFS(Controle!$R:$R,Controle!$H:$H,produtos_escape2!$A2471,Controle!$Z:$Z,"1")</f>
        <v>0</v>
      </c>
      <c r="G2471" s="507">
        <f>SUMIFS(Controle!$R:$R,Controle!$H:$H,produtos_escape2!$A2471,Controle!$Z:$Z,"2")</f>
        <v>0</v>
      </c>
      <c r="H2471" s="507">
        <f>SUMIFS(Controle!$R:$R,Controle!$H:$H,produtos_escape2!$A2471,Controle!$Z:$Z,"3")</f>
        <v>0</v>
      </c>
      <c r="I2471" s="507">
        <f>SUMIFS(Controle!$R:$R,Controle!$H:$H,produtos_escape2!$A2471,Controle!$Z:$Z,"4")</f>
        <v>0</v>
      </c>
      <c r="J2471" s="507">
        <f>SUMIFS(Controle!$R:$R,Controle!$H:$H,produtos_escape2!$A2471,Controle!$Z:$Z,"5")</f>
        <v>0</v>
      </c>
      <c r="K2471" s="507">
        <f>SUMIFS(Controle!$R:$R,Controle!$H:$H,produtos_escape2!$A2471,Controle!$Z:$Z,"6")</f>
        <v>0</v>
      </c>
      <c r="L2471" s="507">
        <f t="shared" si="83"/>
        <v>0</v>
      </c>
    </row>
    <row r="2472" spans="1:12" s="84" customFormat="1" ht="14.25" customHeight="1" thickBot="1">
      <c r="A2472" s="333" t="s">
        <v>3973</v>
      </c>
      <c r="B2472" s="194" t="s">
        <v>3974</v>
      </c>
      <c r="C2472" s="339">
        <f t="shared" si="84"/>
        <v>50000</v>
      </c>
      <c r="D2472" s="191" t="s">
        <v>636</v>
      </c>
      <c r="E2472" s="172" t="s">
        <v>1687</v>
      </c>
      <c r="F2472" s="507">
        <f>SUMIFS(Controle!$R:$R,Controle!$H:$H,produtos_escape2!$A2472,Controle!$Z:$Z,"1")</f>
        <v>0</v>
      </c>
      <c r="G2472" s="507">
        <f>SUMIFS(Controle!$R:$R,Controle!$H:$H,produtos_escape2!$A2472,Controle!$Z:$Z,"2")</f>
        <v>0</v>
      </c>
      <c r="H2472" s="507">
        <f>SUMIFS(Controle!$R:$R,Controle!$H:$H,produtos_escape2!$A2472,Controle!$Z:$Z,"3")</f>
        <v>0</v>
      </c>
      <c r="I2472" s="507">
        <f>SUMIFS(Controle!$R:$R,Controle!$H:$H,produtos_escape2!$A2472,Controle!$Z:$Z,"4")</f>
        <v>0</v>
      </c>
      <c r="J2472" s="507">
        <f>SUMIFS(Controle!$R:$R,Controle!$H:$H,produtos_escape2!$A2472,Controle!$Z:$Z,"5")</f>
        <v>0</v>
      </c>
      <c r="K2472" s="507">
        <f>SUMIFS(Controle!$R:$R,Controle!$H:$H,produtos_escape2!$A2472,Controle!$Z:$Z,"6")</f>
        <v>0</v>
      </c>
      <c r="L2472" s="507">
        <f t="shared" si="83"/>
        <v>0</v>
      </c>
    </row>
    <row r="2473" spans="1:12" s="84" customFormat="1" ht="14.25" customHeight="1" thickBot="1">
      <c r="A2473" s="353" t="s">
        <v>3137</v>
      </c>
      <c r="B2473" s="194" t="s">
        <v>2940</v>
      </c>
      <c r="C2473" s="339">
        <f t="shared" si="84"/>
        <v>44291.1</v>
      </c>
      <c r="D2473" s="191" t="s">
        <v>636</v>
      </c>
      <c r="E2473" s="172" t="s">
        <v>1687</v>
      </c>
      <c r="F2473" s="507">
        <f>SUMIFS(Controle!$R:$R,Controle!$H:$H,produtos_escape2!$A2473,Controle!$Z:$Z,"1")</f>
        <v>0</v>
      </c>
      <c r="G2473" s="507">
        <f>SUMIFS(Controle!$R:$R,Controle!$H:$H,produtos_escape2!$A2473,Controle!$Z:$Z,"2")</f>
        <v>0</v>
      </c>
      <c r="H2473" s="507">
        <f>SUMIFS(Controle!$R:$R,Controle!$H:$H,produtos_escape2!$A2473,Controle!$Z:$Z,"3")</f>
        <v>0</v>
      </c>
      <c r="I2473" s="507">
        <f>SUMIFS(Controle!$R:$R,Controle!$H:$H,produtos_escape2!$A2473,Controle!$Z:$Z,"4")</f>
        <v>5708.9</v>
      </c>
      <c r="J2473" s="507">
        <f>SUMIFS(Controle!$R:$R,Controle!$H:$H,produtos_escape2!$A2473,Controle!$Z:$Z,"5")</f>
        <v>0</v>
      </c>
      <c r="K2473" s="507">
        <f>SUMIFS(Controle!$R:$R,Controle!$H:$H,produtos_escape2!$A2473,Controle!$Z:$Z,"6")</f>
        <v>0</v>
      </c>
      <c r="L2473" s="507">
        <f t="shared" si="83"/>
        <v>5708.9</v>
      </c>
    </row>
    <row r="2474" spans="1:12" s="84" customFormat="1" ht="14.25" customHeight="1" thickBot="1">
      <c r="A2474" s="333" t="s">
        <v>3138</v>
      </c>
      <c r="B2474" s="338" t="s">
        <v>2941</v>
      </c>
      <c r="C2474" s="339">
        <f t="shared" si="84"/>
        <v>50000</v>
      </c>
      <c r="D2474" s="191" t="s">
        <v>636</v>
      </c>
      <c r="E2474" s="172" t="s">
        <v>1687</v>
      </c>
      <c r="F2474" s="507">
        <f>SUMIFS(Controle!$R:$R,Controle!$H:$H,produtos_escape2!$A2474,Controle!$Z:$Z,"1")</f>
        <v>0</v>
      </c>
      <c r="G2474" s="507">
        <f>SUMIFS(Controle!$R:$R,Controle!$H:$H,produtos_escape2!$A2474,Controle!$Z:$Z,"2")</f>
        <v>0</v>
      </c>
      <c r="H2474" s="507">
        <f>SUMIFS(Controle!$R:$R,Controle!$H:$H,produtos_escape2!$A2474,Controle!$Z:$Z,"3")</f>
        <v>0</v>
      </c>
      <c r="I2474" s="507">
        <f>SUMIFS(Controle!$R:$R,Controle!$H:$H,produtos_escape2!$A2474,Controle!$Z:$Z,"4")</f>
        <v>0</v>
      </c>
      <c r="J2474" s="507">
        <f>SUMIFS(Controle!$R:$R,Controle!$H:$H,produtos_escape2!$A2474,Controle!$Z:$Z,"5")</f>
        <v>0</v>
      </c>
      <c r="K2474" s="507">
        <f>SUMIFS(Controle!$R:$R,Controle!$H:$H,produtos_escape2!$A2474,Controle!$Z:$Z,"6")</f>
        <v>0</v>
      </c>
      <c r="L2474" s="507">
        <f t="shared" si="83"/>
        <v>0</v>
      </c>
    </row>
    <row r="2475" spans="1:12" s="84" customFormat="1" ht="16.5" customHeight="1" thickBot="1">
      <c r="A2475" s="353" t="s">
        <v>3139</v>
      </c>
      <c r="B2475" s="194" t="s">
        <v>2942</v>
      </c>
      <c r="C2475" s="339">
        <f t="shared" si="84"/>
        <v>45114.35</v>
      </c>
      <c r="D2475" s="191" t="s">
        <v>636</v>
      </c>
      <c r="E2475" s="172" t="s">
        <v>1687</v>
      </c>
      <c r="F2475" s="507">
        <f>SUMIFS(Controle!$R:$R,Controle!$H:$H,produtos_escape2!$A2475,Controle!$Z:$Z,"1")</f>
        <v>0</v>
      </c>
      <c r="G2475" s="507">
        <f>SUMIFS(Controle!$R:$R,Controle!$H:$H,produtos_escape2!$A2475,Controle!$Z:$Z,"2")</f>
        <v>0</v>
      </c>
      <c r="H2475" s="507">
        <f>SUMIFS(Controle!$R:$R,Controle!$H:$H,produtos_escape2!$A2475,Controle!$Z:$Z,"3")</f>
        <v>0</v>
      </c>
      <c r="I2475" s="507">
        <f>SUMIFS(Controle!$R:$R,Controle!$H:$H,produtos_escape2!$A2475,Controle!$Z:$Z,"4")</f>
        <v>4885.6499999999996</v>
      </c>
      <c r="J2475" s="507">
        <f>SUMIFS(Controle!$R:$R,Controle!$H:$H,produtos_escape2!$A2475,Controle!$Z:$Z,"5")</f>
        <v>0</v>
      </c>
      <c r="K2475" s="507">
        <f>SUMIFS(Controle!$R:$R,Controle!$H:$H,produtos_escape2!$A2475,Controle!$Z:$Z,"6")</f>
        <v>0</v>
      </c>
      <c r="L2475" s="507">
        <f t="shared" si="83"/>
        <v>4885.6499999999996</v>
      </c>
    </row>
    <row r="2476" spans="1:12" s="84" customFormat="1" ht="14.25" customHeight="1" thickBot="1">
      <c r="A2476" s="353" t="s">
        <v>3930</v>
      </c>
      <c r="B2476" s="194" t="s">
        <v>3932</v>
      </c>
      <c r="C2476" s="339">
        <f t="shared" si="84"/>
        <v>47105.9</v>
      </c>
      <c r="D2476" s="191" t="s">
        <v>636</v>
      </c>
      <c r="E2476" s="172" t="s">
        <v>1687</v>
      </c>
      <c r="F2476" s="507">
        <f>SUMIFS(Controle!$R:$R,Controle!$H:$H,produtos_escape2!$A2476,Controle!$Z:$Z,"1")</f>
        <v>0</v>
      </c>
      <c r="G2476" s="507">
        <f>SUMIFS(Controle!$R:$R,Controle!$H:$H,produtos_escape2!$A2476,Controle!$Z:$Z,"2")</f>
        <v>0</v>
      </c>
      <c r="H2476" s="507">
        <f>SUMIFS(Controle!$R:$R,Controle!$H:$H,produtos_escape2!$A2476,Controle!$Z:$Z,"3")</f>
        <v>0</v>
      </c>
      <c r="I2476" s="507">
        <f>SUMIFS(Controle!$R:$R,Controle!$H:$H,produtos_escape2!$A2476,Controle!$Z:$Z,"4")</f>
        <v>0</v>
      </c>
      <c r="J2476" s="507">
        <f>SUMIFS(Controle!$R:$R,Controle!$H:$H,produtos_escape2!$A2476,Controle!$Z:$Z,"5")</f>
        <v>0</v>
      </c>
      <c r="K2476" s="507">
        <f>SUMIFS(Controle!$R:$R,Controle!$H:$H,produtos_escape2!$A2476,Controle!$Z:$Z,"6")</f>
        <v>2894.1</v>
      </c>
      <c r="L2476" s="507">
        <f t="shared" si="83"/>
        <v>2894.1</v>
      </c>
    </row>
    <row r="2477" spans="1:12" s="84" customFormat="1" ht="14.25" customHeight="1" thickBot="1">
      <c r="A2477" s="353" t="s">
        <v>3931</v>
      </c>
      <c r="B2477" s="194" t="s">
        <v>3933</v>
      </c>
      <c r="C2477" s="339">
        <f t="shared" si="84"/>
        <v>45610.1</v>
      </c>
      <c r="D2477" s="191" t="s">
        <v>636</v>
      </c>
      <c r="E2477" s="172" t="s">
        <v>1687</v>
      </c>
      <c r="F2477" s="507">
        <f>SUMIFS(Controle!$R:$R,Controle!$H:$H,produtos_escape2!$A2477,Controle!$Z:$Z,"1")</f>
        <v>0</v>
      </c>
      <c r="G2477" s="507">
        <f>SUMIFS(Controle!$R:$R,Controle!$H:$H,produtos_escape2!$A2477,Controle!$Z:$Z,"2")</f>
        <v>0</v>
      </c>
      <c r="H2477" s="507">
        <f>SUMIFS(Controle!$R:$R,Controle!$H:$H,produtos_escape2!$A2477,Controle!$Z:$Z,"3")</f>
        <v>0</v>
      </c>
      <c r="I2477" s="507">
        <f>SUMIFS(Controle!$R:$R,Controle!$H:$H,produtos_escape2!$A2477,Controle!$Z:$Z,"4")</f>
        <v>4389.8999999999996</v>
      </c>
      <c r="J2477" s="507">
        <f>SUMIFS(Controle!$R:$R,Controle!$H:$H,produtos_escape2!$A2477,Controle!$Z:$Z,"5")</f>
        <v>0</v>
      </c>
      <c r="K2477" s="507">
        <f>SUMIFS(Controle!$R:$R,Controle!$H:$H,produtos_escape2!$A2477,Controle!$Z:$Z,"6")</f>
        <v>0</v>
      </c>
      <c r="L2477" s="507">
        <f t="shared" si="83"/>
        <v>4389.8999999999996</v>
      </c>
    </row>
    <row r="2478" spans="1:12" s="84" customFormat="1" ht="14.25" customHeight="1" thickBot="1">
      <c r="A2478" s="353" t="s">
        <v>5763</v>
      </c>
      <c r="B2478" s="194" t="s">
        <v>5765</v>
      </c>
      <c r="C2478" s="339">
        <f t="shared" si="84"/>
        <v>50000</v>
      </c>
      <c r="D2478" s="191" t="s">
        <v>636</v>
      </c>
      <c r="E2478" s="172" t="s">
        <v>1687</v>
      </c>
      <c r="F2478" s="507">
        <f>SUMIFS(Controle!$R:$R,Controle!$H:$H,produtos_escape2!$A2478,Controle!$Z:$Z,"1")</f>
        <v>0</v>
      </c>
      <c r="G2478" s="507">
        <f>SUMIFS(Controle!$R:$R,Controle!$H:$H,produtos_escape2!$A2478,Controle!$Z:$Z,"2")</f>
        <v>0</v>
      </c>
      <c r="H2478" s="507">
        <f>SUMIFS(Controle!$R:$R,Controle!$H:$H,produtos_escape2!$A2478,Controle!$Z:$Z,"3")</f>
        <v>0</v>
      </c>
      <c r="I2478" s="507">
        <f>SUMIFS(Controle!$R:$R,Controle!$H:$H,produtos_escape2!$A2478,Controle!$Z:$Z,"4")</f>
        <v>0</v>
      </c>
      <c r="J2478" s="507">
        <f>SUMIFS(Controle!$R:$R,Controle!$H:$H,produtos_escape2!$A2478,Controle!$Z:$Z,"5")</f>
        <v>0</v>
      </c>
      <c r="K2478" s="507">
        <f>SUMIFS(Controle!$R:$R,Controle!$H:$H,produtos_escape2!$A2478,Controle!$Z:$Z,"6")</f>
        <v>0</v>
      </c>
      <c r="L2478" s="507">
        <f t="shared" si="83"/>
        <v>0</v>
      </c>
    </row>
    <row r="2479" spans="1:12" s="84" customFormat="1" ht="14.25" customHeight="1" thickBot="1">
      <c r="A2479" s="353" t="s">
        <v>5764</v>
      </c>
      <c r="B2479" s="194" t="s">
        <v>5766</v>
      </c>
      <c r="C2479" s="339">
        <f t="shared" si="84"/>
        <v>50000</v>
      </c>
      <c r="D2479" s="191" t="s">
        <v>636</v>
      </c>
      <c r="E2479" s="172" t="s">
        <v>1687</v>
      </c>
      <c r="F2479" s="507">
        <f>SUMIFS(Controle!$R:$R,Controle!$H:$H,produtos_escape2!$A2479,Controle!$Z:$Z,"1")</f>
        <v>0</v>
      </c>
      <c r="G2479" s="507">
        <f>SUMIFS(Controle!$R:$R,Controle!$H:$H,produtos_escape2!$A2479,Controle!$Z:$Z,"2")</f>
        <v>0</v>
      </c>
      <c r="H2479" s="507">
        <f>SUMIFS(Controle!$R:$R,Controle!$H:$H,produtos_escape2!$A2479,Controle!$Z:$Z,"3")</f>
        <v>0</v>
      </c>
      <c r="I2479" s="507">
        <f>SUMIFS(Controle!$R:$R,Controle!$H:$H,produtos_escape2!$A2479,Controle!$Z:$Z,"4")</f>
        <v>0</v>
      </c>
      <c r="J2479" s="507">
        <f>SUMIFS(Controle!$R:$R,Controle!$H:$H,produtos_escape2!$A2479,Controle!$Z:$Z,"5")</f>
        <v>0</v>
      </c>
      <c r="K2479" s="507">
        <f>SUMIFS(Controle!$R:$R,Controle!$H:$H,produtos_escape2!$A2479,Controle!$Z:$Z,"6")</f>
        <v>0</v>
      </c>
      <c r="L2479" s="507">
        <f t="shared" si="83"/>
        <v>0</v>
      </c>
    </row>
    <row r="2480" spans="1:12" s="84" customFormat="1" ht="14.25" customHeight="1" thickBot="1">
      <c r="A2480" s="353" t="s">
        <v>3794</v>
      </c>
      <c r="B2480" s="194" t="s">
        <v>3793</v>
      </c>
      <c r="C2480" s="339">
        <f t="shared" si="84"/>
        <v>50000</v>
      </c>
      <c r="D2480" s="191" t="s">
        <v>636</v>
      </c>
      <c r="E2480" s="172" t="s">
        <v>1687</v>
      </c>
      <c r="F2480" s="507">
        <f>SUMIFS(Controle!$R:$R,Controle!$H:$H,produtos_escape2!$A2480,Controle!$Z:$Z,"1")</f>
        <v>0</v>
      </c>
      <c r="G2480" s="507">
        <f>SUMIFS(Controle!$R:$R,Controle!$H:$H,produtos_escape2!$A2480,Controle!$Z:$Z,"2")</f>
        <v>0</v>
      </c>
      <c r="H2480" s="507">
        <f>SUMIFS(Controle!$R:$R,Controle!$H:$H,produtos_escape2!$A2480,Controle!$Z:$Z,"3")</f>
        <v>0</v>
      </c>
      <c r="I2480" s="507">
        <f>SUMIFS(Controle!$R:$R,Controle!$H:$H,produtos_escape2!$A2480,Controle!$Z:$Z,"4")</f>
        <v>0</v>
      </c>
      <c r="J2480" s="507">
        <f>SUMIFS(Controle!$R:$R,Controle!$H:$H,produtos_escape2!$A2480,Controle!$Z:$Z,"5")</f>
        <v>0</v>
      </c>
      <c r="K2480" s="507">
        <f>SUMIFS(Controle!$R:$R,Controle!$H:$H,produtos_escape2!$A2480,Controle!$Z:$Z,"6")</f>
        <v>0</v>
      </c>
      <c r="L2480" s="507">
        <f t="shared" si="83"/>
        <v>0</v>
      </c>
    </row>
    <row r="2481" spans="1:12" s="84" customFormat="1" ht="14.25" customHeight="1" thickBot="1">
      <c r="A2481" s="353" t="s">
        <v>3890</v>
      </c>
      <c r="B2481" s="194" t="s">
        <v>3891</v>
      </c>
      <c r="C2481" s="339">
        <f t="shared" si="84"/>
        <v>50000</v>
      </c>
      <c r="D2481" s="191" t="s">
        <v>636</v>
      </c>
      <c r="E2481" s="172" t="s">
        <v>1687</v>
      </c>
      <c r="F2481" s="507">
        <f>SUMIFS(Controle!$R:$R,Controle!$H:$H,produtos_escape2!$A2481,Controle!$Z:$Z,"1")</f>
        <v>0</v>
      </c>
      <c r="G2481" s="507">
        <f>SUMIFS(Controle!$R:$R,Controle!$H:$H,produtos_escape2!$A2481,Controle!$Z:$Z,"2")</f>
        <v>0</v>
      </c>
      <c r="H2481" s="507">
        <f>SUMIFS(Controle!$R:$R,Controle!$H:$H,produtos_escape2!$A2481,Controle!$Z:$Z,"3")</f>
        <v>0</v>
      </c>
      <c r="I2481" s="507">
        <f>SUMIFS(Controle!$R:$R,Controle!$H:$H,produtos_escape2!$A2481,Controle!$Z:$Z,"4")</f>
        <v>0</v>
      </c>
      <c r="J2481" s="507">
        <f>SUMIFS(Controle!$R:$R,Controle!$H:$H,produtos_escape2!$A2481,Controle!$Z:$Z,"5")</f>
        <v>0</v>
      </c>
      <c r="K2481" s="507">
        <f>SUMIFS(Controle!$R:$R,Controle!$H:$H,produtos_escape2!$A2481,Controle!$Z:$Z,"6")</f>
        <v>0</v>
      </c>
      <c r="L2481" s="507">
        <f t="shared" si="83"/>
        <v>0</v>
      </c>
    </row>
    <row r="2482" spans="1:12" s="84" customFormat="1" ht="14.25" customHeight="1" thickBot="1">
      <c r="A2482" s="333" t="s">
        <v>3143</v>
      </c>
      <c r="B2482" s="338" t="s">
        <v>3253</v>
      </c>
      <c r="C2482" s="339">
        <f t="shared" si="84"/>
        <v>50000</v>
      </c>
      <c r="D2482" s="191" t="s">
        <v>636</v>
      </c>
      <c r="E2482" s="172" t="s">
        <v>1739</v>
      </c>
      <c r="F2482" s="507">
        <f>SUMIFS(Controle!$R:$R,Controle!$H:$H,produtos_escape2!$A2482,Controle!$Z:$Z,"1")</f>
        <v>0</v>
      </c>
      <c r="G2482" s="507">
        <f>SUMIFS(Controle!$R:$R,Controle!$H:$H,produtos_escape2!$A2482,Controle!$Z:$Z,"2")</f>
        <v>0</v>
      </c>
      <c r="H2482" s="507">
        <f>SUMIFS(Controle!$R:$R,Controle!$H:$H,produtos_escape2!$A2482,Controle!$Z:$Z,"3")</f>
        <v>0</v>
      </c>
      <c r="I2482" s="507">
        <f>SUMIFS(Controle!$R:$R,Controle!$H:$H,produtos_escape2!$A2482,Controle!$Z:$Z,"4")</f>
        <v>0</v>
      </c>
      <c r="J2482" s="507">
        <f>SUMIFS(Controle!$R:$R,Controle!$H:$H,produtos_escape2!$A2482,Controle!$Z:$Z,"5")</f>
        <v>0</v>
      </c>
      <c r="K2482" s="507">
        <f>SUMIFS(Controle!$R:$R,Controle!$H:$H,produtos_escape2!$A2482,Controle!$Z:$Z,"6")</f>
        <v>0</v>
      </c>
      <c r="L2482" s="507">
        <f t="shared" si="83"/>
        <v>0</v>
      </c>
    </row>
    <row r="2483" spans="1:12" s="84" customFormat="1" ht="14.25" customHeight="1" thickBot="1">
      <c r="A2483" s="353" t="s">
        <v>3144</v>
      </c>
      <c r="B2483" s="194" t="s">
        <v>3254</v>
      </c>
      <c r="C2483" s="339">
        <f t="shared" si="84"/>
        <v>50000</v>
      </c>
      <c r="D2483" s="191" t="s">
        <v>636</v>
      </c>
      <c r="E2483" s="172" t="s">
        <v>1739</v>
      </c>
      <c r="F2483" s="507">
        <f>SUMIFS(Controle!$R:$R,Controle!$H:$H,produtos_escape2!$A2483,Controle!$Z:$Z,"1")</f>
        <v>0</v>
      </c>
      <c r="G2483" s="507">
        <f>SUMIFS(Controle!$R:$R,Controle!$H:$H,produtos_escape2!$A2483,Controle!$Z:$Z,"2")</f>
        <v>0</v>
      </c>
      <c r="H2483" s="507">
        <f>SUMIFS(Controle!$R:$R,Controle!$H:$H,produtos_escape2!$A2483,Controle!$Z:$Z,"3")</f>
        <v>0</v>
      </c>
      <c r="I2483" s="507">
        <f>SUMIFS(Controle!$R:$R,Controle!$H:$H,produtos_escape2!$A2483,Controle!$Z:$Z,"4")</f>
        <v>0</v>
      </c>
      <c r="J2483" s="507">
        <f>SUMIFS(Controle!$R:$R,Controle!$H:$H,produtos_escape2!$A2483,Controle!$Z:$Z,"5")</f>
        <v>0</v>
      </c>
      <c r="K2483" s="507">
        <f>SUMIFS(Controle!$R:$R,Controle!$H:$H,produtos_escape2!$A2483,Controle!$Z:$Z,"6")</f>
        <v>0</v>
      </c>
      <c r="L2483" s="507">
        <f t="shared" si="83"/>
        <v>0</v>
      </c>
    </row>
    <row r="2484" spans="1:12" s="84" customFormat="1" ht="14.25" customHeight="1" thickBot="1">
      <c r="A2484" s="353" t="s">
        <v>10175</v>
      </c>
      <c r="B2484" s="194" t="s">
        <v>10176</v>
      </c>
      <c r="C2484" s="339">
        <f t="shared" si="84"/>
        <v>50000</v>
      </c>
      <c r="D2484" s="196" t="s">
        <v>624</v>
      </c>
      <c r="E2484" s="197" t="s">
        <v>1739</v>
      </c>
      <c r="F2484" s="507">
        <f>SUMIFS(Controle!$R:$R,Controle!$H:$H,produtos_escape2!$A2484,Controle!$Z:$Z,"1")</f>
        <v>0</v>
      </c>
      <c r="G2484" s="507">
        <f>SUMIFS(Controle!$R:$R,Controle!$H:$H,produtos_escape2!$A2484,Controle!$Z:$Z,"2")</f>
        <v>0</v>
      </c>
      <c r="H2484" s="507">
        <f>SUMIFS(Controle!$R:$R,Controle!$H:$H,produtos_escape2!$A2484,Controle!$Z:$Z,"3")</f>
        <v>0</v>
      </c>
      <c r="I2484" s="507">
        <f>SUMIFS(Controle!$R:$R,Controle!$H:$H,produtos_escape2!$A2484,Controle!$Z:$Z,"4")</f>
        <v>0</v>
      </c>
      <c r="J2484" s="507">
        <f>SUMIFS(Controle!$R:$R,Controle!$H:$H,produtos_escape2!$A2484,Controle!$Z:$Z,"5")</f>
        <v>0</v>
      </c>
      <c r="K2484" s="507">
        <f>SUMIFS(Controle!$R:$R,Controle!$H:$H,produtos_escape2!$A2484,Controle!$Z:$Z,"6")</f>
        <v>0</v>
      </c>
      <c r="L2484" s="507">
        <f t="shared" si="83"/>
        <v>0</v>
      </c>
    </row>
    <row r="2485" spans="1:12" s="84" customFormat="1" ht="14.25" customHeight="1" thickBot="1">
      <c r="A2485" s="353" t="s">
        <v>10175</v>
      </c>
      <c r="B2485" s="194" t="s">
        <v>10176</v>
      </c>
      <c r="C2485" s="339">
        <f t="shared" si="84"/>
        <v>50000</v>
      </c>
      <c r="D2485" s="196" t="s">
        <v>624</v>
      </c>
      <c r="E2485" s="197" t="s">
        <v>1739</v>
      </c>
      <c r="F2485" s="507">
        <f>SUMIFS(Controle!$R:$R,Controle!$H:$H,produtos_escape2!$A2485,Controle!$Z:$Z,"1")</f>
        <v>0</v>
      </c>
      <c r="G2485" s="507">
        <f>SUMIFS(Controle!$R:$R,Controle!$H:$H,produtos_escape2!$A2485,Controle!$Z:$Z,"2")</f>
        <v>0</v>
      </c>
      <c r="H2485" s="507">
        <f>SUMIFS(Controle!$R:$R,Controle!$H:$H,produtos_escape2!$A2485,Controle!$Z:$Z,"3")</f>
        <v>0</v>
      </c>
      <c r="I2485" s="507">
        <f>SUMIFS(Controle!$R:$R,Controle!$H:$H,produtos_escape2!$A2485,Controle!$Z:$Z,"4")</f>
        <v>0</v>
      </c>
      <c r="J2485" s="507">
        <f>SUMIFS(Controle!$R:$R,Controle!$H:$H,produtos_escape2!$A2485,Controle!$Z:$Z,"5")</f>
        <v>0</v>
      </c>
      <c r="K2485" s="507">
        <f>SUMIFS(Controle!$R:$R,Controle!$H:$H,produtos_escape2!$A2485,Controle!$Z:$Z,"6")</f>
        <v>0</v>
      </c>
      <c r="L2485" s="507">
        <f t="shared" si="83"/>
        <v>0</v>
      </c>
    </row>
    <row r="2486" spans="1:12" s="84" customFormat="1" ht="14.25" customHeight="1" thickBot="1">
      <c r="A2486" s="353" t="s">
        <v>3439</v>
      </c>
      <c r="B2486" s="194" t="s">
        <v>3440</v>
      </c>
      <c r="C2486" s="339">
        <f t="shared" si="84"/>
        <v>50000</v>
      </c>
      <c r="D2486" s="196" t="s">
        <v>624</v>
      </c>
      <c r="E2486" s="197" t="s">
        <v>1739</v>
      </c>
      <c r="F2486" s="507">
        <f>SUMIFS(Controle!$R:$R,Controle!$H:$H,produtos_escape2!$A2486,Controle!$Z:$Z,"1")</f>
        <v>0</v>
      </c>
      <c r="G2486" s="507">
        <f>SUMIFS(Controle!$R:$R,Controle!$H:$H,produtos_escape2!$A2486,Controle!$Z:$Z,"2")</f>
        <v>0</v>
      </c>
      <c r="H2486" s="507">
        <f>SUMIFS(Controle!$R:$R,Controle!$H:$H,produtos_escape2!$A2486,Controle!$Z:$Z,"3")</f>
        <v>0</v>
      </c>
      <c r="I2486" s="507">
        <f>SUMIFS(Controle!$R:$R,Controle!$H:$H,produtos_escape2!$A2486,Controle!$Z:$Z,"4")</f>
        <v>0</v>
      </c>
      <c r="J2486" s="507">
        <f>SUMIFS(Controle!$R:$R,Controle!$H:$H,produtos_escape2!$A2486,Controle!$Z:$Z,"5")</f>
        <v>0</v>
      </c>
      <c r="K2486" s="507">
        <f>SUMIFS(Controle!$R:$R,Controle!$H:$H,produtos_escape2!$A2486,Controle!$Z:$Z,"6")</f>
        <v>0</v>
      </c>
      <c r="L2486" s="507">
        <f t="shared" si="83"/>
        <v>0</v>
      </c>
    </row>
    <row r="2487" spans="1:12" s="84" customFormat="1" ht="14.25" customHeight="1" thickBot="1">
      <c r="A2487" s="353" t="s">
        <v>3161</v>
      </c>
      <c r="B2487" s="194" t="s">
        <v>2712</v>
      </c>
      <c r="C2487" s="339">
        <f t="shared" si="84"/>
        <v>50000</v>
      </c>
      <c r="D2487" s="196" t="s">
        <v>636</v>
      </c>
      <c r="E2487" s="197" t="s">
        <v>1739</v>
      </c>
      <c r="F2487" s="507">
        <f>SUMIFS(Controle!$R:$R,Controle!$H:$H,produtos_escape2!$A2487,Controle!$Z:$Z,"1")</f>
        <v>0</v>
      </c>
      <c r="G2487" s="507">
        <f>SUMIFS(Controle!$R:$R,Controle!$H:$H,produtos_escape2!$A2487,Controle!$Z:$Z,"2")</f>
        <v>0</v>
      </c>
      <c r="H2487" s="507">
        <f>SUMIFS(Controle!$R:$R,Controle!$H:$H,produtos_escape2!$A2487,Controle!$Z:$Z,"3")</f>
        <v>0</v>
      </c>
      <c r="I2487" s="507">
        <f>SUMIFS(Controle!$R:$R,Controle!$H:$H,produtos_escape2!$A2487,Controle!$Z:$Z,"4")</f>
        <v>0</v>
      </c>
      <c r="J2487" s="507">
        <f>SUMIFS(Controle!$R:$R,Controle!$H:$H,produtos_escape2!$A2487,Controle!$Z:$Z,"5")</f>
        <v>0</v>
      </c>
      <c r="K2487" s="507">
        <f>SUMIFS(Controle!$R:$R,Controle!$H:$H,produtos_escape2!$A2487,Controle!$Z:$Z,"6")</f>
        <v>0</v>
      </c>
      <c r="L2487" s="507">
        <f t="shared" si="83"/>
        <v>0</v>
      </c>
    </row>
    <row r="2488" spans="1:12" s="84" customFormat="1" ht="14.25" customHeight="1" thickBot="1">
      <c r="A2488" s="353" t="s">
        <v>3162</v>
      </c>
      <c r="B2488" s="194" t="s">
        <v>2713</v>
      </c>
      <c r="C2488" s="339">
        <f t="shared" si="84"/>
        <v>50000</v>
      </c>
      <c r="D2488" s="196" t="s">
        <v>636</v>
      </c>
      <c r="E2488" s="197" t="s">
        <v>1739</v>
      </c>
      <c r="F2488" s="507">
        <f>SUMIFS(Controle!$R:$R,Controle!$H:$H,produtos_escape2!$A2488,Controle!$Z:$Z,"1")</f>
        <v>0</v>
      </c>
      <c r="G2488" s="507">
        <f>SUMIFS(Controle!$R:$R,Controle!$H:$H,produtos_escape2!$A2488,Controle!$Z:$Z,"2")</f>
        <v>0</v>
      </c>
      <c r="H2488" s="507">
        <f>SUMIFS(Controle!$R:$R,Controle!$H:$H,produtos_escape2!$A2488,Controle!$Z:$Z,"3")</f>
        <v>0</v>
      </c>
      <c r="I2488" s="507">
        <f>SUMIFS(Controle!$R:$R,Controle!$H:$H,produtos_escape2!$A2488,Controle!$Z:$Z,"4")</f>
        <v>0</v>
      </c>
      <c r="J2488" s="507">
        <f>SUMIFS(Controle!$R:$R,Controle!$H:$H,produtos_escape2!$A2488,Controle!$Z:$Z,"5")</f>
        <v>0</v>
      </c>
      <c r="K2488" s="507">
        <f>SUMIFS(Controle!$R:$R,Controle!$H:$H,produtos_escape2!$A2488,Controle!$Z:$Z,"6")</f>
        <v>0</v>
      </c>
      <c r="L2488" s="507">
        <f t="shared" si="83"/>
        <v>0</v>
      </c>
    </row>
    <row r="2489" spans="1:12" s="84" customFormat="1" ht="14.25" customHeight="1" thickBot="1">
      <c r="A2489" s="353" t="s">
        <v>3797</v>
      </c>
      <c r="B2489" s="194" t="s">
        <v>4000</v>
      </c>
      <c r="C2489" s="339">
        <f t="shared" si="84"/>
        <v>50000</v>
      </c>
      <c r="D2489" s="196" t="s">
        <v>636</v>
      </c>
      <c r="E2489" s="197" t="s">
        <v>1687</v>
      </c>
      <c r="F2489" s="507">
        <f>SUMIFS(Controle!$R:$R,Controle!$H:$H,produtos_escape2!$A2489,Controle!$Z:$Z,"1")</f>
        <v>0</v>
      </c>
      <c r="G2489" s="507">
        <f>SUMIFS(Controle!$R:$R,Controle!$H:$H,produtos_escape2!$A2489,Controle!$Z:$Z,"2")</f>
        <v>0</v>
      </c>
      <c r="H2489" s="507">
        <f>SUMIFS(Controle!$R:$R,Controle!$H:$H,produtos_escape2!$A2489,Controle!$Z:$Z,"3")</f>
        <v>0</v>
      </c>
      <c r="I2489" s="507">
        <f>SUMIFS(Controle!$R:$R,Controle!$H:$H,produtos_escape2!$A2489,Controle!$Z:$Z,"4")</f>
        <v>0</v>
      </c>
      <c r="J2489" s="507">
        <f>SUMIFS(Controle!$R:$R,Controle!$H:$H,produtos_escape2!$A2489,Controle!$Z:$Z,"5")</f>
        <v>0</v>
      </c>
      <c r="K2489" s="507">
        <f>SUMIFS(Controle!$R:$R,Controle!$H:$H,produtos_escape2!$A2489,Controle!$Z:$Z,"6")</f>
        <v>0</v>
      </c>
      <c r="L2489" s="507">
        <f t="shared" si="83"/>
        <v>0</v>
      </c>
    </row>
    <row r="2490" spans="1:12" s="84" customFormat="1" ht="14.25" customHeight="1" thickBot="1">
      <c r="A2490" s="353" t="s">
        <v>3907</v>
      </c>
      <c r="B2490" s="194" t="s">
        <v>4001</v>
      </c>
      <c r="C2490" s="339">
        <f t="shared" si="84"/>
        <v>50000</v>
      </c>
      <c r="D2490" s="196" t="s">
        <v>636</v>
      </c>
      <c r="E2490" s="197" t="s">
        <v>1687</v>
      </c>
      <c r="F2490" s="507">
        <f>SUMIFS(Controle!$R:$R,Controle!$H:$H,produtos_escape2!$A2490,Controle!$Z:$Z,"1")</f>
        <v>0</v>
      </c>
      <c r="G2490" s="507">
        <f>SUMIFS(Controle!$R:$R,Controle!$H:$H,produtos_escape2!$A2490,Controle!$Z:$Z,"2")</f>
        <v>0</v>
      </c>
      <c r="H2490" s="507">
        <f>SUMIFS(Controle!$R:$R,Controle!$H:$H,produtos_escape2!$A2490,Controle!$Z:$Z,"3")</f>
        <v>0</v>
      </c>
      <c r="I2490" s="507">
        <f>SUMIFS(Controle!$R:$R,Controle!$H:$H,produtos_escape2!$A2490,Controle!$Z:$Z,"4")</f>
        <v>0</v>
      </c>
      <c r="J2490" s="507">
        <f>SUMIFS(Controle!$R:$R,Controle!$H:$H,produtos_escape2!$A2490,Controle!$Z:$Z,"5")</f>
        <v>0</v>
      </c>
      <c r="K2490" s="507">
        <f>SUMIFS(Controle!$R:$R,Controle!$H:$H,produtos_escape2!$A2490,Controle!$Z:$Z,"6")</f>
        <v>0</v>
      </c>
      <c r="L2490" s="507">
        <f t="shared" si="83"/>
        <v>0</v>
      </c>
    </row>
    <row r="2491" spans="1:12" s="84" customFormat="1" ht="14.25" customHeight="1" thickBot="1">
      <c r="A2491" s="353" t="s">
        <v>3908</v>
      </c>
      <c r="B2491" s="194" t="s">
        <v>4002</v>
      </c>
      <c r="C2491" s="339">
        <f t="shared" si="84"/>
        <v>50000</v>
      </c>
      <c r="D2491" s="196" t="s">
        <v>636</v>
      </c>
      <c r="E2491" s="197" t="s">
        <v>1687</v>
      </c>
      <c r="F2491" s="507">
        <f>SUMIFS(Controle!$R:$R,Controle!$H:$H,produtos_escape2!$A2491,Controle!$Z:$Z,"1")</f>
        <v>0</v>
      </c>
      <c r="G2491" s="507">
        <f>SUMIFS(Controle!$R:$R,Controle!$H:$H,produtos_escape2!$A2491,Controle!$Z:$Z,"2")</f>
        <v>0</v>
      </c>
      <c r="H2491" s="507">
        <f>SUMIFS(Controle!$R:$R,Controle!$H:$H,produtos_escape2!$A2491,Controle!$Z:$Z,"3")</f>
        <v>0</v>
      </c>
      <c r="I2491" s="507">
        <f>SUMIFS(Controle!$R:$R,Controle!$H:$H,produtos_escape2!$A2491,Controle!$Z:$Z,"4")</f>
        <v>0</v>
      </c>
      <c r="J2491" s="507">
        <f>SUMIFS(Controle!$R:$R,Controle!$H:$H,produtos_escape2!$A2491,Controle!$Z:$Z,"5")</f>
        <v>0</v>
      </c>
      <c r="K2491" s="507">
        <f>SUMIFS(Controle!$R:$R,Controle!$H:$H,produtos_escape2!$A2491,Controle!$Z:$Z,"6")</f>
        <v>0</v>
      </c>
      <c r="L2491" s="507">
        <f t="shared" si="83"/>
        <v>0</v>
      </c>
    </row>
    <row r="2492" spans="1:12" s="84" customFormat="1" ht="14.25" customHeight="1" thickBot="1">
      <c r="A2492" s="333" t="s">
        <v>3909</v>
      </c>
      <c r="B2492" s="338" t="s">
        <v>6780</v>
      </c>
      <c r="C2492" s="339">
        <f t="shared" si="84"/>
        <v>50000</v>
      </c>
      <c r="D2492" s="196" t="s">
        <v>636</v>
      </c>
      <c r="E2492" s="197" t="s">
        <v>1687</v>
      </c>
      <c r="F2492" s="507">
        <f>SUMIFS(Controle!$R:$R,Controle!$H:$H,produtos_escape2!$A2492,Controle!$Z:$Z,"1")</f>
        <v>0</v>
      </c>
      <c r="G2492" s="507">
        <f>SUMIFS(Controle!$R:$R,Controle!$H:$H,produtos_escape2!$A2492,Controle!$Z:$Z,"2")</f>
        <v>0</v>
      </c>
      <c r="H2492" s="507">
        <f>SUMIFS(Controle!$R:$R,Controle!$H:$H,produtos_escape2!$A2492,Controle!$Z:$Z,"3")</f>
        <v>0</v>
      </c>
      <c r="I2492" s="507">
        <f>SUMIFS(Controle!$R:$R,Controle!$H:$H,produtos_escape2!$A2492,Controle!$Z:$Z,"4")</f>
        <v>0</v>
      </c>
      <c r="J2492" s="507">
        <f>SUMIFS(Controle!$R:$R,Controle!$H:$H,produtos_escape2!$A2492,Controle!$Z:$Z,"5")</f>
        <v>0</v>
      </c>
      <c r="K2492" s="507">
        <f>SUMIFS(Controle!$R:$R,Controle!$H:$H,produtos_escape2!$A2492,Controle!$Z:$Z,"6")</f>
        <v>0</v>
      </c>
      <c r="L2492" s="507">
        <f t="shared" si="83"/>
        <v>0</v>
      </c>
    </row>
    <row r="2493" spans="1:12" s="84" customFormat="1" ht="14.25" customHeight="1" thickBot="1">
      <c r="A2493" s="353" t="s">
        <v>3996</v>
      </c>
      <c r="B2493" s="194" t="s">
        <v>4003</v>
      </c>
      <c r="C2493" s="339">
        <f t="shared" si="84"/>
        <v>50000</v>
      </c>
      <c r="D2493" s="196" t="s">
        <v>636</v>
      </c>
      <c r="E2493" s="197" t="s">
        <v>1687</v>
      </c>
      <c r="F2493" s="507">
        <f>SUMIFS(Controle!$R:$R,Controle!$H:$H,produtos_escape2!$A2493,Controle!$Z:$Z,"1")</f>
        <v>0</v>
      </c>
      <c r="G2493" s="507">
        <f>SUMIFS(Controle!$R:$R,Controle!$H:$H,produtos_escape2!$A2493,Controle!$Z:$Z,"2")</f>
        <v>0</v>
      </c>
      <c r="H2493" s="507">
        <f>SUMIFS(Controle!$R:$R,Controle!$H:$H,produtos_escape2!$A2493,Controle!$Z:$Z,"3")</f>
        <v>0</v>
      </c>
      <c r="I2493" s="507">
        <f>SUMIFS(Controle!$R:$R,Controle!$H:$H,produtos_escape2!$A2493,Controle!$Z:$Z,"4")</f>
        <v>0</v>
      </c>
      <c r="J2493" s="507">
        <f>SUMIFS(Controle!$R:$R,Controle!$H:$H,produtos_escape2!$A2493,Controle!$Z:$Z,"5")</f>
        <v>0</v>
      </c>
      <c r="K2493" s="507">
        <f>SUMIFS(Controle!$R:$R,Controle!$H:$H,produtos_escape2!$A2493,Controle!$Z:$Z,"6")</f>
        <v>0</v>
      </c>
      <c r="L2493" s="507">
        <f t="shared" si="83"/>
        <v>0</v>
      </c>
    </row>
    <row r="2494" spans="1:12" s="84" customFormat="1" ht="14.25" customHeight="1" thickBot="1">
      <c r="A2494" s="353" t="s">
        <v>3999</v>
      </c>
      <c r="B2494" s="194" t="s">
        <v>4004</v>
      </c>
      <c r="C2494" s="339">
        <f t="shared" si="84"/>
        <v>50000</v>
      </c>
      <c r="D2494" s="196" t="s">
        <v>636</v>
      </c>
      <c r="E2494" s="197" t="s">
        <v>1687</v>
      </c>
      <c r="F2494" s="507">
        <f>SUMIFS(Controle!$R:$R,Controle!$H:$H,produtos_escape2!$A2494,Controle!$Z:$Z,"1")</f>
        <v>0</v>
      </c>
      <c r="G2494" s="507">
        <f>SUMIFS(Controle!$R:$R,Controle!$H:$H,produtos_escape2!$A2494,Controle!$Z:$Z,"2")</f>
        <v>0</v>
      </c>
      <c r="H2494" s="507">
        <f>SUMIFS(Controle!$R:$R,Controle!$H:$H,produtos_escape2!$A2494,Controle!$Z:$Z,"3")</f>
        <v>0</v>
      </c>
      <c r="I2494" s="507">
        <f>SUMIFS(Controle!$R:$R,Controle!$H:$H,produtos_escape2!$A2494,Controle!$Z:$Z,"4")</f>
        <v>0</v>
      </c>
      <c r="J2494" s="507">
        <f>SUMIFS(Controle!$R:$R,Controle!$H:$H,produtos_escape2!$A2494,Controle!$Z:$Z,"5")</f>
        <v>0</v>
      </c>
      <c r="K2494" s="507">
        <f>SUMIFS(Controle!$R:$R,Controle!$H:$H,produtos_escape2!$A2494,Controle!$Z:$Z,"6")</f>
        <v>0</v>
      </c>
      <c r="L2494" s="507">
        <f t="shared" si="83"/>
        <v>0</v>
      </c>
    </row>
    <row r="2495" spans="1:12" s="84" customFormat="1" ht="14.25" customHeight="1" thickBot="1">
      <c r="A2495" s="353" t="s">
        <v>6740</v>
      </c>
      <c r="B2495" s="194" t="s">
        <v>6741</v>
      </c>
      <c r="C2495" s="339">
        <f t="shared" si="84"/>
        <v>50000</v>
      </c>
      <c r="D2495" s="196" t="s">
        <v>636</v>
      </c>
      <c r="E2495" s="197" t="s">
        <v>1687</v>
      </c>
      <c r="F2495" s="507">
        <f>SUMIFS(Controle!$R:$R,Controle!$H:$H,produtos_escape2!$A2495,Controle!$Z:$Z,"1")</f>
        <v>0</v>
      </c>
      <c r="G2495" s="507">
        <f>SUMIFS(Controle!$R:$R,Controle!$H:$H,produtos_escape2!$A2495,Controle!$Z:$Z,"2")</f>
        <v>0</v>
      </c>
      <c r="H2495" s="507">
        <f>SUMIFS(Controle!$R:$R,Controle!$H:$H,produtos_escape2!$A2495,Controle!$Z:$Z,"3")</f>
        <v>0</v>
      </c>
      <c r="I2495" s="507">
        <f>SUMIFS(Controle!$R:$R,Controle!$H:$H,produtos_escape2!$A2495,Controle!$Z:$Z,"4")</f>
        <v>0</v>
      </c>
      <c r="J2495" s="507">
        <f>SUMIFS(Controle!$R:$R,Controle!$H:$H,produtos_escape2!$A2495,Controle!$Z:$Z,"5")</f>
        <v>0</v>
      </c>
      <c r="K2495" s="507">
        <f>SUMIFS(Controle!$R:$R,Controle!$H:$H,produtos_escape2!$A2495,Controle!$Z:$Z,"6")</f>
        <v>0</v>
      </c>
      <c r="L2495" s="507">
        <f t="shared" ref="L2495:L2558" si="85">SUM(F2495:K2495)</f>
        <v>0</v>
      </c>
    </row>
    <row r="2496" spans="1:12" s="84" customFormat="1" ht="14.25" customHeight="1" thickBot="1">
      <c r="A2496" s="353" t="s">
        <v>6782</v>
      </c>
      <c r="B2496" s="194" t="s">
        <v>6783</v>
      </c>
      <c r="C2496" s="339">
        <f t="shared" si="84"/>
        <v>50000</v>
      </c>
      <c r="D2496" s="196" t="s">
        <v>636</v>
      </c>
      <c r="E2496" s="197" t="s">
        <v>1687</v>
      </c>
      <c r="F2496" s="507">
        <f>SUMIFS(Controle!$R:$R,Controle!$H:$H,produtos_escape2!$A2496,Controle!$Z:$Z,"1")</f>
        <v>0</v>
      </c>
      <c r="G2496" s="507">
        <f>SUMIFS(Controle!$R:$R,Controle!$H:$H,produtos_escape2!$A2496,Controle!$Z:$Z,"2")</f>
        <v>0</v>
      </c>
      <c r="H2496" s="507">
        <f>SUMIFS(Controle!$R:$R,Controle!$H:$H,produtos_escape2!$A2496,Controle!$Z:$Z,"3")</f>
        <v>0</v>
      </c>
      <c r="I2496" s="507">
        <f>SUMIFS(Controle!$R:$R,Controle!$H:$H,produtos_escape2!$A2496,Controle!$Z:$Z,"4")</f>
        <v>0</v>
      </c>
      <c r="J2496" s="507">
        <f>SUMIFS(Controle!$R:$R,Controle!$H:$H,produtos_escape2!$A2496,Controle!$Z:$Z,"5")</f>
        <v>0</v>
      </c>
      <c r="K2496" s="507">
        <f>SUMIFS(Controle!$R:$R,Controle!$H:$H,produtos_escape2!$A2496,Controle!$Z:$Z,"6")</f>
        <v>0</v>
      </c>
      <c r="L2496" s="507">
        <f t="shared" si="85"/>
        <v>0</v>
      </c>
    </row>
    <row r="2497" spans="1:12" s="84" customFormat="1" ht="14.25" customHeight="1" thickBot="1">
      <c r="A2497" s="353" t="s">
        <v>9863</v>
      </c>
      <c r="B2497" s="194" t="s">
        <v>9864</v>
      </c>
      <c r="C2497" s="339">
        <f t="shared" si="84"/>
        <v>50000</v>
      </c>
      <c r="D2497" s="196" t="s">
        <v>636</v>
      </c>
      <c r="E2497" s="197" t="s">
        <v>1687</v>
      </c>
      <c r="F2497" s="507">
        <f>SUMIFS(Controle!$R:$R,Controle!$H:$H,produtos_escape2!$A2497,Controle!$Z:$Z,"1")</f>
        <v>0</v>
      </c>
      <c r="G2497" s="507">
        <f>SUMIFS(Controle!$R:$R,Controle!$H:$H,produtos_escape2!$A2497,Controle!$Z:$Z,"2")</f>
        <v>0</v>
      </c>
      <c r="H2497" s="507">
        <f>SUMIFS(Controle!$R:$R,Controle!$H:$H,produtos_escape2!$A2497,Controle!$Z:$Z,"3")</f>
        <v>0</v>
      </c>
      <c r="I2497" s="507">
        <f>SUMIFS(Controle!$R:$R,Controle!$H:$H,produtos_escape2!$A2497,Controle!$Z:$Z,"4")</f>
        <v>0</v>
      </c>
      <c r="J2497" s="507">
        <f>SUMIFS(Controle!$R:$R,Controle!$H:$H,produtos_escape2!$A2497,Controle!$Z:$Z,"5")</f>
        <v>0</v>
      </c>
      <c r="K2497" s="507">
        <f>SUMIFS(Controle!$R:$R,Controle!$H:$H,produtos_escape2!$A2497,Controle!$Z:$Z,"6")</f>
        <v>0</v>
      </c>
      <c r="L2497" s="507">
        <f t="shared" si="85"/>
        <v>0</v>
      </c>
    </row>
    <row r="2498" spans="1:12" s="84" customFormat="1" ht="14.25" customHeight="1" thickBot="1">
      <c r="A2498" s="353" t="s">
        <v>9901</v>
      </c>
      <c r="B2498" s="194" t="s">
        <v>9902</v>
      </c>
      <c r="C2498" s="339">
        <f t="shared" si="84"/>
        <v>50000</v>
      </c>
      <c r="D2498" s="196" t="s">
        <v>636</v>
      </c>
      <c r="E2498" s="197" t="s">
        <v>1687</v>
      </c>
      <c r="F2498" s="507">
        <f>SUMIFS(Controle!$R:$R,Controle!$H:$H,produtos_escape2!$A2498,Controle!$Z:$Z,"1")</f>
        <v>0</v>
      </c>
      <c r="G2498" s="507">
        <f>SUMIFS(Controle!$R:$R,Controle!$H:$H,produtos_escape2!$A2498,Controle!$Z:$Z,"2")</f>
        <v>0</v>
      </c>
      <c r="H2498" s="507">
        <f>SUMIFS(Controle!$R:$R,Controle!$H:$H,produtos_escape2!$A2498,Controle!$Z:$Z,"3")</f>
        <v>0</v>
      </c>
      <c r="I2498" s="507">
        <f>SUMIFS(Controle!$R:$R,Controle!$H:$H,produtos_escape2!$A2498,Controle!$Z:$Z,"4")</f>
        <v>0</v>
      </c>
      <c r="J2498" s="507">
        <f>SUMIFS(Controle!$R:$R,Controle!$H:$H,produtos_escape2!$A2498,Controle!$Z:$Z,"5")</f>
        <v>0</v>
      </c>
      <c r="K2498" s="507">
        <f>SUMIFS(Controle!$R:$R,Controle!$H:$H,produtos_escape2!$A2498,Controle!$Z:$Z,"6")</f>
        <v>0</v>
      </c>
      <c r="L2498" s="507">
        <f t="shared" si="85"/>
        <v>0</v>
      </c>
    </row>
    <row r="2499" spans="1:12" s="84" customFormat="1" ht="14.25" customHeight="1" thickBot="1">
      <c r="A2499" s="353" t="s">
        <v>10029</v>
      </c>
      <c r="B2499" s="194" t="s">
        <v>10030</v>
      </c>
      <c r="C2499" s="339">
        <f t="shared" si="84"/>
        <v>50000</v>
      </c>
      <c r="D2499" s="196" t="s">
        <v>636</v>
      </c>
      <c r="E2499" s="197" t="s">
        <v>1687</v>
      </c>
      <c r="F2499" s="507">
        <f>SUMIFS(Controle!$R:$R,Controle!$H:$H,produtos_escape2!$A2499,Controle!$Z:$Z,"1")</f>
        <v>0</v>
      </c>
      <c r="G2499" s="507">
        <f>SUMIFS(Controle!$R:$R,Controle!$H:$H,produtos_escape2!$A2499,Controle!$Z:$Z,"2")</f>
        <v>0</v>
      </c>
      <c r="H2499" s="507">
        <f>SUMIFS(Controle!$R:$R,Controle!$H:$H,produtos_escape2!$A2499,Controle!$Z:$Z,"3")</f>
        <v>0</v>
      </c>
      <c r="I2499" s="507">
        <f>SUMIFS(Controle!$R:$R,Controle!$H:$H,produtos_escape2!$A2499,Controle!$Z:$Z,"4")</f>
        <v>0</v>
      </c>
      <c r="J2499" s="507">
        <f>SUMIFS(Controle!$R:$R,Controle!$H:$H,produtos_escape2!$A2499,Controle!$Z:$Z,"5")</f>
        <v>0</v>
      </c>
      <c r="K2499" s="507">
        <f>SUMIFS(Controle!$R:$R,Controle!$H:$H,produtos_escape2!$A2499,Controle!$Z:$Z,"6")</f>
        <v>0</v>
      </c>
      <c r="L2499" s="507">
        <f t="shared" si="85"/>
        <v>0</v>
      </c>
    </row>
    <row r="2500" spans="1:12" s="84" customFormat="1" ht="14.25" customHeight="1" thickBot="1">
      <c r="A2500" s="353" t="s">
        <v>8269</v>
      </c>
      <c r="B2500" s="194" t="s">
        <v>8746</v>
      </c>
      <c r="C2500" s="339">
        <f t="shared" si="84"/>
        <v>47050</v>
      </c>
      <c r="D2500" s="196" t="s">
        <v>636</v>
      </c>
      <c r="E2500" s="197" t="s">
        <v>1739</v>
      </c>
      <c r="F2500" s="507">
        <f>SUMIFS(Controle!$R:$R,Controle!$H:$H,produtos_escape2!$A2500,Controle!$Z:$Z,"1")</f>
        <v>0</v>
      </c>
      <c r="G2500" s="507">
        <f>SUMIFS(Controle!$R:$R,Controle!$H:$H,produtos_escape2!$A2500,Controle!$Z:$Z,"2")</f>
        <v>0</v>
      </c>
      <c r="H2500" s="507">
        <f>SUMIFS(Controle!$R:$R,Controle!$H:$H,produtos_escape2!$A2500,Controle!$Z:$Z,"3")</f>
        <v>2950</v>
      </c>
      <c r="I2500" s="507">
        <f>SUMIFS(Controle!$R:$R,Controle!$H:$H,produtos_escape2!$A2500,Controle!$Z:$Z,"4")</f>
        <v>0</v>
      </c>
      <c r="J2500" s="507">
        <f>SUMIFS(Controle!$R:$R,Controle!$H:$H,produtos_escape2!$A2500,Controle!$Z:$Z,"5")</f>
        <v>0</v>
      </c>
      <c r="K2500" s="507">
        <f>SUMIFS(Controle!$R:$R,Controle!$H:$H,produtos_escape2!$A2500,Controle!$Z:$Z,"6")</f>
        <v>0</v>
      </c>
      <c r="L2500" s="507">
        <f t="shared" si="85"/>
        <v>2950</v>
      </c>
    </row>
    <row r="2501" spans="1:12" s="84" customFormat="1" ht="14.25" customHeight="1" thickBot="1">
      <c r="A2501" s="353" t="s">
        <v>8734</v>
      </c>
      <c r="B2501" s="194" t="s">
        <v>8747</v>
      </c>
      <c r="C2501" s="339">
        <f t="shared" si="84"/>
        <v>49750</v>
      </c>
      <c r="D2501" s="196" t="s">
        <v>636</v>
      </c>
      <c r="E2501" s="197" t="s">
        <v>1739</v>
      </c>
      <c r="F2501" s="507">
        <f>SUMIFS(Controle!$R:$R,Controle!$H:$H,produtos_escape2!$A2501,Controle!$Z:$Z,"1")</f>
        <v>0</v>
      </c>
      <c r="G2501" s="507">
        <f>SUMIFS(Controle!$R:$R,Controle!$H:$H,produtos_escape2!$A2501,Controle!$Z:$Z,"2")</f>
        <v>0</v>
      </c>
      <c r="H2501" s="507">
        <f>SUMIFS(Controle!$R:$R,Controle!$H:$H,produtos_escape2!$A2501,Controle!$Z:$Z,"3")</f>
        <v>0</v>
      </c>
      <c r="I2501" s="507">
        <f>SUMIFS(Controle!$R:$R,Controle!$H:$H,produtos_escape2!$A2501,Controle!$Z:$Z,"4")</f>
        <v>250</v>
      </c>
      <c r="J2501" s="507">
        <f>SUMIFS(Controle!$R:$R,Controle!$H:$H,produtos_escape2!$A2501,Controle!$Z:$Z,"5")</f>
        <v>0</v>
      </c>
      <c r="K2501" s="507">
        <f>SUMIFS(Controle!$R:$R,Controle!$H:$H,produtos_escape2!$A2501,Controle!$Z:$Z,"6")</f>
        <v>0</v>
      </c>
      <c r="L2501" s="507">
        <f t="shared" si="85"/>
        <v>250</v>
      </c>
    </row>
    <row r="2502" spans="1:12" s="84" customFormat="1" ht="14.25" customHeight="1" thickBot="1">
      <c r="A2502" s="353" t="s">
        <v>8735</v>
      </c>
      <c r="B2502" s="194" t="s">
        <v>8748</v>
      </c>
      <c r="C2502" s="339">
        <f t="shared" si="84"/>
        <v>49750</v>
      </c>
      <c r="D2502" s="196" t="s">
        <v>636</v>
      </c>
      <c r="E2502" s="197" t="s">
        <v>1739</v>
      </c>
      <c r="F2502" s="507">
        <f>SUMIFS(Controle!$R:$R,Controle!$H:$H,produtos_escape2!$A2502,Controle!$Z:$Z,"1")</f>
        <v>0</v>
      </c>
      <c r="G2502" s="507">
        <f>SUMIFS(Controle!$R:$R,Controle!$H:$H,produtos_escape2!$A2502,Controle!$Z:$Z,"2")</f>
        <v>0</v>
      </c>
      <c r="H2502" s="507">
        <f>SUMIFS(Controle!$R:$R,Controle!$H:$H,produtos_escape2!$A2502,Controle!$Z:$Z,"3")</f>
        <v>0</v>
      </c>
      <c r="I2502" s="507">
        <f>SUMIFS(Controle!$R:$R,Controle!$H:$H,produtos_escape2!$A2502,Controle!$Z:$Z,"4")</f>
        <v>250</v>
      </c>
      <c r="J2502" s="507">
        <f>SUMIFS(Controle!$R:$R,Controle!$H:$H,produtos_escape2!$A2502,Controle!$Z:$Z,"5")</f>
        <v>0</v>
      </c>
      <c r="K2502" s="507">
        <f>SUMIFS(Controle!$R:$R,Controle!$H:$H,produtos_escape2!$A2502,Controle!$Z:$Z,"6")</f>
        <v>0</v>
      </c>
      <c r="L2502" s="507">
        <f t="shared" si="85"/>
        <v>250</v>
      </c>
    </row>
    <row r="2503" spans="1:12" s="84" customFormat="1" ht="14.25" customHeight="1" thickBot="1">
      <c r="A2503" s="353" t="s">
        <v>8736</v>
      </c>
      <c r="B2503" s="194" t="s">
        <v>8749</v>
      </c>
      <c r="C2503" s="339">
        <f t="shared" si="84"/>
        <v>49750</v>
      </c>
      <c r="D2503" s="196" t="s">
        <v>636</v>
      </c>
      <c r="E2503" s="197" t="s">
        <v>1739</v>
      </c>
      <c r="F2503" s="507">
        <f>SUMIFS(Controle!$R:$R,Controle!$H:$H,produtos_escape2!$A2503,Controle!$Z:$Z,"1")</f>
        <v>0</v>
      </c>
      <c r="G2503" s="507">
        <f>SUMIFS(Controle!$R:$R,Controle!$H:$H,produtos_escape2!$A2503,Controle!$Z:$Z,"2")</f>
        <v>0</v>
      </c>
      <c r="H2503" s="507">
        <f>SUMIFS(Controle!$R:$R,Controle!$H:$H,produtos_escape2!$A2503,Controle!$Z:$Z,"3")</f>
        <v>0</v>
      </c>
      <c r="I2503" s="507">
        <f>SUMIFS(Controle!$R:$R,Controle!$H:$H,produtos_escape2!$A2503,Controle!$Z:$Z,"4")</f>
        <v>250</v>
      </c>
      <c r="J2503" s="507">
        <f>SUMIFS(Controle!$R:$R,Controle!$H:$H,produtos_escape2!$A2503,Controle!$Z:$Z,"5")</f>
        <v>0</v>
      </c>
      <c r="K2503" s="507">
        <f>SUMIFS(Controle!$R:$R,Controle!$H:$H,produtos_escape2!$A2503,Controle!$Z:$Z,"6")</f>
        <v>0</v>
      </c>
      <c r="L2503" s="507">
        <f t="shared" si="85"/>
        <v>250</v>
      </c>
    </row>
    <row r="2504" spans="1:12" s="84" customFormat="1" ht="14.25" customHeight="1" thickBot="1">
      <c r="A2504" s="353" t="s">
        <v>8737</v>
      </c>
      <c r="B2504" s="194" t="s">
        <v>8750</v>
      </c>
      <c r="C2504" s="339">
        <f t="shared" si="84"/>
        <v>49750</v>
      </c>
      <c r="D2504" s="196" t="s">
        <v>636</v>
      </c>
      <c r="E2504" s="197" t="s">
        <v>1739</v>
      </c>
      <c r="F2504" s="507">
        <f>SUMIFS(Controle!$R:$R,Controle!$H:$H,produtos_escape2!$A2504,Controle!$Z:$Z,"1")</f>
        <v>0</v>
      </c>
      <c r="G2504" s="507">
        <f>SUMIFS(Controle!$R:$R,Controle!$H:$H,produtos_escape2!$A2504,Controle!$Z:$Z,"2")</f>
        <v>0</v>
      </c>
      <c r="H2504" s="507">
        <f>SUMIFS(Controle!$R:$R,Controle!$H:$H,produtos_escape2!$A2504,Controle!$Z:$Z,"3")</f>
        <v>0</v>
      </c>
      <c r="I2504" s="507">
        <f>SUMIFS(Controle!$R:$R,Controle!$H:$H,produtos_escape2!$A2504,Controle!$Z:$Z,"4")</f>
        <v>250</v>
      </c>
      <c r="J2504" s="507">
        <f>SUMIFS(Controle!$R:$R,Controle!$H:$H,produtos_escape2!$A2504,Controle!$Z:$Z,"5")</f>
        <v>0</v>
      </c>
      <c r="K2504" s="507">
        <f>SUMIFS(Controle!$R:$R,Controle!$H:$H,produtos_escape2!$A2504,Controle!$Z:$Z,"6")</f>
        <v>0</v>
      </c>
      <c r="L2504" s="507">
        <f t="shared" si="85"/>
        <v>250</v>
      </c>
    </row>
    <row r="2505" spans="1:12" s="84" customFormat="1" ht="14.25" customHeight="1" thickBot="1">
      <c r="A2505" s="353" t="s">
        <v>8738</v>
      </c>
      <c r="B2505" s="194" t="s">
        <v>8751</v>
      </c>
      <c r="C2505" s="339">
        <f t="shared" ref="C2505:C2569" si="86">50000-SUM(F2505:K2505)</f>
        <v>49750</v>
      </c>
      <c r="D2505" s="196" t="s">
        <v>636</v>
      </c>
      <c r="E2505" s="197" t="s">
        <v>1739</v>
      </c>
      <c r="F2505" s="507">
        <f>SUMIFS(Controle!$R:$R,Controle!$H:$H,produtos_escape2!$A2505,Controle!$Z:$Z,"1")</f>
        <v>0</v>
      </c>
      <c r="G2505" s="507">
        <f>SUMIFS(Controle!$R:$R,Controle!$H:$H,produtos_escape2!$A2505,Controle!$Z:$Z,"2")</f>
        <v>0</v>
      </c>
      <c r="H2505" s="507">
        <f>SUMIFS(Controle!$R:$R,Controle!$H:$H,produtos_escape2!$A2505,Controle!$Z:$Z,"3")</f>
        <v>0</v>
      </c>
      <c r="I2505" s="507">
        <f>SUMIFS(Controle!$R:$R,Controle!$H:$H,produtos_escape2!$A2505,Controle!$Z:$Z,"4")</f>
        <v>250</v>
      </c>
      <c r="J2505" s="507">
        <f>SUMIFS(Controle!$R:$R,Controle!$H:$H,produtos_escape2!$A2505,Controle!$Z:$Z,"5")</f>
        <v>0</v>
      </c>
      <c r="K2505" s="507">
        <f>SUMIFS(Controle!$R:$R,Controle!$H:$H,produtos_escape2!$A2505,Controle!$Z:$Z,"6")</f>
        <v>0</v>
      </c>
      <c r="L2505" s="507">
        <f t="shared" si="85"/>
        <v>250</v>
      </c>
    </row>
    <row r="2506" spans="1:12" s="84" customFormat="1" ht="14.25" customHeight="1" thickBot="1">
      <c r="A2506" s="353" t="s">
        <v>8739</v>
      </c>
      <c r="B2506" s="194" t="s">
        <v>8752</v>
      </c>
      <c r="C2506" s="339">
        <f t="shared" si="86"/>
        <v>49701</v>
      </c>
      <c r="D2506" s="196" t="s">
        <v>636</v>
      </c>
      <c r="E2506" s="197" t="s">
        <v>1739</v>
      </c>
      <c r="F2506" s="507">
        <f>SUMIFS(Controle!$R:$R,Controle!$H:$H,produtos_escape2!$A2506,Controle!$Z:$Z,"1")</f>
        <v>0</v>
      </c>
      <c r="G2506" s="507">
        <f>SUMIFS(Controle!$R:$R,Controle!$H:$H,produtos_escape2!$A2506,Controle!$Z:$Z,"2")</f>
        <v>0</v>
      </c>
      <c r="H2506" s="507">
        <f>SUMIFS(Controle!$R:$R,Controle!$H:$H,produtos_escape2!$A2506,Controle!$Z:$Z,"3")</f>
        <v>0</v>
      </c>
      <c r="I2506" s="507">
        <f>SUMIFS(Controle!$R:$R,Controle!$H:$H,produtos_escape2!$A2506,Controle!$Z:$Z,"4")</f>
        <v>0</v>
      </c>
      <c r="J2506" s="507">
        <f>SUMIFS(Controle!$R:$R,Controle!$H:$H,produtos_escape2!$A2506,Controle!$Z:$Z,"5")</f>
        <v>299</v>
      </c>
      <c r="K2506" s="507">
        <f>SUMIFS(Controle!$R:$R,Controle!$H:$H,produtos_escape2!$A2506,Controle!$Z:$Z,"6")</f>
        <v>0</v>
      </c>
      <c r="L2506" s="507">
        <f t="shared" si="85"/>
        <v>299</v>
      </c>
    </row>
    <row r="2507" spans="1:12" s="84" customFormat="1" ht="14.25" customHeight="1" thickBot="1">
      <c r="A2507" s="353" t="s">
        <v>8740</v>
      </c>
      <c r="B2507" s="194" t="s">
        <v>8753</v>
      </c>
      <c r="C2507" s="339">
        <f t="shared" si="86"/>
        <v>49701</v>
      </c>
      <c r="D2507" s="196" t="s">
        <v>636</v>
      </c>
      <c r="E2507" s="197" t="s">
        <v>1739</v>
      </c>
      <c r="F2507" s="507">
        <f>SUMIFS(Controle!$R:$R,Controle!$H:$H,produtos_escape2!$A2507,Controle!$Z:$Z,"1")</f>
        <v>0</v>
      </c>
      <c r="G2507" s="507">
        <f>SUMIFS(Controle!$R:$R,Controle!$H:$H,produtos_escape2!$A2507,Controle!$Z:$Z,"2")</f>
        <v>0</v>
      </c>
      <c r="H2507" s="507">
        <f>SUMIFS(Controle!$R:$R,Controle!$H:$H,produtos_escape2!$A2507,Controle!$Z:$Z,"3")</f>
        <v>0</v>
      </c>
      <c r="I2507" s="507">
        <f>SUMIFS(Controle!$R:$R,Controle!$H:$H,produtos_escape2!$A2507,Controle!$Z:$Z,"4")</f>
        <v>0</v>
      </c>
      <c r="J2507" s="507">
        <f>SUMIFS(Controle!$R:$R,Controle!$H:$H,produtos_escape2!$A2507,Controle!$Z:$Z,"5")</f>
        <v>299</v>
      </c>
      <c r="K2507" s="507">
        <f>SUMIFS(Controle!$R:$R,Controle!$H:$H,produtos_escape2!$A2507,Controle!$Z:$Z,"6")</f>
        <v>0</v>
      </c>
      <c r="L2507" s="507">
        <f t="shared" si="85"/>
        <v>299</v>
      </c>
    </row>
    <row r="2508" spans="1:12" s="84" customFormat="1" ht="14.25" customHeight="1" thickBot="1">
      <c r="A2508" s="353" t="s">
        <v>8741</v>
      </c>
      <c r="B2508" s="194" t="s">
        <v>8754</v>
      </c>
      <c r="C2508" s="339">
        <f t="shared" si="86"/>
        <v>49938</v>
      </c>
      <c r="D2508" s="196" t="s">
        <v>636</v>
      </c>
      <c r="E2508" s="197" t="s">
        <v>1739</v>
      </c>
      <c r="F2508" s="507">
        <f>SUMIFS(Controle!$R:$R,Controle!$H:$H,produtos_escape2!$A2508,Controle!$Z:$Z,"1")</f>
        <v>0</v>
      </c>
      <c r="G2508" s="507">
        <f>SUMIFS(Controle!$R:$R,Controle!$H:$H,produtos_escape2!$A2508,Controle!$Z:$Z,"2")</f>
        <v>0</v>
      </c>
      <c r="H2508" s="507">
        <f>SUMIFS(Controle!$R:$R,Controle!$H:$H,produtos_escape2!$A2508,Controle!$Z:$Z,"3")</f>
        <v>0</v>
      </c>
      <c r="I2508" s="507">
        <f>SUMIFS(Controle!$R:$R,Controle!$H:$H,produtos_escape2!$A2508,Controle!$Z:$Z,"4")</f>
        <v>0</v>
      </c>
      <c r="J2508" s="507">
        <f>SUMIFS(Controle!$R:$R,Controle!$H:$H,produtos_escape2!$A2508,Controle!$Z:$Z,"5")</f>
        <v>62</v>
      </c>
      <c r="K2508" s="507">
        <f>SUMIFS(Controle!$R:$R,Controle!$H:$H,produtos_escape2!$A2508,Controle!$Z:$Z,"6")</f>
        <v>0</v>
      </c>
      <c r="L2508" s="507">
        <f t="shared" si="85"/>
        <v>62</v>
      </c>
    </row>
    <row r="2509" spans="1:12" s="84" customFormat="1" ht="14.25" customHeight="1" thickBot="1">
      <c r="A2509" s="353" t="s">
        <v>8742</v>
      </c>
      <c r="B2509" s="194" t="s">
        <v>8755</v>
      </c>
      <c r="C2509" s="339">
        <f t="shared" si="86"/>
        <v>49974.8</v>
      </c>
      <c r="D2509" s="196" t="s">
        <v>636</v>
      </c>
      <c r="E2509" s="197" t="s">
        <v>1739</v>
      </c>
      <c r="F2509" s="507">
        <f>SUMIFS(Controle!$R:$R,Controle!$H:$H,produtos_escape2!$A2509,Controle!$Z:$Z,"1")</f>
        <v>0</v>
      </c>
      <c r="G2509" s="507">
        <f>SUMIFS(Controle!$R:$R,Controle!$H:$H,produtos_escape2!$A2509,Controle!$Z:$Z,"2")</f>
        <v>0</v>
      </c>
      <c r="H2509" s="507">
        <f>SUMIFS(Controle!$R:$R,Controle!$H:$H,produtos_escape2!$A2509,Controle!$Z:$Z,"3")</f>
        <v>0</v>
      </c>
      <c r="I2509" s="507">
        <f>SUMIFS(Controle!$R:$R,Controle!$H:$H,produtos_escape2!$A2509,Controle!$Z:$Z,"4")</f>
        <v>0</v>
      </c>
      <c r="J2509" s="507">
        <f>SUMIFS(Controle!$R:$R,Controle!$H:$H,produtos_escape2!$A2509,Controle!$Z:$Z,"5")</f>
        <v>25.2</v>
      </c>
      <c r="K2509" s="507">
        <f>SUMIFS(Controle!$R:$R,Controle!$H:$H,produtos_escape2!$A2509,Controle!$Z:$Z,"6")</f>
        <v>0</v>
      </c>
      <c r="L2509" s="507">
        <f t="shared" si="85"/>
        <v>25.2</v>
      </c>
    </row>
    <row r="2510" spans="1:12" s="84" customFormat="1" ht="14.25" customHeight="1" thickBot="1">
      <c r="A2510" s="353" t="s">
        <v>8743</v>
      </c>
      <c r="B2510" s="194" t="s">
        <v>8756</v>
      </c>
      <c r="C2510" s="339">
        <f t="shared" si="86"/>
        <v>49916.800000000003</v>
      </c>
      <c r="D2510" s="196" t="s">
        <v>636</v>
      </c>
      <c r="E2510" s="197" t="s">
        <v>1739</v>
      </c>
      <c r="F2510" s="507">
        <f>SUMIFS(Controle!$R:$R,Controle!$H:$H,produtos_escape2!$A2510,Controle!$Z:$Z,"1")</f>
        <v>0</v>
      </c>
      <c r="G2510" s="507">
        <f>SUMIFS(Controle!$R:$R,Controle!$H:$H,produtos_escape2!$A2510,Controle!$Z:$Z,"2")</f>
        <v>0</v>
      </c>
      <c r="H2510" s="507">
        <f>SUMIFS(Controle!$R:$R,Controle!$H:$H,produtos_escape2!$A2510,Controle!$Z:$Z,"3")</f>
        <v>0</v>
      </c>
      <c r="I2510" s="507">
        <f>SUMIFS(Controle!$R:$R,Controle!$H:$H,produtos_escape2!$A2510,Controle!$Z:$Z,"4")</f>
        <v>0</v>
      </c>
      <c r="J2510" s="507">
        <f>SUMIFS(Controle!$R:$R,Controle!$H:$H,produtos_escape2!$A2510,Controle!$Z:$Z,"5")</f>
        <v>83.2</v>
      </c>
      <c r="K2510" s="507">
        <f>SUMIFS(Controle!$R:$R,Controle!$H:$H,produtos_escape2!$A2510,Controle!$Z:$Z,"6")</f>
        <v>0</v>
      </c>
      <c r="L2510" s="507">
        <f t="shared" si="85"/>
        <v>83.2</v>
      </c>
    </row>
    <row r="2511" spans="1:12" s="84" customFormat="1" ht="14.25" customHeight="1" thickBot="1">
      <c r="A2511" s="353" t="s">
        <v>8744</v>
      </c>
      <c r="B2511" s="194" t="s">
        <v>8757</v>
      </c>
      <c r="C2511" s="339">
        <f t="shared" si="86"/>
        <v>49912.800000000003</v>
      </c>
      <c r="D2511" s="196" t="s">
        <v>636</v>
      </c>
      <c r="E2511" s="197" t="s">
        <v>1739</v>
      </c>
      <c r="F2511" s="507">
        <f>SUMIFS(Controle!$R:$R,Controle!$H:$H,produtos_escape2!$A2511,Controle!$Z:$Z,"1")</f>
        <v>0</v>
      </c>
      <c r="G2511" s="507">
        <f>SUMIFS(Controle!$R:$R,Controle!$H:$H,produtos_escape2!$A2511,Controle!$Z:$Z,"2")</f>
        <v>0</v>
      </c>
      <c r="H2511" s="507">
        <f>SUMIFS(Controle!$R:$R,Controle!$H:$H,produtos_escape2!$A2511,Controle!$Z:$Z,"3")</f>
        <v>0</v>
      </c>
      <c r="I2511" s="507">
        <f>SUMIFS(Controle!$R:$R,Controle!$H:$H,produtos_escape2!$A2511,Controle!$Z:$Z,"4")</f>
        <v>0</v>
      </c>
      <c r="J2511" s="507">
        <f>SUMIFS(Controle!$R:$R,Controle!$H:$H,produtos_escape2!$A2511,Controle!$Z:$Z,"5")</f>
        <v>87.2</v>
      </c>
      <c r="K2511" s="507">
        <f>SUMIFS(Controle!$R:$R,Controle!$H:$H,produtos_escape2!$A2511,Controle!$Z:$Z,"6")</f>
        <v>0</v>
      </c>
      <c r="L2511" s="507">
        <f t="shared" si="85"/>
        <v>87.2</v>
      </c>
    </row>
    <row r="2512" spans="1:12" s="84" customFormat="1" ht="14.25" customHeight="1" thickBot="1">
      <c r="A2512" s="353" t="s">
        <v>8745</v>
      </c>
      <c r="B2512" s="194" t="s">
        <v>8758</v>
      </c>
      <c r="C2512" s="339">
        <f t="shared" si="86"/>
        <v>49956</v>
      </c>
      <c r="D2512" s="196" t="s">
        <v>636</v>
      </c>
      <c r="E2512" s="197" t="s">
        <v>1739</v>
      </c>
      <c r="F2512" s="507">
        <f>SUMIFS(Controle!$R:$R,Controle!$H:$H,produtos_escape2!$A2512,Controle!$Z:$Z,"1")</f>
        <v>0</v>
      </c>
      <c r="G2512" s="507">
        <f>SUMIFS(Controle!$R:$R,Controle!$H:$H,produtos_escape2!$A2512,Controle!$Z:$Z,"2")</f>
        <v>0</v>
      </c>
      <c r="H2512" s="507">
        <f>SUMIFS(Controle!$R:$R,Controle!$H:$H,produtos_escape2!$A2512,Controle!$Z:$Z,"3")</f>
        <v>0</v>
      </c>
      <c r="I2512" s="507">
        <f>SUMIFS(Controle!$R:$R,Controle!$H:$H,produtos_escape2!$A2512,Controle!$Z:$Z,"4")</f>
        <v>0</v>
      </c>
      <c r="J2512" s="507">
        <f>SUMIFS(Controle!$R:$R,Controle!$H:$H,produtos_escape2!$A2512,Controle!$Z:$Z,"5")</f>
        <v>44</v>
      </c>
      <c r="K2512" s="507">
        <f>SUMIFS(Controle!$R:$R,Controle!$H:$H,produtos_escape2!$A2512,Controle!$Z:$Z,"6")</f>
        <v>0</v>
      </c>
      <c r="L2512" s="507">
        <f t="shared" si="85"/>
        <v>44</v>
      </c>
    </row>
    <row r="2513" spans="1:12" s="84" customFormat="1" ht="14.25" customHeight="1" thickBot="1">
      <c r="A2513" s="353" t="s">
        <v>3163</v>
      </c>
      <c r="B2513" s="194" t="s">
        <v>3255</v>
      </c>
      <c r="C2513" s="339">
        <f t="shared" si="86"/>
        <v>50000</v>
      </c>
      <c r="D2513" s="196" t="s">
        <v>636</v>
      </c>
      <c r="E2513" s="197" t="s">
        <v>1739</v>
      </c>
      <c r="F2513" s="507">
        <f>SUMIFS(Controle!$R:$R,Controle!$H:$H,produtos_escape2!$A2513,Controle!$Z:$Z,"1")</f>
        <v>0</v>
      </c>
      <c r="G2513" s="507">
        <f>SUMIFS(Controle!$R:$R,Controle!$H:$H,produtos_escape2!$A2513,Controle!$Z:$Z,"2")</f>
        <v>0</v>
      </c>
      <c r="H2513" s="507">
        <f>SUMIFS(Controle!$R:$R,Controle!$H:$H,produtos_escape2!$A2513,Controle!$Z:$Z,"3")</f>
        <v>0</v>
      </c>
      <c r="I2513" s="507">
        <f>SUMIFS(Controle!$R:$R,Controle!$H:$H,produtos_escape2!$A2513,Controle!$Z:$Z,"4")</f>
        <v>0</v>
      </c>
      <c r="J2513" s="507">
        <f>SUMIFS(Controle!$R:$R,Controle!$H:$H,produtos_escape2!$A2513,Controle!$Z:$Z,"5")</f>
        <v>0</v>
      </c>
      <c r="K2513" s="507">
        <f>SUMIFS(Controle!$R:$R,Controle!$H:$H,produtos_escape2!$A2513,Controle!$Z:$Z,"6")</f>
        <v>0</v>
      </c>
      <c r="L2513" s="507">
        <f t="shared" si="85"/>
        <v>0</v>
      </c>
    </row>
    <row r="2514" spans="1:12" s="84" customFormat="1" ht="14.25" customHeight="1" thickBot="1">
      <c r="A2514" s="353" t="s">
        <v>3164</v>
      </c>
      <c r="B2514" s="194" t="s">
        <v>3256</v>
      </c>
      <c r="C2514" s="339">
        <f t="shared" si="86"/>
        <v>50000</v>
      </c>
      <c r="D2514" s="196" t="s">
        <v>636</v>
      </c>
      <c r="E2514" s="197" t="s">
        <v>1739</v>
      </c>
      <c r="F2514" s="507">
        <f>SUMIFS(Controle!$R:$R,Controle!$H:$H,produtos_escape2!$A2514,Controle!$Z:$Z,"1")</f>
        <v>0</v>
      </c>
      <c r="G2514" s="507">
        <f>SUMIFS(Controle!$R:$R,Controle!$H:$H,produtos_escape2!$A2514,Controle!$Z:$Z,"2")</f>
        <v>0</v>
      </c>
      <c r="H2514" s="507">
        <f>SUMIFS(Controle!$R:$R,Controle!$H:$H,produtos_escape2!$A2514,Controle!$Z:$Z,"3")</f>
        <v>0</v>
      </c>
      <c r="I2514" s="507">
        <f>SUMIFS(Controle!$R:$R,Controle!$H:$H,produtos_escape2!$A2514,Controle!$Z:$Z,"4")</f>
        <v>0</v>
      </c>
      <c r="J2514" s="507">
        <f>SUMIFS(Controle!$R:$R,Controle!$H:$H,produtos_escape2!$A2514,Controle!$Z:$Z,"5")</f>
        <v>0</v>
      </c>
      <c r="K2514" s="507">
        <f>SUMIFS(Controle!$R:$R,Controle!$H:$H,produtos_escape2!$A2514,Controle!$Z:$Z,"6")</f>
        <v>0</v>
      </c>
      <c r="L2514" s="507">
        <f t="shared" si="85"/>
        <v>0</v>
      </c>
    </row>
    <row r="2515" spans="1:12" s="84" customFormat="1" ht="14.25" customHeight="1" thickBot="1">
      <c r="A2515" s="353" t="s">
        <v>3165</v>
      </c>
      <c r="B2515" s="194" t="s">
        <v>2784</v>
      </c>
      <c r="C2515" s="339">
        <f t="shared" si="86"/>
        <v>50000</v>
      </c>
      <c r="D2515" s="196" t="s">
        <v>636</v>
      </c>
      <c r="E2515" s="197" t="s">
        <v>1739</v>
      </c>
      <c r="F2515" s="507">
        <f>SUMIFS(Controle!$R:$R,Controle!$H:$H,produtos_escape2!$A2515,Controle!$Z:$Z,"1")</f>
        <v>0</v>
      </c>
      <c r="G2515" s="507">
        <f>SUMIFS(Controle!$R:$R,Controle!$H:$H,produtos_escape2!$A2515,Controle!$Z:$Z,"2")</f>
        <v>0</v>
      </c>
      <c r="H2515" s="507">
        <f>SUMIFS(Controle!$R:$R,Controle!$H:$H,produtos_escape2!$A2515,Controle!$Z:$Z,"3")</f>
        <v>0</v>
      </c>
      <c r="I2515" s="507">
        <f>SUMIFS(Controle!$R:$R,Controle!$H:$H,produtos_escape2!$A2515,Controle!$Z:$Z,"4")</f>
        <v>0</v>
      </c>
      <c r="J2515" s="507">
        <f>SUMIFS(Controle!$R:$R,Controle!$H:$H,produtos_escape2!$A2515,Controle!$Z:$Z,"5")</f>
        <v>0</v>
      </c>
      <c r="K2515" s="507">
        <f>SUMIFS(Controle!$R:$R,Controle!$H:$H,produtos_escape2!$A2515,Controle!$Z:$Z,"6")</f>
        <v>0</v>
      </c>
      <c r="L2515" s="507">
        <f t="shared" si="85"/>
        <v>0</v>
      </c>
    </row>
    <row r="2516" spans="1:12" s="84" customFormat="1" ht="14.25" customHeight="1" thickBot="1">
      <c r="A2516" s="353" t="s">
        <v>3166</v>
      </c>
      <c r="B2516" s="194" t="s">
        <v>2785</v>
      </c>
      <c r="C2516" s="339">
        <f t="shared" si="86"/>
        <v>50000</v>
      </c>
      <c r="D2516" s="196" t="s">
        <v>636</v>
      </c>
      <c r="E2516" s="197" t="s">
        <v>1739</v>
      </c>
      <c r="F2516" s="507">
        <f>SUMIFS(Controle!$R:$R,Controle!$H:$H,produtos_escape2!$A2516,Controle!$Z:$Z,"1")</f>
        <v>0</v>
      </c>
      <c r="G2516" s="507">
        <f>SUMIFS(Controle!$R:$R,Controle!$H:$H,produtos_escape2!$A2516,Controle!$Z:$Z,"2")</f>
        <v>0</v>
      </c>
      <c r="H2516" s="507">
        <f>SUMIFS(Controle!$R:$R,Controle!$H:$H,produtos_escape2!$A2516,Controle!$Z:$Z,"3")</f>
        <v>0</v>
      </c>
      <c r="I2516" s="507">
        <f>SUMIFS(Controle!$R:$R,Controle!$H:$H,produtos_escape2!$A2516,Controle!$Z:$Z,"4")</f>
        <v>0</v>
      </c>
      <c r="J2516" s="507">
        <f>SUMIFS(Controle!$R:$R,Controle!$H:$H,produtos_escape2!$A2516,Controle!$Z:$Z,"5")</f>
        <v>0</v>
      </c>
      <c r="K2516" s="507">
        <f>SUMIFS(Controle!$R:$R,Controle!$H:$H,produtos_escape2!$A2516,Controle!$Z:$Z,"6")</f>
        <v>0</v>
      </c>
      <c r="L2516" s="507">
        <f t="shared" si="85"/>
        <v>0</v>
      </c>
    </row>
    <row r="2517" spans="1:12" s="84" customFormat="1" ht="14.25" customHeight="1" thickBot="1">
      <c r="A2517" s="333" t="s">
        <v>3167</v>
      </c>
      <c r="B2517" s="194" t="s">
        <v>2784</v>
      </c>
      <c r="C2517" s="339">
        <f t="shared" si="86"/>
        <v>50000</v>
      </c>
      <c r="D2517" s="196" t="s">
        <v>636</v>
      </c>
      <c r="E2517" s="197" t="s">
        <v>1739</v>
      </c>
      <c r="F2517" s="507">
        <f>SUMIFS(Controle!$R:$R,Controle!$H:$H,produtos_escape2!$A2517,Controle!$Z:$Z,"1")</f>
        <v>0</v>
      </c>
      <c r="G2517" s="507">
        <f>SUMIFS(Controle!$R:$R,Controle!$H:$H,produtos_escape2!$A2517,Controle!$Z:$Z,"2")</f>
        <v>0</v>
      </c>
      <c r="H2517" s="507">
        <f>SUMIFS(Controle!$R:$R,Controle!$H:$H,produtos_escape2!$A2517,Controle!$Z:$Z,"3")</f>
        <v>0</v>
      </c>
      <c r="I2517" s="507">
        <f>SUMIFS(Controle!$R:$R,Controle!$H:$H,produtos_escape2!$A2517,Controle!$Z:$Z,"4")</f>
        <v>0</v>
      </c>
      <c r="J2517" s="507">
        <f>SUMIFS(Controle!$R:$R,Controle!$H:$H,produtos_escape2!$A2517,Controle!$Z:$Z,"5")</f>
        <v>0</v>
      </c>
      <c r="K2517" s="507">
        <f>SUMIFS(Controle!$R:$R,Controle!$H:$H,produtos_escape2!$A2517,Controle!$Z:$Z,"6")</f>
        <v>0</v>
      </c>
      <c r="L2517" s="507">
        <f t="shared" si="85"/>
        <v>0</v>
      </c>
    </row>
    <row r="2518" spans="1:12" s="84" customFormat="1" ht="14.25" customHeight="1" thickBot="1">
      <c r="A2518" s="353" t="s">
        <v>3168</v>
      </c>
      <c r="B2518" s="338" t="s">
        <v>2786</v>
      </c>
      <c r="C2518" s="339">
        <f t="shared" si="86"/>
        <v>50000</v>
      </c>
      <c r="D2518" s="196" t="s">
        <v>636</v>
      </c>
      <c r="E2518" s="197" t="s">
        <v>1739</v>
      </c>
      <c r="F2518" s="507">
        <f>SUMIFS(Controle!$R:$R,Controle!$H:$H,produtos_escape2!$A2518,Controle!$Z:$Z,"1")</f>
        <v>0</v>
      </c>
      <c r="G2518" s="507">
        <f>SUMIFS(Controle!$R:$R,Controle!$H:$H,produtos_escape2!$A2518,Controle!$Z:$Z,"2")</f>
        <v>0</v>
      </c>
      <c r="H2518" s="507">
        <f>SUMIFS(Controle!$R:$R,Controle!$H:$H,produtos_escape2!$A2518,Controle!$Z:$Z,"3")</f>
        <v>0</v>
      </c>
      <c r="I2518" s="507">
        <f>SUMIFS(Controle!$R:$R,Controle!$H:$H,produtos_escape2!$A2518,Controle!$Z:$Z,"4")</f>
        <v>0</v>
      </c>
      <c r="J2518" s="507">
        <f>SUMIFS(Controle!$R:$R,Controle!$H:$H,produtos_escape2!$A2518,Controle!$Z:$Z,"5")</f>
        <v>0</v>
      </c>
      <c r="K2518" s="507">
        <f>SUMIFS(Controle!$R:$R,Controle!$H:$H,produtos_escape2!$A2518,Controle!$Z:$Z,"6")</f>
        <v>0</v>
      </c>
      <c r="L2518" s="507">
        <f t="shared" si="85"/>
        <v>0</v>
      </c>
    </row>
    <row r="2519" spans="1:12" s="84" customFormat="1" ht="14.25" customHeight="1" thickBot="1">
      <c r="A2519" s="353" t="s">
        <v>3877</v>
      </c>
      <c r="B2519" s="194" t="s">
        <v>3874</v>
      </c>
      <c r="C2519" s="339">
        <f t="shared" si="86"/>
        <v>50000</v>
      </c>
      <c r="D2519" s="196" t="s">
        <v>636</v>
      </c>
      <c r="E2519" s="197" t="s">
        <v>1687</v>
      </c>
      <c r="F2519" s="507">
        <f>SUMIFS(Controle!$R:$R,Controle!$H:$H,produtos_escape2!$A2519,Controle!$Z:$Z,"1")</f>
        <v>0</v>
      </c>
      <c r="G2519" s="507">
        <f>SUMIFS(Controle!$R:$R,Controle!$H:$H,produtos_escape2!$A2519,Controle!$Z:$Z,"2")</f>
        <v>0</v>
      </c>
      <c r="H2519" s="507">
        <f>SUMIFS(Controle!$R:$R,Controle!$H:$H,produtos_escape2!$A2519,Controle!$Z:$Z,"3")</f>
        <v>0</v>
      </c>
      <c r="I2519" s="507">
        <f>SUMIFS(Controle!$R:$R,Controle!$H:$H,produtos_escape2!$A2519,Controle!$Z:$Z,"4")</f>
        <v>0</v>
      </c>
      <c r="J2519" s="507">
        <f>SUMIFS(Controle!$R:$R,Controle!$H:$H,produtos_escape2!$A2519,Controle!$Z:$Z,"5")</f>
        <v>0</v>
      </c>
      <c r="K2519" s="507">
        <f>SUMIFS(Controle!$R:$R,Controle!$H:$H,produtos_escape2!$A2519,Controle!$Z:$Z,"6")</f>
        <v>0</v>
      </c>
      <c r="L2519" s="507">
        <f t="shared" si="85"/>
        <v>0</v>
      </c>
    </row>
    <row r="2520" spans="1:12" s="84" customFormat="1" ht="14.25" customHeight="1" thickBot="1">
      <c r="A2520" s="353" t="s">
        <v>3878</v>
      </c>
      <c r="B2520" s="194" t="s">
        <v>3875</v>
      </c>
      <c r="C2520" s="339">
        <f t="shared" si="86"/>
        <v>50000</v>
      </c>
      <c r="D2520" s="196" t="s">
        <v>636</v>
      </c>
      <c r="E2520" s="197" t="s">
        <v>1687</v>
      </c>
      <c r="F2520" s="507">
        <f>SUMIFS(Controle!$R:$R,Controle!$H:$H,produtos_escape2!$A2520,Controle!$Z:$Z,"1")</f>
        <v>0</v>
      </c>
      <c r="G2520" s="507">
        <f>SUMIFS(Controle!$R:$R,Controle!$H:$H,produtos_escape2!$A2520,Controle!$Z:$Z,"2")</f>
        <v>0</v>
      </c>
      <c r="H2520" s="507">
        <f>SUMIFS(Controle!$R:$R,Controle!$H:$H,produtos_escape2!$A2520,Controle!$Z:$Z,"3")</f>
        <v>0</v>
      </c>
      <c r="I2520" s="507">
        <f>SUMIFS(Controle!$R:$R,Controle!$H:$H,produtos_escape2!$A2520,Controle!$Z:$Z,"4")</f>
        <v>0</v>
      </c>
      <c r="J2520" s="507">
        <f>SUMIFS(Controle!$R:$R,Controle!$H:$H,produtos_escape2!$A2520,Controle!$Z:$Z,"5")</f>
        <v>0</v>
      </c>
      <c r="K2520" s="507">
        <f>SUMIFS(Controle!$R:$R,Controle!$H:$H,produtos_escape2!$A2520,Controle!$Z:$Z,"6")</f>
        <v>0</v>
      </c>
      <c r="L2520" s="507">
        <f t="shared" si="85"/>
        <v>0</v>
      </c>
    </row>
    <row r="2521" spans="1:12" s="84" customFormat="1" ht="14.25" customHeight="1" thickBot="1">
      <c r="A2521" s="353" t="s">
        <v>3879</v>
      </c>
      <c r="B2521" s="194" t="s">
        <v>3876</v>
      </c>
      <c r="C2521" s="339">
        <f t="shared" si="86"/>
        <v>50000</v>
      </c>
      <c r="D2521" s="196" t="s">
        <v>636</v>
      </c>
      <c r="E2521" s="197" t="s">
        <v>1687</v>
      </c>
      <c r="F2521" s="507">
        <f>SUMIFS(Controle!$R:$R,Controle!$H:$H,produtos_escape2!$A2521,Controle!$Z:$Z,"1")</f>
        <v>0</v>
      </c>
      <c r="G2521" s="507">
        <f>SUMIFS(Controle!$R:$R,Controle!$H:$H,produtos_escape2!$A2521,Controle!$Z:$Z,"2")</f>
        <v>0</v>
      </c>
      <c r="H2521" s="507">
        <f>SUMIFS(Controle!$R:$R,Controle!$H:$H,produtos_escape2!$A2521,Controle!$Z:$Z,"3")</f>
        <v>0</v>
      </c>
      <c r="I2521" s="507">
        <f>SUMIFS(Controle!$R:$R,Controle!$H:$H,produtos_escape2!$A2521,Controle!$Z:$Z,"4")</f>
        <v>0</v>
      </c>
      <c r="J2521" s="507">
        <f>SUMIFS(Controle!$R:$R,Controle!$H:$H,produtos_escape2!$A2521,Controle!$Z:$Z,"5")</f>
        <v>0</v>
      </c>
      <c r="K2521" s="507">
        <f>SUMIFS(Controle!$R:$R,Controle!$H:$H,produtos_escape2!$A2521,Controle!$Z:$Z,"6")</f>
        <v>0</v>
      </c>
      <c r="L2521" s="507">
        <f t="shared" si="85"/>
        <v>0</v>
      </c>
    </row>
    <row r="2522" spans="1:12" s="84" customFormat="1" ht="14.25" customHeight="1" thickBot="1">
      <c r="A2522" s="353" t="s">
        <v>6889</v>
      </c>
      <c r="B2522" s="194" t="s">
        <v>6893</v>
      </c>
      <c r="C2522" s="339">
        <f t="shared" si="86"/>
        <v>50000</v>
      </c>
      <c r="D2522" s="196" t="s">
        <v>636</v>
      </c>
      <c r="E2522" s="197" t="s">
        <v>1687</v>
      </c>
      <c r="F2522" s="507">
        <f>SUMIFS(Controle!$R:$R,Controle!$H:$H,produtos_escape2!$A2522,Controle!$Z:$Z,"1")</f>
        <v>0</v>
      </c>
      <c r="G2522" s="507">
        <f>SUMIFS(Controle!$R:$R,Controle!$H:$H,produtos_escape2!$A2522,Controle!$Z:$Z,"2")</f>
        <v>0</v>
      </c>
      <c r="H2522" s="507">
        <f>SUMIFS(Controle!$R:$R,Controle!$H:$H,produtos_escape2!$A2522,Controle!$Z:$Z,"3")</f>
        <v>0</v>
      </c>
      <c r="I2522" s="507">
        <f>SUMIFS(Controle!$R:$R,Controle!$H:$H,produtos_escape2!$A2522,Controle!$Z:$Z,"4")</f>
        <v>0</v>
      </c>
      <c r="J2522" s="507">
        <f>SUMIFS(Controle!$R:$R,Controle!$H:$H,produtos_escape2!$A2522,Controle!$Z:$Z,"5")</f>
        <v>0</v>
      </c>
      <c r="K2522" s="507">
        <f>SUMIFS(Controle!$R:$R,Controle!$H:$H,produtos_escape2!$A2522,Controle!$Z:$Z,"6")</f>
        <v>0</v>
      </c>
      <c r="L2522" s="507">
        <f t="shared" si="85"/>
        <v>0</v>
      </c>
    </row>
    <row r="2523" spans="1:12" s="84" customFormat="1" ht="14.25" customHeight="1" thickBot="1">
      <c r="A2523" s="353" t="s">
        <v>6890</v>
      </c>
      <c r="B2523" s="194" t="s">
        <v>6894</v>
      </c>
      <c r="C2523" s="339">
        <f t="shared" si="86"/>
        <v>50000</v>
      </c>
      <c r="D2523" s="196" t="s">
        <v>636</v>
      </c>
      <c r="E2523" s="197" t="s">
        <v>1687</v>
      </c>
      <c r="F2523" s="507">
        <f>SUMIFS(Controle!$R:$R,Controle!$H:$H,produtos_escape2!$A2523,Controle!$Z:$Z,"1")</f>
        <v>0</v>
      </c>
      <c r="G2523" s="507">
        <f>SUMIFS(Controle!$R:$R,Controle!$H:$H,produtos_escape2!$A2523,Controle!$Z:$Z,"2")</f>
        <v>0</v>
      </c>
      <c r="H2523" s="507">
        <f>SUMIFS(Controle!$R:$R,Controle!$H:$H,produtos_escape2!$A2523,Controle!$Z:$Z,"3")</f>
        <v>0</v>
      </c>
      <c r="I2523" s="507">
        <f>SUMIFS(Controle!$R:$R,Controle!$H:$H,produtos_escape2!$A2523,Controle!$Z:$Z,"4")</f>
        <v>0</v>
      </c>
      <c r="J2523" s="507">
        <f>SUMIFS(Controle!$R:$R,Controle!$H:$H,produtos_escape2!$A2523,Controle!$Z:$Z,"5")</f>
        <v>0</v>
      </c>
      <c r="K2523" s="507">
        <f>SUMIFS(Controle!$R:$R,Controle!$H:$H,produtos_escape2!$A2523,Controle!$Z:$Z,"6")</f>
        <v>0</v>
      </c>
      <c r="L2523" s="507">
        <f t="shared" si="85"/>
        <v>0</v>
      </c>
    </row>
    <row r="2524" spans="1:12" s="84" customFormat="1" ht="14.25" customHeight="1" thickBot="1">
      <c r="A2524" s="353" t="s">
        <v>6891</v>
      </c>
      <c r="B2524" s="194" t="s">
        <v>6895</v>
      </c>
      <c r="C2524" s="339">
        <f t="shared" si="86"/>
        <v>50000</v>
      </c>
      <c r="D2524" s="196" t="s">
        <v>636</v>
      </c>
      <c r="E2524" s="197" t="s">
        <v>1687</v>
      </c>
      <c r="F2524" s="507">
        <f>SUMIFS(Controle!$R:$R,Controle!$H:$H,produtos_escape2!$A2524,Controle!$Z:$Z,"1")</f>
        <v>0</v>
      </c>
      <c r="G2524" s="507">
        <f>SUMIFS(Controle!$R:$R,Controle!$H:$H,produtos_escape2!$A2524,Controle!$Z:$Z,"2")</f>
        <v>0</v>
      </c>
      <c r="H2524" s="507">
        <f>SUMIFS(Controle!$R:$R,Controle!$H:$H,produtos_escape2!$A2524,Controle!$Z:$Z,"3")</f>
        <v>0</v>
      </c>
      <c r="I2524" s="507">
        <f>SUMIFS(Controle!$R:$R,Controle!$H:$H,produtos_escape2!$A2524,Controle!$Z:$Z,"4")</f>
        <v>0</v>
      </c>
      <c r="J2524" s="507">
        <f>SUMIFS(Controle!$R:$R,Controle!$H:$H,produtos_escape2!$A2524,Controle!$Z:$Z,"5")</f>
        <v>0</v>
      </c>
      <c r="K2524" s="507">
        <f>SUMIFS(Controle!$R:$R,Controle!$H:$H,produtos_escape2!$A2524,Controle!$Z:$Z,"6")</f>
        <v>0</v>
      </c>
      <c r="L2524" s="507">
        <f t="shared" si="85"/>
        <v>0</v>
      </c>
    </row>
    <row r="2525" spans="1:12" s="84" customFormat="1" ht="14.25" customHeight="1" thickBot="1">
      <c r="A2525" s="353" t="s">
        <v>6892</v>
      </c>
      <c r="B2525" s="194" t="s">
        <v>6896</v>
      </c>
      <c r="C2525" s="339">
        <f t="shared" si="86"/>
        <v>50000</v>
      </c>
      <c r="D2525" s="196" t="s">
        <v>636</v>
      </c>
      <c r="E2525" s="197" t="s">
        <v>1687</v>
      </c>
      <c r="F2525" s="507">
        <f>SUMIFS(Controle!$R:$R,Controle!$H:$H,produtos_escape2!$A2525,Controle!$Z:$Z,"1")</f>
        <v>0</v>
      </c>
      <c r="G2525" s="507">
        <f>SUMIFS(Controle!$R:$R,Controle!$H:$H,produtos_escape2!$A2525,Controle!$Z:$Z,"2")</f>
        <v>0</v>
      </c>
      <c r="H2525" s="507">
        <f>SUMIFS(Controle!$R:$R,Controle!$H:$H,produtos_escape2!$A2525,Controle!$Z:$Z,"3")</f>
        <v>0</v>
      </c>
      <c r="I2525" s="507">
        <f>SUMIFS(Controle!$R:$R,Controle!$H:$H,produtos_escape2!$A2525,Controle!$Z:$Z,"4")</f>
        <v>0</v>
      </c>
      <c r="J2525" s="507">
        <f>SUMIFS(Controle!$R:$R,Controle!$H:$H,produtos_escape2!$A2525,Controle!$Z:$Z,"5")</f>
        <v>0</v>
      </c>
      <c r="K2525" s="507">
        <f>SUMIFS(Controle!$R:$R,Controle!$H:$H,produtos_escape2!$A2525,Controle!$Z:$Z,"6")</f>
        <v>0</v>
      </c>
      <c r="L2525" s="507">
        <f t="shared" si="85"/>
        <v>0</v>
      </c>
    </row>
    <row r="2526" spans="1:12" s="84" customFormat="1" ht="14.25" customHeight="1" thickBot="1">
      <c r="A2526" s="353" t="s">
        <v>6912</v>
      </c>
      <c r="B2526" s="194" t="s">
        <v>6913</v>
      </c>
      <c r="C2526" s="339">
        <f t="shared" si="86"/>
        <v>50000</v>
      </c>
      <c r="D2526" s="196" t="s">
        <v>636</v>
      </c>
      <c r="E2526" s="197" t="s">
        <v>1687</v>
      </c>
      <c r="F2526" s="507">
        <f>SUMIFS(Controle!$R:$R,Controle!$H:$H,produtos_escape2!$A2526,Controle!$Z:$Z,"1")</f>
        <v>0</v>
      </c>
      <c r="G2526" s="507">
        <f>SUMIFS(Controle!$R:$R,Controle!$H:$H,produtos_escape2!$A2526,Controle!$Z:$Z,"2")</f>
        <v>0</v>
      </c>
      <c r="H2526" s="507">
        <f>SUMIFS(Controle!$R:$R,Controle!$H:$H,produtos_escape2!$A2526,Controle!$Z:$Z,"3")</f>
        <v>0</v>
      </c>
      <c r="I2526" s="507">
        <f>SUMIFS(Controle!$R:$R,Controle!$H:$H,produtos_escape2!$A2526,Controle!$Z:$Z,"4")</f>
        <v>0</v>
      </c>
      <c r="J2526" s="507">
        <f>SUMIFS(Controle!$R:$R,Controle!$H:$H,produtos_escape2!$A2526,Controle!$Z:$Z,"5")</f>
        <v>0</v>
      </c>
      <c r="K2526" s="507">
        <f>SUMIFS(Controle!$R:$R,Controle!$H:$H,produtos_escape2!$A2526,Controle!$Z:$Z,"6")</f>
        <v>0</v>
      </c>
      <c r="L2526" s="507">
        <f t="shared" si="85"/>
        <v>0</v>
      </c>
    </row>
    <row r="2527" spans="1:12" s="84" customFormat="1" ht="14.25" customHeight="1" thickBot="1">
      <c r="A2527" s="353" t="s">
        <v>6980</v>
      </c>
      <c r="B2527" s="194" t="s">
        <v>6981</v>
      </c>
      <c r="C2527" s="339">
        <f t="shared" si="86"/>
        <v>50000</v>
      </c>
      <c r="D2527" s="196" t="s">
        <v>636</v>
      </c>
      <c r="E2527" s="197" t="s">
        <v>1687</v>
      </c>
      <c r="F2527" s="507">
        <f>SUMIFS(Controle!$R:$R,Controle!$H:$H,produtos_escape2!$A2527,Controle!$Z:$Z,"1")</f>
        <v>0</v>
      </c>
      <c r="G2527" s="507">
        <f>SUMIFS(Controle!$R:$R,Controle!$H:$H,produtos_escape2!$A2527,Controle!$Z:$Z,"2")</f>
        <v>0</v>
      </c>
      <c r="H2527" s="507">
        <f>SUMIFS(Controle!$R:$R,Controle!$H:$H,produtos_escape2!$A2527,Controle!$Z:$Z,"3")</f>
        <v>0</v>
      </c>
      <c r="I2527" s="507">
        <f>SUMIFS(Controle!$R:$R,Controle!$H:$H,produtos_escape2!$A2527,Controle!$Z:$Z,"4")</f>
        <v>0</v>
      </c>
      <c r="J2527" s="507">
        <f>SUMIFS(Controle!$R:$R,Controle!$H:$H,produtos_escape2!$A2527,Controle!$Z:$Z,"5")</f>
        <v>0</v>
      </c>
      <c r="K2527" s="507">
        <f>SUMIFS(Controle!$R:$R,Controle!$H:$H,produtos_escape2!$A2527,Controle!$Z:$Z,"6")</f>
        <v>0</v>
      </c>
      <c r="L2527" s="507">
        <f t="shared" si="85"/>
        <v>0</v>
      </c>
    </row>
    <row r="2528" spans="1:12" s="84" customFormat="1" ht="14.25" customHeight="1" thickBot="1">
      <c r="A2528" s="353" t="s">
        <v>6982</v>
      </c>
      <c r="B2528" s="194" t="s">
        <v>6983</v>
      </c>
      <c r="C2528" s="339">
        <f t="shared" si="86"/>
        <v>50000</v>
      </c>
      <c r="D2528" s="196" t="s">
        <v>636</v>
      </c>
      <c r="E2528" s="197" t="s">
        <v>1687</v>
      </c>
      <c r="F2528" s="507">
        <f>SUMIFS(Controle!$R:$R,Controle!$H:$H,produtos_escape2!$A2528,Controle!$Z:$Z,"1")</f>
        <v>0</v>
      </c>
      <c r="G2528" s="507">
        <f>SUMIFS(Controle!$R:$R,Controle!$H:$H,produtos_escape2!$A2528,Controle!$Z:$Z,"2")</f>
        <v>0</v>
      </c>
      <c r="H2528" s="507">
        <f>SUMIFS(Controle!$R:$R,Controle!$H:$H,produtos_escape2!$A2528,Controle!$Z:$Z,"3")</f>
        <v>0</v>
      </c>
      <c r="I2528" s="507">
        <f>SUMIFS(Controle!$R:$R,Controle!$H:$H,produtos_escape2!$A2528,Controle!$Z:$Z,"4")</f>
        <v>0</v>
      </c>
      <c r="J2528" s="507">
        <f>SUMIFS(Controle!$R:$R,Controle!$H:$H,produtos_escape2!$A2528,Controle!$Z:$Z,"5")</f>
        <v>0</v>
      </c>
      <c r="K2528" s="507">
        <f>SUMIFS(Controle!$R:$R,Controle!$H:$H,produtos_escape2!$A2528,Controle!$Z:$Z,"6")</f>
        <v>0</v>
      </c>
      <c r="L2528" s="507">
        <f t="shared" si="85"/>
        <v>0</v>
      </c>
    </row>
    <row r="2529" spans="1:12" s="84" customFormat="1" ht="14.25" customHeight="1" thickBot="1">
      <c r="A2529" s="353" t="s">
        <v>6997</v>
      </c>
      <c r="B2529" s="194" t="s">
        <v>6998</v>
      </c>
      <c r="C2529" s="339">
        <f t="shared" si="86"/>
        <v>50000</v>
      </c>
      <c r="D2529" s="196" t="s">
        <v>636</v>
      </c>
      <c r="E2529" s="197" t="s">
        <v>1687</v>
      </c>
      <c r="F2529" s="507">
        <f>SUMIFS(Controle!$R:$R,Controle!$H:$H,produtos_escape2!$A2529,Controle!$Z:$Z,"1")</f>
        <v>0</v>
      </c>
      <c r="G2529" s="507">
        <f>SUMIFS(Controle!$R:$R,Controle!$H:$H,produtos_escape2!$A2529,Controle!$Z:$Z,"2")</f>
        <v>0</v>
      </c>
      <c r="H2529" s="507">
        <f>SUMIFS(Controle!$R:$R,Controle!$H:$H,produtos_escape2!$A2529,Controle!$Z:$Z,"3")</f>
        <v>0</v>
      </c>
      <c r="I2529" s="507">
        <f>SUMIFS(Controle!$R:$R,Controle!$H:$H,produtos_escape2!$A2529,Controle!$Z:$Z,"4")</f>
        <v>0</v>
      </c>
      <c r="J2529" s="507">
        <f>SUMIFS(Controle!$R:$R,Controle!$H:$H,produtos_escape2!$A2529,Controle!$Z:$Z,"5")</f>
        <v>0</v>
      </c>
      <c r="K2529" s="507">
        <f>SUMIFS(Controle!$R:$R,Controle!$H:$H,produtos_escape2!$A2529,Controle!$Z:$Z,"6")</f>
        <v>0</v>
      </c>
      <c r="L2529" s="507">
        <f t="shared" si="85"/>
        <v>0</v>
      </c>
    </row>
    <row r="2530" spans="1:12" s="84" customFormat="1" ht="14.25" customHeight="1" thickBot="1">
      <c r="A2530" s="353" t="s">
        <v>6954</v>
      </c>
      <c r="B2530" s="194" t="s">
        <v>6955</v>
      </c>
      <c r="C2530" s="339">
        <f t="shared" si="86"/>
        <v>50000</v>
      </c>
      <c r="D2530" s="196" t="s">
        <v>636</v>
      </c>
      <c r="E2530" s="197" t="s">
        <v>1687</v>
      </c>
      <c r="F2530" s="507">
        <f>SUMIFS(Controle!$R:$R,Controle!$H:$H,produtos_escape2!$A2530,Controle!$Z:$Z,"1")</f>
        <v>0</v>
      </c>
      <c r="G2530" s="507">
        <f>SUMIFS(Controle!$R:$R,Controle!$H:$H,produtos_escape2!$A2530,Controle!$Z:$Z,"2")</f>
        <v>0</v>
      </c>
      <c r="H2530" s="507">
        <f>SUMIFS(Controle!$R:$R,Controle!$H:$H,produtos_escape2!$A2530,Controle!$Z:$Z,"3")</f>
        <v>0</v>
      </c>
      <c r="I2530" s="507">
        <f>SUMIFS(Controle!$R:$R,Controle!$H:$H,produtos_escape2!$A2530,Controle!$Z:$Z,"4")</f>
        <v>0</v>
      </c>
      <c r="J2530" s="507">
        <f>SUMIFS(Controle!$R:$R,Controle!$H:$H,produtos_escape2!$A2530,Controle!$Z:$Z,"5")</f>
        <v>0</v>
      </c>
      <c r="K2530" s="507">
        <f>SUMIFS(Controle!$R:$R,Controle!$H:$H,produtos_escape2!$A2530,Controle!$Z:$Z,"6")</f>
        <v>0</v>
      </c>
      <c r="L2530" s="507">
        <f t="shared" si="85"/>
        <v>0</v>
      </c>
    </row>
    <row r="2531" spans="1:12" s="84" customFormat="1" ht="14.25" customHeight="1" thickBot="1">
      <c r="A2531" s="353" t="s">
        <v>5769</v>
      </c>
      <c r="B2531" s="194" t="s">
        <v>6956</v>
      </c>
      <c r="C2531" s="339">
        <f t="shared" si="86"/>
        <v>50000</v>
      </c>
      <c r="D2531" s="196" t="s">
        <v>636</v>
      </c>
      <c r="E2531" s="197" t="s">
        <v>1687</v>
      </c>
      <c r="F2531" s="507">
        <f>SUMIFS(Controle!$R:$R,Controle!$H:$H,produtos_escape2!$A2531,Controle!$Z:$Z,"1")</f>
        <v>0</v>
      </c>
      <c r="G2531" s="507">
        <f>SUMIFS(Controle!$R:$R,Controle!$H:$H,produtos_escape2!$A2531,Controle!$Z:$Z,"2")</f>
        <v>0</v>
      </c>
      <c r="H2531" s="507">
        <f>SUMIFS(Controle!$R:$R,Controle!$H:$H,produtos_escape2!$A2531,Controle!$Z:$Z,"3")</f>
        <v>0</v>
      </c>
      <c r="I2531" s="507">
        <f>SUMIFS(Controle!$R:$R,Controle!$H:$H,produtos_escape2!$A2531,Controle!$Z:$Z,"4")</f>
        <v>0</v>
      </c>
      <c r="J2531" s="507">
        <f>SUMIFS(Controle!$R:$R,Controle!$H:$H,produtos_escape2!$A2531,Controle!$Z:$Z,"5")</f>
        <v>0</v>
      </c>
      <c r="K2531" s="507">
        <f>SUMIFS(Controle!$R:$R,Controle!$H:$H,produtos_escape2!$A2531,Controle!$Z:$Z,"6")</f>
        <v>0</v>
      </c>
      <c r="L2531" s="507">
        <f t="shared" si="85"/>
        <v>0</v>
      </c>
    </row>
    <row r="2532" spans="1:12" s="84" customFormat="1" ht="14.25" customHeight="1" thickBot="1">
      <c r="A2532" s="353" t="s">
        <v>7142</v>
      </c>
      <c r="B2532" s="194" t="s">
        <v>7143</v>
      </c>
      <c r="C2532" s="339">
        <f t="shared" si="86"/>
        <v>50000</v>
      </c>
      <c r="D2532" s="196" t="s">
        <v>636</v>
      </c>
      <c r="E2532" s="197" t="s">
        <v>1687</v>
      </c>
      <c r="F2532" s="507">
        <f>SUMIFS(Controle!$R:$R,Controle!$H:$H,produtos_escape2!$A2532,Controle!$Z:$Z,"1")</f>
        <v>0</v>
      </c>
      <c r="G2532" s="507">
        <f>SUMIFS(Controle!$R:$R,Controle!$H:$H,produtos_escape2!$A2532,Controle!$Z:$Z,"2")</f>
        <v>0</v>
      </c>
      <c r="H2532" s="507">
        <f>SUMIFS(Controle!$R:$R,Controle!$H:$H,produtos_escape2!$A2532,Controle!$Z:$Z,"3")</f>
        <v>0</v>
      </c>
      <c r="I2532" s="507">
        <f>SUMIFS(Controle!$R:$R,Controle!$H:$H,produtos_escape2!$A2532,Controle!$Z:$Z,"4")</f>
        <v>0</v>
      </c>
      <c r="J2532" s="507">
        <f>SUMIFS(Controle!$R:$R,Controle!$H:$H,produtos_escape2!$A2532,Controle!$Z:$Z,"5")</f>
        <v>0</v>
      </c>
      <c r="K2532" s="507">
        <f>SUMIFS(Controle!$R:$R,Controle!$H:$H,produtos_escape2!$A2532,Controle!$Z:$Z,"6")</f>
        <v>0</v>
      </c>
      <c r="L2532" s="507">
        <f t="shared" si="85"/>
        <v>0</v>
      </c>
    </row>
    <row r="2533" spans="1:12" s="84" customFormat="1" ht="14.25" customHeight="1" thickBot="1">
      <c r="A2533" s="353" t="s">
        <v>7291</v>
      </c>
      <c r="B2533" s="194" t="s">
        <v>7292</v>
      </c>
      <c r="C2533" s="339">
        <f t="shared" si="86"/>
        <v>48190</v>
      </c>
      <c r="D2533" s="196" t="s">
        <v>636</v>
      </c>
      <c r="E2533" s="197" t="s">
        <v>1687</v>
      </c>
      <c r="F2533" s="507">
        <f>SUMIFS(Controle!$R:$R,Controle!$H:$H,produtos_escape2!$A2533,Controle!$Z:$Z,"1")</f>
        <v>0</v>
      </c>
      <c r="G2533" s="507">
        <f>SUMIFS(Controle!$R:$R,Controle!$H:$H,produtos_escape2!$A2533,Controle!$Z:$Z,"2")</f>
        <v>1810</v>
      </c>
      <c r="H2533" s="507">
        <f>SUMIFS(Controle!$R:$R,Controle!$H:$H,produtos_escape2!$A2533,Controle!$Z:$Z,"3")</f>
        <v>0</v>
      </c>
      <c r="I2533" s="507">
        <f>SUMIFS(Controle!$R:$R,Controle!$H:$H,produtos_escape2!$A2533,Controle!$Z:$Z,"4")</f>
        <v>0</v>
      </c>
      <c r="J2533" s="507">
        <f>SUMIFS(Controle!$R:$R,Controle!$H:$H,produtos_escape2!$A2533,Controle!$Z:$Z,"5")</f>
        <v>0</v>
      </c>
      <c r="K2533" s="507">
        <f>SUMIFS(Controle!$R:$R,Controle!$H:$H,produtos_escape2!$A2533,Controle!$Z:$Z,"6")</f>
        <v>0</v>
      </c>
      <c r="L2533" s="507">
        <f t="shared" si="85"/>
        <v>1810</v>
      </c>
    </row>
    <row r="2534" spans="1:12" s="84" customFormat="1" ht="14.25" customHeight="1" thickBot="1">
      <c r="A2534" s="353" t="s">
        <v>3169</v>
      </c>
      <c r="B2534" s="194" t="s">
        <v>6957</v>
      </c>
      <c r="C2534" s="339">
        <f t="shared" si="86"/>
        <v>50000</v>
      </c>
      <c r="D2534" s="196" t="s">
        <v>636</v>
      </c>
      <c r="E2534" s="197" t="s">
        <v>1687</v>
      </c>
      <c r="F2534" s="507">
        <f>SUMIFS(Controle!$R:$R,Controle!$H:$H,produtos_escape2!$A2534,Controle!$Z:$Z,"1")</f>
        <v>0</v>
      </c>
      <c r="G2534" s="507">
        <f>SUMIFS(Controle!$R:$R,Controle!$H:$H,produtos_escape2!$A2534,Controle!$Z:$Z,"2")</f>
        <v>0</v>
      </c>
      <c r="H2534" s="507">
        <f>SUMIFS(Controle!$R:$R,Controle!$H:$H,produtos_escape2!$A2534,Controle!$Z:$Z,"3")</f>
        <v>0</v>
      </c>
      <c r="I2534" s="507">
        <f>SUMIFS(Controle!$R:$R,Controle!$H:$H,produtos_escape2!$A2534,Controle!$Z:$Z,"4")</f>
        <v>0</v>
      </c>
      <c r="J2534" s="507">
        <f>SUMIFS(Controle!$R:$R,Controle!$H:$H,produtos_escape2!$A2534,Controle!$Z:$Z,"5")</f>
        <v>0</v>
      </c>
      <c r="K2534" s="507">
        <f>SUMIFS(Controle!$R:$R,Controle!$H:$H,produtos_escape2!$A2534,Controle!$Z:$Z,"6")</f>
        <v>0</v>
      </c>
      <c r="L2534" s="507">
        <f t="shared" si="85"/>
        <v>0</v>
      </c>
    </row>
    <row r="2535" spans="1:12" s="84" customFormat="1" ht="14.25" customHeight="1" thickBot="1">
      <c r="A2535" s="333" t="s">
        <v>4284</v>
      </c>
      <c r="B2535" s="194" t="s">
        <v>5729</v>
      </c>
      <c r="C2535" s="339">
        <f t="shared" si="86"/>
        <v>50000</v>
      </c>
      <c r="D2535" s="196" t="s">
        <v>636</v>
      </c>
      <c r="E2535" s="197" t="s">
        <v>1687</v>
      </c>
      <c r="F2535" s="507">
        <f>SUMIFS(Controle!$R:$R,Controle!$H:$H,produtos_escape2!$A2535,Controle!$Z:$Z,"1")</f>
        <v>0</v>
      </c>
      <c r="G2535" s="507">
        <f>SUMIFS(Controle!$R:$R,Controle!$H:$H,produtos_escape2!$A2535,Controle!$Z:$Z,"2")</f>
        <v>0</v>
      </c>
      <c r="H2535" s="507">
        <f>SUMIFS(Controle!$R:$R,Controle!$H:$H,produtos_escape2!$A2535,Controle!$Z:$Z,"3")</f>
        <v>0</v>
      </c>
      <c r="I2535" s="507">
        <f>SUMIFS(Controle!$R:$R,Controle!$H:$H,produtos_escape2!$A2535,Controle!$Z:$Z,"4")</f>
        <v>0</v>
      </c>
      <c r="J2535" s="507">
        <f>SUMIFS(Controle!$R:$R,Controle!$H:$H,produtos_escape2!$A2535,Controle!$Z:$Z,"5")</f>
        <v>0</v>
      </c>
      <c r="K2535" s="507">
        <f>SUMIFS(Controle!$R:$R,Controle!$H:$H,produtos_escape2!$A2535,Controle!$Z:$Z,"6")</f>
        <v>0</v>
      </c>
      <c r="L2535" s="507">
        <f t="shared" si="85"/>
        <v>0</v>
      </c>
    </row>
    <row r="2536" spans="1:12" s="84" customFormat="1" ht="14.25" customHeight="1" thickBot="1">
      <c r="A2536" s="353" t="s">
        <v>3887</v>
      </c>
      <c r="B2536" s="338" t="s">
        <v>3888</v>
      </c>
      <c r="C2536" s="339">
        <f t="shared" si="86"/>
        <v>50000</v>
      </c>
      <c r="D2536" s="196" t="s">
        <v>636</v>
      </c>
      <c r="E2536" s="197" t="s">
        <v>1687</v>
      </c>
      <c r="F2536" s="507">
        <f>SUMIFS(Controle!$R:$R,Controle!$H:$H,produtos_escape2!$A2536,Controle!$Z:$Z,"1")</f>
        <v>0</v>
      </c>
      <c r="G2536" s="507">
        <f>SUMIFS(Controle!$R:$R,Controle!$H:$H,produtos_escape2!$A2536,Controle!$Z:$Z,"2")</f>
        <v>0</v>
      </c>
      <c r="H2536" s="507">
        <f>SUMIFS(Controle!$R:$R,Controle!$H:$H,produtos_escape2!$A2536,Controle!$Z:$Z,"3")</f>
        <v>0</v>
      </c>
      <c r="I2536" s="507">
        <f>SUMIFS(Controle!$R:$R,Controle!$H:$H,produtos_escape2!$A2536,Controle!$Z:$Z,"4")</f>
        <v>0</v>
      </c>
      <c r="J2536" s="507">
        <f>SUMIFS(Controle!$R:$R,Controle!$H:$H,produtos_escape2!$A2536,Controle!$Z:$Z,"5")</f>
        <v>0</v>
      </c>
      <c r="K2536" s="507">
        <f>SUMIFS(Controle!$R:$R,Controle!$H:$H,produtos_escape2!$A2536,Controle!$Z:$Z,"6")</f>
        <v>0</v>
      </c>
      <c r="L2536" s="507">
        <f t="shared" si="85"/>
        <v>0</v>
      </c>
    </row>
    <row r="2537" spans="1:12" s="84" customFormat="1" ht="14.25" customHeight="1" thickBot="1">
      <c r="A2537" s="353" t="s">
        <v>3428</v>
      </c>
      <c r="B2537" s="194" t="s">
        <v>4413</v>
      </c>
      <c r="C2537" s="339">
        <f t="shared" si="86"/>
        <v>50000</v>
      </c>
      <c r="D2537" s="196" t="s">
        <v>636</v>
      </c>
      <c r="E2537" s="197" t="s">
        <v>1739</v>
      </c>
      <c r="F2537" s="507">
        <f>SUMIFS(Controle!$R:$R,Controle!$H:$H,produtos_escape2!$A2537,Controle!$Z:$Z,"1")</f>
        <v>0</v>
      </c>
      <c r="G2537" s="507">
        <f>SUMIFS(Controle!$R:$R,Controle!$H:$H,produtos_escape2!$A2537,Controle!$Z:$Z,"2")</f>
        <v>0</v>
      </c>
      <c r="H2537" s="507">
        <f>SUMIFS(Controle!$R:$R,Controle!$H:$H,produtos_escape2!$A2537,Controle!$Z:$Z,"3")</f>
        <v>0</v>
      </c>
      <c r="I2537" s="507">
        <f>SUMIFS(Controle!$R:$R,Controle!$H:$H,produtos_escape2!$A2537,Controle!$Z:$Z,"4")</f>
        <v>0</v>
      </c>
      <c r="J2537" s="507">
        <f>SUMIFS(Controle!$R:$R,Controle!$H:$H,produtos_escape2!$A2537,Controle!$Z:$Z,"5")</f>
        <v>0</v>
      </c>
      <c r="K2537" s="507">
        <f>SUMIFS(Controle!$R:$R,Controle!$H:$H,produtos_escape2!$A2537,Controle!$Z:$Z,"6")</f>
        <v>0</v>
      </c>
      <c r="L2537" s="507">
        <f t="shared" si="85"/>
        <v>0</v>
      </c>
    </row>
    <row r="2538" spans="1:12" s="84" customFormat="1" ht="14.25" customHeight="1" thickBot="1">
      <c r="A2538" s="353" t="s">
        <v>3898</v>
      </c>
      <c r="B2538" s="194" t="s">
        <v>4412</v>
      </c>
      <c r="C2538" s="339">
        <f t="shared" si="86"/>
        <v>50000</v>
      </c>
      <c r="D2538" s="196" t="s">
        <v>636</v>
      </c>
      <c r="E2538" s="197" t="s">
        <v>1687</v>
      </c>
      <c r="F2538" s="507">
        <f>SUMIFS(Controle!$R:$R,Controle!$H:$H,produtos_escape2!$A2538,Controle!$Z:$Z,"1")</f>
        <v>0</v>
      </c>
      <c r="G2538" s="507">
        <f>SUMIFS(Controle!$R:$R,Controle!$H:$H,produtos_escape2!$A2538,Controle!$Z:$Z,"2")</f>
        <v>0</v>
      </c>
      <c r="H2538" s="507">
        <f>SUMIFS(Controle!$R:$R,Controle!$H:$H,produtos_escape2!$A2538,Controle!$Z:$Z,"3")</f>
        <v>0</v>
      </c>
      <c r="I2538" s="507">
        <f>SUMIFS(Controle!$R:$R,Controle!$H:$H,produtos_escape2!$A2538,Controle!$Z:$Z,"4")</f>
        <v>0</v>
      </c>
      <c r="J2538" s="507">
        <f>SUMIFS(Controle!$R:$R,Controle!$H:$H,produtos_escape2!$A2538,Controle!$Z:$Z,"5")</f>
        <v>0</v>
      </c>
      <c r="K2538" s="507">
        <f>SUMIFS(Controle!$R:$R,Controle!$H:$H,produtos_escape2!$A2538,Controle!$Z:$Z,"6")</f>
        <v>0</v>
      </c>
      <c r="L2538" s="507">
        <f t="shared" si="85"/>
        <v>0</v>
      </c>
    </row>
    <row r="2539" spans="1:12" s="84" customFormat="1" ht="14.25" customHeight="1" thickBot="1">
      <c r="A2539" s="353" t="s">
        <v>7463</v>
      </c>
      <c r="B2539" s="194" t="s">
        <v>7464</v>
      </c>
      <c r="C2539" s="339">
        <f t="shared" si="86"/>
        <v>47547.15</v>
      </c>
      <c r="D2539" s="196" t="s">
        <v>636</v>
      </c>
      <c r="E2539" s="197" t="s">
        <v>1687</v>
      </c>
      <c r="F2539" s="507">
        <f>SUMIFS(Controle!$R:$R,Controle!$H:$H,produtos_escape2!$A2539,Controle!$Z:$Z,"1")</f>
        <v>0</v>
      </c>
      <c r="G2539" s="507">
        <f>SUMIFS(Controle!$R:$R,Controle!$H:$H,produtos_escape2!$A2539,Controle!$Z:$Z,"2")</f>
        <v>0</v>
      </c>
      <c r="H2539" s="507">
        <f>SUMIFS(Controle!$R:$R,Controle!$H:$H,produtos_escape2!$A2539,Controle!$Z:$Z,"3")</f>
        <v>2452.85</v>
      </c>
      <c r="I2539" s="507">
        <f>SUMIFS(Controle!$R:$R,Controle!$H:$H,produtos_escape2!$A2539,Controle!$Z:$Z,"4")</f>
        <v>0</v>
      </c>
      <c r="J2539" s="507">
        <f>SUMIFS(Controle!$R:$R,Controle!$H:$H,produtos_escape2!$A2539,Controle!$Z:$Z,"5")</f>
        <v>0</v>
      </c>
      <c r="K2539" s="507">
        <f>SUMIFS(Controle!$R:$R,Controle!$H:$H,produtos_escape2!$A2539,Controle!$Z:$Z,"6")</f>
        <v>0</v>
      </c>
      <c r="L2539" s="507">
        <f t="shared" si="85"/>
        <v>2452.85</v>
      </c>
    </row>
    <row r="2540" spans="1:12" s="84" customFormat="1" ht="14.25" customHeight="1" thickBot="1">
      <c r="A2540" s="353" t="s">
        <v>3725</v>
      </c>
      <c r="B2540" s="194" t="s">
        <v>3726</v>
      </c>
      <c r="C2540" s="339">
        <f t="shared" si="86"/>
        <v>50000</v>
      </c>
      <c r="D2540" s="196" t="s">
        <v>636</v>
      </c>
      <c r="E2540" s="197" t="s">
        <v>1687</v>
      </c>
      <c r="F2540" s="507">
        <f>SUMIFS(Controle!$R:$R,Controle!$H:$H,produtos_escape2!$A2540,Controle!$Z:$Z,"1")</f>
        <v>0</v>
      </c>
      <c r="G2540" s="507">
        <f>SUMIFS(Controle!$R:$R,Controle!$H:$H,produtos_escape2!$A2540,Controle!$Z:$Z,"2")</f>
        <v>0</v>
      </c>
      <c r="H2540" s="507">
        <f>SUMIFS(Controle!$R:$R,Controle!$H:$H,produtos_escape2!$A2540,Controle!$Z:$Z,"3")</f>
        <v>0</v>
      </c>
      <c r="I2540" s="507">
        <f>SUMIFS(Controle!$R:$R,Controle!$H:$H,produtos_escape2!$A2540,Controle!$Z:$Z,"4")</f>
        <v>0</v>
      </c>
      <c r="J2540" s="507">
        <f>SUMIFS(Controle!$R:$R,Controle!$H:$H,produtos_escape2!$A2540,Controle!$Z:$Z,"5")</f>
        <v>0</v>
      </c>
      <c r="K2540" s="507">
        <f>SUMIFS(Controle!$R:$R,Controle!$H:$H,produtos_escape2!$A2540,Controle!$Z:$Z,"6")</f>
        <v>0</v>
      </c>
      <c r="L2540" s="507">
        <f t="shared" si="85"/>
        <v>0</v>
      </c>
    </row>
    <row r="2541" spans="1:12" s="84" customFormat="1" ht="14.25" customHeight="1" thickBot="1">
      <c r="A2541" s="353" t="s">
        <v>5788</v>
      </c>
      <c r="B2541" s="194" t="s">
        <v>5789</v>
      </c>
      <c r="C2541" s="339">
        <f t="shared" ref="C2541" si="87">50000-SUM(F2541:K2541)</f>
        <v>50000</v>
      </c>
      <c r="D2541" s="196" t="s">
        <v>636</v>
      </c>
      <c r="E2541" s="197" t="s">
        <v>1687</v>
      </c>
      <c r="F2541" s="507">
        <f>SUMIFS(Controle!$R:$R,Controle!$H:$H,produtos_escape2!$A2541,Controle!$Z:$Z,"1")</f>
        <v>0</v>
      </c>
      <c r="G2541" s="507">
        <f>SUMIFS(Controle!$R:$R,Controle!$H:$H,produtos_escape2!$A2541,Controle!$Z:$Z,"2")</f>
        <v>0</v>
      </c>
      <c r="H2541" s="507">
        <f>SUMIFS(Controle!$R:$R,Controle!$H:$H,produtos_escape2!$A2541,Controle!$Z:$Z,"3")</f>
        <v>0</v>
      </c>
      <c r="I2541" s="507">
        <f>SUMIFS(Controle!$R:$R,Controle!$H:$H,produtos_escape2!$A2541,Controle!$Z:$Z,"4")</f>
        <v>0</v>
      </c>
      <c r="J2541" s="507">
        <f>SUMIFS(Controle!$R:$R,Controle!$H:$H,produtos_escape2!$A2541,Controle!$Z:$Z,"5")</f>
        <v>0</v>
      </c>
      <c r="K2541" s="507">
        <f>SUMIFS(Controle!$R:$R,Controle!$H:$H,produtos_escape2!$A2541,Controle!$Z:$Z,"6")</f>
        <v>0</v>
      </c>
      <c r="L2541" s="507">
        <f t="shared" si="85"/>
        <v>0</v>
      </c>
    </row>
    <row r="2542" spans="1:12" s="84" customFormat="1" ht="14.25" customHeight="1" thickBot="1">
      <c r="A2542" s="353" t="s">
        <v>10539</v>
      </c>
      <c r="B2542" s="194" t="s">
        <v>10540</v>
      </c>
      <c r="C2542" s="339">
        <f t="shared" si="86"/>
        <v>50000</v>
      </c>
      <c r="D2542" s="196" t="s">
        <v>636</v>
      </c>
      <c r="E2542" s="197" t="s">
        <v>1687</v>
      </c>
      <c r="F2542" s="507">
        <f>SUMIFS(Controle!$R:$R,Controle!$H:$H,produtos_escape2!$A2542,Controle!$Z:$Z,"1")</f>
        <v>0</v>
      </c>
      <c r="G2542" s="507">
        <f>SUMIFS(Controle!$R:$R,Controle!$H:$H,produtos_escape2!$A2542,Controle!$Z:$Z,"2")</f>
        <v>0</v>
      </c>
      <c r="H2542" s="507">
        <f>SUMIFS(Controle!$R:$R,Controle!$H:$H,produtos_escape2!$A2542,Controle!$Z:$Z,"3")</f>
        <v>0</v>
      </c>
      <c r="I2542" s="507">
        <f>SUMIFS(Controle!$R:$R,Controle!$H:$H,produtos_escape2!$A2542,Controle!$Z:$Z,"4")</f>
        <v>0</v>
      </c>
      <c r="J2542" s="507">
        <f>SUMIFS(Controle!$R:$R,Controle!$H:$H,produtos_escape2!$A2542,Controle!$Z:$Z,"5")</f>
        <v>0</v>
      </c>
      <c r="K2542" s="507">
        <f>SUMIFS(Controle!$R:$R,Controle!$H:$H,produtos_escape2!$A2542,Controle!$Z:$Z,"6")</f>
        <v>0</v>
      </c>
      <c r="L2542" s="507">
        <f t="shared" si="85"/>
        <v>0</v>
      </c>
    </row>
    <row r="2543" spans="1:12" s="84" customFormat="1" ht="14.25" customHeight="1" thickBot="1">
      <c r="A2543" s="353" t="s">
        <v>3923</v>
      </c>
      <c r="B2543" s="194" t="s">
        <v>3924</v>
      </c>
      <c r="C2543" s="339">
        <f t="shared" si="86"/>
        <v>50000</v>
      </c>
      <c r="D2543" s="196" t="s">
        <v>636</v>
      </c>
      <c r="E2543" s="197" t="s">
        <v>1687</v>
      </c>
      <c r="F2543" s="507">
        <f>SUMIFS(Controle!$R:$R,Controle!$H:$H,produtos_escape2!$A2543,Controle!$Z:$Z,"1")</f>
        <v>0</v>
      </c>
      <c r="G2543" s="507">
        <f>SUMIFS(Controle!$R:$R,Controle!$H:$H,produtos_escape2!$A2543,Controle!$Z:$Z,"2")</f>
        <v>0</v>
      </c>
      <c r="H2543" s="507">
        <f>SUMIFS(Controle!$R:$R,Controle!$H:$H,produtos_escape2!$A2543,Controle!$Z:$Z,"3")</f>
        <v>0</v>
      </c>
      <c r="I2543" s="507">
        <f>SUMIFS(Controle!$R:$R,Controle!$H:$H,produtos_escape2!$A2543,Controle!$Z:$Z,"4")</f>
        <v>0</v>
      </c>
      <c r="J2543" s="507">
        <f>SUMIFS(Controle!$R:$R,Controle!$H:$H,produtos_escape2!$A2543,Controle!$Z:$Z,"5")</f>
        <v>0</v>
      </c>
      <c r="K2543" s="507">
        <f>SUMIFS(Controle!$R:$R,Controle!$H:$H,produtos_escape2!$A2543,Controle!$Z:$Z,"6")</f>
        <v>0</v>
      </c>
      <c r="L2543" s="507">
        <f t="shared" si="85"/>
        <v>0</v>
      </c>
    </row>
    <row r="2544" spans="1:12" s="84" customFormat="1" ht="14.25" customHeight="1" thickBot="1">
      <c r="A2544" s="353" t="s">
        <v>3926</v>
      </c>
      <c r="B2544" s="194" t="s">
        <v>3925</v>
      </c>
      <c r="C2544" s="339">
        <f t="shared" si="86"/>
        <v>50000</v>
      </c>
      <c r="D2544" s="196" t="s">
        <v>636</v>
      </c>
      <c r="E2544" s="197" t="s">
        <v>1687</v>
      </c>
      <c r="F2544" s="507">
        <f>SUMIFS(Controle!$R:$R,Controle!$H:$H,produtos_escape2!$A2544,Controle!$Z:$Z,"1")</f>
        <v>0</v>
      </c>
      <c r="G2544" s="507">
        <f>SUMIFS(Controle!$R:$R,Controle!$H:$H,produtos_escape2!$A2544,Controle!$Z:$Z,"2")</f>
        <v>0</v>
      </c>
      <c r="H2544" s="507">
        <f>SUMIFS(Controle!$R:$R,Controle!$H:$H,produtos_escape2!$A2544,Controle!$Z:$Z,"3")</f>
        <v>0</v>
      </c>
      <c r="I2544" s="507">
        <f>SUMIFS(Controle!$R:$R,Controle!$H:$H,produtos_escape2!$A2544,Controle!$Z:$Z,"4")</f>
        <v>0</v>
      </c>
      <c r="J2544" s="507">
        <f>SUMIFS(Controle!$R:$R,Controle!$H:$H,produtos_escape2!$A2544,Controle!$Z:$Z,"5")</f>
        <v>0</v>
      </c>
      <c r="K2544" s="507">
        <f>SUMIFS(Controle!$R:$R,Controle!$H:$H,produtos_escape2!$A2544,Controle!$Z:$Z,"6")</f>
        <v>0</v>
      </c>
      <c r="L2544" s="507">
        <f t="shared" si="85"/>
        <v>0</v>
      </c>
    </row>
    <row r="2545" spans="1:12" s="84" customFormat="1" ht="14.25" customHeight="1" thickBot="1">
      <c r="A2545" s="353" t="s">
        <v>6989</v>
      </c>
      <c r="B2545" s="194" t="s">
        <v>6990</v>
      </c>
      <c r="C2545" s="339">
        <f t="shared" si="86"/>
        <v>50000</v>
      </c>
      <c r="D2545" s="196" t="s">
        <v>636</v>
      </c>
      <c r="E2545" s="197" t="s">
        <v>1687</v>
      </c>
      <c r="F2545" s="507">
        <f>SUMIFS(Controle!$R:$R,Controle!$H:$H,produtos_escape2!$A2545,Controle!$Z:$Z,"1")</f>
        <v>0</v>
      </c>
      <c r="G2545" s="507">
        <f>SUMIFS(Controle!$R:$R,Controle!$H:$H,produtos_escape2!$A2545,Controle!$Z:$Z,"2")</f>
        <v>0</v>
      </c>
      <c r="H2545" s="507">
        <f>SUMIFS(Controle!$R:$R,Controle!$H:$H,produtos_escape2!$A2545,Controle!$Z:$Z,"3")</f>
        <v>0</v>
      </c>
      <c r="I2545" s="507">
        <f>SUMIFS(Controle!$R:$R,Controle!$H:$H,produtos_escape2!$A2545,Controle!$Z:$Z,"4")</f>
        <v>0</v>
      </c>
      <c r="J2545" s="507">
        <f>SUMIFS(Controle!$R:$R,Controle!$H:$H,produtos_escape2!$A2545,Controle!$Z:$Z,"5")</f>
        <v>0</v>
      </c>
      <c r="K2545" s="507">
        <f>SUMIFS(Controle!$R:$R,Controle!$H:$H,produtos_escape2!$A2545,Controle!$Z:$Z,"6")</f>
        <v>0</v>
      </c>
      <c r="L2545" s="507">
        <f t="shared" si="85"/>
        <v>0</v>
      </c>
    </row>
    <row r="2546" spans="1:12" s="84" customFormat="1" ht="14.25" customHeight="1" thickBot="1">
      <c r="A2546" s="333" t="s">
        <v>3174</v>
      </c>
      <c r="B2546" s="194" t="s">
        <v>3257</v>
      </c>
      <c r="C2546" s="339">
        <f t="shared" si="86"/>
        <v>50000</v>
      </c>
      <c r="D2546" s="196" t="s">
        <v>636</v>
      </c>
      <c r="E2546" s="197" t="s">
        <v>1739</v>
      </c>
      <c r="F2546" s="507">
        <f>SUMIFS(Controle!$R:$R,Controle!$H:$H,produtos_escape2!$A2546,Controle!$Z:$Z,"1")</f>
        <v>0</v>
      </c>
      <c r="G2546" s="507">
        <f>SUMIFS(Controle!$R:$R,Controle!$H:$H,produtos_escape2!$A2546,Controle!$Z:$Z,"2")</f>
        <v>0</v>
      </c>
      <c r="H2546" s="507">
        <f>SUMIFS(Controle!$R:$R,Controle!$H:$H,produtos_escape2!$A2546,Controle!$Z:$Z,"3")</f>
        <v>0</v>
      </c>
      <c r="I2546" s="507">
        <f>SUMIFS(Controle!$R:$R,Controle!$H:$H,produtos_escape2!$A2546,Controle!$Z:$Z,"4")</f>
        <v>0</v>
      </c>
      <c r="J2546" s="507">
        <f>SUMIFS(Controle!$R:$R,Controle!$H:$H,produtos_escape2!$A2546,Controle!$Z:$Z,"5")</f>
        <v>0</v>
      </c>
      <c r="K2546" s="507">
        <f>SUMIFS(Controle!$R:$R,Controle!$H:$H,produtos_escape2!$A2546,Controle!$Z:$Z,"6")</f>
        <v>0</v>
      </c>
      <c r="L2546" s="507">
        <f t="shared" si="85"/>
        <v>0</v>
      </c>
    </row>
    <row r="2547" spans="1:12" s="84" customFormat="1" ht="14.25" customHeight="1" thickBot="1">
      <c r="A2547" s="353" t="s">
        <v>3801</v>
      </c>
      <c r="B2547" s="338" t="s">
        <v>3802</v>
      </c>
      <c r="C2547" s="339">
        <f t="shared" si="86"/>
        <v>50000</v>
      </c>
      <c r="D2547" s="196" t="s">
        <v>636</v>
      </c>
      <c r="E2547" s="197" t="s">
        <v>1687</v>
      </c>
      <c r="F2547" s="507">
        <f>SUMIFS(Controle!$R:$R,Controle!$H:$H,produtos_escape2!$A2547,Controle!$Z:$Z,"1")</f>
        <v>0</v>
      </c>
      <c r="G2547" s="507">
        <f>SUMIFS(Controle!$R:$R,Controle!$H:$H,produtos_escape2!$A2547,Controle!$Z:$Z,"2")</f>
        <v>0</v>
      </c>
      <c r="H2547" s="507">
        <f>SUMIFS(Controle!$R:$R,Controle!$H:$H,produtos_escape2!$A2547,Controle!$Z:$Z,"3")</f>
        <v>0</v>
      </c>
      <c r="I2547" s="507">
        <f>SUMIFS(Controle!$R:$R,Controle!$H:$H,produtos_escape2!$A2547,Controle!$Z:$Z,"4")</f>
        <v>0</v>
      </c>
      <c r="J2547" s="507">
        <f>SUMIFS(Controle!$R:$R,Controle!$H:$H,produtos_escape2!$A2547,Controle!$Z:$Z,"5")</f>
        <v>0</v>
      </c>
      <c r="K2547" s="507">
        <f>SUMIFS(Controle!$R:$R,Controle!$H:$H,produtos_escape2!$A2547,Controle!$Z:$Z,"6")</f>
        <v>0</v>
      </c>
      <c r="L2547" s="507">
        <f t="shared" si="85"/>
        <v>0</v>
      </c>
    </row>
    <row r="2548" spans="1:12" s="84" customFormat="1" ht="14.25" customHeight="1" thickBot="1">
      <c r="A2548" s="353" t="s">
        <v>3885</v>
      </c>
      <c r="B2548" s="194" t="s">
        <v>3883</v>
      </c>
      <c r="C2548" s="339">
        <f t="shared" si="86"/>
        <v>50000</v>
      </c>
      <c r="D2548" s="196" t="s">
        <v>636</v>
      </c>
      <c r="E2548" s="197" t="s">
        <v>1687</v>
      </c>
      <c r="F2548" s="507">
        <f>SUMIFS(Controle!$R:$R,Controle!$H:$H,produtos_escape2!$A2548,Controle!$Z:$Z,"1")</f>
        <v>0</v>
      </c>
      <c r="G2548" s="507">
        <f>SUMIFS(Controle!$R:$R,Controle!$H:$H,produtos_escape2!$A2548,Controle!$Z:$Z,"2")</f>
        <v>0</v>
      </c>
      <c r="H2548" s="507">
        <f>SUMIFS(Controle!$R:$R,Controle!$H:$H,produtos_escape2!$A2548,Controle!$Z:$Z,"3")</f>
        <v>0</v>
      </c>
      <c r="I2548" s="507">
        <f>SUMIFS(Controle!$R:$R,Controle!$H:$H,produtos_escape2!$A2548,Controle!$Z:$Z,"4")</f>
        <v>0</v>
      </c>
      <c r="J2548" s="507">
        <f>SUMIFS(Controle!$R:$R,Controle!$H:$H,produtos_escape2!$A2548,Controle!$Z:$Z,"5")</f>
        <v>0</v>
      </c>
      <c r="K2548" s="507">
        <f>SUMIFS(Controle!$R:$R,Controle!$H:$H,produtos_escape2!$A2548,Controle!$Z:$Z,"6")</f>
        <v>0</v>
      </c>
      <c r="L2548" s="507">
        <f t="shared" si="85"/>
        <v>0</v>
      </c>
    </row>
    <row r="2549" spans="1:12" s="84" customFormat="1" ht="14.25" customHeight="1" thickBot="1">
      <c r="A2549" s="353" t="s">
        <v>3886</v>
      </c>
      <c r="B2549" s="194" t="s">
        <v>3884</v>
      </c>
      <c r="C2549" s="339">
        <f t="shared" si="86"/>
        <v>50000</v>
      </c>
      <c r="D2549" s="196" t="s">
        <v>636</v>
      </c>
      <c r="E2549" s="197" t="s">
        <v>1687</v>
      </c>
      <c r="F2549" s="507">
        <f>SUMIFS(Controle!$R:$R,Controle!$H:$H,produtos_escape2!$A2549,Controle!$Z:$Z,"1")</f>
        <v>0</v>
      </c>
      <c r="G2549" s="507">
        <f>SUMIFS(Controle!$R:$R,Controle!$H:$H,produtos_escape2!$A2549,Controle!$Z:$Z,"2")</f>
        <v>0</v>
      </c>
      <c r="H2549" s="507">
        <f>SUMIFS(Controle!$R:$R,Controle!$H:$H,produtos_escape2!$A2549,Controle!$Z:$Z,"3")</f>
        <v>0</v>
      </c>
      <c r="I2549" s="507">
        <f>SUMIFS(Controle!$R:$R,Controle!$H:$H,produtos_escape2!$A2549,Controle!$Z:$Z,"4")</f>
        <v>0</v>
      </c>
      <c r="J2549" s="507">
        <f>SUMIFS(Controle!$R:$R,Controle!$H:$H,produtos_escape2!$A2549,Controle!$Z:$Z,"5")</f>
        <v>0</v>
      </c>
      <c r="K2549" s="507">
        <f>SUMIFS(Controle!$R:$R,Controle!$H:$H,produtos_escape2!$A2549,Controle!$Z:$Z,"6")</f>
        <v>0</v>
      </c>
      <c r="L2549" s="507">
        <f t="shared" si="85"/>
        <v>0</v>
      </c>
    </row>
    <row r="2550" spans="1:12" s="84" customFormat="1" ht="14.25" customHeight="1" thickBot="1">
      <c r="A2550" s="353" t="s">
        <v>5747</v>
      </c>
      <c r="B2550" s="194" t="s">
        <v>5748</v>
      </c>
      <c r="C2550" s="339">
        <f t="shared" si="86"/>
        <v>50000</v>
      </c>
      <c r="D2550" s="196" t="s">
        <v>636</v>
      </c>
      <c r="E2550" s="197" t="s">
        <v>1687</v>
      </c>
      <c r="F2550" s="507">
        <f>SUMIFS(Controle!$R:$R,Controle!$H:$H,produtos_escape2!$A2550,Controle!$Z:$Z,"1")</f>
        <v>0</v>
      </c>
      <c r="G2550" s="507">
        <f>SUMIFS(Controle!$R:$R,Controle!$H:$H,produtos_escape2!$A2550,Controle!$Z:$Z,"2")</f>
        <v>0</v>
      </c>
      <c r="H2550" s="507">
        <f>SUMIFS(Controle!$R:$R,Controle!$H:$H,produtos_escape2!$A2550,Controle!$Z:$Z,"3")</f>
        <v>0</v>
      </c>
      <c r="I2550" s="507">
        <f>SUMIFS(Controle!$R:$R,Controle!$H:$H,produtos_escape2!$A2550,Controle!$Z:$Z,"4")</f>
        <v>0</v>
      </c>
      <c r="J2550" s="507">
        <f>SUMIFS(Controle!$R:$R,Controle!$H:$H,produtos_escape2!$A2550,Controle!$Z:$Z,"5")</f>
        <v>0</v>
      </c>
      <c r="K2550" s="507">
        <f>SUMIFS(Controle!$R:$R,Controle!$H:$H,produtos_escape2!$A2550,Controle!$Z:$Z,"6")</f>
        <v>0</v>
      </c>
      <c r="L2550" s="507">
        <f t="shared" si="85"/>
        <v>0</v>
      </c>
    </row>
    <row r="2551" spans="1:12" s="84" customFormat="1" ht="14.25" customHeight="1" thickBot="1">
      <c r="A2551" s="353" t="s">
        <v>7756</v>
      </c>
      <c r="B2551" s="194" t="s">
        <v>7759</v>
      </c>
      <c r="C2551" s="339">
        <f t="shared" si="86"/>
        <v>47550</v>
      </c>
      <c r="D2551" s="196" t="s">
        <v>636</v>
      </c>
      <c r="E2551" s="197" t="s">
        <v>1687</v>
      </c>
      <c r="F2551" s="507">
        <f>SUMIFS(Controle!$R:$R,Controle!$H:$H,produtos_escape2!$A2551,Controle!$Z:$Z,"1")</f>
        <v>0</v>
      </c>
      <c r="G2551" s="507">
        <f>SUMIFS(Controle!$R:$R,Controle!$H:$H,produtos_escape2!$A2551,Controle!$Z:$Z,"2")</f>
        <v>0</v>
      </c>
      <c r="H2551" s="507">
        <f>SUMIFS(Controle!$R:$R,Controle!$H:$H,produtos_escape2!$A2551,Controle!$Z:$Z,"3")</f>
        <v>0</v>
      </c>
      <c r="I2551" s="507">
        <f>SUMIFS(Controle!$R:$R,Controle!$H:$H,produtos_escape2!$A2551,Controle!$Z:$Z,"4")</f>
        <v>2450</v>
      </c>
      <c r="J2551" s="507">
        <f>SUMIFS(Controle!$R:$R,Controle!$H:$H,produtos_escape2!$A2551,Controle!$Z:$Z,"5")</f>
        <v>0</v>
      </c>
      <c r="K2551" s="507">
        <f>SUMIFS(Controle!$R:$R,Controle!$H:$H,produtos_escape2!$A2551,Controle!$Z:$Z,"6")</f>
        <v>0</v>
      </c>
      <c r="L2551" s="507">
        <f t="shared" si="85"/>
        <v>2450</v>
      </c>
    </row>
    <row r="2552" spans="1:12" s="84" customFormat="1" ht="14.25" customHeight="1" thickBot="1">
      <c r="A2552" s="353" t="s">
        <v>7757</v>
      </c>
      <c r="B2552" s="194" t="s">
        <v>7760</v>
      </c>
      <c r="C2552" s="339">
        <f t="shared" si="86"/>
        <v>47550</v>
      </c>
      <c r="D2552" s="196" t="s">
        <v>636</v>
      </c>
      <c r="E2552" s="197" t="s">
        <v>1687</v>
      </c>
      <c r="F2552" s="507">
        <f>SUMIFS(Controle!$R:$R,Controle!$H:$H,produtos_escape2!$A2552,Controle!$Z:$Z,"1")</f>
        <v>0</v>
      </c>
      <c r="G2552" s="507">
        <f>SUMIFS(Controle!$R:$R,Controle!$H:$H,produtos_escape2!$A2552,Controle!$Z:$Z,"2")</f>
        <v>0</v>
      </c>
      <c r="H2552" s="507">
        <f>SUMIFS(Controle!$R:$R,Controle!$H:$H,produtos_escape2!$A2552,Controle!$Z:$Z,"3")</f>
        <v>0</v>
      </c>
      <c r="I2552" s="507">
        <f>SUMIFS(Controle!$R:$R,Controle!$H:$H,produtos_escape2!$A2552,Controle!$Z:$Z,"4")</f>
        <v>2450</v>
      </c>
      <c r="J2552" s="507">
        <f>SUMIFS(Controle!$R:$R,Controle!$H:$H,produtos_escape2!$A2552,Controle!$Z:$Z,"5")</f>
        <v>0</v>
      </c>
      <c r="K2552" s="507">
        <f>SUMIFS(Controle!$R:$R,Controle!$H:$H,produtos_escape2!$A2552,Controle!$Z:$Z,"6")</f>
        <v>0</v>
      </c>
      <c r="L2552" s="507">
        <f t="shared" si="85"/>
        <v>2450</v>
      </c>
    </row>
    <row r="2553" spans="1:12" s="84" customFormat="1" ht="14.25" customHeight="1" thickBot="1">
      <c r="A2553" s="353" t="s">
        <v>7758</v>
      </c>
      <c r="B2553" s="194" t="s">
        <v>7761</v>
      </c>
      <c r="C2553" s="339">
        <f t="shared" si="86"/>
        <v>47550</v>
      </c>
      <c r="D2553" s="196" t="s">
        <v>636</v>
      </c>
      <c r="E2553" s="197" t="s">
        <v>1687</v>
      </c>
      <c r="F2553" s="507">
        <f>SUMIFS(Controle!$R:$R,Controle!$H:$H,produtos_escape2!$A2553,Controle!$Z:$Z,"1")</f>
        <v>0</v>
      </c>
      <c r="G2553" s="507">
        <f>SUMIFS(Controle!$R:$R,Controle!$H:$H,produtos_escape2!$A2553,Controle!$Z:$Z,"2")</f>
        <v>0</v>
      </c>
      <c r="H2553" s="507">
        <f>SUMIFS(Controle!$R:$R,Controle!$H:$H,produtos_escape2!$A2553,Controle!$Z:$Z,"3")</f>
        <v>0</v>
      </c>
      <c r="I2553" s="507">
        <f>SUMIFS(Controle!$R:$R,Controle!$H:$H,produtos_escape2!$A2553,Controle!$Z:$Z,"4")</f>
        <v>2450</v>
      </c>
      <c r="J2553" s="507">
        <f>SUMIFS(Controle!$R:$R,Controle!$H:$H,produtos_escape2!$A2553,Controle!$Z:$Z,"5")</f>
        <v>0</v>
      </c>
      <c r="K2553" s="507">
        <f>SUMIFS(Controle!$R:$R,Controle!$H:$H,produtos_escape2!$A2553,Controle!$Z:$Z,"6")</f>
        <v>0</v>
      </c>
      <c r="L2553" s="507">
        <f t="shared" si="85"/>
        <v>2450</v>
      </c>
    </row>
    <row r="2554" spans="1:12" s="84" customFormat="1" ht="14.25" customHeight="1" thickBot="1">
      <c r="A2554" s="353" t="s">
        <v>3680</v>
      </c>
      <c r="B2554" s="194" t="s">
        <v>3681</v>
      </c>
      <c r="C2554" s="339">
        <f t="shared" si="86"/>
        <v>50000</v>
      </c>
      <c r="D2554" s="196" t="s">
        <v>636</v>
      </c>
      <c r="E2554" s="197" t="s">
        <v>1687</v>
      </c>
      <c r="F2554" s="507">
        <f>SUMIFS(Controle!$R:$R,Controle!$H:$H,produtos_escape2!$A2554,Controle!$Z:$Z,"1")</f>
        <v>0</v>
      </c>
      <c r="G2554" s="507">
        <f>SUMIFS(Controle!$R:$R,Controle!$H:$H,produtos_escape2!$A2554,Controle!$Z:$Z,"2")</f>
        <v>0</v>
      </c>
      <c r="H2554" s="507">
        <f>SUMIFS(Controle!$R:$R,Controle!$H:$H,produtos_escape2!$A2554,Controle!$Z:$Z,"3")</f>
        <v>0</v>
      </c>
      <c r="I2554" s="507">
        <f>SUMIFS(Controle!$R:$R,Controle!$H:$H,produtos_escape2!$A2554,Controle!$Z:$Z,"4")</f>
        <v>0</v>
      </c>
      <c r="J2554" s="507">
        <f>SUMIFS(Controle!$R:$R,Controle!$H:$H,produtos_escape2!$A2554,Controle!$Z:$Z,"5")</f>
        <v>0</v>
      </c>
      <c r="K2554" s="507">
        <f>SUMIFS(Controle!$R:$R,Controle!$H:$H,produtos_escape2!$A2554,Controle!$Z:$Z,"6")</f>
        <v>0</v>
      </c>
      <c r="L2554" s="507">
        <f t="shared" si="85"/>
        <v>0</v>
      </c>
    </row>
    <row r="2555" spans="1:12" s="84" customFormat="1" ht="14.25" customHeight="1" thickBot="1">
      <c r="A2555" s="353" t="s">
        <v>3186</v>
      </c>
      <c r="B2555" s="194" t="s">
        <v>3258</v>
      </c>
      <c r="C2555" s="339">
        <f t="shared" si="86"/>
        <v>50000</v>
      </c>
      <c r="D2555" s="196" t="s">
        <v>636</v>
      </c>
      <c r="E2555" s="197" t="s">
        <v>1687</v>
      </c>
      <c r="F2555" s="507">
        <f>SUMIFS(Controle!$R:$R,Controle!$H:$H,produtos_escape2!$A2555,Controle!$Z:$Z,"1")</f>
        <v>0</v>
      </c>
      <c r="G2555" s="507">
        <f>SUMIFS(Controle!$R:$R,Controle!$H:$H,produtos_escape2!$A2555,Controle!$Z:$Z,"2")</f>
        <v>0</v>
      </c>
      <c r="H2555" s="507">
        <f>SUMIFS(Controle!$R:$R,Controle!$H:$H,produtos_escape2!$A2555,Controle!$Z:$Z,"3")</f>
        <v>0</v>
      </c>
      <c r="I2555" s="507">
        <f>SUMIFS(Controle!$R:$R,Controle!$H:$H,produtos_escape2!$A2555,Controle!$Z:$Z,"4")</f>
        <v>0</v>
      </c>
      <c r="J2555" s="507">
        <f>SUMIFS(Controle!$R:$R,Controle!$H:$H,produtos_escape2!$A2555,Controle!$Z:$Z,"5")</f>
        <v>0</v>
      </c>
      <c r="K2555" s="507">
        <f>SUMIFS(Controle!$R:$R,Controle!$H:$H,produtos_escape2!$A2555,Controle!$Z:$Z,"6")</f>
        <v>0</v>
      </c>
      <c r="L2555" s="507">
        <f t="shared" si="85"/>
        <v>0</v>
      </c>
    </row>
    <row r="2556" spans="1:12" s="84" customFormat="1" ht="14.25" customHeight="1" thickBot="1">
      <c r="A2556" s="353" t="s">
        <v>3175</v>
      </c>
      <c r="B2556" s="194" t="s">
        <v>3335</v>
      </c>
      <c r="C2556" s="339">
        <f t="shared" si="86"/>
        <v>50000</v>
      </c>
      <c r="D2556" s="196" t="s">
        <v>636</v>
      </c>
      <c r="E2556" s="197" t="s">
        <v>1687</v>
      </c>
      <c r="F2556" s="507">
        <f>SUMIFS(Controle!$R:$R,Controle!$H:$H,produtos_escape2!$A2556,Controle!$Z:$Z,"1")</f>
        <v>0</v>
      </c>
      <c r="G2556" s="507">
        <f>SUMIFS(Controle!$R:$R,Controle!$H:$H,produtos_escape2!$A2556,Controle!$Z:$Z,"2")</f>
        <v>0</v>
      </c>
      <c r="H2556" s="507">
        <f>SUMIFS(Controle!$R:$R,Controle!$H:$H,produtos_escape2!$A2556,Controle!$Z:$Z,"3")</f>
        <v>0</v>
      </c>
      <c r="I2556" s="507">
        <f>SUMIFS(Controle!$R:$R,Controle!$H:$H,produtos_escape2!$A2556,Controle!$Z:$Z,"4")</f>
        <v>0</v>
      </c>
      <c r="J2556" s="507">
        <f>SUMIFS(Controle!$R:$R,Controle!$H:$H,produtos_escape2!$A2556,Controle!$Z:$Z,"5")</f>
        <v>0</v>
      </c>
      <c r="K2556" s="507">
        <f>SUMIFS(Controle!$R:$R,Controle!$H:$H,produtos_escape2!$A2556,Controle!$Z:$Z,"6")</f>
        <v>0</v>
      </c>
      <c r="L2556" s="507">
        <f t="shared" si="85"/>
        <v>0</v>
      </c>
    </row>
    <row r="2557" spans="1:12" s="84" customFormat="1" ht="14.25" customHeight="1" thickBot="1">
      <c r="A2557" s="333" t="s">
        <v>3176</v>
      </c>
      <c r="B2557" s="194" t="s">
        <v>3260</v>
      </c>
      <c r="C2557" s="339">
        <f t="shared" si="86"/>
        <v>50000</v>
      </c>
      <c r="D2557" s="196" t="s">
        <v>636</v>
      </c>
      <c r="E2557" s="197" t="s">
        <v>1687</v>
      </c>
      <c r="F2557" s="507">
        <f>SUMIFS(Controle!$R:$R,Controle!$H:$H,produtos_escape2!$A2557,Controle!$Z:$Z,"1")</f>
        <v>0</v>
      </c>
      <c r="G2557" s="507">
        <f>SUMIFS(Controle!$R:$R,Controle!$H:$H,produtos_escape2!$A2557,Controle!$Z:$Z,"2")</f>
        <v>0</v>
      </c>
      <c r="H2557" s="507">
        <f>SUMIFS(Controle!$R:$R,Controle!$H:$H,produtos_escape2!$A2557,Controle!$Z:$Z,"3")</f>
        <v>0</v>
      </c>
      <c r="I2557" s="507">
        <f>SUMIFS(Controle!$R:$R,Controle!$H:$H,produtos_escape2!$A2557,Controle!$Z:$Z,"4")</f>
        <v>0</v>
      </c>
      <c r="J2557" s="507">
        <f>SUMIFS(Controle!$R:$R,Controle!$H:$H,produtos_escape2!$A2557,Controle!$Z:$Z,"5")</f>
        <v>0</v>
      </c>
      <c r="K2557" s="507">
        <f>SUMIFS(Controle!$R:$R,Controle!$H:$H,produtos_escape2!$A2557,Controle!$Z:$Z,"6")</f>
        <v>0</v>
      </c>
      <c r="L2557" s="507">
        <f t="shared" si="85"/>
        <v>0</v>
      </c>
    </row>
    <row r="2558" spans="1:12" s="84" customFormat="1" ht="14.25" customHeight="1" thickBot="1">
      <c r="A2558" s="353" t="s">
        <v>3177</v>
      </c>
      <c r="B2558" s="338" t="s">
        <v>3259</v>
      </c>
      <c r="C2558" s="339">
        <f t="shared" si="86"/>
        <v>50000</v>
      </c>
      <c r="D2558" s="196" t="s">
        <v>636</v>
      </c>
      <c r="E2558" s="197" t="s">
        <v>1687</v>
      </c>
      <c r="F2558" s="507">
        <f>SUMIFS(Controle!$R:$R,Controle!$H:$H,produtos_escape2!$A2558,Controle!$Z:$Z,"1")</f>
        <v>0</v>
      </c>
      <c r="G2558" s="507">
        <f>SUMIFS(Controle!$R:$R,Controle!$H:$H,produtos_escape2!$A2558,Controle!$Z:$Z,"2")</f>
        <v>0</v>
      </c>
      <c r="H2558" s="507">
        <f>SUMIFS(Controle!$R:$R,Controle!$H:$H,produtos_escape2!$A2558,Controle!$Z:$Z,"3")</f>
        <v>0</v>
      </c>
      <c r="I2558" s="507">
        <f>SUMIFS(Controle!$R:$R,Controle!$H:$H,produtos_escape2!$A2558,Controle!$Z:$Z,"4")</f>
        <v>0</v>
      </c>
      <c r="J2558" s="507">
        <f>SUMIFS(Controle!$R:$R,Controle!$H:$H,produtos_escape2!$A2558,Controle!$Z:$Z,"5")</f>
        <v>0</v>
      </c>
      <c r="K2558" s="507">
        <f>SUMIFS(Controle!$R:$R,Controle!$H:$H,produtos_escape2!$A2558,Controle!$Z:$Z,"6")</f>
        <v>0</v>
      </c>
      <c r="L2558" s="507">
        <f t="shared" si="85"/>
        <v>0</v>
      </c>
    </row>
    <row r="2559" spans="1:12" s="84" customFormat="1" ht="14.25" customHeight="1" thickBot="1">
      <c r="A2559" s="353" t="s">
        <v>3178</v>
      </c>
      <c r="B2559" s="194" t="s">
        <v>3261</v>
      </c>
      <c r="C2559" s="339">
        <f t="shared" si="86"/>
        <v>50000</v>
      </c>
      <c r="D2559" s="196" t="s">
        <v>636</v>
      </c>
      <c r="E2559" s="197" t="s">
        <v>1687</v>
      </c>
      <c r="F2559" s="507">
        <f>SUMIFS(Controle!$R:$R,Controle!$H:$H,produtos_escape2!$A2559,Controle!$Z:$Z,"1")</f>
        <v>0</v>
      </c>
      <c r="G2559" s="507">
        <f>SUMIFS(Controle!$R:$R,Controle!$H:$H,produtos_escape2!$A2559,Controle!$Z:$Z,"2")</f>
        <v>0</v>
      </c>
      <c r="H2559" s="507">
        <f>SUMIFS(Controle!$R:$R,Controle!$H:$H,produtos_escape2!$A2559,Controle!$Z:$Z,"3")</f>
        <v>0</v>
      </c>
      <c r="I2559" s="507">
        <f>SUMIFS(Controle!$R:$R,Controle!$H:$H,produtos_escape2!$A2559,Controle!$Z:$Z,"4")</f>
        <v>0</v>
      </c>
      <c r="J2559" s="507">
        <f>SUMIFS(Controle!$R:$R,Controle!$H:$H,produtos_escape2!$A2559,Controle!$Z:$Z,"5")</f>
        <v>0</v>
      </c>
      <c r="K2559" s="507">
        <f>SUMIFS(Controle!$R:$R,Controle!$H:$H,produtos_escape2!$A2559,Controle!$Z:$Z,"6")</f>
        <v>0</v>
      </c>
      <c r="L2559" s="507">
        <f t="shared" ref="L2559:L2622" si="88">SUM(F2559:K2559)</f>
        <v>0</v>
      </c>
    </row>
    <row r="2560" spans="1:12" s="84" customFormat="1" ht="18.75" customHeight="1" thickBot="1">
      <c r="A2560" s="353" t="s">
        <v>3179</v>
      </c>
      <c r="B2560" s="194" t="s">
        <v>3262</v>
      </c>
      <c r="C2560" s="339">
        <f t="shared" si="86"/>
        <v>50000</v>
      </c>
      <c r="D2560" s="196" t="s">
        <v>636</v>
      </c>
      <c r="E2560" s="197" t="s">
        <v>1687</v>
      </c>
      <c r="F2560" s="507">
        <f>SUMIFS(Controle!$R:$R,Controle!$H:$H,produtos_escape2!$A2560,Controle!$Z:$Z,"1")</f>
        <v>0</v>
      </c>
      <c r="G2560" s="507">
        <f>SUMIFS(Controle!$R:$R,Controle!$H:$H,produtos_escape2!$A2560,Controle!$Z:$Z,"2")</f>
        <v>0</v>
      </c>
      <c r="H2560" s="507">
        <f>SUMIFS(Controle!$R:$R,Controle!$H:$H,produtos_escape2!$A2560,Controle!$Z:$Z,"3")</f>
        <v>0</v>
      </c>
      <c r="I2560" s="507">
        <f>SUMIFS(Controle!$R:$R,Controle!$H:$H,produtos_escape2!$A2560,Controle!$Z:$Z,"4")</f>
        <v>0</v>
      </c>
      <c r="J2560" s="507">
        <f>SUMIFS(Controle!$R:$R,Controle!$H:$H,produtos_escape2!$A2560,Controle!$Z:$Z,"5")</f>
        <v>0</v>
      </c>
      <c r="K2560" s="507">
        <f>SUMIFS(Controle!$R:$R,Controle!$H:$H,produtos_escape2!$A2560,Controle!$Z:$Z,"6")</f>
        <v>0</v>
      </c>
      <c r="L2560" s="507">
        <f t="shared" si="88"/>
        <v>0</v>
      </c>
    </row>
    <row r="2561" spans="1:12" s="84" customFormat="1" ht="18.75" customHeight="1" thickBot="1">
      <c r="A2561" s="353" t="s">
        <v>3180</v>
      </c>
      <c r="B2561" s="194" t="s">
        <v>3263</v>
      </c>
      <c r="C2561" s="339">
        <f t="shared" si="86"/>
        <v>50000</v>
      </c>
      <c r="D2561" s="196" t="s">
        <v>636</v>
      </c>
      <c r="E2561" s="197" t="s">
        <v>1687</v>
      </c>
      <c r="F2561" s="507">
        <f>SUMIFS(Controle!$R:$R,Controle!$H:$H,produtos_escape2!$A2561,Controle!$Z:$Z,"1")</f>
        <v>0</v>
      </c>
      <c r="G2561" s="507">
        <f>SUMIFS(Controle!$R:$R,Controle!$H:$H,produtos_escape2!$A2561,Controle!$Z:$Z,"2")</f>
        <v>0</v>
      </c>
      <c r="H2561" s="507">
        <f>SUMIFS(Controle!$R:$R,Controle!$H:$H,produtos_escape2!$A2561,Controle!$Z:$Z,"3")</f>
        <v>0</v>
      </c>
      <c r="I2561" s="507">
        <f>SUMIFS(Controle!$R:$R,Controle!$H:$H,produtos_escape2!$A2561,Controle!$Z:$Z,"4")</f>
        <v>0</v>
      </c>
      <c r="J2561" s="507">
        <f>SUMIFS(Controle!$R:$R,Controle!$H:$H,produtos_escape2!$A2561,Controle!$Z:$Z,"5")</f>
        <v>0</v>
      </c>
      <c r="K2561" s="507">
        <f>SUMIFS(Controle!$R:$R,Controle!$H:$H,produtos_escape2!$A2561,Controle!$Z:$Z,"6")</f>
        <v>0</v>
      </c>
      <c r="L2561" s="507">
        <f t="shared" si="88"/>
        <v>0</v>
      </c>
    </row>
    <row r="2562" spans="1:12" s="84" customFormat="1" ht="18.75" customHeight="1" thickBot="1">
      <c r="A2562" s="353" t="s">
        <v>3181</v>
      </c>
      <c r="B2562" s="194" t="s">
        <v>3264</v>
      </c>
      <c r="C2562" s="339">
        <f t="shared" si="86"/>
        <v>50000</v>
      </c>
      <c r="D2562" s="196" t="s">
        <v>636</v>
      </c>
      <c r="E2562" s="197" t="s">
        <v>1687</v>
      </c>
      <c r="F2562" s="507">
        <f>SUMIFS(Controle!$R:$R,Controle!$H:$H,produtos_escape2!$A2562,Controle!$Z:$Z,"1")</f>
        <v>0</v>
      </c>
      <c r="G2562" s="507">
        <f>SUMIFS(Controle!$R:$R,Controle!$H:$H,produtos_escape2!$A2562,Controle!$Z:$Z,"2")</f>
        <v>0</v>
      </c>
      <c r="H2562" s="507">
        <f>SUMIFS(Controle!$R:$R,Controle!$H:$H,produtos_escape2!$A2562,Controle!$Z:$Z,"3")</f>
        <v>0</v>
      </c>
      <c r="I2562" s="507">
        <f>SUMIFS(Controle!$R:$R,Controle!$H:$H,produtos_escape2!$A2562,Controle!$Z:$Z,"4")</f>
        <v>0</v>
      </c>
      <c r="J2562" s="507">
        <f>SUMIFS(Controle!$R:$R,Controle!$H:$H,produtos_escape2!$A2562,Controle!$Z:$Z,"5")</f>
        <v>0</v>
      </c>
      <c r="K2562" s="507">
        <f>SUMIFS(Controle!$R:$R,Controle!$H:$H,produtos_escape2!$A2562,Controle!$Z:$Z,"6")</f>
        <v>0</v>
      </c>
      <c r="L2562" s="507">
        <f t="shared" si="88"/>
        <v>0</v>
      </c>
    </row>
    <row r="2563" spans="1:12" s="84" customFormat="1" ht="18.75" customHeight="1" thickBot="1">
      <c r="A2563" s="353" t="s">
        <v>3182</v>
      </c>
      <c r="B2563" s="194" t="s">
        <v>3265</v>
      </c>
      <c r="C2563" s="339">
        <f t="shared" si="86"/>
        <v>50000</v>
      </c>
      <c r="D2563" s="196" t="s">
        <v>636</v>
      </c>
      <c r="E2563" s="197" t="s">
        <v>1687</v>
      </c>
      <c r="F2563" s="507">
        <f>SUMIFS(Controle!$R:$R,Controle!$H:$H,produtos_escape2!$A2563,Controle!$Z:$Z,"1")</f>
        <v>0</v>
      </c>
      <c r="G2563" s="507">
        <f>SUMIFS(Controle!$R:$R,Controle!$H:$H,produtos_escape2!$A2563,Controle!$Z:$Z,"2")</f>
        <v>0</v>
      </c>
      <c r="H2563" s="507">
        <f>SUMIFS(Controle!$R:$R,Controle!$H:$H,produtos_escape2!$A2563,Controle!$Z:$Z,"3")</f>
        <v>0</v>
      </c>
      <c r="I2563" s="507">
        <f>SUMIFS(Controle!$R:$R,Controle!$H:$H,produtos_escape2!$A2563,Controle!$Z:$Z,"4")</f>
        <v>0</v>
      </c>
      <c r="J2563" s="507">
        <f>SUMIFS(Controle!$R:$R,Controle!$H:$H,produtos_escape2!$A2563,Controle!$Z:$Z,"5")</f>
        <v>0</v>
      </c>
      <c r="K2563" s="507">
        <f>SUMIFS(Controle!$R:$R,Controle!$H:$H,produtos_escape2!$A2563,Controle!$Z:$Z,"6")</f>
        <v>0</v>
      </c>
      <c r="L2563" s="507">
        <f t="shared" si="88"/>
        <v>0</v>
      </c>
    </row>
    <row r="2564" spans="1:12" s="84" customFormat="1" ht="18.75" customHeight="1" thickBot="1">
      <c r="A2564" s="353" t="s">
        <v>3183</v>
      </c>
      <c r="B2564" s="194" t="s">
        <v>3266</v>
      </c>
      <c r="C2564" s="339">
        <f t="shared" si="86"/>
        <v>50000</v>
      </c>
      <c r="D2564" s="196" t="s">
        <v>636</v>
      </c>
      <c r="E2564" s="197" t="s">
        <v>1687</v>
      </c>
      <c r="F2564" s="507">
        <f>SUMIFS(Controle!$R:$R,Controle!$H:$H,produtos_escape2!$A2564,Controle!$Z:$Z,"1")</f>
        <v>0</v>
      </c>
      <c r="G2564" s="507">
        <f>SUMIFS(Controle!$R:$R,Controle!$H:$H,produtos_escape2!$A2564,Controle!$Z:$Z,"2")</f>
        <v>0</v>
      </c>
      <c r="H2564" s="507">
        <f>SUMIFS(Controle!$R:$R,Controle!$H:$H,produtos_escape2!$A2564,Controle!$Z:$Z,"3")</f>
        <v>0</v>
      </c>
      <c r="I2564" s="507">
        <f>SUMIFS(Controle!$R:$R,Controle!$H:$H,produtos_escape2!$A2564,Controle!$Z:$Z,"4")</f>
        <v>0</v>
      </c>
      <c r="J2564" s="507">
        <f>SUMIFS(Controle!$R:$R,Controle!$H:$H,produtos_escape2!$A2564,Controle!$Z:$Z,"5")</f>
        <v>0</v>
      </c>
      <c r="K2564" s="507">
        <f>SUMIFS(Controle!$R:$R,Controle!$H:$H,produtos_escape2!$A2564,Controle!$Z:$Z,"6")</f>
        <v>0</v>
      </c>
      <c r="L2564" s="507">
        <f t="shared" si="88"/>
        <v>0</v>
      </c>
    </row>
    <row r="2565" spans="1:12" s="84" customFormat="1" ht="18.75" customHeight="1" thickBot="1">
      <c r="A2565" s="333" t="s">
        <v>3184</v>
      </c>
      <c r="B2565" s="194" t="s">
        <v>3267</v>
      </c>
      <c r="C2565" s="339">
        <f t="shared" si="86"/>
        <v>50000</v>
      </c>
      <c r="D2565" s="196" t="s">
        <v>636</v>
      </c>
      <c r="E2565" s="197" t="s">
        <v>1687</v>
      </c>
      <c r="F2565" s="507">
        <f>SUMIFS(Controle!$R:$R,Controle!$H:$H,produtos_escape2!$A2565,Controle!$Z:$Z,"1")</f>
        <v>0</v>
      </c>
      <c r="G2565" s="507">
        <f>SUMIFS(Controle!$R:$R,Controle!$H:$H,produtos_escape2!$A2565,Controle!$Z:$Z,"2")</f>
        <v>0</v>
      </c>
      <c r="H2565" s="507">
        <f>SUMIFS(Controle!$R:$R,Controle!$H:$H,produtos_escape2!$A2565,Controle!$Z:$Z,"3")</f>
        <v>0</v>
      </c>
      <c r="I2565" s="507">
        <f>SUMIFS(Controle!$R:$R,Controle!$H:$H,produtos_escape2!$A2565,Controle!$Z:$Z,"4")</f>
        <v>0</v>
      </c>
      <c r="J2565" s="507">
        <f>SUMIFS(Controle!$R:$R,Controle!$H:$H,produtos_escape2!$A2565,Controle!$Z:$Z,"5")</f>
        <v>0</v>
      </c>
      <c r="K2565" s="507">
        <f>SUMIFS(Controle!$R:$R,Controle!$H:$H,produtos_escape2!$A2565,Controle!$Z:$Z,"6")</f>
        <v>0</v>
      </c>
      <c r="L2565" s="507">
        <f t="shared" si="88"/>
        <v>0</v>
      </c>
    </row>
    <row r="2566" spans="1:12" s="84" customFormat="1" ht="18.75" customHeight="1" thickBot="1">
      <c r="A2566" s="353" t="s">
        <v>3185</v>
      </c>
      <c r="B2566" s="338" t="s">
        <v>3075</v>
      </c>
      <c r="C2566" s="339">
        <f t="shared" si="86"/>
        <v>50000</v>
      </c>
      <c r="D2566" s="196" t="s">
        <v>636</v>
      </c>
      <c r="E2566" s="197" t="s">
        <v>1687</v>
      </c>
      <c r="F2566" s="507">
        <f>SUMIFS(Controle!$R:$R,Controle!$H:$H,produtos_escape2!$A2566,Controle!$Z:$Z,"1")</f>
        <v>0</v>
      </c>
      <c r="G2566" s="507">
        <f>SUMIFS(Controle!$R:$R,Controle!$H:$H,produtos_escape2!$A2566,Controle!$Z:$Z,"2")</f>
        <v>0</v>
      </c>
      <c r="H2566" s="507">
        <f>SUMIFS(Controle!$R:$R,Controle!$H:$H,produtos_escape2!$A2566,Controle!$Z:$Z,"3")</f>
        <v>0</v>
      </c>
      <c r="I2566" s="507">
        <f>SUMIFS(Controle!$R:$R,Controle!$H:$H,produtos_escape2!$A2566,Controle!$Z:$Z,"4")</f>
        <v>0</v>
      </c>
      <c r="J2566" s="507">
        <f>SUMIFS(Controle!$R:$R,Controle!$H:$H,produtos_escape2!$A2566,Controle!$Z:$Z,"5")</f>
        <v>0</v>
      </c>
      <c r="K2566" s="507">
        <f>SUMIFS(Controle!$R:$R,Controle!$H:$H,produtos_escape2!$A2566,Controle!$Z:$Z,"6")</f>
        <v>0</v>
      </c>
      <c r="L2566" s="507">
        <f t="shared" si="88"/>
        <v>0</v>
      </c>
    </row>
    <row r="2567" spans="1:12" s="84" customFormat="1" ht="18.75" customHeight="1" thickBot="1">
      <c r="A2567" s="353" t="s">
        <v>3433</v>
      </c>
      <c r="B2567" s="194" t="s">
        <v>3430</v>
      </c>
      <c r="C2567" s="339">
        <f t="shared" si="86"/>
        <v>50000</v>
      </c>
      <c r="D2567" s="196" t="s">
        <v>636</v>
      </c>
      <c r="E2567" s="197" t="s">
        <v>1739</v>
      </c>
      <c r="F2567" s="507">
        <f>SUMIFS(Controle!$R:$R,Controle!$H:$H,produtos_escape2!$A2567,Controle!$Z:$Z,"1")</f>
        <v>0</v>
      </c>
      <c r="G2567" s="507">
        <f>SUMIFS(Controle!$R:$R,Controle!$H:$H,produtos_escape2!$A2567,Controle!$Z:$Z,"2")</f>
        <v>0</v>
      </c>
      <c r="H2567" s="507">
        <f>SUMIFS(Controle!$R:$R,Controle!$H:$H,produtos_escape2!$A2567,Controle!$Z:$Z,"3")</f>
        <v>0</v>
      </c>
      <c r="I2567" s="507">
        <f>SUMIFS(Controle!$R:$R,Controle!$H:$H,produtos_escape2!$A2567,Controle!$Z:$Z,"4")</f>
        <v>0</v>
      </c>
      <c r="J2567" s="507">
        <f>SUMIFS(Controle!$R:$R,Controle!$H:$H,produtos_escape2!$A2567,Controle!$Z:$Z,"5")</f>
        <v>0</v>
      </c>
      <c r="K2567" s="507">
        <f>SUMIFS(Controle!$R:$R,Controle!$H:$H,produtos_escape2!$A2567,Controle!$Z:$Z,"6")</f>
        <v>0</v>
      </c>
      <c r="L2567" s="507">
        <f t="shared" si="88"/>
        <v>0</v>
      </c>
    </row>
    <row r="2568" spans="1:12" s="84" customFormat="1" ht="18.75" customHeight="1" thickBot="1">
      <c r="A2568" s="353" t="s">
        <v>3434</v>
      </c>
      <c r="B2568" s="194" t="s">
        <v>3431</v>
      </c>
      <c r="C2568" s="339">
        <f t="shared" si="86"/>
        <v>50000</v>
      </c>
      <c r="D2568" s="196" t="s">
        <v>636</v>
      </c>
      <c r="E2568" s="197" t="s">
        <v>1739</v>
      </c>
      <c r="F2568" s="507">
        <f>SUMIFS(Controle!$R:$R,Controle!$H:$H,produtos_escape2!$A2568,Controle!$Z:$Z,"1")</f>
        <v>0</v>
      </c>
      <c r="G2568" s="507">
        <f>SUMIFS(Controle!$R:$R,Controle!$H:$H,produtos_escape2!$A2568,Controle!$Z:$Z,"2")</f>
        <v>0</v>
      </c>
      <c r="H2568" s="507">
        <f>SUMIFS(Controle!$R:$R,Controle!$H:$H,produtos_escape2!$A2568,Controle!$Z:$Z,"3")</f>
        <v>0</v>
      </c>
      <c r="I2568" s="507">
        <f>SUMIFS(Controle!$R:$R,Controle!$H:$H,produtos_escape2!$A2568,Controle!$Z:$Z,"4")</f>
        <v>0</v>
      </c>
      <c r="J2568" s="507">
        <f>SUMIFS(Controle!$R:$R,Controle!$H:$H,produtos_escape2!$A2568,Controle!$Z:$Z,"5")</f>
        <v>0</v>
      </c>
      <c r="K2568" s="507">
        <f>SUMIFS(Controle!$R:$R,Controle!$H:$H,produtos_escape2!$A2568,Controle!$Z:$Z,"6")</f>
        <v>0</v>
      </c>
      <c r="L2568" s="507">
        <f t="shared" si="88"/>
        <v>0</v>
      </c>
    </row>
    <row r="2569" spans="1:12" s="84" customFormat="1" ht="18.75" customHeight="1" thickBot="1">
      <c r="A2569" s="353" t="s">
        <v>3435</v>
      </c>
      <c r="B2569" s="194" t="s">
        <v>3432</v>
      </c>
      <c r="C2569" s="339">
        <f t="shared" si="86"/>
        <v>50000</v>
      </c>
      <c r="D2569" s="196" t="s">
        <v>636</v>
      </c>
      <c r="E2569" s="197" t="s">
        <v>1739</v>
      </c>
      <c r="F2569" s="507">
        <f>SUMIFS(Controle!$R:$R,Controle!$H:$H,produtos_escape2!$A2569,Controle!$Z:$Z,"1")</f>
        <v>0</v>
      </c>
      <c r="G2569" s="507">
        <f>SUMIFS(Controle!$R:$R,Controle!$H:$H,produtos_escape2!$A2569,Controle!$Z:$Z,"2")</f>
        <v>0</v>
      </c>
      <c r="H2569" s="507">
        <f>SUMIFS(Controle!$R:$R,Controle!$H:$H,produtos_escape2!$A2569,Controle!$Z:$Z,"3")</f>
        <v>0</v>
      </c>
      <c r="I2569" s="507">
        <f>SUMIFS(Controle!$R:$R,Controle!$H:$H,produtos_escape2!$A2569,Controle!$Z:$Z,"4")</f>
        <v>0</v>
      </c>
      <c r="J2569" s="507">
        <f>SUMIFS(Controle!$R:$R,Controle!$H:$H,produtos_escape2!$A2569,Controle!$Z:$Z,"5")</f>
        <v>0</v>
      </c>
      <c r="K2569" s="507">
        <f>SUMIFS(Controle!$R:$R,Controle!$H:$H,produtos_escape2!$A2569,Controle!$Z:$Z,"6")</f>
        <v>0</v>
      </c>
      <c r="L2569" s="507">
        <f t="shared" si="88"/>
        <v>0</v>
      </c>
    </row>
    <row r="2570" spans="1:12" s="84" customFormat="1" ht="18.75" customHeight="1" thickBot="1">
      <c r="A2570" s="353" t="s">
        <v>5857</v>
      </c>
      <c r="B2570" s="194" t="s">
        <v>5858</v>
      </c>
      <c r="C2570" s="339">
        <f t="shared" ref="C2570:C2633" si="89">50000-SUM(F2570:K2570)</f>
        <v>50000</v>
      </c>
      <c r="D2570" s="196" t="s">
        <v>636</v>
      </c>
      <c r="E2570" s="197" t="s">
        <v>1687</v>
      </c>
      <c r="F2570" s="507">
        <f>SUMIFS(Controle!$R:$R,Controle!$H:$H,produtos_escape2!$A2570,Controle!$Z:$Z,"1")</f>
        <v>0</v>
      </c>
      <c r="G2570" s="507">
        <f>SUMIFS(Controle!$R:$R,Controle!$H:$H,produtos_escape2!$A2570,Controle!$Z:$Z,"2")</f>
        <v>0</v>
      </c>
      <c r="H2570" s="507">
        <f>SUMIFS(Controle!$R:$R,Controle!$H:$H,produtos_escape2!$A2570,Controle!$Z:$Z,"3")</f>
        <v>0</v>
      </c>
      <c r="I2570" s="507">
        <f>SUMIFS(Controle!$R:$R,Controle!$H:$H,produtos_escape2!$A2570,Controle!$Z:$Z,"4")</f>
        <v>0</v>
      </c>
      <c r="J2570" s="507">
        <f>SUMIFS(Controle!$R:$R,Controle!$H:$H,produtos_escape2!$A2570,Controle!$Z:$Z,"5")</f>
        <v>0</v>
      </c>
      <c r="K2570" s="507">
        <f>SUMIFS(Controle!$R:$R,Controle!$H:$H,produtos_escape2!$A2570,Controle!$Z:$Z,"6")</f>
        <v>0</v>
      </c>
      <c r="L2570" s="507">
        <f t="shared" si="88"/>
        <v>0</v>
      </c>
    </row>
    <row r="2571" spans="1:12" s="84" customFormat="1" ht="18.75" customHeight="1" thickBot="1">
      <c r="A2571" s="353" t="s">
        <v>9754</v>
      </c>
      <c r="B2571" s="194" t="s">
        <v>9755</v>
      </c>
      <c r="C2571" s="339">
        <f t="shared" si="89"/>
        <v>50000</v>
      </c>
      <c r="D2571" s="196" t="s">
        <v>636</v>
      </c>
      <c r="E2571" s="197" t="s">
        <v>1687</v>
      </c>
      <c r="F2571" s="507">
        <f>SUMIFS(Controle!$R:$R,Controle!$H:$H,produtos_escape2!$A2571,Controle!$Z:$Z,"1")</f>
        <v>0</v>
      </c>
      <c r="G2571" s="507">
        <f>SUMIFS(Controle!$R:$R,Controle!$H:$H,produtos_escape2!$A2571,Controle!$Z:$Z,"2")</f>
        <v>0</v>
      </c>
      <c r="H2571" s="507">
        <f>SUMIFS(Controle!$R:$R,Controle!$H:$H,produtos_escape2!$A2571,Controle!$Z:$Z,"3")</f>
        <v>0</v>
      </c>
      <c r="I2571" s="507">
        <f>SUMIFS(Controle!$R:$R,Controle!$H:$H,produtos_escape2!$A2571,Controle!$Z:$Z,"4")</f>
        <v>0</v>
      </c>
      <c r="J2571" s="507">
        <f>SUMIFS(Controle!$R:$R,Controle!$H:$H,produtos_escape2!$A2571,Controle!$Z:$Z,"5")</f>
        <v>0</v>
      </c>
      <c r="K2571" s="507">
        <f>SUMIFS(Controle!$R:$R,Controle!$H:$H,produtos_escape2!$A2571,Controle!$Z:$Z,"6")</f>
        <v>0</v>
      </c>
      <c r="L2571" s="507">
        <f t="shared" si="88"/>
        <v>0</v>
      </c>
    </row>
    <row r="2572" spans="1:12" s="84" customFormat="1" ht="18.75" customHeight="1" thickBot="1">
      <c r="A2572" s="353" t="s">
        <v>6731</v>
      </c>
      <c r="B2572" s="194" t="s">
        <v>6732</v>
      </c>
      <c r="C2572" s="339">
        <f t="shared" si="89"/>
        <v>50000</v>
      </c>
      <c r="D2572" s="196" t="s">
        <v>636</v>
      </c>
      <c r="E2572" s="197" t="s">
        <v>1687</v>
      </c>
      <c r="F2572" s="507">
        <f>SUMIFS(Controle!$R:$R,Controle!$H:$H,produtos_escape2!$A2572,Controle!$Z:$Z,"1")</f>
        <v>0</v>
      </c>
      <c r="G2572" s="507">
        <f>SUMIFS(Controle!$R:$R,Controle!$H:$H,produtos_escape2!$A2572,Controle!$Z:$Z,"2")</f>
        <v>0</v>
      </c>
      <c r="H2572" s="507">
        <f>SUMIFS(Controle!$R:$R,Controle!$H:$H,produtos_escape2!$A2572,Controle!$Z:$Z,"3")</f>
        <v>0</v>
      </c>
      <c r="I2572" s="507">
        <f>SUMIFS(Controle!$R:$R,Controle!$H:$H,produtos_escape2!$A2572,Controle!$Z:$Z,"4")</f>
        <v>0</v>
      </c>
      <c r="J2572" s="507">
        <f>SUMIFS(Controle!$R:$R,Controle!$H:$H,produtos_escape2!$A2572,Controle!$Z:$Z,"5")</f>
        <v>0</v>
      </c>
      <c r="K2572" s="507">
        <f>SUMIFS(Controle!$R:$R,Controle!$H:$H,produtos_escape2!$A2572,Controle!$Z:$Z,"6")</f>
        <v>0</v>
      </c>
      <c r="L2572" s="507">
        <f t="shared" si="88"/>
        <v>0</v>
      </c>
    </row>
    <row r="2573" spans="1:12" s="84" customFormat="1" ht="14.25" customHeight="1" thickBot="1">
      <c r="A2573" s="353" t="s">
        <v>8444</v>
      </c>
      <c r="B2573" s="194" t="s">
        <v>8446</v>
      </c>
      <c r="C2573" s="339">
        <f t="shared" si="89"/>
        <v>41658</v>
      </c>
      <c r="D2573" s="196" t="s">
        <v>636</v>
      </c>
      <c r="E2573" s="197" t="s">
        <v>1687</v>
      </c>
      <c r="F2573" s="507">
        <f>SUMIFS(Controle!$R:$R,Controle!$H:$H,produtos_escape2!$A2573,Controle!$Z:$Z,"1")</f>
        <v>0</v>
      </c>
      <c r="G2573" s="507">
        <f>SUMIFS(Controle!$R:$R,Controle!$H:$H,produtos_escape2!$A2573,Controle!$Z:$Z,"2")</f>
        <v>0</v>
      </c>
      <c r="H2573" s="507">
        <f>SUMIFS(Controle!$R:$R,Controle!$H:$H,produtos_escape2!$A2573,Controle!$Z:$Z,"3")</f>
        <v>2437</v>
      </c>
      <c r="I2573" s="507">
        <f>SUMIFS(Controle!$R:$R,Controle!$H:$H,produtos_escape2!$A2573,Controle!$Z:$Z,"4")</f>
        <v>0</v>
      </c>
      <c r="J2573" s="507">
        <f>SUMIFS(Controle!$R:$R,Controle!$H:$H,produtos_escape2!$A2573,Controle!$Z:$Z,"5")</f>
        <v>0</v>
      </c>
      <c r="K2573" s="507">
        <f>SUMIFS(Controle!$R:$R,Controle!$H:$H,produtos_escape2!$A2573,Controle!$Z:$Z,"6")</f>
        <v>5905</v>
      </c>
      <c r="L2573" s="507">
        <f t="shared" si="88"/>
        <v>8342</v>
      </c>
    </row>
    <row r="2574" spans="1:12" s="84" customFormat="1" ht="14.25" customHeight="1" thickBot="1">
      <c r="A2574" s="353" t="s">
        <v>8445</v>
      </c>
      <c r="B2574" s="194" t="s">
        <v>8447</v>
      </c>
      <c r="C2574" s="339">
        <f t="shared" si="89"/>
        <v>50000</v>
      </c>
      <c r="D2574" s="196" t="s">
        <v>636</v>
      </c>
      <c r="E2574" s="197" t="s">
        <v>1687</v>
      </c>
      <c r="F2574" s="507">
        <f>SUMIFS(Controle!$R:$R,Controle!$H:$H,produtos_escape2!$A2574,Controle!$Z:$Z,"1")</f>
        <v>0</v>
      </c>
      <c r="G2574" s="507">
        <f>SUMIFS(Controle!$R:$R,Controle!$H:$H,produtos_escape2!$A2574,Controle!$Z:$Z,"2")</f>
        <v>0</v>
      </c>
      <c r="H2574" s="507">
        <f>SUMIFS(Controle!$R:$R,Controle!$H:$H,produtos_escape2!$A2574,Controle!$Z:$Z,"3")</f>
        <v>0</v>
      </c>
      <c r="I2574" s="507">
        <f>SUMIFS(Controle!$R:$R,Controle!$H:$H,produtos_escape2!$A2574,Controle!$Z:$Z,"4")</f>
        <v>0</v>
      </c>
      <c r="J2574" s="507">
        <f>SUMIFS(Controle!$R:$R,Controle!$H:$H,produtos_escape2!$A2574,Controle!$Z:$Z,"5")</f>
        <v>0</v>
      </c>
      <c r="K2574" s="507">
        <f>SUMIFS(Controle!$R:$R,Controle!$H:$H,produtos_escape2!$A2574,Controle!$Z:$Z,"6")</f>
        <v>0</v>
      </c>
      <c r="L2574" s="507">
        <f t="shared" si="88"/>
        <v>0</v>
      </c>
    </row>
    <row r="2575" spans="1:12" s="84" customFormat="1" ht="14.25" customHeight="1" thickBot="1">
      <c r="A2575" s="353" t="s">
        <v>4194</v>
      </c>
      <c r="B2575" s="194" t="s">
        <v>4196</v>
      </c>
      <c r="C2575" s="339">
        <f t="shared" si="89"/>
        <v>50000</v>
      </c>
      <c r="D2575" s="196" t="s">
        <v>636</v>
      </c>
      <c r="E2575" s="197" t="s">
        <v>1739</v>
      </c>
      <c r="F2575" s="507">
        <f>SUMIFS(Controle!$R:$R,Controle!$H:$H,produtos_escape2!$A2575,Controle!$Z:$Z,"1")</f>
        <v>0</v>
      </c>
      <c r="G2575" s="507">
        <f>SUMIFS(Controle!$R:$R,Controle!$H:$H,produtos_escape2!$A2575,Controle!$Z:$Z,"2")</f>
        <v>0</v>
      </c>
      <c r="H2575" s="507">
        <f>SUMIFS(Controle!$R:$R,Controle!$H:$H,produtos_escape2!$A2575,Controle!$Z:$Z,"3")</f>
        <v>0</v>
      </c>
      <c r="I2575" s="507">
        <f>SUMIFS(Controle!$R:$R,Controle!$H:$H,produtos_escape2!$A2575,Controle!$Z:$Z,"4")</f>
        <v>0</v>
      </c>
      <c r="J2575" s="507">
        <f>SUMIFS(Controle!$R:$R,Controle!$H:$H,produtos_escape2!$A2575,Controle!$Z:$Z,"5")</f>
        <v>0</v>
      </c>
      <c r="K2575" s="507">
        <f>SUMIFS(Controle!$R:$R,Controle!$H:$H,produtos_escape2!$A2575,Controle!$Z:$Z,"6")</f>
        <v>0</v>
      </c>
      <c r="L2575" s="507">
        <f t="shared" si="88"/>
        <v>0</v>
      </c>
    </row>
    <row r="2576" spans="1:12" s="84" customFormat="1" ht="14.25" customHeight="1" thickBot="1">
      <c r="A2576" s="333" t="s">
        <v>4195</v>
      </c>
      <c r="B2576" s="194" t="s">
        <v>4197</v>
      </c>
      <c r="C2576" s="339">
        <f t="shared" si="89"/>
        <v>50000</v>
      </c>
      <c r="D2576" s="196" t="s">
        <v>636</v>
      </c>
      <c r="E2576" s="197" t="s">
        <v>1739</v>
      </c>
      <c r="F2576" s="507">
        <f>SUMIFS(Controle!$R:$R,Controle!$H:$H,produtos_escape2!$A2576,Controle!$Z:$Z,"1")</f>
        <v>0</v>
      </c>
      <c r="G2576" s="507">
        <f>SUMIFS(Controle!$R:$R,Controle!$H:$H,produtos_escape2!$A2576,Controle!$Z:$Z,"2")</f>
        <v>0</v>
      </c>
      <c r="H2576" s="507">
        <f>SUMIFS(Controle!$R:$R,Controle!$H:$H,produtos_escape2!$A2576,Controle!$Z:$Z,"3")</f>
        <v>0</v>
      </c>
      <c r="I2576" s="507">
        <f>SUMIFS(Controle!$R:$R,Controle!$H:$H,produtos_escape2!$A2576,Controle!$Z:$Z,"4")</f>
        <v>0</v>
      </c>
      <c r="J2576" s="507">
        <f>SUMIFS(Controle!$R:$R,Controle!$H:$H,produtos_escape2!$A2576,Controle!$Z:$Z,"5")</f>
        <v>0</v>
      </c>
      <c r="K2576" s="507">
        <f>SUMIFS(Controle!$R:$R,Controle!$H:$H,produtos_escape2!$A2576,Controle!$Z:$Z,"6")</f>
        <v>0</v>
      </c>
      <c r="L2576" s="507">
        <f t="shared" si="88"/>
        <v>0</v>
      </c>
    </row>
    <row r="2577" spans="1:12" s="84" customFormat="1" ht="14.25" customHeight="1" thickBot="1">
      <c r="A2577" s="353" t="s">
        <v>4205</v>
      </c>
      <c r="B2577" s="194" t="s">
        <v>6816</v>
      </c>
      <c r="C2577" s="339">
        <f t="shared" si="89"/>
        <v>50000</v>
      </c>
      <c r="D2577" s="196" t="s">
        <v>636</v>
      </c>
      <c r="E2577" s="197" t="s">
        <v>1739</v>
      </c>
      <c r="F2577" s="507">
        <f>SUMIFS(Controle!$R:$R,Controle!$H:$H,produtos_escape2!$A2577,Controle!$Z:$Z,"1")</f>
        <v>0</v>
      </c>
      <c r="G2577" s="507">
        <f>SUMIFS(Controle!$R:$R,Controle!$H:$H,produtos_escape2!$A2577,Controle!$Z:$Z,"2")</f>
        <v>0</v>
      </c>
      <c r="H2577" s="507">
        <f>SUMIFS(Controle!$R:$R,Controle!$H:$H,produtos_escape2!$A2577,Controle!$Z:$Z,"3")</f>
        <v>0</v>
      </c>
      <c r="I2577" s="507">
        <f>SUMIFS(Controle!$R:$R,Controle!$H:$H,produtos_escape2!$A2577,Controle!$Z:$Z,"4")</f>
        <v>0</v>
      </c>
      <c r="J2577" s="507">
        <f>SUMIFS(Controle!$R:$R,Controle!$H:$H,produtos_escape2!$A2577,Controle!$Z:$Z,"5")</f>
        <v>0</v>
      </c>
      <c r="K2577" s="507">
        <f>SUMIFS(Controle!$R:$R,Controle!$H:$H,produtos_escape2!$A2577,Controle!$Z:$Z,"6")</f>
        <v>0</v>
      </c>
      <c r="L2577" s="507">
        <f t="shared" si="88"/>
        <v>0</v>
      </c>
    </row>
    <row r="2578" spans="1:12" s="84" customFormat="1" ht="14.25" customHeight="1" thickBot="1">
      <c r="A2578" s="353" t="s">
        <v>6817</v>
      </c>
      <c r="B2578" s="194" t="s">
        <v>6818</v>
      </c>
      <c r="C2578" s="339">
        <f t="shared" si="89"/>
        <v>50000</v>
      </c>
      <c r="D2578" s="196" t="s">
        <v>636</v>
      </c>
      <c r="E2578" s="197" t="s">
        <v>1739</v>
      </c>
      <c r="F2578" s="507">
        <f>SUMIFS(Controle!$R:$R,Controle!$H:$H,produtos_escape2!$A2578,Controle!$Z:$Z,"1")</f>
        <v>0</v>
      </c>
      <c r="G2578" s="507">
        <f>SUMIFS(Controle!$R:$R,Controle!$H:$H,produtos_escape2!$A2578,Controle!$Z:$Z,"2")</f>
        <v>0</v>
      </c>
      <c r="H2578" s="507">
        <f>SUMIFS(Controle!$R:$R,Controle!$H:$H,produtos_escape2!$A2578,Controle!$Z:$Z,"3")</f>
        <v>0</v>
      </c>
      <c r="I2578" s="507">
        <f>SUMIFS(Controle!$R:$R,Controle!$H:$H,produtos_escape2!$A2578,Controle!$Z:$Z,"4")</f>
        <v>0</v>
      </c>
      <c r="J2578" s="507">
        <f>SUMIFS(Controle!$R:$R,Controle!$H:$H,produtos_escape2!$A2578,Controle!$Z:$Z,"5")</f>
        <v>0</v>
      </c>
      <c r="K2578" s="507">
        <f>SUMIFS(Controle!$R:$R,Controle!$H:$H,produtos_escape2!$A2578,Controle!$Z:$Z,"6")</f>
        <v>0</v>
      </c>
      <c r="L2578" s="507">
        <f t="shared" si="88"/>
        <v>0</v>
      </c>
    </row>
    <row r="2579" spans="1:12" s="84" customFormat="1" ht="14.25" customHeight="1" thickBot="1">
      <c r="A2579" s="353" t="s">
        <v>9520</v>
      </c>
      <c r="B2579" s="194" t="s">
        <v>9521</v>
      </c>
      <c r="C2579" s="339">
        <f t="shared" si="89"/>
        <v>46929.55</v>
      </c>
      <c r="D2579" s="196" t="s">
        <v>636</v>
      </c>
      <c r="E2579" s="197" t="s">
        <v>1739</v>
      </c>
      <c r="F2579" s="507">
        <f>SUMIFS(Controle!$R:$R,Controle!$H:$H,produtos_escape2!$A2579,Controle!$Z:$Z,"1")</f>
        <v>0</v>
      </c>
      <c r="G2579" s="507">
        <f>SUMIFS(Controle!$R:$R,Controle!$H:$H,produtos_escape2!$A2579,Controle!$Z:$Z,"2")</f>
        <v>0</v>
      </c>
      <c r="H2579" s="507">
        <f>SUMIFS(Controle!$R:$R,Controle!$H:$H,produtos_escape2!$A2579,Controle!$Z:$Z,"3")</f>
        <v>0</v>
      </c>
      <c r="I2579" s="507">
        <f>SUMIFS(Controle!$R:$R,Controle!$H:$H,produtos_escape2!$A2579,Controle!$Z:$Z,"4")</f>
        <v>0</v>
      </c>
      <c r="J2579" s="507">
        <f>SUMIFS(Controle!$R:$R,Controle!$H:$H,produtos_escape2!$A2579,Controle!$Z:$Z,"5")</f>
        <v>0</v>
      </c>
      <c r="K2579" s="507">
        <f>SUMIFS(Controle!$R:$R,Controle!$H:$H,produtos_escape2!$A2579,Controle!$Z:$Z,"6")</f>
        <v>3070.45</v>
      </c>
      <c r="L2579" s="507">
        <f t="shared" si="88"/>
        <v>3070.45</v>
      </c>
    </row>
    <row r="2580" spans="1:12" s="84" customFormat="1" ht="14.25" customHeight="1" thickBot="1">
      <c r="A2580" s="353" t="s">
        <v>9937</v>
      </c>
      <c r="B2580" s="194" t="s">
        <v>9938</v>
      </c>
      <c r="C2580" s="339">
        <f t="shared" si="89"/>
        <v>50000</v>
      </c>
      <c r="D2580" s="196" t="s">
        <v>636</v>
      </c>
      <c r="E2580" s="197" t="s">
        <v>1687</v>
      </c>
      <c r="F2580" s="507">
        <f>SUMIFS(Controle!$R:$R,Controle!$H:$H,produtos_escape2!$A2580,Controle!$Z:$Z,"1")</f>
        <v>0</v>
      </c>
      <c r="G2580" s="507">
        <f>SUMIFS(Controle!$R:$R,Controle!$H:$H,produtos_escape2!$A2580,Controle!$Z:$Z,"2")</f>
        <v>0</v>
      </c>
      <c r="H2580" s="507">
        <f>SUMIFS(Controle!$R:$R,Controle!$H:$H,produtos_escape2!$A2580,Controle!$Z:$Z,"3")</f>
        <v>0</v>
      </c>
      <c r="I2580" s="507">
        <f>SUMIFS(Controle!$R:$R,Controle!$H:$H,produtos_escape2!$A2580,Controle!$Z:$Z,"4")</f>
        <v>0</v>
      </c>
      <c r="J2580" s="507">
        <f>SUMIFS(Controle!$R:$R,Controle!$H:$H,produtos_escape2!$A2580,Controle!$Z:$Z,"5")</f>
        <v>0</v>
      </c>
      <c r="K2580" s="507">
        <f>SUMIFS(Controle!$R:$R,Controle!$H:$H,produtos_escape2!$A2580,Controle!$Z:$Z,"6")</f>
        <v>0</v>
      </c>
      <c r="L2580" s="507">
        <f t="shared" si="88"/>
        <v>0</v>
      </c>
    </row>
    <row r="2581" spans="1:12" s="84" customFormat="1" ht="14.25" customHeight="1" thickBot="1">
      <c r="A2581" s="353" t="s">
        <v>3193</v>
      </c>
      <c r="B2581" s="194" t="s">
        <v>3336</v>
      </c>
      <c r="C2581" s="339">
        <f t="shared" si="89"/>
        <v>50000</v>
      </c>
      <c r="D2581" s="196" t="s">
        <v>636</v>
      </c>
      <c r="E2581" s="197" t="s">
        <v>1739</v>
      </c>
      <c r="F2581" s="507">
        <f>SUMIFS(Controle!$R:$R,Controle!$H:$H,produtos_escape2!$A2581,Controle!$Z:$Z,"1")</f>
        <v>0</v>
      </c>
      <c r="G2581" s="507">
        <f>SUMIFS(Controle!$R:$R,Controle!$H:$H,produtos_escape2!$A2581,Controle!$Z:$Z,"2")</f>
        <v>0</v>
      </c>
      <c r="H2581" s="507">
        <f>SUMIFS(Controle!$R:$R,Controle!$H:$H,produtos_escape2!$A2581,Controle!$Z:$Z,"3")</f>
        <v>0</v>
      </c>
      <c r="I2581" s="507">
        <f>SUMIFS(Controle!$R:$R,Controle!$H:$H,produtos_escape2!$A2581,Controle!$Z:$Z,"4")</f>
        <v>0</v>
      </c>
      <c r="J2581" s="507">
        <f>SUMIFS(Controle!$R:$R,Controle!$H:$H,produtos_escape2!$A2581,Controle!$Z:$Z,"5")</f>
        <v>0</v>
      </c>
      <c r="K2581" s="507">
        <f>SUMIFS(Controle!$R:$R,Controle!$H:$H,produtos_escape2!$A2581,Controle!$Z:$Z,"6")</f>
        <v>0</v>
      </c>
      <c r="L2581" s="507">
        <f t="shared" si="88"/>
        <v>0</v>
      </c>
    </row>
    <row r="2582" spans="1:12" s="84" customFormat="1" ht="14.25" customHeight="1" thickBot="1">
      <c r="A2582" s="353" t="s">
        <v>3194</v>
      </c>
      <c r="B2582" s="338" t="s">
        <v>3268</v>
      </c>
      <c r="C2582" s="339">
        <f t="shared" si="89"/>
        <v>50000</v>
      </c>
      <c r="D2582" s="196" t="s">
        <v>636</v>
      </c>
      <c r="E2582" s="197" t="s">
        <v>1687</v>
      </c>
      <c r="F2582" s="507">
        <f>SUMIFS(Controle!$R:$R,Controle!$H:$H,produtos_escape2!$A2582,Controle!$Z:$Z,"1")</f>
        <v>0</v>
      </c>
      <c r="G2582" s="507">
        <f>SUMIFS(Controle!$R:$R,Controle!$H:$H,produtos_escape2!$A2582,Controle!$Z:$Z,"2")</f>
        <v>0</v>
      </c>
      <c r="H2582" s="507">
        <f>SUMIFS(Controle!$R:$R,Controle!$H:$H,produtos_escape2!$A2582,Controle!$Z:$Z,"3")</f>
        <v>0</v>
      </c>
      <c r="I2582" s="507">
        <f>SUMIFS(Controle!$R:$R,Controle!$H:$H,produtos_escape2!$A2582,Controle!$Z:$Z,"4")</f>
        <v>0</v>
      </c>
      <c r="J2582" s="507">
        <f>SUMIFS(Controle!$R:$R,Controle!$H:$H,produtos_escape2!$A2582,Controle!$Z:$Z,"5")</f>
        <v>0</v>
      </c>
      <c r="K2582" s="507">
        <f>SUMIFS(Controle!$R:$R,Controle!$H:$H,produtos_escape2!$A2582,Controle!$Z:$Z,"6")</f>
        <v>0</v>
      </c>
      <c r="L2582" s="507">
        <f t="shared" si="88"/>
        <v>0</v>
      </c>
    </row>
    <row r="2583" spans="1:12" s="84" customFormat="1" ht="14.25" customHeight="1" thickBot="1">
      <c r="A2583" s="353" t="s">
        <v>3195</v>
      </c>
      <c r="B2583" s="194" t="s">
        <v>3269</v>
      </c>
      <c r="C2583" s="339">
        <f t="shared" si="89"/>
        <v>50000</v>
      </c>
      <c r="D2583" s="196" t="s">
        <v>636</v>
      </c>
      <c r="E2583" s="197" t="s">
        <v>1687</v>
      </c>
      <c r="F2583" s="507">
        <f>SUMIFS(Controle!$R:$R,Controle!$H:$H,produtos_escape2!$A2583,Controle!$Z:$Z,"1")</f>
        <v>0</v>
      </c>
      <c r="G2583" s="507">
        <f>SUMIFS(Controle!$R:$R,Controle!$H:$H,produtos_escape2!$A2583,Controle!$Z:$Z,"2")</f>
        <v>0</v>
      </c>
      <c r="H2583" s="507">
        <f>SUMIFS(Controle!$R:$R,Controle!$H:$H,produtos_escape2!$A2583,Controle!$Z:$Z,"3")</f>
        <v>0</v>
      </c>
      <c r="I2583" s="507">
        <f>SUMIFS(Controle!$R:$R,Controle!$H:$H,produtos_escape2!$A2583,Controle!$Z:$Z,"4")</f>
        <v>0</v>
      </c>
      <c r="J2583" s="507">
        <f>SUMIFS(Controle!$R:$R,Controle!$H:$H,produtos_escape2!$A2583,Controle!$Z:$Z,"5")</f>
        <v>0</v>
      </c>
      <c r="K2583" s="507">
        <f>SUMIFS(Controle!$R:$R,Controle!$H:$H,produtos_escape2!$A2583,Controle!$Z:$Z,"6")</f>
        <v>0</v>
      </c>
      <c r="L2583" s="507">
        <f t="shared" si="88"/>
        <v>0</v>
      </c>
    </row>
    <row r="2584" spans="1:12" s="84" customFormat="1" ht="14.25" customHeight="1" thickBot="1">
      <c r="A2584" s="353" t="s">
        <v>3196</v>
      </c>
      <c r="B2584" s="194" t="s">
        <v>3270</v>
      </c>
      <c r="C2584" s="339">
        <f t="shared" si="89"/>
        <v>50000</v>
      </c>
      <c r="D2584" s="196" t="s">
        <v>636</v>
      </c>
      <c r="E2584" s="197" t="s">
        <v>1687</v>
      </c>
      <c r="F2584" s="507">
        <f>SUMIFS(Controle!$R:$R,Controle!$H:$H,produtos_escape2!$A2584,Controle!$Z:$Z,"1")</f>
        <v>0</v>
      </c>
      <c r="G2584" s="507">
        <f>SUMIFS(Controle!$R:$R,Controle!$H:$H,produtos_escape2!$A2584,Controle!$Z:$Z,"2")</f>
        <v>0</v>
      </c>
      <c r="H2584" s="507">
        <f>SUMIFS(Controle!$R:$R,Controle!$H:$H,produtos_escape2!$A2584,Controle!$Z:$Z,"3")</f>
        <v>0</v>
      </c>
      <c r="I2584" s="507">
        <f>SUMIFS(Controle!$R:$R,Controle!$H:$H,produtos_escape2!$A2584,Controle!$Z:$Z,"4")</f>
        <v>0</v>
      </c>
      <c r="J2584" s="507">
        <f>SUMIFS(Controle!$R:$R,Controle!$H:$H,produtos_escape2!$A2584,Controle!$Z:$Z,"5")</f>
        <v>0</v>
      </c>
      <c r="K2584" s="507">
        <f>SUMIFS(Controle!$R:$R,Controle!$H:$H,produtos_escape2!$A2584,Controle!$Z:$Z,"6")</f>
        <v>0</v>
      </c>
      <c r="L2584" s="507">
        <f t="shared" si="88"/>
        <v>0</v>
      </c>
    </row>
    <row r="2585" spans="1:12" s="84" customFormat="1" ht="14.25" customHeight="1" thickBot="1">
      <c r="A2585" s="353" t="s">
        <v>3197</v>
      </c>
      <c r="B2585" s="194" t="s">
        <v>3271</v>
      </c>
      <c r="C2585" s="339">
        <f t="shared" si="89"/>
        <v>50000</v>
      </c>
      <c r="D2585" s="196" t="s">
        <v>636</v>
      </c>
      <c r="E2585" s="197" t="s">
        <v>1687</v>
      </c>
      <c r="F2585" s="507">
        <f>SUMIFS(Controle!$R:$R,Controle!$H:$H,produtos_escape2!$A2585,Controle!$Z:$Z,"1")</f>
        <v>0</v>
      </c>
      <c r="G2585" s="507">
        <f>SUMIFS(Controle!$R:$R,Controle!$H:$H,produtos_escape2!$A2585,Controle!$Z:$Z,"2")</f>
        <v>0</v>
      </c>
      <c r="H2585" s="507">
        <f>SUMIFS(Controle!$R:$R,Controle!$H:$H,produtos_escape2!$A2585,Controle!$Z:$Z,"3")</f>
        <v>0</v>
      </c>
      <c r="I2585" s="507">
        <f>SUMIFS(Controle!$R:$R,Controle!$H:$H,produtos_escape2!$A2585,Controle!$Z:$Z,"4")</f>
        <v>0</v>
      </c>
      <c r="J2585" s="507">
        <f>SUMIFS(Controle!$R:$R,Controle!$H:$H,produtos_escape2!$A2585,Controle!$Z:$Z,"5")</f>
        <v>0</v>
      </c>
      <c r="K2585" s="507">
        <f>SUMIFS(Controle!$R:$R,Controle!$H:$H,produtos_escape2!$A2585,Controle!$Z:$Z,"6")</f>
        <v>0</v>
      </c>
      <c r="L2585" s="507">
        <f t="shared" si="88"/>
        <v>0</v>
      </c>
    </row>
    <row r="2586" spans="1:12" s="84" customFormat="1" ht="14.25" customHeight="1" thickBot="1">
      <c r="A2586" s="353" t="s">
        <v>3198</v>
      </c>
      <c r="B2586" s="194" t="s">
        <v>3272</v>
      </c>
      <c r="C2586" s="339">
        <f t="shared" si="89"/>
        <v>50000</v>
      </c>
      <c r="D2586" s="196" t="s">
        <v>636</v>
      </c>
      <c r="E2586" s="197" t="s">
        <v>1687</v>
      </c>
      <c r="F2586" s="507">
        <f>SUMIFS(Controle!$R:$R,Controle!$H:$H,produtos_escape2!$A2586,Controle!$Z:$Z,"1")</f>
        <v>0</v>
      </c>
      <c r="G2586" s="507">
        <f>SUMIFS(Controle!$R:$R,Controle!$H:$H,produtos_escape2!$A2586,Controle!$Z:$Z,"2")</f>
        <v>0</v>
      </c>
      <c r="H2586" s="507">
        <f>SUMIFS(Controle!$R:$R,Controle!$H:$H,produtos_escape2!$A2586,Controle!$Z:$Z,"3")</f>
        <v>0</v>
      </c>
      <c r="I2586" s="507">
        <f>SUMIFS(Controle!$R:$R,Controle!$H:$H,produtos_escape2!$A2586,Controle!$Z:$Z,"4")</f>
        <v>0</v>
      </c>
      <c r="J2586" s="507">
        <f>SUMIFS(Controle!$R:$R,Controle!$H:$H,produtos_escape2!$A2586,Controle!$Z:$Z,"5")</f>
        <v>0</v>
      </c>
      <c r="K2586" s="507">
        <f>SUMIFS(Controle!$R:$R,Controle!$H:$H,produtos_escape2!$A2586,Controle!$Z:$Z,"6")</f>
        <v>0</v>
      </c>
      <c r="L2586" s="507">
        <f t="shared" si="88"/>
        <v>0</v>
      </c>
    </row>
    <row r="2587" spans="1:12" s="84" customFormat="1" ht="14.25" customHeight="1" thickBot="1">
      <c r="A2587" s="333" t="s">
        <v>3692</v>
      </c>
      <c r="B2587" s="194" t="s">
        <v>3694</v>
      </c>
      <c r="C2587" s="339">
        <f t="shared" si="89"/>
        <v>50000</v>
      </c>
      <c r="D2587" s="196" t="s">
        <v>636</v>
      </c>
      <c r="E2587" s="197" t="s">
        <v>1687</v>
      </c>
      <c r="F2587" s="507">
        <f>SUMIFS(Controle!$R:$R,Controle!$H:$H,produtos_escape2!$A2587,Controle!$Z:$Z,"1")</f>
        <v>0</v>
      </c>
      <c r="G2587" s="507">
        <f>SUMIFS(Controle!$R:$R,Controle!$H:$H,produtos_escape2!$A2587,Controle!$Z:$Z,"2")</f>
        <v>0</v>
      </c>
      <c r="H2587" s="507">
        <f>SUMIFS(Controle!$R:$R,Controle!$H:$H,produtos_escape2!$A2587,Controle!$Z:$Z,"3")</f>
        <v>0</v>
      </c>
      <c r="I2587" s="507">
        <f>SUMIFS(Controle!$R:$R,Controle!$H:$H,produtos_escape2!$A2587,Controle!$Z:$Z,"4")</f>
        <v>0</v>
      </c>
      <c r="J2587" s="507">
        <f>SUMIFS(Controle!$R:$R,Controle!$H:$H,produtos_escape2!$A2587,Controle!$Z:$Z,"5")</f>
        <v>0</v>
      </c>
      <c r="K2587" s="507">
        <f>SUMIFS(Controle!$R:$R,Controle!$H:$H,produtos_escape2!$A2587,Controle!$Z:$Z,"6")</f>
        <v>0</v>
      </c>
      <c r="L2587" s="507">
        <f t="shared" si="88"/>
        <v>0</v>
      </c>
    </row>
    <row r="2588" spans="1:12" s="84" customFormat="1" ht="14.25" customHeight="1" thickBot="1">
      <c r="A2588" s="353" t="s">
        <v>3693</v>
      </c>
      <c r="B2588" s="194" t="s">
        <v>3695</v>
      </c>
      <c r="C2588" s="339">
        <f t="shared" si="89"/>
        <v>50000</v>
      </c>
      <c r="D2588" s="196" t="s">
        <v>636</v>
      </c>
      <c r="E2588" s="197" t="s">
        <v>1687</v>
      </c>
      <c r="F2588" s="507">
        <f>SUMIFS(Controle!$R:$R,Controle!$H:$H,produtos_escape2!$A2588,Controle!$Z:$Z,"1")</f>
        <v>0</v>
      </c>
      <c r="G2588" s="507">
        <f>SUMIFS(Controle!$R:$R,Controle!$H:$H,produtos_escape2!$A2588,Controle!$Z:$Z,"2")</f>
        <v>0</v>
      </c>
      <c r="H2588" s="507">
        <f>SUMIFS(Controle!$R:$R,Controle!$H:$H,produtos_escape2!$A2588,Controle!$Z:$Z,"3")</f>
        <v>0</v>
      </c>
      <c r="I2588" s="507">
        <f>SUMIFS(Controle!$R:$R,Controle!$H:$H,produtos_escape2!$A2588,Controle!$Z:$Z,"4")</f>
        <v>0</v>
      </c>
      <c r="J2588" s="507">
        <f>SUMIFS(Controle!$R:$R,Controle!$H:$H,produtos_escape2!$A2588,Controle!$Z:$Z,"5")</f>
        <v>0</v>
      </c>
      <c r="K2588" s="507">
        <f>SUMIFS(Controle!$R:$R,Controle!$H:$H,produtos_escape2!$A2588,Controle!$Z:$Z,"6")</f>
        <v>0</v>
      </c>
      <c r="L2588" s="507">
        <f t="shared" si="88"/>
        <v>0</v>
      </c>
    </row>
    <row r="2589" spans="1:12" s="84" customFormat="1" ht="14.25" customHeight="1" thickBot="1">
      <c r="A2589" s="353" t="s">
        <v>3853</v>
      </c>
      <c r="B2589" s="194" t="s">
        <v>3854</v>
      </c>
      <c r="C2589" s="339">
        <f t="shared" si="89"/>
        <v>50000</v>
      </c>
      <c r="D2589" s="196" t="s">
        <v>636</v>
      </c>
      <c r="E2589" s="197" t="s">
        <v>1687</v>
      </c>
      <c r="F2589" s="507">
        <f>SUMIFS(Controle!$R:$R,Controle!$H:$H,produtos_escape2!$A2589,Controle!$Z:$Z,"1")</f>
        <v>0</v>
      </c>
      <c r="G2589" s="507">
        <f>SUMIFS(Controle!$R:$R,Controle!$H:$H,produtos_escape2!$A2589,Controle!$Z:$Z,"2")</f>
        <v>0</v>
      </c>
      <c r="H2589" s="507">
        <f>SUMIFS(Controle!$R:$R,Controle!$H:$H,produtos_escape2!$A2589,Controle!$Z:$Z,"3")</f>
        <v>0</v>
      </c>
      <c r="I2589" s="507">
        <f>SUMIFS(Controle!$R:$R,Controle!$H:$H,produtos_escape2!$A2589,Controle!$Z:$Z,"4")</f>
        <v>0</v>
      </c>
      <c r="J2589" s="507">
        <f>SUMIFS(Controle!$R:$R,Controle!$H:$H,produtos_escape2!$A2589,Controle!$Z:$Z,"5")</f>
        <v>0</v>
      </c>
      <c r="K2589" s="507">
        <f>SUMIFS(Controle!$R:$R,Controle!$H:$H,produtos_escape2!$A2589,Controle!$Z:$Z,"6")</f>
        <v>0</v>
      </c>
      <c r="L2589" s="507">
        <f t="shared" si="88"/>
        <v>0</v>
      </c>
    </row>
    <row r="2590" spans="1:12" s="84" customFormat="1" ht="14.25" customHeight="1" thickBot="1">
      <c r="A2590" s="353" t="s">
        <v>9581</v>
      </c>
      <c r="B2590" s="338" t="s">
        <v>9582</v>
      </c>
      <c r="C2590" s="339">
        <f t="shared" si="89"/>
        <v>47200</v>
      </c>
      <c r="D2590" s="196" t="s">
        <v>636</v>
      </c>
      <c r="E2590" s="197" t="s">
        <v>1687</v>
      </c>
      <c r="F2590" s="507">
        <f>SUMIFS(Controle!$R:$R,Controle!$H:$H,produtos_escape2!$A2590,Controle!$Z:$Z,"1")</f>
        <v>0</v>
      </c>
      <c r="G2590" s="507">
        <f>SUMIFS(Controle!$R:$R,Controle!$H:$H,produtos_escape2!$A2590,Controle!$Z:$Z,"2")</f>
        <v>0</v>
      </c>
      <c r="H2590" s="507">
        <f>SUMIFS(Controle!$R:$R,Controle!$H:$H,produtos_escape2!$A2590,Controle!$Z:$Z,"3")</f>
        <v>0</v>
      </c>
      <c r="I2590" s="507">
        <f>SUMIFS(Controle!$R:$R,Controle!$H:$H,produtos_escape2!$A2590,Controle!$Z:$Z,"4")</f>
        <v>0</v>
      </c>
      <c r="J2590" s="507">
        <f>SUMIFS(Controle!$R:$R,Controle!$H:$H,produtos_escape2!$A2590,Controle!$Z:$Z,"5")</f>
        <v>0</v>
      </c>
      <c r="K2590" s="507">
        <f>SUMIFS(Controle!$R:$R,Controle!$H:$H,produtos_escape2!$A2590,Controle!$Z:$Z,"6")</f>
        <v>2800</v>
      </c>
      <c r="L2590" s="507">
        <f t="shared" si="88"/>
        <v>2800</v>
      </c>
    </row>
    <row r="2591" spans="1:12" s="84" customFormat="1" ht="14.25" customHeight="1" thickBot="1">
      <c r="A2591" s="353" t="s">
        <v>3199</v>
      </c>
      <c r="B2591" s="338" t="s">
        <v>3076</v>
      </c>
      <c r="C2591" s="339">
        <f t="shared" si="89"/>
        <v>50000</v>
      </c>
      <c r="D2591" s="196" t="s">
        <v>636</v>
      </c>
      <c r="E2591" s="197" t="s">
        <v>1687</v>
      </c>
      <c r="F2591" s="507">
        <f>SUMIFS(Controle!$R:$R,Controle!$H:$H,produtos_escape2!$A2591,Controle!$Z:$Z,"1")</f>
        <v>0</v>
      </c>
      <c r="G2591" s="507">
        <f>SUMIFS(Controle!$R:$R,Controle!$H:$H,produtos_escape2!$A2591,Controle!$Z:$Z,"2")</f>
        <v>0</v>
      </c>
      <c r="H2591" s="507">
        <f>SUMIFS(Controle!$R:$R,Controle!$H:$H,produtos_escape2!$A2591,Controle!$Z:$Z,"3")</f>
        <v>0</v>
      </c>
      <c r="I2591" s="507">
        <f>SUMIFS(Controle!$R:$R,Controle!$H:$H,produtos_escape2!$A2591,Controle!$Z:$Z,"4")</f>
        <v>0</v>
      </c>
      <c r="J2591" s="507">
        <f>SUMIFS(Controle!$R:$R,Controle!$H:$H,produtos_escape2!$A2591,Controle!$Z:$Z,"5")</f>
        <v>0</v>
      </c>
      <c r="K2591" s="507">
        <f>SUMIFS(Controle!$R:$R,Controle!$H:$H,produtos_escape2!$A2591,Controle!$Z:$Z,"6")</f>
        <v>0</v>
      </c>
      <c r="L2591" s="507">
        <f t="shared" si="88"/>
        <v>0</v>
      </c>
    </row>
    <row r="2592" spans="1:12" s="84" customFormat="1" ht="14.25" customHeight="1" thickBot="1">
      <c r="A2592" s="353" t="s">
        <v>3200</v>
      </c>
      <c r="B2592" s="194" t="s">
        <v>3077</v>
      </c>
      <c r="C2592" s="339">
        <f t="shared" si="89"/>
        <v>50000</v>
      </c>
      <c r="D2592" s="196" t="s">
        <v>636</v>
      </c>
      <c r="E2592" s="197" t="s">
        <v>1739</v>
      </c>
      <c r="F2592" s="507">
        <f>SUMIFS(Controle!$R:$R,Controle!$H:$H,produtos_escape2!$A2592,Controle!$Z:$Z,"1")</f>
        <v>0</v>
      </c>
      <c r="G2592" s="507">
        <f>SUMIFS(Controle!$R:$R,Controle!$H:$H,produtos_escape2!$A2592,Controle!$Z:$Z,"2")</f>
        <v>0</v>
      </c>
      <c r="H2592" s="507">
        <f>SUMIFS(Controle!$R:$R,Controle!$H:$H,produtos_escape2!$A2592,Controle!$Z:$Z,"3")</f>
        <v>0</v>
      </c>
      <c r="I2592" s="507">
        <f>SUMIFS(Controle!$R:$R,Controle!$H:$H,produtos_escape2!$A2592,Controle!$Z:$Z,"4")</f>
        <v>0</v>
      </c>
      <c r="J2592" s="507">
        <f>SUMIFS(Controle!$R:$R,Controle!$H:$H,produtos_escape2!$A2592,Controle!$Z:$Z,"5")</f>
        <v>0</v>
      </c>
      <c r="K2592" s="507">
        <f>SUMIFS(Controle!$R:$R,Controle!$H:$H,produtos_escape2!$A2592,Controle!$Z:$Z,"6")</f>
        <v>0</v>
      </c>
      <c r="L2592" s="507">
        <f t="shared" si="88"/>
        <v>0</v>
      </c>
    </row>
    <row r="2593" spans="1:12" s="84" customFormat="1" ht="14.25" customHeight="1" thickBot="1">
      <c r="A2593" s="353" t="s">
        <v>3201</v>
      </c>
      <c r="B2593" s="194" t="s">
        <v>3078</v>
      </c>
      <c r="C2593" s="339">
        <f t="shared" si="89"/>
        <v>50000</v>
      </c>
      <c r="D2593" s="196" t="s">
        <v>636</v>
      </c>
      <c r="E2593" s="197" t="s">
        <v>1739</v>
      </c>
      <c r="F2593" s="507">
        <f>SUMIFS(Controle!$R:$R,Controle!$H:$H,produtos_escape2!$A2593,Controle!$Z:$Z,"1")</f>
        <v>0</v>
      </c>
      <c r="G2593" s="507">
        <f>SUMIFS(Controle!$R:$R,Controle!$H:$H,produtos_escape2!$A2593,Controle!$Z:$Z,"2")</f>
        <v>0</v>
      </c>
      <c r="H2593" s="507">
        <f>SUMIFS(Controle!$R:$R,Controle!$H:$H,produtos_escape2!$A2593,Controle!$Z:$Z,"3")</f>
        <v>0</v>
      </c>
      <c r="I2593" s="507">
        <f>SUMIFS(Controle!$R:$R,Controle!$H:$H,produtos_escape2!$A2593,Controle!$Z:$Z,"4")</f>
        <v>0</v>
      </c>
      <c r="J2593" s="507">
        <f>SUMIFS(Controle!$R:$R,Controle!$H:$H,produtos_escape2!$A2593,Controle!$Z:$Z,"5")</f>
        <v>0</v>
      </c>
      <c r="K2593" s="507">
        <f>SUMIFS(Controle!$R:$R,Controle!$H:$H,produtos_escape2!$A2593,Controle!$Z:$Z,"6")</f>
        <v>0</v>
      </c>
      <c r="L2593" s="507">
        <f t="shared" si="88"/>
        <v>0</v>
      </c>
    </row>
    <row r="2594" spans="1:12" s="84" customFormat="1" ht="14.25" customHeight="1" thickBot="1">
      <c r="A2594" s="353" t="s">
        <v>3805</v>
      </c>
      <c r="B2594" s="194" t="s">
        <v>3806</v>
      </c>
      <c r="C2594" s="339">
        <f t="shared" si="89"/>
        <v>50000</v>
      </c>
      <c r="D2594" s="196" t="s">
        <v>636</v>
      </c>
      <c r="E2594" s="197" t="s">
        <v>1687</v>
      </c>
      <c r="F2594" s="507">
        <f>SUMIFS(Controle!$R:$R,Controle!$H:$H,produtos_escape2!$A2594,Controle!$Z:$Z,"1")</f>
        <v>0</v>
      </c>
      <c r="G2594" s="507">
        <f>SUMIFS(Controle!$R:$R,Controle!$H:$H,produtos_escape2!$A2594,Controle!$Z:$Z,"2")</f>
        <v>0</v>
      </c>
      <c r="H2594" s="507">
        <f>SUMIFS(Controle!$R:$R,Controle!$H:$H,produtos_escape2!$A2594,Controle!$Z:$Z,"3")</f>
        <v>0</v>
      </c>
      <c r="I2594" s="507">
        <f>SUMIFS(Controle!$R:$R,Controle!$H:$H,produtos_escape2!$A2594,Controle!$Z:$Z,"4")</f>
        <v>0</v>
      </c>
      <c r="J2594" s="507">
        <f>SUMIFS(Controle!$R:$R,Controle!$H:$H,produtos_escape2!$A2594,Controle!$Z:$Z,"5")</f>
        <v>0</v>
      </c>
      <c r="K2594" s="507">
        <f>SUMIFS(Controle!$R:$R,Controle!$H:$H,produtos_escape2!$A2594,Controle!$Z:$Z,"6")</f>
        <v>0</v>
      </c>
      <c r="L2594" s="507">
        <f t="shared" si="88"/>
        <v>0</v>
      </c>
    </row>
    <row r="2595" spans="1:12" s="84" customFormat="1" ht="14.25" customHeight="1" thickBot="1">
      <c r="A2595" s="353" t="s">
        <v>3919</v>
      </c>
      <c r="B2595" s="194" t="s">
        <v>3920</v>
      </c>
      <c r="C2595" s="339">
        <f t="shared" si="89"/>
        <v>50000</v>
      </c>
      <c r="D2595" s="196" t="s">
        <v>636</v>
      </c>
      <c r="E2595" s="197" t="s">
        <v>1687</v>
      </c>
      <c r="F2595" s="507">
        <f>SUMIFS(Controle!$R:$R,Controle!$H:$H,produtos_escape2!$A2595,Controle!$Z:$Z,"1")</f>
        <v>0</v>
      </c>
      <c r="G2595" s="507">
        <f>SUMIFS(Controle!$R:$R,Controle!$H:$H,produtos_escape2!$A2595,Controle!$Z:$Z,"2")</f>
        <v>0</v>
      </c>
      <c r="H2595" s="507">
        <f>SUMIFS(Controle!$R:$R,Controle!$H:$H,produtos_escape2!$A2595,Controle!$Z:$Z,"3")</f>
        <v>0</v>
      </c>
      <c r="I2595" s="507">
        <f>SUMIFS(Controle!$R:$R,Controle!$H:$H,produtos_escape2!$A2595,Controle!$Z:$Z,"4")</f>
        <v>0</v>
      </c>
      <c r="J2595" s="507">
        <f>SUMIFS(Controle!$R:$R,Controle!$H:$H,produtos_escape2!$A2595,Controle!$Z:$Z,"5")</f>
        <v>0</v>
      </c>
      <c r="K2595" s="507">
        <f>SUMIFS(Controle!$R:$R,Controle!$H:$H,produtos_escape2!$A2595,Controle!$Z:$Z,"6")</f>
        <v>0</v>
      </c>
      <c r="L2595" s="507">
        <f t="shared" si="88"/>
        <v>0</v>
      </c>
    </row>
    <row r="2596" spans="1:12" s="84" customFormat="1" ht="14.25" customHeight="1" thickBot="1">
      <c r="A2596" s="333" t="s">
        <v>3187</v>
      </c>
      <c r="B2596" s="194" t="s">
        <v>3273</v>
      </c>
      <c r="C2596" s="339">
        <f t="shared" si="89"/>
        <v>50000</v>
      </c>
      <c r="D2596" s="196" t="s">
        <v>636</v>
      </c>
      <c r="E2596" s="197" t="s">
        <v>1687</v>
      </c>
      <c r="F2596" s="507">
        <f>SUMIFS(Controle!$R:$R,Controle!$H:$H,produtos_escape2!$A2596,Controle!$Z:$Z,"1")</f>
        <v>0</v>
      </c>
      <c r="G2596" s="507">
        <f>SUMIFS(Controle!$R:$R,Controle!$H:$H,produtos_escape2!$A2596,Controle!$Z:$Z,"2")</f>
        <v>0</v>
      </c>
      <c r="H2596" s="507">
        <f>SUMIFS(Controle!$R:$R,Controle!$H:$H,produtos_escape2!$A2596,Controle!$Z:$Z,"3")</f>
        <v>0</v>
      </c>
      <c r="I2596" s="507">
        <f>SUMIFS(Controle!$R:$R,Controle!$H:$H,produtos_escape2!$A2596,Controle!$Z:$Z,"4")</f>
        <v>0</v>
      </c>
      <c r="J2596" s="507">
        <f>SUMIFS(Controle!$R:$R,Controle!$H:$H,produtos_escape2!$A2596,Controle!$Z:$Z,"5")</f>
        <v>0</v>
      </c>
      <c r="K2596" s="507">
        <f>SUMIFS(Controle!$R:$R,Controle!$H:$H,produtos_escape2!$A2596,Controle!$Z:$Z,"6")</f>
        <v>0</v>
      </c>
      <c r="L2596" s="507">
        <f t="shared" si="88"/>
        <v>0</v>
      </c>
    </row>
    <row r="2597" spans="1:12" s="84" customFormat="1" ht="14.25" customHeight="1" thickBot="1">
      <c r="A2597" s="353" t="s">
        <v>3188</v>
      </c>
      <c r="B2597" s="194" t="s">
        <v>3274</v>
      </c>
      <c r="C2597" s="339">
        <f t="shared" si="89"/>
        <v>50000</v>
      </c>
      <c r="D2597" s="196" t="s">
        <v>636</v>
      </c>
      <c r="E2597" s="197" t="s">
        <v>1687</v>
      </c>
      <c r="F2597" s="507">
        <f>SUMIFS(Controle!$R:$R,Controle!$H:$H,produtos_escape2!$A2597,Controle!$Z:$Z,"1")</f>
        <v>0</v>
      </c>
      <c r="G2597" s="507">
        <f>SUMIFS(Controle!$R:$R,Controle!$H:$H,produtos_escape2!$A2597,Controle!$Z:$Z,"2")</f>
        <v>0</v>
      </c>
      <c r="H2597" s="507">
        <f>SUMIFS(Controle!$R:$R,Controle!$H:$H,produtos_escape2!$A2597,Controle!$Z:$Z,"3")</f>
        <v>0</v>
      </c>
      <c r="I2597" s="507">
        <f>SUMIFS(Controle!$R:$R,Controle!$H:$H,produtos_escape2!$A2597,Controle!$Z:$Z,"4")</f>
        <v>0</v>
      </c>
      <c r="J2597" s="507">
        <f>SUMIFS(Controle!$R:$R,Controle!$H:$H,produtos_escape2!$A2597,Controle!$Z:$Z,"5")</f>
        <v>0</v>
      </c>
      <c r="K2597" s="507">
        <f>SUMIFS(Controle!$R:$R,Controle!$H:$H,produtos_escape2!$A2597,Controle!$Z:$Z,"6")</f>
        <v>0</v>
      </c>
      <c r="L2597" s="507">
        <f t="shared" si="88"/>
        <v>0</v>
      </c>
    </row>
    <row r="2598" spans="1:12" s="84" customFormat="1" ht="14.25" customHeight="1" thickBot="1">
      <c r="A2598" s="353" t="s">
        <v>3189</v>
      </c>
      <c r="B2598" s="194" t="s">
        <v>3275</v>
      </c>
      <c r="C2598" s="339">
        <f t="shared" si="89"/>
        <v>50000</v>
      </c>
      <c r="D2598" s="196" t="s">
        <v>636</v>
      </c>
      <c r="E2598" s="197" t="s">
        <v>1687</v>
      </c>
      <c r="F2598" s="507">
        <f>SUMIFS(Controle!$R:$R,Controle!$H:$H,produtos_escape2!$A2598,Controle!$Z:$Z,"1")</f>
        <v>0</v>
      </c>
      <c r="G2598" s="507">
        <f>SUMIFS(Controle!$R:$R,Controle!$H:$H,produtos_escape2!$A2598,Controle!$Z:$Z,"2")</f>
        <v>0</v>
      </c>
      <c r="H2598" s="507">
        <f>SUMIFS(Controle!$R:$R,Controle!$H:$H,produtos_escape2!$A2598,Controle!$Z:$Z,"3")</f>
        <v>0</v>
      </c>
      <c r="I2598" s="507">
        <f>SUMIFS(Controle!$R:$R,Controle!$H:$H,produtos_escape2!$A2598,Controle!$Z:$Z,"4")</f>
        <v>0</v>
      </c>
      <c r="J2598" s="507">
        <f>SUMIFS(Controle!$R:$R,Controle!$H:$H,produtos_escape2!$A2598,Controle!$Z:$Z,"5")</f>
        <v>0</v>
      </c>
      <c r="K2598" s="507">
        <f>SUMIFS(Controle!$R:$R,Controle!$H:$H,produtos_escape2!$A2598,Controle!$Z:$Z,"6")</f>
        <v>0</v>
      </c>
      <c r="L2598" s="507">
        <f t="shared" si="88"/>
        <v>0</v>
      </c>
    </row>
    <row r="2599" spans="1:12" s="84" customFormat="1" ht="14.25" customHeight="1" thickBot="1">
      <c r="A2599" s="353" t="s">
        <v>3190</v>
      </c>
      <c r="B2599" s="338" t="s">
        <v>3276</v>
      </c>
      <c r="C2599" s="339">
        <f t="shared" si="89"/>
        <v>50000</v>
      </c>
      <c r="D2599" s="196" t="s">
        <v>636</v>
      </c>
      <c r="E2599" s="197" t="s">
        <v>1687</v>
      </c>
      <c r="F2599" s="507">
        <f>SUMIFS(Controle!$R:$R,Controle!$H:$H,produtos_escape2!$A2599,Controle!$Z:$Z,"1")</f>
        <v>0</v>
      </c>
      <c r="G2599" s="507">
        <f>SUMIFS(Controle!$R:$R,Controle!$H:$H,produtos_escape2!$A2599,Controle!$Z:$Z,"2")</f>
        <v>0</v>
      </c>
      <c r="H2599" s="507">
        <f>SUMIFS(Controle!$R:$R,Controle!$H:$H,produtos_escape2!$A2599,Controle!$Z:$Z,"3")</f>
        <v>0</v>
      </c>
      <c r="I2599" s="507">
        <f>SUMIFS(Controle!$R:$R,Controle!$H:$H,produtos_escape2!$A2599,Controle!$Z:$Z,"4")</f>
        <v>0</v>
      </c>
      <c r="J2599" s="507">
        <f>SUMIFS(Controle!$R:$R,Controle!$H:$H,produtos_escape2!$A2599,Controle!$Z:$Z,"5")</f>
        <v>0</v>
      </c>
      <c r="K2599" s="507">
        <f>SUMIFS(Controle!$R:$R,Controle!$H:$H,produtos_escape2!$A2599,Controle!$Z:$Z,"6")</f>
        <v>0</v>
      </c>
      <c r="L2599" s="507">
        <f t="shared" si="88"/>
        <v>0</v>
      </c>
    </row>
    <row r="2600" spans="1:12" s="84" customFormat="1" ht="14.25" customHeight="1" thickBot="1">
      <c r="A2600" s="353" t="s">
        <v>3191</v>
      </c>
      <c r="B2600" s="194" t="s">
        <v>3277</v>
      </c>
      <c r="C2600" s="339">
        <f t="shared" si="89"/>
        <v>50000</v>
      </c>
      <c r="D2600" s="196" t="s">
        <v>636</v>
      </c>
      <c r="E2600" s="197" t="s">
        <v>1687</v>
      </c>
      <c r="F2600" s="507">
        <f>SUMIFS(Controle!$R:$R,Controle!$H:$H,produtos_escape2!$A2600,Controle!$Z:$Z,"1")</f>
        <v>0</v>
      </c>
      <c r="G2600" s="507">
        <f>SUMIFS(Controle!$R:$R,Controle!$H:$H,produtos_escape2!$A2600,Controle!$Z:$Z,"2")</f>
        <v>0</v>
      </c>
      <c r="H2600" s="507">
        <f>SUMIFS(Controle!$R:$R,Controle!$H:$H,produtos_escape2!$A2600,Controle!$Z:$Z,"3")</f>
        <v>0</v>
      </c>
      <c r="I2600" s="507">
        <f>SUMIFS(Controle!$R:$R,Controle!$H:$H,produtos_escape2!$A2600,Controle!$Z:$Z,"4")</f>
        <v>0</v>
      </c>
      <c r="J2600" s="507">
        <f>SUMIFS(Controle!$R:$R,Controle!$H:$H,produtos_escape2!$A2600,Controle!$Z:$Z,"5")</f>
        <v>0</v>
      </c>
      <c r="K2600" s="507">
        <f>SUMIFS(Controle!$R:$R,Controle!$H:$H,produtos_escape2!$A2600,Controle!$Z:$Z,"6")</f>
        <v>0</v>
      </c>
      <c r="L2600" s="507">
        <f t="shared" si="88"/>
        <v>0</v>
      </c>
    </row>
    <row r="2601" spans="1:12" s="84" customFormat="1" ht="14.25" customHeight="1" thickBot="1">
      <c r="A2601" s="353" t="s">
        <v>3192</v>
      </c>
      <c r="B2601" s="194" t="s">
        <v>3278</v>
      </c>
      <c r="C2601" s="339">
        <f t="shared" si="89"/>
        <v>50000</v>
      </c>
      <c r="D2601" s="196" t="s">
        <v>636</v>
      </c>
      <c r="E2601" s="197" t="s">
        <v>1687</v>
      </c>
      <c r="F2601" s="507">
        <f>SUMIFS(Controle!$R:$R,Controle!$H:$H,produtos_escape2!$A2601,Controle!$Z:$Z,"1")</f>
        <v>0</v>
      </c>
      <c r="G2601" s="507">
        <f>SUMIFS(Controle!$R:$R,Controle!$H:$H,produtos_escape2!$A2601,Controle!$Z:$Z,"2")</f>
        <v>0</v>
      </c>
      <c r="H2601" s="507">
        <f>SUMIFS(Controle!$R:$R,Controle!$H:$H,produtos_escape2!$A2601,Controle!$Z:$Z,"3")</f>
        <v>0</v>
      </c>
      <c r="I2601" s="507">
        <f>SUMIFS(Controle!$R:$R,Controle!$H:$H,produtos_escape2!$A2601,Controle!$Z:$Z,"4")</f>
        <v>0</v>
      </c>
      <c r="J2601" s="507">
        <f>SUMIFS(Controle!$R:$R,Controle!$H:$H,produtos_escape2!$A2601,Controle!$Z:$Z,"5")</f>
        <v>0</v>
      </c>
      <c r="K2601" s="507">
        <f>SUMIFS(Controle!$R:$R,Controle!$H:$H,produtos_escape2!$A2601,Controle!$Z:$Z,"6")</f>
        <v>0</v>
      </c>
      <c r="L2601" s="507">
        <f t="shared" si="88"/>
        <v>0</v>
      </c>
    </row>
    <row r="2602" spans="1:12" s="84" customFormat="1" ht="14.25" customHeight="1" thickBot="1">
      <c r="A2602" s="353" t="s">
        <v>8609</v>
      </c>
      <c r="B2602" s="194" t="s">
        <v>8606</v>
      </c>
      <c r="C2602" s="339">
        <f t="shared" si="89"/>
        <v>49780</v>
      </c>
      <c r="D2602" s="196" t="s">
        <v>636</v>
      </c>
      <c r="E2602" s="197" t="s">
        <v>1687</v>
      </c>
      <c r="F2602" s="507">
        <f>SUMIFS(Controle!$R:$R,Controle!$H:$H,produtos_escape2!$A2602,Controle!$Z:$Z,"1")</f>
        <v>0</v>
      </c>
      <c r="G2602" s="507">
        <f>SUMIFS(Controle!$R:$R,Controle!$H:$H,produtos_escape2!$A2602,Controle!$Z:$Z,"2")</f>
        <v>0</v>
      </c>
      <c r="H2602" s="507">
        <f>SUMIFS(Controle!$R:$R,Controle!$H:$H,produtos_escape2!$A2602,Controle!$Z:$Z,"3")</f>
        <v>220</v>
      </c>
      <c r="I2602" s="507">
        <f>SUMIFS(Controle!$R:$R,Controle!$H:$H,produtos_escape2!$A2602,Controle!$Z:$Z,"4")</f>
        <v>0</v>
      </c>
      <c r="J2602" s="507">
        <f>SUMIFS(Controle!$R:$R,Controle!$H:$H,produtos_escape2!$A2602,Controle!$Z:$Z,"5")</f>
        <v>0</v>
      </c>
      <c r="K2602" s="507">
        <f>SUMIFS(Controle!$R:$R,Controle!$H:$H,produtos_escape2!$A2602,Controle!$Z:$Z,"6")</f>
        <v>0</v>
      </c>
      <c r="L2602" s="507">
        <f t="shared" si="88"/>
        <v>220</v>
      </c>
    </row>
    <row r="2603" spans="1:12" s="84" customFormat="1" ht="14.25" customHeight="1" thickBot="1">
      <c r="A2603" s="353" t="s">
        <v>8610</v>
      </c>
      <c r="B2603" s="194" t="s">
        <v>8607</v>
      </c>
      <c r="C2603" s="339">
        <f t="shared" si="89"/>
        <v>49780</v>
      </c>
      <c r="D2603" s="196" t="s">
        <v>636</v>
      </c>
      <c r="E2603" s="197" t="s">
        <v>1687</v>
      </c>
      <c r="F2603" s="507">
        <f>SUMIFS(Controle!$R:$R,Controle!$H:$H,produtos_escape2!$A2603,Controle!$Z:$Z,"1")</f>
        <v>0</v>
      </c>
      <c r="G2603" s="507">
        <f>SUMIFS(Controle!$R:$R,Controle!$H:$H,produtos_escape2!$A2603,Controle!$Z:$Z,"2")</f>
        <v>0</v>
      </c>
      <c r="H2603" s="507">
        <f>SUMIFS(Controle!$R:$R,Controle!$H:$H,produtos_escape2!$A2603,Controle!$Z:$Z,"3")</f>
        <v>220</v>
      </c>
      <c r="I2603" s="507">
        <f>SUMIFS(Controle!$R:$R,Controle!$H:$H,produtos_escape2!$A2603,Controle!$Z:$Z,"4")</f>
        <v>0</v>
      </c>
      <c r="J2603" s="507">
        <f>SUMIFS(Controle!$R:$R,Controle!$H:$H,produtos_escape2!$A2603,Controle!$Z:$Z,"5")</f>
        <v>0</v>
      </c>
      <c r="K2603" s="507">
        <f>SUMIFS(Controle!$R:$R,Controle!$H:$H,produtos_escape2!$A2603,Controle!$Z:$Z,"6")</f>
        <v>0</v>
      </c>
      <c r="L2603" s="507">
        <f t="shared" si="88"/>
        <v>220</v>
      </c>
    </row>
    <row r="2604" spans="1:12" s="84" customFormat="1" ht="14.25" customHeight="1" thickBot="1">
      <c r="A2604" s="353" t="s">
        <v>8611</v>
      </c>
      <c r="B2604" s="194" t="s">
        <v>8608</v>
      </c>
      <c r="C2604" s="339">
        <f t="shared" si="89"/>
        <v>49780</v>
      </c>
      <c r="D2604" s="196" t="s">
        <v>636</v>
      </c>
      <c r="E2604" s="197" t="s">
        <v>1687</v>
      </c>
      <c r="F2604" s="507">
        <f>SUMIFS(Controle!$R:$R,Controle!$H:$H,produtos_escape2!$A2604,Controle!$Z:$Z,"1")</f>
        <v>0</v>
      </c>
      <c r="G2604" s="507">
        <f>SUMIFS(Controle!$R:$R,Controle!$H:$H,produtos_escape2!$A2604,Controle!$Z:$Z,"2")</f>
        <v>0</v>
      </c>
      <c r="H2604" s="507">
        <f>SUMIFS(Controle!$R:$R,Controle!$H:$H,produtos_escape2!$A2604,Controle!$Z:$Z,"3")</f>
        <v>220</v>
      </c>
      <c r="I2604" s="507">
        <f>SUMIFS(Controle!$R:$R,Controle!$H:$H,produtos_escape2!$A2604,Controle!$Z:$Z,"4")</f>
        <v>0</v>
      </c>
      <c r="J2604" s="507">
        <f>SUMIFS(Controle!$R:$R,Controle!$H:$H,produtos_escape2!$A2604,Controle!$Z:$Z,"5")</f>
        <v>0</v>
      </c>
      <c r="K2604" s="507">
        <f>SUMIFS(Controle!$R:$R,Controle!$H:$H,produtos_escape2!$A2604,Controle!$Z:$Z,"6")</f>
        <v>0</v>
      </c>
      <c r="L2604" s="507">
        <f t="shared" si="88"/>
        <v>220</v>
      </c>
    </row>
    <row r="2605" spans="1:12" s="84" customFormat="1" ht="14.25" customHeight="1" thickBot="1">
      <c r="A2605" s="353" t="s">
        <v>3211</v>
      </c>
      <c r="B2605" s="194" t="s">
        <v>3279</v>
      </c>
      <c r="C2605" s="339">
        <f t="shared" si="89"/>
        <v>50000</v>
      </c>
      <c r="D2605" s="196" t="s">
        <v>636</v>
      </c>
      <c r="E2605" s="197" t="s">
        <v>1687</v>
      </c>
      <c r="F2605" s="507">
        <f>SUMIFS(Controle!$R:$R,Controle!$H:$H,produtos_escape2!$A2605,Controle!$Z:$Z,"1")</f>
        <v>0</v>
      </c>
      <c r="G2605" s="507">
        <f>SUMIFS(Controle!$R:$R,Controle!$H:$H,produtos_escape2!$A2605,Controle!$Z:$Z,"2")</f>
        <v>0</v>
      </c>
      <c r="H2605" s="507">
        <f>SUMIFS(Controle!$R:$R,Controle!$H:$H,produtos_escape2!$A2605,Controle!$Z:$Z,"3")</f>
        <v>0</v>
      </c>
      <c r="I2605" s="507">
        <f>SUMIFS(Controle!$R:$R,Controle!$H:$H,produtos_escape2!$A2605,Controle!$Z:$Z,"4")</f>
        <v>0</v>
      </c>
      <c r="J2605" s="507">
        <f>SUMIFS(Controle!$R:$R,Controle!$H:$H,produtos_escape2!$A2605,Controle!$Z:$Z,"5")</f>
        <v>0</v>
      </c>
      <c r="K2605" s="507">
        <f>SUMIFS(Controle!$R:$R,Controle!$H:$H,produtos_escape2!$A2605,Controle!$Z:$Z,"6")</f>
        <v>0</v>
      </c>
      <c r="L2605" s="507">
        <f t="shared" si="88"/>
        <v>0</v>
      </c>
    </row>
    <row r="2606" spans="1:12" s="84" customFormat="1" ht="14.25" customHeight="1" thickBot="1">
      <c r="A2606" s="353" t="s">
        <v>3212</v>
      </c>
      <c r="B2606" s="194" t="s">
        <v>3280</v>
      </c>
      <c r="C2606" s="339">
        <f t="shared" si="89"/>
        <v>50000</v>
      </c>
      <c r="D2606" s="196" t="s">
        <v>636</v>
      </c>
      <c r="E2606" s="197" t="s">
        <v>1687</v>
      </c>
      <c r="F2606" s="507">
        <f>SUMIFS(Controle!$R:$R,Controle!$H:$H,produtos_escape2!$A2606,Controle!$Z:$Z,"1")</f>
        <v>0</v>
      </c>
      <c r="G2606" s="507">
        <f>SUMIFS(Controle!$R:$R,Controle!$H:$H,produtos_escape2!$A2606,Controle!$Z:$Z,"2")</f>
        <v>0</v>
      </c>
      <c r="H2606" s="507">
        <f>SUMIFS(Controle!$R:$R,Controle!$H:$H,produtos_escape2!$A2606,Controle!$Z:$Z,"3")</f>
        <v>0</v>
      </c>
      <c r="I2606" s="507">
        <f>SUMIFS(Controle!$R:$R,Controle!$H:$H,produtos_escape2!$A2606,Controle!$Z:$Z,"4")</f>
        <v>0</v>
      </c>
      <c r="J2606" s="507">
        <f>SUMIFS(Controle!$R:$R,Controle!$H:$H,produtos_escape2!$A2606,Controle!$Z:$Z,"5")</f>
        <v>0</v>
      </c>
      <c r="K2606" s="507">
        <f>SUMIFS(Controle!$R:$R,Controle!$H:$H,produtos_escape2!$A2606,Controle!$Z:$Z,"6")</f>
        <v>0</v>
      </c>
      <c r="L2606" s="507">
        <f t="shared" si="88"/>
        <v>0</v>
      </c>
    </row>
    <row r="2607" spans="1:12" s="84" customFormat="1" ht="14.25" customHeight="1" thickBot="1">
      <c r="A2607" s="333" t="s">
        <v>3213</v>
      </c>
      <c r="B2607" s="194" t="s">
        <v>3281</v>
      </c>
      <c r="C2607" s="339">
        <f t="shared" si="89"/>
        <v>50000</v>
      </c>
      <c r="D2607" s="196" t="s">
        <v>636</v>
      </c>
      <c r="E2607" s="197" t="s">
        <v>1687</v>
      </c>
      <c r="F2607" s="507">
        <f>SUMIFS(Controle!$R:$R,Controle!$H:$H,produtos_escape2!$A2607,Controle!$Z:$Z,"1")</f>
        <v>0</v>
      </c>
      <c r="G2607" s="507">
        <f>SUMIFS(Controle!$R:$R,Controle!$H:$H,produtos_escape2!$A2607,Controle!$Z:$Z,"2")</f>
        <v>0</v>
      </c>
      <c r="H2607" s="507">
        <f>SUMIFS(Controle!$R:$R,Controle!$H:$H,produtos_escape2!$A2607,Controle!$Z:$Z,"3")</f>
        <v>0</v>
      </c>
      <c r="I2607" s="507">
        <f>SUMIFS(Controle!$R:$R,Controle!$H:$H,produtos_escape2!$A2607,Controle!$Z:$Z,"4")</f>
        <v>0</v>
      </c>
      <c r="J2607" s="507">
        <f>SUMIFS(Controle!$R:$R,Controle!$H:$H,produtos_escape2!$A2607,Controle!$Z:$Z,"5")</f>
        <v>0</v>
      </c>
      <c r="K2607" s="507">
        <f>SUMIFS(Controle!$R:$R,Controle!$H:$H,produtos_escape2!$A2607,Controle!$Z:$Z,"6")</f>
        <v>0</v>
      </c>
      <c r="L2607" s="507">
        <f t="shared" si="88"/>
        <v>0</v>
      </c>
    </row>
    <row r="2608" spans="1:12" s="84" customFormat="1" ht="14.25" customHeight="1" thickBot="1">
      <c r="A2608" s="353" t="s">
        <v>3214</v>
      </c>
      <c r="B2608" s="194" t="s">
        <v>3282</v>
      </c>
      <c r="C2608" s="339">
        <f t="shared" si="89"/>
        <v>50000</v>
      </c>
      <c r="D2608" s="196" t="s">
        <v>636</v>
      </c>
      <c r="E2608" s="197" t="s">
        <v>1687</v>
      </c>
      <c r="F2608" s="507">
        <f>SUMIFS(Controle!$R:$R,Controle!$H:$H,produtos_escape2!$A2608,Controle!$Z:$Z,"1")</f>
        <v>0</v>
      </c>
      <c r="G2608" s="507">
        <f>SUMIFS(Controle!$R:$R,Controle!$H:$H,produtos_escape2!$A2608,Controle!$Z:$Z,"2")</f>
        <v>0</v>
      </c>
      <c r="H2608" s="507">
        <f>SUMIFS(Controle!$R:$R,Controle!$H:$H,produtos_escape2!$A2608,Controle!$Z:$Z,"3")</f>
        <v>0</v>
      </c>
      <c r="I2608" s="507">
        <f>SUMIFS(Controle!$R:$R,Controle!$H:$H,produtos_escape2!$A2608,Controle!$Z:$Z,"4")</f>
        <v>0</v>
      </c>
      <c r="J2608" s="507">
        <f>SUMIFS(Controle!$R:$R,Controle!$H:$H,produtos_escape2!$A2608,Controle!$Z:$Z,"5")</f>
        <v>0</v>
      </c>
      <c r="K2608" s="507">
        <f>SUMIFS(Controle!$R:$R,Controle!$H:$H,produtos_escape2!$A2608,Controle!$Z:$Z,"6")</f>
        <v>0</v>
      </c>
      <c r="L2608" s="507">
        <f t="shared" si="88"/>
        <v>0</v>
      </c>
    </row>
    <row r="2609" spans="1:12" s="84" customFormat="1" ht="14.25" customHeight="1" thickBot="1">
      <c r="A2609" s="353" t="s">
        <v>3202</v>
      </c>
      <c r="B2609" s="194" t="s">
        <v>3283</v>
      </c>
      <c r="C2609" s="339">
        <f t="shared" si="89"/>
        <v>50000</v>
      </c>
      <c r="D2609" s="196" t="s">
        <v>636</v>
      </c>
      <c r="E2609" s="197" t="s">
        <v>1687</v>
      </c>
      <c r="F2609" s="507">
        <f>SUMIFS(Controle!$R:$R,Controle!$H:$H,produtos_escape2!$A2609,Controle!$Z:$Z,"1")</f>
        <v>0</v>
      </c>
      <c r="G2609" s="507">
        <f>SUMIFS(Controle!$R:$R,Controle!$H:$H,produtos_escape2!$A2609,Controle!$Z:$Z,"2")</f>
        <v>0</v>
      </c>
      <c r="H2609" s="507">
        <f>SUMIFS(Controle!$R:$R,Controle!$H:$H,produtos_escape2!$A2609,Controle!$Z:$Z,"3")</f>
        <v>0</v>
      </c>
      <c r="I2609" s="507">
        <f>SUMIFS(Controle!$R:$R,Controle!$H:$H,produtos_escape2!$A2609,Controle!$Z:$Z,"4")</f>
        <v>0</v>
      </c>
      <c r="J2609" s="507">
        <f>SUMIFS(Controle!$R:$R,Controle!$H:$H,produtos_escape2!$A2609,Controle!$Z:$Z,"5")</f>
        <v>0</v>
      </c>
      <c r="K2609" s="507">
        <f>SUMIFS(Controle!$R:$R,Controle!$H:$H,produtos_escape2!$A2609,Controle!$Z:$Z,"6")</f>
        <v>0</v>
      </c>
      <c r="L2609" s="507">
        <f t="shared" si="88"/>
        <v>0</v>
      </c>
    </row>
    <row r="2610" spans="1:12" s="84" customFormat="1" ht="14.25" customHeight="1" thickBot="1">
      <c r="A2610" s="353" t="s">
        <v>3215</v>
      </c>
      <c r="B2610" s="338" t="s">
        <v>3284</v>
      </c>
      <c r="C2610" s="339">
        <f t="shared" si="89"/>
        <v>50000</v>
      </c>
      <c r="D2610" s="196" t="s">
        <v>636</v>
      </c>
      <c r="E2610" s="197" t="s">
        <v>1687</v>
      </c>
      <c r="F2610" s="507">
        <f>SUMIFS(Controle!$R:$R,Controle!$H:$H,produtos_escape2!$A2610,Controle!$Z:$Z,"1")</f>
        <v>0</v>
      </c>
      <c r="G2610" s="507">
        <f>SUMIFS(Controle!$R:$R,Controle!$H:$H,produtos_escape2!$A2610,Controle!$Z:$Z,"2")</f>
        <v>0</v>
      </c>
      <c r="H2610" s="507">
        <f>SUMIFS(Controle!$R:$R,Controle!$H:$H,produtos_escape2!$A2610,Controle!$Z:$Z,"3")</f>
        <v>0</v>
      </c>
      <c r="I2610" s="507">
        <f>SUMIFS(Controle!$R:$R,Controle!$H:$H,produtos_escape2!$A2610,Controle!$Z:$Z,"4")</f>
        <v>0</v>
      </c>
      <c r="J2610" s="507">
        <f>SUMIFS(Controle!$R:$R,Controle!$H:$H,produtos_escape2!$A2610,Controle!$Z:$Z,"5")</f>
        <v>0</v>
      </c>
      <c r="K2610" s="507">
        <f>SUMIFS(Controle!$R:$R,Controle!$H:$H,produtos_escape2!$A2610,Controle!$Z:$Z,"6")</f>
        <v>0</v>
      </c>
      <c r="L2610" s="507">
        <f t="shared" si="88"/>
        <v>0</v>
      </c>
    </row>
    <row r="2611" spans="1:12" s="84" customFormat="1" ht="14.25" customHeight="1" thickBot="1">
      <c r="A2611" s="353" t="s">
        <v>3216</v>
      </c>
      <c r="B2611" s="194" t="s">
        <v>3285</v>
      </c>
      <c r="C2611" s="339">
        <f t="shared" si="89"/>
        <v>50000</v>
      </c>
      <c r="D2611" s="196" t="s">
        <v>636</v>
      </c>
      <c r="E2611" s="197" t="s">
        <v>1687</v>
      </c>
      <c r="F2611" s="507">
        <f>SUMIFS(Controle!$R:$R,Controle!$H:$H,produtos_escape2!$A2611,Controle!$Z:$Z,"1")</f>
        <v>0</v>
      </c>
      <c r="G2611" s="507">
        <f>SUMIFS(Controle!$R:$R,Controle!$H:$H,produtos_escape2!$A2611,Controle!$Z:$Z,"2")</f>
        <v>0</v>
      </c>
      <c r="H2611" s="507">
        <f>SUMIFS(Controle!$R:$R,Controle!$H:$H,produtos_escape2!$A2611,Controle!$Z:$Z,"3")</f>
        <v>0</v>
      </c>
      <c r="I2611" s="507">
        <f>SUMIFS(Controle!$R:$R,Controle!$H:$H,produtos_escape2!$A2611,Controle!$Z:$Z,"4")</f>
        <v>0</v>
      </c>
      <c r="J2611" s="507">
        <f>SUMIFS(Controle!$R:$R,Controle!$H:$H,produtos_escape2!$A2611,Controle!$Z:$Z,"5")</f>
        <v>0</v>
      </c>
      <c r="K2611" s="507">
        <f>SUMIFS(Controle!$R:$R,Controle!$H:$H,produtos_escape2!$A2611,Controle!$Z:$Z,"6")</f>
        <v>0</v>
      </c>
      <c r="L2611" s="507">
        <f t="shared" si="88"/>
        <v>0</v>
      </c>
    </row>
    <row r="2612" spans="1:12" s="84" customFormat="1" ht="14.25" customHeight="1" thickBot="1">
      <c r="A2612" s="353" t="s">
        <v>3203</v>
      </c>
      <c r="B2612" s="194" t="s">
        <v>3286</v>
      </c>
      <c r="C2612" s="339">
        <f t="shared" si="89"/>
        <v>50000</v>
      </c>
      <c r="D2612" s="196" t="s">
        <v>636</v>
      </c>
      <c r="E2612" s="197" t="s">
        <v>1687</v>
      </c>
      <c r="F2612" s="507">
        <f>SUMIFS(Controle!$R:$R,Controle!$H:$H,produtos_escape2!$A2612,Controle!$Z:$Z,"1")</f>
        <v>0</v>
      </c>
      <c r="G2612" s="507">
        <f>SUMIFS(Controle!$R:$R,Controle!$H:$H,produtos_escape2!$A2612,Controle!$Z:$Z,"2")</f>
        <v>0</v>
      </c>
      <c r="H2612" s="507">
        <f>SUMIFS(Controle!$R:$R,Controle!$H:$H,produtos_escape2!$A2612,Controle!$Z:$Z,"3")</f>
        <v>0</v>
      </c>
      <c r="I2612" s="507">
        <f>SUMIFS(Controle!$R:$R,Controle!$H:$H,produtos_escape2!$A2612,Controle!$Z:$Z,"4")</f>
        <v>0</v>
      </c>
      <c r="J2612" s="507">
        <f>SUMIFS(Controle!$R:$R,Controle!$H:$H,produtos_escape2!$A2612,Controle!$Z:$Z,"5")</f>
        <v>0</v>
      </c>
      <c r="K2612" s="507">
        <f>SUMIFS(Controle!$R:$R,Controle!$H:$H,produtos_escape2!$A2612,Controle!$Z:$Z,"6")</f>
        <v>0</v>
      </c>
      <c r="L2612" s="507">
        <f t="shared" si="88"/>
        <v>0</v>
      </c>
    </row>
    <row r="2613" spans="1:12" s="84" customFormat="1" ht="14.25" customHeight="1" thickBot="1">
      <c r="A2613" s="353" t="s">
        <v>3204</v>
      </c>
      <c r="B2613" s="194" t="s">
        <v>3287</v>
      </c>
      <c r="C2613" s="339">
        <f t="shared" si="89"/>
        <v>50000</v>
      </c>
      <c r="D2613" s="196" t="s">
        <v>636</v>
      </c>
      <c r="E2613" s="197" t="s">
        <v>1687</v>
      </c>
      <c r="F2613" s="507">
        <f>SUMIFS(Controle!$R:$R,Controle!$H:$H,produtos_escape2!$A2613,Controle!$Z:$Z,"1")</f>
        <v>0</v>
      </c>
      <c r="G2613" s="507">
        <f>SUMIFS(Controle!$R:$R,Controle!$H:$H,produtos_escape2!$A2613,Controle!$Z:$Z,"2")</f>
        <v>0</v>
      </c>
      <c r="H2613" s="507">
        <f>SUMIFS(Controle!$R:$R,Controle!$H:$H,produtos_escape2!$A2613,Controle!$Z:$Z,"3")</f>
        <v>0</v>
      </c>
      <c r="I2613" s="507">
        <f>SUMIFS(Controle!$R:$R,Controle!$H:$H,produtos_escape2!$A2613,Controle!$Z:$Z,"4")</f>
        <v>0</v>
      </c>
      <c r="J2613" s="507">
        <f>SUMIFS(Controle!$R:$R,Controle!$H:$H,produtos_escape2!$A2613,Controle!$Z:$Z,"5")</f>
        <v>0</v>
      </c>
      <c r="K2613" s="507">
        <f>SUMIFS(Controle!$R:$R,Controle!$H:$H,produtos_escape2!$A2613,Controle!$Z:$Z,"6")</f>
        <v>0</v>
      </c>
      <c r="L2613" s="507">
        <f t="shared" si="88"/>
        <v>0</v>
      </c>
    </row>
    <row r="2614" spans="1:12" s="84" customFormat="1" ht="14.25" customHeight="1" thickBot="1">
      <c r="A2614" s="353" t="s">
        <v>3205</v>
      </c>
      <c r="B2614" s="194" t="s">
        <v>3288</v>
      </c>
      <c r="C2614" s="339">
        <f t="shared" si="89"/>
        <v>50000</v>
      </c>
      <c r="D2614" s="196" t="s">
        <v>636</v>
      </c>
      <c r="E2614" s="197" t="s">
        <v>1687</v>
      </c>
      <c r="F2614" s="507">
        <f>SUMIFS(Controle!$R:$R,Controle!$H:$H,produtos_escape2!$A2614,Controle!$Z:$Z,"1")</f>
        <v>0</v>
      </c>
      <c r="G2614" s="507">
        <f>SUMIFS(Controle!$R:$R,Controle!$H:$H,produtos_escape2!$A2614,Controle!$Z:$Z,"2")</f>
        <v>0</v>
      </c>
      <c r="H2614" s="507">
        <f>SUMIFS(Controle!$R:$R,Controle!$H:$H,produtos_escape2!$A2614,Controle!$Z:$Z,"3")</f>
        <v>0</v>
      </c>
      <c r="I2614" s="507">
        <f>SUMIFS(Controle!$R:$R,Controle!$H:$H,produtos_escape2!$A2614,Controle!$Z:$Z,"4")</f>
        <v>0</v>
      </c>
      <c r="J2614" s="507">
        <f>SUMIFS(Controle!$R:$R,Controle!$H:$H,produtos_escape2!$A2614,Controle!$Z:$Z,"5")</f>
        <v>0</v>
      </c>
      <c r="K2614" s="507">
        <f>SUMIFS(Controle!$R:$R,Controle!$H:$H,produtos_escape2!$A2614,Controle!$Z:$Z,"6")</f>
        <v>0</v>
      </c>
      <c r="L2614" s="507">
        <f t="shared" si="88"/>
        <v>0</v>
      </c>
    </row>
    <row r="2615" spans="1:12" s="84" customFormat="1" ht="14.25" customHeight="1" thickBot="1">
      <c r="A2615" s="333" t="s">
        <v>3206</v>
      </c>
      <c r="B2615" s="194" t="s">
        <v>3337</v>
      </c>
      <c r="C2615" s="339">
        <f t="shared" si="89"/>
        <v>50000</v>
      </c>
      <c r="D2615" s="196" t="s">
        <v>636</v>
      </c>
      <c r="E2615" s="197" t="s">
        <v>1687</v>
      </c>
      <c r="F2615" s="507">
        <f>SUMIFS(Controle!$R:$R,Controle!$H:$H,produtos_escape2!$A2615,Controle!$Z:$Z,"1")</f>
        <v>0</v>
      </c>
      <c r="G2615" s="507">
        <f>SUMIFS(Controle!$R:$R,Controle!$H:$H,produtos_escape2!$A2615,Controle!$Z:$Z,"2")</f>
        <v>0</v>
      </c>
      <c r="H2615" s="507">
        <f>SUMIFS(Controle!$R:$R,Controle!$H:$H,produtos_escape2!$A2615,Controle!$Z:$Z,"3")</f>
        <v>0</v>
      </c>
      <c r="I2615" s="507">
        <f>SUMIFS(Controle!$R:$R,Controle!$H:$H,produtos_escape2!$A2615,Controle!$Z:$Z,"4")</f>
        <v>0</v>
      </c>
      <c r="J2615" s="507">
        <f>SUMIFS(Controle!$R:$R,Controle!$H:$H,produtos_escape2!$A2615,Controle!$Z:$Z,"5")</f>
        <v>0</v>
      </c>
      <c r="K2615" s="507">
        <f>SUMIFS(Controle!$R:$R,Controle!$H:$H,produtos_escape2!$A2615,Controle!$Z:$Z,"6")</f>
        <v>0</v>
      </c>
      <c r="L2615" s="507">
        <f t="shared" si="88"/>
        <v>0</v>
      </c>
    </row>
    <row r="2616" spans="1:12" s="84" customFormat="1" ht="14.25" customHeight="1" thickBot="1">
      <c r="A2616" s="353" t="s">
        <v>3207</v>
      </c>
      <c r="B2616" s="194" t="s">
        <v>3338</v>
      </c>
      <c r="C2616" s="339">
        <f t="shared" si="89"/>
        <v>50000</v>
      </c>
      <c r="D2616" s="196" t="s">
        <v>636</v>
      </c>
      <c r="E2616" s="197" t="s">
        <v>1687</v>
      </c>
      <c r="F2616" s="507">
        <f>SUMIFS(Controle!$R:$R,Controle!$H:$H,produtos_escape2!$A2616,Controle!$Z:$Z,"1")</f>
        <v>0</v>
      </c>
      <c r="G2616" s="507">
        <f>SUMIFS(Controle!$R:$R,Controle!$H:$H,produtos_escape2!$A2616,Controle!$Z:$Z,"2")</f>
        <v>0</v>
      </c>
      <c r="H2616" s="507">
        <f>SUMIFS(Controle!$R:$R,Controle!$H:$H,produtos_escape2!$A2616,Controle!$Z:$Z,"3")</f>
        <v>0</v>
      </c>
      <c r="I2616" s="507">
        <f>SUMIFS(Controle!$R:$R,Controle!$H:$H,produtos_escape2!$A2616,Controle!$Z:$Z,"4")</f>
        <v>0</v>
      </c>
      <c r="J2616" s="507">
        <f>SUMIFS(Controle!$R:$R,Controle!$H:$H,produtos_escape2!$A2616,Controle!$Z:$Z,"5")</f>
        <v>0</v>
      </c>
      <c r="K2616" s="507">
        <f>SUMIFS(Controle!$R:$R,Controle!$H:$H,produtos_escape2!$A2616,Controle!$Z:$Z,"6")</f>
        <v>0</v>
      </c>
      <c r="L2616" s="507">
        <f t="shared" si="88"/>
        <v>0</v>
      </c>
    </row>
    <row r="2617" spans="1:12" s="84" customFormat="1" ht="14.25" customHeight="1" thickBot="1">
      <c r="A2617" s="353" t="s">
        <v>3208</v>
      </c>
      <c r="B2617" s="194" t="s">
        <v>2787</v>
      </c>
      <c r="C2617" s="339">
        <f t="shared" si="89"/>
        <v>50000</v>
      </c>
      <c r="D2617" s="196" t="s">
        <v>636</v>
      </c>
      <c r="E2617" s="197" t="s">
        <v>1687</v>
      </c>
      <c r="F2617" s="507">
        <f>SUMIFS(Controle!$R:$R,Controle!$H:$H,produtos_escape2!$A2617,Controle!$Z:$Z,"1")</f>
        <v>0</v>
      </c>
      <c r="G2617" s="507">
        <f>SUMIFS(Controle!$R:$R,Controle!$H:$H,produtos_escape2!$A2617,Controle!$Z:$Z,"2")</f>
        <v>0</v>
      </c>
      <c r="H2617" s="507">
        <f>SUMIFS(Controle!$R:$R,Controle!$H:$H,produtos_escape2!$A2617,Controle!$Z:$Z,"3")</f>
        <v>0</v>
      </c>
      <c r="I2617" s="507">
        <f>SUMIFS(Controle!$R:$R,Controle!$H:$H,produtos_escape2!$A2617,Controle!$Z:$Z,"4")</f>
        <v>0</v>
      </c>
      <c r="J2617" s="507">
        <f>SUMIFS(Controle!$R:$R,Controle!$H:$H,produtos_escape2!$A2617,Controle!$Z:$Z,"5")</f>
        <v>0</v>
      </c>
      <c r="K2617" s="507">
        <f>SUMIFS(Controle!$R:$R,Controle!$H:$H,produtos_escape2!$A2617,Controle!$Z:$Z,"6")</f>
        <v>0</v>
      </c>
      <c r="L2617" s="507">
        <f t="shared" si="88"/>
        <v>0</v>
      </c>
    </row>
    <row r="2618" spans="1:12" s="84" customFormat="1" ht="14.25" customHeight="1" thickBot="1">
      <c r="A2618" s="353" t="s">
        <v>3210</v>
      </c>
      <c r="B2618" s="338" t="s">
        <v>3289</v>
      </c>
      <c r="C2618" s="339">
        <f t="shared" si="89"/>
        <v>45424.1</v>
      </c>
      <c r="D2618" s="191" t="s">
        <v>636</v>
      </c>
      <c r="E2618" s="172" t="s">
        <v>1687</v>
      </c>
      <c r="F2618" s="507">
        <f>SUMIFS(Controle!$R:$R,Controle!$H:$H,produtos_escape2!$A2618,Controle!$Z:$Z,"1")</f>
        <v>0</v>
      </c>
      <c r="G2618" s="507">
        <f>SUMIFS(Controle!$R:$R,Controle!$H:$H,produtos_escape2!$A2618,Controle!$Z:$Z,"2")</f>
        <v>0</v>
      </c>
      <c r="H2618" s="507">
        <f>SUMIFS(Controle!$R:$R,Controle!$H:$H,produtos_escape2!$A2618,Controle!$Z:$Z,"3")</f>
        <v>0</v>
      </c>
      <c r="I2618" s="507">
        <f>SUMIFS(Controle!$R:$R,Controle!$H:$H,produtos_escape2!$A2618,Controle!$Z:$Z,"4")</f>
        <v>0</v>
      </c>
      <c r="J2618" s="507">
        <f>SUMIFS(Controle!$R:$R,Controle!$H:$H,produtos_escape2!$A2618,Controle!$Z:$Z,"5")</f>
        <v>0</v>
      </c>
      <c r="K2618" s="507">
        <f>SUMIFS(Controle!$R:$R,Controle!$H:$H,produtos_escape2!$A2618,Controle!$Z:$Z,"6")</f>
        <v>4575.8999999999996</v>
      </c>
      <c r="L2618" s="507">
        <f t="shared" si="88"/>
        <v>4575.8999999999996</v>
      </c>
    </row>
    <row r="2619" spans="1:12" s="84" customFormat="1" ht="14.25" customHeight="1" thickBot="1">
      <c r="A2619" s="353" t="s">
        <v>3209</v>
      </c>
      <c r="B2619" s="194" t="s">
        <v>3290</v>
      </c>
      <c r="C2619" s="339">
        <f t="shared" si="89"/>
        <v>45859.9</v>
      </c>
      <c r="D2619" s="191" t="s">
        <v>636</v>
      </c>
      <c r="E2619" s="172" t="s">
        <v>1687</v>
      </c>
      <c r="F2619" s="507">
        <f>SUMIFS(Controle!$R:$R,Controle!$H:$H,produtos_escape2!$A2619,Controle!$Z:$Z,"1")</f>
        <v>0</v>
      </c>
      <c r="G2619" s="507">
        <f>SUMIFS(Controle!$R:$R,Controle!$H:$H,produtos_escape2!$A2619,Controle!$Z:$Z,"2")</f>
        <v>0</v>
      </c>
      <c r="H2619" s="507">
        <f>SUMIFS(Controle!$R:$R,Controle!$H:$H,produtos_escape2!$A2619,Controle!$Z:$Z,"3")</f>
        <v>0</v>
      </c>
      <c r="I2619" s="507">
        <f>SUMIFS(Controle!$R:$R,Controle!$H:$H,produtos_escape2!$A2619,Controle!$Z:$Z,"4")</f>
        <v>0</v>
      </c>
      <c r="J2619" s="507">
        <f>SUMIFS(Controle!$R:$R,Controle!$H:$H,produtos_escape2!$A2619,Controle!$Z:$Z,"5")</f>
        <v>0</v>
      </c>
      <c r="K2619" s="507">
        <f>SUMIFS(Controle!$R:$R,Controle!$H:$H,produtos_escape2!$A2619,Controle!$Z:$Z,"6")</f>
        <v>4140.0999999999995</v>
      </c>
      <c r="L2619" s="507">
        <f t="shared" si="88"/>
        <v>4140.0999999999995</v>
      </c>
    </row>
    <row r="2620" spans="1:12" s="84" customFormat="1" ht="14.25" customHeight="1" thickBot="1">
      <c r="A2620" s="353" t="s">
        <v>3863</v>
      </c>
      <c r="B2620" s="194" t="s">
        <v>3855</v>
      </c>
      <c r="C2620" s="339">
        <f t="shared" si="89"/>
        <v>50000</v>
      </c>
      <c r="D2620" s="191" t="s">
        <v>636</v>
      </c>
      <c r="E2620" s="172" t="s">
        <v>1687</v>
      </c>
      <c r="F2620" s="507">
        <f>SUMIFS(Controle!$R:$R,Controle!$H:$H,produtos_escape2!$A2620,Controle!$Z:$Z,"1")</f>
        <v>0</v>
      </c>
      <c r="G2620" s="507">
        <f>SUMIFS(Controle!$R:$R,Controle!$H:$H,produtos_escape2!$A2620,Controle!$Z:$Z,"2")</f>
        <v>0</v>
      </c>
      <c r="H2620" s="507">
        <f>SUMIFS(Controle!$R:$R,Controle!$H:$H,produtos_escape2!$A2620,Controle!$Z:$Z,"3")</f>
        <v>0</v>
      </c>
      <c r="I2620" s="507">
        <f>SUMIFS(Controle!$R:$R,Controle!$H:$H,produtos_escape2!$A2620,Controle!$Z:$Z,"4")</f>
        <v>0</v>
      </c>
      <c r="J2620" s="507">
        <f>SUMIFS(Controle!$R:$R,Controle!$H:$H,produtos_escape2!$A2620,Controle!$Z:$Z,"5")</f>
        <v>0</v>
      </c>
      <c r="K2620" s="507">
        <f>SUMIFS(Controle!$R:$R,Controle!$H:$H,produtos_escape2!$A2620,Controle!$Z:$Z,"6")</f>
        <v>0</v>
      </c>
      <c r="L2620" s="507">
        <f t="shared" si="88"/>
        <v>0</v>
      </c>
    </row>
    <row r="2621" spans="1:12" s="84" customFormat="1" ht="14.25" customHeight="1" thickBot="1">
      <c r="A2621" s="353" t="s">
        <v>3864</v>
      </c>
      <c r="B2621" s="194" t="s">
        <v>3856</v>
      </c>
      <c r="C2621" s="339">
        <f t="shared" si="89"/>
        <v>50000</v>
      </c>
      <c r="D2621" s="191" t="s">
        <v>636</v>
      </c>
      <c r="E2621" s="172" t="s">
        <v>1687</v>
      </c>
      <c r="F2621" s="507">
        <f>SUMIFS(Controle!$R:$R,Controle!$H:$H,produtos_escape2!$A2621,Controle!$Z:$Z,"1")</f>
        <v>0</v>
      </c>
      <c r="G2621" s="507">
        <f>SUMIFS(Controle!$R:$R,Controle!$H:$H,produtos_escape2!$A2621,Controle!$Z:$Z,"2")</f>
        <v>0</v>
      </c>
      <c r="H2621" s="507">
        <f>SUMIFS(Controle!$R:$R,Controle!$H:$H,produtos_escape2!$A2621,Controle!$Z:$Z,"3")</f>
        <v>0</v>
      </c>
      <c r="I2621" s="507">
        <f>SUMIFS(Controle!$R:$R,Controle!$H:$H,produtos_escape2!$A2621,Controle!$Z:$Z,"4")</f>
        <v>0</v>
      </c>
      <c r="J2621" s="507">
        <f>SUMIFS(Controle!$R:$R,Controle!$H:$H,produtos_escape2!$A2621,Controle!$Z:$Z,"5")</f>
        <v>0</v>
      </c>
      <c r="K2621" s="507">
        <f>SUMIFS(Controle!$R:$R,Controle!$H:$H,produtos_escape2!$A2621,Controle!$Z:$Z,"6")</f>
        <v>0</v>
      </c>
      <c r="L2621" s="507">
        <f t="shared" si="88"/>
        <v>0</v>
      </c>
    </row>
    <row r="2622" spans="1:12" s="84" customFormat="1" ht="14.25" customHeight="1" thickBot="1">
      <c r="A2622" s="353" t="s">
        <v>3865</v>
      </c>
      <c r="B2622" s="194" t="s">
        <v>3857</v>
      </c>
      <c r="C2622" s="339">
        <f t="shared" si="89"/>
        <v>50000</v>
      </c>
      <c r="D2622" s="191" t="s">
        <v>636</v>
      </c>
      <c r="E2622" s="172" t="s">
        <v>1687</v>
      </c>
      <c r="F2622" s="507">
        <f>SUMIFS(Controle!$R:$R,Controle!$H:$H,produtos_escape2!$A2622,Controle!$Z:$Z,"1")</f>
        <v>0</v>
      </c>
      <c r="G2622" s="507">
        <f>SUMIFS(Controle!$R:$R,Controle!$H:$H,produtos_escape2!$A2622,Controle!$Z:$Z,"2")</f>
        <v>0</v>
      </c>
      <c r="H2622" s="507">
        <f>SUMIFS(Controle!$R:$R,Controle!$H:$H,produtos_escape2!$A2622,Controle!$Z:$Z,"3")</f>
        <v>0</v>
      </c>
      <c r="I2622" s="507">
        <f>SUMIFS(Controle!$R:$R,Controle!$H:$H,produtos_escape2!$A2622,Controle!$Z:$Z,"4")</f>
        <v>0</v>
      </c>
      <c r="J2622" s="507">
        <f>SUMIFS(Controle!$R:$R,Controle!$H:$H,produtos_escape2!$A2622,Controle!$Z:$Z,"5")</f>
        <v>0</v>
      </c>
      <c r="K2622" s="507">
        <f>SUMIFS(Controle!$R:$R,Controle!$H:$H,produtos_escape2!$A2622,Controle!$Z:$Z,"6")</f>
        <v>0</v>
      </c>
      <c r="L2622" s="507">
        <f t="shared" si="88"/>
        <v>0</v>
      </c>
    </row>
    <row r="2623" spans="1:12" s="84" customFormat="1" ht="16.149999999999999" customHeight="1" thickBot="1">
      <c r="A2623" s="333" t="s">
        <v>3866</v>
      </c>
      <c r="B2623" s="194" t="s">
        <v>3858</v>
      </c>
      <c r="C2623" s="339">
        <f t="shared" si="89"/>
        <v>50000</v>
      </c>
      <c r="D2623" s="191" t="s">
        <v>636</v>
      </c>
      <c r="E2623" s="172" t="s">
        <v>1687</v>
      </c>
      <c r="F2623" s="507">
        <f>SUMIFS(Controle!$R:$R,Controle!$H:$H,produtos_escape2!$A2623,Controle!$Z:$Z,"1")</f>
        <v>0</v>
      </c>
      <c r="G2623" s="507">
        <f>SUMIFS(Controle!$R:$R,Controle!$H:$H,produtos_escape2!$A2623,Controle!$Z:$Z,"2")</f>
        <v>0</v>
      </c>
      <c r="H2623" s="507">
        <f>SUMIFS(Controle!$R:$R,Controle!$H:$H,produtos_escape2!$A2623,Controle!$Z:$Z,"3")</f>
        <v>0</v>
      </c>
      <c r="I2623" s="507">
        <f>SUMIFS(Controle!$R:$R,Controle!$H:$H,produtos_escape2!$A2623,Controle!$Z:$Z,"4")</f>
        <v>0</v>
      </c>
      <c r="J2623" s="507">
        <f>SUMIFS(Controle!$R:$R,Controle!$H:$H,produtos_escape2!$A2623,Controle!$Z:$Z,"5")</f>
        <v>0</v>
      </c>
      <c r="K2623" s="507">
        <f>SUMIFS(Controle!$R:$R,Controle!$H:$H,produtos_escape2!$A2623,Controle!$Z:$Z,"6")</f>
        <v>0</v>
      </c>
      <c r="L2623" s="507">
        <f t="shared" ref="L2623:L2686" si="90">SUM(F2623:K2623)</f>
        <v>0</v>
      </c>
    </row>
    <row r="2624" spans="1:12" s="84" customFormat="1" ht="16.149999999999999" customHeight="1" thickBot="1">
      <c r="A2624" s="353" t="s">
        <v>3867</v>
      </c>
      <c r="B2624" s="194" t="s">
        <v>3859</v>
      </c>
      <c r="C2624" s="339">
        <f t="shared" si="89"/>
        <v>50000</v>
      </c>
      <c r="D2624" s="191" t="s">
        <v>636</v>
      </c>
      <c r="E2624" s="172" t="s">
        <v>1687</v>
      </c>
      <c r="F2624" s="507">
        <f>SUMIFS(Controle!$R:$R,Controle!$H:$H,produtos_escape2!$A2624,Controle!$Z:$Z,"1")</f>
        <v>0</v>
      </c>
      <c r="G2624" s="507">
        <f>SUMIFS(Controle!$R:$R,Controle!$H:$H,produtos_escape2!$A2624,Controle!$Z:$Z,"2")</f>
        <v>0</v>
      </c>
      <c r="H2624" s="507">
        <f>SUMIFS(Controle!$R:$R,Controle!$H:$H,produtos_escape2!$A2624,Controle!$Z:$Z,"3")</f>
        <v>0</v>
      </c>
      <c r="I2624" s="507">
        <f>SUMIFS(Controle!$R:$R,Controle!$H:$H,produtos_escape2!$A2624,Controle!$Z:$Z,"4")</f>
        <v>0</v>
      </c>
      <c r="J2624" s="507">
        <f>SUMIFS(Controle!$R:$R,Controle!$H:$H,produtos_escape2!$A2624,Controle!$Z:$Z,"5")</f>
        <v>0</v>
      </c>
      <c r="K2624" s="507">
        <f>SUMIFS(Controle!$R:$R,Controle!$H:$H,produtos_escape2!$A2624,Controle!$Z:$Z,"6")</f>
        <v>0</v>
      </c>
      <c r="L2624" s="507">
        <f t="shared" si="90"/>
        <v>0</v>
      </c>
    </row>
    <row r="2625" spans="1:12" s="84" customFormat="1" ht="14.25" customHeight="1" thickBot="1">
      <c r="A2625" s="353" t="s">
        <v>3868</v>
      </c>
      <c r="B2625" s="194" t="s">
        <v>3860</v>
      </c>
      <c r="C2625" s="339">
        <f t="shared" si="89"/>
        <v>50000</v>
      </c>
      <c r="D2625" s="191" t="s">
        <v>636</v>
      </c>
      <c r="E2625" s="172" t="s">
        <v>1687</v>
      </c>
      <c r="F2625" s="507">
        <f>SUMIFS(Controle!$R:$R,Controle!$H:$H,produtos_escape2!$A2625,Controle!$Z:$Z,"1")</f>
        <v>0</v>
      </c>
      <c r="G2625" s="507">
        <f>SUMIFS(Controle!$R:$R,Controle!$H:$H,produtos_escape2!$A2625,Controle!$Z:$Z,"2")</f>
        <v>0</v>
      </c>
      <c r="H2625" s="507">
        <f>SUMIFS(Controle!$R:$R,Controle!$H:$H,produtos_escape2!$A2625,Controle!$Z:$Z,"3")</f>
        <v>0</v>
      </c>
      <c r="I2625" s="507">
        <f>SUMIFS(Controle!$R:$R,Controle!$H:$H,produtos_escape2!$A2625,Controle!$Z:$Z,"4")</f>
        <v>0</v>
      </c>
      <c r="J2625" s="507">
        <f>SUMIFS(Controle!$R:$R,Controle!$H:$H,produtos_escape2!$A2625,Controle!$Z:$Z,"5")</f>
        <v>0</v>
      </c>
      <c r="K2625" s="507">
        <f>SUMIFS(Controle!$R:$R,Controle!$H:$H,produtos_escape2!$A2625,Controle!$Z:$Z,"6")</f>
        <v>0</v>
      </c>
      <c r="L2625" s="507">
        <f t="shared" si="90"/>
        <v>0</v>
      </c>
    </row>
    <row r="2626" spans="1:12" s="84" customFormat="1" ht="14.25" customHeight="1" thickBot="1">
      <c r="A2626" s="353" t="s">
        <v>3869</v>
      </c>
      <c r="B2626" s="338" t="s">
        <v>3998</v>
      </c>
      <c r="C2626" s="339">
        <f t="shared" si="89"/>
        <v>50000</v>
      </c>
      <c r="D2626" s="191" t="s">
        <v>636</v>
      </c>
      <c r="E2626" s="172" t="s">
        <v>1687</v>
      </c>
      <c r="F2626" s="507">
        <f>SUMIFS(Controle!$R:$R,Controle!$H:$H,produtos_escape2!$A2626,Controle!$Z:$Z,"1")</f>
        <v>0</v>
      </c>
      <c r="G2626" s="507">
        <f>SUMIFS(Controle!$R:$R,Controle!$H:$H,produtos_escape2!$A2626,Controle!$Z:$Z,"2")</f>
        <v>0</v>
      </c>
      <c r="H2626" s="507">
        <f>SUMIFS(Controle!$R:$R,Controle!$H:$H,produtos_escape2!$A2626,Controle!$Z:$Z,"3")</f>
        <v>0</v>
      </c>
      <c r="I2626" s="507">
        <f>SUMIFS(Controle!$R:$R,Controle!$H:$H,produtos_escape2!$A2626,Controle!$Z:$Z,"4")</f>
        <v>0</v>
      </c>
      <c r="J2626" s="507">
        <f>SUMIFS(Controle!$R:$R,Controle!$H:$H,produtos_escape2!$A2626,Controle!$Z:$Z,"5")</f>
        <v>0</v>
      </c>
      <c r="K2626" s="507">
        <f>SUMIFS(Controle!$R:$R,Controle!$H:$H,produtos_escape2!$A2626,Controle!$Z:$Z,"6")</f>
        <v>0</v>
      </c>
      <c r="L2626" s="507">
        <f t="shared" si="90"/>
        <v>0</v>
      </c>
    </row>
    <row r="2627" spans="1:12" s="84" customFormat="1" ht="14.25" customHeight="1" thickBot="1">
      <c r="A2627" s="353" t="s">
        <v>3870</v>
      </c>
      <c r="B2627" s="194" t="s">
        <v>3861</v>
      </c>
      <c r="C2627" s="339">
        <f t="shared" si="89"/>
        <v>50000</v>
      </c>
      <c r="D2627" s="191" t="s">
        <v>636</v>
      </c>
      <c r="E2627" s="172" t="s">
        <v>1687</v>
      </c>
      <c r="F2627" s="507">
        <f>SUMIFS(Controle!$R:$R,Controle!$H:$H,produtos_escape2!$A2627,Controle!$Z:$Z,"1")</f>
        <v>0</v>
      </c>
      <c r="G2627" s="507">
        <f>SUMIFS(Controle!$R:$R,Controle!$H:$H,produtos_escape2!$A2627,Controle!$Z:$Z,"2")</f>
        <v>0</v>
      </c>
      <c r="H2627" s="507">
        <f>SUMIFS(Controle!$R:$R,Controle!$H:$H,produtos_escape2!$A2627,Controle!$Z:$Z,"3")</f>
        <v>0</v>
      </c>
      <c r="I2627" s="507">
        <f>SUMIFS(Controle!$R:$R,Controle!$H:$H,produtos_escape2!$A2627,Controle!$Z:$Z,"4")</f>
        <v>0</v>
      </c>
      <c r="J2627" s="507">
        <f>SUMIFS(Controle!$R:$R,Controle!$H:$H,produtos_escape2!$A2627,Controle!$Z:$Z,"5")</f>
        <v>0</v>
      </c>
      <c r="K2627" s="507">
        <f>SUMIFS(Controle!$R:$R,Controle!$H:$H,produtos_escape2!$A2627,Controle!$Z:$Z,"6")</f>
        <v>0</v>
      </c>
      <c r="L2627" s="507">
        <f t="shared" si="90"/>
        <v>0</v>
      </c>
    </row>
    <row r="2628" spans="1:12" s="84" customFormat="1" ht="14.25" customHeight="1" thickBot="1">
      <c r="A2628" s="353" t="s">
        <v>3871</v>
      </c>
      <c r="B2628" s="194" t="s">
        <v>3862</v>
      </c>
      <c r="C2628" s="339">
        <f t="shared" si="89"/>
        <v>50000</v>
      </c>
      <c r="D2628" s="191" t="s">
        <v>636</v>
      </c>
      <c r="E2628" s="172" t="s">
        <v>1687</v>
      </c>
      <c r="F2628" s="507">
        <f>SUMIFS(Controle!$R:$R,Controle!$H:$H,produtos_escape2!$A2628,Controle!$Z:$Z,"1")</f>
        <v>0</v>
      </c>
      <c r="G2628" s="507">
        <f>SUMIFS(Controle!$R:$R,Controle!$H:$H,produtos_escape2!$A2628,Controle!$Z:$Z,"2")</f>
        <v>0</v>
      </c>
      <c r="H2628" s="507">
        <f>SUMIFS(Controle!$R:$R,Controle!$H:$H,produtos_escape2!$A2628,Controle!$Z:$Z,"3")</f>
        <v>0</v>
      </c>
      <c r="I2628" s="507">
        <f>SUMIFS(Controle!$R:$R,Controle!$H:$H,produtos_escape2!$A2628,Controle!$Z:$Z,"4")</f>
        <v>0</v>
      </c>
      <c r="J2628" s="507">
        <f>SUMIFS(Controle!$R:$R,Controle!$H:$H,produtos_escape2!$A2628,Controle!$Z:$Z,"5")</f>
        <v>0</v>
      </c>
      <c r="K2628" s="507">
        <f>SUMIFS(Controle!$R:$R,Controle!$H:$H,produtos_escape2!$A2628,Controle!$Z:$Z,"6")</f>
        <v>0</v>
      </c>
      <c r="L2628" s="507">
        <f t="shared" si="90"/>
        <v>0</v>
      </c>
    </row>
    <row r="2629" spans="1:12" s="84" customFormat="1" ht="14.25" customHeight="1" thickBot="1">
      <c r="A2629" s="353" t="s">
        <v>6658</v>
      </c>
      <c r="B2629" s="194" t="s">
        <v>6659</v>
      </c>
      <c r="C2629" s="339">
        <f t="shared" si="89"/>
        <v>50000</v>
      </c>
      <c r="D2629" s="191" t="s">
        <v>636</v>
      </c>
      <c r="E2629" s="172" t="s">
        <v>1687</v>
      </c>
      <c r="F2629" s="507">
        <f>SUMIFS(Controle!$R:$R,Controle!$H:$H,produtos_escape2!$A2629,Controle!$Z:$Z,"1")</f>
        <v>0</v>
      </c>
      <c r="G2629" s="507">
        <f>SUMIFS(Controle!$R:$R,Controle!$H:$H,produtos_escape2!$A2629,Controle!$Z:$Z,"2")</f>
        <v>0</v>
      </c>
      <c r="H2629" s="507">
        <f>SUMIFS(Controle!$R:$R,Controle!$H:$H,produtos_escape2!$A2629,Controle!$Z:$Z,"3")</f>
        <v>0</v>
      </c>
      <c r="I2629" s="507">
        <f>SUMIFS(Controle!$R:$R,Controle!$H:$H,produtos_escape2!$A2629,Controle!$Z:$Z,"4")</f>
        <v>0</v>
      </c>
      <c r="J2629" s="507">
        <f>SUMIFS(Controle!$R:$R,Controle!$H:$H,produtos_escape2!$A2629,Controle!$Z:$Z,"5")</f>
        <v>0</v>
      </c>
      <c r="K2629" s="507">
        <f>SUMIFS(Controle!$R:$R,Controle!$H:$H,produtos_escape2!$A2629,Controle!$Z:$Z,"6")</f>
        <v>0</v>
      </c>
      <c r="L2629" s="507">
        <f t="shared" si="90"/>
        <v>0</v>
      </c>
    </row>
    <row r="2630" spans="1:12" s="84" customFormat="1" ht="14.25" customHeight="1" thickBot="1">
      <c r="A2630" s="353" t="s">
        <v>8044</v>
      </c>
      <c r="B2630" s="194" t="s">
        <v>8045</v>
      </c>
      <c r="C2630" s="339">
        <f t="shared" si="89"/>
        <v>47443.13</v>
      </c>
      <c r="D2630" s="191" t="s">
        <v>636</v>
      </c>
      <c r="E2630" s="172" t="s">
        <v>1687</v>
      </c>
      <c r="F2630" s="507">
        <f>SUMIFS(Controle!$R:$R,Controle!$H:$H,produtos_escape2!$A2630,Controle!$Z:$Z,"1")</f>
        <v>0</v>
      </c>
      <c r="G2630" s="507">
        <f>SUMIFS(Controle!$R:$R,Controle!$H:$H,produtos_escape2!$A2630,Controle!$Z:$Z,"2")</f>
        <v>0</v>
      </c>
      <c r="H2630" s="507">
        <f>SUMIFS(Controle!$R:$R,Controle!$H:$H,produtos_escape2!$A2630,Controle!$Z:$Z,"3")</f>
        <v>2556.87</v>
      </c>
      <c r="I2630" s="507">
        <f>SUMIFS(Controle!$R:$R,Controle!$H:$H,produtos_escape2!$A2630,Controle!$Z:$Z,"4")</f>
        <v>0</v>
      </c>
      <c r="J2630" s="507">
        <f>SUMIFS(Controle!$R:$R,Controle!$H:$H,produtos_escape2!$A2630,Controle!$Z:$Z,"5")</f>
        <v>0</v>
      </c>
      <c r="K2630" s="507">
        <f>SUMIFS(Controle!$R:$R,Controle!$H:$H,produtos_escape2!$A2630,Controle!$Z:$Z,"6")</f>
        <v>0</v>
      </c>
      <c r="L2630" s="507">
        <f t="shared" si="90"/>
        <v>2556.87</v>
      </c>
    </row>
    <row r="2631" spans="1:12" s="84" customFormat="1" ht="14.25" customHeight="1" thickBot="1">
      <c r="A2631" s="353" t="s">
        <v>8046</v>
      </c>
      <c r="B2631" s="194" t="s">
        <v>8047</v>
      </c>
      <c r="C2631" s="339">
        <f t="shared" si="89"/>
        <v>47443.13</v>
      </c>
      <c r="D2631" s="191" t="s">
        <v>636</v>
      </c>
      <c r="E2631" s="172" t="s">
        <v>1687</v>
      </c>
      <c r="F2631" s="507">
        <f>SUMIFS(Controle!$R:$R,Controle!$H:$H,produtos_escape2!$A2631,Controle!$Z:$Z,"1")</f>
        <v>0</v>
      </c>
      <c r="G2631" s="507">
        <f>SUMIFS(Controle!$R:$R,Controle!$H:$H,produtos_escape2!$A2631,Controle!$Z:$Z,"2")</f>
        <v>0</v>
      </c>
      <c r="H2631" s="507">
        <f>SUMIFS(Controle!$R:$R,Controle!$H:$H,produtos_escape2!$A2631,Controle!$Z:$Z,"3")</f>
        <v>2556.87</v>
      </c>
      <c r="I2631" s="507">
        <f>SUMIFS(Controle!$R:$R,Controle!$H:$H,produtos_escape2!$A2631,Controle!$Z:$Z,"4")</f>
        <v>0</v>
      </c>
      <c r="J2631" s="507">
        <f>SUMIFS(Controle!$R:$R,Controle!$H:$H,produtos_escape2!$A2631,Controle!$Z:$Z,"5")</f>
        <v>0</v>
      </c>
      <c r="K2631" s="507">
        <f>SUMIFS(Controle!$R:$R,Controle!$H:$H,produtos_escape2!$A2631,Controle!$Z:$Z,"6")</f>
        <v>0</v>
      </c>
      <c r="L2631" s="507">
        <f t="shared" si="90"/>
        <v>2556.87</v>
      </c>
    </row>
    <row r="2632" spans="1:12" s="84" customFormat="1" ht="14.25" customHeight="1" thickBot="1">
      <c r="A2632" s="353" t="s">
        <v>3571</v>
      </c>
      <c r="B2632" s="194" t="s">
        <v>3548</v>
      </c>
      <c r="C2632" s="339">
        <f t="shared" si="89"/>
        <v>50000</v>
      </c>
      <c r="D2632" s="196" t="s">
        <v>636</v>
      </c>
      <c r="E2632" s="197" t="s">
        <v>1739</v>
      </c>
      <c r="F2632" s="507">
        <f>SUMIFS(Controle!$R:$R,Controle!$H:$H,produtos_escape2!$A2632,Controle!$Z:$Z,"1")</f>
        <v>0</v>
      </c>
      <c r="G2632" s="507">
        <f>SUMIFS(Controle!$R:$R,Controle!$H:$H,produtos_escape2!$A2632,Controle!$Z:$Z,"2")</f>
        <v>0</v>
      </c>
      <c r="H2632" s="507">
        <f>SUMIFS(Controle!$R:$R,Controle!$H:$H,produtos_escape2!$A2632,Controle!$Z:$Z,"3")</f>
        <v>0</v>
      </c>
      <c r="I2632" s="507">
        <f>SUMIFS(Controle!$R:$R,Controle!$H:$H,produtos_escape2!$A2632,Controle!$Z:$Z,"4")</f>
        <v>0</v>
      </c>
      <c r="J2632" s="507">
        <f>SUMIFS(Controle!$R:$R,Controle!$H:$H,produtos_escape2!$A2632,Controle!$Z:$Z,"5")</f>
        <v>0</v>
      </c>
      <c r="K2632" s="507">
        <f>SUMIFS(Controle!$R:$R,Controle!$H:$H,produtos_escape2!$A2632,Controle!$Z:$Z,"6")</f>
        <v>0</v>
      </c>
      <c r="L2632" s="507">
        <f t="shared" si="90"/>
        <v>0</v>
      </c>
    </row>
    <row r="2633" spans="1:12" s="84" customFormat="1" ht="14.25" customHeight="1" thickBot="1">
      <c r="A2633" s="333" t="s">
        <v>3572</v>
      </c>
      <c r="B2633" s="194" t="s">
        <v>3549</v>
      </c>
      <c r="C2633" s="339">
        <f t="shared" si="89"/>
        <v>50000</v>
      </c>
      <c r="D2633" s="196" t="s">
        <v>636</v>
      </c>
      <c r="E2633" s="197" t="s">
        <v>1739</v>
      </c>
      <c r="F2633" s="507">
        <f>SUMIFS(Controle!$R:$R,Controle!$H:$H,produtos_escape2!$A2633,Controle!$Z:$Z,"1")</f>
        <v>0</v>
      </c>
      <c r="G2633" s="507">
        <f>SUMIFS(Controle!$R:$R,Controle!$H:$H,produtos_escape2!$A2633,Controle!$Z:$Z,"2")</f>
        <v>0</v>
      </c>
      <c r="H2633" s="507">
        <f>SUMIFS(Controle!$R:$R,Controle!$H:$H,produtos_escape2!$A2633,Controle!$Z:$Z,"3")</f>
        <v>0</v>
      </c>
      <c r="I2633" s="507">
        <f>SUMIFS(Controle!$R:$R,Controle!$H:$H,produtos_escape2!$A2633,Controle!$Z:$Z,"4")</f>
        <v>0</v>
      </c>
      <c r="J2633" s="507">
        <f>SUMIFS(Controle!$R:$R,Controle!$H:$H,produtos_escape2!$A2633,Controle!$Z:$Z,"5")</f>
        <v>0</v>
      </c>
      <c r="K2633" s="507">
        <f>SUMIFS(Controle!$R:$R,Controle!$H:$H,produtos_escape2!$A2633,Controle!$Z:$Z,"6")</f>
        <v>0</v>
      </c>
      <c r="L2633" s="507">
        <f t="shared" si="90"/>
        <v>0</v>
      </c>
    </row>
    <row r="2634" spans="1:12" s="84" customFormat="1" ht="14.25" customHeight="1" thickBot="1">
      <c r="A2634" s="353" t="s">
        <v>3573</v>
      </c>
      <c r="B2634" s="194" t="s">
        <v>3550</v>
      </c>
      <c r="C2634" s="339">
        <f t="shared" ref="C2634:C2697" si="91">50000-SUM(F2634:K2634)</f>
        <v>50000</v>
      </c>
      <c r="D2634" s="196" t="s">
        <v>636</v>
      </c>
      <c r="E2634" s="197" t="s">
        <v>1739</v>
      </c>
      <c r="F2634" s="507">
        <f>SUMIFS(Controle!$R:$R,Controle!$H:$H,produtos_escape2!$A2634,Controle!$Z:$Z,"1")</f>
        <v>0</v>
      </c>
      <c r="G2634" s="507">
        <f>SUMIFS(Controle!$R:$R,Controle!$H:$H,produtos_escape2!$A2634,Controle!$Z:$Z,"2")</f>
        <v>0</v>
      </c>
      <c r="H2634" s="507">
        <f>SUMIFS(Controle!$R:$R,Controle!$H:$H,produtos_escape2!$A2634,Controle!$Z:$Z,"3")</f>
        <v>0</v>
      </c>
      <c r="I2634" s="507">
        <f>SUMIFS(Controle!$R:$R,Controle!$H:$H,produtos_escape2!$A2634,Controle!$Z:$Z,"4")</f>
        <v>0</v>
      </c>
      <c r="J2634" s="507">
        <f>SUMIFS(Controle!$R:$R,Controle!$H:$H,produtos_escape2!$A2634,Controle!$Z:$Z,"5")</f>
        <v>0</v>
      </c>
      <c r="K2634" s="507">
        <f>SUMIFS(Controle!$R:$R,Controle!$H:$H,produtos_escape2!$A2634,Controle!$Z:$Z,"6")</f>
        <v>0</v>
      </c>
      <c r="L2634" s="507">
        <f t="shared" si="90"/>
        <v>0</v>
      </c>
    </row>
    <row r="2635" spans="1:12" s="84" customFormat="1" ht="14.25" customHeight="1" thickBot="1">
      <c r="A2635" s="353" t="s">
        <v>3574</v>
      </c>
      <c r="B2635" s="194" t="s">
        <v>3551</v>
      </c>
      <c r="C2635" s="339">
        <f t="shared" si="91"/>
        <v>50000</v>
      </c>
      <c r="D2635" s="196" t="s">
        <v>636</v>
      </c>
      <c r="E2635" s="197" t="s">
        <v>1739</v>
      </c>
      <c r="F2635" s="507">
        <f>SUMIFS(Controle!$R:$R,Controle!$H:$H,produtos_escape2!$A2635,Controle!$Z:$Z,"1")</f>
        <v>0</v>
      </c>
      <c r="G2635" s="507">
        <f>SUMIFS(Controle!$R:$R,Controle!$H:$H,produtos_escape2!$A2635,Controle!$Z:$Z,"2")</f>
        <v>0</v>
      </c>
      <c r="H2635" s="507">
        <f>SUMIFS(Controle!$R:$R,Controle!$H:$H,produtos_escape2!$A2635,Controle!$Z:$Z,"3")</f>
        <v>0</v>
      </c>
      <c r="I2635" s="507">
        <f>SUMIFS(Controle!$R:$R,Controle!$H:$H,produtos_escape2!$A2635,Controle!$Z:$Z,"4")</f>
        <v>0</v>
      </c>
      <c r="J2635" s="507">
        <f>SUMIFS(Controle!$R:$R,Controle!$H:$H,produtos_escape2!$A2635,Controle!$Z:$Z,"5")</f>
        <v>0</v>
      </c>
      <c r="K2635" s="507">
        <f>SUMIFS(Controle!$R:$R,Controle!$H:$H,produtos_escape2!$A2635,Controle!$Z:$Z,"6")</f>
        <v>0</v>
      </c>
      <c r="L2635" s="507">
        <f t="shared" si="90"/>
        <v>0</v>
      </c>
    </row>
    <row r="2636" spans="1:12" s="84" customFormat="1" ht="14.25" customHeight="1" thickBot="1">
      <c r="A2636" s="353" t="s">
        <v>3575</v>
      </c>
      <c r="B2636" s="194" t="s">
        <v>3552</v>
      </c>
      <c r="C2636" s="339">
        <f t="shared" si="91"/>
        <v>50000</v>
      </c>
      <c r="D2636" s="196" t="s">
        <v>636</v>
      </c>
      <c r="E2636" s="197" t="s">
        <v>1739</v>
      </c>
      <c r="F2636" s="507">
        <f>SUMIFS(Controle!$R:$R,Controle!$H:$H,produtos_escape2!$A2636,Controle!$Z:$Z,"1")</f>
        <v>0</v>
      </c>
      <c r="G2636" s="507">
        <f>SUMIFS(Controle!$R:$R,Controle!$H:$H,produtos_escape2!$A2636,Controle!$Z:$Z,"2")</f>
        <v>0</v>
      </c>
      <c r="H2636" s="507">
        <f>SUMIFS(Controle!$R:$R,Controle!$H:$H,produtos_escape2!$A2636,Controle!$Z:$Z,"3")</f>
        <v>0</v>
      </c>
      <c r="I2636" s="507">
        <f>SUMIFS(Controle!$R:$R,Controle!$H:$H,produtos_escape2!$A2636,Controle!$Z:$Z,"4")</f>
        <v>0</v>
      </c>
      <c r="J2636" s="507">
        <f>SUMIFS(Controle!$R:$R,Controle!$H:$H,produtos_escape2!$A2636,Controle!$Z:$Z,"5")</f>
        <v>0</v>
      </c>
      <c r="K2636" s="507">
        <f>SUMIFS(Controle!$R:$R,Controle!$H:$H,produtos_escape2!$A2636,Controle!$Z:$Z,"6")</f>
        <v>0</v>
      </c>
      <c r="L2636" s="507">
        <f t="shared" si="90"/>
        <v>0</v>
      </c>
    </row>
    <row r="2637" spans="1:12" s="84" customFormat="1" ht="14.25" customHeight="1" thickBot="1">
      <c r="A2637" s="353" t="s">
        <v>3576</v>
      </c>
      <c r="B2637" s="338" t="s">
        <v>3553</v>
      </c>
      <c r="C2637" s="339">
        <f t="shared" si="91"/>
        <v>50000</v>
      </c>
      <c r="D2637" s="196" t="s">
        <v>636</v>
      </c>
      <c r="E2637" s="197" t="s">
        <v>1739</v>
      </c>
      <c r="F2637" s="507">
        <f>SUMIFS(Controle!$R:$R,Controle!$H:$H,produtos_escape2!$A2637,Controle!$Z:$Z,"1")</f>
        <v>0</v>
      </c>
      <c r="G2637" s="507">
        <f>SUMIFS(Controle!$R:$R,Controle!$H:$H,produtos_escape2!$A2637,Controle!$Z:$Z,"2")</f>
        <v>0</v>
      </c>
      <c r="H2637" s="507">
        <f>SUMIFS(Controle!$R:$R,Controle!$H:$H,produtos_escape2!$A2637,Controle!$Z:$Z,"3")</f>
        <v>0</v>
      </c>
      <c r="I2637" s="507">
        <f>SUMIFS(Controle!$R:$R,Controle!$H:$H,produtos_escape2!$A2637,Controle!$Z:$Z,"4")</f>
        <v>0</v>
      </c>
      <c r="J2637" s="507">
        <f>SUMIFS(Controle!$R:$R,Controle!$H:$H,produtos_escape2!$A2637,Controle!$Z:$Z,"5")</f>
        <v>0</v>
      </c>
      <c r="K2637" s="507">
        <f>SUMIFS(Controle!$R:$R,Controle!$H:$H,produtos_escape2!$A2637,Controle!$Z:$Z,"6")</f>
        <v>0</v>
      </c>
      <c r="L2637" s="507">
        <f t="shared" si="90"/>
        <v>0</v>
      </c>
    </row>
    <row r="2638" spans="1:12" s="84" customFormat="1" ht="14.25" customHeight="1" thickBot="1">
      <c r="A2638" s="353" t="s">
        <v>3577</v>
      </c>
      <c r="B2638" s="194" t="s">
        <v>3554</v>
      </c>
      <c r="C2638" s="339">
        <f t="shared" si="91"/>
        <v>50000</v>
      </c>
      <c r="D2638" s="196" t="s">
        <v>636</v>
      </c>
      <c r="E2638" s="197" t="s">
        <v>1739</v>
      </c>
      <c r="F2638" s="507">
        <f>SUMIFS(Controle!$R:$R,Controle!$H:$H,produtos_escape2!$A2638,Controle!$Z:$Z,"1")</f>
        <v>0</v>
      </c>
      <c r="G2638" s="507">
        <f>SUMIFS(Controle!$R:$R,Controle!$H:$H,produtos_escape2!$A2638,Controle!$Z:$Z,"2")</f>
        <v>0</v>
      </c>
      <c r="H2638" s="507">
        <f>SUMIFS(Controle!$R:$R,Controle!$H:$H,produtos_escape2!$A2638,Controle!$Z:$Z,"3")</f>
        <v>0</v>
      </c>
      <c r="I2638" s="507">
        <f>SUMIFS(Controle!$R:$R,Controle!$H:$H,produtos_escape2!$A2638,Controle!$Z:$Z,"4")</f>
        <v>0</v>
      </c>
      <c r="J2638" s="507">
        <f>SUMIFS(Controle!$R:$R,Controle!$H:$H,produtos_escape2!$A2638,Controle!$Z:$Z,"5")</f>
        <v>0</v>
      </c>
      <c r="K2638" s="507">
        <f>SUMIFS(Controle!$R:$R,Controle!$H:$H,produtos_escape2!$A2638,Controle!$Z:$Z,"6")</f>
        <v>0</v>
      </c>
      <c r="L2638" s="507">
        <f t="shared" si="90"/>
        <v>0</v>
      </c>
    </row>
    <row r="2639" spans="1:12" s="84" customFormat="1" ht="14.25" customHeight="1" thickBot="1">
      <c r="A2639" s="353" t="s">
        <v>3578</v>
      </c>
      <c r="B2639" s="194" t="s">
        <v>3555</v>
      </c>
      <c r="C2639" s="339">
        <f t="shared" si="91"/>
        <v>50000</v>
      </c>
      <c r="D2639" s="196" t="s">
        <v>636</v>
      </c>
      <c r="E2639" s="197" t="s">
        <v>1739</v>
      </c>
      <c r="F2639" s="507">
        <f>SUMIFS(Controle!$R:$R,Controle!$H:$H,produtos_escape2!$A2639,Controle!$Z:$Z,"1")</f>
        <v>0</v>
      </c>
      <c r="G2639" s="507">
        <f>SUMIFS(Controle!$R:$R,Controle!$H:$H,produtos_escape2!$A2639,Controle!$Z:$Z,"2")</f>
        <v>0</v>
      </c>
      <c r="H2639" s="507">
        <f>SUMIFS(Controle!$R:$R,Controle!$H:$H,produtos_escape2!$A2639,Controle!$Z:$Z,"3")</f>
        <v>0</v>
      </c>
      <c r="I2639" s="507">
        <f>SUMIFS(Controle!$R:$R,Controle!$H:$H,produtos_escape2!$A2639,Controle!$Z:$Z,"4")</f>
        <v>0</v>
      </c>
      <c r="J2639" s="507">
        <f>SUMIFS(Controle!$R:$R,Controle!$H:$H,produtos_escape2!$A2639,Controle!$Z:$Z,"5")</f>
        <v>0</v>
      </c>
      <c r="K2639" s="507">
        <f>SUMIFS(Controle!$R:$R,Controle!$H:$H,produtos_escape2!$A2639,Controle!$Z:$Z,"6")</f>
        <v>0</v>
      </c>
      <c r="L2639" s="507">
        <f t="shared" si="90"/>
        <v>0</v>
      </c>
    </row>
    <row r="2640" spans="1:12" s="84" customFormat="1" ht="14.25" customHeight="1" thickBot="1">
      <c r="A2640" s="353" t="s">
        <v>3579</v>
      </c>
      <c r="B2640" s="194" t="s">
        <v>3556</v>
      </c>
      <c r="C2640" s="339">
        <f t="shared" si="91"/>
        <v>50000</v>
      </c>
      <c r="D2640" s="196" t="s">
        <v>636</v>
      </c>
      <c r="E2640" s="197" t="s">
        <v>1739</v>
      </c>
      <c r="F2640" s="507">
        <f>SUMIFS(Controle!$R:$R,Controle!$H:$H,produtos_escape2!$A2640,Controle!$Z:$Z,"1")</f>
        <v>0</v>
      </c>
      <c r="G2640" s="507">
        <f>SUMIFS(Controle!$R:$R,Controle!$H:$H,produtos_escape2!$A2640,Controle!$Z:$Z,"2")</f>
        <v>0</v>
      </c>
      <c r="H2640" s="507">
        <f>SUMIFS(Controle!$R:$R,Controle!$H:$H,produtos_escape2!$A2640,Controle!$Z:$Z,"3")</f>
        <v>0</v>
      </c>
      <c r="I2640" s="507">
        <f>SUMIFS(Controle!$R:$R,Controle!$H:$H,produtos_escape2!$A2640,Controle!$Z:$Z,"4")</f>
        <v>0</v>
      </c>
      <c r="J2640" s="507">
        <f>SUMIFS(Controle!$R:$R,Controle!$H:$H,produtos_escape2!$A2640,Controle!$Z:$Z,"5")</f>
        <v>0</v>
      </c>
      <c r="K2640" s="507">
        <f>SUMIFS(Controle!$R:$R,Controle!$H:$H,produtos_escape2!$A2640,Controle!$Z:$Z,"6")</f>
        <v>0</v>
      </c>
      <c r="L2640" s="507">
        <f t="shared" si="90"/>
        <v>0</v>
      </c>
    </row>
    <row r="2641" spans="1:12" s="84" customFormat="1" ht="14.25" customHeight="1" thickBot="1">
      <c r="A2641" s="333" t="s">
        <v>3580</v>
      </c>
      <c r="B2641" s="194" t="s">
        <v>3557</v>
      </c>
      <c r="C2641" s="339">
        <f t="shared" si="91"/>
        <v>50000</v>
      </c>
      <c r="D2641" s="196" t="s">
        <v>636</v>
      </c>
      <c r="E2641" s="197" t="s">
        <v>1739</v>
      </c>
      <c r="F2641" s="507">
        <f>SUMIFS(Controle!$R:$R,Controle!$H:$H,produtos_escape2!$A2641,Controle!$Z:$Z,"1")</f>
        <v>0</v>
      </c>
      <c r="G2641" s="507">
        <f>SUMIFS(Controle!$R:$R,Controle!$H:$H,produtos_escape2!$A2641,Controle!$Z:$Z,"2")</f>
        <v>0</v>
      </c>
      <c r="H2641" s="507">
        <f>SUMIFS(Controle!$R:$R,Controle!$H:$H,produtos_escape2!$A2641,Controle!$Z:$Z,"3")</f>
        <v>0</v>
      </c>
      <c r="I2641" s="507">
        <f>SUMIFS(Controle!$R:$R,Controle!$H:$H,produtos_escape2!$A2641,Controle!$Z:$Z,"4")</f>
        <v>0</v>
      </c>
      <c r="J2641" s="507">
        <f>SUMIFS(Controle!$R:$R,Controle!$H:$H,produtos_escape2!$A2641,Controle!$Z:$Z,"5")</f>
        <v>0</v>
      </c>
      <c r="K2641" s="507">
        <f>SUMIFS(Controle!$R:$R,Controle!$H:$H,produtos_escape2!$A2641,Controle!$Z:$Z,"6")</f>
        <v>0</v>
      </c>
      <c r="L2641" s="507">
        <f t="shared" si="90"/>
        <v>0</v>
      </c>
    </row>
    <row r="2642" spans="1:12" s="84" customFormat="1" ht="14.25" customHeight="1" thickBot="1">
      <c r="A2642" s="353" t="s">
        <v>3581</v>
      </c>
      <c r="B2642" s="194" t="s">
        <v>3558</v>
      </c>
      <c r="C2642" s="339">
        <f t="shared" si="91"/>
        <v>50000</v>
      </c>
      <c r="D2642" s="196" t="s">
        <v>636</v>
      </c>
      <c r="E2642" s="197" t="s">
        <v>1739</v>
      </c>
      <c r="F2642" s="507">
        <f>SUMIFS(Controle!$R:$R,Controle!$H:$H,produtos_escape2!$A2642,Controle!$Z:$Z,"1")</f>
        <v>0</v>
      </c>
      <c r="G2642" s="507">
        <f>SUMIFS(Controle!$R:$R,Controle!$H:$H,produtos_escape2!$A2642,Controle!$Z:$Z,"2")</f>
        <v>0</v>
      </c>
      <c r="H2642" s="507">
        <f>SUMIFS(Controle!$R:$R,Controle!$H:$H,produtos_escape2!$A2642,Controle!$Z:$Z,"3")</f>
        <v>0</v>
      </c>
      <c r="I2642" s="507">
        <f>SUMIFS(Controle!$R:$R,Controle!$H:$H,produtos_escape2!$A2642,Controle!$Z:$Z,"4")</f>
        <v>0</v>
      </c>
      <c r="J2642" s="507">
        <f>SUMIFS(Controle!$R:$R,Controle!$H:$H,produtos_escape2!$A2642,Controle!$Z:$Z,"5")</f>
        <v>0</v>
      </c>
      <c r="K2642" s="507">
        <f>SUMIFS(Controle!$R:$R,Controle!$H:$H,produtos_escape2!$A2642,Controle!$Z:$Z,"6")</f>
        <v>0</v>
      </c>
      <c r="L2642" s="507">
        <f t="shared" si="90"/>
        <v>0</v>
      </c>
    </row>
    <row r="2643" spans="1:12" s="84" customFormat="1" ht="14.25" customHeight="1" thickBot="1">
      <c r="A2643" s="353" t="s">
        <v>3582</v>
      </c>
      <c r="B2643" s="194" t="s">
        <v>3559</v>
      </c>
      <c r="C2643" s="339">
        <f t="shared" si="91"/>
        <v>50000</v>
      </c>
      <c r="D2643" s="196" t="s">
        <v>636</v>
      </c>
      <c r="E2643" s="197" t="s">
        <v>1739</v>
      </c>
      <c r="F2643" s="507">
        <f>SUMIFS(Controle!$R:$R,Controle!$H:$H,produtos_escape2!$A2643,Controle!$Z:$Z,"1")</f>
        <v>0</v>
      </c>
      <c r="G2643" s="507">
        <f>SUMIFS(Controle!$R:$R,Controle!$H:$H,produtos_escape2!$A2643,Controle!$Z:$Z,"2")</f>
        <v>0</v>
      </c>
      <c r="H2643" s="507">
        <f>SUMIFS(Controle!$R:$R,Controle!$H:$H,produtos_escape2!$A2643,Controle!$Z:$Z,"3")</f>
        <v>0</v>
      </c>
      <c r="I2643" s="507">
        <f>SUMIFS(Controle!$R:$R,Controle!$H:$H,produtos_escape2!$A2643,Controle!$Z:$Z,"4")</f>
        <v>0</v>
      </c>
      <c r="J2643" s="507">
        <f>SUMIFS(Controle!$R:$R,Controle!$H:$H,produtos_escape2!$A2643,Controle!$Z:$Z,"5")</f>
        <v>0</v>
      </c>
      <c r="K2643" s="507">
        <f>SUMIFS(Controle!$R:$R,Controle!$H:$H,produtos_escape2!$A2643,Controle!$Z:$Z,"6")</f>
        <v>0</v>
      </c>
      <c r="L2643" s="507">
        <f t="shared" si="90"/>
        <v>0</v>
      </c>
    </row>
    <row r="2644" spans="1:12" s="84" customFormat="1" ht="14.25" customHeight="1" thickBot="1">
      <c r="A2644" s="353" t="s">
        <v>3583</v>
      </c>
      <c r="B2644" s="194" t="s">
        <v>3560</v>
      </c>
      <c r="C2644" s="339">
        <f t="shared" si="91"/>
        <v>50000</v>
      </c>
      <c r="D2644" s="196" t="s">
        <v>636</v>
      </c>
      <c r="E2644" s="197" t="s">
        <v>1739</v>
      </c>
      <c r="F2644" s="507">
        <f>SUMIFS(Controle!$R:$R,Controle!$H:$H,produtos_escape2!$A2644,Controle!$Z:$Z,"1")</f>
        <v>0</v>
      </c>
      <c r="G2644" s="507">
        <f>SUMIFS(Controle!$R:$R,Controle!$H:$H,produtos_escape2!$A2644,Controle!$Z:$Z,"2")</f>
        <v>0</v>
      </c>
      <c r="H2644" s="507">
        <f>SUMIFS(Controle!$R:$R,Controle!$H:$H,produtos_escape2!$A2644,Controle!$Z:$Z,"3")</f>
        <v>0</v>
      </c>
      <c r="I2644" s="507">
        <f>SUMIFS(Controle!$R:$R,Controle!$H:$H,produtos_escape2!$A2644,Controle!$Z:$Z,"4")</f>
        <v>0</v>
      </c>
      <c r="J2644" s="507">
        <f>SUMIFS(Controle!$R:$R,Controle!$H:$H,produtos_escape2!$A2644,Controle!$Z:$Z,"5")</f>
        <v>0</v>
      </c>
      <c r="K2644" s="507">
        <f>SUMIFS(Controle!$R:$R,Controle!$H:$H,produtos_escape2!$A2644,Controle!$Z:$Z,"6")</f>
        <v>0</v>
      </c>
      <c r="L2644" s="507">
        <f t="shared" si="90"/>
        <v>0</v>
      </c>
    </row>
    <row r="2645" spans="1:12" s="84" customFormat="1" ht="14.25" customHeight="1" thickBot="1">
      <c r="A2645" s="353" t="s">
        <v>3584</v>
      </c>
      <c r="B2645" s="338" t="s">
        <v>3561</v>
      </c>
      <c r="C2645" s="339">
        <f t="shared" si="91"/>
        <v>50000</v>
      </c>
      <c r="D2645" s="196" t="s">
        <v>636</v>
      </c>
      <c r="E2645" s="197" t="s">
        <v>1739</v>
      </c>
      <c r="F2645" s="507">
        <f>SUMIFS(Controle!$R:$R,Controle!$H:$H,produtos_escape2!$A2645,Controle!$Z:$Z,"1")</f>
        <v>0</v>
      </c>
      <c r="G2645" s="507">
        <f>SUMIFS(Controle!$R:$R,Controle!$H:$H,produtos_escape2!$A2645,Controle!$Z:$Z,"2")</f>
        <v>0</v>
      </c>
      <c r="H2645" s="507">
        <f>SUMIFS(Controle!$R:$R,Controle!$H:$H,produtos_escape2!$A2645,Controle!$Z:$Z,"3")</f>
        <v>0</v>
      </c>
      <c r="I2645" s="507">
        <f>SUMIFS(Controle!$R:$R,Controle!$H:$H,produtos_escape2!$A2645,Controle!$Z:$Z,"4")</f>
        <v>0</v>
      </c>
      <c r="J2645" s="507">
        <f>SUMIFS(Controle!$R:$R,Controle!$H:$H,produtos_escape2!$A2645,Controle!$Z:$Z,"5")</f>
        <v>0</v>
      </c>
      <c r="K2645" s="507">
        <f>SUMIFS(Controle!$R:$R,Controle!$H:$H,produtos_escape2!$A2645,Controle!$Z:$Z,"6")</f>
        <v>0</v>
      </c>
      <c r="L2645" s="507">
        <f t="shared" si="90"/>
        <v>0</v>
      </c>
    </row>
    <row r="2646" spans="1:12" s="84" customFormat="1" ht="14.25" customHeight="1" thickBot="1">
      <c r="A2646" s="353" t="s">
        <v>3585</v>
      </c>
      <c r="B2646" s="194" t="s">
        <v>3562</v>
      </c>
      <c r="C2646" s="339">
        <f t="shared" si="91"/>
        <v>50000</v>
      </c>
      <c r="D2646" s="196" t="s">
        <v>636</v>
      </c>
      <c r="E2646" s="197" t="s">
        <v>1739</v>
      </c>
      <c r="F2646" s="507">
        <f>SUMIFS(Controle!$R:$R,Controle!$H:$H,produtos_escape2!$A2646,Controle!$Z:$Z,"1")</f>
        <v>0</v>
      </c>
      <c r="G2646" s="507">
        <f>SUMIFS(Controle!$R:$R,Controle!$H:$H,produtos_escape2!$A2646,Controle!$Z:$Z,"2")</f>
        <v>0</v>
      </c>
      <c r="H2646" s="507">
        <f>SUMIFS(Controle!$R:$R,Controle!$H:$H,produtos_escape2!$A2646,Controle!$Z:$Z,"3")</f>
        <v>0</v>
      </c>
      <c r="I2646" s="507">
        <f>SUMIFS(Controle!$R:$R,Controle!$H:$H,produtos_escape2!$A2646,Controle!$Z:$Z,"4")</f>
        <v>0</v>
      </c>
      <c r="J2646" s="507">
        <f>SUMIFS(Controle!$R:$R,Controle!$H:$H,produtos_escape2!$A2646,Controle!$Z:$Z,"5")</f>
        <v>0</v>
      </c>
      <c r="K2646" s="507">
        <f>SUMIFS(Controle!$R:$R,Controle!$H:$H,produtos_escape2!$A2646,Controle!$Z:$Z,"6")</f>
        <v>0</v>
      </c>
      <c r="L2646" s="507">
        <f t="shared" si="90"/>
        <v>0</v>
      </c>
    </row>
    <row r="2647" spans="1:12" s="84" customFormat="1" ht="14.25" customHeight="1" thickBot="1">
      <c r="A2647" s="353" t="s">
        <v>3586</v>
      </c>
      <c r="B2647" s="194" t="s">
        <v>3563</v>
      </c>
      <c r="C2647" s="339">
        <f t="shared" si="91"/>
        <v>50000</v>
      </c>
      <c r="D2647" s="196" t="s">
        <v>636</v>
      </c>
      <c r="E2647" s="197" t="s">
        <v>1739</v>
      </c>
      <c r="F2647" s="507">
        <f>SUMIFS(Controle!$R:$R,Controle!$H:$H,produtos_escape2!$A2647,Controle!$Z:$Z,"1")</f>
        <v>0</v>
      </c>
      <c r="G2647" s="507">
        <f>SUMIFS(Controle!$R:$R,Controle!$H:$H,produtos_escape2!$A2647,Controle!$Z:$Z,"2")</f>
        <v>0</v>
      </c>
      <c r="H2647" s="507">
        <f>SUMIFS(Controle!$R:$R,Controle!$H:$H,produtos_escape2!$A2647,Controle!$Z:$Z,"3")</f>
        <v>0</v>
      </c>
      <c r="I2647" s="507">
        <f>SUMIFS(Controle!$R:$R,Controle!$H:$H,produtos_escape2!$A2647,Controle!$Z:$Z,"4")</f>
        <v>0</v>
      </c>
      <c r="J2647" s="507">
        <f>SUMIFS(Controle!$R:$R,Controle!$H:$H,produtos_escape2!$A2647,Controle!$Z:$Z,"5")</f>
        <v>0</v>
      </c>
      <c r="K2647" s="507">
        <f>SUMIFS(Controle!$R:$R,Controle!$H:$H,produtos_escape2!$A2647,Controle!$Z:$Z,"6")</f>
        <v>0</v>
      </c>
      <c r="L2647" s="507">
        <f t="shared" si="90"/>
        <v>0</v>
      </c>
    </row>
    <row r="2648" spans="1:12" s="84" customFormat="1" ht="14.25" customHeight="1" thickBot="1">
      <c r="A2648" s="353" t="s">
        <v>3587</v>
      </c>
      <c r="B2648" s="194" t="s">
        <v>3564</v>
      </c>
      <c r="C2648" s="339">
        <f t="shared" si="91"/>
        <v>50000</v>
      </c>
      <c r="D2648" s="196" t="s">
        <v>636</v>
      </c>
      <c r="E2648" s="197" t="s">
        <v>1739</v>
      </c>
      <c r="F2648" s="507">
        <f>SUMIFS(Controle!$R:$R,Controle!$H:$H,produtos_escape2!$A2648,Controle!$Z:$Z,"1")</f>
        <v>0</v>
      </c>
      <c r="G2648" s="507">
        <f>SUMIFS(Controle!$R:$R,Controle!$H:$H,produtos_escape2!$A2648,Controle!$Z:$Z,"2")</f>
        <v>0</v>
      </c>
      <c r="H2648" s="507">
        <f>SUMIFS(Controle!$R:$R,Controle!$H:$H,produtos_escape2!$A2648,Controle!$Z:$Z,"3")</f>
        <v>0</v>
      </c>
      <c r="I2648" s="507">
        <f>SUMIFS(Controle!$R:$R,Controle!$H:$H,produtos_escape2!$A2648,Controle!$Z:$Z,"4")</f>
        <v>0</v>
      </c>
      <c r="J2648" s="507">
        <f>SUMIFS(Controle!$R:$R,Controle!$H:$H,produtos_escape2!$A2648,Controle!$Z:$Z,"5")</f>
        <v>0</v>
      </c>
      <c r="K2648" s="507">
        <f>SUMIFS(Controle!$R:$R,Controle!$H:$H,produtos_escape2!$A2648,Controle!$Z:$Z,"6")</f>
        <v>0</v>
      </c>
      <c r="L2648" s="507">
        <f t="shared" si="90"/>
        <v>0</v>
      </c>
    </row>
    <row r="2649" spans="1:12" s="84" customFormat="1" ht="14.25" customHeight="1" thickBot="1">
      <c r="A2649" s="333" t="s">
        <v>3588</v>
      </c>
      <c r="B2649" s="194" t="s">
        <v>3565</v>
      </c>
      <c r="C2649" s="339">
        <f t="shared" si="91"/>
        <v>50000</v>
      </c>
      <c r="D2649" s="196" t="s">
        <v>636</v>
      </c>
      <c r="E2649" s="197" t="s">
        <v>1739</v>
      </c>
      <c r="F2649" s="507">
        <f>SUMIFS(Controle!$R:$R,Controle!$H:$H,produtos_escape2!$A2649,Controle!$Z:$Z,"1")</f>
        <v>0</v>
      </c>
      <c r="G2649" s="507">
        <f>SUMIFS(Controle!$R:$R,Controle!$H:$H,produtos_escape2!$A2649,Controle!$Z:$Z,"2")</f>
        <v>0</v>
      </c>
      <c r="H2649" s="507">
        <f>SUMIFS(Controle!$R:$R,Controle!$H:$H,produtos_escape2!$A2649,Controle!$Z:$Z,"3")</f>
        <v>0</v>
      </c>
      <c r="I2649" s="507">
        <f>SUMIFS(Controle!$R:$R,Controle!$H:$H,produtos_escape2!$A2649,Controle!$Z:$Z,"4")</f>
        <v>0</v>
      </c>
      <c r="J2649" s="507">
        <f>SUMIFS(Controle!$R:$R,Controle!$H:$H,produtos_escape2!$A2649,Controle!$Z:$Z,"5")</f>
        <v>0</v>
      </c>
      <c r="K2649" s="507">
        <f>SUMIFS(Controle!$R:$R,Controle!$H:$H,produtos_escape2!$A2649,Controle!$Z:$Z,"6")</f>
        <v>0</v>
      </c>
      <c r="L2649" s="507">
        <f t="shared" si="90"/>
        <v>0</v>
      </c>
    </row>
    <row r="2650" spans="1:12" s="84" customFormat="1" ht="14.25" customHeight="1" thickBot="1">
      <c r="A2650" s="353" t="s">
        <v>3589</v>
      </c>
      <c r="B2650" s="194" t="s">
        <v>3566</v>
      </c>
      <c r="C2650" s="339">
        <f t="shared" si="91"/>
        <v>50000</v>
      </c>
      <c r="D2650" s="196" t="s">
        <v>636</v>
      </c>
      <c r="E2650" s="197" t="s">
        <v>1739</v>
      </c>
      <c r="F2650" s="507">
        <f>SUMIFS(Controle!$R:$R,Controle!$H:$H,produtos_escape2!$A2650,Controle!$Z:$Z,"1")</f>
        <v>0</v>
      </c>
      <c r="G2650" s="507">
        <f>SUMIFS(Controle!$R:$R,Controle!$H:$H,produtos_escape2!$A2650,Controle!$Z:$Z,"2")</f>
        <v>0</v>
      </c>
      <c r="H2650" s="507">
        <f>SUMIFS(Controle!$R:$R,Controle!$H:$H,produtos_escape2!$A2650,Controle!$Z:$Z,"3")</f>
        <v>0</v>
      </c>
      <c r="I2650" s="507">
        <f>SUMIFS(Controle!$R:$R,Controle!$H:$H,produtos_escape2!$A2650,Controle!$Z:$Z,"4")</f>
        <v>0</v>
      </c>
      <c r="J2650" s="507">
        <f>SUMIFS(Controle!$R:$R,Controle!$H:$H,produtos_escape2!$A2650,Controle!$Z:$Z,"5")</f>
        <v>0</v>
      </c>
      <c r="K2650" s="507">
        <f>SUMIFS(Controle!$R:$R,Controle!$H:$H,produtos_escape2!$A2650,Controle!$Z:$Z,"6")</f>
        <v>0</v>
      </c>
      <c r="L2650" s="507">
        <f t="shared" si="90"/>
        <v>0</v>
      </c>
    </row>
    <row r="2651" spans="1:12" s="84" customFormat="1" ht="14.25" customHeight="1" thickBot="1">
      <c r="A2651" s="353" t="s">
        <v>3590</v>
      </c>
      <c r="B2651" s="194" t="s">
        <v>3567</v>
      </c>
      <c r="C2651" s="339">
        <f t="shared" si="91"/>
        <v>50000</v>
      </c>
      <c r="D2651" s="196" t="s">
        <v>636</v>
      </c>
      <c r="E2651" s="197" t="s">
        <v>1739</v>
      </c>
      <c r="F2651" s="507">
        <f>SUMIFS(Controle!$R:$R,Controle!$H:$H,produtos_escape2!$A2651,Controle!$Z:$Z,"1")</f>
        <v>0</v>
      </c>
      <c r="G2651" s="507">
        <f>SUMIFS(Controle!$R:$R,Controle!$H:$H,produtos_escape2!$A2651,Controle!$Z:$Z,"2")</f>
        <v>0</v>
      </c>
      <c r="H2651" s="507">
        <f>SUMIFS(Controle!$R:$R,Controle!$H:$H,produtos_escape2!$A2651,Controle!$Z:$Z,"3")</f>
        <v>0</v>
      </c>
      <c r="I2651" s="507">
        <f>SUMIFS(Controle!$R:$R,Controle!$H:$H,produtos_escape2!$A2651,Controle!$Z:$Z,"4")</f>
        <v>0</v>
      </c>
      <c r="J2651" s="507">
        <f>SUMIFS(Controle!$R:$R,Controle!$H:$H,produtos_escape2!$A2651,Controle!$Z:$Z,"5")</f>
        <v>0</v>
      </c>
      <c r="K2651" s="507">
        <f>SUMIFS(Controle!$R:$R,Controle!$H:$H,produtos_escape2!$A2651,Controle!$Z:$Z,"6")</f>
        <v>0</v>
      </c>
      <c r="L2651" s="507">
        <f t="shared" si="90"/>
        <v>0</v>
      </c>
    </row>
    <row r="2652" spans="1:12" s="84" customFormat="1" ht="14.25" customHeight="1" thickBot="1">
      <c r="A2652" s="353" t="s">
        <v>3591</v>
      </c>
      <c r="B2652" s="194" t="s">
        <v>3568</v>
      </c>
      <c r="C2652" s="339">
        <f t="shared" si="91"/>
        <v>50000</v>
      </c>
      <c r="D2652" s="196" t="s">
        <v>636</v>
      </c>
      <c r="E2652" s="197" t="s">
        <v>1739</v>
      </c>
      <c r="F2652" s="507">
        <f>SUMIFS(Controle!$R:$R,Controle!$H:$H,produtos_escape2!$A2652,Controle!$Z:$Z,"1")</f>
        <v>0</v>
      </c>
      <c r="G2652" s="507">
        <f>SUMIFS(Controle!$R:$R,Controle!$H:$H,produtos_escape2!$A2652,Controle!$Z:$Z,"2")</f>
        <v>0</v>
      </c>
      <c r="H2652" s="507">
        <f>SUMIFS(Controle!$R:$R,Controle!$H:$H,produtos_escape2!$A2652,Controle!$Z:$Z,"3")</f>
        <v>0</v>
      </c>
      <c r="I2652" s="507">
        <f>SUMIFS(Controle!$R:$R,Controle!$H:$H,produtos_escape2!$A2652,Controle!$Z:$Z,"4")</f>
        <v>0</v>
      </c>
      <c r="J2652" s="507">
        <f>SUMIFS(Controle!$R:$R,Controle!$H:$H,produtos_escape2!$A2652,Controle!$Z:$Z,"5")</f>
        <v>0</v>
      </c>
      <c r="K2652" s="507">
        <f>SUMIFS(Controle!$R:$R,Controle!$H:$H,produtos_escape2!$A2652,Controle!$Z:$Z,"6")</f>
        <v>0</v>
      </c>
      <c r="L2652" s="507">
        <f t="shared" si="90"/>
        <v>0</v>
      </c>
    </row>
    <row r="2653" spans="1:12" s="84" customFormat="1" ht="14.25" customHeight="1" thickBot="1">
      <c r="A2653" s="353" t="s">
        <v>3592</v>
      </c>
      <c r="B2653" s="338" t="s">
        <v>3569</v>
      </c>
      <c r="C2653" s="339">
        <f t="shared" si="91"/>
        <v>50000</v>
      </c>
      <c r="D2653" s="196" t="s">
        <v>636</v>
      </c>
      <c r="E2653" s="197" t="s">
        <v>1739</v>
      </c>
      <c r="F2653" s="507">
        <f>SUMIFS(Controle!$R:$R,Controle!$H:$H,produtos_escape2!$A2653,Controle!$Z:$Z,"1")</f>
        <v>0</v>
      </c>
      <c r="G2653" s="507">
        <f>SUMIFS(Controle!$R:$R,Controle!$H:$H,produtos_escape2!$A2653,Controle!$Z:$Z,"2")</f>
        <v>0</v>
      </c>
      <c r="H2653" s="507">
        <f>SUMIFS(Controle!$R:$R,Controle!$H:$H,produtos_escape2!$A2653,Controle!$Z:$Z,"3")</f>
        <v>0</v>
      </c>
      <c r="I2653" s="507">
        <f>SUMIFS(Controle!$R:$R,Controle!$H:$H,produtos_escape2!$A2653,Controle!$Z:$Z,"4")</f>
        <v>0</v>
      </c>
      <c r="J2653" s="507">
        <f>SUMIFS(Controle!$R:$R,Controle!$H:$H,produtos_escape2!$A2653,Controle!$Z:$Z,"5")</f>
        <v>0</v>
      </c>
      <c r="K2653" s="507">
        <f>SUMIFS(Controle!$R:$R,Controle!$H:$H,produtos_escape2!$A2653,Controle!$Z:$Z,"6")</f>
        <v>0</v>
      </c>
      <c r="L2653" s="507">
        <f t="shared" si="90"/>
        <v>0</v>
      </c>
    </row>
    <row r="2654" spans="1:12" s="84" customFormat="1" ht="14.25" customHeight="1" thickBot="1">
      <c r="A2654" s="353" t="s">
        <v>3593</v>
      </c>
      <c r="B2654" s="194" t="s">
        <v>3570</v>
      </c>
      <c r="C2654" s="339">
        <f t="shared" si="91"/>
        <v>50000</v>
      </c>
      <c r="D2654" s="196" t="s">
        <v>636</v>
      </c>
      <c r="E2654" s="197" t="s">
        <v>1739</v>
      </c>
      <c r="F2654" s="507">
        <f>SUMIFS(Controle!$R:$R,Controle!$H:$H,produtos_escape2!$A2654,Controle!$Z:$Z,"1")</f>
        <v>0</v>
      </c>
      <c r="G2654" s="507">
        <f>SUMIFS(Controle!$R:$R,Controle!$H:$H,produtos_escape2!$A2654,Controle!$Z:$Z,"2")</f>
        <v>0</v>
      </c>
      <c r="H2654" s="507">
        <f>SUMIFS(Controle!$R:$R,Controle!$H:$H,produtos_escape2!$A2654,Controle!$Z:$Z,"3")</f>
        <v>0</v>
      </c>
      <c r="I2654" s="507">
        <f>SUMIFS(Controle!$R:$R,Controle!$H:$H,produtos_escape2!$A2654,Controle!$Z:$Z,"4")</f>
        <v>0</v>
      </c>
      <c r="J2654" s="507">
        <f>SUMIFS(Controle!$R:$R,Controle!$H:$H,produtos_escape2!$A2654,Controle!$Z:$Z,"5")</f>
        <v>0</v>
      </c>
      <c r="K2654" s="507">
        <f>SUMIFS(Controle!$R:$R,Controle!$H:$H,produtos_escape2!$A2654,Controle!$Z:$Z,"6")</f>
        <v>0</v>
      </c>
      <c r="L2654" s="507">
        <f t="shared" si="90"/>
        <v>0</v>
      </c>
    </row>
    <row r="2655" spans="1:12" s="84" customFormat="1" ht="14.25" customHeight="1" thickBot="1">
      <c r="A2655" s="353" t="s">
        <v>3732</v>
      </c>
      <c r="B2655" s="194" t="s">
        <v>3750</v>
      </c>
      <c r="C2655" s="339">
        <f t="shared" si="91"/>
        <v>50000</v>
      </c>
      <c r="D2655" s="196" t="s">
        <v>636</v>
      </c>
      <c r="E2655" s="197" t="s">
        <v>1739</v>
      </c>
      <c r="F2655" s="507">
        <f>SUMIFS(Controle!$R:$R,Controle!$H:$H,produtos_escape2!$A2655,Controle!$Z:$Z,"1")</f>
        <v>0</v>
      </c>
      <c r="G2655" s="507">
        <f>SUMIFS(Controle!$R:$R,Controle!$H:$H,produtos_escape2!$A2655,Controle!$Z:$Z,"2")</f>
        <v>0</v>
      </c>
      <c r="H2655" s="507">
        <f>SUMIFS(Controle!$R:$R,Controle!$H:$H,produtos_escape2!$A2655,Controle!$Z:$Z,"3")</f>
        <v>0</v>
      </c>
      <c r="I2655" s="507">
        <f>SUMIFS(Controle!$R:$R,Controle!$H:$H,produtos_escape2!$A2655,Controle!$Z:$Z,"4")</f>
        <v>0</v>
      </c>
      <c r="J2655" s="507">
        <f>SUMIFS(Controle!$R:$R,Controle!$H:$H,produtos_escape2!$A2655,Controle!$Z:$Z,"5")</f>
        <v>0</v>
      </c>
      <c r="K2655" s="507">
        <f>SUMIFS(Controle!$R:$R,Controle!$H:$H,produtos_escape2!$A2655,Controle!$Z:$Z,"6")</f>
        <v>0</v>
      </c>
      <c r="L2655" s="507">
        <f t="shared" si="90"/>
        <v>0</v>
      </c>
    </row>
    <row r="2656" spans="1:12" s="84" customFormat="1" ht="14.25" customHeight="1" thickBot="1">
      <c r="A2656" s="353" t="s">
        <v>3733</v>
      </c>
      <c r="B2656" s="194" t="s">
        <v>3751</v>
      </c>
      <c r="C2656" s="339">
        <f t="shared" si="91"/>
        <v>50000</v>
      </c>
      <c r="D2656" s="196" t="s">
        <v>636</v>
      </c>
      <c r="E2656" s="197" t="s">
        <v>1739</v>
      </c>
      <c r="F2656" s="507">
        <f>SUMIFS(Controle!$R:$R,Controle!$H:$H,produtos_escape2!$A2656,Controle!$Z:$Z,"1")</f>
        <v>0</v>
      </c>
      <c r="G2656" s="507">
        <f>SUMIFS(Controle!$R:$R,Controle!$H:$H,produtos_escape2!$A2656,Controle!$Z:$Z,"2")</f>
        <v>0</v>
      </c>
      <c r="H2656" s="507">
        <f>SUMIFS(Controle!$R:$R,Controle!$H:$H,produtos_escape2!$A2656,Controle!$Z:$Z,"3")</f>
        <v>0</v>
      </c>
      <c r="I2656" s="507">
        <f>SUMIFS(Controle!$R:$R,Controle!$H:$H,produtos_escape2!$A2656,Controle!$Z:$Z,"4")</f>
        <v>0</v>
      </c>
      <c r="J2656" s="507">
        <f>SUMIFS(Controle!$R:$R,Controle!$H:$H,produtos_escape2!$A2656,Controle!$Z:$Z,"5")</f>
        <v>0</v>
      </c>
      <c r="K2656" s="507">
        <f>SUMIFS(Controle!$R:$R,Controle!$H:$H,produtos_escape2!$A2656,Controle!$Z:$Z,"6")</f>
        <v>0</v>
      </c>
      <c r="L2656" s="507">
        <f t="shared" si="90"/>
        <v>0</v>
      </c>
    </row>
    <row r="2657" spans="1:12" s="84" customFormat="1" ht="14.25" customHeight="1" thickBot="1">
      <c r="A2657" s="333" t="s">
        <v>3734</v>
      </c>
      <c r="B2657" s="194" t="s">
        <v>3752</v>
      </c>
      <c r="C2657" s="339">
        <f t="shared" si="91"/>
        <v>50000</v>
      </c>
      <c r="D2657" s="196" t="s">
        <v>636</v>
      </c>
      <c r="E2657" s="197" t="s">
        <v>1739</v>
      </c>
      <c r="F2657" s="507">
        <f>SUMIFS(Controle!$R:$R,Controle!$H:$H,produtos_escape2!$A2657,Controle!$Z:$Z,"1")</f>
        <v>0</v>
      </c>
      <c r="G2657" s="507">
        <f>SUMIFS(Controle!$R:$R,Controle!$H:$H,produtos_escape2!$A2657,Controle!$Z:$Z,"2")</f>
        <v>0</v>
      </c>
      <c r="H2657" s="507">
        <f>SUMIFS(Controle!$R:$R,Controle!$H:$H,produtos_escape2!$A2657,Controle!$Z:$Z,"3")</f>
        <v>0</v>
      </c>
      <c r="I2657" s="507">
        <f>SUMIFS(Controle!$R:$R,Controle!$H:$H,produtos_escape2!$A2657,Controle!$Z:$Z,"4")</f>
        <v>0</v>
      </c>
      <c r="J2657" s="507">
        <f>SUMIFS(Controle!$R:$R,Controle!$H:$H,produtos_escape2!$A2657,Controle!$Z:$Z,"5")</f>
        <v>0</v>
      </c>
      <c r="K2657" s="507">
        <f>SUMIFS(Controle!$R:$R,Controle!$H:$H,produtos_escape2!$A2657,Controle!$Z:$Z,"6")</f>
        <v>0</v>
      </c>
      <c r="L2657" s="507">
        <f t="shared" si="90"/>
        <v>0</v>
      </c>
    </row>
    <row r="2658" spans="1:12" s="84" customFormat="1" ht="14.25" customHeight="1" thickBot="1">
      <c r="A2658" s="353" t="s">
        <v>3735</v>
      </c>
      <c r="B2658" s="194" t="s">
        <v>3753</v>
      </c>
      <c r="C2658" s="339">
        <f t="shared" si="91"/>
        <v>50000</v>
      </c>
      <c r="D2658" s="196" t="s">
        <v>636</v>
      </c>
      <c r="E2658" s="197" t="s">
        <v>1739</v>
      </c>
      <c r="F2658" s="507">
        <f>SUMIFS(Controle!$R:$R,Controle!$H:$H,produtos_escape2!$A2658,Controle!$Z:$Z,"1")</f>
        <v>0</v>
      </c>
      <c r="G2658" s="507">
        <f>SUMIFS(Controle!$R:$R,Controle!$H:$H,produtos_escape2!$A2658,Controle!$Z:$Z,"2")</f>
        <v>0</v>
      </c>
      <c r="H2658" s="507">
        <f>SUMIFS(Controle!$R:$R,Controle!$H:$H,produtos_escape2!$A2658,Controle!$Z:$Z,"3")</f>
        <v>0</v>
      </c>
      <c r="I2658" s="507">
        <f>SUMIFS(Controle!$R:$R,Controle!$H:$H,produtos_escape2!$A2658,Controle!$Z:$Z,"4")</f>
        <v>0</v>
      </c>
      <c r="J2658" s="507">
        <f>SUMIFS(Controle!$R:$R,Controle!$H:$H,produtos_escape2!$A2658,Controle!$Z:$Z,"5")</f>
        <v>0</v>
      </c>
      <c r="K2658" s="507">
        <f>SUMIFS(Controle!$R:$R,Controle!$H:$H,produtos_escape2!$A2658,Controle!$Z:$Z,"6")</f>
        <v>0</v>
      </c>
      <c r="L2658" s="507">
        <f t="shared" si="90"/>
        <v>0</v>
      </c>
    </row>
    <row r="2659" spans="1:12" s="84" customFormat="1" ht="14.25" customHeight="1" thickBot="1">
      <c r="A2659" s="353" t="s">
        <v>3736</v>
      </c>
      <c r="B2659" s="194" t="s">
        <v>3754</v>
      </c>
      <c r="C2659" s="339">
        <f t="shared" si="91"/>
        <v>50000</v>
      </c>
      <c r="D2659" s="196" t="s">
        <v>636</v>
      </c>
      <c r="E2659" s="197" t="s">
        <v>1739</v>
      </c>
      <c r="F2659" s="507">
        <f>SUMIFS(Controle!$R:$R,Controle!$H:$H,produtos_escape2!$A2659,Controle!$Z:$Z,"1")</f>
        <v>0</v>
      </c>
      <c r="G2659" s="507">
        <f>SUMIFS(Controle!$R:$R,Controle!$H:$H,produtos_escape2!$A2659,Controle!$Z:$Z,"2")</f>
        <v>0</v>
      </c>
      <c r="H2659" s="507">
        <f>SUMIFS(Controle!$R:$R,Controle!$H:$H,produtos_escape2!$A2659,Controle!$Z:$Z,"3")</f>
        <v>0</v>
      </c>
      <c r="I2659" s="507">
        <f>SUMIFS(Controle!$R:$R,Controle!$H:$H,produtos_escape2!$A2659,Controle!$Z:$Z,"4")</f>
        <v>0</v>
      </c>
      <c r="J2659" s="507">
        <f>SUMIFS(Controle!$R:$R,Controle!$H:$H,produtos_escape2!$A2659,Controle!$Z:$Z,"5")</f>
        <v>0</v>
      </c>
      <c r="K2659" s="507">
        <f>SUMIFS(Controle!$R:$R,Controle!$H:$H,produtos_escape2!$A2659,Controle!$Z:$Z,"6")</f>
        <v>0</v>
      </c>
      <c r="L2659" s="507">
        <f t="shared" si="90"/>
        <v>0</v>
      </c>
    </row>
    <row r="2660" spans="1:12" s="84" customFormat="1" ht="14.25" customHeight="1" thickBot="1">
      <c r="A2660" s="353" t="s">
        <v>3737</v>
      </c>
      <c r="B2660" s="194" t="s">
        <v>3755</v>
      </c>
      <c r="C2660" s="339">
        <f t="shared" si="91"/>
        <v>50000</v>
      </c>
      <c r="D2660" s="196" t="s">
        <v>636</v>
      </c>
      <c r="E2660" s="197" t="s">
        <v>1739</v>
      </c>
      <c r="F2660" s="507">
        <f>SUMIFS(Controle!$R:$R,Controle!$H:$H,produtos_escape2!$A2660,Controle!$Z:$Z,"1")</f>
        <v>0</v>
      </c>
      <c r="G2660" s="507">
        <f>SUMIFS(Controle!$R:$R,Controle!$H:$H,produtos_escape2!$A2660,Controle!$Z:$Z,"2")</f>
        <v>0</v>
      </c>
      <c r="H2660" s="507">
        <f>SUMIFS(Controle!$R:$R,Controle!$H:$H,produtos_escape2!$A2660,Controle!$Z:$Z,"3")</f>
        <v>0</v>
      </c>
      <c r="I2660" s="507">
        <f>SUMIFS(Controle!$R:$R,Controle!$H:$H,produtos_escape2!$A2660,Controle!$Z:$Z,"4")</f>
        <v>0</v>
      </c>
      <c r="J2660" s="507">
        <f>SUMIFS(Controle!$R:$R,Controle!$H:$H,produtos_escape2!$A2660,Controle!$Z:$Z,"5")</f>
        <v>0</v>
      </c>
      <c r="K2660" s="507">
        <f>SUMIFS(Controle!$R:$R,Controle!$H:$H,produtos_escape2!$A2660,Controle!$Z:$Z,"6")</f>
        <v>0</v>
      </c>
      <c r="L2660" s="507">
        <f t="shared" si="90"/>
        <v>0</v>
      </c>
    </row>
    <row r="2661" spans="1:12" s="84" customFormat="1" ht="14.25" customHeight="1" thickBot="1">
      <c r="A2661" s="353" t="s">
        <v>3738</v>
      </c>
      <c r="B2661" s="338" t="s">
        <v>3756</v>
      </c>
      <c r="C2661" s="339">
        <f t="shared" si="91"/>
        <v>50000</v>
      </c>
      <c r="D2661" s="196" t="s">
        <v>636</v>
      </c>
      <c r="E2661" s="197" t="s">
        <v>1739</v>
      </c>
      <c r="F2661" s="507">
        <f>SUMIFS(Controle!$R:$R,Controle!$H:$H,produtos_escape2!$A2661,Controle!$Z:$Z,"1")</f>
        <v>0</v>
      </c>
      <c r="G2661" s="507">
        <f>SUMIFS(Controle!$R:$R,Controle!$H:$H,produtos_escape2!$A2661,Controle!$Z:$Z,"2")</f>
        <v>0</v>
      </c>
      <c r="H2661" s="507">
        <f>SUMIFS(Controle!$R:$R,Controle!$H:$H,produtos_escape2!$A2661,Controle!$Z:$Z,"3")</f>
        <v>0</v>
      </c>
      <c r="I2661" s="507">
        <f>SUMIFS(Controle!$R:$R,Controle!$H:$H,produtos_escape2!$A2661,Controle!$Z:$Z,"4")</f>
        <v>0</v>
      </c>
      <c r="J2661" s="507">
        <f>SUMIFS(Controle!$R:$R,Controle!$H:$H,produtos_escape2!$A2661,Controle!$Z:$Z,"5")</f>
        <v>0</v>
      </c>
      <c r="K2661" s="507">
        <f>SUMIFS(Controle!$R:$R,Controle!$H:$H,produtos_escape2!$A2661,Controle!$Z:$Z,"6")</f>
        <v>0</v>
      </c>
      <c r="L2661" s="507">
        <f t="shared" si="90"/>
        <v>0</v>
      </c>
    </row>
    <row r="2662" spans="1:12" s="84" customFormat="1" ht="14.25" customHeight="1" thickBot="1">
      <c r="A2662" s="353" t="s">
        <v>3739</v>
      </c>
      <c r="B2662" s="194" t="s">
        <v>3757</v>
      </c>
      <c r="C2662" s="339">
        <f t="shared" si="91"/>
        <v>50000</v>
      </c>
      <c r="D2662" s="196" t="s">
        <v>636</v>
      </c>
      <c r="E2662" s="197" t="s">
        <v>1739</v>
      </c>
      <c r="F2662" s="507">
        <f>SUMIFS(Controle!$R:$R,Controle!$H:$H,produtos_escape2!$A2662,Controle!$Z:$Z,"1")</f>
        <v>0</v>
      </c>
      <c r="G2662" s="507">
        <f>SUMIFS(Controle!$R:$R,Controle!$H:$H,produtos_escape2!$A2662,Controle!$Z:$Z,"2")</f>
        <v>0</v>
      </c>
      <c r="H2662" s="507">
        <f>SUMIFS(Controle!$R:$R,Controle!$H:$H,produtos_escape2!$A2662,Controle!$Z:$Z,"3")</f>
        <v>0</v>
      </c>
      <c r="I2662" s="507">
        <f>SUMIFS(Controle!$R:$R,Controle!$H:$H,produtos_escape2!$A2662,Controle!$Z:$Z,"4")</f>
        <v>0</v>
      </c>
      <c r="J2662" s="507">
        <f>SUMIFS(Controle!$R:$R,Controle!$H:$H,produtos_escape2!$A2662,Controle!$Z:$Z,"5")</f>
        <v>0</v>
      </c>
      <c r="K2662" s="507">
        <f>SUMIFS(Controle!$R:$R,Controle!$H:$H,produtos_escape2!$A2662,Controle!$Z:$Z,"6")</f>
        <v>0</v>
      </c>
      <c r="L2662" s="507">
        <f t="shared" si="90"/>
        <v>0</v>
      </c>
    </row>
    <row r="2663" spans="1:12" s="84" customFormat="1" ht="14.25" customHeight="1" thickBot="1">
      <c r="A2663" s="353" t="s">
        <v>3740</v>
      </c>
      <c r="B2663" s="194" t="s">
        <v>3758</v>
      </c>
      <c r="C2663" s="339">
        <f t="shared" si="91"/>
        <v>50000</v>
      </c>
      <c r="D2663" s="196" t="s">
        <v>636</v>
      </c>
      <c r="E2663" s="197" t="s">
        <v>1739</v>
      </c>
      <c r="F2663" s="507">
        <f>SUMIFS(Controle!$R:$R,Controle!$H:$H,produtos_escape2!$A2663,Controle!$Z:$Z,"1")</f>
        <v>0</v>
      </c>
      <c r="G2663" s="507">
        <f>SUMIFS(Controle!$R:$R,Controle!$H:$H,produtos_escape2!$A2663,Controle!$Z:$Z,"2")</f>
        <v>0</v>
      </c>
      <c r="H2663" s="507">
        <f>SUMIFS(Controle!$R:$R,Controle!$H:$H,produtos_escape2!$A2663,Controle!$Z:$Z,"3")</f>
        <v>0</v>
      </c>
      <c r="I2663" s="507">
        <f>SUMIFS(Controle!$R:$R,Controle!$H:$H,produtos_escape2!$A2663,Controle!$Z:$Z,"4")</f>
        <v>0</v>
      </c>
      <c r="J2663" s="507">
        <f>SUMIFS(Controle!$R:$R,Controle!$H:$H,produtos_escape2!$A2663,Controle!$Z:$Z,"5")</f>
        <v>0</v>
      </c>
      <c r="K2663" s="507">
        <f>SUMIFS(Controle!$R:$R,Controle!$H:$H,produtos_escape2!$A2663,Controle!$Z:$Z,"6")</f>
        <v>0</v>
      </c>
      <c r="L2663" s="507">
        <f t="shared" si="90"/>
        <v>0</v>
      </c>
    </row>
    <row r="2664" spans="1:12" s="84" customFormat="1" ht="14.25" customHeight="1" thickBot="1">
      <c r="A2664" s="353" t="s">
        <v>3741</v>
      </c>
      <c r="B2664" s="194" t="s">
        <v>3759</v>
      </c>
      <c r="C2664" s="339">
        <f t="shared" si="91"/>
        <v>50000</v>
      </c>
      <c r="D2664" s="196" t="s">
        <v>636</v>
      </c>
      <c r="E2664" s="197" t="s">
        <v>1739</v>
      </c>
      <c r="F2664" s="507">
        <f>SUMIFS(Controle!$R:$R,Controle!$H:$H,produtos_escape2!$A2664,Controle!$Z:$Z,"1")</f>
        <v>0</v>
      </c>
      <c r="G2664" s="507">
        <f>SUMIFS(Controle!$R:$R,Controle!$H:$H,produtos_escape2!$A2664,Controle!$Z:$Z,"2")</f>
        <v>0</v>
      </c>
      <c r="H2664" s="507">
        <f>SUMIFS(Controle!$R:$R,Controle!$H:$H,produtos_escape2!$A2664,Controle!$Z:$Z,"3")</f>
        <v>0</v>
      </c>
      <c r="I2664" s="507">
        <f>SUMIFS(Controle!$R:$R,Controle!$H:$H,produtos_escape2!$A2664,Controle!$Z:$Z,"4")</f>
        <v>0</v>
      </c>
      <c r="J2664" s="507">
        <f>SUMIFS(Controle!$R:$R,Controle!$H:$H,produtos_escape2!$A2664,Controle!$Z:$Z,"5")</f>
        <v>0</v>
      </c>
      <c r="K2664" s="507">
        <f>SUMIFS(Controle!$R:$R,Controle!$H:$H,produtos_escape2!$A2664,Controle!$Z:$Z,"6")</f>
        <v>0</v>
      </c>
      <c r="L2664" s="507">
        <f t="shared" si="90"/>
        <v>0</v>
      </c>
    </row>
    <row r="2665" spans="1:12" s="84" customFormat="1" ht="14.25" customHeight="1" thickBot="1">
      <c r="A2665" s="333" t="s">
        <v>3742</v>
      </c>
      <c r="B2665" s="194" t="s">
        <v>3760</v>
      </c>
      <c r="C2665" s="339">
        <f t="shared" si="91"/>
        <v>50000</v>
      </c>
      <c r="D2665" s="196" t="s">
        <v>636</v>
      </c>
      <c r="E2665" s="197" t="s">
        <v>1739</v>
      </c>
      <c r="F2665" s="507">
        <f>SUMIFS(Controle!$R:$R,Controle!$H:$H,produtos_escape2!$A2665,Controle!$Z:$Z,"1")</f>
        <v>0</v>
      </c>
      <c r="G2665" s="507">
        <f>SUMIFS(Controle!$R:$R,Controle!$H:$H,produtos_escape2!$A2665,Controle!$Z:$Z,"2")</f>
        <v>0</v>
      </c>
      <c r="H2665" s="507">
        <f>SUMIFS(Controle!$R:$R,Controle!$H:$H,produtos_escape2!$A2665,Controle!$Z:$Z,"3")</f>
        <v>0</v>
      </c>
      <c r="I2665" s="507">
        <f>SUMIFS(Controle!$R:$R,Controle!$H:$H,produtos_escape2!$A2665,Controle!$Z:$Z,"4")</f>
        <v>0</v>
      </c>
      <c r="J2665" s="507">
        <f>SUMIFS(Controle!$R:$R,Controle!$H:$H,produtos_escape2!$A2665,Controle!$Z:$Z,"5")</f>
        <v>0</v>
      </c>
      <c r="K2665" s="507">
        <f>SUMIFS(Controle!$R:$R,Controle!$H:$H,produtos_escape2!$A2665,Controle!$Z:$Z,"6")</f>
        <v>0</v>
      </c>
      <c r="L2665" s="507">
        <f t="shared" si="90"/>
        <v>0</v>
      </c>
    </row>
    <row r="2666" spans="1:12" s="84" customFormat="1" ht="14.25" customHeight="1" thickBot="1">
      <c r="A2666" s="353" t="s">
        <v>3743</v>
      </c>
      <c r="B2666" s="194" t="s">
        <v>3761</v>
      </c>
      <c r="C2666" s="339">
        <f t="shared" si="91"/>
        <v>50000</v>
      </c>
      <c r="D2666" s="196" t="s">
        <v>636</v>
      </c>
      <c r="E2666" s="197" t="s">
        <v>1739</v>
      </c>
      <c r="F2666" s="507">
        <f>SUMIFS(Controle!$R:$R,Controle!$H:$H,produtos_escape2!$A2666,Controle!$Z:$Z,"1")</f>
        <v>0</v>
      </c>
      <c r="G2666" s="507">
        <f>SUMIFS(Controle!$R:$R,Controle!$H:$H,produtos_escape2!$A2666,Controle!$Z:$Z,"2")</f>
        <v>0</v>
      </c>
      <c r="H2666" s="507">
        <f>SUMIFS(Controle!$R:$R,Controle!$H:$H,produtos_escape2!$A2666,Controle!$Z:$Z,"3")</f>
        <v>0</v>
      </c>
      <c r="I2666" s="507">
        <f>SUMIFS(Controle!$R:$R,Controle!$H:$H,produtos_escape2!$A2666,Controle!$Z:$Z,"4")</f>
        <v>0</v>
      </c>
      <c r="J2666" s="507">
        <f>SUMIFS(Controle!$R:$R,Controle!$H:$H,produtos_escape2!$A2666,Controle!$Z:$Z,"5")</f>
        <v>0</v>
      </c>
      <c r="K2666" s="507">
        <f>SUMIFS(Controle!$R:$R,Controle!$H:$H,produtos_escape2!$A2666,Controle!$Z:$Z,"6")</f>
        <v>0</v>
      </c>
      <c r="L2666" s="507">
        <f t="shared" si="90"/>
        <v>0</v>
      </c>
    </row>
    <row r="2667" spans="1:12" s="84" customFormat="1" ht="14.25" customHeight="1" thickBot="1">
      <c r="A2667" s="353" t="s">
        <v>3744</v>
      </c>
      <c r="B2667" s="194" t="s">
        <v>3762</v>
      </c>
      <c r="C2667" s="339">
        <f t="shared" si="91"/>
        <v>50000</v>
      </c>
      <c r="D2667" s="196" t="s">
        <v>636</v>
      </c>
      <c r="E2667" s="197" t="s">
        <v>1739</v>
      </c>
      <c r="F2667" s="507">
        <f>SUMIFS(Controle!$R:$R,Controle!$H:$H,produtos_escape2!$A2667,Controle!$Z:$Z,"1")</f>
        <v>0</v>
      </c>
      <c r="G2667" s="507">
        <f>SUMIFS(Controle!$R:$R,Controle!$H:$H,produtos_escape2!$A2667,Controle!$Z:$Z,"2")</f>
        <v>0</v>
      </c>
      <c r="H2667" s="507">
        <f>SUMIFS(Controle!$R:$R,Controle!$H:$H,produtos_escape2!$A2667,Controle!$Z:$Z,"3")</f>
        <v>0</v>
      </c>
      <c r="I2667" s="507">
        <f>SUMIFS(Controle!$R:$R,Controle!$H:$H,produtos_escape2!$A2667,Controle!$Z:$Z,"4")</f>
        <v>0</v>
      </c>
      <c r="J2667" s="507">
        <f>SUMIFS(Controle!$R:$R,Controle!$H:$H,produtos_escape2!$A2667,Controle!$Z:$Z,"5")</f>
        <v>0</v>
      </c>
      <c r="K2667" s="507">
        <f>SUMIFS(Controle!$R:$R,Controle!$H:$H,produtos_escape2!$A2667,Controle!$Z:$Z,"6")</f>
        <v>0</v>
      </c>
      <c r="L2667" s="507">
        <f t="shared" si="90"/>
        <v>0</v>
      </c>
    </row>
    <row r="2668" spans="1:12" s="84" customFormat="1" ht="14.25" customHeight="1" thickBot="1">
      <c r="A2668" s="353" t="s">
        <v>3745</v>
      </c>
      <c r="B2668" s="194" t="s">
        <v>3763</v>
      </c>
      <c r="C2668" s="339">
        <f t="shared" si="91"/>
        <v>50000</v>
      </c>
      <c r="D2668" s="196" t="s">
        <v>636</v>
      </c>
      <c r="E2668" s="197" t="s">
        <v>1739</v>
      </c>
      <c r="F2668" s="507">
        <f>SUMIFS(Controle!$R:$R,Controle!$H:$H,produtos_escape2!$A2668,Controle!$Z:$Z,"1")</f>
        <v>0</v>
      </c>
      <c r="G2668" s="507">
        <f>SUMIFS(Controle!$R:$R,Controle!$H:$H,produtos_escape2!$A2668,Controle!$Z:$Z,"2")</f>
        <v>0</v>
      </c>
      <c r="H2668" s="507">
        <f>SUMIFS(Controle!$R:$R,Controle!$H:$H,produtos_escape2!$A2668,Controle!$Z:$Z,"3")</f>
        <v>0</v>
      </c>
      <c r="I2668" s="507">
        <f>SUMIFS(Controle!$R:$R,Controle!$H:$H,produtos_escape2!$A2668,Controle!$Z:$Z,"4")</f>
        <v>0</v>
      </c>
      <c r="J2668" s="507">
        <f>SUMIFS(Controle!$R:$R,Controle!$H:$H,produtos_escape2!$A2668,Controle!$Z:$Z,"5")</f>
        <v>0</v>
      </c>
      <c r="K2668" s="507">
        <f>SUMIFS(Controle!$R:$R,Controle!$H:$H,produtos_escape2!$A2668,Controle!$Z:$Z,"6")</f>
        <v>0</v>
      </c>
      <c r="L2668" s="507">
        <f t="shared" si="90"/>
        <v>0</v>
      </c>
    </row>
    <row r="2669" spans="1:12" s="84" customFormat="1" ht="14.25" customHeight="1" thickBot="1">
      <c r="A2669" s="353" t="s">
        <v>3746</v>
      </c>
      <c r="B2669" s="338" t="s">
        <v>3764</v>
      </c>
      <c r="C2669" s="339">
        <f t="shared" si="91"/>
        <v>50000</v>
      </c>
      <c r="D2669" s="196" t="s">
        <v>636</v>
      </c>
      <c r="E2669" s="197" t="s">
        <v>1739</v>
      </c>
      <c r="F2669" s="507">
        <f>SUMIFS(Controle!$R:$R,Controle!$H:$H,produtos_escape2!$A2669,Controle!$Z:$Z,"1")</f>
        <v>0</v>
      </c>
      <c r="G2669" s="507">
        <f>SUMIFS(Controle!$R:$R,Controle!$H:$H,produtos_escape2!$A2669,Controle!$Z:$Z,"2")</f>
        <v>0</v>
      </c>
      <c r="H2669" s="507">
        <f>SUMIFS(Controle!$R:$R,Controle!$H:$H,produtos_escape2!$A2669,Controle!$Z:$Z,"3")</f>
        <v>0</v>
      </c>
      <c r="I2669" s="507">
        <f>SUMIFS(Controle!$R:$R,Controle!$H:$H,produtos_escape2!$A2669,Controle!$Z:$Z,"4")</f>
        <v>0</v>
      </c>
      <c r="J2669" s="507">
        <f>SUMIFS(Controle!$R:$R,Controle!$H:$H,produtos_escape2!$A2669,Controle!$Z:$Z,"5")</f>
        <v>0</v>
      </c>
      <c r="K2669" s="507">
        <f>SUMIFS(Controle!$R:$R,Controle!$H:$H,produtos_escape2!$A2669,Controle!$Z:$Z,"6")</f>
        <v>0</v>
      </c>
      <c r="L2669" s="507">
        <f t="shared" si="90"/>
        <v>0</v>
      </c>
    </row>
    <row r="2670" spans="1:12" s="84" customFormat="1" ht="14.25" customHeight="1" thickBot="1">
      <c r="A2670" s="353" t="s">
        <v>3747</v>
      </c>
      <c r="B2670" s="194" t="s">
        <v>3765</v>
      </c>
      <c r="C2670" s="339">
        <f t="shared" si="91"/>
        <v>50000</v>
      </c>
      <c r="D2670" s="196" t="s">
        <v>636</v>
      </c>
      <c r="E2670" s="197" t="s">
        <v>1739</v>
      </c>
      <c r="F2670" s="507">
        <f>SUMIFS(Controle!$R:$R,Controle!$H:$H,produtos_escape2!$A2670,Controle!$Z:$Z,"1")</f>
        <v>0</v>
      </c>
      <c r="G2670" s="507">
        <f>SUMIFS(Controle!$R:$R,Controle!$H:$H,produtos_escape2!$A2670,Controle!$Z:$Z,"2")</f>
        <v>0</v>
      </c>
      <c r="H2670" s="507">
        <f>SUMIFS(Controle!$R:$R,Controle!$H:$H,produtos_escape2!$A2670,Controle!$Z:$Z,"3")</f>
        <v>0</v>
      </c>
      <c r="I2670" s="507">
        <f>SUMIFS(Controle!$R:$R,Controle!$H:$H,produtos_escape2!$A2670,Controle!$Z:$Z,"4")</f>
        <v>0</v>
      </c>
      <c r="J2670" s="507">
        <f>SUMIFS(Controle!$R:$R,Controle!$H:$H,produtos_escape2!$A2670,Controle!$Z:$Z,"5")</f>
        <v>0</v>
      </c>
      <c r="K2670" s="507">
        <f>SUMIFS(Controle!$R:$R,Controle!$H:$H,produtos_escape2!$A2670,Controle!$Z:$Z,"6")</f>
        <v>0</v>
      </c>
      <c r="L2670" s="507">
        <f t="shared" si="90"/>
        <v>0</v>
      </c>
    </row>
    <row r="2671" spans="1:12" s="84" customFormat="1" ht="14.25" customHeight="1" thickBot="1">
      <c r="A2671" s="353" t="s">
        <v>3748</v>
      </c>
      <c r="B2671" s="194" t="s">
        <v>3766</v>
      </c>
      <c r="C2671" s="339">
        <f t="shared" si="91"/>
        <v>50000</v>
      </c>
      <c r="D2671" s="196" t="s">
        <v>636</v>
      </c>
      <c r="E2671" s="197" t="s">
        <v>1739</v>
      </c>
      <c r="F2671" s="507">
        <f>SUMIFS(Controle!$R:$R,Controle!$H:$H,produtos_escape2!$A2671,Controle!$Z:$Z,"1")</f>
        <v>0</v>
      </c>
      <c r="G2671" s="507">
        <f>SUMIFS(Controle!$R:$R,Controle!$H:$H,produtos_escape2!$A2671,Controle!$Z:$Z,"2")</f>
        <v>0</v>
      </c>
      <c r="H2671" s="507">
        <f>SUMIFS(Controle!$R:$R,Controle!$H:$H,produtos_escape2!$A2671,Controle!$Z:$Z,"3")</f>
        <v>0</v>
      </c>
      <c r="I2671" s="507">
        <f>SUMIFS(Controle!$R:$R,Controle!$H:$H,produtos_escape2!$A2671,Controle!$Z:$Z,"4")</f>
        <v>0</v>
      </c>
      <c r="J2671" s="507">
        <f>SUMIFS(Controle!$R:$R,Controle!$H:$H,produtos_escape2!$A2671,Controle!$Z:$Z,"5")</f>
        <v>0</v>
      </c>
      <c r="K2671" s="507">
        <f>SUMIFS(Controle!$R:$R,Controle!$H:$H,produtos_escape2!$A2671,Controle!$Z:$Z,"6")</f>
        <v>0</v>
      </c>
      <c r="L2671" s="507">
        <f t="shared" si="90"/>
        <v>0</v>
      </c>
    </row>
    <row r="2672" spans="1:12" s="84" customFormat="1" ht="14.25" customHeight="1" thickBot="1">
      <c r="A2672" s="353" t="s">
        <v>3749</v>
      </c>
      <c r="B2672" s="194" t="s">
        <v>3767</v>
      </c>
      <c r="C2672" s="339">
        <f t="shared" si="91"/>
        <v>50000</v>
      </c>
      <c r="D2672" s="196" t="s">
        <v>636</v>
      </c>
      <c r="E2672" s="197" t="s">
        <v>1739</v>
      </c>
      <c r="F2672" s="507">
        <f>SUMIFS(Controle!$R:$R,Controle!$H:$H,produtos_escape2!$A2672,Controle!$Z:$Z,"1")</f>
        <v>0</v>
      </c>
      <c r="G2672" s="507">
        <f>SUMIFS(Controle!$R:$R,Controle!$H:$H,produtos_escape2!$A2672,Controle!$Z:$Z,"2")</f>
        <v>0</v>
      </c>
      <c r="H2672" s="507">
        <f>SUMIFS(Controle!$R:$R,Controle!$H:$H,produtos_escape2!$A2672,Controle!$Z:$Z,"3")</f>
        <v>0</v>
      </c>
      <c r="I2672" s="507">
        <f>SUMIFS(Controle!$R:$R,Controle!$H:$H,produtos_escape2!$A2672,Controle!$Z:$Z,"4")</f>
        <v>0</v>
      </c>
      <c r="J2672" s="507">
        <f>SUMIFS(Controle!$R:$R,Controle!$H:$H,produtos_escape2!$A2672,Controle!$Z:$Z,"5")</f>
        <v>0</v>
      </c>
      <c r="K2672" s="507">
        <f>SUMIFS(Controle!$R:$R,Controle!$H:$H,produtos_escape2!$A2672,Controle!$Z:$Z,"6")</f>
        <v>0</v>
      </c>
      <c r="L2672" s="507">
        <f t="shared" si="90"/>
        <v>0</v>
      </c>
    </row>
    <row r="2673" spans="1:12" s="84" customFormat="1" ht="14.25" customHeight="1" thickBot="1">
      <c r="A2673" s="333" t="s">
        <v>4162</v>
      </c>
      <c r="B2673" s="194" t="s">
        <v>4154</v>
      </c>
      <c r="C2673" s="339">
        <f t="shared" si="91"/>
        <v>50000</v>
      </c>
      <c r="D2673" s="191" t="s">
        <v>636</v>
      </c>
      <c r="E2673" s="172" t="s">
        <v>1739</v>
      </c>
      <c r="F2673" s="507">
        <f>SUMIFS(Controle!$R:$R,Controle!$H:$H,produtos_escape2!$A2673,Controle!$Z:$Z,"1")</f>
        <v>0</v>
      </c>
      <c r="G2673" s="507">
        <f>SUMIFS(Controle!$R:$R,Controle!$H:$H,produtos_escape2!$A2673,Controle!$Z:$Z,"2")</f>
        <v>0</v>
      </c>
      <c r="H2673" s="507">
        <f>SUMIFS(Controle!$R:$R,Controle!$H:$H,produtos_escape2!$A2673,Controle!$Z:$Z,"3")</f>
        <v>0</v>
      </c>
      <c r="I2673" s="507">
        <f>SUMIFS(Controle!$R:$R,Controle!$H:$H,produtos_escape2!$A2673,Controle!$Z:$Z,"4")</f>
        <v>0</v>
      </c>
      <c r="J2673" s="507">
        <f>SUMIFS(Controle!$R:$R,Controle!$H:$H,produtos_escape2!$A2673,Controle!$Z:$Z,"5")</f>
        <v>0</v>
      </c>
      <c r="K2673" s="507">
        <f>SUMIFS(Controle!$R:$R,Controle!$H:$H,produtos_escape2!$A2673,Controle!$Z:$Z,"6")</f>
        <v>0</v>
      </c>
      <c r="L2673" s="507">
        <f t="shared" si="90"/>
        <v>0</v>
      </c>
    </row>
    <row r="2674" spans="1:12" s="84" customFormat="1" ht="14.25" customHeight="1" thickBot="1">
      <c r="A2674" s="353" t="s">
        <v>4163</v>
      </c>
      <c r="B2674" s="194" t="s">
        <v>4155</v>
      </c>
      <c r="C2674" s="339">
        <f t="shared" si="91"/>
        <v>50000</v>
      </c>
      <c r="D2674" s="191" t="s">
        <v>636</v>
      </c>
      <c r="E2674" s="172" t="s">
        <v>1739</v>
      </c>
      <c r="F2674" s="507">
        <f>SUMIFS(Controle!$R:$R,Controle!$H:$H,produtos_escape2!$A2674,Controle!$Z:$Z,"1")</f>
        <v>0</v>
      </c>
      <c r="G2674" s="507">
        <f>SUMIFS(Controle!$R:$R,Controle!$H:$H,produtos_escape2!$A2674,Controle!$Z:$Z,"2")</f>
        <v>0</v>
      </c>
      <c r="H2674" s="507">
        <f>SUMIFS(Controle!$R:$R,Controle!$H:$H,produtos_escape2!$A2674,Controle!$Z:$Z,"3")</f>
        <v>0</v>
      </c>
      <c r="I2674" s="507">
        <f>SUMIFS(Controle!$R:$R,Controle!$H:$H,produtos_escape2!$A2674,Controle!$Z:$Z,"4")</f>
        <v>0</v>
      </c>
      <c r="J2674" s="507">
        <f>SUMIFS(Controle!$R:$R,Controle!$H:$H,produtos_escape2!$A2674,Controle!$Z:$Z,"5")</f>
        <v>0</v>
      </c>
      <c r="K2674" s="507">
        <f>SUMIFS(Controle!$R:$R,Controle!$H:$H,produtos_escape2!$A2674,Controle!$Z:$Z,"6")</f>
        <v>0</v>
      </c>
      <c r="L2674" s="507">
        <f t="shared" si="90"/>
        <v>0</v>
      </c>
    </row>
    <row r="2675" spans="1:12" s="84" customFormat="1" ht="14.25" customHeight="1" thickBot="1">
      <c r="A2675" s="353" t="s">
        <v>4164</v>
      </c>
      <c r="B2675" s="194" t="s">
        <v>4156</v>
      </c>
      <c r="C2675" s="339">
        <f t="shared" si="91"/>
        <v>50000</v>
      </c>
      <c r="D2675" s="191" t="s">
        <v>636</v>
      </c>
      <c r="E2675" s="172" t="s">
        <v>1739</v>
      </c>
      <c r="F2675" s="507">
        <f>SUMIFS(Controle!$R:$R,Controle!$H:$H,produtos_escape2!$A2675,Controle!$Z:$Z,"1")</f>
        <v>0</v>
      </c>
      <c r="G2675" s="507">
        <f>SUMIFS(Controle!$R:$R,Controle!$H:$H,produtos_escape2!$A2675,Controle!$Z:$Z,"2")</f>
        <v>0</v>
      </c>
      <c r="H2675" s="507">
        <f>SUMIFS(Controle!$R:$R,Controle!$H:$H,produtos_escape2!$A2675,Controle!$Z:$Z,"3")</f>
        <v>0</v>
      </c>
      <c r="I2675" s="507">
        <f>SUMIFS(Controle!$R:$R,Controle!$H:$H,produtos_escape2!$A2675,Controle!$Z:$Z,"4")</f>
        <v>0</v>
      </c>
      <c r="J2675" s="507">
        <f>SUMIFS(Controle!$R:$R,Controle!$H:$H,produtos_escape2!$A2675,Controle!$Z:$Z,"5")</f>
        <v>0</v>
      </c>
      <c r="K2675" s="507">
        <f>SUMIFS(Controle!$R:$R,Controle!$H:$H,produtos_escape2!$A2675,Controle!$Z:$Z,"6")</f>
        <v>0</v>
      </c>
      <c r="L2675" s="507">
        <f t="shared" si="90"/>
        <v>0</v>
      </c>
    </row>
    <row r="2676" spans="1:12" s="84" customFormat="1" ht="14.25" customHeight="1" thickBot="1">
      <c r="A2676" s="353" t="s">
        <v>4165</v>
      </c>
      <c r="B2676" s="194" t="s">
        <v>4157</v>
      </c>
      <c r="C2676" s="339">
        <f t="shared" si="91"/>
        <v>50000</v>
      </c>
      <c r="D2676" s="191" t="s">
        <v>636</v>
      </c>
      <c r="E2676" s="172" t="s">
        <v>1739</v>
      </c>
      <c r="F2676" s="507">
        <f>SUMIFS(Controle!$R:$R,Controle!$H:$H,produtos_escape2!$A2676,Controle!$Z:$Z,"1")</f>
        <v>0</v>
      </c>
      <c r="G2676" s="507">
        <f>SUMIFS(Controle!$R:$R,Controle!$H:$H,produtos_escape2!$A2676,Controle!$Z:$Z,"2")</f>
        <v>0</v>
      </c>
      <c r="H2676" s="507">
        <f>SUMIFS(Controle!$R:$R,Controle!$H:$H,produtos_escape2!$A2676,Controle!$Z:$Z,"3")</f>
        <v>0</v>
      </c>
      <c r="I2676" s="507">
        <f>SUMIFS(Controle!$R:$R,Controle!$H:$H,produtos_escape2!$A2676,Controle!$Z:$Z,"4")</f>
        <v>0</v>
      </c>
      <c r="J2676" s="507">
        <f>SUMIFS(Controle!$R:$R,Controle!$H:$H,produtos_escape2!$A2676,Controle!$Z:$Z,"5")</f>
        <v>0</v>
      </c>
      <c r="K2676" s="507">
        <f>SUMIFS(Controle!$R:$R,Controle!$H:$H,produtos_escape2!$A2676,Controle!$Z:$Z,"6")</f>
        <v>0</v>
      </c>
      <c r="L2676" s="507">
        <f t="shared" si="90"/>
        <v>0</v>
      </c>
    </row>
    <row r="2677" spans="1:12" s="84" customFormat="1" ht="14.25" customHeight="1" thickBot="1">
      <c r="A2677" s="353" t="s">
        <v>4166</v>
      </c>
      <c r="B2677" s="338" t="s">
        <v>4158</v>
      </c>
      <c r="C2677" s="339">
        <f t="shared" si="91"/>
        <v>50000</v>
      </c>
      <c r="D2677" s="191" t="s">
        <v>636</v>
      </c>
      <c r="E2677" s="172" t="s">
        <v>1739</v>
      </c>
      <c r="F2677" s="507">
        <f>SUMIFS(Controle!$R:$R,Controle!$H:$H,produtos_escape2!$A2677,Controle!$Z:$Z,"1")</f>
        <v>0</v>
      </c>
      <c r="G2677" s="507">
        <f>SUMIFS(Controle!$R:$R,Controle!$H:$H,produtos_escape2!$A2677,Controle!$Z:$Z,"2")</f>
        <v>0</v>
      </c>
      <c r="H2677" s="507">
        <f>SUMIFS(Controle!$R:$R,Controle!$H:$H,produtos_escape2!$A2677,Controle!$Z:$Z,"3")</f>
        <v>0</v>
      </c>
      <c r="I2677" s="507">
        <f>SUMIFS(Controle!$R:$R,Controle!$H:$H,produtos_escape2!$A2677,Controle!$Z:$Z,"4")</f>
        <v>0</v>
      </c>
      <c r="J2677" s="507">
        <f>SUMIFS(Controle!$R:$R,Controle!$H:$H,produtos_escape2!$A2677,Controle!$Z:$Z,"5")</f>
        <v>0</v>
      </c>
      <c r="K2677" s="507">
        <f>SUMIFS(Controle!$R:$R,Controle!$H:$H,produtos_escape2!$A2677,Controle!$Z:$Z,"6")</f>
        <v>0</v>
      </c>
      <c r="L2677" s="507">
        <f t="shared" si="90"/>
        <v>0</v>
      </c>
    </row>
    <row r="2678" spans="1:12" s="84" customFormat="1" ht="14.25" customHeight="1" thickBot="1">
      <c r="A2678" s="353" t="s">
        <v>4167</v>
      </c>
      <c r="B2678" s="194" t="s">
        <v>4159</v>
      </c>
      <c r="C2678" s="339">
        <f t="shared" si="91"/>
        <v>50000</v>
      </c>
      <c r="D2678" s="191" t="s">
        <v>636</v>
      </c>
      <c r="E2678" s="172" t="s">
        <v>1739</v>
      </c>
      <c r="F2678" s="507">
        <f>SUMIFS(Controle!$R:$R,Controle!$H:$H,produtos_escape2!$A2678,Controle!$Z:$Z,"1")</f>
        <v>0</v>
      </c>
      <c r="G2678" s="507">
        <f>SUMIFS(Controle!$R:$R,Controle!$H:$H,produtos_escape2!$A2678,Controle!$Z:$Z,"2")</f>
        <v>0</v>
      </c>
      <c r="H2678" s="507">
        <f>SUMIFS(Controle!$R:$R,Controle!$H:$H,produtos_escape2!$A2678,Controle!$Z:$Z,"3")</f>
        <v>0</v>
      </c>
      <c r="I2678" s="507">
        <f>SUMIFS(Controle!$R:$R,Controle!$H:$H,produtos_escape2!$A2678,Controle!$Z:$Z,"4")</f>
        <v>0</v>
      </c>
      <c r="J2678" s="507">
        <f>SUMIFS(Controle!$R:$R,Controle!$H:$H,produtos_escape2!$A2678,Controle!$Z:$Z,"5")</f>
        <v>0</v>
      </c>
      <c r="K2678" s="507">
        <f>SUMIFS(Controle!$R:$R,Controle!$H:$H,produtos_escape2!$A2678,Controle!$Z:$Z,"6")</f>
        <v>0</v>
      </c>
      <c r="L2678" s="507">
        <f t="shared" si="90"/>
        <v>0</v>
      </c>
    </row>
    <row r="2679" spans="1:12" s="84" customFormat="1" ht="14.25" customHeight="1" thickBot="1">
      <c r="A2679" s="353" t="s">
        <v>4168</v>
      </c>
      <c r="B2679" s="194" t="s">
        <v>4160</v>
      </c>
      <c r="C2679" s="339">
        <f t="shared" si="91"/>
        <v>50000</v>
      </c>
      <c r="D2679" s="191" t="s">
        <v>636</v>
      </c>
      <c r="E2679" s="172" t="s">
        <v>1739</v>
      </c>
      <c r="F2679" s="507">
        <f>SUMIFS(Controle!$R:$R,Controle!$H:$H,produtos_escape2!$A2679,Controle!$Z:$Z,"1")</f>
        <v>0</v>
      </c>
      <c r="G2679" s="507">
        <f>SUMIFS(Controle!$R:$R,Controle!$H:$H,produtos_escape2!$A2679,Controle!$Z:$Z,"2")</f>
        <v>0</v>
      </c>
      <c r="H2679" s="507">
        <f>SUMIFS(Controle!$R:$R,Controle!$H:$H,produtos_escape2!$A2679,Controle!$Z:$Z,"3")</f>
        <v>0</v>
      </c>
      <c r="I2679" s="507">
        <f>SUMIFS(Controle!$R:$R,Controle!$H:$H,produtos_escape2!$A2679,Controle!$Z:$Z,"4")</f>
        <v>0</v>
      </c>
      <c r="J2679" s="507">
        <f>SUMIFS(Controle!$R:$R,Controle!$H:$H,produtos_escape2!$A2679,Controle!$Z:$Z,"5")</f>
        <v>0</v>
      </c>
      <c r="K2679" s="507">
        <f>SUMIFS(Controle!$R:$R,Controle!$H:$H,produtos_escape2!$A2679,Controle!$Z:$Z,"6")</f>
        <v>0</v>
      </c>
      <c r="L2679" s="507">
        <f t="shared" si="90"/>
        <v>0</v>
      </c>
    </row>
    <row r="2680" spans="1:12" s="84" customFormat="1" ht="14.25" customHeight="1" thickBot="1">
      <c r="A2680" s="353" t="s">
        <v>4169</v>
      </c>
      <c r="B2680" s="194" t="s">
        <v>4161</v>
      </c>
      <c r="C2680" s="339">
        <f t="shared" si="91"/>
        <v>50000</v>
      </c>
      <c r="D2680" s="191" t="s">
        <v>636</v>
      </c>
      <c r="E2680" s="172" t="s">
        <v>1739</v>
      </c>
      <c r="F2680" s="507">
        <f>SUMIFS(Controle!$R:$R,Controle!$H:$H,produtos_escape2!$A2680,Controle!$Z:$Z,"1")</f>
        <v>0</v>
      </c>
      <c r="G2680" s="507">
        <f>SUMIFS(Controle!$R:$R,Controle!$H:$H,produtos_escape2!$A2680,Controle!$Z:$Z,"2")</f>
        <v>0</v>
      </c>
      <c r="H2680" s="507">
        <f>SUMIFS(Controle!$R:$R,Controle!$H:$H,produtos_escape2!$A2680,Controle!$Z:$Z,"3")</f>
        <v>0</v>
      </c>
      <c r="I2680" s="507">
        <f>SUMIFS(Controle!$R:$R,Controle!$H:$H,produtos_escape2!$A2680,Controle!$Z:$Z,"4")</f>
        <v>0</v>
      </c>
      <c r="J2680" s="507">
        <f>SUMIFS(Controle!$R:$R,Controle!$H:$H,produtos_escape2!$A2680,Controle!$Z:$Z,"5")</f>
        <v>0</v>
      </c>
      <c r="K2680" s="507">
        <f>SUMIFS(Controle!$R:$R,Controle!$H:$H,produtos_escape2!$A2680,Controle!$Z:$Z,"6")</f>
        <v>0</v>
      </c>
      <c r="L2680" s="507">
        <f t="shared" si="90"/>
        <v>0</v>
      </c>
    </row>
    <row r="2681" spans="1:12" s="84" customFormat="1" ht="14.25" customHeight="1" thickBot="1">
      <c r="A2681" s="333" t="s">
        <v>4170</v>
      </c>
      <c r="B2681" s="194" t="s">
        <v>4187</v>
      </c>
      <c r="C2681" s="339">
        <f t="shared" si="91"/>
        <v>50000</v>
      </c>
      <c r="D2681" s="191" t="s">
        <v>636</v>
      </c>
      <c r="E2681" s="172" t="s">
        <v>1739</v>
      </c>
      <c r="F2681" s="507">
        <f>SUMIFS(Controle!$R:$R,Controle!$H:$H,produtos_escape2!$A2681,Controle!$Z:$Z,"1")</f>
        <v>0</v>
      </c>
      <c r="G2681" s="507">
        <f>SUMIFS(Controle!$R:$R,Controle!$H:$H,produtos_escape2!$A2681,Controle!$Z:$Z,"2")</f>
        <v>0</v>
      </c>
      <c r="H2681" s="507">
        <f>SUMIFS(Controle!$R:$R,Controle!$H:$H,produtos_escape2!$A2681,Controle!$Z:$Z,"3")</f>
        <v>0</v>
      </c>
      <c r="I2681" s="507">
        <f>SUMIFS(Controle!$R:$R,Controle!$H:$H,produtos_escape2!$A2681,Controle!$Z:$Z,"4")</f>
        <v>0</v>
      </c>
      <c r="J2681" s="507">
        <f>SUMIFS(Controle!$R:$R,Controle!$H:$H,produtos_escape2!$A2681,Controle!$Z:$Z,"5")</f>
        <v>0</v>
      </c>
      <c r="K2681" s="507">
        <f>SUMIFS(Controle!$R:$R,Controle!$H:$H,produtos_escape2!$A2681,Controle!$Z:$Z,"6")</f>
        <v>0</v>
      </c>
      <c r="L2681" s="507">
        <f t="shared" si="90"/>
        <v>0</v>
      </c>
    </row>
    <row r="2682" spans="1:12" s="84" customFormat="1" ht="14.25" customHeight="1" thickBot="1">
      <c r="A2682" s="353" t="s">
        <v>4171</v>
      </c>
      <c r="B2682" s="194" t="s">
        <v>4178</v>
      </c>
      <c r="C2682" s="339">
        <f t="shared" si="91"/>
        <v>50000</v>
      </c>
      <c r="D2682" s="191" t="s">
        <v>636</v>
      </c>
      <c r="E2682" s="172" t="s">
        <v>1739</v>
      </c>
      <c r="F2682" s="507">
        <f>SUMIFS(Controle!$R:$R,Controle!$H:$H,produtos_escape2!$A2682,Controle!$Z:$Z,"1")</f>
        <v>0</v>
      </c>
      <c r="G2682" s="507">
        <f>SUMIFS(Controle!$R:$R,Controle!$H:$H,produtos_escape2!$A2682,Controle!$Z:$Z,"2")</f>
        <v>0</v>
      </c>
      <c r="H2682" s="507">
        <f>SUMIFS(Controle!$R:$R,Controle!$H:$H,produtos_escape2!$A2682,Controle!$Z:$Z,"3")</f>
        <v>0</v>
      </c>
      <c r="I2682" s="507">
        <f>SUMIFS(Controle!$R:$R,Controle!$H:$H,produtos_escape2!$A2682,Controle!$Z:$Z,"4")</f>
        <v>0</v>
      </c>
      <c r="J2682" s="507">
        <f>SUMIFS(Controle!$R:$R,Controle!$H:$H,produtos_escape2!$A2682,Controle!$Z:$Z,"5")</f>
        <v>0</v>
      </c>
      <c r="K2682" s="507">
        <f>SUMIFS(Controle!$R:$R,Controle!$H:$H,produtos_escape2!$A2682,Controle!$Z:$Z,"6")</f>
        <v>0</v>
      </c>
      <c r="L2682" s="507">
        <f t="shared" si="90"/>
        <v>0</v>
      </c>
    </row>
    <row r="2683" spans="1:12" s="84" customFormat="1" ht="14.25" customHeight="1" thickBot="1">
      <c r="A2683" s="353" t="s">
        <v>4172</v>
      </c>
      <c r="B2683" s="194" t="s">
        <v>4179</v>
      </c>
      <c r="C2683" s="339">
        <f t="shared" si="91"/>
        <v>50000</v>
      </c>
      <c r="D2683" s="191" t="s">
        <v>636</v>
      </c>
      <c r="E2683" s="172" t="s">
        <v>1739</v>
      </c>
      <c r="F2683" s="507">
        <f>SUMIFS(Controle!$R:$R,Controle!$H:$H,produtos_escape2!$A2683,Controle!$Z:$Z,"1")</f>
        <v>0</v>
      </c>
      <c r="G2683" s="507">
        <f>SUMIFS(Controle!$R:$R,Controle!$H:$H,produtos_escape2!$A2683,Controle!$Z:$Z,"2")</f>
        <v>0</v>
      </c>
      <c r="H2683" s="507">
        <f>SUMIFS(Controle!$R:$R,Controle!$H:$H,produtos_escape2!$A2683,Controle!$Z:$Z,"3")</f>
        <v>0</v>
      </c>
      <c r="I2683" s="507">
        <f>SUMIFS(Controle!$R:$R,Controle!$H:$H,produtos_escape2!$A2683,Controle!$Z:$Z,"4")</f>
        <v>0</v>
      </c>
      <c r="J2683" s="507">
        <f>SUMIFS(Controle!$R:$R,Controle!$H:$H,produtos_escape2!$A2683,Controle!$Z:$Z,"5")</f>
        <v>0</v>
      </c>
      <c r="K2683" s="507">
        <f>SUMIFS(Controle!$R:$R,Controle!$H:$H,produtos_escape2!$A2683,Controle!$Z:$Z,"6")</f>
        <v>0</v>
      </c>
      <c r="L2683" s="507">
        <f t="shared" si="90"/>
        <v>0</v>
      </c>
    </row>
    <row r="2684" spans="1:12" s="84" customFormat="1" ht="14.25" customHeight="1" thickBot="1">
      <c r="A2684" s="353" t="s">
        <v>4173</v>
      </c>
      <c r="B2684" s="194" t="s">
        <v>4180</v>
      </c>
      <c r="C2684" s="339">
        <f t="shared" si="91"/>
        <v>50000</v>
      </c>
      <c r="D2684" s="191" t="s">
        <v>636</v>
      </c>
      <c r="E2684" s="172" t="s">
        <v>1739</v>
      </c>
      <c r="F2684" s="507">
        <f>SUMIFS(Controle!$R:$R,Controle!$H:$H,produtos_escape2!$A2684,Controle!$Z:$Z,"1")</f>
        <v>0</v>
      </c>
      <c r="G2684" s="507">
        <f>SUMIFS(Controle!$R:$R,Controle!$H:$H,produtos_escape2!$A2684,Controle!$Z:$Z,"2")</f>
        <v>0</v>
      </c>
      <c r="H2684" s="507">
        <f>SUMIFS(Controle!$R:$R,Controle!$H:$H,produtos_escape2!$A2684,Controle!$Z:$Z,"3")</f>
        <v>0</v>
      </c>
      <c r="I2684" s="507">
        <f>SUMIFS(Controle!$R:$R,Controle!$H:$H,produtos_escape2!$A2684,Controle!$Z:$Z,"4")</f>
        <v>0</v>
      </c>
      <c r="J2684" s="507">
        <f>SUMIFS(Controle!$R:$R,Controle!$H:$H,produtos_escape2!$A2684,Controle!$Z:$Z,"5")</f>
        <v>0</v>
      </c>
      <c r="K2684" s="507">
        <f>SUMIFS(Controle!$R:$R,Controle!$H:$H,produtos_escape2!$A2684,Controle!$Z:$Z,"6")</f>
        <v>0</v>
      </c>
      <c r="L2684" s="507">
        <f t="shared" si="90"/>
        <v>0</v>
      </c>
    </row>
    <row r="2685" spans="1:12" s="84" customFormat="1" ht="14.25" customHeight="1" thickBot="1">
      <c r="A2685" s="353" t="s">
        <v>4174</v>
      </c>
      <c r="B2685" s="338" t="s">
        <v>4181</v>
      </c>
      <c r="C2685" s="339">
        <f t="shared" si="91"/>
        <v>50000</v>
      </c>
      <c r="D2685" s="191" t="s">
        <v>636</v>
      </c>
      <c r="E2685" s="172" t="s">
        <v>1739</v>
      </c>
      <c r="F2685" s="507">
        <f>SUMIFS(Controle!$R:$R,Controle!$H:$H,produtos_escape2!$A2685,Controle!$Z:$Z,"1")</f>
        <v>0</v>
      </c>
      <c r="G2685" s="507">
        <f>SUMIFS(Controle!$R:$R,Controle!$H:$H,produtos_escape2!$A2685,Controle!$Z:$Z,"2")</f>
        <v>0</v>
      </c>
      <c r="H2685" s="507">
        <f>SUMIFS(Controle!$R:$R,Controle!$H:$H,produtos_escape2!$A2685,Controle!$Z:$Z,"3")</f>
        <v>0</v>
      </c>
      <c r="I2685" s="507">
        <f>SUMIFS(Controle!$R:$R,Controle!$H:$H,produtos_escape2!$A2685,Controle!$Z:$Z,"4")</f>
        <v>0</v>
      </c>
      <c r="J2685" s="507">
        <f>SUMIFS(Controle!$R:$R,Controle!$H:$H,produtos_escape2!$A2685,Controle!$Z:$Z,"5")</f>
        <v>0</v>
      </c>
      <c r="K2685" s="507">
        <f>SUMIFS(Controle!$R:$R,Controle!$H:$H,produtos_escape2!$A2685,Controle!$Z:$Z,"6")</f>
        <v>0</v>
      </c>
      <c r="L2685" s="507">
        <f t="shared" si="90"/>
        <v>0</v>
      </c>
    </row>
    <row r="2686" spans="1:12" s="84" customFormat="1" ht="14.25" customHeight="1" thickBot="1">
      <c r="A2686" s="353" t="s">
        <v>4175</v>
      </c>
      <c r="B2686" s="194" t="s">
        <v>4182</v>
      </c>
      <c r="C2686" s="339">
        <f t="shared" si="91"/>
        <v>50000</v>
      </c>
      <c r="D2686" s="191" t="s">
        <v>636</v>
      </c>
      <c r="E2686" s="172" t="s">
        <v>1739</v>
      </c>
      <c r="F2686" s="507">
        <f>SUMIFS(Controle!$R:$R,Controle!$H:$H,produtos_escape2!$A2686,Controle!$Z:$Z,"1")</f>
        <v>0</v>
      </c>
      <c r="G2686" s="507">
        <f>SUMIFS(Controle!$R:$R,Controle!$H:$H,produtos_escape2!$A2686,Controle!$Z:$Z,"2")</f>
        <v>0</v>
      </c>
      <c r="H2686" s="507">
        <f>SUMIFS(Controle!$R:$R,Controle!$H:$H,produtos_escape2!$A2686,Controle!$Z:$Z,"3")</f>
        <v>0</v>
      </c>
      <c r="I2686" s="507">
        <f>SUMIFS(Controle!$R:$R,Controle!$H:$H,produtos_escape2!$A2686,Controle!$Z:$Z,"4")</f>
        <v>0</v>
      </c>
      <c r="J2686" s="507">
        <f>SUMIFS(Controle!$R:$R,Controle!$H:$H,produtos_escape2!$A2686,Controle!$Z:$Z,"5")</f>
        <v>0</v>
      </c>
      <c r="K2686" s="507">
        <f>SUMIFS(Controle!$R:$R,Controle!$H:$H,produtos_escape2!$A2686,Controle!$Z:$Z,"6")</f>
        <v>0</v>
      </c>
      <c r="L2686" s="507">
        <f t="shared" si="90"/>
        <v>0</v>
      </c>
    </row>
    <row r="2687" spans="1:12" s="84" customFormat="1" ht="14.25" customHeight="1" thickBot="1">
      <c r="A2687" s="353" t="s">
        <v>4176</v>
      </c>
      <c r="B2687" s="194" t="s">
        <v>4183</v>
      </c>
      <c r="C2687" s="339">
        <f t="shared" si="91"/>
        <v>50000</v>
      </c>
      <c r="D2687" s="191" t="s">
        <v>636</v>
      </c>
      <c r="E2687" s="172" t="s">
        <v>1739</v>
      </c>
      <c r="F2687" s="507">
        <f>SUMIFS(Controle!$R:$R,Controle!$H:$H,produtos_escape2!$A2687,Controle!$Z:$Z,"1")</f>
        <v>0</v>
      </c>
      <c r="G2687" s="507">
        <f>SUMIFS(Controle!$R:$R,Controle!$H:$H,produtos_escape2!$A2687,Controle!$Z:$Z,"2")</f>
        <v>0</v>
      </c>
      <c r="H2687" s="507">
        <f>SUMIFS(Controle!$R:$R,Controle!$H:$H,produtos_escape2!$A2687,Controle!$Z:$Z,"3")</f>
        <v>0</v>
      </c>
      <c r="I2687" s="507">
        <f>SUMIFS(Controle!$R:$R,Controle!$H:$H,produtos_escape2!$A2687,Controle!$Z:$Z,"4")</f>
        <v>0</v>
      </c>
      <c r="J2687" s="507">
        <f>SUMIFS(Controle!$R:$R,Controle!$H:$H,produtos_escape2!$A2687,Controle!$Z:$Z,"5")</f>
        <v>0</v>
      </c>
      <c r="K2687" s="507">
        <f>SUMIFS(Controle!$R:$R,Controle!$H:$H,produtos_escape2!$A2687,Controle!$Z:$Z,"6")</f>
        <v>0</v>
      </c>
      <c r="L2687" s="507">
        <f t="shared" ref="L2687:L2750" si="92">SUM(F2687:K2687)</f>
        <v>0</v>
      </c>
    </row>
    <row r="2688" spans="1:12" s="84" customFormat="1" ht="14.25" customHeight="1" thickBot="1">
      <c r="A2688" s="353" t="s">
        <v>4177</v>
      </c>
      <c r="B2688" s="194" t="s">
        <v>4184</v>
      </c>
      <c r="C2688" s="339">
        <f t="shared" si="91"/>
        <v>50000</v>
      </c>
      <c r="D2688" s="191" t="s">
        <v>636</v>
      </c>
      <c r="E2688" s="172" t="s">
        <v>1739</v>
      </c>
      <c r="F2688" s="507">
        <f>SUMIFS(Controle!$R:$R,Controle!$H:$H,produtos_escape2!$A2688,Controle!$Z:$Z,"1")</f>
        <v>0</v>
      </c>
      <c r="G2688" s="507">
        <f>SUMIFS(Controle!$R:$R,Controle!$H:$H,produtos_escape2!$A2688,Controle!$Z:$Z,"2")</f>
        <v>0</v>
      </c>
      <c r="H2688" s="507">
        <f>SUMIFS(Controle!$R:$R,Controle!$H:$H,produtos_escape2!$A2688,Controle!$Z:$Z,"3")</f>
        <v>0</v>
      </c>
      <c r="I2688" s="507">
        <f>SUMIFS(Controle!$R:$R,Controle!$H:$H,produtos_escape2!$A2688,Controle!$Z:$Z,"4")</f>
        <v>0</v>
      </c>
      <c r="J2688" s="507">
        <f>SUMIFS(Controle!$R:$R,Controle!$H:$H,produtos_escape2!$A2688,Controle!$Z:$Z,"5")</f>
        <v>0</v>
      </c>
      <c r="K2688" s="507">
        <f>SUMIFS(Controle!$R:$R,Controle!$H:$H,produtos_escape2!$A2688,Controle!$Z:$Z,"6")</f>
        <v>0</v>
      </c>
      <c r="L2688" s="507">
        <f t="shared" si="92"/>
        <v>0</v>
      </c>
    </row>
    <row r="2689" spans="1:13" s="84" customFormat="1" ht="14.25" customHeight="1" thickBot="1">
      <c r="A2689" s="333" t="s">
        <v>4186</v>
      </c>
      <c r="B2689" s="194" t="s">
        <v>4185</v>
      </c>
      <c r="C2689" s="339">
        <f t="shared" si="91"/>
        <v>50000</v>
      </c>
      <c r="D2689" s="191" t="s">
        <v>636</v>
      </c>
      <c r="E2689" s="172" t="s">
        <v>1739</v>
      </c>
      <c r="F2689" s="507">
        <f>SUMIFS(Controle!$R:$R,Controle!$H:$H,produtos_escape2!$A2689,Controle!$Z:$Z,"1")</f>
        <v>0</v>
      </c>
      <c r="G2689" s="507">
        <f>SUMIFS(Controle!$R:$R,Controle!$H:$H,produtos_escape2!$A2689,Controle!$Z:$Z,"2")</f>
        <v>0</v>
      </c>
      <c r="H2689" s="507">
        <f>SUMIFS(Controle!$R:$R,Controle!$H:$H,produtos_escape2!$A2689,Controle!$Z:$Z,"3")</f>
        <v>0</v>
      </c>
      <c r="I2689" s="507">
        <f>SUMIFS(Controle!$R:$R,Controle!$H:$H,produtos_escape2!$A2689,Controle!$Z:$Z,"4")</f>
        <v>0</v>
      </c>
      <c r="J2689" s="507">
        <f>SUMIFS(Controle!$R:$R,Controle!$H:$H,produtos_escape2!$A2689,Controle!$Z:$Z,"5")</f>
        <v>0</v>
      </c>
      <c r="K2689" s="507">
        <f>SUMIFS(Controle!$R:$R,Controle!$H:$H,produtos_escape2!$A2689,Controle!$Z:$Z,"6")</f>
        <v>0</v>
      </c>
      <c r="L2689" s="507">
        <f t="shared" si="92"/>
        <v>0</v>
      </c>
    </row>
    <row r="2690" spans="1:13" s="84" customFormat="1" ht="14.25" customHeight="1" thickBot="1">
      <c r="A2690" s="353" t="s">
        <v>3731</v>
      </c>
      <c r="B2690" s="194" t="s">
        <v>6784</v>
      </c>
      <c r="C2690" s="339">
        <f t="shared" si="91"/>
        <v>50000</v>
      </c>
      <c r="D2690" s="196" t="s">
        <v>636</v>
      </c>
      <c r="E2690" s="197" t="s">
        <v>1687</v>
      </c>
      <c r="F2690" s="507">
        <f>SUMIFS(Controle!$R:$R,Controle!$H:$H,produtos_escape2!$A2690,Controle!$Z:$Z,"1")</f>
        <v>0</v>
      </c>
      <c r="G2690" s="507">
        <f>SUMIFS(Controle!$R:$R,Controle!$H:$H,produtos_escape2!$A2690,Controle!$Z:$Z,"2")</f>
        <v>0</v>
      </c>
      <c r="H2690" s="507">
        <f>SUMIFS(Controle!$R:$R,Controle!$H:$H,produtos_escape2!$A2690,Controle!$Z:$Z,"3")</f>
        <v>0</v>
      </c>
      <c r="I2690" s="507">
        <f>SUMIFS(Controle!$R:$R,Controle!$H:$H,produtos_escape2!$A2690,Controle!$Z:$Z,"4")</f>
        <v>0</v>
      </c>
      <c r="J2690" s="507">
        <f>SUMIFS(Controle!$R:$R,Controle!$H:$H,produtos_escape2!$A2690,Controle!$Z:$Z,"5")</f>
        <v>0</v>
      </c>
      <c r="K2690" s="507">
        <f>SUMIFS(Controle!$R:$R,Controle!$H:$H,produtos_escape2!$A2690,Controle!$Z:$Z,"6")</f>
        <v>0</v>
      </c>
      <c r="L2690" s="507">
        <f t="shared" si="92"/>
        <v>0</v>
      </c>
    </row>
    <row r="2691" spans="1:13" s="84" customFormat="1" ht="14.25" customHeight="1" thickBot="1">
      <c r="A2691" s="353" t="s">
        <v>3823</v>
      </c>
      <c r="B2691" s="194" t="s">
        <v>3820</v>
      </c>
      <c r="C2691" s="339">
        <f t="shared" si="91"/>
        <v>50000</v>
      </c>
      <c r="D2691" s="196" t="s">
        <v>636</v>
      </c>
      <c r="E2691" s="197" t="s">
        <v>1687</v>
      </c>
      <c r="F2691" s="507">
        <f>SUMIFS(Controle!$R:$R,Controle!$H:$H,produtos_escape2!$A2691,Controle!$Z:$Z,"1")</f>
        <v>0</v>
      </c>
      <c r="G2691" s="507">
        <f>SUMIFS(Controle!$R:$R,Controle!$H:$H,produtos_escape2!$A2691,Controle!$Z:$Z,"2")</f>
        <v>0</v>
      </c>
      <c r="H2691" s="507">
        <f>SUMIFS(Controle!$R:$R,Controle!$H:$H,produtos_escape2!$A2691,Controle!$Z:$Z,"3")</f>
        <v>0</v>
      </c>
      <c r="I2691" s="507">
        <f>SUMIFS(Controle!$R:$R,Controle!$H:$H,produtos_escape2!$A2691,Controle!$Z:$Z,"4")</f>
        <v>0</v>
      </c>
      <c r="J2691" s="507">
        <f>SUMIFS(Controle!$R:$R,Controle!$H:$H,produtos_escape2!$A2691,Controle!$Z:$Z,"5")</f>
        <v>0</v>
      </c>
      <c r="K2691" s="507">
        <f>SUMIFS(Controle!$R:$R,Controle!$H:$H,produtos_escape2!$A2691,Controle!$Z:$Z,"6")</f>
        <v>0</v>
      </c>
      <c r="L2691" s="507">
        <f t="shared" si="92"/>
        <v>0</v>
      </c>
    </row>
    <row r="2692" spans="1:13" s="84" customFormat="1" ht="14.25" customHeight="1" thickBot="1">
      <c r="A2692" s="353" t="s">
        <v>3824</v>
      </c>
      <c r="B2692" s="194" t="s">
        <v>3822</v>
      </c>
      <c r="C2692" s="339">
        <f t="shared" si="91"/>
        <v>50000</v>
      </c>
      <c r="D2692" s="196" t="s">
        <v>636</v>
      </c>
      <c r="E2692" s="197" t="s">
        <v>1687</v>
      </c>
      <c r="F2692" s="507">
        <f>SUMIFS(Controle!$R:$R,Controle!$H:$H,produtos_escape2!$A2692,Controle!$Z:$Z,"1")</f>
        <v>0</v>
      </c>
      <c r="G2692" s="507">
        <f>SUMIFS(Controle!$R:$R,Controle!$H:$H,produtos_escape2!$A2692,Controle!$Z:$Z,"2")</f>
        <v>0</v>
      </c>
      <c r="H2692" s="507">
        <f>SUMIFS(Controle!$R:$R,Controle!$H:$H,produtos_escape2!$A2692,Controle!$Z:$Z,"3")</f>
        <v>0</v>
      </c>
      <c r="I2692" s="507">
        <f>SUMIFS(Controle!$R:$R,Controle!$H:$H,produtos_escape2!$A2692,Controle!$Z:$Z,"4")</f>
        <v>0</v>
      </c>
      <c r="J2692" s="507">
        <f>SUMIFS(Controle!$R:$R,Controle!$H:$H,produtos_escape2!$A2692,Controle!$Z:$Z,"5")</f>
        <v>0</v>
      </c>
      <c r="K2692" s="507">
        <f>SUMIFS(Controle!$R:$R,Controle!$H:$H,produtos_escape2!$A2692,Controle!$Z:$Z,"6")</f>
        <v>0</v>
      </c>
      <c r="L2692" s="507">
        <f t="shared" si="92"/>
        <v>0</v>
      </c>
    </row>
    <row r="2693" spans="1:13" s="84" customFormat="1" ht="14.25" customHeight="1" thickBot="1">
      <c r="A2693" s="353" t="s">
        <v>3825</v>
      </c>
      <c r="B2693" s="338" t="s">
        <v>3819</v>
      </c>
      <c r="C2693" s="339">
        <f t="shared" si="91"/>
        <v>50000</v>
      </c>
      <c r="D2693" s="196" t="s">
        <v>636</v>
      </c>
      <c r="E2693" s="197" t="s">
        <v>1687</v>
      </c>
      <c r="F2693" s="507">
        <f>SUMIFS(Controle!$R:$R,Controle!$H:$H,produtos_escape2!$A2693,Controle!$Z:$Z,"1")</f>
        <v>0</v>
      </c>
      <c r="G2693" s="507">
        <f>SUMIFS(Controle!$R:$R,Controle!$H:$H,produtos_escape2!$A2693,Controle!$Z:$Z,"2")</f>
        <v>0</v>
      </c>
      <c r="H2693" s="507">
        <f>SUMIFS(Controle!$R:$R,Controle!$H:$H,produtos_escape2!$A2693,Controle!$Z:$Z,"3")</f>
        <v>0</v>
      </c>
      <c r="I2693" s="507">
        <f>SUMIFS(Controle!$R:$R,Controle!$H:$H,produtos_escape2!$A2693,Controle!$Z:$Z,"4")</f>
        <v>0</v>
      </c>
      <c r="J2693" s="507">
        <f>SUMIFS(Controle!$R:$R,Controle!$H:$H,produtos_escape2!$A2693,Controle!$Z:$Z,"5")</f>
        <v>0</v>
      </c>
      <c r="K2693" s="507">
        <f>SUMIFS(Controle!$R:$R,Controle!$H:$H,produtos_escape2!$A2693,Controle!$Z:$Z,"6")</f>
        <v>0</v>
      </c>
      <c r="L2693" s="507">
        <f t="shared" si="92"/>
        <v>0</v>
      </c>
    </row>
    <row r="2694" spans="1:13" s="84" customFormat="1" ht="14.25" customHeight="1" thickBot="1">
      <c r="A2694" s="353" t="s">
        <v>3826</v>
      </c>
      <c r="B2694" s="194" t="s">
        <v>3821</v>
      </c>
      <c r="C2694" s="339">
        <f t="shared" si="91"/>
        <v>50000</v>
      </c>
      <c r="D2694" s="196" t="s">
        <v>636</v>
      </c>
      <c r="E2694" s="197" t="s">
        <v>1687</v>
      </c>
      <c r="F2694" s="507">
        <f>SUMIFS(Controle!$R:$R,Controle!$H:$H,produtos_escape2!$A2694,Controle!$Z:$Z,"1")</f>
        <v>0</v>
      </c>
      <c r="G2694" s="507">
        <f>SUMIFS(Controle!$R:$R,Controle!$H:$H,produtos_escape2!$A2694,Controle!$Z:$Z,"2")</f>
        <v>0</v>
      </c>
      <c r="H2694" s="507">
        <f>SUMIFS(Controle!$R:$R,Controle!$H:$H,produtos_escape2!$A2694,Controle!$Z:$Z,"3")</f>
        <v>0</v>
      </c>
      <c r="I2694" s="507">
        <f>SUMIFS(Controle!$R:$R,Controle!$H:$H,produtos_escape2!$A2694,Controle!$Z:$Z,"4")</f>
        <v>0</v>
      </c>
      <c r="J2694" s="507">
        <f>SUMIFS(Controle!$R:$R,Controle!$H:$H,produtos_escape2!$A2694,Controle!$Z:$Z,"5")</f>
        <v>0</v>
      </c>
      <c r="K2694" s="507">
        <f>SUMIFS(Controle!$R:$R,Controle!$H:$H,produtos_escape2!$A2694,Controle!$Z:$Z,"6")</f>
        <v>0</v>
      </c>
      <c r="L2694" s="507">
        <f t="shared" si="92"/>
        <v>0</v>
      </c>
    </row>
    <row r="2695" spans="1:13" s="84" customFormat="1" ht="14.25" customHeight="1" thickBot="1">
      <c r="A2695" s="353" t="s">
        <v>3827</v>
      </c>
      <c r="B2695" s="194" t="s">
        <v>3817</v>
      </c>
      <c r="C2695" s="339">
        <f t="shared" si="91"/>
        <v>50000</v>
      </c>
      <c r="D2695" s="196" t="s">
        <v>636</v>
      </c>
      <c r="E2695" s="197" t="s">
        <v>1687</v>
      </c>
      <c r="F2695" s="507">
        <f>SUMIFS(Controle!$R:$R,Controle!$H:$H,produtos_escape2!$A2695,Controle!$Z:$Z,"1")</f>
        <v>0</v>
      </c>
      <c r="G2695" s="507">
        <f>SUMIFS(Controle!$R:$R,Controle!$H:$H,produtos_escape2!$A2695,Controle!$Z:$Z,"2")</f>
        <v>0</v>
      </c>
      <c r="H2695" s="507">
        <f>SUMIFS(Controle!$R:$R,Controle!$H:$H,produtos_escape2!$A2695,Controle!$Z:$Z,"3")</f>
        <v>0</v>
      </c>
      <c r="I2695" s="507">
        <f>SUMIFS(Controle!$R:$R,Controle!$H:$H,produtos_escape2!$A2695,Controle!$Z:$Z,"4")</f>
        <v>0</v>
      </c>
      <c r="J2695" s="507">
        <f>SUMIFS(Controle!$R:$R,Controle!$H:$H,produtos_escape2!$A2695,Controle!$Z:$Z,"5")</f>
        <v>0</v>
      </c>
      <c r="K2695" s="507">
        <f>SUMIFS(Controle!$R:$R,Controle!$H:$H,produtos_escape2!$A2695,Controle!$Z:$Z,"6")</f>
        <v>0</v>
      </c>
      <c r="L2695" s="507">
        <f t="shared" si="92"/>
        <v>0</v>
      </c>
    </row>
    <row r="2696" spans="1:13" s="84" customFormat="1" ht="14.25" customHeight="1" thickBot="1">
      <c r="A2696" s="353" t="s">
        <v>3828</v>
      </c>
      <c r="B2696" s="194" t="s">
        <v>3818</v>
      </c>
      <c r="C2696" s="339">
        <f t="shared" si="91"/>
        <v>50000</v>
      </c>
      <c r="D2696" s="196" t="s">
        <v>636</v>
      </c>
      <c r="E2696" s="197" t="s">
        <v>1687</v>
      </c>
      <c r="F2696" s="507">
        <f>SUMIFS(Controle!$R:$R,Controle!$H:$H,produtos_escape2!$A2696,Controle!$Z:$Z,"1")</f>
        <v>0</v>
      </c>
      <c r="G2696" s="507">
        <f>SUMIFS(Controle!$R:$R,Controle!$H:$H,produtos_escape2!$A2696,Controle!$Z:$Z,"2")</f>
        <v>0</v>
      </c>
      <c r="H2696" s="507">
        <f>SUMIFS(Controle!$R:$R,Controle!$H:$H,produtos_escape2!$A2696,Controle!$Z:$Z,"3")</f>
        <v>0</v>
      </c>
      <c r="I2696" s="507">
        <f>SUMIFS(Controle!$R:$R,Controle!$H:$H,produtos_escape2!$A2696,Controle!$Z:$Z,"4")</f>
        <v>0</v>
      </c>
      <c r="J2696" s="507">
        <f>SUMIFS(Controle!$R:$R,Controle!$H:$H,produtos_escape2!$A2696,Controle!$Z:$Z,"5")</f>
        <v>0</v>
      </c>
      <c r="K2696" s="507">
        <f>SUMIFS(Controle!$R:$R,Controle!$H:$H,produtos_escape2!$A2696,Controle!$Z:$Z,"6")</f>
        <v>0</v>
      </c>
      <c r="L2696" s="507">
        <f t="shared" si="92"/>
        <v>0</v>
      </c>
    </row>
    <row r="2697" spans="1:13" s="84" customFormat="1" ht="14.25" customHeight="1" thickBot="1">
      <c r="A2697" s="333" t="s">
        <v>3829</v>
      </c>
      <c r="B2697" s="194" t="s">
        <v>3816</v>
      </c>
      <c r="C2697" s="339">
        <f t="shared" si="91"/>
        <v>50000</v>
      </c>
      <c r="D2697" s="196" t="s">
        <v>636</v>
      </c>
      <c r="E2697" s="197" t="s">
        <v>1687</v>
      </c>
      <c r="F2697" s="507">
        <f>SUMIFS(Controle!$R:$R,Controle!$H:$H,produtos_escape2!$A2697,Controle!$Z:$Z,"1")</f>
        <v>0</v>
      </c>
      <c r="G2697" s="507">
        <f>SUMIFS(Controle!$R:$R,Controle!$H:$H,produtos_escape2!$A2697,Controle!$Z:$Z,"2")</f>
        <v>0</v>
      </c>
      <c r="H2697" s="507">
        <f>SUMIFS(Controle!$R:$R,Controle!$H:$H,produtos_escape2!$A2697,Controle!$Z:$Z,"3")</f>
        <v>0</v>
      </c>
      <c r="I2697" s="507">
        <f>SUMIFS(Controle!$R:$R,Controle!$H:$H,produtos_escape2!$A2697,Controle!$Z:$Z,"4")</f>
        <v>0</v>
      </c>
      <c r="J2697" s="507">
        <f>SUMIFS(Controle!$R:$R,Controle!$H:$H,produtos_escape2!$A2697,Controle!$Z:$Z,"5")</f>
        <v>0</v>
      </c>
      <c r="K2697" s="507">
        <f>SUMIFS(Controle!$R:$R,Controle!$H:$H,produtos_escape2!$A2697,Controle!$Z:$Z,"6")</f>
        <v>0</v>
      </c>
      <c r="L2697" s="507">
        <f t="shared" si="92"/>
        <v>0</v>
      </c>
    </row>
    <row r="2698" spans="1:13" s="84" customFormat="1" ht="14.25" customHeight="1" thickBot="1">
      <c r="A2698" s="353" t="s">
        <v>3830</v>
      </c>
      <c r="B2698" s="194" t="s">
        <v>3811</v>
      </c>
      <c r="C2698" s="339">
        <f t="shared" ref="C2698:C2764" si="93">50000-SUM(F2698:K2698)</f>
        <v>50000</v>
      </c>
      <c r="D2698" s="196" t="s">
        <v>636</v>
      </c>
      <c r="E2698" s="197" t="s">
        <v>1687</v>
      </c>
      <c r="F2698" s="507">
        <f>SUMIFS(Controle!$R:$R,Controle!$H:$H,produtos_escape2!$A2698,Controle!$Z:$Z,"1")</f>
        <v>0</v>
      </c>
      <c r="G2698" s="507">
        <f>SUMIFS(Controle!$R:$R,Controle!$H:$H,produtos_escape2!$A2698,Controle!$Z:$Z,"2")</f>
        <v>0</v>
      </c>
      <c r="H2698" s="507">
        <f>SUMIFS(Controle!$R:$R,Controle!$H:$H,produtos_escape2!$A2698,Controle!$Z:$Z,"3")</f>
        <v>0</v>
      </c>
      <c r="I2698" s="507">
        <f>SUMIFS(Controle!$R:$R,Controle!$H:$H,produtos_escape2!$A2698,Controle!$Z:$Z,"4")</f>
        <v>0</v>
      </c>
      <c r="J2698" s="507">
        <f>SUMIFS(Controle!$R:$R,Controle!$H:$H,produtos_escape2!$A2698,Controle!$Z:$Z,"5")</f>
        <v>0</v>
      </c>
      <c r="K2698" s="507">
        <f>SUMIFS(Controle!$R:$R,Controle!$H:$H,produtos_escape2!$A2698,Controle!$Z:$Z,"6")</f>
        <v>0</v>
      </c>
      <c r="L2698" s="507">
        <f t="shared" si="92"/>
        <v>0</v>
      </c>
    </row>
    <row r="2699" spans="1:13" s="84" customFormat="1" ht="14.25" customHeight="1" thickBot="1">
      <c r="A2699" s="353" t="s">
        <v>3831</v>
      </c>
      <c r="B2699" s="194" t="s">
        <v>3812</v>
      </c>
      <c r="C2699" s="339">
        <f t="shared" si="93"/>
        <v>50000</v>
      </c>
      <c r="D2699" s="196" t="s">
        <v>636</v>
      </c>
      <c r="E2699" s="197" t="s">
        <v>1687</v>
      </c>
      <c r="F2699" s="507">
        <f>SUMIFS(Controle!$R:$R,Controle!$H:$H,produtos_escape2!$A2699,Controle!$Z:$Z,"1")</f>
        <v>0</v>
      </c>
      <c r="G2699" s="507">
        <f>SUMIFS(Controle!$R:$R,Controle!$H:$H,produtos_escape2!$A2699,Controle!$Z:$Z,"2")</f>
        <v>0</v>
      </c>
      <c r="H2699" s="507">
        <f>SUMIFS(Controle!$R:$R,Controle!$H:$H,produtos_escape2!$A2699,Controle!$Z:$Z,"3")</f>
        <v>0</v>
      </c>
      <c r="I2699" s="507">
        <f>SUMIFS(Controle!$R:$R,Controle!$H:$H,produtos_escape2!$A2699,Controle!$Z:$Z,"4")</f>
        <v>0</v>
      </c>
      <c r="J2699" s="507">
        <f>SUMIFS(Controle!$R:$R,Controle!$H:$H,produtos_escape2!$A2699,Controle!$Z:$Z,"5")</f>
        <v>0</v>
      </c>
      <c r="K2699" s="507">
        <f>SUMIFS(Controle!$R:$R,Controle!$H:$H,produtos_escape2!$A2699,Controle!$Z:$Z,"6")</f>
        <v>0</v>
      </c>
      <c r="L2699" s="507">
        <f t="shared" si="92"/>
        <v>0</v>
      </c>
    </row>
    <row r="2700" spans="1:13" s="84" customFormat="1" ht="14.25" customHeight="1" thickBot="1">
      <c r="A2700" s="353" t="s">
        <v>3832</v>
      </c>
      <c r="B2700" s="194" t="s">
        <v>3813</v>
      </c>
      <c r="C2700" s="339">
        <f t="shared" si="93"/>
        <v>50000</v>
      </c>
      <c r="D2700" s="196" t="s">
        <v>636</v>
      </c>
      <c r="E2700" s="197" t="s">
        <v>1687</v>
      </c>
      <c r="F2700" s="507">
        <f>SUMIFS(Controle!$R:$R,Controle!$H:$H,produtos_escape2!$A2700,Controle!$Z:$Z,"1")</f>
        <v>0</v>
      </c>
      <c r="G2700" s="507">
        <f>SUMIFS(Controle!$R:$R,Controle!$H:$H,produtos_escape2!$A2700,Controle!$Z:$Z,"2")</f>
        <v>0</v>
      </c>
      <c r="H2700" s="507">
        <f>SUMIFS(Controle!$R:$R,Controle!$H:$H,produtos_escape2!$A2700,Controle!$Z:$Z,"3")</f>
        <v>0</v>
      </c>
      <c r="I2700" s="507">
        <f>SUMIFS(Controle!$R:$R,Controle!$H:$H,produtos_escape2!$A2700,Controle!$Z:$Z,"4")</f>
        <v>0</v>
      </c>
      <c r="J2700" s="507">
        <f>SUMIFS(Controle!$R:$R,Controle!$H:$H,produtos_escape2!$A2700,Controle!$Z:$Z,"5")</f>
        <v>0</v>
      </c>
      <c r="K2700" s="507">
        <f>SUMIFS(Controle!$R:$R,Controle!$H:$H,produtos_escape2!$A2700,Controle!$Z:$Z,"6")</f>
        <v>0</v>
      </c>
      <c r="L2700" s="507">
        <f t="shared" si="92"/>
        <v>0</v>
      </c>
    </row>
    <row r="2701" spans="1:13" s="84" customFormat="1" ht="14.25" customHeight="1" thickBot="1">
      <c r="A2701" s="353" t="s">
        <v>3833</v>
      </c>
      <c r="B2701" s="338" t="s">
        <v>3814</v>
      </c>
      <c r="C2701" s="339">
        <f t="shared" si="93"/>
        <v>50000</v>
      </c>
      <c r="D2701" s="196" t="s">
        <v>636</v>
      </c>
      <c r="E2701" s="197" t="s">
        <v>1687</v>
      </c>
      <c r="F2701" s="507">
        <f>SUMIFS(Controle!$R:$R,Controle!$H:$H,produtos_escape2!$A2701,Controle!$Z:$Z,"1")</f>
        <v>0</v>
      </c>
      <c r="G2701" s="507">
        <f>SUMIFS(Controle!$R:$R,Controle!$H:$H,produtos_escape2!$A2701,Controle!$Z:$Z,"2")</f>
        <v>0</v>
      </c>
      <c r="H2701" s="507">
        <f>SUMIFS(Controle!$R:$R,Controle!$H:$H,produtos_escape2!$A2701,Controle!$Z:$Z,"3")</f>
        <v>0</v>
      </c>
      <c r="I2701" s="507">
        <f>SUMIFS(Controle!$R:$R,Controle!$H:$H,produtos_escape2!$A2701,Controle!$Z:$Z,"4")</f>
        <v>0</v>
      </c>
      <c r="J2701" s="507">
        <f>SUMIFS(Controle!$R:$R,Controle!$H:$H,produtos_escape2!$A2701,Controle!$Z:$Z,"5")</f>
        <v>0</v>
      </c>
      <c r="K2701" s="507">
        <f>SUMIFS(Controle!$R:$R,Controle!$H:$H,produtos_escape2!$A2701,Controle!$Z:$Z,"6")</f>
        <v>0</v>
      </c>
      <c r="L2701" s="507">
        <f t="shared" si="92"/>
        <v>0</v>
      </c>
    </row>
    <row r="2702" spans="1:13" s="84" customFormat="1" ht="14.25" customHeight="1" thickBot="1">
      <c r="A2702" s="353" t="s">
        <v>3834</v>
      </c>
      <c r="B2702" s="194" t="s">
        <v>3815</v>
      </c>
      <c r="C2702" s="339">
        <f t="shared" si="93"/>
        <v>50000</v>
      </c>
      <c r="D2702" s="196" t="s">
        <v>636</v>
      </c>
      <c r="E2702" s="197" t="s">
        <v>1687</v>
      </c>
      <c r="F2702" s="507">
        <f>SUMIFS(Controle!$R:$R,Controle!$H:$H,produtos_escape2!$A2702,Controle!$Z:$Z,"1")</f>
        <v>0</v>
      </c>
      <c r="G2702" s="507">
        <f>SUMIFS(Controle!$R:$R,Controle!$H:$H,produtos_escape2!$A2702,Controle!$Z:$Z,"2")</f>
        <v>0</v>
      </c>
      <c r="H2702" s="507">
        <f>SUMIFS(Controle!$R:$R,Controle!$H:$H,produtos_escape2!$A2702,Controle!$Z:$Z,"3")</f>
        <v>0</v>
      </c>
      <c r="I2702" s="507">
        <f>SUMIFS(Controle!$R:$R,Controle!$H:$H,produtos_escape2!$A2702,Controle!$Z:$Z,"4")</f>
        <v>0</v>
      </c>
      <c r="J2702" s="507">
        <f>SUMIFS(Controle!$R:$R,Controle!$H:$H,produtos_escape2!$A2702,Controle!$Z:$Z,"5")</f>
        <v>0</v>
      </c>
      <c r="K2702" s="507">
        <f>SUMIFS(Controle!$R:$R,Controle!$H:$H,produtos_escape2!$A2702,Controle!$Z:$Z,"6")</f>
        <v>0</v>
      </c>
      <c r="L2702" s="507">
        <f t="shared" si="92"/>
        <v>0</v>
      </c>
    </row>
    <row r="2703" spans="1:13" s="84" customFormat="1" ht="14.25" customHeight="1" thickBot="1">
      <c r="A2703" s="353" t="s">
        <v>7157</v>
      </c>
      <c r="B2703" s="194" t="s">
        <v>7159</v>
      </c>
      <c r="C2703" s="339">
        <f t="shared" si="93"/>
        <v>50000</v>
      </c>
      <c r="D2703" s="196" t="s">
        <v>550</v>
      </c>
      <c r="E2703" s="197" t="s">
        <v>3608</v>
      </c>
      <c r="F2703" s="507">
        <f>SUMIFS(Controle!$R:$R,Controle!$H:$H,produtos_escape2!$A2703,Controle!$Z:$Z,"1")</f>
        <v>0</v>
      </c>
      <c r="G2703" s="507">
        <f>SUMIFS(Controle!$R:$R,Controle!$H:$H,produtos_escape2!$A2703,Controle!$Z:$Z,"2")</f>
        <v>0</v>
      </c>
      <c r="H2703" s="507">
        <f>SUMIFS(Controle!$R:$R,Controle!$H:$H,produtos_escape2!$A2703,Controle!$Z:$Z,"3")</f>
        <v>0</v>
      </c>
      <c r="I2703" s="507">
        <f>SUMIFS(Controle!$R:$R,Controle!$H:$H,produtos_escape2!$A2703,Controle!$Z:$Z,"4")</f>
        <v>0</v>
      </c>
      <c r="J2703" s="507">
        <f>SUMIFS(Controle!$R:$R,Controle!$H:$H,produtos_escape2!$A2703,Controle!$Z:$Z,"5")</f>
        <v>0</v>
      </c>
      <c r="K2703" s="507">
        <f>SUMIFS(Controle!$R:$R,Controle!$H:$H,produtos_escape2!$A2703,Controle!$Z:$Z,"6")</f>
        <v>0</v>
      </c>
      <c r="L2703" s="507">
        <f t="shared" si="92"/>
        <v>0</v>
      </c>
      <c r="M2703" s="84" t="s">
        <v>7158</v>
      </c>
    </row>
    <row r="2704" spans="1:13" s="84" customFormat="1" ht="14.25" customHeight="1" thickBot="1">
      <c r="A2704" s="353" t="s">
        <v>3217</v>
      </c>
      <c r="B2704" s="194" t="s">
        <v>3291</v>
      </c>
      <c r="C2704" s="339">
        <f t="shared" si="93"/>
        <v>50000</v>
      </c>
      <c r="D2704" s="196" t="s">
        <v>636</v>
      </c>
      <c r="E2704" s="197" t="s">
        <v>1739</v>
      </c>
      <c r="F2704" s="507">
        <f>SUMIFS(Controle!$R:$R,Controle!$H:$H,produtos_escape2!$A2704,Controle!$Z:$Z,"1")</f>
        <v>0</v>
      </c>
      <c r="G2704" s="507">
        <f>SUMIFS(Controle!$R:$R,Controle!$H:$H,produtos_escape2!$A2704,Controle!$Z:$Z,"2")</f>
        <v>0</v>
      </c>
      <c r="H2704" s="507">
        <f>SUMIFS(Controle!$R:$R,Controle!$H:$H,produtos_escape2!$A2704,Controle!$Z:$Z,"3")</f>
        <v>0</v>
      </c>
      <c r="I2704" s="507">
        <f>SUMIFS(Controle!$R:$R,Controle!$H:$H,produtos_escape2!$A2704,Controle!$Z:$Z,"4")</f>
        <v>0</v>
      </c>
      <c r="J2704" s="507">
        <f>SUMIFS(Controle!$R:$R,Controle!$H:$H,produtos_escape2!$A2704,Controle!$Z:$Z,"5")</f>
        <v>0</v>
      </c>
      <c r="K2704" s="507">
        <f>SUMIFS(Controle!$R:$R,Controle!$H:$H,produtos_escape2!$A2704,Controle!$Z:$Z,"6")</f>
        <v>0</v>
      </c>
      <c r="L2704" s="507">
        <f t="shared" si="92"/>
        <v>0</v>
      </c>
    </row>
    <row r="2705" spans="1:12" s="84" customFormat="1" ht="14.25" customHeight="1" thickBot="1">
      <c r="A2705" s="353" t="s">
        <v>3218</v>
      </c>
      <c r="B2705" s="194" t="s">
        <v>3292</v>
      </c>
      <c r="C2705" s="339">
        <f t="shared" si="93"/>
        <v>50000</v>
      </c>
      <c r="D2705" s="196" t="s">
        <v>636</v>
      </c>
      <c r="E2705" s="197" t="s">
        <v>1739</v>
      </c>
      <c r="F2705" s="507">
        <f>SUMIFS(Controle!$R:$R,Controle!$H:$H,produtos_escape2!$A2705,Controle!$Z:$Z,"1")</f>
        <v>0</v>
      </c>
      <c r="G2705" s="507">
        <f>SUMIFS(Controle!$R:$R,Controle!$H:$H,produtos_escape2!$A2705,Controle!$Z:$Z,"2")</f>
        <v>0</v>
      </c>
      <c r="H2705" s="507">
        <f>SUMIFS(Controle!$R:$R,Controle!$H:$H,produtos_escape2!$A2705,Controle!$Z:$Z,"3")</f>
        <v>0</v>
      </c>
      <c r="I2705" s="507">
        <f>SUMIFS(Controle!$R:$R,Controle!$H:$H,produtos_escape2!$A2705,Controle!$Z:$Z,"4")</f>
        <v>0</v>
      </c>
      <c r="J2705" s="507">
        <f>SUMIFS(Controle!$R:$R,Controle!$H:$H,produtos_escape2!$A2705,Controle!$Z:$Z,"5")</f>
        <v>0</v>
      </c>
      <c r="K2705" s="507">
        <f>SUMIFS(Controle!$R:$R,Controle!$H:$H,produtos_escape2!$A2705,Controle!$Z:$Z,"6")</f>
        <v>0</v>
      </c>
      <c r="L2705" s="507">
        <f t="shared" si="92"/>
        <v>0</v>
      </c>
    </row>
    <row r="2706" spans="1:12" s="84" customFormat="1" ht="14.25" customHeight="1" thickBot="1">
      <c r="A2706" s="333" t="s">
        <v>3219</v>
      </c>
      <c r="B2706" s="194" t="s">
        <v>3293</v>
      </c>
      <c r="C2706" s="339">
        <f t="shared" si="93"/>
        <v>50000</v>
      </c>
      <c r="D2706" s="196" t="s">
        <v>636</v>
      </c>
      <c r="E2706" s="197" t="s">
        <v>1739</v>
      </c>
      <c r="F2706" s="507">
        <f>SUMIFS(Controle!$R:$R,Controle!$H:$H,produtos_escape2!$A2706,Controle!$Z:$Z,"1")</f>
        <v>0</v>
      </c>
      <c r="G2706" s="507">
        <f>SUMIFS(Controle!$R:$R,Controle!$H:$H,produtos_escape2!$A2706,Controle!$Z:$Z,"2")</f>
        <v>0</v>
      </c>
      <c r="H2706" s="507">
        <f>SUMIFS(Controle!$R:$R,Controle!$H:$H,produtos_escape2!$A2706,Controle!$Z:$Z,"3")</f>
        <v>0</v>
      </c>
      <c r="I2706" s="507">
        <f>SUMIFS(Controle!$R:$R,Controle!$H:$H,produtos_escape2!$A2706,Controle!$Z:$Z,"4")</f>
        <v>0</v>
      </c>
      <c r="J2706" s="507">
        <f>SUMIFS(Controle!$R:$R,Controle!$H:$H,produtos_escape2!$A2706,Controle!$Z:$Z,"5")</f>
        <v>0</v>
      </c>
      <c r="K2706" s="507">
        <f>SUMIFS(Controle!$R:$R,Controle!$H:$H,produtos_escape2!$A2706,Controle!$Z:$Z,"6")</f>
        <v>0</v>
      </c>
      <c r="L2706" s="507">
        <f t="shared" si="92"/>
        <v>0</v>
      </c>
    </row>
    <row r="2707" spans="1:12" s="84" customFormat="1" ht="14.25" customHeight="1" thickBot="1">
      <c r="A2707" s="353" t="s">
        <v>3220</v>
      </c>
      <c r="B2707" s="194" t="s">
        <v>3294</v>
      </c>
      <c r="C2707" s="339">
        <f t="shared" si="93"/>
        <v>50000</v>
      </c>
      <c r="D2707" s="196" t="s">
        <v>636</v>
      </c>
      <c r="E2707" s="197" t="s">
        <v>1739</v>
      </c>
      <c r="F2707" s="507">
        <f>SUMIFS(Controle!$R:$R,Controle!$H:$H,produtos_escape2!$A2707,Controle!$Z:$Z,"1")</f>
        <v>0</v>
      </c>
      <c r="G2707" s="507">
        <f>SUMIFS(Controle!$R:$R,Controle!$H:$H,produtos_escape2!$A2707,Controle!$Z:$Z,"2")</f>
        <v>0</v>
      </c>
      <c r="H2707" s="507">
        <f>SUMIFS(Controle!$R:$R,Controle!$H:$H,produtos_escape2!$A2707,Controle!$Z:$Z,"3")</f>
        <v>0</v>
      </c>
      <c r="I2707" s="507">
        <f>SUMIFS(Controle!$R:$R,Controle!$H:$H,produtos_escape2!$A2707,Controle!$Z:$Z,"4")</f>
        <v>0</v>
      </c>
      <c r="J2707" s="507">
        <f>SUMIFS(Controle!$R:$R,Controle!$H:$H,produtos_escape2!$A2707,Controle!$Z:$Z,"5")</f>
        <v>0</v>
      </c>
      <c r="K2707" s="507">
        <f>SUMIFS(Controle!$R:$R,Controle!$H:$H,produtos_escape2!$A2707,Controle!$Z:$Z,"6")</f>
        <v>0</v>
      </c>
      <c r="L2707" s="507">
        <f t="shared" si="92"/>
        <v>0</v>
      </c>
    </row>
    <row r="2708" spans="1:12" s="84" customFormat="1" ht="14.25" customHeight="1" thickBot="1">
      <c r="A2708" s="353" t="s">
        <v>3517</v>
      </c>
      <c r="B2708" s="194" t="s">
        <v>3518</v>
      </c>
      <c r="C2708" s="339">
        <f t="shared" si="93"/>
        <v>50000</v>
      </c>
      <c r="D2708" s="196" t="s">
        <v>636</v>
      </c>
      <c r="E2708" s="197" t="s">
        <v>1687</v>
      </c>
      <c r="F2708" s="507">
        <f>SUMIFS(Controle!$R:$R,Controle!$H:$H,produtos_escape2!$A2708,Controle!$Z:$Z,"1")</f>
        <v>0</v>
      </c>
      <c r="G2708" s="507">
        <f>SUMIFS(Controle!$R:$R,Controle!$H:$H,produtos_escape2!$A2708,Controle!$Z:$Z,"2")</f>
        <v>0</v>
      </c>
      <c r="H2708" s="507">
        <f>SUMIFS(Controle!$R:$R,Controle!$H:$H,produtos_escape2!$A2708,Controle!$Z:$Z,"3")</f>
        <v>0</v>
      </c>
      <c r="I2708" s="507">
        <f>SUMIFS(Controle!$R:$R,Controle!$H:$H,produtos_escape2!$A2708,Controle!$Z:$Z,"4")</f>
        <v>0</v>
      </c>
      <c r="J2708" s="507">
        <f>SUMIFS(Controle!$R:$R,Controle!$H:$H,produtos_escape2!$A2708,Controle!$Z:$Z,"5")</f>
        <v>0</v>
      </c>
      <c r="K2708" s="507">
        <f>SUMIFS(Controle!$R:$R,Controle!$H:$H,produtos_escape2!$A2708,Controle!$Z:$Z,"6")</f>
        <v>0</v>
      </c>
      <c r="L2708" s="507">
        <f t="shared" si="92"/>
        <v>0</v>
      </c>
    </row>
    <row r="2709" spans="1:12" s="84" customFormat="1" ht="14.25" customHeight="1" thickBot="1">
      <c r="A2709" s="353" t="s">
        <v>3221</v>
      </c>
      <c r="B2709" s="194" t="s">
        <v>3295</v>
      </c>
      <c r="C2709" s="339">
        <f t="shared" si="93"/>
        <v>50000</v>
      </c>
      <c r="D2709" s="196" t="s">
        <v>636</v>
      </c>
      <c r="E2709" s="197" t="s">
        <v>1687</v>
      </c>
      <c r="F2709" s="507">
        <f>SUMIFS(Controle!$R:$R,Controle!$H:$H,produtos_escape2!$A2709,Controle!$Z:$Z,"1")</f>
        <v>0</v>
      </c>
      <c r="G2709" s="507">
        <f>SUMIFS(Controle!$R:$R,Controle!$H:$H,produtos_escape2!$A2709,Controle!$Z:$Z,"2")</f>
        <v>0</v>
      </c>
      <c r="H2709" s="507">
        <f>SUMIFS(Controle!$R:$R,Controle!$H:$H,produtos_escape2!$A2709,Controle!$Z:$Z,"3")</f>
        <v>0</v>
      </c>
      <c r="I2709" s="507">
        <f>SUMIFS(Controle!$R:$R,Controle!$H:$H,produtos_escape2!$A2709,Controle!$Z:$Z,"4")</f>
        <v>0</v>
      </c>
      <c r="J2709" s="507">
        <f>SUMIFS(Controle!$R:$R,Controle!$H:$H,produtos_escape2!$A2709,Controle!$Z:$Z,"5")</f>
        <v>0</v>
      </c>
      <c r="K2709" s="507">
        <f>SUMIFS(Controle!$R:$R,Controle!$H:$H,produtos_escape2!$A2709,Controle!$Z:$Z,"6")</f>
        <v>0</v>
      </c>
      <c r="L2709" s="507">
        <f t="shared" si="92"/>
        <v>0</v>
      </c>
    </row>
    <row r="2710" spans="1:12" s="84" customFormat="1" ht="14.25" customHeight="1" thickBot="1">
      <c r="A2710" s="353" t="s">
        <v>3222</v>
      </c>
      <c r="B2710" s="338" t="s">
        <v>3296</v>
      </c>
      <c r="C2710" s="339">
        <f t="shared" si="93"/>
        <v>50000</v>
      </c>
      <c r="D2710" s="196" t="s">
        <v>636</v>
      </c>
      <c r="E2710" s="197" t="s">
        <v>1687</v>
      </c>
      <c r="F2710" s="507">
        <f>SUMIFS(Controle!$R:$R,Controle!$H:$H,produtos_escape2!$A2710,Controle!$Z:$Z,"1")</f>
        <v>0</v>
      </c>
      <c r="G2710" s="507">
        <f>SUMIFS(Controle!$R:$R,Controle!$H:$H,produtos_escape2!$A2710,Controle!$Z:$Z,"2")</f>
        <v>0</v>
      </c>
      <c r="H2710" s="507">
        <f>SUMIFS(Controle!$R:$R,Controle!$H:$H,produtos_escape2!$A2710,Controle!$Z:$Z,"3")</f>
        <v>0</v>
      </c>
      <c r="I2710" s="507">
        <f>SUMIFS(Controle!$R:$R,Controle!$H:$H,produtos_escape2!$A2710,Controle!$Z:$Z,"4")</f>
        <v>0</v>
      </c>
      <c r="J2710" s="507">
        <f>SUMIFS(Controle!$R:$R,Controle!$H:$H,produtos_escape2!$A2710,Controle!$Z:$Z,"5")</f>
        <v>0</v>
      </c>
      <c r="K2710" s="507">
        <f>SUMIFS(Controle!$R:$R,Controle!$H:$H,produtos_escape2!$A2710,Controle!$Z:$Z,"6")</f>
        <v>0</v>
      </c>
      <c r="L2710" s="507">
        <f t="shared" si="92"/>
        <v>0</v>
      </c>
    </row>
    <row r="2711" spans="1:12" s="84" customFormat="1" ht="14.25" customHeight="1" thickBot="1">
      <c r="A2711" s="353" t="s">
        <v>4115</v>
      </c>
      <c r="B2711" s="194" t="s">
        <v>4118</v>
      </c>
      <c r="C2711" s="339">
        <f t="shared" si="93"/>
        <v>50000</v>
      </c>
      <c r="D2711" s="196" t="s">
        <v>636</v>
      </c>
      <c r="E2711" s="197" t="s">
        <v>1687</v>
      </c>
      <c r="F2711" s="507">
        <f>SUMIFS(Controle!$R:$R,Controle!$H:$H,produtos_escape2!$A2711,Controle!$Z:$Z,"1")</f>
        <v>0</v>
      </c>
      <c r="G2711" s="507">
        <f>SUMIFS(Controle!$R:$R,Controle!$H:$H,produtos_escape2!$A2711,Controle!$Z:$Z,"2")</f>
        <v>0</v>
      </c>
      <c r="H2711" s="507">
        <f>SUMIFS(Controle!$R:$R,Controle!$H:$H,produtos_escape2!$A2711,Controle!$Z:$Z,"3")</f>
        <v>0</v>
      </c>
      <c r="I2711" s="507">
        <f>SUMIFS(Controle!$R:$R,Controle!$H:$H,produtos_escape2!$A2711,Controle!$Z:$Z,"4")</f>
        <v>0</v>
      </c>
      <c r="J2711" s="507">
        <f>SUMIFS(Controle!$R:$R,Controle!$H:$H,produtos_escape2!$A2711,Controle!$Z:$Z,"5")</f>
        <v>0</v>
      </c>
      <c r="K2711" s="507">
        <f>SUMIFS(Controle!$R:$R,Controle!$H:$H,produtos_escape2!$A2711,Controle!$Z:$Z,"6")</f>
        <v>0</v>
      </c>
      <c r="L2711" s="507">
        <f t="shared" si="92"/>
        <v>0</v>
      </c>
    </row>
    <row r="2712" spans="1:12" s="84" customFormat="1" ht="14.25" customHeight="1" thickBot="1">
      <c r="A2712" s="353" t="s">
        <v>4116</v>
      </c>
      <c r="B2712" s="194" t="s">
        <v>4120</v>
      </c>
      <c r="C2712" s="339">
        <f t="shared" si="93"/>
        <v>50000</v>
      </c>
      <c r="D2712" s="196" t="s">
        <v>636</v>
      </c>
      <c r="E2712" s="197" t="s">
        <v>1687</v>
      </c>
      <c r="F2712" s="507">
        <f>SUMIFS(Controle!$R:$R,Controle!$H:$H,produtos_escape2!$A2712,Controle!$Z:$Z,"1")</f>
        <v>0</v>
      </c>
      <c r="G2712" s="507">
        <f>SUMIFS(Controle!$R:$R,Controle!$H:$H,produtos_escape2!$A2712,Controle!$Z:$Z,"2")</f>
        <v>0</v>
      </c>
      <c r="H2712" s="507">
        <f>SUMIFS(Controle!$R:$R,Controle!$H:$H,produtos_escape2!$A2712,Controle!$Z:$Z,"3")</f>
        <v>0</v>
      </c>
      <c r="I2712" s="507">
        <f>SUMIFS(Controle!$R:$R,Controle!$H:$H,produtos_escape2!$A2712,Controle!$Z:$Z,"4")</f>
        <v>0</v>
      </c>
      <c r="J2712" s="507">
        <f>SUMIFS(Controle!$R:$R,Controle!$H:$H,produtos_escape2!$A2712,Controle!$Z:$Z,"5")</f>
        <v>0</v>
      </c>
      <c r="K2712" s="507">
        <f>SUMIFS(Controle!$R:$R,Controle!$H:$H,produtos_escape2!$A2712,Controle!$Z:$Z,"6")</f>
        <v>0</v>
      </c>
      <c r="L2712" s="507">
        <f t="shared" si="92"/>
        <v>0</v>
      </c>
    </row>
    <row r="2713" spans="1:12" s="84" customFormat="1" ht="14.25" customHeight="1" thickBot="1">
      <c r="A2713" s="353" t="s">
        <v>4117</v>
      </c>
      <c r="B2713" s="194" t="s">
        <v>4119</v>
      </c>
      <c r="C2713" s="339">
        <f t="shared" si="93"/>
        <v>50000</v>
      </c>
      <c r="D2713" s="196" t="s">
        <v>636</v>
      </c>
      <c r="E2713" s="197" t="s">
        <v>1687</v>
      </c>
      <c r="F2713" s="507">
        <f>SUMIFS(Controle!$R:$R,Controle!$H:$H,produtos_escape2!$A2713,Controle!$Z:$Z,"1")</f>
        <v>0</v>
      </c>
      <c r="G2713" s="507">
        <f>SUMIFS(Controle!$R:$R,Controle!$H:$H,produtos_escape2!$A2713,Controle!$Z:$Z,"2")</f>
        <v>0</v>
      </c>
      <c r="H2713" s="507">
        <f>SUMIFS(Controle!$R:$R,Controle!$H:$H,produtos_escape2!$A2713,Controle!$Z:$Z,"3")</f>
        <v>0</v>
      </c>
      <c r="I2713" s="507">
        <f>SUMIFS(Controle!$R:$R,Controle!$H:$H,produtos_escape2!$A2713,Controle!$Z:$Z,"4")</f>
        <v>0</v>
      </c>
      <c r="J2713" s="507">
        <f>SUMIFS(Controle!$R:$R,Controle!$H:$H,produtos_escape2!$A2713,Controle!$Z:$Z,"5")</f>
        <v>0</v>
      </c>
      <c r="K2713" s="507">
        <f>SUMIFS(Controle!$R:$R,Controle!$H:$H,produtos_escape2!$A2713,Controle!$Z:$Z,"6")</f>
        <v>0</v>
      </c>
      <c r="L2713" s="507">
        <f t="shared" si="92"/>
        <v>0</v>
      </c>
    </row>
    <row r="2714" spans="1:12" s="84" customFormat="1" ht="14.25" customHeight="1" thickBot="1">
      <c r="A2714" s="353" t="s">
        <v>7701</v>
      </c>
      <c r="B2714" s="194" t="s">
        <v>7702</v>
      </c>
      <c r="C2714" s="339">
        <f t="shared" si="93"/>
        <v>49700</v>
      </c>
      <c r="D2714" s="196" t="s">
        <v>636</v>
      </c>
      <c r="E2714" s="197" t="s">
        <v>1687</v>
      </c>
      <c r="F2714" s="507">
        <f>SUMIFS(Controle!$R:$R,Controle!$H:$H,produtos_escape2!$A2714,Controle!$Z:$Z,"1")</f>
        <v>0</v>
      </c>
      <c r="G2714" s="507">
        <f>SUMIFS(Controle!$R:$R,Controle!$H:$H,produtos_escape2!$A2714,Controle!$Z:$Z,"2")</f>
        <v>300</v>
      </c>
      <c r="H2714" s="507">
        <f>SUMIFS(Controle!$R:$R,Controle!$H:$H,produtos_escape2!$A2714,Controle!$Z:$Z,"3")</f>
        <v>0</v>
      </c>
      <c r="I2714" s="507">
        <f>SUMIFS(Controle!$R:$R,Controle!$H:$H,produtos_escape2!$A2714,Controle!$Z:$Z,"4")</f>
        <v>0</v>
      </c>
      <c r="J2714" s="507">
        <f>SUMIFS(Controle!$R:$R,Controle!$H:$H,produtos_escape2!$A2714,Controle!$Z:$Z,"5")</f>
        <v>0</v>
      </c>
      <c r="K2714" s="507">
        <f>SUMIFS(Controle!$R:$R,Controle!$H:$H,produtos_escape2!$A2714,Controle!$Z:$Z,"6")</f>
        <v>0</v>
      </c>
      <c r="L2714" s="507">
        <f t="shared" si="92"/>
        <v>300</v>
      </c>
    </row>
    <row r="2715" spans="1:12" s="84" customFormat="1" ht="14.25" customHeight="1" thickBot="1">
      <c r="A2715" s="353" t="s">
        <v>7024</v>
      </c>
      <c r="B2715" s="194" t="s">
        <v>7025</v>
      </c>
      <c r="C2715" s="339">
        <f t="shared" si="93"/>
        <v>50000</v>
      </c>
      <c r="D2715" s="196" t="s">
        <v>636</v>
      </c>
      <c r="E2715" s="197" t="s">
        <v>1687</v>
      </c>
      <c r="F2715" s="507">
        <f>SUMIFS(Controle!$R:$R,Controle!$H:$H,produtos_escape2!$A2715,Controle!$Z:$Z,"1")</f>
        <v>0</v>
      </c>
      <c r="G2715" s="507">
        <f>SUMIFS(Controle!$R:$R,Controle!$H:$H,produtos_escape2!$A2715,Controle!$Z:$Z,"2")</f>
        <v>0</v>
      </c>
      <c r="H2715" s="507">
        <f>SUMIFS(Controle!$R:$R,Controle!$H:$H,produtos_escape2!$A2715,Controle!$Z:$Z,"3")</f>
        <v>0</v>
      </c>
      <c r="I2715" s="507">
        <f>SUMIFS(Controle!$R:$R,Controle!$H:$H,produtos_escape2!$A2715,Controle!$Z:$Z,"4")</f>
        <v>0</v>
      </c>
      <c r="J2715" s="507">
        <f>SUMIFS(Controle!$R:$R,Controle!$H:$H,produtos_escape2!$A2715,Controle!$Z:$Z,"5")</f>
        <v>0</v>
      </c>
      <c r="K2715" s="507">
        <f>SUMIFS(Controle!$R:$R,Controle!$H:$H,produtos_escape2!$A2715,Controle!$Z:$Z,"6")</f>
        <v>0</v>
      </c>
      <c r="L2715" s="507">
        <f t="shared" si="92"/>
        <v>0</v>
      </c>
    </row>
    <row r="2716" spans="1:12" s="84" customFormat="1" ht="14.25" customHeight="1" thickBot="1">
      <c r="A2716" s="353" t="s">
        <v>7026</v>
      </c>
      <c r="B2716" s="194" t="s">
        <v>7028</v>
      </c>
      <c r="C2716" s="339">
        <f t="shared" si="93"/>
        <v>50000</v>
      </c>
      <c r="D2716" s="196" t="s">
        <v>636</v>
      </c>
      <c r="E2716" s="197" t="s">
        <v>1687</v>
      </c>
      <c r="F2716" s="507">
        <f>SUMIFS(Controle!$R:$R,Controle!$H:$H,produtos_escape2!$A2716,Controle!$Z:$Z,"1")</f>
        <v>0</v>
      </c>
      <c r="G2716" s="507">
        <f>SUMIFS(Controle!$R:$R,Controle!$H:$H,produtos_escape2!$A2716,Controle!$Z:$Z,"2")</f>
        <v>0</v>
      </c>
      <c r="H2716" s="507">
        <f>SUMIFS(Controle!$R:$R,Controle!$H:$H,produtos_escape2!$A2716,Controle!$Z:$Z,"3")</f>
        <v>0</v>
      </c>
      <c r="I2716" s="507">
        <f>SUMIFS(Controle!$R:$R,Controle!$H:$H,produtos_escape2!$A2716,Controle!$Z:$Z,"4")</f>
        <v>0</v>
      </c>
      <c r="J2716" s="507">
        <f>SUMIFS(Controle!$R:$R,Controle!$H:$H,produtos_escape2!$A2716,Controle!$Z:$Z,"5")</f>
        <v>0</v>
      </c>
      <c r="K2716" s="507">
        <f>SUMIFS(Controle!$R:$R,Controle!$H:$H,produtos_escape2!$A2716,Controle!$Z:$Z,"6")</f>
        <v>0</v>
      </c>
      <c r="L2716" s="507">
        <f t="shared" si="92"/>
        <v>0</v>
      </c>
    </row>
    <row r="2717" spans="1:12" s="84" customFormat="1" ht="14.25" customHeight="1" thickBot="1">
      <c r="A2717" s="353" t="s">
        <v>7027</v>
      </c>
      <c r="B2717" s="194" t="s">
        <v>7029</v>
      </c>
      <c r="C2717" s="339">
        <f t="shared" si="93"/>
        <v>50000</v>
      </c>
      <c r="D2717" s="196" t="s">
        <v>636</v>
      </c>
      <c r="E2717" s="197" t="s">
        <v>1687</v>
      </c>
      <c r="F2717" s="507">
        <f>SUMIFS(Controle!$R:$R,Controle!$H:$H,produtos_escape2!$A2717,Controle!$Z:$Z,"1")</f>
        <v>0</v>
      </c>
      <c r="G2717" s="507">
        <f>SUMIFS(Controle!$R:$R,Controle!$H:$H,produtos_escape2!$A2717,Controle!$Z:$Z,"2")</f>
        <v>0</v>
      </c>
      <c r="H2717" s="507">
        <f>SUMIFS(Controle!$R:$R,Controle!$H:$H,produtos_escape2!$A2717,Controle!$Z:$Z,"3")</f>
        <v>0</v>
      </c>
      <c r="I2717" s="507">
        <f>SUMIFS(Controle!$R:$R,Controle!$H:$H,produtos_escape2!$A2717,Controle!$Z:$Z,"4")</f>
        <v>0</v>
      </c>
      <c r="J2717" s="507">
        <f>SUMIFS(Controle!$R:$R,Controle!$H:$H,produtos_escape2!$A2717,Controle!$Z:$Z,"5")</f>
        <v>0</v>
      </c>
      <c r="K2717" s="507">
        <f>SUMIFS(Controle!$R:$R,Controle!$H:$H,produtos_escape2!$A2717,Controle!$Z:$Z,"6")</f>
        <v>0</v>
      </c>
      <c r="L2717" s="507">
        <f t="shared" si="92"/>
        <v>0</v>
      </c>
    </row>
    <row r="2718" spans="1:12" s="84" customFormat="1" ht="14.25" customHeight="1" thickBot="1">
      <c r="A2718" s="333" t="s">
        <v>3223</v>
      </c>
      <c r="B2718" s="194" t="s">
        <v>3297</v>
      </c>
      <c r="C2718" s="339">
        <f t="shared" si="93"/>
        <v>50000</v>
      </c>
      <c r="D2718" s="196" t="s">
        <v>636</v>
      </c>
      <c r="E2718" s="197" t="s">
        <v>1739</v>
      </c>
      <c r="F2718" s="507">
        <f>SUMIFS(Controle!$R:$R,Controle!$H:$H,produtos_escape2!$A2718,Controle!$Z:$Z,"1")</f>
        <v>0</v>
      </c>
      <c r="G2718" s="507">
        <f>SUMIFS(Controle!$R:$R,Controle!$H:$H,produtos_escape2!$A2718,Controle!$Z:$Z,"2")</f>
        <v>0</v>
      </c>
      <c r="H2718" s="507">
        <f>SUMIFS(Controle!$R:$R,Controle!$H:$H,produtos_escape2!$A2718,Controle!$Z:$Z,"3")</f>
        <v>0</v>
      </c>
      <c r="I2718" s="507">
        <f>SUMIFS(Controle!$R:$R,Controle!$H:$H,produtos_escape2!$A2718,Controle!$Z:$Z,"4")</f>
        <v>0</v>
      </c>
      <c r="J2718" s="507">
        <f>SUMIFS(Controle!$R:$R,Controle!$H:$H,produtos_escape2!$A2718,Controle!$Z:$Z,"5")</f>
        <v>0</v>
      </c>
      <c r="K2718" s="507">
        <f>SUMIFS(Controle!$R:$R,Controle!$H:$H,produtos_escape2!$A2718,Controle!$Z:$Z,"6")</f>
        <v>0</v>
      </c>
      <c r="L2718" s="507">
        <f t="shared" si="92"/>
        <v>0</v>
      </c>
    </row>
    <row r="2719" spans="1:12" s="84" customFormat="1" ht="14.25" customHeight="1" thickBot="1">
      <c r="A2719" s="353" t="s">
        <v>3224</v>
      </c>
      <c r="B2719" s="194" t="s">
        <v>3298</v>
      </c>
      <c r="C2719" s="339">
        <f t="shared" si="93"/>
        <v>50000</v>
      </c>
      <c r="D2719" s="191" t="s">
        <v>636</v>
      </c>
      <c r="E2719" s="172" t="s">
        <v>1739</v>
      </c>
      <c r="F2719" s="507">
        <f>SUMIFS(Controle!$R:$R,Controle!$H:$H,produtos_escape2!$A2719,Controle!$Z:$Z,"1")</f>
        <v>0</v>
      </c>
      <c r="G2719" s="507">
        <f>SUMIFS(Controle!$R:$R,Controle!$H:$H,produtos_escape2!$A2719,Controle!$Z:$Z,"2")</f>
        <v>0</v>
      </c>
      <c r="H2719" s="507">
        <f>SUMIFS(Controle!$R:$R,Controle!$H:$H,produtos_escape2!$A2719,Controle!$Z:$Z,"3")</f>
        <v>0</v>
      </c>
      <c r="I2719" s="507">
        <f>SUMIFS(Controle!$R:$R,Controle!$H:$H,produtos_escape2!$A2719,Controle!$Z:$Z,"4")</f>
        <v>0</v>
      </c>
      <c r="J2719" s="507">
        <f>SUMIFS(Controle!$R:$R,Controle!$H:$H,produtos_escape2!$A2719,Controle!$Z:$Z,"5")</f>
        <v>0</v>
      </c>
      <c r="K2719" s="507">
        <f>SUMIFS(Controle!$R:$R,Controle!$H:$H,produtos_escape2!$A2719,Controle!$Z:$Z,"6")</f>
        <v>0</v>
      </c>
      <c r="L2719" s="507">
        <f t="shared" si="92"/>
        <v>0</v>
      </c>
    </row>
    <row r="2720" spans="1:12" s="84" customFormat="1" ht="14.25" customHeight="1" thickBot="1">
      <c r="A2720" s="353" t="s">
        <v>7850</v>
      </c>
      <c r="B2720" s="194" t="s">
        <v>7851</v>
      </c>
      <c r="C2720" s="339">
        <f t="shared" si="93"/>
        <v>50000</v>
      </c>
      <c r="D2720" s="191" t="s">
        <v>636</v>
      </c>
      <c r="E2720" s="172" t="s">
        <v>1687</v>
      </c>
      <c r="F2720" s="507">
        <f>SUMIFS(Controle!$R:$R,Controle!$H:$H,produtos_escape2!$A2720,Controle!$Z:$Z,"1")</f>
        <v>0</v>
      </c>
      <c r="G2720" s="507">
        <f>SUMIFS(Controle!$R:$R,Controle!$H:$H,produtos_escape2!$A2720,Controle!$Z:$Z,"2")</f>
        <v>0</v>
      </c>
      <c r="H2720" s="507">
        <f>SUMIFS(Controle!$R:$R,Controle!$H:$H,produtos_escape2!$A2720,Controle!$Z:$Z,"3")</f>
        <v>0</v>
      </c>
      <c r="I2720" s="507">
        <f>SUMIFS(Controle!$R:$R,Controle!$H:$H,produtos_escape2!$A2720,Controle!$Z:$Z,"4")</f>
        <v>0</v>
      </c>
      <c r="J2720" s="507">
        <f>SUMIFS(Controle!$R:$R,Controle!$H:$H,produtos_escape2!$A2720,Controle!$Z:$Z,"5")</f>
        <v>0</v>
      </c>
      <c r="K2720" s="507">
        <f>SUMIFS(Controle!$R:$R,Controle!$H:$H,produtos_escape2!$A2720,Controle!$Z:$Z,"6")</f>
        <v>0</v>
      </c>
      <c r="L2720" s="507">
        <f t="shared" si="92"/>
        <v>0</v>
      </c>
    </row>
    <row r="2721" spans="1:12" s="84" customFormat="1" ht="14.25" customHeight="1" thickBot="1">
      <c r="A2721" s="353" t="s">
        <v>3231</v>
      </c>
      <c r="B2721" s="194" t="s">
        <v>2992</v>
      </c>
      <c r="C2721" s="339">
        <f t="shared" si="93"/>
        <v>50000</v>
      </c>
      <c r="D2721" s="196" t="s">
        <v>636</v>
      </c>
      <c r="E2721" s="197" t="s">
        <v>1739</v>
      </c>
      <c r="F2721" s="507">
        <f>SUMIFS(Controle!$R:$R,Controle!$H:$H,produtos_escape2!$A2721,Controle!$Z:$Z,"1")</f>
        <v>0</v>
      </c>
      <c r="G2721" s="507">
        <f>SUMIFS(Controle!$R:$R,Controle!$H:$H,produtos_escape2!$A2721,Controle!$Z:$Z,"2")</f>
        <v>0</v>
      </c>
      <c r="H2721" s="507">
        <f>SUMIFS(Controle!$R:$R,Controle!$H:$H,produtos_escape2!$A2721,Controle!$Z:$Z,"3")</f>
        <v>0</v>
      </c>
      <c r="I2721" s="507">
        <f>SUMIFS(Controle!$R:$R,Controle!$H:$H,produtos_escape2!$A2721,Controle!$Z:$Z,"4")</f>
        <v>0</v>
      </c>
      <c r="J2721" s="507">
        <f>SUMIFS(Controle!$R:$R,Controle!$H:$H,produtos_escape2!$A2721,Controle!$Z:$Z,"5")</f>
        <v>0</v>
      </c>
      <c r="K2721" s="507">
        <f>SUMIFS(Controle!$R:$R,Controle!$H:$H,produtos_escape2!$A2721,Controle!$Z:$Z,"6")</f>
        <v>0</v>
      </c>
      <c r="L2721" s="507">
        <f t="shared" si="92"/>
        <v>0</v>
      </c>
    </row>
    <row r="2722" spans="1:12" s="84" customFormat="1" ht="14.25" customHeight="1" thickBot="1">
      <c r="A2722" s="353" t="s">
        <v>3232</v>
      </c>
      <c r="B2722" s="194" t="s">
        <v>3299</v>
      </c>
      <c r="C2722" s="339">
        <f t="shared" si="93"/>
        <v>50000</v>
      </c>
      <c r="D2722" s="191" t="s">
        <v>636</v>
      </c>
      <c r="E2722" s="172" t="s">
        <v>1687</v>
      </c>
      <c r="F2722" s="507">
        <f>SUMIFS(Controle!$R:$R,Controle!$H:$H,produtos_escape2!$A2722,Controle!$Z:$Z,"1")</f>
        <v>0</v>
      </c>
      <c r="G2722" s="507">
        <f>SUMIFS(Controle!$R:$R,Controle!$H:$H,produtos_escape2!$A2722,Controle!$Z:$Z,"2")</f>
        <v>0</v>
      </c>
      <c r="H2722" s="507">
        <f>SUMIFS(Controle!$R:$R,Controle!$H:$H,produtos_escape2!$A2722,Controle!$Z:$Z,"3")</f>
        <v>0</v>
      </c>
      <c r="I2722" s="507">
        <f>SUMIFS(Controle!$R:$R,Controle!$H:$H,produtos_escape2!$A2722,Controle!$Z:$Z,"4")</f>
        <v>0</v>
      </c>
      <c r="J2722" s="507">
        <f>SUMIFS(Controle!$R:$R,Controle!$H:$H,produtos_escape2!$A2722,Controle!$Z:$Z,"5")</f>
        <v>0</v>
      </c>
      <c r="K2722" s="507">
        <f>SUMIFS(Controle!$R:$R,Controle!$H:$H,produtos_escape2!$A2722,Controle!$Z:$Z,"6")</f>
        <v>0</v>
      </c>
      <c r="L2722" s="507">
        <f t="shared" si="92"/>
        <v>0</v>
      </c>
    </row>
    <row r="2723" spans="1:12" s="84" customFormat="1" ht="14.25" customHeight="1" thickBot="1">
      <c r="A2723" s="353" t="s">
        <v>3233</v>
      </c>
      <c r="B2723" s="338" t="s">
        <v>3339</v>
      </c>
      <c r="C2723" s="339">
        <f t="shared" si="93"/>
        <v>50000</v>
      </c>
      <c r="D2723" s="191" t="s">
        <v>636</v>
      </c>
      <c r="E2723" s="172" t="s">
        <v>1687</v>
      </c>
      <c r="F2723" s="507">
        <f>SUMIFS(Controle!$R:$R,Controle!$H:$H,produtos_escape2!$A2723,Controle!$Z:$Z,"1")</f>
        <v>0</v>
      </c>
      <c r="G2723" s="507">
        <f>SUMIFS(Controle!$R:$R,Controle!$H:$H,produtos_escape2!$A2723,Controle!$Z:$Z,"2")</f>
        <v>0</v>
      </c>
      <c r="H2723" s="507">
        <f>SUMIFS(Controle!$R:$R,Controle!$H:$H,produtos_escape2!$A2723,Controle!$Z:$Z,"3")</f>
        <v>0</v>
      </c>
      <c r="I2723" s="507">
        <f>SUMIFS(Controle!$R:$R,Controle!$H:$H,produtos_escape2!$A2723,Controle!$Z:$Z,"4")</f>
        <v>0</v>
      </c>
      <c r="J2723" s="507">
        <f>SUMIFS(Controle!$R:$R,Controle!$H:$H,produtos_escape2!$A2723,Controle!$Z:$Z,"5")</f>
        <v>0</v>
      </c>
      <c r="K2723" s="507">
        <f>SUMIFS(Controle!$R:$R,Controle!$H:$H,produtos_escape2!$A2723,Controle!$Z:$Z,"6")</f>
        <v>0</v>
      </c>
      <c r="L2723" s="507">
        <f t="shared" si="92"/>
        <v>0</v>
      </c>
    </row>
    <row r="2724" spans="1:12" s="84" customFormat="1" ht="14.25" customHeight="1" thickBot="1">
      <c r="A2724" s="353" t="s">
        <v>8593</v>
      </c>
      <c r="B2724" s="338" t="s">
        <v>8595</v>
      </c>
      <c r="C2724" s="339">
        <f t="shared" si="93"/>
        <v>50000</v>
      </c>
      <c r="D2724" s="191" t="s">
        <v>636</v>
      </c>
      <c r="E2724" s="172" t="s">
        <v>1687</v>
      </c>
      <c r="F2724" s="507">
        <f>SUMIFS(Controle!$R:$R,Controle!$H:$H,produtos_escape2!$A2724,Controle!$Z:$Z,"1")</f>
        <v>0</v>
      </c>
      <c r="G2724" s="507">
        <f>SUMIFS(Controle!$R:$R,Controle!$H:$H,produtos_escape2!$A2724,Controle!$Z:$Z,"2")</f>
        <v>0</v>
      </c>
      <c r="H2724" s="507">
        <f>SUMIFS(Controle!$R:$R,Controle!$H:$H,produtos_escape2!$A2724,Controle!$Z:$Z,"3")</f>
        <v>0</v>
      </c>
      <c r="I2724" s="507">
        <f>SUMIFS(Controle!$R:$R,Controle!$H:$H,produtos_escape2!$A2724,Controle!$Z:$Z,"4")</f>
        <v>0</v>
      </c>
      <c r="J2724" s="507">
        <f>SUMIFS(Controle!$R:$R,Controle!$H:$H,produtos_escape2!$A2724,Controle!$Z:$Z,"5")</f>
        <v>0</v>
      </c>
      <c r="K2724" s="507">
        <f>SUMIFS(Controle!$R:$R,Controle!$H:$H,produtos_escape2!$A2724,Controle!$Z:$Z,"6")</f>
        <v>0</v>
      </c>
      <c r="L2724" s="507">
        <f t="shared" si="92"/>
        <v>0</v>
      </c>
    </row>
    <row r="2725" spans="1:12" s="84" customFormat="1" ht="14.25" customHeight="1" thickBot="1">
      <c r="A2725" s="353" t="s">
        <v>3225</v>
      </c>
      <c r="B2725" s="194" t="s">
        <v>3300</v>
      </c>
      <c r="C2725" s="339">
        <f t="shared" si="93"/>
        <v>50000</v>
      </c>
      <c r="D2725" s="191" t="s">
        <v>636</v>
      </c>
      <c r="E2725" s="172" t="s">
        <v>1687</v>
      </c>
      <c r="F2725" s="507">
        <f>SUMIFS(Controle!$R:$R,Controle!$H:$H,produtos_escape2!$A2725,Controle!$Z:$Z,"1")</f>
        <v>0</v>
      </c>
      <c r="G2725" s="507">
        <f>SUMIFS(Controle!$R:$R,Controle!$H:$H,produtos_escape2!$A2725,Controle!$Z:$Z,"2")</f>
        <v>0</v>
      </c>
      <c r="H2725" s="507">
        <f>SUMIFS(Controle!$R:$R,Controle!$H:$H,produtos_escape2!$A2725,Controle!$Z:$Z,"3")</f>
        <v>0</v>
      </c>
      <c r="I2725" s="507">
        <f>SUMIFS(Controle!$R:$R,Controle!$H:$H,produtos_escape2!$A2725,Controle!$Z:$Z,"4")</f>
        <v>0</v>
      </c>
      <c r="J2725" s="507">
        <f>SUMIFS(Controle!$R:$R,Controle!$H:$H,produtos_escape2!$A2725,Controle!$Z:$Z,"5")</f>
        <v>0</v>
      </c>
      <c r="K2725" s="507">
        <f>SUMIFS(Controle!$R:$R,Controle!$H:$H,produtos_escape2!$A2725,Controle!$Z:$Z,"6")</f>
        <v>0</v>
      </c>
      <c r="L2725" s="507">
        <f t="shared" si="92"/>
        <v>0</v>
      </c>
    </row>
    <row r="2726" spans="1:12" s="84" customFormat="1" ht="14.25" customHeight="1" thickBot="1">
      <c r="A2726" s="353" t="s">
        <v>3226</v>
      </c>
      <c r="B2726" s="194" t="s">
        <v>3301</v>
      </c>
      <c r="C2726" s="339">
        <f t="shared" si="93"/>
        <v>50000</v>
      </c>
      <c r="D2726" s="191" t="s">
        <v>636</v>
      </c>
      <c r="E2726" s="172" t="s">
        <v>1687</v>
      </c>
      <c r="F2726" s="507">
        <f>SUMIFS(Controle!$R:$R,Controle!$H:$H,produtos_escape2!$A2726,Controle!$Z:$Z,"1")</f>
        <v>0</v>
      </c>
      <c r="G2726" s="507">
        <f>SUMIFS(Controle!$R:$R,Controle!$H:$H,produtos_escape2!$A2726,Controle!$Z:$Z,"2")</f>
        <v>0</v>
      </c>
      <c r="H2726" s="507">
        <f>SUMIFS(Controle!$R:$R,Controle!$H:$H,produtos_escape2!$A2726,Controle!$Z:$Z,"3")</f>
        <v>0</v>
      </c>
      <c r="I2726" s="507">
        <f>SUMIFS(Controle!$R:$R,Controle!$H:$H,produtos_escape2!$A2726,Controle!$Z:$Z,"4")</f>
        <v>0</v>
      </c>
      <c r="J2726" s="507">
        <f>SUMIFS(Controle!$R:$R,Controle!$H:$H,produtos_escape2!$A2726,Controle!$Z:$Z,"5")</f>
        <v>0</v>
      </c>
      <c r="K2726" s="507">
        <f>SUMIFS(Controle!$R:$R,Controle!$H:$H,produtos_escape2!$A2726,Controle!$Z:$Z,"6")</f>
        <v>0</v>
      </c>
      <c r="L2726" s="507">
        <f t="shared" si="92"/>
        <v>0</v>
      </c>
    </row>
    <row r="2727" spans="1:12" s="84" customFormat="1" ht="14.25" customHeight="1" thickBot="1">
      <c r="A2727" s="353" t="s">
        <v>3227</v>
      </c>
      <c r="B2727" s="194" t="s">
        <v>3302</v>
      </c>
      <c r="C2727" s="339">
        <f t="shared" si="93"/>
        <v>50000</v>
      </c>
      <c r="D2727" s="191" t="s">
        <v>636</v>
      </c>
      <c r="E2727" s="172" t="s">
        <v>1687</v>
      </c>
      <c r="F2727" s="507">
        <f>SUMIFS(Controle!$R:$R,Controle!$H:$H,produtos_escape2!$A2727,Controle!$Z:$Z,"1")</f>
        <v>0</v>
      </c>
      <c r="G2727" s="507">
        <f>SUMIFS(Controle!$R:$R,Controle!$H:$H,produtos_escape2!$A2727,Controle!$Z:$Z,"2")</f>
        <v>0</v>
      </c>
      <c r="H2727" s="507">
        <f>SUMIFS(Controle!$R:$R,Controle!$H:$H,produtos_escape2!$A2727,Controle!$Z:$Z,"3")</f>
        <v>0</v>
      </c>
      <c r="I2727" s="507">
        <f>SUMIFS(Controle!$R:$R,Controle!$H:$H,produtos_escape2!$A2727,Controle!$Z:$Z,"4")</f>
        <v>0</v>
      </c>
      <c r="J2727" s="507">
        <f>SUMIFS(Controle!$R:$R,Controle!$H:$H,produtos_escape2!$A2727,Controle!$Z:$Z,"5")</f>
        <v>0</v>
      </c>
      <c r="K2727" s="507">
        <f>SUMIFS(Controle!$R:$R,Controle!$H:$H,produtos_escape2!$A2727,Controle!$Z:$Z,"6")</f>
        <v>0</v>
      </c>
      <c r="L2727" s="507">
        <f t="shared" si="92"/>
        <v>0</v>
      </c>
    </row>
    <row r="2728" spans="1:12" s="84" customFormat="1" ht="14.25" customHeight="1" thickBot="1">
      <c r="A2728" s="333" t="s">
        <v>3228</v>
      </c>
      <c r="B2728" s="194" t="s">
        <v>3303</v>
      </c>
      <c r="C2728" s="339">
        <f t="shared" si="93"/>
        <v>50000</v>
      </c>
      <c r="D2728" s="191" t="s">
        <v>636</v>
      </c>
      <c r="E2728" s="172" t="s">
        <v>1687</v>
      </c>
      <c r="F2728" s="507">
        <f>SUMIFS(Controle!$R:$R,Controle!$H:$H,produtos_escape2!$A2728,Controle!$Z:$Z,"1")</f>
        <v>0</v>
      </c>
      <c r="G2728" s="507">
        <f>SUMIFS(Controle!$R:$R,Controle!$H:$H,produtos_escape2!$A2728,Controle!$Z:$Z,"2")</f>
        <v>0</v>
      </c>
      <c r="H2728" s="507">
        <f>SUMIFS(Controle!$R:$R,Controle!$H:$H,produtos_escape2!$A2728,Controle!$Z:$Z,"3")</f>
        <v>0</v>
      </c>
      <c r="I2728" s="507">
        <f>SUMIFS(Controle!$R:$R,Controle!$H:$H,produtos_escape2!$A2728,Controle!$Z:$Z,"4")</f>
        <v>0</v>
      </c>
      <c r="J2728" s="507">
        <f>SUMIFS(Controle!$R:$R,Controle!$H:$H,produtos_escape2!$A2728,Controle!$Z:$Z,"5")</f>
        <v>0</v>
      </c>
      <c r="K2728" s="507">
        <f>SUMIFS(Controle!$R:$R,Controle!$H:$H,produtos_escape2!$A2728,Controle!$Z:$Z,"6")</f>
        <v>0</v>
      </c>
      <c r="L2728" s="507">
        <f t="shared" si="92"/>
        <v>0</v>
      </c>
    </row>
    <row r="2729" spans="1:12" s="84" customFormat="1" ht="14.25" customHeight="1" thickBot="1">
      <c r="A2729" s="353" t="s">
        <v>3229</v>
      </c>
      <c r="B2729" s="194" t="s">
        <v>3230</v>
      </c>
      <c r="C2729" s="339">
        <f t="shared" si="93"/>
        <v>50000</v>
      </c>
      <c r="D2729" s="196" t="s">
        <v>636</v>
      </c>
      <c r="E2729" s="172" t="s">
        <v>1687</v>
      </c>
      <c r="F2729" s="507">
        <f>SUMIFS(Controle!$R:$R,Controle!$H:$H,produtos_escape2!$A2729,Controle!$Z:$Z,"1")</f>
        <v>0</v>
      </c>
      <c r="G2729" s="507">
        <f>SUMIFS(Controle!$R:$R,Controle!$H:$H,produtos_escape2!$A2729,Controle!$Z:$Z,"2")</f>
        <v>0</v>
      </c>
      <c r="H2729" s="507">
        <f>SUMIFS(Controle!$R:$R,Controle!$H:$H,produtos_escape2!$A2729,Controle!$Z:$Z,"3")</f>
        <v>0</v>
      </c>
      <c r="I2729" s="507">
        <f>SUMIFS(Controle!$R:$R,Controle!$H:$H,produtos_escape2!$A2729,Controle!$Z:$Z,"4")</f>
        <v>0</v>
      </c>
      <c r="J2729" s="507">
        <f>SUMIFS(Controle!$R:$R,Controle!$H:$H,produtos_escape2!$A2729,Controle!$Z:$Z,"5")</f>
        <v>0</v>
      </c>
      <c r="K2729" s="507">
        <f>SUMIFS(Controle!$R:$R,Controle!$H:$H,produtos_escape2!$A2729,Controle!$Z:$Z,"6")</f>
        <v>0</v>
      </c>
      <c r="L2729" s="507">
        <f t="shared" si="92"/>
        <v>0</v>
      </c>
    </row>
    <row r="2730" spans="1:12" s="84" customFormat="1" ht="14.25" customHeight="1" thickBot="1">
      <c r="A2730" s="353" t="s">
        <v>3685</v>
      </c>
      <c r="B2730" s="194" t="s">
        <v>3686</v>
      </c>
      <c r="C2730" s="339">
        <f t="shared" si="93"/>
        <v>50000</v>
      </c>
      <c r="D2730" s="196" t="s">
        <v>636</v>
      </c>
      <c r="E2730" s="172" t="s">
        <v>1687</v>
      </c>
      <c r="F2730" s="507">
        <f>SUMIFS(Controle!$R:$R,Controle!$H:$H,produtos_escape2!$A2730,Controle!$Z:$Z,"1")</f>
        <v>0</v>
      </c>
      <c r="G2730" s="507">
        <f>SUMIFS(Controle!$R:$R,Controle!$H:$H,produtos_escape2!$A2730,Controle!$Z:$Z,"2")</f>
        <v>0</v>
      </c>
      <c r="H2730" s="507">
        <f>SUMIFS(Controle!$R:$R,Controle!$H:$H,produtos_escape2!$A2730,Controle!$Z:$Z,"3")</f>
        <v>0</v>
      </c>
      <c r="I2730" s="507">
        <f>SUMIFS(Controle!$R:$R,Controle!$H:$H,produtos_escape2!$A2730,Controle!$Z:$Z,"4")</f>
        <v>0</v>
      </c>
      <c r="J2730" s="507">
        <f>SUMIFS(Controle!$R:$R,Controle!$H:$H,produtos_escape2!$A2730,Controle!$Z:$Z,"5")</f>
        <v>0</v>
      </c>
      <c r="K2730" s="507">
        <f>SUMIFS(Controle!$R:$R,Controle!$H:$H,produtos_escape2!$A2730,Controle!$Z:$Z,"6")</f>
        <v>0</v>
      </c>
      <c r="L2730" s="507">
        <f t="shared" si="92"/>
        <v>0</v>
      </c>
    </row>
    <row r="2731" spans="1:12" s="84" customFormat="1" ht="14.25" customHeight="1" thickBot="1">
      <c r="A2731" s="353" t="s">
        <v>7775</v>
      </c>
      <c r="B2731" s="194" t="s">
        <v>7776</v>
      </c>
      <c r="C2731" s="339">
        <f t="shared" ref="C2731:C2733" si="94">50000-SUM(F2731:K2731)</f>
        <v>50000</v>
      </c>
      <c r="D2731" s="196" t="s">
        <v>636</v>
      </c>
      <c r="E2731" s="172" t="s">
        <v>1687</v>
      </c>
      <c r="F2731" s="507">
        <f>SUMIFS(Controle!$R:$R,Controle!$H:$H,produtos_escape2!$A2731,Controle!$Z:$Z,"1")</f>
        <v>0</v>
      </c>
      <c r="G2731" s="507">
        <f>SUMIFS(Controle!$R:$R,Controle!$H:$H,produtos_escape2!$A2731,Controle!$Z:$Z,"2")</f>
        <v>0</v>
      </c>
      <c r="H2731" s="507">
        <f>SUMIFS(Controle!$R:$R,Controle!$H:$H,produtos_escape2!$A2731,Controle!$Z:$Z,"3")</f>
        <v>0</v>
      </c>
      <c r="I2731" s="507">
        <f>SUMIFS(Controle!$R:$R,Controle!$H:$H,produtos_escape2!$A2731,Controle!$Z:$Z,"4")</f>
        <v>0</v>
      </c>
      <c r="J2731" s="507">
        <f>SUMIFS(Controle!$R:$R,Controle!$H:$H,produtos_escape2!$A2731,Controle!$Z:$Z,"5")</f>
        <v>0</v>
      </c>
      <c r="K2731" s="507">
        <f>SUMIFS(Controle!$R:$R,Controle!$H:$H,produtos_escape2!$A2731,Controle!$Z:$Z,"6")</f>
        <v>0</v>
      </c>
      <c r="L2731" s="507">
        <f t="shared" si="92"/>
        <v>0</v>
      </c>
    </row>
    <row r="2732" spans="1:12" s="84" customFormat="1" ht="14.25" customHeight="1" thickBot="1">
      <c r="A2732" s="353" t="s">
        <v>10449</v>
      </c>
      <c r="B2732" s="194" t="s">
        <v>10452</v>
      </c>
      <c r="C2732" s="339">
        <f t="shared" si="94"/>
        <v>50000</v>
      </c>
      <c r="D2732" s="196" t="s">
        <v>636</v>
      </c>
      <c r="E2732" s="172" t="s">
        <v>1687</v>
      </c>
      <c r="F2732" s="507">
        <f>SUMIFS(Controle!$R:$R,Controle!$H:$H,produtos_escape2!$A2732,Controle!$Z:$Z,"1")</f>
        <v>0</v>
      </c>
      <c r="G2732" s="507">
        <f>SUMIFS(Controle!$R:$R,Controle!$H:$H,produtos_escape2!$A2732,Controle!$Z:$Z,"2")</f>
        <v>0</v>
      </c>
      <c r="H2732" s="507">
        <f>SUMIFS(Controle!$R:$R,Controle!$H:$H,produtos_escape2!$A2732,Controle!$Z:$Z,"3")</f>
        <v>0</v>
      </c>
      <c r="I2732" s="507">
        <f>SUMIFS(Controle!$R:$R,Controle!$H:$H,produtos_escape2!$A2732,Controle!$Z:$Z,"4")</f>
        <v>0</v>
      </c>
      <c r="J2732" s="507">
        <f>SUMIFS(Controle!$R:$R,Controle!$H:$H,produtos_escape2!$A2732,Controle!$Z:$Z,"5")</f>
        <v>0</v>
      </c>
      <c r="K2732" s="507">
        <f>SUMIFS(Controle!$R:$R,Controle!$H:$H,produtos_escape2!$A2732,Controle!$Z:$Z,"6")</f>
        <v>0</v>
      </c>
      <c r="L2732" s="507">
        <f t="shared" si="92"/>
        <v>0</v>
      </c>
    </row>
    <row r="2733" spans="1:12" s="84" customFormat="1" ht="14.25" customHeight="1" thickBot="1">
      <c r="A2733" s="353" t="s">
        <v>10450</v>
      </c>
      <c r="B2733" s="194" t="s">
        <v>10453</v>
      </c>
      <c r="C2733" s="339">
        <f t="shared" si="94"/>
        <v>50000</v>
      </c>
      <c r="D2733" s="196" t="s">
        <v>636</v>
      </c>
      <c r="E2733" s="172" t="s">
        <v>1687</v>
      </c>
      <c r="F2733" s="507">
        <f>SUMIFS(Controle!$R:$R,Controle!$H:$H,produtos_escape2!$A2733,Controle!$Z:$Z,"1")</f>
        <v>0</v>
      </c>
      <c r="G2733" s="507">
        <f>SUMIFS(Controle!$R:$R,Controle!$H:$H,produtos_escape2!$A2733,Controle!$Z:$Z,"2")</f>
        <v>0</v>
      </c>
      <c r="H2733" s="507">
        <f>SUMIFS(Controle!$R:$R,Controle!$H:$H,produtos_escape2!$A2733,Controle!$Z:$Z,"3")</f>
        <v>0</v>
      </c>
      <c r="I2733" s="507">
        <f>SUMIFS(Controle!$R:$R,Controle!$H:$H,produtos_escape2!$A2733,Controle!$Z:$Z,"4")</f>
        <v>0</v>
      </c>
      <c r="J2733" s="507">
        <f>SUMIFS(Controle!$R:$R,Controle!$H:$H,produtos_escape2!$A2733,Controle!$Z:$Z,"5")</f>
        <v>0</v>
      </c>
      <c r="K2733" s="507">
        <f>SUMIFS(Controle!$R:$R,Controle!$H:$H,produtos_escape2!$A2733,Controle!$Z:$Z,"6")</f>
        <v>0</v>
      </c>
      <c r="L2733" s="507">
        <f t="shared" si="92"/>
        <v>0</v>
      </c>
    </row>
    <row r="2734" spans="1:12" s="84" customFormat="1" ht="14.25" customHeight="1" thickBot="1">
      <c r="A2734" s="353" t="s">
        <v>10451</v>
      </c>
      <c r="B2734" s="194" t="s">
        <v>10454</v>
      </c>
      <c r="C2734" s="339">
        <f t="shared" si="93"/>
        <v>50000</v>
      </c>
      <c r="D2734" s="196" t="s">
        <v>636</v>
      </c>
      <c r="E2734" s="172" t="s">
        <v>1687</v>
      </c>
      <c r="F2734" s="507">
        <f>SUMIFS(Controle!$R:$R,Controle!$H:$H,produtos_escape2!$A2734,Controle!$Z:$Z,"1")</f>
        <v>0</v>
      </c>
      <c r="G2734" s="507">
        <f>SUMIFS(Controle!$R:$R,Controle!$H:$H,produtos_escape2!$A2734,Controle!$Z:$Z,"2")</f>
        <v>0</v>
      </c>
      <c r="H2734" s="507">
        <f>SUMIFS(Controle!$R:$R,Controle!$H:$H,produtos_escape2!$A2734,Controle!$Z:$Z,"3")</f>
        <v>0</v>
      </c>
      <c r="I2734" s="507">
        <f>SUMIFS(Controle!$R:$R,Controle!$H:$H,produtos_escape2!$A2734,Controle!$Z:$Z,"4")</f>
        <v>0</v>
      </c>
      <c r="J2734" s="507">
        <f>SUMIFS(Controle!$R:$R,Controle!$H:$H,produtos_escape2!$A2734,Controle!$Z:$Z,"5")</f>
        <v>0</v>
      </c>
      <c r="K2734" s="507">
        <f>SUMIFS(Controle!$R:$R,Controle!$H:$H,produtos_escape2!$A2734,Controle!$Z:$Z,"6")</f>
        <v>0</v>
      </c>
      <c r="L2734" s="507">
        <f t="shared" si="92"/>
        <v>0</v>
      </c>
    </row>
    <row r="2735" spans="1:12" s="84" customFormat="1" ht="14.25" customHeight="1" thickBot="1">
      <c r="A2735" s="353" t="s">
        <v>7853</v>
      </c>
      <c r="B2735" s="194" t="s">
        <v>7854</v>
      </c>
      <c r="C2735" s="339">
        <f t="shared" si="93"/>
        <v>42565</v>
      </c>
      <c r="D2735" s="196" t="s">
        <v>636</v>
      </c>
      <c r="E2735" s="172" t="s">
        <v>1687</v>
      </c>
      <c r="F2735" s="507">
        <f>SUMIFS(Controle!$R:$R,Controle!$H:$H,produtos_escape2!$A2735,Controle!$Z:$Z,"1")</f>
        <v>0</v>
      </c>
      <c r="G2735" s="507">
        <f>SUMIFS(Controle!$R:$R,Controle!$H:$H,produtos_escape2!$A2735,Controle!$Z:$Z,"2")</f>
        <v>0</v>
      </c>
      <c r="H2735" s="507">
        <f>SUMIFS(Controle!$R:$R,Controle!$H:$H,produtos_escape2!$A2735,Controle!$Z:$Z,"3")</f>
        <v>816</v>
      </c>
      <c r="I2735" s="507">
        <f>SUMIFS(Controle!$R:$R,Controle!$H:$H,produtos_escape2!$A2735,Controle!$Z:$Z,"4")</f>
        <v>0</v>
      </c>
      <c r="J2735" s="507">
        <f>SUMIFS(Controle!$R:$R,Controle!$H:$H,produtos_escape2!$A2735,Controle!$Z:$Z,"5")</f>
        <v>0</v>
      </c>
      <c r="K2735" s="507">
        <f>SUMIFS(Controle!$R:$R,Controle!$H:$H,produtos_escape2!$A2735,Controle!$Z:$Z,"6")</f>
        <v>6619</v>
      </c>
      <c r="L2735" s="507">
        <f t="shared" si="92"/>
        <v>7435</v>
      </c>
    </row>
    <row r="2736" spans="1:12" s="84" customFormat="1" ht="14.25" customHeight="1" thickBot="1">
      <c r="A2736" s="353" t="s">
        <v>8602</v>
      </c>
      <c r="B2736" s="194" t="s">
        <v>8603</v>
      </c>
      <c r="C2736" s="339">
        <f t="shared" si="93"/>
        <v>50000</v>
      </c>
      <c r="D2736" s="196" t="s">
        <v>636</v>
      </c>
      <c r="E2736" s="172" t="s">
        <v>1687</v>
      </c>
      <c r="F2736" s="507">
        <f>SUMIFS(Controle!$R:$R,Controle!$H:$H,produtos_escape2!$A2736,Controle!$Z:$Z,"1")</f>
        <v>0</v>
      </c>
      <c r="G2736" s="507">
        <f>SUMIFS(Controle!$R:$R,Controle!$H:$H,produtos_escape2!$A2736,Controle!$Z:$Z,"2")</f>
        <v>0</v>
      </c>
      <c r="H2736" s="507">
        <f>SUMIFS(Controle!$R:$R,Controle!$H:$H,produtos_escape2!$A2736,Controle!$Z:$Z,"3")</f>
        <v>0</v>
      </c>
      <c r="I2736" s="507">
        <f>SUMIFS(Controle!$R:$R,Controle!$H:$H,produtos_escape2!$A2736,Controle!$Z:$Z,"4")</f>
        <v>0</v>
      </c>
      <c r="J2736" s="507">
        <f>SUMIFS(Controle!$R:$R,Controle!$H:$H,produtos_escape2!$A2736,Controle!$Z:$Z,"5")</f>
        <v>0</v>
      </c>
      <c r="K2736" s="507">
        <f>SUMIFS(Controle!$R:$R,Controle!$H:$H,produtos_escape2!$A2736,Controle!$Z:$Z,"6")</f>
        <v>0</v>
      </c>
      <c r="L2736" s="507">
        <f t="shared" si="92"/>
        <v>0</v>
      </c>
    </row>
    <row r="2737" spans="1:12" s="84" customFormat="1" ht="14.25" customHeight="1" thickBot="1">
      <c r="A2737" s="353" t="s">
        <v>8614</v>
      </c>
      <c r="B2737" s="194" t="s">
        <v>8615</v>
      </c>
      <c r="C2737" s="339">
        <f t="shared" si="93"/>
        <v>46002.96</v>
      </c>
      <c r="D2737" s="196" t="s">
        <v>636</v>
      </c>
      <c r="E2737" s="172" t="s">
        <v>1687</v>
      </c>
      <c r="F2737" s="507">
        <f>SUMIFS(Controle!$R:$R,Controle!$H:$H,produtos_escape2!$A2737,Controle!$Z:$Z,"1")</f>
        <v>0</v>
      </c>
      <c r="G2737" s="507">
        <f>SUMIFS(Controle!$R:$R,Controle!$H:$H,produtos_escape2!$A2737,Controle!$Z:$Z,"2")</f>
        <v>0</v>
      </c>
      <c r="H2737" s="507">
        <f>SUMIFS(Controle!$R:$R,Controle!$H:$H,produtos_escape2!$A2737,Controle!$Z:$Z,"3")</f>
        <v>0</v>
      </c>
      <c r="I2737" s="507">
        <f>SUMIFS(Controle!$R:$R,Controle!$H:$H,produtos_escape2!$A2737,Controle!$Z:$Z,"4")</f>
        <v>3997.04</v>
      </c>
      <c r="J2737" s="507">
        <f>SUMIFS(Controle!$R:$R,Controle!$H:$H,produtos_escape2!$A2737,Controle!$Z:$Z,"5")</f>
        <v>0</v>
      </c>
      <c r="K2737" s="507">
        <f>SUMIFS(Controle!$R:$R,Controle!$H:$H,produtos_escape2!$A2737,Controle!$Z:$Z,"6")</f>
        <v>0</v>
      </c>
      <c r="L2737" s="507">
        <f t="shared" si="92"/>
        <v>3997.04</v>
      </c>
    </row>
    <row r="2738" spans="1:12" s="84" customFormat="1" ht="14.25" customHeight="1" thickBot="1">
      <c r="A2738" s="353" t="s">
        <v>8645</v>
      </c>
      <c r="B2738" s="194" t="s">
        <v>8642</v>
      </c>
      <c r="C2738" s="339">
        <f t="shared" si="93"/>
        <v>44416.41</v>
      </c>
      <c r="D2738" s="196" t="s">
        <v>636</v>
      </c>
      <c r="E2738" s="172" t="s">
        <v>1687</v>
      </c>
      <c r="F2738" s="507">
        <f>SUMIFS(Controle!$R:$R,Controle!$H:$H,produtos_escape2!$A2738,Controle!$Z:$Z,"1")</f>
        <v>0</v>
      </c>
      <c r="G2738" s="507">
        <f>SUMIFS(Controle!$R:$R,Controle!$H:$H,produtos_escape2!$A2738,Controle!$Z:$Z,"2")</f>
        <v>0</v>
      </c>
      <c r="H2738" s="507">
        <f>SUMIFS(Controle!$R:$R,Controle!$H:$H,produtos_escape2!$A2738,Controle!$Z:$Z,"3")</f>
        <v>0</v>
      </c>
      <c r="I2738" s="507">
        <f>SUMIFS(Controle!$R:$R,Controle!$H:$H,produtos_escape2!$A2738,Controle!$Z:$Z,"4")</f>
        <v>0</v>
      </c>
      <c r="J2738" s="507">
        <f>SUMIFS(Controle!$R:$R,Controle!$H:$H,produtos_escape2!$A2738,Controle!$Z:$Z,"5")</f>
        <v>5583.59</v>
      </c>
      <c r="K2738" s="507">
        <f>SUMIFS(Controle!$R:$R,Controle!$H:$H,produtos_escape2!$A2738,Controle!$Z:$Z,"6")</f>
        <v>0</v>
      </c>
      <c r="L2738" s="507">
        <f t="shared" si="92"/>
        <v>5583.59</v>
      </c>
    </row>
    <row r="2739" spans="1:12" s="84" customFormat="1" ht="14.25" customHeight="1" thickBot="1">
      <c r="A2739" s="353" t="s">
        <v>8646</v>
      </c>
      <c r="B2739" s="194" t="s">
        <v>8643</v>
      </c>
      <c r="C2739" s="339">
        <f t="shared" si="93"/>
        <v>44416.94</v>
      </c>
      <c r="D2739" s="196" t="s">
        <v>636</v>
      </c>
      <c r="E2739" s="172" t="s">
        <v>1687</v>
      </c>
      <c r="F2739" s="507">
        <f>SUMIFS(Controle!$R:$R,Controle!$H:$H,produtos_escape2!$A2739,Controle!$Z:$Z,"1")</f>
        <v>0</v>
      </c>
      <c r="G2739" s="507">
        <f>SUMIFS(Controle!$R:$R,Controle!$H:$H,produtos_escape2!$A2739,Controle!$Z:$Z,"2")</f>
        <v>0</v>
      </c>
      <c r="H2739" s="507">
        <f>SUMIFS(Controle!$R:$R,Controle!$H:$H,produtos_escape2!$A2739,Controle!$Z:$Z,"3")</f>
        <v>0</v>
      </c>
      <c r="I2739" s="507">
        <f>SUMIFS(Controle!$R:$R,Controle!$H:$H,produtos_escape2!$A2739,Controle!$Z:$Z,"4")</f>
        <v>0</v>
      </c>
      <c r="J2739" s="507">
        <f>SUMIFS(Controle!$R:$R,Controle!$H:$H,produtos_escape2!$A2739,Controle!$Z:$Z,"5")</f>
        <v>5583.06</v>
      </c>
      <c r="K2739" s="507">
        <f>SUMIFS(Controle!$R:$R,Controle!$H:$H,produtos_escape2!$A2739,Controle!$Z:$Z,"6")</f>
        <v>0</v>
      </c>
      <c r="L2739" s="507">
        <f t="shared" si="92"/>
        <v>5583.06</v>
      </c>
    </row>
    <row r="2740" spans="1:12" s="84" customFormat="1" ht="14.25" customHeight="1" thickBot="1">
      <c r="A2740" s="353" t="s">
        <v>8647</v>
      </c>
      <c r="B2740" s="194" t="s">
        <v>8644</v>
      </c>
      <c r="C2740" s="339">
        <f t="shared" si="93"/>
        <v>44416.41</v>
      </c>
      <c r="D2740" s="196" t="s">
        <v>636</v>
      </c>
      <c r="E2740" s="172" t="s">
        <v>1687</v>
      </c>
      <c r="F2740" s="507">
        <f>SUMIFS(Controle!$R:$R,Controle!$H:$H,produtos_escape2!$A2740,Controle!$Z:$Z,"1")</f>
        <v>0</v>
      </c>
      <c r="G2740" s="507">
        <f>SUMIFS(Controle!$R:$R,Controle!$H:$H,produtos_escape2!$A2740,Controle!$Z:$Z,"2")</f>
        <v>0</v>
      </c>
      <c r="H2740" s="507">
        <f>SUMIFS(Controle!$R:$R,Controle!$H:$H,produtos_escape2!$A2740,Controle!$Z:$Z,"3")</f>
        <v>0</v>
      </c>
      <c r="I2740" s="507">
        <f>SUMIFS(Controle!$R:$R,Controle!$H:$H,produtos_escape2!$A2740,Controle!$Z:$Z,"4")</f>
        <v>0</v>
      </c>
      <c r="J2740" s="507">
        <f>SUMIFS(Controle!$R:$R,Controle!$H:$H,produtos_escape2!$A2740,Controle!$Z:$Z,"5")</f>
        <v>5583.59</v>
      </c>
      <c r="K2740" s="507">
        <f>SUMIFS(Controle!$R:$R,Controle!$H:$H,produtos_escape2!$A2740,Controle!$Z:$Z,"6")</f>
        <v>0</v>
      </c>
      <c r="L2740" s="507">
        <f t="shared" si="92"/>
        <v>5583.59</v>
      </c>
    </row>
    <row r="2741" spans="1:12" s="84" customFormat="1" ht="14.25" customHeight="1" thickBot="1">
      <c r="A2741" s="353" t="s">
        <v>3237</v>
      </c>
      <c r="B2741" s="194" t="s">
        <v>2984</v>
      </c>
      <c r="C2741" s="339">
        <f t="shared" si="93"/>
        <v>50000</v>
      </c>
      <c r="D2741" s="191" t="s">
        <v>636</v>
      </c>
      <c r="E2741" s="172" t="s">
        <v>1687</v>
      </c>
      <c r="F2741" s="507">
        <f>SUMIFS(Controle!$R:$R,Controle!$H:$H,produtos_escape2!$A2741,Controle!$Z:$Z,"1")</f>
        <v>0</v>
      </c>
      <c r="G2741" s="507">
        <f>SUMIFS(Controle!$R:$R,Controle!$H:$H,produtos_escape2!$A2741,Controle!$Z:$Z,"2")</f>
        <v>0</v>
      </c>
      <c r="H2741" s="507">
        <f>SUMIFS(Controle!$R:$R,Controle!$H:$H,produtos_escape2!$A2741,Controle!$Z:$Z,"3")</f>
        <v>0</v>
      </c>
      <c r="I2741" s="507">
        <f>SUMIFS(Controle!$R:$R,Controle!$H:$H,produtos_escape2!$A2741,Controle!$Z:$Z,"4")</f>
        <v>0</v>
      </c>
      <c r="J2741" s="507">
        <f>SUMIFS(Controle!$R:$R,Controle!$H:$H,produtos_escape2!$A2741,Controle!$Z:$Z,"5")</f>
        <v>0</v>
      </c>
      <c r="K2741" s="507">
        <f>SUMIFS(Controle!$R:$R,Controle!$H:$H,produtos_escape2!$A2741,Controle!$Z:$Z,"6")</f>
        <v>0</v>
      </c>
      <c r="L2741" s="507">
        <f t="shared" si="92"/>
        <v>0</v>
      </c>
    </row>
    <row r="2742" spans="1:12" s="84" customFormat="1" ht="14.25" customHeight="1" thickBot="1">
      <c r="A2742" s="353" t="s">
        <v>3238</v>
      </c>
      <c r="B2742" s="338" t="s">
        <v>2985</v>
      </c>
      <c r="C2742" s="339">
        <f t="shared" si="93"/>
        <v>50000</v>
      </c>
      <c r="D2742" s="191" t="s">
        <v>636</v>
      </c>
      <c r="E2742" s="172" t="s">
        <v>1687</v>
      </c>
      <c r="F2742" s="507">
        <f>SUMIFS(Controle!$R:$R,Controle!$H:$H,produtos_escape2!$A2742,Controle!$Z:$Z,"1")</f>
        <v>0</v>
      </c>
      <c r="G2742" s="507">
        <f>SUMIFS(Controle!$R:$R,Controle!$H:$H,produtos_escape2!$A2742,Controle!$Z:$Z,"2")</f>
        <v>0</v>
      </c>
      <c r="H2742" s="507">
        <f>SUMIFS(Controle!$R:$R,Controle!$H:$H,produtos_escape2!$A2742,Controle!$Z:$Z,"3")</f>
        <v>0</v>
      </c>
      <c r="I2742" s="507">
        <f>SUMIFS(Controle!$R:$R,Controle!$H:$H,produtos_escape2!$A2742,Controle!$Z:$Z,"4")</f>
        <v>0</v>
      </c>
      <c r="J2742" s="507">
        <f>SUMIFS(Controle!$R:$R,Controle!$H:$H,produtos_escape2!$A2742,Controle!$Z:$Z,"5")</f>
        <v>0</v>
      </c>
      <c r="K2742" s="507">
        <f>SUMIFS(Controle!$R:$R,Controle!$H:$H,produtos_escape2!$A2742,Controle!$Z:$Z,"6")</f>
        <v>0</v>
      </c>
      <c r="L2742" s="507">
        <f t="shared" si="92"/>
        <v>0</v>
      </c>
    </row>
    <row r="2743" spans="1:12" s="84" customFormat="1" ht="14.25" customHeight="1" thickBot="1">
      <c r="A2743" s="353" t="s">
        <v>3239</v>
      </c>
      <c r="B2743" s="194" t="s">
        <v>2986</v>
      </c>
      <c r="C2743" s="339">
        <f t="shared" si="93"/>
        <v>50000</v>
      </c>
      <c r="D2743" s="191" t="s">
        <v>636</v>
      </c>
      <c r="E2743" s="172" t="s">
        <v>1687</v>
      </c>
      <c r="F2743" s="507">
        <f>SUMIFS(Controle!$R:$R,Controle!$H:$H,produtos_escape2!$A2743,Controle!$Z:$Z,"1")</f>
        <v>0</v>
      </c>
      <c r="G2743" s="507">
        <f>SUMIFS(Controle!$R:$R,Controle!$H:$H,produtos_escape2!$A2743,Controle!$Z:$Z,"2")</f>
        <v>0</v>
      </c>
      <c r="H2743" s="507">
        <f>SUMIFS(Controle!$R:$R,Controle!$H:$H,produtos_escape2!$A2743,Controle!$Z:$Z,"3")</f>
        <v>0</v>
      </c>
      <c r="I2743" s="507">
        <f>SUMIFS(Controle!$R:$R,Controle!$H:$H,produtos_escape2!$A2743,Controle!$Z:$Z,"4")</f>
        <v>0</v>
      </c>
      <c r="J2743" s="507">
        <f>SUMIFS(Controle!$R:$R,Controle!$H:$H,produtos_escape2!$A2743,Controle!$Z:$Z,"5")</f>
        <v>0</v>
      </c>
      <c r="K2743" s="507">
        <f>SUMIFS(Controle!$R:$R,Controle!$H:$H,produtos_escape2!$A2743,Controle!$Z:$Z,"6")</f>
        <v>0</v>
      </c>
      <c r="L2743" s="507">
        <f t="shared" si="92"/>
        <v>0</v>
      </c>
    </row>
    <row r="2744" spans="1:12" s="84" customFormat="1" ht="14.25" customHeight="1" thickBot="1">
      <c r="A2744" s="353" t="s">
        <v>3240</v>
      </c>
      <c r="B2744" s="194" t="s">
        <v>2988</v>
      </c>
      <c r="C2744" s="339">
        <f t="shared" si="93"/>
        <v>50000</v>
      </c>
      <c r="D2744" s="191" t="s">
        <v>636</v>
      </c>
      <c r="E2744" s="172" t="s">
        <v>1687</v>
      </c>
      <c r="F2744" s="507">
        <f>SUMIFS(Controle!$R:$R,Controle!$H:$H,produtos_escape2!$A2744,Controle!$Z:$Z,"1")</f>
        <v>0</v>
      </c>
      <c r="G2744" s="507">
        <f>SUMIFS(Controle!$R:$R,Controle!$H:$H,produtos_escape2!$A2744,Controle!$Z:$Z,"2")</f>
        <v>0</v>
      </c>
      <c r="H2744" s="507">
        <f>SUMIFS(Controle!$R:$R,Controle!$H:$H,produtos_escape2!$A2744,Controle!$Z:$Z,"3")</f>
        <v>0</v>
      </c>
      <c r="I2744" s="507">
        <f>SUMIFS(Controle!$R:$R,Controle!$H:$H,produtos_escape2!$A2744,Controle!$Z:$Z,"4")</f>
        <v>0</v>
      </c>
      <c r="J2744" s="507">
        <f>SUMIFS(Controle!$R:$R,Controle!$H:$H,produtos_escape2!$A2744,Controle!$Z:$Z,"5")</f>
        <v>0</v>
      </c>
      <c r="K2744" s="507">
        <f>SUMIFS(Controle!$R:$R,Controle!$H:$H,produtos_escape2!$A2744,Controle!$Z:$Z,"6")</f>
        <v>0</v>
      </c>
      <c r="L2744" s="507">
        <f t="shared" si="92"/>
        <v>0</v>
      </c>
    </row>
    <row r="2745" spans="1:12" s="84" customFormat="1" ht="14.25" customHeight="1" thickBot="1">
      <c r="A2745" s="353" t="s">
        <v>3241</v>
      </c>
      <c r="B2745" s="194" t="s">
        <v>2987</v>
      </c>
      <c r="C2745" s="339">
        <f t="shared" si="93"/>
        <v>50000</v>
      </c>
      <c r="D2745" s="191" t="s">
        <v>636</v>
      </c>
      <c r="E2745" s="172" t="s">
        <v>1687</v>
      </c>
      <c r="F2745" s="507">
        <f>SUMIFS(Controle!$R:$R,Controle!$H:$H,produtos_escape2!$A2745,Controle!$Z:$Z,"1")</f>
        <v>0</v>
      </c>
      <c r="G2745" s="507">
        <f>SUMIFS(Controle!$R:$R,Controle!$H:$H,produtos_escape2!$A2745,Controle!$Z:$Z,"2")</f>
        <v>0</v>
      </c>
      <c r="H2745" s="507">
        <f>SUMIFS(Controle!$R:$R,Controle!$H:$H,produtos_escape2!$A2745,Controle!$Z:$Z,"3")</f>
        <v>0</v>
      </c>
      <c r="I2745" s="507">
        <f>SUMIFS(Controle!$R:$R,Controle!$H:$H,produtos_escape2!$A2745,Controle!$Z:$Z,"4")</f>
        <v>0</v>
      </c>
      <c r="J2745" s="507">
        <f>SUMIFS(Controle!$R:$R,Controle!$H:$H,produtos_escape2!$A2745,Controle!$Z:$Z,"5")</f>
        <v>0</v>
      </c>
      <c r="K2745" s="507">
        <f>SUMIFS(Controle!$R:$R,Controle!$H:$H,produtos_escape2!$A2745,Controle!$Z:$Z,"6")</f>
        <v>0</v>
      </c>
      <c r="L2745" s="507">
        <f t="shared" si="92"/>
        <v>0</v>
      </c>
    </row>
    <row r="2746" spans="1:12" s="84" customFormat="1" ht="14.25" customHeight="1" thickBot="1">
      <c r="A2746" s="333" t="s">
        <v>5871</v>
      </c>
      <c r="B2746" s="194" t="s">
        <v>5870</v>
      </c>
      <c r="C2746" s="339">
        <f t="shared" si="93"/>
        <v>50000</v>
      </c>
      <c r="D2746" s="191" t="s">
        <v>636</v>
      </c>
      <c r="E2746" s="172" t="s">
        <v>1687</v>
      </c>
      <c r="F2746" s="507">
        <f>SUMIFS(Controle!$R:$R,Controle!$H:$H,produtos_escape2!$A2746,Controle!$Z:$Z,"1")</f>
        <v>0</v>
      </c>
      <c r="G2746" s="507">
        <f>SUMIFS(Controle!$R:$R,Controle!$H:$H,produtos_escape2!$A2746,Controle!$Z:$Z,"2")</f>
        <v>0</v>
      </c>
      <c r="H2746" s="507">
        <f>SUMIFS(Controle!$R:$R,Controle!$H:$H,produtos_escape2!$A2746,Controle!$Z:$Z,"3")</f>
        <v>0</v>
      </c>
      <c r="I2746" s="507">
        <f>SUMIFS(Controle!$R:$R,Controle!$H:$H,produtos_escape2!$A2746,Controle!$Z:$Z,"4")</f>
        <v>0</v>
      </c>
      <c r="J2746" s="507">
        <f>SUMIFS(Controle!$R:$R,Controle!$H:$H,produtos_escape2!$A2746,Controle!$Z:$Z,"5")</f>
        <v>0</v>
      </c>
      <c r="K2746" s="507">
        <f>SUMIFS(Controle!$R:$R,Controle!$H:$H,produtos_escape2!$A2746,Controle!$Z:$Z,"6")</f>
        <v>0</v>
      </c>
      <c r="L2746" s="507">
        <f t="shared" si="92"/>
        <v>0</v>
      </c>
    </row>
    <row r="2747" spans="1:12" s="84" customFormat="1" ht="14.25" customHeight="1" thickBot="1">
      <c r="A2747" s="353" t="s">
        <v>5872</v>
      </c>
      <c r="B2747" s="194" t="s">
        <v>5875</v>
      </c>
      <c r="C2747" s="339">
        <f t="shared" si="93"/>
        <v>50000</v>
      </c>
      <c r="D2747" s="191" t="s">
        <v>636</v>
      </c>
      <c r="E2747" s="172" t="s">
        <v>1687</v>
      </c>
      <c r="F2747" s="507">
        <f>SUMIFS(Controle!$R:$R,Controle!$H:$H,produtos_escape2!$A2747,Controle!$Z:$Z,"1")</f>
        <v>0</v>
      </c>
      <c r="G2747" s="507">
        <f>SUMIFS(Controle!$R:$R,Controle!$H:$H,produtos_escape2!$A2747,Controle!$Z:$Z,"2")</f>
        <v>0</v>
      </c>
      <c r="H2747" s="507">
        <f>SUMIFS(Controle!$R:$R,Controle!$H:$H,produtos_escape2!$A2747,Controle!$Z:$Z,"3")</f>
        <v>0</v>
      </c>
      <c r="I2747" s="507">
        <f>SUMIFS(Controle!$R:$R,Controle!$H:$H,produtos_escape2!$A2747,Controle!$Z:$Z,"4")</f>
        <v>0</v>
      </c>
      <c r="J2747" s="507">
        <f>SUMIFS(Controle!$R:$R,Controle!$H:$H,produtos_escape2!$A2747,Controle!$Z:$Z,"5")</f>
        <v>0</v>
      </c>
      <c r="K2747" s="507">
        <f>SUMIFS(Controle!$R:$R,Controle!$H:$H,produtos_escape2!$A2747,Controle!$Z:$Z,"6")</f>
        <v>0</v>
      </c>
      <c r="L2747" s="507">
        <f t="shared" si="92"/>
        <v>0</v>
      </c>
    </row>
    <row r="2748" spans="1:12" s="84" customFormat="1" ht="14.25" customHeight="1" thickBot="1">
      <c r="A2748" s="353" t="s">
        <v>5873</v>
      </c>
      <c r="B2748" s="194" t="s">
        <v>5876</v>
      </c>
      <c r="C2748" s="339">
        <f t="shared" si="93"/>
        <v>50000</v>
      </c>
      <c r="D2748" s="191" t="s">
        <v>636</v>
      </c>
      <c r="E2748" s="172" t="s">
        <v>1687</v>
      </c>
      <c r="F2748" s="507">
        <f>SUMIFS(Controle!$R:$R,Controle!$H:$H,produtos_escape2!$A2748,Controle!$Z:$Z,"1")</f>
        <v>0</v>
      </c>
      <c r="G2748" s="507">
        <f>SUMIFS(Controle!$R:$R,Controle!$H:$H,produtos_escape2!$A2748,Controle!$Z:$Z,"2")</f>
        <v>0</v>
      </c>
      <c r="H2748" s="507">
        <f>SUMIFS(Controle!$R:$R,Controle!$H:$H,produtos_escape2!$A2748,Controle!$Z:$Z,"3")</f>
        <v>0</v>
      </c>
      <c r="I2748" s="507">
        <f>SUMIFS(Controle!$R:$R,Controle!$H:$H,produtos_escape2!$A2748,Controle!$Z:$Z,"4")</f>
        <v>0</v>
      </c>
      <c r="J2748" s="507">
        <f>SUMIFS(Controle!$R:$R,Controle!$H:$H,produtos_escape2!$A2748,Controle!$Z:$Z,"5")</f>
        <v>0</v>
      </c>
      <c r="K2748" s="507">
        <f>SUMIFS(Controle!$R:$R,Controle!$H:$H,produtos_escape2!$A2748,Controle!$Z:$Z,"6")</f>
        <v>0</v>
      </c>
      <c r="L2748" s="507">
        <f t="shared" si="92"/>
        <v>0</v>
      </c>
    </row>
    <row r="2749" spans="1:12" s="84" customFormat="1" ht="14.25" customHeight="1" thickBot="1">
      <c r="A2749" s="353" t="s">
        <v>5874</v>
      </c>
      <c r="B2749" s="194" t="s">
        <v>5877</v>
      </c>
      <c r="C2749" s="339">
        <f t="shared" si="93"/>
        <v>50000</v>
      </c>
      <c r="D2749" s="191" t="s">
        <v>636</v>
      </c>
      <c r="E2749" s="172" t="s">
        <v>1687</v>
      </c>
      <c r="F2749" s="507">
        <f>SUMIFS(Controle!$R:$R,Controle!$H:$H,produtos_escape2!$A2749,Controle!$Z:$Z,"1")</f>
        <v>0</v>
      </c>
      <c r="G2749" s="507">
        <f>SUMIFS(Controle!$R:$R,Controle!$H:$H,produtos_escape2!$A2749,Controle!$Z:$Z,"2")</f>
        <v>0</v>
      </c>
      <c r="H2749" s="507">
        <f>SUMIFS(Controle!$R:$R,Controle!$H:$H,produtos_escape2!$A2749,Controle!$Z:$Z,"3")</f>
        <v>0</v>
      </c>
      <c r="I2749" s="507">
        <f>SUMIFS(Controle!$R:$R,Controle!$H:$H,produtos_escape2!$A2749,Controle!$Z:$Z,"4")</f>
        <v>0</v>
      </c>
      <c r="J2749" s="507">
        <f>SUMIFS(Controle!$R:$R,Controle!$H:$H,produtos_escape2!$A2749,Controle!$Z:$Z,"5")</f>
        <v>0</v>
      </c>
      <c r="K2749" s="507">
        <f>SUMIFS(Controle!$R:$R,Controle!$H:$H,produtos_escape2!$A2749,Controle!$Z:$Z,"6")</f>
        <v>0</v>
      </c>
      <c r="L2749" s="507">
        <f t="shared" si="92"/>
        <v>0</v>
      </c>
    </row>
    <row r="2750" spans="1:12" s="84" customFormat="1" ht="14.25" customHeight="1" thickBot="1">
      <c r="A2750" s="353" t="s">
        <v>6970</v>
      </c>
      <c r="B2750" s="194" t="s">
        <v>6971</v>
      </c>
      <c r="C2750" s="339">
        <f t="shared" si="93"/>
        <v>50000</v>
      </c>
      <c r="D2750" s="191" t="s">
        <v>636</v>
      </c>
      <c r="E2750" s="172" t="s">
        <v>1687</v>
      </c>
      <c r="F2750" s="507">
        <f>SUMIFS(Controle!$R:$R,Controle!$H:$H,produtos_escape2!$A2750,Controle!$Z:$Z,"1")</f>
        <v>0</v>
      </c>
      <c r="G2750" s="507">
        <f>SUMIFS(Controle!$R:$R,Controle!$H:$H,produtos_escape2!$A2750,Controle!$Z:$Z,"2")</f>
        <v>0</v>
      </c>
      <c r="H2750" s="507">
        <f>SUMIFS(Controle!$R:$R,Controle!$H:$H,produtos_escape2!$A2750,Controle!$Z:$Z,"3")</f>
        <v>0</v>
      </c>
      <c r="I2750" s="507">
        <f>SUMIFS(Controle!$R:$R,Controle!$H:$H,produtos_escape2!$A2750,Controle!$Z:$Z,"4")</f>
        <v>0</v>
      </c>
      <c r="J2750" s="507">
        <f>SUMIFS(Controle!$R:$R,Controle!$H:$H,produtos_escape2!$A2750,Controle!$Z:$Z,"5")</f>
        <v>0</v>
      </c>
      <c r="K2750" s="507">
        <f>SUMIFS(Controle!$R:$R,Controle!$H:$H,produtos_escape2!$A2750,Controle!$Z:$Z,"6")</f>
        <v>0</v>
      </c>
      <c r="L2750" s="507">
        <f t="shared" si="92"/>
        <v>0</v>
      </c>
    </row>
    <row r="2751" spans="1:12" s="84" customFormat="1" ht="14.25" customHeight="1" thickBot="1">
      <c r="A2751" s="353" t="s">
        <v>6972</v>
      </c>
      <c r="B2751" s="194" t="s">
        <v>6973</v>
      </c>
      <c r="C2751" s="339">
        <f t="shared" si="93"/>
        <v>50000</v>
      </c>
      <c r="D2751" s="191" t="s">
        <v>636</v>
      </c>
      <c r="E2751" s="172" t="s">
        <v>1687</v>
      </c>
      <c r="F2751" s="507">
        <f>SUMIFS(Controle!$R:$R,Controle!$H:$H,produtos_escape2!$A2751,Controle!$Z:$Z,"1")</f>
        <v>0</v>
      </c>
      <c r="G2751" s="507">
        <f>SUMIFS(Controle!$R:$R,Controle!$H:$H,produtos_escape2!$A2751,Controle!$Z:$Z,"2")</f>
        <v>0</v>
      </c>
      <c r="H2751" s="507">
        <f>SUMIFS(Controle!$R:$R,Controle!$H:$H,produtos_escape2!$A2751,Controle!$Z:$Z,"3")</f>
        <v>0</v>
      </c>
      <c r="I2751" s="507">
        <f>SUMIFS(Controle!$R:$R,Controle!$H:$H,produtos_escape2!$A2751,Controle!$Z:$Z,"4")</f>
        <v>0</v>
      </c>
      <c r="J2751" s="507">
        <f>SUMIFS(Controle!$R:$R,Controle!$H:$H,produtos_escape2!$A2751,Controle!$Z:$Z,"5")</f>
        <v>0</v>
      </c>
      <c r="K2751" s="507">
        <f>SUMIFS(Controle!$R:$R,Controle!$H:$H,produtos_escape2!$A2751,Controle!$Z:$Z,"6")</f>
        <v>0</v>
      </c>
      <c r="L2751" s="507">
        <f t="shared" ref="L2751:L2793" si="95">SUM(F2751:K2751)</f>
        <v>0</v>
      </c>
    </row>
    <row r="2752" spans="1:12" s="84" customFormat="1" ht="14.25" customHeight="1" thickBot="1">
      <c r="A2752" s="353" t="s">
        <v>6974</v>
      </c>
      <c r="B2752" s="194" t="s">
        <v>6975</v>
      </c>
      <c r="C2752" s="339">
        <f t="shared" si="93"/>
        <v>50000</v>
      </c>
      <c r="D2752" s="191" t="s">
        <v>636</v>
      </c>
      <c r="E2752" s="172" t="s">
        <v>1687</v>
      </c>
      <c r="F2752" s="507">
        <f>SUMIFS(Controle!$R:$R,Controle!$H:$H,produtos_escape2!$A2752,Controle!$Z:$Z,"1")</f>
        <v>0</v>
      </c>
      <c r="G2752" s="507">
        <f>SUMIFS(Controle!$R:$R,Controle!$H:$H,produtos_escape2!$A2752,Controle!$Z:$Z,"2")</f>
        <v>0</v>
      </c>
      <c r="H2752" s="507">
        <f>SUMIFS(Controle!$R:$R,Controle!$H:$H,produtos_escape2!$A2752,Controle!$Z:$Z,"3")</f>
        <v>0</v>
      </c>
      <c r="I2752" s="507">
        <f>SUMIFS(Controle!$R:$R,Controle!$H:$H,produtos_escape2!$A2752,Controle!$Z:$Z,"4")</f>
        <v>0</v>
      </c>
      <c r="J2752" s="507">
        <f>SUMIFS(Controle!$R:$R,Controle!$H:$H,produtos_escape2!$A2752,Controle!$Z:$Z,"5")</f>
        <v>0</v>
      </c>
      <c r="K2752" s="507">
        <f>SUMIFS(Controle!$R:$R,Controle!$H:$H,produtos_escape2!$A2752,Controle!$Z:$Z,"6")</f>
        <v>0</v>
      </c>
      <c r="L2752" s="507">
        <f t="shared" si="95"/>
        <v>0</v>
      </c>
    </row>
    <row r="2753" spans="1:12" s="84" customFormat="1" ht="14.25" customHeight="1" thickBot="1">
      <c r="A2753" s="353" t="s">
        <v>6976</v>
      </c>
      <c r="B2753" s="194" t="s">
        <v>6977</v>
      </c>
      <c r="C2753" s="339">
        <f t="shared" si="93"/>
        <v>50000</v>
      </c>
      <c r="D2753" s="191" t="s">
        <v>636</v>
      </c>
      <c r="E2753" s="172" t="s">
        <v>1687</v>
      </c>
      <c r="F2753" s="507">
        <f>SUMIFS(Controle!$R:$R,Controle!$H:$H,produtos_escape2!$A2753,Controle!$Z:$Z,"1")</f>
        <v>0</v>
      </c>
      <c r="G2753" s="507">
        <f>SUMIFS(Controle!$R:$R,Controle!$H:$H,produtos_escape2!$A2753,Controle!$Z:$Z,"2")</f>
        <v>0</v>
      </c>
      <c r="H2753" s="507">
        <f>SUMIFS(Controle!$R:$R,Controle!$H:$H,produtos_escape2!$A2753,Controle!$Z:$Z,"3")</f>
        <v>0</v>
      </c>
      <c r="I2753" s="507">
        <f>SUMIFS(Controle!$R:$R,Controle!$H:$H,produtos_escape2!$A2753,Controle!$Z:$Z,"4")</f>
        <v>0</v>
      </c>
      <c r="J2753" s="507">
        <f>SUMIFS(Controle!$R:$R,Controle!$H:$H,produtos_escape2!$A2753,Controle!$Z:$Z,"5")</f>
        <v>0</v>
      </c>
      <c r="K2753" s="507">
        <f>SUMIFS(Controle!$R:$R,Controle!$H:$H,produtos_escape2!$A2753,Controle!$Z:$Z,"6")</f>
        <v>0</v>
      </c>
      <c r="L2753" s="507">
        <f t="shared" si="95"/>
        <v>0</v>
      </c>
    </row>
    <row r="2754" spans="1:12" s="84" customFormat="1" ht="14.25" customHeight="1" thickBot="1">
      <c r="A2754" s="353" t="s">
        <v>6978</v>
      </c>
      <c r="B2754" s="194" t="s">
        <v>6979</v>
      </c>
      <c r="C2754" s="339">
        <f t="shared" si="93"/>
        <v>50000</v>
      </c>
      <c r="D2754" s="191" t="s">
        <v>636</v>
      </c>
      <c r="E2754" s="172" t="s">
        <v>1687</v>
      </c>
      <c r="F2754" s="507">
        <f>SUMIFS(Controle!$R:$R,Controle!$H:$H,produtos_escape2!$A2754,Controle!$Z:$Z,"1")</f>
        <v>0</v>
      </c>
      <c r="G2754" s="507">
        <f>SUMIFS(Controle!$R:$R,Controle!$H:$H,produtos_escape2!$A2754,Controle!$Z:$Z,"2")</f>
        <v>0</v>
      </c>
      <c r="H2754" s="507">
        <f>SUMIFS(Controle!$R:$R,Controle!$H:$H,produtos_escape2!$A2754,Controle!$Z:$Z,"3")</f>
        <v>0</v>
      </c>
      <c r="I2754" s="507">
        <f>SUMIFS(Controle!$R:$R,Controle!$H:$H,produtos_escape2!$A2754,Controle!$Z:$Z,"4")</f>
        <v>0</v>
      </c>
      <c r="J2754" s="507">
        <f>SUMIFS(Controle!$R:$R,Controle!$H:$H,produtos_escape2!$A2754,Controle!$Z:$Z,"5")</f>
        <v>0</v>
      </c>
      <c r="K2754" s="507">
        <f>SUMIFS(Controle!$R:$R,Controle!$H:$H,produtos_escape2!$A2754,Controle!$Z:$Z,"6")</f>
        <v>0</v>
      </c>
      <c r="L2754" s="507">
        <f t="shared" si="95"/>
        <v>0</v>
      </c>
    </row>
    <row r="2755" spans="1:12" s="84" customFormat="1" ht="14.25" customHeight="1" thickBot="1">
      <c r="A2755" s="353" t="s">
        <v>3236</v>
      </c>
      <c r="B2755" s="194" t="s">
        <v>3304</v>
      </c>
      <c r="C2755" s="339">
        <f t="shared" si="93"/>
        <v>50000</v>
      </c>
      <c r="D2755" s="196" t="s">
        <v>636</v>
      </c>
      <c r="E2755" s="172" t="s">
        <v>1687</v>
      </c>
      <c r="F2755" s="507">
        <f>SUMIFS(Controle!$R:$R,Controle!$H:$H,produtos_escape2!$A2755,Controle!$Z:$Z,"1")</f>
        <v>0</v>
      </c>
      <c r="G2755" s="507">
        <f>SUMIFS(Controle!$R:$R,Controle!$H:$H,produtos_escape2!$A2755,Controle!$Z:$Z,"2")</f>
        <v>0</v>
      </c>
      <c r="H2755" s="507">
        <f>SUMIFS(Controle!$R:$R,Controle!$H:$H,produtos_escape2!$A2755,Controle!$Z:$Z,"3")</f>
        <v>0</v>
      </c>
      <c r="I2755" s="507">
        <f>SUMIFS(Controle!$R:$R,Controle!$H:$H,produtos_escape2!$A2755,Controle!$Z:$Z,"4")</f>
        <v>0</v>
      </c>
      <c r="J2755" s="507">
        <f>SUMIFS(Controle!$R:$R,Controle!$H:$H,produtos_escape2!$A2755,Controle!$Z:$Z,"5")</f>
        <v>0</v>
      </c>
      <c r="K2755" s="507">
        <f>SUMIFS(Controle!$R:$R,Controle!$H:$H,produtos_escape2!$A2755,Controle!$Z:$Z,"6")</f>
        <v>0</v>
      </c>
      <c r="L2755" s="507">
        <f t="shared" si="95"/>
        <v>0</v>
      </c>
    </row>
    <row r="2756" spans="1:12" s="84" customFormat="1" ht="14.25" customHeight="1" thickBot="1">
      <c r="A2756" s="353" t="s">
        <v>6729</v>
      </c>
      <c r="B2756" s="194" t="s">
        <v>6727</v>
      </c>
      <c r="C2756" s="339">
        <f t="shared" si="93"/>
        <v>50000</v>
      </c>
      <c r="D2756" s="196" t="s">
        <v>636</v>
      </c>
      <c r="E2756" s="172" t="s">
        <v>1687</v>
      </c>
      <c r="F2756" s="507">
        <f>SUMIFS(Controle!$R:$R,Controle!$H:$H,produtos_escape2!$A2756,Controle!$Z:$Z,"1")</f>
        <v>0</v>
      </c>
      <c r="G2756" s="507">
        <f>SUMIFS(Controle!$R:$R,Controle!$H:$H,produtos_escape2!$A2756,Controle!$Z:$Z,"2")</f>
        <v>0</v>
      </c>
      <c r="H2756" s="507">
        <f>SUMIFS(Controle!$R:$R,Controle!$H:$H,produtos_escape2!$A2756,Controle!$Z:$Z,"3")</f>
        <v>0</v>
      </c>
      <c r="I2756" s="507">
        <f>SUMIFS(Controle!$R:$R,Controle!$H:$H,produtos_escape2!$A2756,Controle!$Z:$Z,"4")</f>
        <v>0</v>
      </c>
      <c r="J2756" s="507">
        <f>SUMIFS(Controle!$R:$R,Controle!$H:$H,produtos_escape2!$A2756,Controle!$Z:$Z,"5")</f>
        <v>0</v>
      </c>
      <c r="K2756" s="507">
        <f>SUMIFS(Controle!$R:$R,Controle!$H:$H,produtos_escape2!$A2756,Controle!$Z:$Z,"6")</f>
        <v>0</v>
      </c>
      <c r="L2756" s="507">
        <f t="shared" si="95"/>
        <v>0</v>
      </c>
    </row>
    <row r="2757" spans="1:12" s="84" customFormat="1" ht="14.25" customHeight="1" thickBot="1">
      <c r="A2757" s="353" t="s">
        <v>6730</v>
      </c>
      <c r="B2757" s="194" t="s">
        <v>6728</v>
      </c>
      <c r="C2757" s="339">
        <f t="shared" si="93"/>
        <v>50000</v>
      </c>
      <c r="D2757" s="196" t="s">
        <v>636</v>
      </c>
      <c r="E2757" s="172" t="s">
        <v>1687</v>
      </c>
      <c r="F2757" s="507">
        <f>SUMIFS(Controle!$R:$R,Controle!$H:$H,produtos_escape2!$A2757,Controle!$Z:$Z,"1")</f>
        <v>0</v>
      </c>
      <c r="G2757" s="507">
        <f>SUMIFS(Controle!$R:$R,Controle!$H:$H,produtos_escape2!$A2757,Controle!$Z:$Z,"2")</f>
        <v>0</v>
      </c>
      <c r="H2757" s="507">
        <f>SUMIFS(Controle!$R:$R,Controle!$H:$H,produtos_escape2!$A2757,Controle!$Z:$Z,"3")</f>
        <v>0</v>
      </c>
      <c r="I2757" s="507">
        <f>SUMIFS(Controle!$R:$R,Controle!$H:$H,produtos_escape2!$A2757,Controle!$Z:$Z,"4")</f>
        <v>0</v>
      </c>
      <c r="J2757" s="507">
        <f>SUMIFS(Controle!$R:$R,Controle!$H:$H,produtos_escape2!$A2757,Controle!$Z:$Z,"5")</f>
        <v>0</v>
      </c>
      <c r="K2757" s="507">
        <f>SUMIFS(Controle!$R:$R,Controle!$H:$H,produtos_escape2!$A2757,Controle!$Z:$Z,"6")</f>
        <v>0</v>
      </c>
      <c r="L2757" s="507">
        <f t="shared" si="95"/>
        <v>0</v>
      </c>
    </row>
    <row r="2758" spans="1:12" s="84" customFormat="1" ht="14.25" customHeight="1" thickBot="1">
      <c r="A2758" s="353" t="s">
        <v>3234</v>
      </c>
      <c r="B2758" s="194" t="s">
        <v>3305</v>
      </c>
      <c r="C2758" s="339">
        <f t="shared" si="93"/>
        <v>50000</v>
      </c>
      <c r="D2758" s="191" t="s">
        <v>636</v>
      </c>
      <c r="E2758" s="172" t="s">
        <v>1687</v>
      </c>
      <c r="F2758" s="507">
        <f>SUMIFS(Controle!$R:$R,Controle!$H:$H,produtos_escape2!$A2758,Controle!$Z:$Z,"1")</f>
        <v>0</v>
      </c>
      <c r="G2758" s="507">
        <f>SUMIFS(Controle!$R:$R,Controle!$H:$H,produtos_escape2!$A2758,Controle!$Z:$Z,"2")</f>
        <v>0</v>
      </c>
      <c r="H2758" s="507">
        <f>SUMIFS(Controle!$R:$R,Controle!$H:$H,produtos_escape2!$A2758,Controle!$Z:$Z,"3")</f>
        <v>0</v>
      </c>
      <c r="I2758" s="507">
        <f>SUMIFS(Controle!$R:$R,Controle!$H:$H,produtos_escape2!$A2758,Controle!$Z:$Z,"4")</f>
        <v>0</v>
      </c>
      <c r="J2758" s="507">
        <f>SUMIFS(Controle!$R:$R,Controle!$H:$H,produtos_escape2!$A2758,Controle!$Z:$Z,"5")</f>
        <v>0</v>
      </c>
      <c r="K2758" s="507">
        <f>SUMIFS(Controle!$R:$R,Controle!$H:$H,produtos_escape2!$A2758,Controle!$Z:$Z,"6")</f>
        <v>0</v>
      </c>
      <c r="L2758" s="507">
        <f t="shared" si="95"/>
        <v>0</v>
      </c>
    </row>
    <row r="2759" spans="1:12" s="84" customFormat="1" ht="14.25" customHeight="1" thickBot="1">
      <c r="A2759" s="333" t="s">
        <v>3235</v>
      </c>
      <c r="B2759" s="194" t="s">
        <v>3306</v>
      </c>
      <c r="C2759" s="339">
        <f t="shared" si="93"/>
        <v>50000</v>
      </c>
      <c r="D2759" s="191" t="s">
        <v>636</v>
      </c>
      <c r="E2759" s="172" t="s">
        <v>1687</v>
      </c>
      <c r="F2759" s="507">
        <f>SUMIFS(Controle!$R:$R,Controle!$H:$H,produtos_escape2!$A2759,Controle!$Z:$Z,"1")</f>
        <v>0</v>
      </c>
      <c r="G2759" s="507">
        <f>SUMIFS(Controle!$R:$R,Controle!$H:$H,produtos_escape2!$A2759,Controle!$Z:$Z,"2")</f>
        <v>0</v>
      </c>
      <c r="H2759" s="507">
        <f>SUMIFS(Controle!$R:$R,Controle!$H:$H,produtos_escape2!$A2759,Controle!$Z:$Z,"3")</f>
        <v>0</v>
      </c>
      <c r="I2759" s="507">
        <f>SUMIFS(Controle!$R:$R,Controle!$H:$H,produtos_escape2!$A2759,Controle!$Z:$Z,"4")</f>
        <v>0</v>
      </c>
      <c r="J2759" s="507">
        <f>SUMIFS(Controle!$R:$R,Controle!$H:$H,produtos_escape2!$A2759,Controle!$Z:$Z,"5")</f>
        <v>0</v>
      </c>
      <c r="K2759" s="507">
        <f>SUMIFS(Controle!$R:$R,Controle!$H:$H,produtos_escape2!$A2759,Controle!$Z:$Z,"6")</f>
        <v>0</v>
      </c>
      <c r="L2759" s="507">
        <f t="shared" si="95"/>
        <v>0</v>
      </c>
    </row>
    <row r="2760" spans="1:12" s="84" customFormat="1" ht="14.25" customHeight="1" thickBot="1">
      <c r="A2760" s="353" t="s">
        <v>3513</v>
      </c>
      <c r="B2760" s="194" t="s">
        <v>3515</v>
      </c>
      <c r="C2760" s="339">
        <f t="shared" si="93"/>
        <v>50000</v>
      </c>
      <c r="D2760" s="196" t="s">
        <v>636</v>
      </c>
      <c r="E2760" s="197" t="s">
        <v>1687</v>
      </c>
      <c r="F2760" s="507">
        <f>SUMIFS(Controle!$R:$R,Controle!$H:$H,produtos_escape2!$A2760,Controle!$Z:$Z,"1")</f>
        <v>0</v>
      </c>
      <c r="G2760" s="507">
        <f>SUMIFS(Controle!$R:$R,Controle!$H:$H,produtos_escape2!$A2760,Controle!$Z:$Z,"2")</f>
        <v>0</v>
      </c>
      <c r="H2760" s="507">
        <f>SUMIFS(Controle!$R:$R,Controle!$H:$H,produtos_escape2!$A2760,Controle!$Z:$Z,"3")</f>
        <v>0</v>
      </c>
      <c r="I2760" s="507">
        <f>SUMIFS(Controle!$R:$R,Controle!$H:$H,produtos_escape2!$A2760,Controle!$Z:$Z,"4")</f>
        <v>0</v>
      </c>
      <c r="J2760" s="507">
        <f>SUMIFS(Controle!$R:$R,Controle!$H:$H,produtos_escape2!$A2760,Controle!$Z:$Z,"5")</f>
        <v>0</v>
      </c>
      <c r="K2760" s="507">
        <f>SUMIFS(Controle!$R:$R,Controle!$H:$H,produtos_escape2!$A2760,Controle!$Z:$Z,"6")</f>
        <v>0</v>
      </c>
      <c r="L2760" s="507">
        <f t="shared" si="95"/>
        <v>0</v>
      </c>
    </row>
    <row r="2761" spans="1:12" s="84" customFormat="1" ht="14.25" customHeight="1" thickBot="1">
      <c r="A2761" s="353" t="s">
        <v>3514</v>
      </c>
      <c r="B2761" s="338" t="s">
        <v>3516</v>
      </c>
      <c r="C2761" s="339">
        <f t="shared" si="93"/>
        <v>50000</v>
      </c>
      <c r="D2761" s="196" t="s">
        <v>636</v>
      </c>
      <c r="E2761" s="197" t="s">
        <v>1687</v>
      </c>
      <c r="F2761" s="507">
        <f>SUMIFS(Controle!$R:$R,Controle!$H:$H,produtos_escape2!$A2761,Controle!$Z:$Z,"1")</f>
        <v>0</v>
      </c>
      <c r="G2761" s="507">
        <f>SUMIFS(Controle!$R:$R,Controle!$H:$H,produtos_escape2!$A2761,Controle!$Z:$Z,"2")</f>
        <v>0</v>
      </c>
      <c r="H2761" s="507">
        <f>SUMIFS(Controle!$R:$R,Controle!$H:$H,produtos_escape2!$A2761,Controle!$Z:$Z,"3")</f>
        <v>0</v>
      </c>
      <c r="I2761" s="507">
        <f>SUMIFS(Controle!$R:$R,Controle!$H:$H,produtos_escape2!$A2761,Controle!$Z:$Z,"4")</f>
        <v>0</v>
      </c>
      <c r="J2761" s="507">
        <f>SUMIFS(Controle!$R:$R,Controle!$H:$H,produtos_escape2!$A2761,Controle!$Z:$Z,"5")</f>
        <v>0</v>
      </c>
      <c r="K2761" s="507">
        <f>SUMIFS(Controle!$R:$R,Controle!$H:$H,produtos_escape2!$A2761,Controle!$Z:$Z,"6")</f>
        <v>0</v>
      </c>
      <c r="L2761" s="507">
        <f t="shared" si="95"/>
        <v>0</v>
      </c>
    </row>
    <row r="2762" spans="1:12" s="84" customFormat="1" ht="14.25" customHeight="1" thickBot="1">
      <c r="A2762" s="353" t="s">
        <v>6992</v>
      </c>
      <c r="B2762" s="338" t="s">
        <v>6993</v>
      </c>
      <c r="C2762" s="339">
        <f t="shared" si="93"/>
        <v>50000</v>
      </c>
      <c r="D2762" s="196" t="s">
        <v>636</v>
      </c>
      <c r="E2762" s="197" t="s">
        <v>1687</v>
      </c>
      <c r="F2762" s="507">
        <f>SUMIFS(Controle!$R:$R,Controle!$H:$H,produtos_escape2!$A2762,Controle!$Z:$Z,"1")</f>
        <v>0</v>
      </c>
      <c r="G2762" s="507">
        <f>SUMIFS(Controle!$R:$R,Controle!$H:$H,produtos_escape2!$A2762,Controle!$Z:$Z,"2")</f>
        <v>0</v>
      </c>
      <c r="H2762" s="507">
        <f>SUMIFS(Controle!$R:$R,Controle!$H:$H,produtos_escape2!$A2762,Controle!$Z:$Z,"3")</f>
        <v>0</v>
      </c>
      <c r="I2762" s="507">
        <f>SUMIFS(Controle!$R:$R,Controle!$H:$H,produtos_escape2!$A2762,Controle!$Z:$Z,"4")</f>
        <v>0</v>
      </c>
      <c r="J2762" s="507">
        <f>SUMIFS(Controle!$R:$R,Controle!$H:$H,produtos_escape2!$A2762,Controle!$Z:$Z,"5")</f>
        <v>0</v>
      </c>
      <c r="K2762" s="507">
        <f>SUMIFS(Controle!$R:$R,Controle!$H:$H,produtos_escape2!$A2762,Controle!$Z:$Z,"6")</f>
        <v>0</v>
      </c>
      <c r="L2762" s="507">
        <f t="shared" si="95"/>
        <v>0</v>
      </c>
    </row>
    <row r="2763" spans="1:12" s="84" customFormat="1" ht="14.25" customHeight="1" thickBot="1">
      <c r="A2763" s="353" t="s">
        <v>3782</v>
      </c>
      <c r="B2763" s="194" t="s">
        <v>3783</v>
      </c>
      <c r="C2763" s="339">
        <f t="shared" si="93"/>
        <v>50000</v>
      </c>
      <c r="D2763" s="196" t="s">
        <v>636</v>
      </c>
      <c r="E2763" s="197" t="s">
        <v>1687</v>
      </c>
      <c r="F2763" s="507">
        <f>SUMIFS(Controle!$R:$R,Controle!$H:$H,produtos_escape2!$A2763,Controle!$Z:$Z,"1")</f>
        <v>0</v>
      </c>
      <c r="G2763" s="507">
        <f>SUMIFS(Controle!$R:$R,Controle!$H:$H,produtos_escape2!$A2763,Controle!$Z:$Z,"2")</f>
        <v>0</v>
      </c>
      <c r="H2763" s="507">
        <f>SUMIFS(Controle!$R:$R,Controle!$H:$H,produtos_escape2!$A2763,Controle!$Z:$Z,"3")</f>
        <v>0</v>
      </c>
      <c r="I2763" s="507">
        <f>SUMIFS(Controle!$R:$R,Controle!$H:$H,produtos_escape2!$A2763,Controle!$Z:$Z,"4")</f>
        <v>0</v>
      </c>
      <c r="J2763" s="507">
        <f>SUMIFS(Controle!$R:$R,Controle!$H:$H,produtos_escape2!$A2763,Controle!$Z:$Z,"5")</f>
        <v>0</v>
      </c>
      <c r="K2763" s="507">
        <f>SUMIFS(Controle!$R:$R,Controle!$H:$H,produtos_escape2!$A2763,Controle!$Z:$Z,"6")</f>
        <v>0</v>
      </c>
      <c r="L2763" s="507">
        <f t="shared" si="95"/>
        <v>0</v>
      </c>
    </row>
    <row r="2764" spans="1:12" s="84" customFormat="1" ht="14.25" customHeight="1" thickBot="1">
      <c r="A2764" s="353" t="s">
        <v>3803</v>
      </c>
      <c r="B2764" s="194" t="s">
        <v>3804</v>
      </c>
      <c r="C2764" s="339">
        <f t="shared" si="93"/>
        <v>50000</v>
      </c>
      <c r="D2764" s="196" t="s">
        <v>636</v>
      </c>
      <c r="E2764" s="197" t="s">
        <v>1687</v>
      </c>
      <c r="F2764" s="507">
        <f>SUMIFS(Controle!$R:$R,Controle!$H:$H,produtos_escape2!$A2764,Controle!$Z:$Z,"1")</f>
        <v>0</v>
      </c>
      <c r="G2764" s="507">
        <f>SUMIFS(Controle!$R:$R,Controle!$H:$H,produtos_escape2!$A2764,Controle!$Z:$Z,"2")</f>
        <v>0</v>
      </c>
      <c r="H2764" s="507">
        <f>SUMIFS(Controle!$R:$R,Controle!$H:$H,produtos_escape2!$A2764,Controle!$Z:$Z,"3")</f>
        <v>0</v>
      </c>
      <c r="I2764" s="507">
        <f>SUMIFS(Controle!$R:$R,Controle!$H:$H,produtos_escape2!$A2764,Controle!$Z:$Z,"4")</f>
        <v>0</v>
      </c>
      <c r="J2764" s="507">
        <f>SUMIFS(Controle!$R:$R,Controle!$H:$H,produtos_escape2!$A2764,Controle!$Z:$Z,"5")</f>
        <v>0</v>
      </c>
      <c r="K2764" s="507">
        <f>SUMIFS(Controle!$R:$R,Controle!$H:$H,produtos_escape2!$A2764,Controle!$Z:$Z,"6")</f>
        <v>0</v>
      </c>
      <c r="L2764" s="507">
        <f t="shared" si="95"/>
        <v>0</v>
      </c>
    </row>
    <row r="2765" spans="1:12" s="84" customFormat="1" ht="14.25" customHeight="1" thickBot="1">
      <c r="A2765" s="353" t="s">
        <v>8814</v>
      </c>
      <c r="B2765" s="194" t="s">
        <v>8815</v>
      </c>
      <c r="C2765" s="339">
        <f t="shared" ref="C2765:C2793" si="96">50000-SUM(F2765:K2765)</f>
        <v>45000</v>
      </c>
      <c r="D2765" s="196" t="s">
        <v>636</v>
      </c>
      <c r="E2765" s="197" t="s">
        <v>1687</v>
      </c>
      <c r="F2765" s="507">
        <f>SUMIFS(Controle!$R:$R,Controle!$H:$H,produtos_escape2!$A2765,Controle!$Z:$Z,"1")</f>
        <v>0</v>
      </c>
      <c r="G2765" s="507">
        <f>SUMIFS(Controle!$R:$R,Controle!$H:$H,produtos_escape2!$A2765,Controle!$Z:$Z,"2")</f>
        <v>0</v>
      </c>
      <c r="H2765" s="507">
        <f>SUMIFS(Controle!$R:$R,Controle!$H:$H,produtos_escape2!$A2765,Controle!$Z:$Z,"3")</f>
        <v>0</v>
      </c>
      <c r="I2765" s="507">
        <f>SUMIFS(Controle!$R:$R,Controle!$H:$H,produtos_escape2!$A2765,Controle!$Z:$Z,"4")</f>
        <v>5000</v>
      </c>
      <c r="J2765" s="507">
        <f>SUMIFS(Controle!$R:$R,Controle!$H:$H,produtos_escape2!$A2765,Controle!$Z:$Z,"5")</f>
        <v>0</v>
      </c>
      <c r="K2765" s="507">
        <f>SUMIFS(Controle!$R:$R,Controle!$H:$H,produtos_escape2!$A2765,Controle!$Z:$Z,"6")</f>
        <v>0</v>
      </c>
      <c r="L2765" s="507">
        <f t="shared" si="95"/>
        <v>5000</v>
      </c>
    </row>
    <row r="2766" spans="1:12" s="84" customFormat="1" ht="14.25" customHeight="1" thickBot="1">
      <c r="A2766" s="353" t="s">
        <v>7278</v>
      </c>
      <c r="B2766" s="194" t="s">
        <v>7279</v>
      </c>
      <c r="C2766" s="339">
        <f t="shared" si="96"/>
        <v>50000</v>
      </c>
      <c r="D2766" s="196" t="s">
        <v>636</v>
      </c>
      <c r="E2766" s="197" t="s">
        <v>1739</v>
      </c>
      <c r="F2766" s="507">
        <f>SUMIFS(Controle!$R:$R,Controle!$H:$H,produtos_escape2!$A2766,Controle!$Z:$Z,"1")</f>
        <v>0</v>
      </c>
      <c r="G2766" s="507">
        <f>SUMIFS(Controle!$R:$R,Controle!$H:$H,produtos_escape2!$A2766,Controle!$Z:$Z,"2")</f>
        <v>0</v>
      </c>
      <c r="H2766" s="507">
        <f>SUMIFS(Controle!$R:$R,Controle!$H:$H,produtos_escape2!$A2766,Controle!$Z:$Z,"3")</f>
        <v>0</v>
      </c>
      <c r="I2766" s="507">
        <f>SUMIFS(Controle!$R:$R,Controle!$H:$H,produtos_escape2!$A2766,Controle!$Z:$Z,"4")</f>
        <v>0</v>
      </c>
      <c r="J2766" s="507">
        <f>SUMIFS(Controle!$R:$R,Controle!$H:$H,produtos_escape2!$A2766,Controle!$Z:$Z,"5")</f>
        <v>0</v>
      </c>
      <c r="K2766" s="507">
        <f>SUMIFS(Controle!$R:$R,Controle!$H:$H,produtos_escape2!$A2766,Controle!$Z:$Z,"6")</f>
        <v>0</v>
      </c>
      <c r="L2766" s="507">
        <f t="shared" si="95"/>
        <v>0</v>
      </c>
    </row>
    <row r="2767" spans="1:12" s="84" customFormat="1" ht="14.25" customHeight="1" thickBot="1">
      <c r="A2767" s="353" t="s">
        <v>3122</v>
      </c>
      <c r="B2767" s="194" t="s">
        <v>3340</v>
      </c>
      <c r="C2767" s="339">
        <f t="shared" si="96"/>
        <v>50000</v>
      </c>
      <c r="D2767" s="196" t="s">
        <v>636</v>
      </c>
      <c r="E2767" s="197" t="s">
        <v>1687</v>
      </c>
      <c r="F2767" s="507">
        <f>SUMIFS(Controle!$R:$R,Controle!$H:$H,produtos_escape2!$A2767,Controle!$Z:$Z,"1")</f>
        <v>0</v>
      </c>
      <c r="G2767" s="507">
        <f>SUMIFS(Controle!$R:$R,Controle!$H:$H,produtos_escape2!$A2767,Controle!$Z:$Z,"2")</f>
        <v>0</v>
      </c>
      <c r="H2767" s="507">
        <f>SUMIFS(Controle!$R:$R,Controle!$H:$H,produtos_escape2!$A2767,Controle!$Z:$Z,"3")</f>
        <v>0</v>
      </c>
      <c r="I2767" s="507">
        <f>SUMIFS(Controle!$R:$R,Controle!$H:$H,produtos_escape2!$A2767,Controle!$Z:$Z,"4")</f>
        <v>0</v>
      </c>
      <c r="J2767" s="507">
        <f>SUMIFS(Controle!$R:$R,Controle!$H:$H,produtos_escape2!$A2767,Controle!$Z:$Z,"5")</f>
        <v>0</v>
      </c>
      <c r="K2767" s="507">
        <f>SUMIFS(Controle!$R:$R,Controle!$H:$H,produtos_escape2!$A2767,Controle!$Z:$Z,"6")</f>
        <v>0</v>
      </c>
      <c r="L2767" s="507">
        <f t="shared" si="95"/>
        <v>0</v>
      </c>
    </row>
    <row r="2768" spans="1:12" s="84" customFormat="1" ht="14.25" customHeight="1" thickBot="1">
      <c r="A2768" s="353" t="s">
        <v>3123</v>
      </c>
      <c r="B2768" s="194" t="s">
        <v>3341</v>
      </c>
      <c r="C2768" s="339">
        <f t="shared" si="96"/>
        <v>50000</v>
      </c>
      <c r="D2768" s="196" t="s">
        <v>636</v>
      </c>
      <c r="E2768" s="197" t="s">
        <v>1687</v>
      </c>
      <c r="F2768" s="507">
        <f>SUMIFS(Controle!$R:$R,Controle!$H:$H,produtos_escape2!$A2768,Controle!$Z:$Z,"1")</f>
        <v>0</v>
      </c>
      <c r="G2768" s="507">
        <f>SUMIFS(Controle!$R:$R,Controle!$H:$H,produtos_escape2!$A2768,Controle!$Z:$Z,"2")</f>
        <v>0</v>
      </c>
      <c r="H2768" s="507">
        <f>SUMIFS(Controle!$R:$R,Controle!$H:$H,produtos_escape2!$A2768,Controle!$Z:$Z,"3")</f>
        <v>0</v>
      </c>
      <c r="I2768" s="507">
        <f>SUMIFS(Controle!$R:$R,Controle!$H:$H,produtos_escape2!$A2768,Controle!$Z:$Z,"4")</f>
        <v>0</v>
      </c>
      <c r="J2768" s="507">
        <f>SUMIFS(Controle!$R:$R,Controle!$H:$H,produtos_escape2!$A2768,Controle!$Z:$Z,"5")</f>
        <v>0</v>
      </c>
      <c r="K2768" s="507">
        <f>SUMIFS(Controle!$R:$R,Controle!$H:$H,produtos_escape2!$A2768,Controle!$Z:$Z,"6")</f>
        <v>0</v>
      </c>
      <c r="L2768" s="507">
        <f t="shared" si="95"/>
        <v>0</v>
      </c>
    </row>
    <row r="2769" spans="1:12" s="84" customFormat="1" ht="14.25" customHeight="1" thickBot="1">
      <c r="A2769" s="353" t="s">
        <v>3519</v>
      </c>
      <c r="B2769" s="194" t="s">
        <v>3520</v>
      </c>
      <c r="C2769" s="339">
        <f t="shared" si="96"/>
        <v>50000</v>
      </c>
      <c r="D2769" s="196" t="s">
        <v>636</v>
      </c>
      <c r="E2769" s="197" t="s">
        <v>1687</v>
      </c>
      <c r="F2769" s="507">
        <f>SUMIFS(Controle!$R:$R,Controle!$H:$H,produtos_escape2!$A2769,Controle!$Z:$Z,"1")</f>
        <v>0</v>
      </c>
      <c r="G2769" s="507">
        <f>SUMIFS(Controle!$R:$R,Controle!$H:$H,produtos_escape2!$A2769,Controle!$Z:$Z,"2")</f>
        <v>0</v>
      </c>
      <c r="H2769" s="507">
        <f>SUMIFS(Controle!$R:$R,Controle!$H:$H,produtos_escape2!$A2769,Controle!$Z:$Z,"3")</f>
        <v>0</v>
      </c>
      <c r="I2769" s="507">
        <f>SUMIFS(Controle!$R:$R,Controle!$H:$H,produtos_escape2!$A2769,Controle!$Z:$Z,"4")</f>
        <v>0</v>
      </c>
      <c r="J2769" s="507">
        <f>SUMIFS(Controle!$R:$R,Controle!$H:$H,produtos_escape2!$A2769,Controle!$Z:$Z,"5")</f>
        <v>0</v>
      </c>
      <c r="K2769" s="507">
        <f>SUMIFS(Controle!$R:$R,Controle!$H:$H,produtos_escape2!$A2769,Controle!$Z:$Z,"6")</f>
        <v>0</v>
      </c>
      <c r="L2769" s="507">
        <f t="shared" si="95"/>
        <v>0</v>
      </c>
    </row>
    <row r="2770" spans="1:12" s="84" customFormat="1" ht="14.25" customHeight="1" thickBot="1">
      <c r="A2770" s="333" t="s">
        <v>3242</v>
      </c>
      <c r="B2770" s="194" t="s">
        <v>3307</v>
      </c>
      <c r="C2770" s="339">
        <f t="shared" si="96"/>
        <v>50000</v>
      </c>
      <c r="D2770" s="191" t="s">
        <v>636</v>
      </c>
      <c r="E2770" s="172" t="s">
        <v>1687</v>
      </c>
      <c r="F2770" s="507">
        <f>SUMIFS(Controle!$R:$R,Controle!$H:$H,produtos_escape2!$A2770,Controle!$Z:$Z,"1")</f>
        <v>0</v>
      </c>
      <c r="G2770" s="507">
        <f>SUMIFS(Controle!$R:$R,Controle!$H:$H,produtos_escape2!$A2770,Controle!$Z:$Z,"2")</f>
        <v>0</v>
      </c>
      <c r="H2770" s="507">
        <f>SUMIFS(Controle!$R:$R,Controle!$H:$H,produtos_escape2!$A2770,Controle!$Z:$Z,"3")</f>
        <v>0</v>
      </c>
      <c r="I2770" s="507">
        <f>SUMIFS(Controle!$R:$R,Controle!$H:$H,produtos_escape2!$A2770,Controle!$Z:$Z,"4")</f>
        <v>0</v>
      </c>
      <c r="J2770" s="507">
        <f>SUMIFS(Controle!$R:$R,Controle!$H:$H,produtos_escape2!$A2770,Controle!$Z:$Z,"5")</f>
        <v>0</v>
      </c>
      <c r="K2770" s="507">
        <f>SUMIFS(Controle!$R:$R,Controle!$H:$H,produtos_escape2!$A2770,Controle!$Z:$Z,"6")</f>
        <v>0</v>
      </c>
      <c r="L2770" s="507">
        <f t="shared" si="95"/>
        <v>0</v>
      </c>
    </row>
    <row r="2771" spans="1:12" s="84" customFormat="1" ht="14.25" customHeight="1" thickBot="1">
      <c r="A2771" s="353" t="s">
        <v>3509</v>
      </c>
      <c r="B2771" s="194" t="s">
        <v>3511</v>
      </c>
      <c r="C2771" s="339">
        <f t="shared" si="96"/>
        <v>50000</v>
      </c>
      <c r="D2771" s="191" t="s">
        <v>636</v>
      </c>
      <c r="E2771" s="172" t="s">
        <v>1687</v>
      </c>
      <c r="F2771" s="507">
        <f>SUMIFS(Controle!$R:$R,Controle!$H:$H,produtos_escape2!$A2771,Controle!$Z:$Z,"1")</f>
        <v>0</v>
      </c>
      <c r="G2771" s="507">
        <f>SUMIFS(Controle!$R:$R,Controle!$H:$H,produtos_escape2!$A2771,Controle!$Z:$Z,"2")</f>
        <v>0</v>
      </c>
      <c r="H2771" s="507">
        <f>SUMIFS(Controle!$R:$R,Controle!$H:$H,produtos_escape2!$A2771,Controle!$Z:$Z,"3")</f>
        <v>0</v>
      </c>
      <c r="I2771" s="507">
        <f>SUMIFS(Controle!$R:$R,Controle!$H:$H,produtos_escape2!$A2771,Controle!$Z:$Z,"4")</f>
        <v>0</v>
      </c>
      <c r="J2771" s="507">
        <f>SUMIFS(Controle!$R:$R,Controle!$H:$H,produtos_escape2!$A2771,Controle!$Z:$Z,"5")</f>
        <v>0</v>
      </c>
      <c r="K2771" s="507">
        <f>SUMIFS(Controle!$R:$R,Controle!$H:$H,produtos_escape2!$A2771,Controle!$Z:$Z,"6")</f>
        <v>0</v>
      </c>
      <c r="L2771" s="507">
        <f t="shared" si="95"/>
        <v>0</v>
      </c>
    </row>
    <row r="2772" spans="1:12" s="84" customFormat="1" ht="14.25" customHeight="1" thickBot="1">
      <c r="A2772" s="353" t="s">
        <v>3510</v>
      </c>
      <c r="B2772" s="338" t="s">
        <v>3512</v>
      </c>
      <c r="C2772" s="339">
        <f t="shared" ref="C2772" si="97">50000-SUM(F2772:K2772)</f>
        <v>50000</v>
      </c>
      <c r="D2772" s="191" t="s">
        <v>636</v>
      </c>
      <c r="E2772" s="172" t="s">
        <v>1687</v>
      </c>
      <c r="F2772" s="507">
        <f>SUMIFS(Controle!$R:$R,Controle!$H:$H,produtos_escape2!$A2772,Controle!$Z:$Z,"1")</f>
        <v>0</v>
      </c>
      <c r="G2772" s="507">
        <f>SUMIFS(Controle!$R:$R,Controle!$H:$H,produtos_escape2!$A2772,Controle!$Z:$Z,"2")</f>
        <v>0</v>
      </c>
      <c r="H2772" s="507">
        <f>SUMIFS(Controle!$R:$R,Controle!$H:$H,produtos_escape2!$A2772,Controle!$Z:$Z,"3")</f>
        <v>0</v>
      </c>
      <c r="I2772" s="507">
        <f>SUMIFS(Controle!$R:$R,Controle!$H:$H,produtos_escape2!$A2772,Controle!$Z:$Z,"4")</f>
        <v>0</v>
      </c>
      <c r="J2772" s="507">
        <f>SUMIFS(Controle!$R:$R,Controle!$H:$H,produtos_escape2!$A2772,Controle!$Z:$Z,"5")</f>
        <v>0</v>
      </c>
      <c r="K2772" s="507">
        <f>SUMIFS(Controle!$R:$R,Controle!$H:$H,produtos_escape2!$A2772,Controle!$Z:$Z,"6")</f>
        <v>0</v>
      </c>
      <c r="L2772" s="507">
        <f t="shared" si="95"/>
        <v>0</v>
      </c>
    </row>
    <row r="2773" spans="1:12" s="84" customFormat="1" ht="14.25" customHeight="1" thickBot="1">
      <c r="A2773" s="353" t="s">
        <v>10445</v>
      </c>
      <c r="B2773" s="338" t="s">
        <v>10446</v>
      </c>
      <c r="C2773" s="339">
        <f t="shared" si="96"/>
        <v>50000</v>
      </c>
      <c r="D2773" s="191" t="s">
        <v>636</v>
      </c>
      <c r="E2773" s="172" t="s">
        <v>1687</v>
      </c>
      <c r="F2773" s="507">
        <f>SUMIFS(Controle!$R:$R,Controle!$H:$H,produtos_escape2!$A2773,Controle!$Z:$Z,"1")</f>
        <v>0</v>
      </c>
      <c r="G2773" s="507">
        <f>SUMIFS(Controle!$R:$R,Controle!$H:$H,produtos_escape2!$A2773,Controle!$Z:$Z,"2")</f>
        <v>0</v>
      </c>
      <c r="H2773" s="507">
        <f>SUMIFS(Controle!$R:$R,Controle!$H:$H,produtos_escape2!$A2773,Controle!$Z:$Z,"3")</f>
        <v>0</v>
      </c>
      <c r="I2773" s="507">
        <f>SUMIFS(Controle!$R:$R,Controle!$H:$H,produtos_escape2!$A2773,Controle!$Z:$Z,"4")</f>
        <v>0</v>
      </c>
      <c r="J2773" s="507">
        <f>SUMIFS(Controle!$R:$R,Controle!$H:$H,produtos_escape2!$A2773,Controle!$Z:$Z,"5")</f>
        <v>0</v>
      </c>
      <c r="K2773" s="507">
        <f>SUMIFS(Controle!$R:$R,Controle!$H:$H,produtos_escape2!$A2773,Controle!$Z:$Z,"6")</f>
        <v>0</v>
      </c>
      <c r="L2773" s="507">
        <f t="shared" si="95"/>
        <v>0</v>
      </c>
    </row>
    <row r="2774" spans="1:12" s="84" customFormat="1" ht="14.25" customHeight="1" thickBot="1">
      <c r="A2774" s="353" t="s">
        <v>3173</v>
      </c>
      <c r="B2774" s="194" t="s">
        <v>2837</v>
      </c>
      <c r="C2774" s="339">
        <f t="shared" si="96"/>
        <v>50000</v>
      </c>
      <c r="D2774" s="196" t="s">
        <v>636</v>
      </c>
      <c r="E2774" s="197" t="s">
        <v>1739</v>
      </c>
      <c r="F2774" s="507">
        <f>SUMIFS(Controle!$R:$R,Controle!$H:$H,produtos_escape2!$A2774,Controle!$Z:$Z,"1")</f>
        <v>0</v>
      </c>
      <c r="G2774" s="507">
        <f>SUMIFS(Controle!$R:$R,Controle!$H:$H,produtos_escape2!$A2774,Controle!$Z:$Z,"2")</f>
        <v>0</v>
      </c>
      <c r="H2774" s="507">
        <f>SUMIFS(Controle!$R:$R,Controle!$H:$H,produtos_escape2!$A2774,Controle!$Z:$Z,"3")</f>
        <v>0</v>
      </c>
      <c r="I2774" s="507">
        <f>SUMIFS(Controle!$R:$R,Controle!$H:$H,produtos_escape2!$A2774,Controle!$Z:$Z,"4")</f>
        <v>0</v>
      </c>
      <c r="J2774" s="507">
        <f>SUMIFS(Controle!$R:$R,Controle!$H:$H,produtos_escape2!$A2774,Controle!$Z:$Z,"5")</f>
        <v>0</v>
      </c>
      <c r="K2774" s="507">
        <f>SUMIFS(Controle!$R:$R,Controle!$H:$H,produtos_escape2!$A2774,Controle!$Z:$Z,"6")</f>
        <v>0</v>
      </c>
      <c r="L2774" s="507">
        <f t="shared" si="95"/>
        <v>0</v>
      </c>
    </row>
    <row r="2775" spans="1:12" s="84" customFormat="1" ht="14.25" customHeight="1" thickBot="1">
      <c r="A2775" s="353" t="s">
        <v>4455</v>
      </c>
      <c r="B2775" s="194" t="s">
        <v>4456</v>
      </c>
      <c r="C2775" s="339">
        <f t="shared" si="96"/>
        <v>50000</v>
      </c>
      <c r="D2775" s="196" t="s">
        <v>636</v>
      </c>
      <c r="E2775" s="197" t="s">
        <v>1687</v>
      </c>
      <c r="F2775" s="507">
        <f>SUMIFS(Controle!$R:$R,Controle!$H:$H,produtos_escape2!$A2775,Controle!$Z:$Z,"1")</f>
        <v>0</v>
      </c>
      <c r="G2775" s="507">
        <f>SUMIFS(Controle!$R:$R,Controle!$H:$H,produtos_escape2!$A2775,Controle!$Z:$Z,"2")</f>
        <v>0</v>
      </c>
      <c r="H2775" s="507">
        <f>SUMIFS(Controle!$R:$R,Controle!$H:$H,produtos_escape2!$A2775,Controle!$Z:$Z,"3")</f>
        <v>0</v>
      </c>
      <c r="I2775" s="507">
        <f>SUMIFS(Controle!$R:$R,Controle!$H:$H,produtos_escape2!$A2775,Controle!$Z:$Z,"4")</f>
        <v>0</v>
      </c>
      <c r="J2775" s="507">
        <f>SUMIFS(Controle!$R:$R,Controle!$H:$H,produtos_escape2!$A2775,Controle!$Z:$Z,"5")</f>
        <v>0</v>
      </c>
      <c r="K2775" s="507">
        <f>SUMIFS(Controle!$R:$R,Controle!$H:$H,produtos_escape2!$A2775,Controle!$Z:$Z,"6")</f>
        <v>0</v>
      </c>
      <c r="L2775" s="507">
        <f t="shared" si="95"/>
        <v>0</v>
      </c>
    </row>
    <row r="2776" spans="1:12" s="84" customFormat="1" ht="14.25" customHeight="1" thickBot="1">
      <c r="A2776" s="353" t="s">
        <v>3170</v>
      </c>
      <c r="B2776" s="194" t="s">
        <v>3342</v>
      </c>
      <c r="C2776" s="339">
        <f t="shared" si="96"/>
        <v>50000</v>
      </c>
      <c r="D2776" s="196" t="s">
        <v>636</v>
      </c>
      <c r="E2776" s="197" t="s">
        <v>1687</v>
      </c>
      <c r="F2776" s="507">
        <f>SUMIFS(Controle!$R:$R,Controle!$H:$H,produtos_escape2!$A2776,Controle!$Z:$Z,"1")</f>
        <v>0</v>
      </c>
      <c r="G2776" s="507">
        <f>SUMIFS(Controle!$R:$R,Controle!$H:$H,produtos_escape2!$A2776,Controle!$Z:$Z,"2")</f>
        <v>0</v>
      </c>
      <c r="H2776" s="507">
        <f>SUMIFS(Controle!$R:$R,Controle!$H:$H,produtos_escape2!$A2776,Controle!$Z:$Z,"3")</f>
        <v>0</v>
      </c>
      <c r="I2776" s="507">
        <f>SUMIFS(Controle!$R:$R,Controle!$H:$H,produtos_escape2!$A2776,Controle!$Z:$Z,"4")</f>
        <v>0</v>
      </c>
      <c r="J2776" s="507">
        <f>SUMIFS(Controle!$R:$R,Controle!$H:$H,produtos_escape2!$A2776,Controle!$Z:$Z,"5")</f>
        <v>0</v>
      </c>
      <c r="K2776" s="507">
        <f>SUMIFS(Controle!$R:$R,Controle!$H:$H,produtos_escape2!$A2776,Controle!$Z:$Z,"6")</f>
        <v>0</v>
      </c>
      <c r="L2776" s="507">
        <f t="shared" si="95"/>
        <v>0</v>
      </c>
    </row>
    <row r="2777" spans="1:12" s="84" customFormat="1" ht="14.25" customHeight="1" thickBot="1">
      <c r="A2777" s="353" t="s">
        <v>3171</v>
      </c>
      <c r="B2777" s="194" t="s">
        <v>2836</v>
      </c>
      <c r="C2777" s="339">
        <f t="shared" si="96"/>
        <v>50000</v>
      </c>
      <c r="D2777" s="196" t="s">
        <v>636</v>
      </c>
      <c r="E2777" s="197" t="s">
        <v>1687</v>
      </c>
      <c r="F2777" s="507">
        <f>SUMIFS(Controle!$R:$R,Controle!$H:$H,produtos_escape2!$A2777,Controle!$Z:$Z,"1")</f>
        <v>0</v>
      </c>
      <c r="G2777" s="507">
        <f>SUMIFS(Controle!$R:$R,Controle!$H:$H,produtos_escape2!$A2777,Controle!$Z:$Z,"2")</f>
        <v>0</v>
      </c>
      <c r="H2777" s="507">
        <f>SUMIFS(Controle!$R:$R,Controle!$H:$H,produtos_escape2!$A2777,Controle!$Z:$Z,"3")</f>
        <v>0</v>
      </c>
      <c r="I2777" s="507">
        <f>SUMIFS(Controle!$R:$R,Controle!$H:$H,produtos_escape2!$A2777,Controle!$Z:$Z,"4")</f>
        <v>0</v>
      </c>
      <c r="J2777" s="507">
        <f>SUMIFS(Controle!$R:$R,Controle!$H:$H,produtos_escape2!$A2777,Controle!$Z:$Z,"5")</f>
        <v>0</v>
      </c>
      <c r="K2777" s="507">
        <f>SUMIFS(Controle!$R:$R,Controle!$H:$H,produtos_escape2!$A2777,Controle!$Z:$Z,"6")</f>
        <v>0</v>
      </c>
      <c r="L2777" s="507">
        <f t="shared" si="95"/>
        <v>0</v>
      </c>
    </row>
    <row r="2778" spans="1:12" s="84" customFormat="1" ht="14.25" customHeight="1" thickBot="1">
      <c r="A2778" s="353" t="s">
        <v>3172</v>
      </c>
      <c r="B2778" s="194" t="s">
        <v>3119</v>
      </c>
      <c r="C2778" s="339">
        <f t="shared" si="96"/>
        <v>50000</v>
      </c>
      <c r="D2778" s="196" t="s">
        <v>636</v>
      </c>
      <c r="E2778" s="197" t="s">
        <v>1687</v>
      </c>
      <c r="F2778" s="507">
        <f>SUMIFS(Controle!$R:$R,Controle!$H:$H,produtos_escape2!$A2778,Controle!$Z:$Z,"1")</f>
        <v>0</v>
      </c>
      <c r="G2778" s="507">
        <f>SUMIFS(Controle!$R:$R,Controle!$H:$H,produtos_escape2!$A2778,Controle!$Z:$Z,"2")</f>
        <v>0</v>
      </c>
      <c r="H2778" s="507">
        <f>SUMIFS(Controle!$R:$R,Controle!$H:$H,produtos_escape2!$A2778,Controle!$Z:$Z,"3")</f>
        <v>0</v>
      </c>
      <c r="I2778" s="507">
        <f>SUMIFS(Controle!$R:$R,Controle!$H:$H,produtos_escape2!$A2778,Controle!$Z:$Z,"4")</f>
        <v>0</v>
      </c>
      <c r="J2778" s="507">
        <f>SUMIFS(Controle!$R:$R,Controle!$H:$H,produtos_escape2!$A2778,Controle!$Z:$Z,"5")</f>
        <v>0</v>
      </c>
      <c r="K2778" s="507">
        <f>SUMIFS(Controle!$R:$R,Controle!$H:$H,produtos_escape2!$A2778,Controle!$Z:$Z,"6")</f>
        <v>0</v>
      </c>
      <c r="L2778" s="507">
        <f t="shared" si="95"/>
        <v>0</v>
      </c>
    </row>
    <row r="2779" spans="1:12" s="84" customFormat="1" ht="14.25" customHeight="1" thickBot="1">
      <c r="A2779" s="333" t="s">
        <v>3244</v>
      </c>
      <c r="B2779" s="194" t="s">
        <v>3308</v>
      </c>
      <c r="C2779" s="339">
        <f t="shared" si="96"/>
        <v>50000</v>
      </c>
      <c r="D2779" s="196" t="s">
        <v>636</v>
      </c>
      <c r="E2779" s="197" t="s">
        <v>1739</v>
      </c>
      <c r="F2779" s="507">
        <f>SUMIFS(Controle!$R:$R,Controle!$H:$H,produtos_escape2!$A2779,Controle!$Z:$Z,"1")</f>
        <v>0</v>
      </c>
      <c r="G2779" s="507">
        <f>SUMIFS(Controle!$R:$R,Controle!$H:$H,produtos_escape2!$A2779,Controle!$Z:$Z,"2")</f>
        <v>0</v>
      </c>
      <c r="H2779" s="507">
        <f>SUMIFS(Controle!$R:$R,Controle!$H:$H,produtos_escape2!$A2779,Controle!$Z:$Z,"3")</f>
        <v>0</v>
      </c>
      <c r="I2779" s="507">
        <f>SUMIFS(Controle!$R:$R,Controle!$H:$H,produtos_escape2!$A2779,Controle!$Z:$Z,"4")</f>
        <v>0</v>
      </c>
      <c r="J2779" s="507">
        <f>SUMIFS(Controle!$R:$R,Controle!$H:$H,produtos_escape2!$A2779,Controle!$Z:$Z,"5")</f>
        <v>0</v>
      </c>
      <c r="K2779" s="507">
        <f>SUMIFS(Controle!$R:$R,Controle!$H:$H,produtos_escape2!$A2779,Controle!$Z:$Z,"6")</f>
        <v>0</v>
      </c>
      <c r="L2779" s="507">
        <f t="shared" si="95"/>
        <v>0</v>
      </c>
    </row>
    <row r="2780" spans="1:12" s="84" customFormat="1" ht="14.25" customHeight="1" thickBot="1">
      <c r="A2780" s="353" t="s">
        <v>3245</v>
      </c>
      <c r="B2780" s="194" t="s">
        <v>3309</v>
      </c>
      <c r="C2780" s="339">
        <f t="shared" si="96"/>
        <v>42402</v>
      </c>
      <c r="D2780" s="196" t="s">
        <v>636</v>
      </c>
      <c r="E2780" s="197" t="s">
        <v>1739</v>
      </c>
      <c r="F2780" s="507">
        <f>SUMIFS(Controle!$R:$R,Controle!$H:$H,produtos_escape2!$A2780,Controle!$Z:$Z,"1")</f>
        <v>0</v>
      </c>
      <c r="G2780" s="507">
        <f>SUMIFS(Controle!$R:$R,Controle!$H:$H,produtos_escape2!$A2780,Controle!$Z:$Z,"2")</f>
        <v>0</v>
      </c>
      <c r="H2780" s="507">
        <f>SUMIFS(Controle!$R:$R,Controle!$H:$H,produtos_escape2!$A2780,Controle!$Z:$Z,"3")</f>
        <v>0</v>
      </c>
      <c r="I2780" s="507">
        <f>SUMIFS(Controle!$R:$R,Controle!$H:$H,produtos_escape2!$A2780,Controle!$Z:$Z,"4")</f>
        <v>7598</v>
      </c>
      <c r="J2780" s="507">
        <f>SUMIFS(Controle!$R:$R,Controle!$H:$H,produtos_escape2!$A2780,Controle!$Z:$Z,"5")</f>
        <v>0</v>
      </c>
      <c r="K2780" s="507">
        <f>SUMIFS(Controle!$R:$R,Controle!$H:$H,produtos_escape2!$A2780,Controle!$Z:$Z,"6")</f>
        <v>0</v>
      </c>
      <c r="L2780" s="507">
        <f t="shared" si="95"/>
        <v>7598</v>
      </c>
    </row>
    <row r="2781" spans="1:12" s="84" customFormat="1" ht="14.25" customHeight="1" thickBot="1">
      <c r="A2781" s="353" t="s">
        <v>3243</v>
      </c>
      <c r="B2781" s="338" t="s">
        <v>8048</v>
      </c>
      <c r="C2781" s="339">
        <f t="shared" si="96"/>
        <v>50000</v>
      </c>
      <c r="D2781" s="191" t="s">
        <v>636</v>
      </c>
      <c r="E2781" s="172" t="s">
        <v>1687</v>
      </c>
      <c r="F2781" s="507">
        <f>SUMIFS(Controle!$R:$R,Controle!$H:$H,produtos_escape2!$A2781,Controle!$Z:$Z,"1")</f>
        <v>0</v>
      </c>
      <c r="G2781" s="507">
        <f>SUMIFS(Controle!$R:$R,Controle!$H:$H,produtos_escape2!$A2781,Controle!$Z:$Z,"2")</f>
        <v>0</v>
      </c>
      <c r="H2781" s="507">
        <f>SUMIFS(Controle!$R:$R,Controle!$H:$H,produtos_escape2!$A2781,Controle!$Z:$Z,"3")</f>
        <v>0</v>
      </c>
      <c r="I2781" s="507">
        <f>SUMIFS(Controle!$R:$R,Controle!$H:$H,produtos_escape2!$A2781,Controle!$Z:$Z,"4")</f>
        <v>0</v>
      </c>
      <c r="J2781" s="507">
        <f>SUMIFS(Controle!$R:$R,Controle!$H:$H,produtos_escape2!$A2781,Controle!$Z:$Z,"5")</f>
        <v>0</v>
      </c>
      <c r="K2781" s="507">
        <f>SUMIFS(Controle!$R:$R,Controle!$H:$H,produtos_escape2!$A2781,Controle!$Z:$Z,"6")</f>
        <v>0</v>
      </c>
      <c r="L2781" s="507">
        <f t="shared" si="95"/>
        <v>0</v>
      </c>
    </row>
    <row r="2782" spans="1:12" s="84" customFormat="1" ht="14.25" customHeight="1" thickBot="1">
      <c r="A2782" s="353" t="s">
        <v>6918</v>
      </c>
      <c r="B2782" s="338" t="s">
        <v>6919</v>
      </c>
      <c r="C2782" s="339">
        <f t="shared" si="96"/>
        <v>50000</v>
      </c>
      <c r="D2782" s="191" t="s">
        <v>636</v>
      </c>
      <c r="E2782" s="172" t="s">
        <v>1687</v>
      </c>
      <c r="F2782" s="507">
        <f>SUMIFS(Controle!$R:$R,Controle!$H:$H,produtos_escape2!$A2782,Controle!$Z:$Z,"1")</f>
        <v>0</v>
      </c>
      <c r="G2782" s="507">
        <f>SUMIFS(Controle!$R:$R,Controle!$H:$H,produtos_escape2!$A2782,Controle!$Z:$Z,"2")</f>
        <v>0</v>
      </c>
      <c r="H2782" s="507">
        <f>SUMIFS(Controle!$R:$R,Controle!$H:$H,produtos_escape2!$A2782,Controle!$Z:$Z,"3")</f>
        <v>0</v>
      </c>
      <c r="I2782" s="507">
        <f>SUMIFS(Controle!$R:$R,Controle!$H:$H,produtos_escape2!$A2782,Controle!$Z:$Z,"4")</f>
        <v>0</v>
      </c>
      <c r="J2782" s="507">
        <f>SUMIFS(Controle!$R:$R,Controle!$H:$H,produtos_escape2!$A2782,Controle!$Z:$Z,"5")</f>
        <v>0</v>
      </c>
      <c r="K2782" s="507">
        <f>SUMIFS(Controle!$R:$R,Controle!$H:$H,produtos_escape2!$A2782,Controle!$Z:$Z,"6")</f>
        <v>0</v>
      </c>
      <c r="L2782" s="507">
        <f t="shared" si="95"/>
        <v>0</v>
      </c>
    </row>
    <row r="2783" spans="1:12" s="84" customFormat="1" ht="14.25" customHeight="1" thickBot="1">
      <c r="A2783" s="353" t="s">
        <v>8377</v>
      </c>
      <c r="B2783" s="338" t="s">
        <v>8381</v>
      </c>
      <c r="C2783" s="339">
        <f t="shared" si="96"/>
        <v>42402</v>
      </c>
      <c r="D2783" s="191" t="s">
        <v>636</v>
      </c>
      <c r="E2783" s="172" t="s">
        <v>1687</v>
      </c>
      <c r="F2783" s="507">
        <f>SUMIFS(Controle!$R:$R,Controle!$H:$H,produtos_escape2!$A2783,Controle!$Z:$Z,"1")</f>
        <v>0</v>
      </c>
      <c r="G2783" s="507">
        <f>SUMIFS(Controle!$R:$R,Controle!$H:$H,produtos_escape2!$A2783,Controle!$Z:$Z,"2")</f>
        <v>0</v>
      </c>
      <c r="H2783" s="507">
        <f>SUMIFS(Controle!$R:$R,Controle!$H:$H,produtos_escape2!$A2783,Controle!$Z:$Z,"3")</f>
        <v>0</v>
      </c>
      <c r="I2783" s="507">
        <f>SUMIFS(Controle!$R:$R,Controle!$H:$H,produtos_escape2!$A2783,Controle!$Z:$Z,"4")</f>
        <v>7598</v>
      </c>
      <c r="J2783" s="507">
        <f>SUMIFS(Controle!$R:$R,Controle!$H:$H,produtos_escape2!$A2783,Controle!$Z:$Z,"5")</f>
        <v>0</v>
      </c>
      <c r="K2783" s="507">
        <f>SUMIFS(Controle!$R:$R,Controle!$H:$H,produtos_escape2!$A2783,Controle!$Z:$Z,"6")</f>
        <v>0</v>
      </c>
      <c r="L2783" s="507">
        <f t="shared" si="95"/>
        <v>7598</v>
      </c>
    </row>
    <row r="2784" spans="1:12" s="84" customFormat="1" ht="14.25" customHeight="1" thickBot="1">
      <c r="A2784" s="353" t="s">
        <v>8378</v>
      </c>
      <c r="B2784" s="338" t="s">
        <v>8382</v>
      </c>
      <c r="C2784" s="339">
        <f t="shared" si="96"/>
        <v>42402</v>
      </c>
      <c r="D2784" s="191" t="s">
        <v>636</v>
      </c>
      <c r="E2784" s="172" t="s">
        <v>1687</v>
      </c>
      <c r="F2784" s="507">
        <f>SUMIFS(Controle!$R:$R,Controle!$H:$H,produtos_escape2!$A2784,Controle!$Z:$Z,"1")</f>
        <v>0</v>
      </c>
      <c r="G2784" s="507">
        <f>SUMIFS(Controle!$R:$R,Controle!$H:$H,produtos_escape2!$A2784,Controle!$Z:$Z,"2")</f>
        <v>0</v>
      </c>
      <c r="H2784" s="507">
        <f>SUMIFS(Controle!$R:$R,Controle!$H:$H,produtos_escape2!$A2784,Controle!$Z:$Z,"3")</f>
        <v>0</v>
      </c>
      <c r="I2784" s="507">
        <f>SUMIFS(Controle!$R:$R,Controle!$H:$H,produtos_escape2!$A2784,Controle!$Z:$Z,"4")</f>
        <v>7598</v>
      </c>
      <c r="J2784" s="507">
        <f>SUMIFS(Controle!$R:$R,Controle!$H:$H,produtos_escape2!$A2784,Controle!$Z:$Z,"5")</f>
        <v>0</v>
      </c>
      <c r="K2784" s="507">
        <f>SUMIFS(Controle!$R:$R,Controle!$H:$H,produtos_escape2!$A2784,Controle!$Z:$Z,"6")</f>
        <v>0</v>
      </c>
      <c r="L2784" s="507">
        <f t="shared" si="95"/>
        <v>7598</v>
      </c>
    </row>
    <row r="2785" spans="1:12" s="84" customFormat="1" ht="14.25" customHeight="1" thickBot="1">
      <c r="A2785" s="353" t="s">
        <v>8379</v>
      </c>
      <c r="B2785" s="338" t="s">
        <v>8383</v>
      </c>
      <c r="C2785" s="339">
        <f t="shared" si="96"/>
        <v>42402</v>
      </c>
      <c r="D2785" s="191" t="s">
        <v>636</v>
      </c>
      <c r="E2785" s="172" t="s">
        <v>1687</v>
      </c>
      <c r="F2785" s="507">
        <f>SUMIFS(Controle!$R:$R,Controle!$H:$H,produtos_escape2!$A2785,Controle!$Z:$Z,"1")</f>
        <v>0</v>
      </c>
      <c r="G2785" s="507">
        <f>SUMIFS(Controle!$R:$R,Controle!$H:$H,produtos_escape2!$A2785,Controle!$Z:$Z,"2")</f>
        <v>0</v>
      </c>
      <c r="H2785" s="507">
        <f>SUMIFS(Controle!$R:$R,Controle!$H:$H,produtos_escape2!$A2785,Controle!$Z:$Z,"3")</f>
        <v>0</v>
      </c>
      <c r="I2785" s="507">
        <f>SUMIFS(Controle!$R:$R,Controle!$H:$H,produtos_escape2!$A2785,Controle!$Z:$Z,"4")</f>
        <v>7598</v>
      </c>
      <c r="J2785" s="507">
        <f>SUMIFS(Controle!$R:$R,Controle!$H:$H,produtos_escape2!$A2785,Controle!$Z:$Z,"5")</f>
        <v>0</v>
      </c>
      <c r="K2785" s="507">
        <f>SUMIFS(Controle!$R:$R,Controle!$H:$H,produtos_escape2!$A2785,Controle!$Z:$Z,"6")</f>
        <v>0</v>
      </c>
      <c r="L2785" s="507">
        <f t="shared" si="95"/>
        <v>7598</v>
      </c>
    </row>
    <row r="2786" spans="1:12" s="84" customFormat="1" ht="14.25" customHeight="1" thickBot="1">
      <c r="A2786" s="353" t="s">
        <v>8380</v>
      </c>
      <c r="B2786" s="338" t="s">
        <v>8384</v>
      </c>
      <c r="C2786" s="339">
        <f t="shared" si="96"/>
        <v>42402</v>
      </c>
      <c r="D2786" s="191" t="s">
        <v>636</v>
      </c>
      <c r="E2786" s="172" t="s">
        <v>1687</v>
      </c>
      <c r="F2786" s="507">
        <f>SUMIFS(Controle!$R:$R,Controle!$H:$H,produtos_escape2!$A2786,Controle!$Z:$Z,"1")</f>
        <v>0</v>
      </c>
      <c r="G2786" s="507">
        <f>SUMIFS(Controle!$R:$R,Controle!$H:$H,produtos_escape2!$A2786,Controle!$Z:$Z,"2")</f>
        <v>0</v>
      </c>
      <c r="H2786" s="507">
        <f>SUMIFS(Controle!$R:$R,Controle!$H:$H,produtos_escape2!$A2786,Controle!$Z:$Z,"3")</f>
        <v>0</v>
      </c>
      <c r="I2786" s="507">
        <f>SUMIFS(Controle!$R:$R,Controle!$H:$H,produtos_escape2!$A2786,Controle!$Z:$Z,"4")</f>
        <v>7598</v>
      </c>
      <c r="J2786" s="507">
        <f>SUMIFS(Controle!$R:$R,Controle!$H:$H,produtos_escape2!$A2786,Controle!$Z:$Z,"5")</f>
        <v>0</v>
      </c>
      <c r="K2786" s="507">
        <f>SUMIFS(Controle!$R:$R,Controle!$H:$H,produtos_escape2!$A2786,Controle!$Z:$Z,"6")</f>
        <v>0</v>
      </c>
      <c r="L2786" s="507">
        <f t="shared" si="95"/>
        <v>7598</v>
      </c>
    </row>
    <row r="2787" spans="1:12" s="84" customFormat="1" ht="14.25" customHeight="1" thickBot="1">
      <c r="A2787" s="353" t="s">
        <v>816</v>
      </c>
      <c r="B2787" s="194" t="s">
        <v>1829</v>
      </c>
      <c r="C2787" s="339">
        <f t="shared" si="96"/>
        <v>50000</v>
      </c>
      <c r="D2787" s="196" t="s">
        <v>696</v>
      </c>
      <c r="E2787" s="197"/>
      <c r="F2787" s="507">
        <f>SUMIFS(Controle!$R:$R,Controle!$H:$H,produtos_escape2!$A2787,Controle!$Z:$Z,"1")</f>
        <v>0</v>
      </c>
      <c r="G2787" s="507">
        <f>SUMIFS(Controle!$R:$R,Controle!$H:$H,produtos_escape2!$A2787,Controle!$Z:$Z,"2")</f>
        <v>0</v>
      </c>
      <c r="H2787" s="507">
        <f>SUMIFS(Controle!$R:$R,Controle!$H:$H,produtos_escape2!$A2787,Controle!$Z:$Z,"3")</f>
        <v>0</v>
      </c>
      <c r="I2787" s="507">
        <f>SUMIFS(Controle!$R:$R,Controle!$H:$H,produtos_escape2!$A2787,Controle!$Z:$Z,"4")</f>
        <v>0</v>
      </c>
      <c r="J2787" s="507">
        <f>SUMIFS(Controle!$R:$R,Controle!$H:$H,produtos_escape2!$A2787,Controle!$Z:$Z,"5")</f>
        <v>0</v>
      </c>
      <c r="K2787" s="507">
        <f>SUMIFS(Controle!$R:$R,Controle!$H:$H,produtos_escape2!$A2787,Controle!$Z:$Z,"6")</f>
        <v>0</v>
      </c>
      <c r="L2787" s="507">
        <f t="shared" si="95"/>
        <v>0</v>
      </c>
    </row>
    <row r="2788" spans="1:12" s="84" customFormat="1" ht="14.25" customHeight="1" thickBot="1">
      <c r="A2788" s="353" t="s">
        <v>2754</v>
      </c>
      <c r="B2788" s="194" t="s">
        <v>4346</v>
      </c>
      <c r="C2788" s="339">
        <f t="shared" si="96"/>
        <v>49991.94</v>
      </c>
      <c r="D2788" s="196" t="s">
        <v>696</v>
      </c>
      <c r="E2788" s="197"/>
      <c r="F2788" s="507">
        <f>SUMIFS(Controle!$R:$R,Controle!$H:$H,produtos_escape2!$A2788,Controle!$Z:$Z,"1")</f>
        <v>0</v>
      </c>
      <c r="G2788" s="507">
        <f>SUMIFS(Controle!$R:$R,Controle!$H:$H,produtos_escape2!$A2788,Controle!$Z:$Z,"2")</f>
        <v>0</v>
      </c>
      <c r="H2788" s="507">
        <f>SUMIFS(Controle!$R:$R,Controle!$H:$H,produtos_escape2!$A2788,Controle!$Z:$Z,"3")</f>
        <v>0</v>
      </c>
      <c r="I2788" s="507">
        <f>SUMIFS(Controle!$R:$R,Controle!$H:$H,produtos_escape2!$A2788,Controle!$Z:$Z,"4")</f>
        <v>0</v>
      </c>
      <c r="J2788" s="507">
        <f>SUMIFS(Controle!$R:$R,Controle!$H:$H,produtos_escape2!$A2788,Controle!$Z:$Z,"5")</f>
        <v>0</v>
      </c>
      <c r="K2788" s="507">
        <f>SUMIFS(Controle!$R:$R,Controle!$H:$H,produtos_escape2!$A2788,Controle!$Z:$Z,"6")</f>
        <v>8.06</v>
      </c>
      <c r="L2788" s="507">
        <f t="shared" si="95"/>
        <v>8.06</v>
      </c>
    </row>
    <row r="2789" spans="1:12" s="84" customFormat="1" ht="14.25" customHeight="1" thickBot="1">
      <c r="A2789" s="353" t="s">
        <v>1325</v>
      </c>
      <c r="B2789" s="194" t="s">
        <v>2825</v>
      </c>
      <c r="C2789" s="339">
        <f t="shared" si="96"/>
        <v>50000</v>
      </c>
      <c r="D2789" s="196" t="s">
        <v>696</v>
      </c>
      <c r="E2789" s="197"/>
      <c r="F2789" s="507">
        <f>SUMIFS(Controle!$R:$R,Controle!$H:$H,produtos_escape2!$A2789,Controle!$Z:$Z,"1")</f>
        <v>0</v>
      </c>
      <c r="G2789" s="507">
        <f>SUMIFS(Controle!$R:$R,Controle!$H:$H,produtos_escape2!$A2789,Controle!$Z:$Z,"2")</f>
        <v>0</v>
      </c>
      <c r="H2789" s="507">
        <f>SUMIFS(Controle!$R:$R,Controle!$H:$H,produtos_escape2!$A2789,Controle!$Z:$Z,"3")</f>
        <v>0</v>
      </c>
      <c r="I2789" s="507">
        <f>SUMIFS(Controle!$R:$R,Controle!$H:$H,produtos_escape2!$A2789,Controle!$Z:$Z,"4")</f>
        <v>0</v>
      </c>
      <c r="J2789" s="507">
        <f>SUMIFS(Controle!$R:$R,Controle!$H:$H,produtos_escape2!$A2789,Controle!$Z:$Z,"5")</f>
        <v>0</v>
      </c>
      <c r="K2789" s="507">
        <f>SUMIFS(Controle!$R:$R,Controle!$H:$H,produtos_escape2!$A2789,Controle!$Z:$Z,"6")</f>
        <v>0</v>
      </c>
      <c r="L2789" s="507">
        <f t="shared" si="95"/>
        <v>0</v>
      </c>
    </row>
    <row r="2790" spans="1:12" s="84" customFormat="1" ht="14.25" customHeight="1" thickBot="1">
      <c r="A2790" s="353" t="s">
        <v>3984</v>
      </c>
      <c r="B2790" s="194" t="s">
        <v>3985</v>
      </c>
      <c r="C2790" s="339">
        <f t="shared" si="96"/>
        <v>50000</v>
      </c>
      <c r="D2790" s="191" t="s">
        <v>696</v>
      </c>
      <c r="E2790" s="172"/>
      <c r="F2790" s="507">
        <f>SUMIFS(Controle!$R:$R,Controle!$H:$H,produtos_escape2!$A2790,Controle!$Z:$Z,"1")</f>
        <v>0</v>
      </c>
      <c r="G2790" s="507">
        <f>SUMIFS(Controle!$R:$R,Controle!$H:$H,produtos_escape2!$A2790,Controle!$Z:$Z,"2")</f>
        <v>0</v>
      </c>
      <c r="H2790" s="507">
        <f>SUMIFS(Controle!$R:$R,Controle!$H:$H,produtos_escape2!$A2790,Controle!$Z:$Z,"3")</f>
        <v>0</v>
      </c>
      <c r="I2790" s="507">
        <f>SUMIFS(Controle!$R:$R,Controle!$H:$H,produtos_escape2!$A2790,Controle!$Z:$Z,"4")</f>
        <v>0</v>
      </c>
      <c r="J2790" s="507">
        <f>SUMIFS(Controle!$R:$R,Controle!$H:$H,produtos_escape2!$A2790,Controle!$Z:$Z,"5")</f>
        <v>0</v>
      </c>
      <c r="K2790" s="507">
        <f>SUMIFS(Controle!$R:$R,Controle!$H:$H,produtos_escape2!$A2790,Controle!$Z:$Z,"6")</f>
        <v>0</v>
      </c>
      <c r="L2790" s="507">
        <f t="shared" si="95"/>
        <v>0</v>
      </c>
    </row>
    <row r="2791" spans="1:12" s="84" customFormat="1" ht="14.25" customHeight="1" thickBot="1">
      <c r="A2791" s="333"/>
      <c r="B2791" s="193"/>
      <c r="C2791" s="339">
        <f t="shared" si="96"/>
        <v>50000</v>
      </c>
      <c r="D2791" s="191" t="s">
        <v>636</v>
      </c>
      <c r="E2791" s="172" t="s">
        <v>1687</v>
      </c>
      <c r="F2791" s="507">
        <f>SUMIFS(Controle!$R:$R,Controle!$H:$H,produtos_escape2!$A2791,Controle!$Z:$Z,"1")</f>
        <v>0</v>
      </c>
      <c r="G2791" s="507">
        <f>SUMIFS(Controle!$R:$R,Controle!$H:$H,produtos_escape2!$A2791,Controle!$Z:$Z,"2")</f>
        <v>0</v>
      </c>
      <c r="H2791" s="507">
        <f>SUMIFS(Controle!$R:$R,Controle!$H:$H,produtos_escape2!$A2791,Controle!$Z:$Z,"3")</f>
        <v>0</v>
      </c>
      <c r="I2791" s="507">
        <f>SUMIFS(Controle!$R:$R,Controle!$H:$H,produtos_escape2!$A2791,Controle!$Z:$Z,"4")</f>
        <v>0</v>
      </c>
      <c r="J2791" s="507">
        <f>SUMIFS(Controle!$R:$R,Controle!$H:$H,produtos_escape2!$A2791,Controle!$Z:$Z,"5")</f>
        <v>0</v>
      </c>
      <c r="K2791" s="507">
        <f>SUMIFS(Controle!$R:$R,Controle!$H:$H,produtos_escape2!$A2791,Controle!$Z:$Z,"6")</f>
        <v>0</v>
      </c>
      <c r="L2791" s="507">
        <f t="shared" si="95"/>
        <v>0</v>
      </c>
    </row>
    <row r="2792" spans="1:12" s="84" customFormat="1" ht="14.25" customHeight="1" thickBot="1">
      <c r="A2792" s="337"/>
      <c r="B2792" s="193"/>
      <c r="C2792" s="339">
        <f t="shared" si="96"/>
        <v>50000</v>
      </c>
      <c r="D2792" s="191" t="s">
        <v>636</v>
      </c>
      <c r="E2792" s="172" t="s">
        <v>1687</v>
      </c>
      <c r="F2792" s="507">
        <f>SUMIFS(Controle!$R:$R,Controle!$H:$H,produtos_escape2!$A2792,Controle!$Z:$Z,"1")</f>
        <v>0</v>
      </c>
      <c r="G2792" s="507">
        <f>SUMIFS(Controle!$R:$R,Controle!$H:$H,produtos_escape2!$A2792,Controle!$Z:$Z,"2")</f>
        <v>0</v>
      </c>
      <c r="H2792" s="507">
        <f>SUMIFS(Controle!$R:$R,Controle!$H:$H,produtos_escape2!$A2792,Controle!$Z:$Z,"3")</f>
        <v>0</v>
      </c>
      <c r="I2792" s="507">
        <f>SUMIFS(Controle!$R:$R,Controle!$H:$H,produtos_escape2!$A2792,Controle!$Z:$Z,"4")</f>
        <v>0</v>
      </c>
      <c r="J2792" s="507">
        <f>SUMIFS(Controle!$R:$R,Controle!$H:$H,produtos_escape2!$A2792,Controle!$Z:$Z,"5")</f>
        <v>0</v>
      </c>
      <c r="K2792" s="507">
        <f>SUMIFS(Controle!$R:$R,Controle!$H:$H,produtos_escape2!$A2792,Controle!$Z:$Z,"6")</f>
        <v>0</v>
      </c>
      <c r="L2792" s="507">
        <f t="shared" si="95"/>
        <v>0</v>
      </c>
    </row>
    <row r="2793" spans="1:12" s="84" customFormat="1" ht="14.25" customHeight="1" thickBot="1">
      <c r="A2793" s="334"/>
      <c r="B2793" s="193"/>
      <c r="C2793" s="339">
        <f t="shared" si="96"/>
        <v>50000</v>
      </c>
      <c r="D2793" s="191" t="s">
        <v>636</v>
      </c>
      <c r="E2793" s="172" t="s">
        <v>1687</v>
      </c>
      <c r="F2793" s="507">
        <f>SUMIFS(Controle!$R:$R,Controle!$H:$H,produtos_escape2!$A2793,Controle!$Z:$Z,"1")</f>
        <v>0</v>
      </c>
      <c r="G2793" s="507">
        <f>SUMIFS(Controle!$R:$R,Controle!$H:$H,produtos_escape2!$A2793,Controle!$Z:$Z,"2")</f>
        <v>0</v>
      </c>
      <c r="H2793" s="507">
        <f>SUMIFS(Controle!$R:$R,Controle!$H:$H,produtos_escape2!$A2793,Controle!$Z:$Z,"3")</f>
        <v>0</v>
      </c>
      <c r="I2793" s="507">
        <f>SUMIFS(Controle!$R:$R,Controle!$H:$H,produtos_escape2!$A2793,Controle!$Z:$Z,"4")</f>
        <v>0</v>
      </c>
      <c r="J2793" s="507">
        <f>SUMIFS(Controle!$R:$R,Controle!$H:$H,produtos_escape2!$A2793,Controle!$Z:$Z,"5")</f>
        <v>0</v>
      </c>
      <c r="K2793" s="507">
        <f>SUMIFS(Controle!$R:$R,Controle!$H:$H,produtos_escape2!$A2793,Controle!$Z:$Z,"6")</f>
        <v>0</v>
      </c>
      <c r="L2793" s="507">
        <f t="shared" si="95"/>
        <v>0</v>
      </c>
    </row>
    <row r="2794" spans="1:12" s="84" customFormat="1" ht="14.25" customHeight="1" thickBot="1">
      <c r="A2794" s="334"/>
      <c r="B2794" s="193"/>
      <c r="C2794" s="173"/>
      <c r="D2794" s="191"/>
      <c r="E2794" s="172"/>
      <c r="F2794" s="507"/>
      <c r="G2794" s="507"/>
      <c r="H2794" s="507"/>
      <c r="I2794" s="507"/>
      <c r="J2794" s="507"/>
      <c r="K2794" s="507"/>
      <c r="L2794" s="507"/>
    </row>
    <row r="2795" spans="1:12" ht="1.5" customHeight="1" thickBot="1">
      <c r="A2795" s="335"/>
      <c r="B2795" s="310"/>
      <c r="C2795" s="311"/>
      <c r="D2795" s="312"/>
      <c r="E2795" s="313"/>
      <c r="F2795" s="508">
        <f t="shared" ref="F2795:L2795" si="98">SUM(F2:F2794)</f>
        <v>9687.7999999999993</v>
      </c>
      <c r="G2795" s="508">
        <f t="shared" si="98"/>
        <v>466139.68739999994</v>
      </c>
      <c r="H2795" s="508">
        <f t="shared" si="98"/>
        <v>491758.7608799999</v>
      </c>
      <c r="I2795" s="508">
        <f t="shared" si="98"/>
        <v>667182.64600000007</v>
      </c>
      <c r="J2795" s="508">
        <f t="shared" si="98"/>
        <v>158670.49000000005</v>
      </c>
      <c r="K2795" s="508">
        <f t="shared" si="98"/>
        <v>993408.1198333333</v>
      </c>
      <c r="L2795" s="508">
        <f t="shared" si="98"/>
        <v>2786847.5041133361</v>
      </c>
    </row>
  </sheetData>
  <sheetProtection insertColumns="0" insertRows="0" deleteColumns="0" deleteRows="0" sort="0" autoFilter="0" pivotTables="0"/>
  <autoFilter ref="A1:M2795"/>
  <sortState ref="A3:N1753">
    <sortCondition ref="A2"/>
  </sortState>
  <conditionalFormatting sqref="C2:C13 C18:C320 C2121:C2376 C2486:C2540 C2378:C2483 C877:C1318 C351 C353:C592 C699:C875 C1452:C1476 C1320:C1351 C15:C16 C1478:C1489 C2773:C2794 C2734:C2771 C1708:C2119 C1353:C1450 C2542:C2730 C1491:C1706 C594:C629 C631:C697 C322:C349">
    <cfRule type="cellIs" dxfId="580" priority="50889" stopIfTrue="1" operator="lessThanOrEqual">
      <formula>1000</formula>
    </cfRule>
  </conditionalFormatting>
  <conditionalFormatting sqref="A1550">
    <cfRule type="duplicateValues" dxfId="579" priority="481"/>
  </conditionalFormatting>
  <conditionalFormatting sqref="A35">
    <cfRule type="duplicateValues" dxfId="578" priority="479"/>
  </conditionalFormatting>
  <conditionalFormatting sqref="A164">
    <cfRule type="duplicateValues" dxfId="577" priority="477"/>
  </conditionalFormatting>
  <conditionalFormatting sqref="A1468 A1470">
    <cfRule type="duplicateValues" dxfId="576" priority="475"/>
  </conditionalFormatting>
  <conditionalFormatting sqref="A828">
    <cfRule type="duplicateValues" dxfId="575" priority="473"/>
  </conditionalFormatting>
  <conditionalFormatting sqref="A2523">
    <cfRule type="duplicateValues" dxfId="574" priority="471"/>
  </conditionalFormatting>
  <conditionalFormatting sqref="A631">
    <cfRule type="duplicateValues" dxfId="573" priority="467"/>
  </conditionalFormatting>
  <conditionalFormatting sqref="A806">
    <cfRule type="duplicateValues" dxfId="572" priority="465"/>
  </conditionalFormatting>
  <conditionalFormatting sqref="A2180">
    <cfRule type="duplicateValues" dxfId="571" priority="463"/>
  </conditionalFormatting>
  <conditionalFormatting sqref="A1431">
    <cfRule type="duplicateValues" dxfId="570" priority="461"/>
  </conditionalFormatting>
  <conditionalFormatting sqref="A718">
    <cfRule type="duplicateValues" dxfId="569" priority="459"/>
  </conditionalFormatting>
  <conditionalFormatting sqref="A2706">
    <cfRule type="duplicateValues" dxfId="568" priority="457"/>
  </conditionalFormatting>
  <conditionalFormatting sqref="A2343">
    <cfRule type="duplicateValues" dxfId="567" priority="455"/>
  </conditionalFormatting>
  <conditionalFormatting sqref="A2135">
    <cfRule type="duplicateValues" dxfId="566" priority="453"/>
  </conditionalFormatting>
  <conditionalFormatting sqref="A1061">
    <cfRule type="duplicateValues" dxfId="565" priority="451"/>
  </conditionalFormatting>
  <conditionalFormatting sqref="A278">
    <cfRule type="duplicateValues" dxfId="564" priority="449"/>
  </conditionalFormatting>
  <conditionalFormatting sqref="A1930">
    <cfRule type="duplicateValues" dxfId="563" priority="447"/>
  </conditionalFormatting>
  <conditionalFormatting sqref="A1291">
    <cfRule type="duplicateValues" dxfId="562" priority="445"/>
  </conditionalFormatting>
  <conditionalFormatting sqref="A1292:A1301">
    <cfRule type="duplicateValues" dxfId="561" priority="443"/>
  </conditionalFormatting>
  <conditionalFormatting sqref="A2543">
    <cfRule type="duplicateValues" dxfId="560" priority="441"/>
  </conditionalFormatting>
  <conditionalFormatting sqref="A2544:A2545">
    <cfRule type="duplicateValues" dxfId="559" priority="439"/>
  </conditionalFormatting>
  <conditionalFormatting sqref="A2723">
    <cfRule type="duplicateValues" dxfId="558" priority="437"/>
  </conditionalFormatting>
  <conditionalFormatting sqref="A153">
    <cfRule type="duplicateValues" dxfId="557" priority="435"/>
  </conditionalFormatting>
  <conditionalFormatting sqref="A1282">
    <cfRule type="duplicateValues" dxfId="556" priority="433"/>
  </conditionalFormatting>
  <conditionalFormatting sqref="A186">
    <cfRule type="duplicateValues" dxfId="555" priority="431"/>
  </conditionalFormatting>
  <conditionalFormatting sqref="A2081">
    <cfRule type="duplicateValues" dxfId="554" priority="429"/>
  </conditionalFormatting>
  <conditionalFormatting sqref="A1444">
    <cfRule type="duplicateValues" dxfId="553" priority="427"/>
  </conditionalFormatting>
  <conditionalFormatting sqref="A2083">
    <cfRule type="duplicateValues" dxfId="552" priority="425"/>
  </conditionalFormatting>
  <conditionalFormatting sqref="A796">
    <cfRule type="duplicateValues" dxfId="551" priority="423"/>
  </conditionalFormatting>
  <conditionalFormatting sqref="A697">
    <cfRule type="duplicateValues" dxfId="550" priority="421"/>
  </conditionalFormatting>
  <conditionalFormatting sqref="A793">
    <cfRule type="duplicateValues" dxfId="549" priority="419"/>
  </conditionalFormatting>
  <conditionalFormatting sqref="A2092">
    <cfRule type="duplicateValues" dxfId="548" priority="417"/>
  </conditionalFormatting>
  <conditionalFormatting sqref="A1471">
    <cfRule type="duplicateValues" dxfId="547" priority="415"/>
  </conditionalFormatting>
  <conditionalFormatting sqref="A2712">
    <cfRule type="duplicateValues" dxfId="546" priority="413"/>
  </conditionalFormatting>
  <conditionalFormatting sqref="A2724">
    <cfRule type="duplicateValues" dxfId="545" priority="411"/>
  </conditionalFormatting>
  <conditionalFormatting sqref="A1062">
    <cfRule type="duplicateValues" dxfId="544" priority="409"/>
  </conditionalFormatting>
  <conditionalFormatting sqref="A1446">
    <cfRule type="duplicateValues" dxfId="543" priority="407"/>
  </conditionalFormatting>
  <conditionalFormatting sqref="A235">
    <cfRule type="duplicateValues" dxfId="542" priority="405"/>
  </conditionalFormatting>
  <conditionalFormatting sqref="A279">
    <cfRule type="duplicateValues" dxfId="541" priority="403"/>
  </conditionalFormatting>
  <conditionalFormatting sqref="A2622">
    <cfRule type="duplicateValues" dxfId="540" priority="401"/>
  </conditionalFormatting>
  <conditionalFormatting sqref="A2623">
    <cfRule type="duplicateValues" dxfId="539" priority="399"/>
  </conditionalFormatting>
  <conditionalFormatting sqref="A2479">
    <cfRule type="duplicateValues" dxfId="538" priority="392"/>
  </conditionalFormatting>
  <conditionalFormatting sqref="A1480:A1481">
    <cfRule type="duplicateValues" dxfId="537" priority="390"/>
  </conditionalFormatting>
  <conditionalFormatting sqref="A870">
    <cfRule type="duplicateValues" dxfId="536" priority="388"/>
  </conditionalFormatting>
  <conditionalFormatting sqref="A474">
    <cfRule type="duplicateValues" dxfId="535" priority="386"/>
  </conditionalFormatting>
  <conditionalFormatting sqref="A1527">
    <cfRule type="duplicateValues" dxfId="534" priority="384"/>
  </conditionalFormatting>
  <conditionalFormatting sqref="A166">
    <cfRule type="duplicateValues" dxfId="533" priority="382"/>
  </conditionalFormatting>
  <conditionalFormatting sqref="A93">
    <cfRule type="duplicateValues" dxfId="532" priority="380"/>
  </conditionalFormatting>
  <conditionalFormatting sqref="A85">
    <cfRule type="duplicateValues" dxfId="531" priority="378"/>
  </conditionalFormatting>
  <conditionalFormatting sqref="A2565:A2566">
    <cfRule type="duplicateValues" dxfId="530" priority="376"/>
  </conditionalFormatting>
  <conditionalFormatting sqref="A511">
    <cfRule type="duplicateValues" dxfId="529" priority="374"/>
  </conditionalFormatting>
  <conditionalFormatting sqref="A515">
    <cfRule type="duplicateValues" dxfId="528" priority="372"/>
  </conditionalFormatting>
  <conditionalFormatting sqref="A512:A514">
    <cfRule type="duplicateValues" dxfId="527" priority="370"/>
  </conditionalFormatting>
  <conditionalFormatting sqref="A1478:A1479">
    <cfRule type="duplicateValues" dxfId="526" priority="368"/>
  </conditionalFormatting>
  <conditionalFormatting sqref="A517">
    <cfRule type="duplicateValues" dxfId="525" priority="364"/>
  </conditionalFormatting>
  <conditionalFormatting sqref="A958">
    <cfRule type="duplicateValues" dxfId="524" priority="362"/>
  </conditionalFormatting>
  <conditionalFormatting sqref="A518">
    <cfRule type="duplicateValues" dxfId="523" priority="360"/>
  </conditionalFormatting>
  <conditionalFormatting sqref="A595">
    <cfRule type="duplicateValues" dxfId="522" priority="356"/>
  </conditionalFormatting>
  <conditionalFormatting sqref="A596">
    <cfRule type="duplicateValues" dxfId="521" priority="354"/>
  </conditionalFormatting>
  <conditionalFormatting sqref="A1522">
    <cfRule type="duplicateValues" dxfId="520" priority="352"/>
  </conditionalFormatting>
  <conditionalFormatting sqref="A2725">
    <cfRule type="duplicateValues" dxfId="519" priority="349"/>
  </conditionalFormatting>
  <conditionalFormatting sqref="A2595:A2597">
    <cfRule type="duplicateValues" dxfId="518" priority="347"/>
  </conditionalFormatting>
  <conditionalFormatting sqref="A2773:A1048576 A2707:A2711 A2524:A2527 A1551:A1568 A1:A8 A165 A1472:A1476 A829:A869 A632:A635 A807:A827 A2181:A2185 A1432:A1443 A719:A792 A2136:A2179 A1063:A1115 A1931:A2080 A1302:A1307 A2546:A2564 A154:A156 A1283:A1286 A187:A215 A2082 A1445 A2084:A2091 A797:A805 A699:A717 A794:A795 A2093:A2119 A1448:A1450 A236:A240 A2624:A2705 A2344:A2345 A2495 A1482:A1486 A871:A875 A475:A497 A1528:A1549 A167:A185 A94 A86:A90 A516 A519:A531 A959:A990 A597:A629 A1523:A1526 A2713:A2722 A2598:A2621 A2567:A2569 A2727:A2730 A2758:A2764 A36:A84 A280:A320 A1426:A1430 A457:A473 A1454:A1460 A221:A234 A650:A677 A637:A638 A640:A641 A686:A696 A2245 A2242 A1210:A1226 A1165:A1208 A577:A592 A547:A575 A538:A544 A499:A507 A402:A455 A326:A330 A1117:A1161 A533:A536 A509:A510 A349 A107:A152 A2247 A2232:A2240 A896:A906 A92 A96:A105 A2536:A2540 A2295:A2342 A33 A158:A163 A1462:A1465 A1271:A1276 A1570:A1644 A933:A957 A1506:A1521 A909:A931 A1288:A1290 A2249:A2254 A2273:A2275 A2279:A2289 A2256:A2271 A2579 A2348:A2376 A2591:A2594 A993:A1060 A679:A682 A1504 A1228:A1269 A1646:A1706 A1489 A1467 A258:A277 A2571:A2577 A2499:A2522 A242:A256 A2581:A2589 A1501 A388:A400 A1313:A1318 A2187:A2188 A2190:A2230 A332:A347 A1278:A1281 A10:A12 A1309 A2121:A2134 A2378:A2478 A877:A894 A351 A353:A386 A1452 A1320:A1351 A2734:A2756 A1708:A1929 A1353:A1424 A2542 A1491:A1493 A594 A322:A324">
    <cfRule type="duplicateValues" dxfId="517" priority="87519"/>
  </conditionalFormatting>
  <conditionalFormatting sqref="A2726">
    <cfRule type="duplicateValues" dxfId="516" priority="345"/>
  </conditionalFormatting>
  <conditionalFormatting sqref="A2480:A2483 A2486:A2494">
    <cfRule type="duplicateValues" dxfId="515" priority="87578"/>
  </conditionalFormatting>
  <conditionalFormatting sqref="A2757">
    <cfRule type="duplicateValues" dxfId="514" priority="341"/>
  </conditionalFormatting>
  <conditionalFormatting sqref="A13 A15:A16">
    <cfRule type="duplicateValues" dxfId="513" priority="339"/>
  </conditionalFormatting>
  <conditionalFormatting sqref="A1425">
    <cfRule type="duplicateValues" dxfId="512" priority="337"/>
  </conditionalFormatting>
  <conditionalFormatting sqref="A456">
    <cfRule type="duplicateValues" dxfId="511" priority="335"/>
  </conditionalFormatting>
  <conditionalFormatting sqref="A1453">
    <cfRule type="duplicateValues" dxfId="510" priority="333"/>
  </conditionalFormatting>
  <conditionalFormatting sqref="A216:A220">
    <cfRule type="duplicateValues" dxfId="509" priority="325"/>
  </conditionalFormatting>
  <conditionalFormatting sqref="A2773:A1048576 A2536:A2540 A2245 A650:A677 A1:A8 A637:A638 A640:A641 A686:A697 A2242 A1210:A1226 A1165:A1208 A577:A592 A547:A575 A538:A544 A499:A507 A402:A497 A326:A330 A1117:A1161 A533:A536 A509:A531 A349 A107:A156 A2247 A2232:A2240 A896:A906 A92:A94 A96:A105 A35:A90 A2295:A2345 A33 A158:A240 A1470:A1476 A1462:A1465 A1271:A1276 A1570:A1644 A933:A990 A1506:A1568 A909:A931 A1288:A1307 A2249:A2254 A2273:A2275 A2279:A2289 A2256:A2271 A2579 A2348:A2376 A2591:A2730 A993:A1115 A679:A682 A1504 A1228:A1269 A1646:A1706 A1489 A1467:A1468 A258:A320 A2571:A2577 A1448:A1450 A2499:A2527 A242:A256 A2581:A2589 A1501 A388:A400 A1313:A1318 A2187:A2188 A2190:A2230 A332:A347 A1278:A1286 A10:A13 A1309 A2121:A2185 A2486:A2495 A2378:A2483 A877:A894 A351 A353:A386 A699:A875 A1452:A1460 A1320:A1351 A15:A16 A1478:A1486 A2734:A2764 A1708:A2119 A1353:A1446 A2542:A2569 A1491:A1493 A594:A629 A631:A635 A322:A324">
    <cfRule type="duplicateValues" dxfId="508" priority="324"/>
  </conditionalFormatting>
  <conditionalFormatting sqref="A642">
    <cfRule type="duplicateValues" dxfId="507" priority="322"/>
  </conditionalFormatting>
  <conditionalFormatting sqref="A636">
    <cfRule type="duplicateValues" dxfId="506" priority="320"/>
  </conditionalFormatting>
  <conditionalFormatting sqref="A639">
    <cfRule type="duplicateValues" dxfId="505" priority="318"/>
  </conditionalFormatting>
  <conditionalFormatting sqref="A649">
    <cfRule type="duplicateValues" dxfId="504" priority="316"/>
  </conditionalFormatting>
  <conditionalFormatting sqref="A644">
    <cfRule type="duplicateValues" dxfId="503" priority="314"/>
  </conditionalFormatting>
  <conditionalFormatting sqref="A648">
    <cfRule type="duplicateValues" dxfId="502" priority="312"/>
  </conditionalFormatting>
  <conditionalFormatting sqref="A645">
    <cfRule type="duplicateValues" dxfId="501" priority="310"/>
  </conditionalFormatting>
  <conditionalFormatting sqref="A683">
    <cfRule type="duplicateValues" dxfId="500" priority="308"/>
  </conditionalFormatting>
  <conditionalFormatting sqref="A683">
    <cfRule type="duplicateValues" dxfId="499" priority="307"/>
  </conditionalFormatting>
  <conditionalFormatting sqref="A643">
    <cfRule type="duplicateValues" dxfId="498" priority="305"/>
  </conditionalFormatting>
  <conditionalFormatting sqref="A2244">
    <cfRule type="duplicateValues" dxfId="497" priority="303"/>
  </conditionalFormatting>
  <conditionalFormatting sqref="A2244">
    <cfRule type="duplicateValues" dxfId="496" priority="302"/>
  </conditionalFormatting>
  <conditionalFormatting sqref="A2241">
    <cfRule type="duplicateValues" dxfId="495" priority="300"/>
  </conditionalFormatting>
  <conditionalFormatting sqref="A2241">
    <cfRule type="duplicateValues" dxfId="494" priority="299"/>
  </conditionalFormatting>
  <conditionalFormatting sqref="A2243">
    <cfRule type="duplicateValues" dxfId="493" priority="297"/>
  </conditionalFormatting>
  <conditionalFormatting sqref="A2243">
    <cfRule type="duplicateValues" dxfId="492" priority="296"/>
  </conditionalFormatting>
  <conditionalFormatting sqref="A1209">
    <cfRule type="duplicateValues" dxfId="491" priority="294"/>
  </conditionalFormatting>
  <conditionalFormatting sqref="A1209">
    <cfRule type="duplicateValues" dxfId="490" priority="293"/>
  </conditionalFormatting>
  <conditionalFormatting sqref="A1164">
    <cfRule type="duplicateValues" dxfId="489" priority="291"/>
  </conditionalFormatting>
  <conditionalFormatting sqref="A1164">
    <cfRule type="duplicateValues" dxfId="488" priority="290"/>
  </conditionalFormatting>
  <conditionalFormatting sqref="A1162">
    <cfRule type="duplicateValues" dxfId="487" priority="288"/>
  </conditionalFormatting>
  <conditionalFormatting sqref="A1162">
    <cfRule type="duplicateValues" dxfId="486" priority="287"/>
  </conditionalFormatting>
  <conditionalFormatting sqref="A684">
    <cfRule type="duplicateValues" dxfId="485" priority="285"/>
  </conditionalFormatting>
  <conditionalFormatting sqref="A684">
    <cfRule type="duplicateValues" dxfId="484" priority="284"/>
  </conditionalFormatting>
  <conditionalFormatting sqref="A685">
    <cfRule type="duplicateValues" dxfId="483" priority="282"/>
  </conditionalFormatting>
  <conditionalFormatting sqref="A685">
    <cfRule type="duplicateValues" dxfId="482" priority="281"/>
  </conditionalFormatting>
  <conditionalFormatting sqref="A646:A647">
    <cfRule type="duplicateValues" dxfId="481" priority="279"/>
  </conditionalFormatting>
  <conditionalFormatting sqref="A576">
    <cfRule type="duplicateValues" dxfId="480" priority="277"/>
  </conditionalFormatting>
  <conditionalFormatting sqref="A576">
    <cfRule type="duplicateValues" dxfId="479" priority="276"/>
  </conditionalFormatting>
  <conditionalFormatting sqref="A546">
    <cfRule type="duplicateValues" dxfId="478" priority="274"/>
  </conditionalFormatting>
  <conditionalFormatting sqref="A546">
    <cfRule type="duplicateValues" dxfId="477" priority="273"/>
  </conditionalFormatting>
  <conditionalFormatting sqref="A545">
    <cfRule type="duplicateValues" dxfId="476" priority="271"/>
  </conditionalFormatting>
  <conditionalFormatting sqref="A545">
    <cfRule type="duplicateValues" dxfId="475" priority="270"/>
  </conditionalFormatting>
  <conditionalFormatting sqref="A537">
    <cfRule type="duplicateValues" dxfId="474" priority="268"/>
  </conditionalFormatting>
  <conditionalFormatting sqref="A537">
    <cfRule type="duplicateValues" dxfId="473" priority="267"/>
  </conditionalFormatting>
  <conditionalFormatting sqref="A498">
    <cfRule type="duplicateValues" dxfId="472" priority="265"/>
  </conditionalFormatting>
  <conditionalFormatting sqref="A498">
    <cfRule type="duplicateValues" dxfId="471" priority="264"/>
  </conditionalFormatting>
  <conditionalFormatting sqref="A401">
    <cfRule type="duplicateValues" dxfId="470" priority="262"/>
  </conditionalFormatting>
  <conditionalFormatting sqref="A401">
    <cfRule type="duplicateValues" dxfId="469" priority="261"/>
  </conditionalFormatting>
  <conditionalFormatting sqref="A325">
    <cfRule type="duplicateValues" dxfId="468" priority="259"/>
  </conditionalFormatting>
  <conditionalFormatting sqref="A325">
    <cfRule type="duplicateValues" dxfId="467" priority="258"/>
  </conditionalFormatting>
  <conditionalFormatting sqref="A1116">
    <cfRule type="duplicateValues" dxfId="466" priority="256"/>
  </conditionalFormatting>
  <conditionalFormatting sqref="A1116">
    <cfRule type="duplicateValues" dxfId="465" priority="255"/>
  </conditionalFormatting>
  <conditionalFormatting sqref="A532">
    <cfRule type="duplicateValues" dxfId="464" priority="253"/>
  </conditionalFormatting>
  <conditionalFormatting sqref="A532">
    <cfRule type="duplicateValues" dxfId="463" priority="252"/>
  </conditionalFormatting>
  <conditionalFormatting sqref="A508">
    <cfRule type="duplicateValues" dxfId="462" priority="250"/>
  </conditionalFormatting>
  <conditionalFormatting sqref="A508">
    <cfRule type="duplicateValues" dxfId="461" priority="249"/>
  </conditionalFormatting>
  <conditionalFormatting sqref="A348">
    <cfRule type="duplicateValues" dxfId="460" priority="247"/>
  </conditionalFormatting>
  <conditionalFormatting sqref="A348">
    <cfRule type="duplicateValues" dxfId="459" priority="246"/>
  </conditionalFormatting>
  <conditionalFormatting sqref="A106">
    <cfRule type="duplicateValues" dxfId="458" priority="244"/>
  </conditionalFormatting>
  <conditionalFormatting sqref="A106">
    <cfRule type="duplicateValues" dxfId="457" priority="243"/>
  </conditionalFormatting>
  <conditionalFormatting sqref="A2246">
    <cfRule type="duplicateValues" dxfId="456" priority="241"/>
  </conditionalFormatting>
  <conditionalFormatting sqref="A2246">
    <cfRule type="duplicateValues" dxfId="455" priority="240"/>
  </conditionalFormatting>
  <conditionalFormatting sqref="A2231">
    <cfRule type="duplicateValues" dxfId="454" priority="238"/>
  </conditionalFormatting>
  <conditionalFormatting sqref="A2231">
    <cfRule type="duplicateValues" dxfId="453" priority="237"/>
  </conditionalFormatting>
  <conditionalFormatting sqref="A895">
    <cfRule type="duplicateValues" dxfId="452" priority="235"/>
  </conditionalFormatting>
  <conditionalFormatting sqref="A895">
    <cfRule type="duplicateValues" dxfId="451" priority="234"/>
  </conditionalFormatting>
  <conditionalFormatting sqref="A91">
    <cfRule type="duplicateValues" dxfId="450" priority="232"/>
  </conditionalFormatting>
  <conditionalFormatting sqref="A91">
    <cfRule type="duplicateValues" dxfId="449" priority="231"/>
  </conditionalFormatting>
  <conditionalFormatting sqref="A95">
    <cfRule type="duplicateValues" dxfId="448" priority="229"/>
  </conditionalFormatting>
  <conditionalFormatting sqref="A95">
    <cfRule type="duplicateValues" dxfId="447" priority="228"/>
  </conditionalFormatting>
  <conditionalFormatting sqref="A34">
    <cfRule type="duplicateValues" dxfId="446" priority="226"/>
  </conditionalFormatting>
  <conditionalFormatting sqref="A34">
    <cfRule type="duplicateValues" dxfId="445" priority="225"/>
  </conditionalFormatting>
  <conditionalFormatting sqref="A2528:A2535">
    <cfRule type="duplicateValues" dxfId="444" priority="223"/>
  </conditionalFormatting>
  <conditionalFormatting sqref="A2528:A2535">
    <cfRule type="duplicateValues" dxfId="443" priority="222"/>
  </conditionalFormatting>
  <conditionalFormatting sqref="A2765:A2771">
    <cfRule type="duplicateValues" dxfId="442" priority="220"/>
  </conditionalFormatting>
  <conditionalFormatting sqref="A2765:A2771">
    <cfRule type="duplicateValues" dxfId="441" priority="219"/>
  </conditionalFormatting>
  <conditionalFormatting sqref="A2290:A2294">
    <cfRule type="duplicateValues" dxfId="440" priority="217"/>
  </conditionalFormatting>
  <conditionalFormatting sqref="A2290:A2294">
    <cfRule type="duplicateValues" dxfId="439" priority="216"/>
  </conditionalFormatting>
  <conditionalFormatting sqref="A31:A32 A18:A20 A26">
    <cfRule type="duplicateValues" dxfId="438" priority="212"/>
  </conditionalFormatting>
  <conditionalFormatting sqref="A26 A18:A20">
    <cfRule type="duplicateValues" dxfId="437" priority="211"/>
  </conditionalFormatting>
  <conditionalFormatting sqref="A27:A30">
    <cfRule type="duplicateValues" dxfId="436" priority="209"/>
  </conditionalFormatting>
  <conditionalFormatting sqref="A27:A30">
    <cfRule type="duplicateValues" dxfId="435" priority="208"/>
  </conditionalFormatting>
  <conditionalFormatting sqref="A157">
    <cfRule type="duplicateValues" dxfId="434" priority="203"/>
  </conditionalFormatting>
  <conditionalFormatting sqref="A157">
    <cfRule type="duplicateValues" dxfId="433" priority="202"/>
  </conditionalFormatting>
  <conditionalFormatting sqref="A1469">
    <cfRule type="duplicateValues" dxfId="432" priority="200"/>
  </conditionalFormatting>
  <conditionalFormatting sqref="A1469">
    <cfRule type="duplicateValues" dxfId="431" priority="199"/>
  </conditionalFormatting>
  <conditionalFormatting sqref="A1461">
    <cfRule type="duplicateValues" dxfId="430" priority="197"/>
  </conditionalFormatting>
  <conditionalFormatting sqref="A1461">
    <cfRule type="duplicateValues" dxfId="429" priority="196"/>
  </conditionalFormatting>
  <conditionalFormatting sqref="A1270">
    <cfRule type="duplicateValues" dxfId="428" priority="194"/>
  </conditionalFormatting>
  <conditionalFormatting sqref="A1270">
    <cfRule type="duplicateValues" dxfId="427" priority="193"/>
  </conditionalFormatting>
  <conditionalFormatting sqref="A1569">
    <cfRule type="duplicateValues" dxfId="426" priority="191"/>
  </conditionalFormatting>
  <conditionalFormatting sqref="A1569">
    <cfRule type="duplicateValues" dxfId="425" priority="190"/>
  </conditionalFormatting>
  <conditionalFormatting sqref="A1163">
    <cfRule type="duplicateValues" dxfId="424" priority="188"/>
  </conditionalFormatting>
  <conditionalFormatting sqref="A1163">
    <cfRule type="duplicateValues" dxfId="423" priority="187"/>
  </conditionalFormatting>
  <conditionalFormatting sqref="A932">
    <cfRule type="duplicateValues" dxfId="422" priority="185"/>
  </conditionalFormatting>
  <conditionalFormatting sqref="A932">
    <cfRule type="duplicateValues" dxfId="421" priority="184"/>
  </conditionalFormatting>
  <conditionalFormatting sqref="A1505">
    <cfRule type="duplicateValues" dxfId="420" priority="182"/>
  </conditionalFormatting>
  <conditionalFormatting sqref="A1505">
    <cfRule type="duplicateValues" dxfId="419" priority="181"/>
  </conditionalFormatting>
  <conditionalFormatting sqref="A907:A908">
    <cfRule type="duplicateValues" dxfId="418" priority="179"/>
  </conditionalFormatting>
  <conditionalFormatting sqref="A907:A908">
    <cfRule type="duplicateValues" dxfId="417" priority="178"/>
  </conditionalFormatting>
  <conditionalFormatting sqref="A1287">
    <cfRule type="duplicateValues" dxfId="416" priority="176"/>
  </conditionalFormatting>
  <conditionalFormatting sqref="A1287">
    <cfRule type="duplicateValues" dxfId="415" priority="175"/>
  </conditionalFormatting>
  <conditionalFormatting sqref="A2248">
    <cfRule type="duplicateValues" dxfId="414" priority="173"/>
  </conditionalFormatting>
  <conditionalFormatting sqref="A2248">
    <cfRule type="duplicateValues" dxfId="413" priority="172"/>
  </conditionalFormatting>
  <conditionalFormatting sqref="A2272">
    <cfRule type="duplicateValues" dxfId="412" priority="170"/>
  </conditionalFormatting>
  <conditionalFormatting sqref="A2272">
    <cfRule type="duplicateValues" dxfId="411" priority="169"/>
  </conditionalFormatting>
  <conditionalFormatting sqref="A2276:A2278">
    <cfRule type="duplicateValues" dxfId="410" priority="167"/>
  </conditionalFormatting>
  <conditionalFormatting sqref="A2276:A2278">
    <cfRule type="duplicateValues" dxfId="409" priority="166"/>
  </conditionalFormatting>
  <conditionalFormatting sqref="A2255">
    <cfRule type="duplicateValues" dxfId="408" priority="164"/>
  </conditionalFormatting>
  <conditionalFormatting sqref="A2255">
    <cfRule type="duplicateValues" dxfId="407" priority="163"/>
  </conditionalFormatting>
  <conditionalFormatting sqref="A21:A24">
    <cfRule type="duplicateValues" dxfId="406" priority="89870"/>
  </conditionalFormatting>
  <conditionalFormatting sqref="A2578">
    <cfRule type="duplicateValues" dxfId="405" priority="155"/>
  </conditionalFormatting>
  <conditionalFormatting sqref="A2578">
    <cfRule type="duplicateValues" dxfId="404" priority="154"/>
  </conditionalFormatting>
  <conditionalFormatting sqref="A2346:A2347">
    <cfRule type="duplicateValues" dxfId="403" priority="152"/>
  </conditionalFormatting>
  <conditionalFormatting sqref="A2346:A2347">
    <cfRule type="duplicateValues" dxfId="402" priority="151"/>
  </conditionalFormatting>
  <conditionalFormatting sqref="A2590">
    <cfRule type="duplicateValues" dxfId="401" priority="149"/>
  </conditionalFormatting>
  <conditionalFormatting sqref="A2590">
    <cfRule type="duplicateValues" dxfId="400" priority="148"/>
  </conditionalFormatting>
  <conditionalFormatting sqref="A991:A992">
    <cfRule type="duplicateValues" dxfId="399" priority="146"/>
  </conditionalFormatting>
  <conditionalFormatting sqref="A991:A992">
    <cfRule type="duplicateValues" dxfId="398" priority="145"/>
  </conditionalFormatting>
  <conditionalFormatting sqref="A25">
    <cfRule type="duplicateValues" dxfId="397" priority="143"/>
  </conditionalFormatting>
  <conditionalFormatting sqref="A25">
    <cfRule type="duplicateValues" dxfId="396" priority="142"/>
  </conditionalFormatting>
  <conditionalFormatting sqref="A678">
    <cfRule type="duplicateValues" dxfId="395" priority="140"/>
  </conditionalFormatting>
  <conditionalFormatting sqref="A678">
    <cfRule type="duplicateValues" dxfId="394" priority="139"/>
  </conditionalFormatting>
  <conditionalFormatting sqref="A1502">
    <cfRule type="duplicateValues" dxfId="393" priority="137"/>
  </conditionalFormatting>
  <conditionalFormatting sqref="A1502">
    <cfRule type="duplicateValues" dxfId="392" priority="136"/>
  </conditionalFormatting>
  <conditionalFormatting sqref="A1227">
    <cfRule type="duplicateValues" dxfId="391" priority="134"/>
  </conditionalFormatting>
  <conditionalFormatting sqref="A1227">
    <cfRule type="duplicateValues" dxfId="390" priority="133"/>
  </conditionalFormatting>
  <conditionalFormatting sqref="A1645">
    <cfRule type="duplicateValues" dxfId="389" priority="131"/>
  </conditionalFormatting>
  <conditionalFormatting sqref="A1645">
    <cfRule type="duplicateValues" dxfId="388" priority="130"/>
  </conditionalFormatting>
  <conditionalFormatting sqref="A1488">
    <cfRule type="duplicateValues" dxfId="387" priority="128"/>
  </conditionalFormatting>
  <conditionalFormatting sqref="A1488">
    <cfRule type="duplicateValues" dxfId="386" priority="127"/>
  </conditionalFormatting>
  <conditionalFormatting sqref="A1466">
    <cfRule type="duplicateValues" dxfId="385" priority="125"/>
  </conditionalFormatting>
  <conditionalFormatting sqref="A1466">
    <cfRule type="duplicateValues" dxfId="384" priority="124"/>
  </conditionalFormatting>
  <conditionalFormatting sqref="A257">
    <cfRule type="duplicateValues" dxfId="383" priority="122"/>
  </conditionalFormatting>
  <conditionalFormatting sqref="A257">
    <cfRule type="duplicateValues" dxfId="382" priority="121"/>
  </conditionalFormatting>
  <conditionalFormatting sqref="A2570">
    <cfRule type="duplicateValues" dxfId="381" priority="119"/>
  </conditionalFormatting>
  <conditionalFormatting sqref="A2570">
    <cfRule type="duplicateValues" dxfId="380" priority="118"/>
  </conditionalFormatting>
  <conditionalFormatting sqref="A1447">
    <cfRule type="duplicateValues" dxfId="379" priority="116"/>
  </conditionalFormatting>
  <conditionalFormatting sqref="A1447">
    <cfRule type="duplicateValues" dxfId="378" priority="115"/>
  </conditionalFormatting>
  <conditionalFormatting sqref="A2496">
    <cfRule type="duplicateValues" dxfId="377" priority="113"/>
  </conditionalFormatting>
  <conditionalFormatting sqref="A2496">
    <cfRule type="duplicateValues" dxfId="376" priority="112"/>
  </conditionalFormatting>
  <conditionalFormatting sqref="A241">
    <cfRule type="duplicateValues" dxfId="375" priority="110"/>
  </conditionalFormatting>
  <conditionalFormatting sqref="A241">
    <cfRule type="duplicateValues" dxfId="374" priority="109"/>
  </conditionalFormatting>
  <conditionalFormatting sqref="A2497">
    <cfRule type="duplicateValues" dxfId="373" priority="107"/>
  </conditionalFormatting>
  <conditionalFormatting sqref="A2497">
    <cfRule type="duplicateValues" dxfId="372" priority="106"/>
  </conditionalFormatting>
  <conditionalFormatting sqref="A2580">
    <cfRule type="duplicateValues" dxfId="371" priority="104"/>
  </conditionalFormatting>
  <conditionalFormatting sqref="A2580">
    <cfRule type="duplicateValues" dxfId="370" priority="103"/>
  </conditionalFormatting>
  <conditionalFormatting sqref="A1494:A1500">
    <cfRule type="duplicateValues" dxfId="369" priority="101"/>
  </conditionalFormatting>
  <conditionalFormatting sqref="A1494:A1500">
    <cfRule type="duplicateValues" dxfId="368" priority="100"/>
  </conditionalFormatting>
  <conditionalFormatting sqref="A387">
    <cfRule type="duplicateValues" dxfId="367" priority="98"/>
  </conditionalFormatting>
  <conditionalFormatting sqref="A387">
    <cfRule type="duplicateValues" dxfId="366" priority="97"/>
  </conditionalFormatting>
  <conditionalFormatting sqref="A2498">
    <cfRule type="duplicateValues" dxfId="365" priority="95"/>
  </conditionalFormatting>
  <conditionalFormatting sqref="A2498">
    <cfRule type="duplicateValues" dxfId="364" priority="94"/>
  </conditionalFormatting>
  <conditionalFormatting sqref="A1503">
    <cfRule type="duplicateValues" dxfId="363" priority="92"/>
  </conditionalFormatting>
  <conditionalFormatting sqref="A1503">
    <cfRule type="duplicateValues" dxfId="362" priority="91"/>
  </conditionalFormatting>
  <conditionalFormatting sqref="A1487">
    <cfRule type="duplicateValues" dxfId="361" priority="89"/>
  </conditionalFormatting>
  <conditionalFormatting sqref="A1487">
    <cfRule type="duplicateValues" dxfId="360" priority="88"/>
  </conditionalFormatting>
  <conditionalFormatting sqref="A1310:A1312">
    <cfRule type="duplicateValues" dxfId="359" priority="86"/>
  </conditionalFormatting>
  <conditionalFormatting sqref="A1310:A1312">
    <cfRule type="duplicateValues" dxfId="358" priority="85"/>
  </conditionalFormatting>
  <conditionalFormatting sqref="A2186">
    <cfRule type="duplicateValues" dxfId="357" priority="83"/>
  </conditionalFormatting>
  <conditionalFormatting sqref="A2186">
    <cfRule type="duplicateValues" dxfId="356" priority="82"/>
  </conditionalFormatting>
  <conditionalFormatting sqref="A2189">
    <cfRule type="duplicateValues" dxfId="355" priority="80"/>
  </conditionalFormatting>
  <conditionalFormatting sqref="A2189">
    <cfRule type="duplicateValues" dxfId="354" priority="79"/>
  </conditionalFormatting>
  <conditionalFormatting sqref="A331">
    <cfRule type="duplicateValues" dxfId="353" priority="77"/>
  </conditionalFormatting>
  <conditionalFormatting sqref="A331">
    <cfRule type="duplicateValues" dxfId="352" priority="76"/>
  </conditionalFormatting>
  <conditionalFormatting sqref="A1277">
    <cfRule type="duplicateValues" dxfId="351" priority="74"/>
  </conditionalFormatting>
  <conditionalFormatting sqref="A1277">
    <cfRule type="duplicateValues" dxfId="350" priority="73"/>
  </conditionalFormatting>
  <conditionalFormatting sqref="A9">
    <cfRule type="duplicateValues" dxfId="349" priority="71"/>
  </conditionalFormatting>
  <conditionalFormatting sqref="A9">
    <cfRule type="duplicateValues" dxfId="348" priority="70"/>
  </conditionalFormatting>
  <conditionalFormatting sqref="A1308">
    <cfRule type="duplicateValues" dxfId="347" priority="68"/>
  </conditionalFormatting>
  <conditionalFormatting sqref="A1308">
    <cfRule type="duplicateValues" dxfId="346" priority="67"/>
  </conditionalFormatting>
  <conditionalFormatting sqref="C17">
    <cfRule type="cellIs" dxfId="345" priority="66" stopIfTrue="1" operator="lessThanOrEqual">
      <formula>1000</formula>
    </cfRule>
  </conditionalFormatting>
  <conditionalFormatting sqref="A17">
    <cfRule type="duplicateValues" dxfId="344" priority="65"/>
  </conditionalFormatting>
  <conditionalFormatting sqref="A17">
    <cfRule type="duplicateValues" dxfId="343" priority="64"/>
  </conditionalFormatting>
  <conditionalFormatting sqref="C2120">
    <cfRule type="cellIs" dxfId="342" priority="63" stopIfTrue="1" operator="lessThanOrEqual">
      <formula>1000</formula>
    </cfRule>
  </conditionalFormatting>
  <conditionalFormatting sqref="A2120">
    <cfRule type="duplicateValues" dxfId="341" priority="62"/>
  </conditionalFormatting>
  <conditionalFormatting sqref="A2120">
    <cfRule type="duplicateValues" dxfId="340" priority="61"/>
  </conditionalFormatting>
  <conditionalFormatting sqref="C2485">
    <cfRule type="cellIs" dxfId="339" priority="60" stopIfTrue="1" operator="lessThanOrEqual">
      <formula>1000</formula>
    </cfRule>
  </conditionalFormatting>
  <conditionalFormatting sqref="A2485">
    <cfRule type="duplicateValues" dxfId="338" priority="59"/>
  </conditionalFormatting>
  <conditionalFormatting sqref="A2485">
    <cfRule type="duplicateValues" dxfId="337" priority="58"/>
  </conditionalFormatting>
  <conditionalFormatting sqref="C2484">
    <cfRule type="cellIs" dxfId="336" priority="57" stopIfTrue="1" operator="lessThanOrEqual">
      <formula>1000</formula>
    </cfRule>
  </conditionalFormatting>
  <conditionalFormatting sqref="A2484">
    <cfRule type="duplicateValues" dxfId="335" priority="56"/>
  </conditionalFormatting>
  <conditionalFormatting sqref="A2484">
    <cfRule type="duplicateValues" dxfId="334" priority="55"/>
  </conditionalFormatting>
  <conditionalFormatting sqref="C2377">
    <cfRule type="cellIs" dxfId="333" priority="54" stopIfTrue="1" operator="lessThanOrEqual">
      <formula>1000</formula>
    </cfRule>
  </conditionalFormatting>
  <conditionalFormatting sqref="A2377">
    <cfRule type="duplicateValues" dxfId="332" priority="53"/>
  </conditionalFormatting>
  <conditionalFormatting sqref="A2377">
    <cfRule type="duplicateValues" dxfId="331" priority="52"/>
  </conditionalFormatting>
  <conditionalFormatting sqref="C876">
    <cfRule type="cellIs" dxfId="330" priority="51" stopIfTrue="1" operator="lessThanOrEqual">
      <formula>1000</formula>
    </cfRule>
  </conditionalFormatting>
  <conditionalFormatting sqref="A876">
    <cfRule type="duplicateValues" dxfId="329" priority="50"/>
  </conditionalFormatting>
  <conditionalFormatting sqref="A876">
    <cfRule type="duplicateValues" dxfId="328" priority="49"/>
  </conditionalFormatting>
  <conditionalFormatting sqref="C350">
    <cfRule type="cellIs" dxfId="327" priority="48" stopIfTrue="1" operator="lessThanOrEqual">
      <formula>1000</formula>
    </cfRule>
  </conditionalFormatting>
  <conditionalFormatting sqref="A350">
    <cfRule type="duplicateValues" dxfId="326" priority="47"/>
  </conditionalFormatting>
  <conditionalFormatting sqref="A350">
    <cfRule type="duplicateValues" dxfId="325" priority="46"/>
  </conditionalFormatting>
  <conditionalFormatting sqref="C352">
    <cfRule type="cellIs" dxfId="324" priority="45" stopIfTrue="1" operator="lessThanOrEqual">
      <formula>1000</formula>
    </cfRule>
  </conditionalFormatting>
  <conditionalFormatting sqref="A352">
    <cfRule type="duplicateValues" dxfId="323" priority="44"/>
  </conditionalFormatting>
  <conditionalFormatting sqref="A352">
    <cfRule type="duplicateValues" dxfId="322" priority="43"/>
  </conditionalFormatting>
  <conditionalFormatting sqref="C698">
    <cfRule type="cellIs" dxfId="321" priority="42" stopIfTrue="1" operator="lessThanOrEqual">
      <formula>1000</formula>
    </cfRule>
  </conditionalFormatting>
  <conditionalFormatting sqref="A698">
    <cfRule type="duplicateValues" dxfId="320" priority="41"/>
  </conditionalFormatting>
  <conditionalFormatting sqref="A698">
    <cfRule type="duplicateValues" dxfId="319" priority="40"/>
  </conditionalFormatting>
  <conditionalFormatting sqref="C1451">
    <cfRule type="cellIs" dxfId="318" priority="39" stopIfTrue="1" operator="lessThanOrEqual">
      <formula>1000</formula>
    </cfRule>
  </conditionalFormatting>
  <conditionalFormatting sqref="A1451">
    <cfRule type="duplicateValues" dxfId="317" priority="38"/>
  </conditionalFormatting>
  <conditionalFormatting sqref="A1451">
    <cfRule type="duplicateValues" dxfId="316" priority="37"/>
  </conditionalFormatting>
  <conditionalFormatting sqref="C1319">
    <cfRule type="cellIs" dxfId="315" priority="36" stopIfTrue="1" operator="lessThanOrEqual">
      <formula>1000</formula>
    </cfRule>
  </conditionalFormatting>
  <conditionalFormatting sqref="A1319">
    <cfRule type="duplicateValues" dxfId="314" priority="35"/>
  </conditionalFormatting>
  <conditionalFormatting sqref="A1319">
    <cfRule type="duplicateValues" dxfId="313" priority="34"/>
  </conditionalFormatting>
  <conditionalFormatting sqref="C14">
    <cfRule type="cellIs" dxfId="312" priority="33" stopIfTrue="1" operator="lessThanOrEqual">
      <formula>1000</formula>
    </cfRule>
  </conditionalFormatting>
  <conditionalFormatting sqref="A14">
    <cfRule type="duplicateValues" dxfId="311" priority="32"/>
  </conditionalFormatting>
  <conditionalFormatting sqref="A14">
    <cfRule type="duplicateValues" dxfId="310" priority="31"/>
  </conditionalFormatting>
  <conditionalFormatting sqref="C1477">
    <cfRule type="cellIs" dxfId="309" priority="30" stopIfTrue="1" operator="lessThanOrEqual">
      <formula>1000</formula>
    </cfRule>
  </conditionalFormatting>
  <conditionalFormatting sqref="A1477">
    <cfRule type="duplicateValues" dxfId="308" priority="29"/>
  </conditionalFormatting>
  <conditionalFormatting sqref="A1477">
    <cfRule type="duplicateValues" dxfId="307" priority="28"/>
  </conditionalFormatting>
  <conditionalFormatting sqref="C2772">
    <cfRule type="cellIs" dxfId="306" priority="27" stopIfTrue="1" operator="lessThanOrEqual">
      <formula>1000</formula>
    </cfRule>
  </conditionalFormatting>
  <conditionalFormatting sqref="A2772">
    <cfRule type="duplicateValues" dxfId="305" priority="26"/>
  </conditionalFormatting>
  <conditionalFormatting sqref="A2772">
    <cfRule type="duplicateValues" dxfId="304" priority="25"/>
  </conditionalFormatting>
  <conditionalFormatting sqref="C2731:C2733">
    <cfRule type="cellIs" dxfId="303" priority="24" stopIfTrue="1" operator="lessThanOrEqual">
      <formula>1000</formula>
    </cfRule>
  </conditionalFormatting>
  <conditionalFormatting sqref="A2731:A2733">
    <cfRule type="duplicateValues" dxfId="302" priority="23"/>
  </conditionalFormatting>
  <conditionalFormatting sqref="A2731:A2733">
    <cfRule type="duplicateValues" dxfId="301" priority="22"/>
  </conditionalFormatting>
  <conditionalFormatting sqref="C1707">
    <cfRule type="cellIs" dxfId="300" priority="21" stopIfTrue="1" operator="lessThanOrEqual">
      <formula>1000</formula>
    </cfRule>
  </conditionalFormatting>
  <conditionalFormatting sqref="A1707">
    <cfRule type="duplicateValues" dxfId="299" priority="20"/>
  </conditionalFormatting>
  <conditionalFormatting sqref="A1707">
    <cfRule type="duplicateValues" dxfId="298" priority="19"/>
  </conditionalFormatting>
  <conditionalFormatting sqref="C1352">
    <cfRule type="cellIs" dxfId="297" priority="18" stopIfTrue="1" operator="lessThanOrEqual">
      <formula>1000</formula>
    </cfRule>
  </conditionalFormatting>
  <conditionalFormatting sqref="A1352">
    <cfRule type="duplicateValues" dxfId="296" priority="17"/>
  </conditionalFormatting>
  <conditionalFormatting sqref="A1352">
    <cfRule type="duplicateValues" dxfId="295" priority="16"/>
  </conditionalFormatting>
  <conditionalFormatting sqref="C2541">
    <cfRule type="cellIs" dxfId="294" priority="15" stopIfTrue="1" operator="lessThanOrEqual">
      <formula>1000</formula>
    </cfRule>
  </conditionalFormatting>
  <conditionalFormatting sqref="A2541">
    <cfRule type="duplicateValues" dxfId="293" priority="14"/>
  </conditionalFormatting>
  <conditionalFormatting sqref="A2541">
    <cfRule type="duplicateValues" dxfId="292" priority="13"/>
  </conditionalFormatting>
  <conditionalFormatting sqref="C1490">
    <cfRule type="cellIs" dxfId="291" priority="12" stopIfTrue="1" operator="lessThanOrEqual">
      <formula>1000</formula>
    </cfRule>
  </conditionalFormatting>
  <conditionalFormatting sqref="A1490">
    <cfRule type="duplicateValues" dxfId="290" priority="11"/>
  </conditionalFormatting>
  <conditionalFormatting sqref="A1490">
    <cfRule type="duplicateValues" dxfId="289" priority="10"/>
  </conditionalFormatting>
  <conditionalFormatting sqref="C593">
    <cfRule type="cellIs" dxfId="288" priority="9" stopIfTrue="1" operator="lessThanOrEqual">
      <formula>1000</formula>
    </cfRule>
  </conditionalFormatting>
  <conditionalFormatting sqref="A593">
    <cfRule type="duplicateValues" dxfId="287" priority="8"/>
  </conditionalFormatting>
  <conditionalFormatting sqref="A593">
    <cfRule type="duplicateValues" dxfId="286" priority="7"/>
  </conditionalFormatting>
  <conditionalFormatting sqref="C630">
    <cfRule type="cellIs" dxfId="285" priority="6" stopIfTrue="1" operator="lessThanOrEqual">
      <formula>1000</formula>
    </cfRule>
  </conditionalFormatting>
  <conditionalFormatting sqref="A630">
    <cfRule type="duplicateValues" dxfId="284" priority="5"/>
  </conditionalFormatting>
  <conditionalFormatting sqref="A630">
    <cfRule type="duplicateValues" dxfId="283" priority="4"/>
  </conditionalFormatting>
  <conditionalFormatting sqref="C321">
    <cfRule type="cellIs" dxfId="282" priority="3" stopIfTrue="1" operator="lessThanOrEqual">
      <formula>1000</formula>
    </cfRule>
  </conditionalFormatting>
  <conditionalFormatting sqref="A321">
    <cfRule type="duplicateValues" dxfId="281" priority="2"/>
  </conditionalFormatting>
  <conditionalFormatting sqref="A321">
    <cfRule type="duplicateValues" dxfId="280" priority="1"/>
  </conditionalFormatting>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tabColor rgb="FFFF0000"/>
  </sheetPr>
  <dimension ref="A1:A29"/>
  <sheetViews>
    <sheetView workbookViewId="0">
      <selection activeCell="A15" sqref="A15"/>
    </sheetView>
  </sheetViews>
  <sheetFormatPr defaultColWidth="9.140625" defaultRowHeight="15.75"/>
  <cols>
    <col min="1" max="1" width="133.5703125" style="232" customWidth="1"/>
    <col min="2" max="16384" width="9.140625" style="89"/>
  </cols>
  <sheetData>
    <row r="1" spans="1:1" ht="39" thickTop="1" thickBot="1">
      <c r="A1" s="235" t="s">
        <v>3441</v>
      </c>
    </row>
    <row r="2" spans="1:1" ht="16.5" thickTop="1">
      <c r="A2" s="234" t="s">
        <v>3442</v>
      </c>
    </row>
    <row r="3" spans="1:1">
      <c r="A3" s="236" t="s">
        <v>3443</v>
      </c>
    </row>
    <row r="4" spans="1:1" ht="47.25">
      <c r="A4" s="236" t="s">
        <v>3444</v>
      </c>
    </row>
    <row r="5" spans="1:1" ht="31.5">
      <c r="A5" s="233" t="s">
        <v>3445</v>
      </c>
    </row>
    <row r="6" spans="1:1" ht="16.5" customHeight="1">
      <c r="A6" s="233" t="s">
        <v>3446</v>
      </c>
    </row>
    <row r="7" spans="1:1" ht="31.5">
      <c r="A7" s="233" t="s">
        <v>3447</v>
      </c>
    </row>
    <row r="8" spans="1:1">
      <c r="A8" s="233" t="s">
        <v>3343</v>
      </c>
    </row>
    <row r="9" spans="1:1" ht="31.5">
      <c r="A9" s="233" t="s">
        <v>3448</v>
      </c>
    </row>
    <row r="10" spans="1:1" ht="31.5">
      <c r="A10" s="233" t="s">
        <v>3344</v>
      </c>
    </row>
    <row r="11" spans="1:1">
      <c r="A11" s="236" t="s">
        <v>3449</v>
      </c>
    </row>
    <row r="12" spans="1:1" ht="16.5" thickBot="1"/>
    <row r="13" spans="1:1" ht="20.25" thickTop="1" thickBot="1">
      <c r="A13" s="235" t="s">
        <v>3450</v>
      </c>
    </row>
    <row r="14" spans="1:1" ht="16.5" thickTop="1">
      <c r="A14" s="234" t="s">
        <v>3451</v>
      </c>
    </row>
    <row r="15" spans="1:1">
      <c r="A15" s="236" t="s">
        <v>3443</v>
      </c>
    </row>
    <row r="16" spans="1:1" ht="64.5" customHeight="1">
      <c r="A16" s="237" t="s">
        <v>3452</v>
      </c>
    </row>
    <row r="17" spans="1:1" ht="49.5" customHeight="1">
      <c r="A17" s="238" t="s">
        <v>3453</v>
      </c>
    </row>
    <row r="18" spans="1:1" ht="34.5" customHeight="1">
      <c r="A18" s="238" t="s">
        <v>3454</v>
      </c>
    </row>
    <row r="19" spans="1:1" ht="67.5" customHeight="1">
      <c r="A19" s="238" t="s">
        <v>3455</v>
      </c>
    </row>
    <row r="20" spans="1:1" ht="79.5" customHeight="1">
      <c r="A20" s="239" t="s">
        <v>3456</v>
      </c>
    </row>
    <row r="21" spans="1:1" ht="38.25" customHeight="1">
      <c r="A21" s="236" t="s">
        <v>3457</v>
      </c>
    </row>
    <row r="22" spans="1:1" ht="37.5" customHeight="1">
      <c r="A22" s="233" t="s">
        <v>3458</v>
      </c>
    </row>
    <row r="23" spans="1:1" ht="21" customHeight="1">
      <c r="A23" s="233" t="s">
        <v>3446</v>
      </c>
    </row>
    <row r="24" spans="1:1" ht="31.5">
      <c r="A24" s="233" t="s">
        <v>3459</v>
      </c>
    </row>
    <row r="25" spans="1:1">
      <c r="A25" s="233" t="s">
        <v>3343</v>
      </c>
    </row>
    <row r="26" spans="1:1" ht="31.5">
      <c r="A26" s="233" t="s">
        <v>3448</v>
      </c>
    </row>
    <row r="27" spans="1:1" ht="31.5">
      <c r="A27" s="233" t="s">
        <v>3344</v>
      </c>
    </row>
    <row r="28" spans="1:1" ht="16.5" thickBot="1">
      <c r="A28" s="240" t="s">
        <v>3449</v>
      </c>
    </row>
    <row r="29" spans="1:1" ht="16.5" thickTop="1"/>
  </sheetData>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9">
    <tabColor rgb="FF00B0F0"/>
  </sheetPr>
  <dimension ref="A1:AG671"/>
  <sheetViews>
    <sheetView workbookViewId="0">
      <pane xSplit="1" ySplit="1" topLeftCell="B316" activePane="bottomRight" state="frozen"/>
      <selection pane="topRight" activeCell="B1" sqref="B1"/>
      <selection pane="bottomLeft" activeCell="A2" sqref="A2"/>
      <selection pane="bottomRight" activeCell="P327" sqref="P327"/>
    </sheetView>
  </sheetViews>
  <sheetFormatPr defaultColWidth="9.140625" defaultRowHeight="15"/>
  <cols>
    <col min="1" max="1" width="32" style="51" bestFit="1" customWidth="1"/>
    <col min="2" max="16" width="6.42578125" style="190" customWidth="1"/>
    <col min="17" max="17" width="36.5703125" style="65" customWidth="1"/>
    <col min="18" max="18" width="29.28515625" style="65" customWidth="1"/>
    <col min="19" max="19" width="16.7109375" style="65" customWidth="1"/>
    <col min="20" max="16384" width="9.140625" style="65"/>
  </cols>
  <sheetData>
    <row r="1" spans="1:19" ht="128.25" customHeight="1">
      <c r="A1" s="341" t="s">
        <v>6651</v>
      </c>
      <c r="B1" s="348" t="s">
        <v>6650</v>
      </c>
      <c r="C1" s="459" t="s">
        <v>6649</v>
      </c>
      <c r="D1" s="457" t="s">
        <v>6648</v>
      </c>
      <c r="E1" s="467" t="s">
        <v>6647</v>
      </c>
      <c r="F1" s="462" t="s">
        <v>6646</v>
      </c>
      <c r="G1" s="465" t="s">
        <v>6645</v>
      </c>
      <c r="H1" s="466" t="s">
        <v>6644</v>
      </c>
      <c r="I1" s="464" t="s">
        <v>6643</v>
      </c>
      <c r="J1" s="468" t="s">
        <v>6642</v>
      </c>
      <c r="K1" s="469" t="s">
        <v>6641</v>
      </c>
      <c r="L1" s="470" t="s">
        <v>6640</v>
      </c>
      <c r="M1" s="463" t="s">
        <v>6639</v>
      </c>
      <c r="N1" s="458" t="s">
        <v>6638</v>
      </c>
      <c r="O1" s="460" t="s">
        <v>6637</v>
      </c>
      <c r="P1" s="461" t="s">
        <v>8278</v>
      </c>
      <c r="Q1" s="45" t="s">
        <v>7783</v>
      </c>
      <c r="R1" s="45" t="s">
        <v>6636</v>
      </c>
      <c r="S1" s="45" t="s">
        <v>6635</v>
      </c>
    </row>
    <row r="2" spans="1:19">
      <c r="A2" s="341" t="s">
        <v>3030</v>
      </c>
      <c r="B2" s="340" t="s">
        <v>5888</v>
      </c>
      <c r="C2" s="340"/>
      <c r="D2" s="340" t="s">
        <v>816</v>
      </c>
      <c r="E2" s="340" t="s">
        <v>5888</v>
      </c>
      <c r="F2" s="340" t="s">
        <v>5888</v>
      </c>
      <c r="G2" s="340" t="s">
        <v>5888</v>
      </c>
      <c r="H2" s="340" t="s">
        <v>5888</v>
      </c>
      <c r="I2" s="340" t="s">
        <v>5888</v>
      </c>
      <c r="J2" s="340" t="s">
        <v>5888</v>
      </c>
      <c r="K2" s="340" t="s">
        <v>5888</v>
      </c>
      <c r="L2" s="340" t="s">
        <v>5888</v>
      </c>
      <c r="M2" s="340" t="s">
        <v>816</v>
      </c>
      <c r="N2" s="340" t="s">
        <v>5888</v>
      </c>
      <c r="O2" s="340" t="s">
        <v>5888</v>
      </c>
      <c r="P2" s="340"/>
      <c r="Q2" s="45" t="s">
        <v>6634</v>
      </c>
      <c r="R2" s="45"/>
      <c r="S2" s="45"/>
    </row>
    <row r="3" spans="1:19">
      <c r="A3" s="341" t="s">
        <v>6633</v>
      </c>
      <c r="B3" s="340"/>
      <c r="C3" s="340"/>
      <c r="D3" s="340" t="s">
        <v>816</v>
      </c>
      <c r="E3" s="340" t="s">
        <v>816</v>
      </c>
      <c r="F3" s="340"/>
      <c r="G3" s="340"/>
      <c r="H3" s="340"/>
      <c r="I3" s="340"/>
      <c r="J3" s="340"/>
      <c r="K3" s="340"/>
      <c r="L3" s="340"/>
      <c r="M3" s="340"/>
      <c r="N3" s="340"/>
      <c r="O3" s="340"/>
      <c r="P3" s="340"/>
      <c r="Q3" s="347" t="s">
        <v>6092</v>
      </c>
      <c r="R3" s="45"/>
      <c r="S3" s="45"/>
    </row>
    <row r="4" spans="1:19">
      <c r="A4" s="341" t="s">
        <v>8469</v>
      </c>
      <c r="B4" s="340"/>
      <c r="C4" s="340"/>
      <c r="D4" s="340"/>
      <c r="E4" s="340"/>
      <c r="F4" s="340"/>
      <c r="G4" s="340"/>
      <c r="H4" s="340"/>
      <c r="I4" s="340"/>
      <c r="J4" s="340"/>
      <c r="K4" s="340" t="s">
        <v>816</v>
      </c>
      <c r="L4" s="340"/>
      <c r="M4" s="340"/>
      <c r="N4" s="340"/>
      <c r="O4" s="340"/>
      <c r="P4" s="340"/>
      <c r="Q4" s="388" t="s">
        <v>8470</v>
      </c>
      <c r="R4" s="45"/>
      <c r="S4" s="45"/>
    </row>
    <row r="5" spans="1:19">
      <c r="A5" s="341" t="s">
        <v>6785</v>
      </c>
      <c r="B5" s="340" t="s">
        <v>5888</v>
      </c>
      <c r="C5" s="340"/>
      <c r="D5" s="340" t="s">
        <v>5888</v>
      </c>
      <c r="E5" s="340"/>
      <c r="F5" s="340" t="s">
        <v>5888</v>
      </c>
      <c r="G5" s="340"/>
      <c r="H5" s="340" t="s">
        <v>5888</v>
      </c>
      <c r="I5" s="340" t="s">
        <v>5888</v>
      </c>
      <c r="J5" s="340" t="s">
        <v>816</v>
      </c>
      <c r="K5" s="340" t="s">
        <v>816</v>
      </c>
      <c r="L5" s="340" t="s">
        <v>5888</v>
      </c>
      <c r="M5" s="340" t="s">
        <v>5888</v>
      </c>
      <c r="N5" s="340" t="s">
        <v>5888</v>
      </c>
      <c r="O5" s="340" t="s">
        <v>5888</v>
      </c>
      <c r="P5" s="340"/>
      <c r="Q5" s="45" t="s">
        <v>6788</v>
      </c>
      <c r="R5" s="45"/>
      <c r="S5" s="45"/>
    </row>
    <row r="6" spans="1:19">
      <c r="A6" s="341" t="s">
        <v>6632</v>
      </c>
      <c r="B6" s="340" t="s">
        <v>816</v>
      </c>
      <c r="C6" s="340"/>
      <c r="D6" s="340" t="s">
        <v>5888</v>
      </c>
      <c r="E6" s="340" t="s">
        <v>5888</v>
      </c>
      <c r="F6" s="340" t="s">
        <v>5888</v>
      </c>
      <c r="G6" s="340" t="s">
        <v>5888</v>
      </c>
      <c r="H6" s="340" t="s">
        <v>5888</v>
      </c>
      <c r="I6" s="340" t="s">
        <v>5888</v>
      </c>
      <c r="J6" s="340" t="s">
        <v>5888</v>
      </c>
      <c r="K6" s="340" t="s">
        <v>5888</v>
      </c>
      <c r="L6" s="340" t="s">
        <v>5888</v>
      </c>
      <c r="M6" s="340" t="s">
        <v>5888</v>
      </c>
      <c r="N6" s="340" t="s">
        <v>5888</v>
      </c>
      <c r="O6" s="340" t="s">
        <v>816</v>
      </c>
      <c r="P6" s="340"/>
      <c r="Q6" s="45" t="s">
        <v>6631</v>
      </c>
      <c r="R6" s="45"/>
      <c r="S6" s="45"/>
    </row>
    <row r="7" spans="1:19">
      <c r="A7" s="341" t="s">
        <v>6630</v>
      </c>
      <c r="B7" s="340" t="s">
        <v>816</v>
      </c>
      <c r="C7" s="340"/>
      <c r="D7" s="340" t="s">
        <v>5888</v>
      </c>
      <c r="E7" s="340" t="s">
        <v>5888</v>
      </c>
      <c r="F7" s="340" t="s">
        <v>5888</v>
      </c>
      <c r="G7" s="340" t="s">
        <v>5888</v>
      </c>
      <c r="H7" s="340" t="s">
        <v>5888</v>
      </c>
      <c r="I7" s="340" t="s">
        <v>5888</v>
      </c>
      <c r="J7" s="340" t="s">
        <v>5888</v>
      </c>
      <c r="K7" s="340" t="s">
        <v>5888</v>
      </c>
      <c r="L7" s="340" t="s">
        <v>5888</v>
      </c>
      <c r="M7" s="340" t="s">
        <v>5888</v>
      </c>
      <c r="N7" s="340" t="s">
        <v>5888</v>
      </c>
      <c r="O7" s="340" t="s">
        <v>816</v>
      </c>
      <c r="P7" s="340"/>
      <c r="Q7" s="45" t="s">
        <v>6629</v>
      </c>
      <c r="R7" s="45"/>
      <c r="S7" s="45"/>
    </row>
    <row r="8" spans="1:19">
      <c r="A8" s="341" t="s">
        <v>6628</v>
      </c>
      <c r="B8" s="340" t="s">
        <v>816</v>
      </c>
      <c r="C8" s="340"/>
      <c r="D8" s="340" t="s">
        <v>5888</v>
      </c>
      <c r="E8" s="340" t="s">
        <v>5888</v>
      </c>
      <c r="F8" s="340" t="s">
        <v>5888</v>
      </c>
      <c r="G8" s="340" t="s">
        <v>5888</v>
      </c>
      <c r="H8" s="340" t="s">
        <v>5888</v>
      </c>
      <c r="I8" s="340" t="s">
        <v>5888</v>
      </c>
      <c r="J8" s="340" t="s">
        <v>5888</v>
      </c>
      <c r="K8" s="340" t="s">
        <v>5888</v>
      </c>
      <c r="L8" s="340" t="s">
        <v>5888</v>
      </c>
      <c r="M8" s="340" t="s">
        <v>5888</v>
      </c>
      <c r="N8" s="340" t="s">
        <v>5888</v>
      </c>
      <c r="O8" s="340" t="s">
        <v>816</v>
      </c>
      <c r="P8" s="340"/>
      <c r="Q8" s="45" t="s">
        <v>6627</v>
      </c>
      <c r="R8" s="45"/>
      <c r="S8" s="45"/>
    </row>
    <row r="9" spans="1:19">
      <c r="A9" s="341" t="s">
        <v>7550</v>
      </c>
      <c r="B9" s="340"/>
      <c r="C9" s="340"/>
      <c r="D9" s="340" t="s">
        <v>816</v>
      </c>
      <c r="E9" s="340"/>
      <c r="F9" s="340"/>
      <c r="G9" s="340"/>
      <c r="H9" s="340"/>
      <c r="I9" s="340"/>
      <c r="J9" s="340"/>
      <c r="K9" s="340"/>
      <c r="L9" s="340"/>
      <c r="M9" s="340"/>
      <c r="N9" s="340"/>
      <c r="O9" s="340"/>
      <c r="P9" s="340"/>
      <c r="Q9" s="45" t="s">
        <v>7551</v>
      </c>
      <c r="R9" s="45"/>
      <c r="S9" s="45"/>
    </row>
    <row r="10" spans="1:19">
      <c r="A10" s="341" t="s">
        <v>6626</v>
      </c>
      <c r="B10" s="340"/>
      <c r="C10" s="340"/>
      <c r="D10" s="340"/>
      <c r="E10" s="340" t="s">
        <v>816</v>
      </c>
      <c r="F10" s="340"/>
      <c r="G10" s="340"/>
      <c r="H10" s="340"/>
      <c r="I10" s="340"/>
      <c r="J10" s="340"/>
      <c r="K10" s="340"/>
      <c r="L10" s="340"/>
      <c r="M10" s="340"/>
      <c r="N10" s="340"/>
      <c r="O10" s="340"/>
      <c r="P10" s="340"/>
      <c r="Q10" s="45" t="s">
        <v>6245</v>
      </c>
      <c r="R10" s="45"/>
      <c r="S10" s="45"/>
    </row>
    <row r="11" spans="1:19">
      <c r="A11" s="341" t="s">
        <v>6625</v>
      </c>
      <c r="B11" s="340"/>
      <c r="C11" s="340"/>
      <c r="D11" s="340" t="s">
        <v>5888</v>
      </c>
      <c r="E11" s="340" t="s">
        <v>5888</v>
      </c>
      <c r="F11" s="340" t="s">
        <v>5888</v>
      </c>
      <c r="G11" s="340" t="s">
        <v>5888</v>
      </c>
      <c r="H11" s="340" t="s">
        <v>5888</v>
      </c>
      <c r="I11" s="340" t="s">
        <v>5888</v>
      </c>
      <c r="J11" s="340" t="s">
        <v>5888</v>
      </c>
      <c r="K11" s="340" t="s">
        <v>5888</v>
      </c>
      <c r="L11" s="340" t="s">
        <v>5888</v>
      </c>
      <c r="M11" s="340" t="s">
        <v>5888</v>
      </c>
      <c r="N11" s="340" t="s">
        <v>5888</v>
      </c>
      <c r="O11" s="340" t="s">
        <v>816</v>
      </c>
      <c r="P11" s="340"/>
      <c r="Q11" s="45" t="s">
        <v>6021</v>
      </c>
      <c r="R11" s="45"/>
      <c r="S11" s="45"/>
    </row>
    <row r="12" spans="1:19">
      <c r="A12" s="341" t="s">
        <v>6624</v>
      </c>
      <c r="B12" s="340" t="s">
        <v>816</v>
      </c>
      <c r="C12" s="340"/>
      <c r="D12" s="340" t="s">
        <v>5888</v>
      </c>
      <c r="E12" s="340" t="s">
        <v>5888</v>
      </c>
      <c r="F12" s="340" t="s">
        <v>5888</v>
      </c>
      <c r="G12" s="340" t="s">
        <v>5888</v>
      </c>
      <c r="H12" s="340" t="s">
        <v>5888</v>
      </c>
      <c r="I12" s="340" t="s">
        <v>5888</v>
      </c>
      <c r="J12" s="340" t="s">
        <v>5888</v>
      </c>
      <c r="K12" s="340" t="s">
        <v>5888</v>
      </c>
      <c r="L12" s="340" t="s">
        <v>5888</v>
      </c>
      <c r="M12" s="340" t="s">
        <v>5888</v>
      </c>
      <c r="N12" s="340" t="s">
        <v>5888</v>
      </c>
      <c r="O12" s="340" t="s">
        <v>816</v>
      </c>
      <c r="P12" s="340"/>
      <c r="Q12" s="45" t="s">
        <v>6623</v>
      </c>
      <c r="R12" s="45"/>
      <c r="S12" s="45"/>
    </row>
    <row r="13" spans="1:19">
      <c r="A13" s="341" t="s">
        <v>7081</v>
      </c>
      <c r="B13" s="340" t="s">
        <v>5888</v>
      </c>
      <c r="C13" s="340"/>
      <c r="D13" s="340" t="s">
        <v>5888</v>
      </c>
      <c r="E13" s="340" t="s">
        <v>816</v>
      </c>
      <c r="F13" s="340" t="s">
        <v>5888</v>
      </c>
      <c r="G13" s="340" t="s">
        <v>5888</v>
      </c>
      <c r="H13" s="340" t="s">
        <v>5888</v>
      </c>
      <c r="I13" s="340" t="s">
        <v>5888</v>
      </c>
      <c r="J13" s="340" t="s">
        <v>5888</v>
      </c>
      <c r="K13" s="340" t="s">
        <v>5888</v>
      </c>
      <c r="L13" s="340" t="s">
        <v>5888</v>
      </c>
      <c r="M13" s="340" t="s">
        <v>5888</v>
      </c>
      <c r="N13" s="340" t="s">
        <v>5888</v>
      </c>
      <c r="O13" s="340" t="s">
        <v>5888</v>
      </c>
      <c r="P13" s="340"/>
      <c r="Q13" s="343" t="s">
        <v>7082</v>
      </c>
      <c r="R13" s="45"/>
      <c r="S13" s="45"/>
    </row>
    <row r="14" spans="1:19">
      <c r="A14" s="341" t="s">
        <v>6622</v>
      </c>
      <c r="B14" s="340" t="s">
        <v>5888</v>
      </c>
      <c r="C14" s="340"/>
      <c r="D14" s="340" t="s">
        <v>5888</v>
      </c>
      <c r="E14" s="340" t="s">
        <v>816</v>
      </c>
      <c r="F14" s="340" t="s">
        <v>5888</v>
      </c>
      <c r="G14" s="340" t="s">
        <v>5888</v>
      </c>
      <c r="H14" s="340" t="s">
        <v>5888</v>
      </c>
      <c r="I14" s="340" t="s">
        <v>5888</v>
      </c>
      <c r="J14" s="340" t="s">
        <v>5888</v>
      </c>
      <c r="K14" s="340" t="s">
        <v>5888</v>
      </c>
      <c r="L14" s="340" t="s">
        <v>5888</v>
      </c>
      <c r="M14" s="340" t="s">
        <v>5888</v>
      </c>
      <c r="N14" s="340" t="s">
        <v>5888</v>
      </c>
      <c r="O14" s="340" t="s">
        <v>5888</v>
      </c>
      <c r="P14" s="340"/>
      <c r="Q14" s="45" t="s">
        <v>6621</v>
      </c>
      <c r="R14" s="45"/>
      <c r="S14" s="45"/>
    </row>
    <row r="15" spans="1:19">
      <c r="A15" s="341" t="s">
        <v>6620</v>
      </c>
      <c r="B15" s="340" t="s">
        <v>5888</v>
      </c>
      <c r="C15" s="340"/>
      <c r="D15" s="340" t="s">
        <v>5888</v>
      </c>
      <c r="E15" s="340" t="s">
        <v>816</v>
      </c>
      <c r="F15" s="340" t="s">
        <v>5888</v>
      </c>
      <c r="G15" s="340" t="s">
        <v>5888</v>
      </c>
      <c r="H15" s="340" t="s">
        <v>5888</v>
      </c>
      <c r="I15" s="340" t="s">
        <v>5888</v>
      </c>
      <c r="J15" s="340" t="s">
        <v>5888</v>
      </c>
      <c r="K15" s="340" t="s">
        <v>5888</v>
      </c>
      <c r="L15" s="340" t="s">
        <v>5888</v>
      </c>
      <c r="M15" s="340" t="s">
        <v>5888</v>
      </c>
      <c r="N15" s="340" t="s">
        <v>5888</v>
      </c>
      <c r="O15" s="340" t="s">
        <v>5888</v>
      </c>
      <c r="P15" s="340"/>
      <c r="Q15" s="45" t="s">
        <v>6619</v>
      </c>
      <c r="R15" s="45"/>
      <c r="S15" s="45"/>
    </row>
    <row r="16" spans="1:19">
      <c r="A16" s="341" t="s">
        <v>6618</v>
      </c>
      <c r="B16" s="340" t="s">
        <v>5888</v>
      </c>
      <c r="C16" s="340"/>
      <c r="D16" s="340" t="s">
        <v>5888</v>
      </c>
      <c r="E16" s="340" t="s">
        <v>5888</v>
      </c>
      <c r="F16" s="340" t="s">
        <v>816</v>
      </c>
      <c r="G16" s="340" t="s">
        <v>5888</v>
      </c>
      <c r="H16" s="340" t="s">
        <v>5888</v>
      </c>
      <c r="I16" s="340" t="s">
        <v>5888</v>
      </c>
      <c r="J16" s="340" t="s">
        <v>5888</v>
      </c>
      <c r="K16" s="340" t="s">
        <v>5888</v>
      </c>
      <c r="L16" s="340" t="s">
        <v>5888</v>
      </c>
      <c r="M16" s="340" t="s">
        <v>5888</v>
      </c>
      <c r="N16" s="340" t="s">
        <v>5888</v>
      </c>
      <c r="O16" s="340" t="s">
        <v>5888</v>
      </c>
      <c r="P16" s="340"/>
      <c r="Q16" s="45" t="s">
        <v>6617</v>
      </c>
      <c r="R16" s="45"/>
      <c r="S16" s="45"/>
    </row>
    <row r="17" spans="1:19">
      <c r="A17" s="341" t="s">
        <v>6616</v>
      </c>
      <c r="B17" s="340" t="s">
        <v>5888</v>
      </c>
      <c r="C17" s="340"/>
      <c r="D17" s="340" t="s">
        <v>5888</v>
      </c>
      <c r="E17" s="340" t="s">
        <v>5888</v>
      </c>
      <c r="F17" s="340" t="s">
        <v>816</v>
      </c>
      <c r="G17" s="340" t="s">
        <v>5888</v>
      </c>
      <c r="H17" s="340" t="s">
        <v>5888</v>
      </c>
      <c r="I17" s="340" t="s">
        <v>5888</v>
      </c>
      <c r="J17" s="340" t="s">
        <v>5888</v>
      </c>
      <c r="K17" s="340" t="s">
        <v>5888</v>
      </c>
      <c r="L17" s="340" t="s">
        <v>5888</v>
      </c>
      <c r="M17" s="340" t="s">
        <v>5888</v>
      </c>
      <c r="N17" s="340" t="s">
        <v>5888</v>
      </c>
      <c r="O17" s="340" t="s">
        <v>5888</v>
      </c>
      <c r="P17" s="340"/>
      <c r="Q17" s="45" t="s">
        <v>6615</v>
      </c>
      <c r="R17" s="45"/>
      <c r="S17" s="45"/>
    </row>
    <row r="18" spans="1:19">
      <c r="A18" s="341" t="s">
        <v>6614</v>
      </c>
      <c r="B18" s="340" t="s">
        <v>5888</v>
      </c>
      <c r="C18" s="340"/>
      <c r="D18" s="340" t="s">
        <v>5888</v>
      </c>
      <c r="E18" s="340" t="s">
        <v>5888</v>
      </c>
      <c r="F18" s="340" t="s">
        <v>816</v>
      </c>
      <c r="G18" s="340" t="s">
        <v>5888</v>
      </c>
      <c r="H18" s="340" t="s">
        <v>5888</v>
      </c>
      <c r="I18" s="340" t="s">
        <v>5888</v>
      </c>
      <c r="J18" s="340" t="s">
        <v>5888</v>
      </c>
      <c r="K18" s="340" t="s">
        <v>5888</v>
      </c>
      <c r="L18" s="340" t="s">
        <v>5888</v>
      </c>
      <c r="M18" s="340" t="s">
        <v>5888</v>
      </c>
      <c r="N18" s="340" t="s">
        <v>5888</v>
      </c>
      <c r="O18" s="340" t="s">
        <v>5888</v>
      </c>
      <c r="P18" s="340"/>
      <c r="Q18" s="45" t="s">
        <v>6613</v>
      </c>
      <c r="R18" s="45"/>
      <c r="S18" s="45"/>
    </row>
    <row r="19" spans="1:19">
      <c r="A19" s="341" t="s">
        <v>8249</v>
      </c>
      <c r="B19" s="340"/>
      <c r="C19" s="340"/>
      <c r="D19" s="340"/>
      <c r="E19" s="340"/>
      <c r="F19" s="340"/>
      <c r="G19" s="340"/>
      <c r="H19" s="340"/>
      <c r="I19" s="340"/>
      <c r="J19" s="340" t="s">
        <v>816</v>
      </c>
      <c r="K19" s="340"/>
      <c r="L19" s="340"/>
      <c r="M19" s="340"/>
      <c r="N19" s="340"/>
      <c r="O19" s="340"/>
      <c r="P19" s="340"/>
      <c r="Q19" s="387" t="s">
        <v>8250</v>
      </c>
      <c r="R19" s="45"/>
      <c r="S19" s="45"/>
    </row>
    <row r="20" spans="1:19">
      <c r="A20" s="341" t="s">
        <v>7782</v>
      </c>
      <c r="B20" s="340" t="s">
        <v>5888</v>
      </c>
      <c r="C20" s="340"/>
      <c r="D20" s="340" t="s">
        <v>5888</v>
      </c>
      <c r="E20" s="340"/>
      <c r="F20" s="340" t="s">
        <v>5888</v>
      </c>
      <c r="G20" s="340"/>
      <c r="H20" s="340" t="s">
        <v>5888</v>
      </c>
      <c r="I20" s="340" t="s">
        <v>5888</v>
      </c>
      <c r="J20" s="340" t="s">
        <v>816</v>
      </c>
      <c r="K20" s="340"/>
      <c r="L20" s="340" t="s">
        <v>5888</v>
      </c>
      <c r="M20" s="340" t="s">
        <v>5888</v>
      </c>
      <c r="N20" s="340" t="s">
        <v>5888</v>
      </c>
      <c r="O20" s="340" t="s">
        <v>5888</v>
      </c>
      <c r="P20" s="340"/>
      <c r="Q20" s="343" t="s">
        <v>7781</v>
      </c>
      <c r="R20" s="45"/>
      <c r="S20" s="45"/>
    </row>
    <row r="21" spans="1:19">
      <c r="A21" s="341" t="s">
        <v>1882</v>
      </c>
      <c r="B21" s="340" t="s">
        <v>5888</v>
      </c>
      <c r="C21" s="340"/>
      <c r="D21" s="340" t="s">
        <v>5888</v>
      </c>
      <c r="E21" s="340" t="s">
        <v>816</v>
      </c>
      <c r="F21" s="340" t="s">
        <v>5888</v>
      </c>
      <c r="G21" s="340" t="s">
        <v>5888</v>
      </c>
      <c r="H21" s="340" t="s">
        <v>5888</v>
      </c>
      <c r="I21" s="340" t="s">
        <v>5888</v>
      </c>
      <c r="J21" s="340" t="s">
        <v>5888</v>
      </c>
      <c r="K21" s="340" t="s">
        <v>5888</v>
      </c>
      <c r="L21" s="340" t="s">
        <v>5888</v>
      </c>
      <c r="M21" s="340" t="s">
        <v>5888</v>
      </c>
      <c r="N21" s="340" t="s">
        <v>5888</v>
      </c>
      <c r="O21" s="340" t="s">
        <v>5888</v>
      </c>
      <c r="P21" s="340"/>
      <c r="Q21" s="45" t="s">
        <v>6612</v>
      </c>
      <c r="R21" s="45"/>
      <c r="S21" s="45"/>
    </row>
    <row r="22" spans="1:19">
      <c r="A22" s="341" t="s">
        <v>6611</v>
      </c>
      <c r="B22" s="340" t="s">
        <v>5888</v>
      </c>
      <c r="C22" s="340"/>
      <c r="D22" s="340" t="s">
        <v>5888</v>
      </c>
      <c r="E22" s="340" t="s">
        <v>5888</v>
      </c>
      <c r="F22" s="340" t="s">
        <v>5888</v>
      </c>
      <c r="G22" s="340" t="s">
        <v>5888</v>
      </c>
      <c r="H22" s="340" t="s">
        <v>816</v>
      </c>
      <c r="I22" s="340" t="s">
        <v>5888</v>
      </c>
      <c r="J22" s="340" t="s">
        <v>816</v>
      </c>
      <c r="K22" s="340" t="s">
        <v>816</v>
      </c>
      <c r="L22" s="340" t="s">
        <v>5888</v>
      </c>
      <c r="M22" s="340" t="s">
        <v>5888</v>
      </c>
      <c r="N22" s="340" t="s">
        <v>5888</v>
      </c>
      <c r="O22" s="340" t="s">
        <v>5888</v>
      </c>
      <c r="P22" s="340"/>
      <c r="Q22" s="45" t="s">
        <v>6389</v>
      </c>
      <c r="R22" s="45"/>
      <c r="S22" s="45"/>
    </row>
    <row r="23" spans="1:19">
      <c r="A23" s="341" t="s">
        <v>6611</v>
      </c>
      <c r="B23" s="340"/>
      <c r="C23" s="340"/>
      <c r="D23" s="340"/>
      <c r="E23" s="340"/>
      <c r="F23" s="340"/>
      <c r="G23" s="340"/>
      <c r="H23" s="340"/>
      <c r="I23" s="340"/>
      <c r="J23" s="340" t="s">
        <v>4381</v>
      </c>
      <c r="K23" s="340" t="s">
        <v>816</v>
      </c>
      <c r="L23" s="340"/>
      <c r="M23" s="340"/>
      <c r="N23" s="340"/>
      <c r="O23" s="340"/>
      <c r="P23" s="340"/>
      <c r="Q23" s="45" t="s">
        <v>7166</v>
      </c>
      <c r="R23" s="45"/>
      <c r="S23" s="45"/>
    </row>
    <row r="24" spans="1:19">
      <c r="A24" s="341" t="s">
        <v>6610</v>
      </c>
      <c r="B24" s="340" t="s">
        <v>5888</v>
      </c>
      <c r="C24" s="340"/>
      <c r="D24" s="340" t="s">
        <v>5888</v>
      </c>
      <c r="E24" s="340" t="s">
        <v>5888</v>
      </c>
      <c r="F24" s="340" t="s">
        <v>5888</v>
      </c>
      <c r="G24" s="340" t="s">
        <v>5888</v>
      </c>
      <c r="H24" s="340" t="s">
        <v>5888</v>
      </c>
      <c r="I24" s="340" t="s">
        <v>5888</v>
      </c>
      <c r="J24" s="340" t="s">
        <v>5888</v>
      </c>
      <c r="K24" s="340" t="s">
        <v>816</v>
      </c>
      <c r="L24" s="340" t="s">
        <v>5888</v>
      </c>
      <c r="M24" s="340" t="s">
        <v>5888</v>
      </c>
      <c r="N24" s="340" t="s">
        <v>5888</v>
      </c>
      <c r="O24" s="340" t="s">
        <v>5888</v>
      </c>
      <c r="P24" s="340"/>
      <c r="Q24" s="45" t="s">
        <v>6609</v>
      </c>
      <c r="R24" s="45"/>
      <c r="S24" s="45"/>
    </row>
    <row r="25" spans="1:19">
      <c r="A25" s="341" t="s">
        <v>6608</v>
      </c>
      <c r="B25" s="340" t="s">
        <v>5888</v>
      </c>
      <c r="C25" s="340"/>
      <c r="D25" s="340" t="s">
        <v>5888</v>
      </c>
      <c r="E25" s="340" t="s">
        <v>5888</v>
      </c>
      <c r="F25" s="340" t="s">
        <v>5888</v>
      </c>
      <c r="G25" s="340" t="s">
        <v>816</v>
      </c>
      <c r="H25" s="340" t="s">
        <v>816</v>
      </c>
      <c r="I25" s="340" t="s">
        <v>816</v>
      </c>
      <c r="J25" s="340" t="s">
        <v>5888</v>
      </c>
      <c r="K25" s="340" t="s">
        <v>816</v>
      </c>
      <c r="L25" s="340" t="s">
        <v>816</v>
      </c>
      <c r="M25" s="340" t="s">
        <v>5888</v>
      </c>
      <c r="N25" s="340" t="s">
        <v>816</v>
      </c>
      <c r="O25" s="340" t="s">
        <v>5888</v>
      </c>
      <c r="P25" s="340"/>
      <c r="Q25" s="45" t="s">
        <v>6607</v>
      </c>
      <c r="R25" s="45"/>
      <c r="S25" s="45"/>
    </row>
    <row r="26" spans="1:19">
      <c r="A26" s="341" t="s">
        <v>6711</v>
      </c>
      <c r="B26" s="340" t="s">
        <v>5888</v>
      </c>
      <c r="C26" s="340"/>
      <c r="D26" s="340" t="s">
        <v>5888</v>
      </c>
      <c r="E26" s="340" t="s">
        <v>816</v>
      </c>
      <c r="F26" s="340" t="s">
        <v>5888</v>
      </c>
      <c r="G26" s="340" t="s">
        <v>5888</v>
      </c>
      <c r="H26" s="340" t="s">
        <v>816</v>
      </c>
      <c r="I26" s="340" t="s">
        <v>5888</v>
      </c>
      <c r="J26" s="340" t="s">
        <v>5888</v>
      </c>
      <c r="K26" s="340" t="s">
        <v>5888</v>
      </c>
      <c r="L26" s="340" t="s">
        <v>5888</v>
      </c>
      <c r="M26" s="340" t="s">
        <v>5888</v>
      </c>
      <c r="N26" s="340" t="s">
        <v>5888</v>
      </c>
      <c r="O26" s="340" t="s">
        <v>5888</v>
      </c>
      <c r="P26" s="340"/>
      <c r="Q26" s="45" t="s">
        <v>5898</v>
      </c>
      <c r="R26" s="45"/>
      <c r="S26" s="45"/>
    </row>
    <row r="27" spans="1:19">
      <c r="A27" s="341" t="s">
        <v>6606</v>
      </c>
      <c r="B27" s="340" t="s">
        <v>5888</v>
      </c>
      <c r="C27" s="340" t="s">
        <v>816</v>
      </c>
      <c r="D27" s="340" t="s">
        <v>5888</v>
      </c>
      <c r="E27" s="340" t="s">
        <v>5888</v>
      </c>
      <c r="F27" s="340" t="s">
        <v>5888</v>
      </c>
      <c r="G27" s="340" t="s">
        <v>5888</v>
      </c>
      <c r="H27" s="340" t="s">
        <v>5888</v>
      </c>
      <c r="I27" s="340" t="s">
        <v>5888</v>
      </c>
      <c r="J27" s="340" t="s">
        <v>5888</v>
      </c>
      <c r="K27" s="340"/>
      <c r="L27" s="340" t="s">
        <v>5888</v>
      </c>
      <c r="M27" s="340" t="s">
        <v>5888</v>
      </c>
      <c r="N27" s="340" t="s">
        <v>5888</v>
      </c>
      <c r="O27" s="340" t="s">
        <v>5888</v>
      </c>
      <c r="P27" s="340"/>
      <c r="Q27" s="45"/>
      <c r="R27" s="45" t="s">
        <v>6605</v>
      </c>
      <c r="S27" s="45"/>
    </row>
    <row r="28" spans="1:19">
      <c r="A28" s="341" t="s">
        <v>6604</v>
      </c>
      <c r="B28" s="340" t="s">
        <v>5888</v>
      </c>
      <c r="C28" s="340" t="s">
        <v>816</v>
      </c>
      <c r="D28" s="340" t="s">
        <v>5888</v>
      </c>
      <c r="E28" s="340" t="s">
        <v>5888</v>
      </c>
      <c r="F28" s="340" t="s">
        <v>5888</v>
      </c>
      <c r="G28" s="340" t="s">
        <v>5888</v>
      </c>
      <c r="H28" s="340" t="s">
        <v>5888</v>
      </c>
      <c r="I28" s="340" t="s">
        <v>5888</v>
      </c>
      <c r="J28" s="340" t="s">
        <v>5888</v>
      </c>
      <c r="K28" s="340" t="s">
        <v>5888</v>
      </c>
      <c r="L28" s="340" t="s">
        <v>5888</v>
      </c>
      <c r="M28" s="340" t="s">
        <v>5888</v>
      </c>
      <c r="N28" s="340" t="s">
        <v>5888</v>
      </c>
      <c r="O28" s="340" t="s">
        <v>5888</v>
      </c>
      <c r="P28" s="340"/>
      <c r="Q28" s="342" t="s">
        <v>6603</v>
      </c>
      <c r="R28" s="45"/>
      <c r="S28" s="45"/>
    </row>
    <row r="29" spans="1:19">
      <c r="A29" s="341" t="s">
        <v>6602</v>
      </c>
      <c r="B29" s="340" t="s">
        <v>5888</v>
      </c>
      <c r="C29" s="340" t="s">
        <v>816</v>
      </c>
      <c r="D29" s="340" t="s">
        <v>5888</v>
      </c>
      <c r="E29" s="340" t="s">
        <v>5888</v>
      </c>
      <c r="F29" s="340" t="s">
        <v>5888</v>
      </c>
      <c r="G29" s="340" t="s">
        <v>5888</v>
      </c>
      <c r="H29" s="340" t="s">
        <v>5888</v>
      </c>
      <c r="I29" s="340" t="s">
        <v>5888</v>
      </c>
      <c r="J29" s="340" t="s">
        <v>5888</v>
      </c>
      <c r="K29" s="340" t="s">
        <v>5888</v>
      </c>
      <c r="L29" s="340" t="s">
        <v>5888</v>
      </c>
      <c r="M29" s="340" t="s">
        <v>5888</v>
      </c>
      <c r="N29" s="340" t="s">
        <v>5888</v>
      </c>
      <c r="O29" s="340" t="s">
        <v>5888</v>
      </c>
      <c r="P29" s="340"/>
      <c r="Q29" s="45" t="s">
        <v>6601</v>
      </c>
      <c r="R29" s="45"/>
      <c r="S29" s="45"/>
    </row>
    <row r="30" spans="1:19">
      <c r="A30" s="341" t="s">
        <v>9850</v>
      </c>
      <c r="B30" s="340" t="s">
        <v>816</v>
      </c>
      <c r="C30" s="340"/>
      <c r="D30" s="340"/>
      <c r="E30" s="340"/>
      <c r="F30" s="340"/>
      <c r="G30" s="340"/>
      <c r="H30" s="340"/>
      <c r="I30" s="340"/>
      <c r="J30" s="340"/>
      <c r="K30" s="340"/>
      <c r="L30" s="340"/>
      <c r="M30" s="340" t="s">
        <v>816</v>
      </c>
      <c r="N30" s="340"/>
      <c r="O30" s="340"/>
      <c r="P30" s="340"/>
      <c r="Q30" s="343" t="s">
        <v>9847</v>
      </c>
      <c r="R30" s="45"/>
      <c r="S30" s="45"/>
    </row>
    <row r="31" spans="1:19">
      <c r="A31" s="341" t="s">
        <v>9848</v>
      </c>
      <c r="B31" s="340"/>
      <c r="C31" s="340"/>
      <c r="D31" s="340"/>
      <c r="E31" s="340"/>
      <c r="F31" s="340"/>
      <c r="G31" s="340"/>
      <c r="H31" s="340" t="s">
        <v>816</v>
      </c>
      <c r="I31" s="340"/>
      <c r="J31" s="340"/>
      <c r="K31" s="340" t="s">
        <v>816</v>
      </c>
      <c r="L31" s="340"/>
      <c r="M31" s="340"/>
      <c r="N31" s="340"/>
      <c r="O31" s="340"/>
      <c r="P31" s="340"/>
      <c r="Q31" s="343" t="s">
        <v>9849</v>
      </c>
      <c r="R31" s="45"/>
      <c r="S31" s="45"/>
    </row>
    <row r="32" spans="1:19">
      <c r="A32" s="341" t="s">
        <v>6600</v>
      </c>
      <c r="B32" s="340"/>
      <c r="C32" s="340"/>
      <c r="D32" s="340"/>
      <c r="E32" s="340" t="s">
        <v>816</v>
      </c>
      <c r="F32" s="340"/>
      <c r="G32" s="340"/>
      <c r="H32" s="340"/>
      <c r="I32" s="340"/>
      <c r="J32" s="340"/>
      <c r="K32" s="340"/>
      <c r="L32" s="340"/>
      <c r="M32" s="340"/>
      <c r="N32" s="340"/>
      <c r="O32" s="340"/>
      <c r="P32" s="340"/>
      <c r="Q32" s="45" t="s">
        <v>6599</v>
      </c>
      <c r="R32" s="45"/>
      <c r="S32" s="45"/>
    </row>
    <row r="33" spans="1:19">
      <c r="A33" s="341" t="s">
        <v>755</v>
      </c>
      <c r="B33" s="340" t="s">
        <v>5888</v>
      </c>
      <c r="C33" s="340"/>
      <c r="D33" s="340" t="s">
        <v>5888</v>
      </c>
      <c r="E33" s="340" t="s">
        <v>816</v>
      </c>
      <c r="F33" s="340" t="s">
        <v>5888</v>
      </c>
      <c r="G33" s="340" t="s">
        <v>5888</v>
      </c>
      <c r="H33" s="340" t="s">
        <v>5888</v>
      </c>
      <c r="I33" s="340" t="s">
        <v>5888</v>
      </c>
      <c r="J33" s="340" t="s">
        <v>5888</v>
      </c>
      <c r="K33" s="340" t="s">
        <v>5888</v>
      </c>
      <c r="L33" s="340" t="s">
        <v>5888</v>
      </c>
      <c r="M33" s="340" t="s">
        <v>5888</v>
      </c>
      <c r="N33" s="340" t="s">
        <v>5888</v>
      </c>
      <c r="O33" s="340" t="s">
        <v>5888</v>
      </c>
      <c r="P33" s="340"/>
      <c r="Q33" s="45" t="s">
        <v>6598</v>
      </c>
      <c r="R33" s="45"/>
      <c r="S33" s="45"/>
    </row>
    <row r="34" spans="1:19">
      <c r="A34" s="341" t="s">
        <v>6597</v>
      </c>
      <c r="B34" s="340" t="s">
        <v>5888</v>
      </c>
      <c r="C34" s="340"/>
      <c r="D34" s="340" t="s">
        <v>5888</v>
      </c>
      <c r="E34" s="340" t="s">
        <v>816</v>
      </c>
      <c r="F34" s="340" t="s">
        <v>5888</v>
      </c>
      <c r="G34" s="340" t="s">
        <v>5888</v>
      </c>
      <c r="H34" s="340" t="s">
        <v>5888</v>
      </c>
      <c r="I34" s="340" t="s">
        <v>5888</v>
      </c>
      <c r="J34" s="340" t="s">
        <v>5888</v>
      </c>
      <c r="K34" s="340" t="s">
        <v>5888</v>
      </c>
      <c r="L34" s="340" t="s">
        <v>5888</v>
      </c>
      <c r="M34" s="340" t="s">
        <v>5888</v>
      </c>
      <c r="N34" s="340" t="s">
        <v>5888</v>
      </c>
      <c r="O34" s="340" t="s">
        <v>5888</v>
      </c>
      <c r="P34" s="340"/>
      <c r="Q34" s="45" t="s">
        <v>6596</v>
      </c>
      <c r="R34" s="45"/>
      <c r="S34" s="45"/>
    </row>
    <row r="35" spans="1:19">
      <c r="A35" s="341" t="s">
        <v>7451</v>
      </c>
      <c r="B35" s="340"/>
      <c r="C35" s="340"/>
      <c r="D35" s="340"/>
      <c r="E35" s="340"/>
      <c r="F35" s="340"/>
      <c r="G35" s="340"/>
      <c r="H35" s="340"/>
      <c r="I35" s="340"/>
      <c r="J35" s="340" t="s">
        <v>816</v>
      </c>
      <c r="K35" s="340"/>
      <c r="L35" s="340"/>
      <c r="M35" s="340"/>
      <c r="N35" s="340"/>
      <c r="O35" s="340"/>
      <c r="P35" s="340"/>
      <c r="Q35" s="343" t="s">
        <v>7452</v>
      </c>
      <c r="R35" s="45"/>
      <c r="S35" s="45"/>
    </row>
    <row r="36" spans="1:19">
      <c r="A36" s="341" t="s">
        <v>4393</v>
      </c>
      <c r="B36" s="340" t="s">
        <v>5888</v>
      </c>
      <c r="C36" s="340"/>
      <c r="D36" s="340" t="s">
        <v>5888</v>
      </c>
      <c r="E36" s="340" t="s">
        <v>5888</v>
      </c>
      <c r="F36" s="340" t="s">
        <v>5888</v>
      </c>
      <c r="G36" s="340" t="s">
        <v>5888</v>
      </c>
      <c r="H36" s="340" t="s">
        <v>5888</v>
      </c>
      <c r="I36" s="340" t="s">
        <v>5888</v>
      </c>
      <c r="J36" s="340" t="s">
        <v>816</v>
      </c>
      <c r="K36" s="340" t="s">
        <v>816</v>
      </c>
      <c r="L36" s="340" t="s">
        <v>5888</v>
      </c>
      <c r="M36" s="340" t="s">
        <v>5888</v>
      </c>
      <c r="N36" s="340" t="s">
        <v>5888</v>
      </c>
      <c r="O36" s="340" t="s">
        <v>5888</v>
      </c>
      <c r="P36" s="340"/>
      <c r="Q36" s="45" t="s">
        <v>6595</v>
      </c>
      <c r="R36" s="45"/>
      <c r="S36" s="45"/>
    </row>
    <row r="37" spans="1:19">
      <c r="A37" s="341" t="s">
        <v>6594</v>
      </c>
      <c r="B37" s="340" t="s">
        <v>5888</v>
      </c>
      <c r="C37" s="340"/>
      <c r="D37" s="340" t="s">
        <v>816</v>
      </c>
      <c r="E37" s="340" t="s">
        <v>5888</v>
      </c>
      <c r="F37" s="340" t="s">
        <v>5888</v>
      </c>
      <c r="G37" s="340" t="s">
        <v>5888</v>
      </c>
      <c r="H37" s="340" t="s">
        <v>5888</v>
      </c>
      <c r="I37" s="340" t="s">
        <v>816</v>
      </c>
      <c r="J37" s="340" t="s">
        <v>5888</v>
      </c>
      <c r="K37" s="340" t="s">
        <v>5888</v>
      </c>
      <c r="L37" s="340" t="s">
        <v>5888</v>
      </c>
      <c r="M37" s="340" t="s">
        <v>816</v>
      </c>
      <c r="N37" s="340" t="s">
        <v>5888</v>
      </c>
      <c r="O37" s="340" t="s">
        <v>5888</v>
      </c>
      <c r="P37" s="340"/>
      <c r="Q37" s="45" t="s">
        <v>6131</v>
      </c>
      <c r="R37" s="45"/>
      <c r="S37" s="45"/>
    </row>
    <row r="38" spans="1:19">
      <c r="A38" s="341" t="s">
        <v>7100</v>
      </c>
      <c r="B38" s="340"/>
      <c r="C38" s="340"/>
      <c r="D38" s="340"/>
      <c r="E38" s="340"/>
      <c r="F38" s="340"/>
      <c r="G38" s="340"/>
      <c r="H38" s="340" t="s">
        <v>816</v>
      </c>
      <c r="I38" s="340" t="s">
        <v>816</v>
      </c>
      <c r="J38" s="340" t="s">
        <v>816</v>
      </c>
      <c r="K38" s="340" t="s">
        <v>816</v>
      </c>
      <c r="L38" s="340" t="s">
        <v>816</v>
      </c>
      <c r="M38" s="340"/>
      <c r="N38" s="340" t="s">
        <v>816</v>
      </c>
      <c r="O38" s="340"/>
      <c r="P38" s="340"/>
      <c r="Q38" s="388" t="s">
        <v>7099</v>
      </c>
      <c r="R38" s="45"/>
      <c r="S38" s="45"/>
    </row>
    <row r="39" spans="1:19">
      <c r="A39" s="341" t="s">
        <v>6591</v>
      </c>
      <c r="B39" s="340" t="s">
        <v>816</v>
      </c>
      <c r="C39" s="340" t="s">
        <v>816</v>
      </c>
      <c r="D39" s="340" t="s">
        <v>816</v>
      </c>
      <c r="E39" s="340" t="s">
        <v>816</v>
      </c>
      <c r="F39" s="340" t="s">
        <v>816</v>
      </c>
      <c r="G39" s="340" t="s">
        <v>816</v>
      </c>
      <c r="H39" s="340" t="s">
        <v>816</v>
      </c>
      <c r="I39" s="340" t="s">
        <v>816</v>
      </c>
      <c r="J39" s="340" t="s">
        <v>816</v>
      </c>
      <c r="K39" s="340" t="s">
        <v>816</v>
      </c>
      <c r="L39" s="340" t="s">
        <v>816</v>
      </c>
      <c r="M39" s="340" t="s">
        <v>816</v>
      </c>
      <c r="N39" s="340" t="s">
        <v>816</v>
      </c>
      <c r="O39" s="340" t="s">
        <v>816</v>
      </c>
      <c r="P39" s="340"/>
      <c r="Q39" s="45" t="s">
        <v>6590</v>
      </c>
      <c r="R39" s="45"/>
      <c r="S39" s="45"/>
    </row>
    <row r="40" spans="1:19">
      <c r="A40" s="341" t="s">
        <v>6593</v>
      </c>
      <c r="B40" s="340"/>
      <c r="C40" s="340" t="s">
        <v>816</v>
      </c>
      <c r="D40" s="340"/>
      <c r="E40" s="340"/>
      <c r="F40" s="340"/>
      <c r="G40" s="340"/>
      <c r="H40" s="340"/>
      <c r="I40" s="340"/>
      <c r="J40" s="340"/>
      <c r="K40" s="340"/>
      <c r="L40" s="340"/>
      <c r="M40" s="340"/>
      <c r="N40" s="340"/>
      <c r="O40" s="340"/>
      <c r="P40" s="340"/>
      <c r="Q40" s="45" t="s">
        <v>6592</v>
      </c>
      <c r="R40" s="45" t="s">
        <v>6592</v>
      </c>
      <c r="S40" s="45" t="s">
        <v>7056</v>
      </c>
    </row>
    <row r="41" spans="1:19">
      <c r="A41" s="341" t="s">
        <v>949</v>
      </c>
      <c r="B41" s="340"/>
      <c r="C41" s="340"/>
      <c r="D41" s="340"/>
      <c r="E41" s="340" t="s">
        <v>816</v>
      </c>
      <c r="F41" s="340"/>
      <c r="G41" s="340"/>
      <c r="H41" s="340"/>
      <c r="I41" s="340"/>
      <c r="J41" s="340"/>
      <c r="K41" s="340" t="s">
        <v>816</v>
      </c>
      <c r="L41" s="340"/>
      <c r="M41" s="340"/>
      <c r="N41" s="340"/>
      <c r="O41" s="340"/>
      <c r="P41" s="340"/>
      <c r="Q41" s="343" t="s">
        <v>6589</v>
      </c>
      <c r="R41" s="45"/>
      <c r="S41" s="45"/>
    </row>
    <row r="42" spans="1:19">
      <c r="A42" s="341" t="s">
        <v>6588</v>
      </c>
      <c r="B42" s="340" t="s">
        <v>5888</v>
      </c>
      <c r="C42" s="340"/>
      <c r="D42" s="340" t="s">
        <v>5888</v>
      </c>
      <c r="E42" s="340" t="s">
        <v>816</v>
      </c>
      <c r="F42" s="340" t="s">
        <v>5888</v>
      </c>
      <c r="G42" s="340" t="s">
        <v>5888</v>
      </c>
      <c r="H42" s="340" t="s">
        <v>5888</v>
      </c>
      <c r="I42" s="340" t="s">
        <v>5888</v>
      </c>
      <c r="J42" s="340" t="s">
        <v>5888</v>
      </c>
      <c r="K42" s="340" t="s">
        <v>816</v>
      </c>
      <c r="L42" s="340" t="s">
        <v>5888</v>
      </c>
      <c r="M42" s="340" t="s">
        <v>5888</v>
      </c>
      <c r="N42" s="340" t="s">
        <v>5888</v>
      </c>
      <c r="O42" s="340" t="s">
        <v>5888</v>
      </c>
      <c r="P42" s="340"/>
      <c r="Q42" s="45" t="s">
        <v>6587</v>
      </c>
      <c r="R42" s="45"/>
      <c r="S42" s="45"/>
    </row>
    <row r="43" spans="1:19">
      <c r="A43" s="341" t="s">
        <v>6586</v>
      </c>
      <c r="B43" s="340" t="s">
        <v>5888</v>
      </c>
      <c r="C43" s="340"/>
      <c r="D43" s="340" t="s">
        <v>5888</v>
      </c>
      <c r="E43" s="340" t="s">
        <v>816</v>
      </c>
      <c r="F43" s="340" t="s">
        <v>5888</v>
      </c>
      <c r="G43" s="340" t="s">
        <v>5888</v>
      </c>
      <c r="H43" s="340" t="s">
        <v>5888</v>
      </c>
      <c r="I43" s="340" t="s">
        <v>5888</v>
      </c>
      <c r="J43" s="340" t="s">
        <v>5888</v>
      </c>
      <c r="K43" s="340" t="s">
        <v>816</v>
      </c>
      <c r="L43" s="340" t="s">
        <v>5888</v>
      </c>
      <c r="M43" s="340" t="s">
        <v>5888</v>
      </c>
      <c r="N43" s="340" t="s">
        <v>5888</v>
      </c>
      <c r="O43" s="340" t="s">
        <v>5888</v>
      </c>
      <c r="P43" s="340"/>
      <c r="Q43" s="45" t="s">
        <v>6585</v>
      </c>
      <c r="R43" s="45"/>
      <c r="S43" s="45"/>
    </row>
    <row r="44" spans="1:19">
      <c r="A44" s="341" t="s">
        <v>6584</v>
      </c>
      <c r="B44" s="340" t="s">
        <v>5888</v>
      </c>
      <c r="C44" s="340"/>
      <c r="D44" s="340" t="s">
        <v>5888</v>
      </c>
      <c r="E44" s="340" t="s">
        <v>816</v>
      </c>
      <c r="F44" s="340" t="s">
        <v>5888</v>
      </c>
      <c r="G44" s="340" t="s">
        <v>5888</v>
      </c>
      <c r="H44" s="340" t="s">
        <v>5888</v>
      </c>
      <c r="I44" s="340" t="s">
        <v>5888</v>
      </c>
      <c r="J44" s="340" t="s">
        <v>5888</v>
      </c>
      <c r="K44" s="340" t="s">
        <v>816</v>
      </c>
      <c r="L44" s="340" t="s">
        <v>5888</v>
      </c>
      <c r="M44" s="340" t="s">
        <v>5888</v>
      </c>
      <c r="N44" s="340" t="s">
        <v>5888</v>
      </c>
      <c r="O44" s="340" t="s">
        <v>5888</v>
      </c>
      <c r="P44" s="340"/>
      <c r="Q44" s="45" t="s">
        <v>8908</v>
      </c>
      <c r="R44" s="45"/>
      <c r="S44" s="45"/>
    </row>
    <row r="45" spans="1:19">
      <c r="A45" s="341" t="s">
        <v>6583</v>
      </c>
      <c r="B45" s="340" t="s">
        <v>5888</v>
      </c>
      <c r="C45" s="340"/>
      <c r="D45" s="340" t="s">
        <v>5888</v>
      </c>
      <c r="E45" s="340" t="s">
        <v>5888</v>
      </c>
      <c r="F45" s="340" t="s">
        <v>5888</v>
      </c>
      <c r="G45" s="340" t="s">
        <v>5888</v>
      </c>
      <c r="H45" s="340" t="s">
        <v>816</v>
      </c>
      <c r="I45" s="340" t="s">
        <v>5888</v>
      </c>
      <c r="J45" s="340" t="s">
        <v>816</v>
      </c>
      <c r="K45" s="340" t="s">
        <v>816</v>
      </c>
      <c r="L45" s="340" t="s">
        <v>816</v>
      </c>
      <c r="M45" s="340" t="s">
        <v>5888</v>
      </c>
      <c r="N45" s="340" t="s">
        <v>5888</v>
      </c>
      <c r="O45" s="340" t="s">
        <v>5888</v>
      </c>
      <c r="P45" s="340"/>
      <c r="Q45" s="45" t="s">
        <v>6582</v>
      </c>
      <c r="R45" s="45"/>
      <c r="S45" s="45"/>
    </row>
    <row r="46" spans="1:19">
      <c r="A46" s="341" t="s">
        <v>6581</v>
      </c>
      <c r="B46" s="340" t="s">
        <v>5888</v>
      </c>
      <c r="C46" s="340"/>
      <c r="D46" s="340" t="s">
        <v>5888</v>
      </c>
      <c r="E46" s="340" t="s">
        <v>816</v>
      </c>
      <c r="F46" s="340" t="s">
        <v>5888</v>
      </c>
      <c r="G46" s="340" t="s">
        <v>816</v>
      </c>
      <c r="H46" s="340" t="s">
        <v>816</v>
      </c>
      <c r="I46" s="340" t="s">
        <v>816</v>
      </c>
      <c r="J46" s="340" t="s">
        <v>816</v>
      </c>
      <c r="K46" s="340" t="s">
        <v>816</v>
      </c>
      <c r="L46" s="340" t="s">
        <v>816</v>
      </c>
      <c r="M46" s="340" t="s">
        <v>816</v>
      </c>
      <c r="N46" s="340" t="s">
        <v>816</v>
      </c>
      <c r="O46" s="340" t="s">
        <v>5888</v>
      </c>
      <c r="P46" s="340"/>
      <c r="Q46" s="45" t="s">
        <v>6580</v>
      </c>
      <c r="R46" s="45"/>
      <c r="S46" s="45"/>
    </row>
    <row r="47" spans="1:19">
      <c r="A47" s="341" t="s">
        <v>6581</v>
      </c>
      <c r="B47" s="340"/>
      <c r="C47" s="340"/>
      <c r="D47" s="340"/>
      <c r="E47" s="340"/>
      <c r="F47" s="340"/>
      <c r="G47" s="340"/>
      <c r="H47" s="340"/>
      <c r="I47" s="340"/>
      <c r="J47" s="340"/>
      <c r="K47" s="340"/>
      <c r="L47" s="340"/>
      <c r="M47" s="340"/>
      <c r="N47" s="340"/>
      <c r="O47" s="340"/>
      <c r="P47" s="340" t="s">
        <v>816</v>
      </c>
      <c r="Q47" s="45" t="s">
        <v>8294</v>
      </c>
      <c r="R47" s="45"/>
      <c r="S47" s="45"/>
    </row>
    <row r="48" spans="1:19">
      <c r="A48" s="341" t="s">
        <v>758</v>
      </c>
      <c r="B48" s="340" t="s">
        <v>5888</v>
      </c>
      <c r="C48" s="340"/>
      <c r="D48" s="340" t="s">
        <v>5888</v>
      </c>
      <c r="E48" s="340" t="s">
        <v>5888</v>
      </c>
      <c r="F48" s="340" t="s">
        <v>5888</v>
      </c>
      <c r="G48" s="340" t="s">
        <v>5888</v>
      </c>
      <c r="H48" s="340" t="s">
        <v>816</v>
      </c>
      <c r="I48" s="340" t="s">
        <v>5888</v>
      </c>
      <c r="J48" s="340" t="s">
        <v>5888</v>
      </c>
      <c r="K48" s="340" t="s">
        <v>816</v>
      </c>
      <c r="L48" s="340" t="s">
        <v>5888</v>
      </c>
      <c r="M48" s="340" t="s">
        <v>5888</v>
      </c>
      <c r="N48" s="340" t="s">
        <v>5888</v>
      </c>
      <c r="O48" s="340" t="s">
        <v>5888</v>
      </c>
      <c r="P48" s="340"/>
      <c r="Q48" s="45" t="s">
        <v>6579</v>
      </c>
      <c r="R48" s="45"/>
      <c r="S48" s="45"/>
    </row>
    <row r="49" spans="1:19">
      <c r="A49" s="341" t="s">
        <v>588</v>
      </c>
      <c r="B49" s="340"/>
      <c r="C49" s="340"/>
      <c r="D49" s="340"/>
      <c r="E49" s="340"/>
      <c r="F49" s="340"/>
      <c r="G49" s="340"/>
      <c r="H49" s="340"/>
      <c r="I49" s="340"/>
      <c r="J49" s="340" t="s">
        <v>816</v>
      </c>
      <c r="K49" s="340"/>
      <c r="L49" s="340"/>
      <c r="M49" s="340"/>
      <c r="N49" s="340"/>
      <c r="O49" s="340"/>
      <c r="P49" s="340"/>
      <c r="Q49" s="343" t="s">
        <v>7393</v>
      </c>
      <c r="R49" s="45"/>
      <c r="S49" s="45"/>
    </row>
    <row r="50" spans="1:19">
      <c r="A50" s="341" t="s">
        <v>6578</v>
      </c>
      <c r="B50" s="340" t="s">
        <v>5888</v>
      </c>
      <c r="C50" s="340"/>
      <c r="D50" s="340" t="s">
        <v>816</v>
      </c>
      <c r="E50" s="340" t="s">
        <v>816</v>
      </c>
      <c r="F50" s="340" t="s">
        <v>5888</v>
      </c>
      <c r="G50" s="340" t="s">
        <v>816</v>
      </c>
      <c r="H50" s="340" t="s">
        <v>816</v>
      </c>
      <c r="I50" s="340" t="s">
        <v>816</v>
      </c>
      <c r="J50" s="340" t="s">
        <v>816</v>
      </c>
      <c r="K50" s="340" t="s">
        <v>816</v>
      </c>
      <c r="L50" s="340" t="s">
        <v>816</v>
      </c>
      <c r="M50" s="340" t="s">
        <v>816</v>
      </c>
      <c r="N50" s="340" t="s">
        <v>5888</v>
      </c>
      <c r="O50" s="340" t="s">
        <v>5888</v>
      </c>
      <c r="P50" s="340"/>
      <c r="Q50" s="45" t="s">
        <v>6577</v>
      </c>
      <c r="R50" s="45"/>
      <c r="S50" s="45"/>
    </row>
    <row r="51" spans="1:19">
      <c r="A51" s="341" t="s">
        <v>9843</v>
      </c>
      <c r="B51" s="340"/>
      <c r="C51" s="340"/>
      <c r="D51" s="340"/>
      <c r="E51" s="340" t="s">
        <v>816</v>
      </c>
      <c r="F51" s="340"/>
      <c r="G51" s="340"/>
      <c r="H51" s="340"/>
      <c r="I51" s="340"/>
      <c r="J51" s="340"/>
      <c r="K51" s="340" t="s">
        <v>816</v>
      </c>
      <c r="L51" s="340"/>
      <c r="M51" s="340"/>
      <c r="N51" s="340"/>
      <c r="O51" s="340"/>
      <c r="P51" s="340"/>
      <c r="Q51" s="343" t="s">
        <v>9844</v>
      </c>
      <c r="R51" s="45"/>
      <c r="S51" s="45"/>
    </row>
    <row r="52" spans="1:19">
      <c r="A52" s="341" t="s">
        <v>6576</v>
      </c>
      <c r="B52" s="340" t="s">
        <v>5888</v>
      </c>
      <c r="C52" s="340" t="s">
        <v>816</v>
      </c>
      <c r="D52" s="340" t="s">
        <v>5888</v>
      </c>
      <c r="E52" s="340" t="s">
        <v>5888</v>
      </c>
      <c r="F52" s="340" t="s">
        <v>5888</v>
      </c>
      <c r="G52" s="340" t="s">
        <v>5888</v>
      </c>
      <c r="H52" s="340" t="s">
        <v>5888</v>
      </c>
      <c r="I52" s="340" t="s">
        <v>5888</v>
      </c>
      <c r="J52" s="340" t="s">
        <v>5888</v>
      </c>
      <c r="K52" s="340" t="s">
        <v>5888</v>
      </c>
      <c r="L52" s="340" t="s">
        <v>5888</v>
      </c>
      <c r="M52" s="340" t="s">
        <v>5888</v>
      </c>
      <c r="N52" s="340" t="s">
        <v>5888</v>
      </c>
      <c r="O52" s="340" t="s">
        <v>5888</v>
      </c>
      <c r="P52" s="340"/>
      <c r="Q52" s="45" t="s">
        <v>6575</v>
      </c>
      <c r="R52" s="45"/>
      <c r="S52" s="45"/>
    </row>
    <row r="53" spans="1:19">
      <c r="A53" s="341" t="s">
        <v>6574</v>
      </c>
      <c r="B53" s="340"/>
      <c r="C53" s="340"/>
      <c r="D53" s="340"/>
      <c r="E53" s="340" t="s">
        <v>816</v>
      </c>
      <c r="F53" s="340"/>
      <c r="G53" s="340"/>
      <c r="H53" s="340"/>
      <c r="I53" s="340"/>
      <c r="J53" s="340"/>
      <c r="K53" s="340"/>
      <c r="L53" s="340"/>
      <c r="M53" s="340"/>
      <c r="N53" s="340"/>
      <c r="O53" s="340"/>
      <c r="P53" s="340"/>
      <c r="Q53" s="45" t="s">
        <v>6573</v>
      </c>
      <c r="R53" s="45"/>
      <c r="S53" s="45"/>
    </row>
    <row r="54" spans="1:19">
      <c r="A54" s="341" t="s">
        <v>607</v>
      </c>
      <c r="B54" s="340" t="s">
        <v>5888</v>
      </c>
      <c r="C54" s="340"/>
      <c r="D54" s="340" t="s">
        <v>5888</v>
      </c>
      <c r="E54" s="340" t="s">
        <v>5888</v>
      </c>
      <c r="F54" s="340" t="s">
        <v>5888</v>
      </c>
      <c r="G54" s="340" t="s">
        <v>5888</v>
      </c>
      <c r="H54" s="340" t="s">
        <v>5888</v>
      </c>
      <c r="I54" s="340" t="s">
        <v>5888</v>
      </c>
      <c r="J54" s="340" t="s">
        <v>816</v>
      </c>
      <c r="K54" s="340" t="s">
        <v>816</v>
      </c>
      <c r="L54" s="340" t="s">
        <v>5888</v>
      </c>
      <c r="M54" s="340" t="s">
        <v>5888</v>
      </c>
      <c r="N54" s="340" t="s">
        <v>5888</v>
      </c>
      <c r="O54" s="340" t="s">
        <v>5888</v>
      </c>
      <c r="P54" s="340"/>
      <c r="Q54" s="45" t="s">
        <v>6572</v>
      </c>
      <c r="R54" s="45"/>
      <c r="S54" s="45"/>
    </row>
    <row r="55" spans="1:19">
      <c r="A55" s="341" t="s">
        <v>6571</v>
      </c>
      <c r="B55" s="340" t="s">
        <v>5888</v>
      </c>
      <c r="C55" s="340"/>
      <c r="D55" s="340" t="s">
        <v>5888</v>
      </c>
      <c r="E55" s="340" t="s">
        <v>5888</v>
      </c>
      <c r="F55" s="340" t="s">
        <v>5888</v>
      </c>
      <c r="G55" s="340" t="s">
        <v>5888</v>
      </c>
      <c r="H55" s="340" t="s">
        <v>5888</v>
      </c>
      <c r="I55" s="340" t="s">
        <v>816</v>
      </c>
      <c r="J55" s="340" t="s">
        <v>816</v>
      </c>
      <c r="K55" s="340" t="s">
        <v>816</v>
      </c>
      <c r="L55" s="340" t="s">
        <v>5888</v>
      </c>
      <c r="M55" s="340" t="s">
        <v>5888</v>
      </c>
      <c r="N55" s="340" t="s">
        <v>5888</v>
      </c>
      <c r="O55" s="340" t="s">
        <v>5888</v>
      </c>
      <c r="P55" s="340"/>
      <c r="Q55" s="342" t="s">
        <v>6570</v>
      </c>
      <c r="R55" s="45"/>
      <c r="S55" s="45"/>
    </row>
    <row r="56" spans="1:19">
      <c r="A56" s="341" t="s">
        <v>1598</v>
      </c>
      <c r="B56" s="340" t="s">
        <v>5888</v>
      </c>
      <c r="C56" s="340"/>
      <c r="D56" s="340" t="s">
        <v>5888</v>
      </c>
      <c r="E56" s="340" t="s">
        <v>816</v>
      </c>
      <c r="F56" s="340" t="s">
        <v>5888</v>
      </c>
      <c r="G56" s="340" t="s">
        <v>5888</v>
      </c>
      <c r="H56" s="340" t="s">
        <v>5888</v>
      </c>
      <c r="I56" s="340" t="s">
        <v>5888</v>
      </c>
      <c r="J56" s="340" t="s">
        <v>5888</v>
      </c>
      <c r="K56" s="340" t="s">
        <v>5888</v>
      </c>
      <c r="L56" s="340" t="s">
        <v>5888</v>
      </c>
      <c r="M56" s="340" t="s">
        <v>5888</v>
      </c>
      <c r="N56" s="340" t="s">
        <v>5888</v>
      </c>
      <c r="O56" s="340" t="s">
        <v>5888</v>
      </c>
      <c r="P56" s="340"/>
      <c r="Q56" s="45" t="s">
        <v>6569</v>
      </c>
      <c r="R56" s="45"/>
      <c r="S56" s="45"/>
    </row>
    <row r="57" spans="1:19">
      <c r="A57" s="341" t="s">
        <v>6568</v>
      </c>
      <c r="B57" s="340" t="s">
        <v>5888</v>
      </c>
      <c r="C57" s="340"/>
      <c r="D57" s="340" t="s">
        <v>5888</v>
      </c>
      <c r="E57" s="340" t="s">
        <v>5888</v>
      </c>
      <c r="F57" s="340" t="s">
        <v>5888</v>
      </c>
      <c r="G57" s="340" t="s">
        <v>5888</v>
      </c>
      <c r="H57" s="340" t="s">
        <v>816</v>
      </c>
      <c r="I57" s="340" t="s">
        <v>5888</v>
      </c>
      <c r="J57" s="340" t="s">
        <v>5888</v>
      </c>
      <c r="K57" s="340" t="s">
        <v>816</v>
      </c>
      <c r="L57" s="340" t="s">
        <v>5888</v>
      </c>
      <c r="M57" s="340" t="s">
        <v>5888</v>
      </c>
      <c r="N57" s="340" t="s">
        <v>5888</v>
      </c>
      <c r="O57" s="340" t="s">
        <v>5888</v>
      </c>
      <c r="P57" s="340"/>
      <c r="Q57" s="45" t="s">
        <v>6567</v>
      </c>
      <c r="R57" s="45"/>
      <c r="S57" s="45"/>
    </row>
    <row r="58" spans="1:19">
      <c r="A58" s="341" t="s">
        <v>6566</v>
      </c>
      <c r="B58" s="340" t="s">
        <v>5888</v>
      </c>
      <c r="C58" s="340"/>
      <c r="D58" s="340" t="s">
        <v>5888</v>
      </c>
      <c r="E58" s="340" t="s">
        <v>5888</v>
      </c>
      <c r="F58" s="340" t="s">
        <v>5888</v>
      </c>
      <c r="G58" s="340" t="s">
        <v>5888</v>
      </c>
      <c r="H58" s="340" t="s">
        <v>816</v>
      </c>
      <c r="I58" s="340" t="s">
        <v>5888</v>
      </c>
      <c r="J58" s="340" t="s">
        <v>5888</v>
      </c>
      <c r="K58" s="340" t="s">
        <v>816</v>
      </c>
      <c r="L58" s="340" t="s">
        <v>5888</v>
      </c>
      <c r="M58" s="340" t="s">
        <v>5888</v>
      </c>
      <c r="N58" s="340" t="s">
        <v>5888</v>
      </c>
      <c r="O58" s="340" t="s">
        <v>5888</v>
      </c>
      <c r="P58" s="340"/>
      <c r="Q58" s="45" t="s">
        <v>6565</v>
      </c>
      <c r="R58" s="45"/>
      <c r="S58" s="45"/>
    </row>
    <row r="59" spans="1:19">
      <c r="A59" s="341" t="s">
        <v>4287</v>
      </c>
      <c r="B59" s="340" t="s">
        <v>5888</v>
      </c>
      <c r="C59" s="346"/>
      <c r="D59" s="340" t="s">
        <v>5888</v>
      </c>
      <c r="E59" s="340" t="s">
        <v>5888</v>
      </c>
      <c r="F59" s="340" t="s">
        <v>5888</v>
      </c>
      <c r="G59" s="340" t="s">
        <v>5888</v>
      </c>
      <c r="H59" s="340" t="s">
        <v>5888</v>
      </c>
      <c r="I59" s="340" t="s">
        <v>816</v>
      </c>
      <c r="J59" s="340" t="s">
        <v>5888</v>
      </c>
      <c r="K59" s="340" t="s">
        <v>816</v>
      </c>
      <c r="L59" s="340" t="s">
        <v>5888</v>
      </c>
      <c r="M59" s="340" t="s">
        <v>5888</v>
      </c>
      <c r="N59" s="340" t="s">
        <v>5888</v>
      </c>
      <c r="O59" s="340" t="s">
        <v>5888</v>
      </c>
      <c r="P59" s="340"/>
      <c r="Q59" s="341" t="s">
        <v>6564</v>
      </c>
      <c r="R59" s="45"/>
      <c r="S59" s="45"/>
    </row>
    <row r="60" spans="1:19">
      <c r="A60" s="341" t="s">
        <v>2912</v>
      </c>
      <c r="B60" s="340" t="s">
        <v>5888</v>
      </c>
      <c r="C60" s="340"/>
      <c r="D60" s="340" t="s">
        <v>5888</v>
      </c>
      <c r="E60" s="340" t="s">
        <v>5888</v>
      </c>
      <c r="F60" s="340" t="s">
        <v>5888</v>
      </c>
      <c r="G60" s="340" t="s">
        <v>5888</v>
      </c>
      <c r="H60" s="340" t="s">
        <v>5888</v>
      </c>
      <c r="I60" s="340" t="s">
        <v>5888</v>
      </c>
      <c r="J60" s="340" t="s">
        <v>5888</v>
      </c>
      <c r="K60" s="340" t="s">
        <v>816</v>
      </c>
      <c r="L60" s="340" t="s">
        <v>5888</v>
      </c>
      <c r="M60" s="340" t="s">
        <v>5888</v>
      </c>
      <c r="N60" s="340" t="s">
        <v>5888</v>
      </c>
      <c r="O60" s="340" t="s">
        <v>5888</v>
      </c>
      <c r="P60" s="340"/>
      <c r="Q60" s="45" t="s">
        <v>6563</v>
      </c>
      <c r="R60" s="45"/>
      <c r="S60" s="45"/>
    </row>
    <row r="61" spans="1:19">
      <c r="A61" s="341" t="s">
        <v>6562</v>
      </c>
      <c r="B61" s="340"/>
      <c r="C61" s="340"/>
      <c r="D61" s="340"/>
      <c r="E61" s="340"/>
      <c r="F61" s="340"/>
      <c r="G61" s="340"/>
      <c r="H61" s="340"/>
      <c r="I61" s="340"/>
      <c r="J61" s="340" t="s">
        <v>816</v>
      </c>
      <c r="K61" s="340" t="s">
        <v>816</v>
      </c>
      <c r="L61" s="340"/>
      <c r="M61" s="340"/>
      <c r="N61" s="340"/>
      <c r="O61" s="340"/>
      <c r="P61" s="340"/>
      <c r="Q61" s="343" t="s">
        <v>6561</v>
      </c>
      <c r="R61" s="45"/>
      <c r="S61" s="45"/>
    </row>
    <row r="62" spans="1:19">
      <c r="A62" s="341" t="s">
        <v>875</v>
      </c>
      <c r="B62" s="340"/>
      <c r="C62" s="340"/>
      <c r="D62" s="340"/>
      <c r="E62" s="340" t="s">
        <v>816</v>
      </c>
      <c r="F62" s="340"/>
      <c r="G62" s="340"/>
      <c r="H62" s="340"/>
      <c r="I62" s="340"/>
      <c r="J62" s="340"/>
      <c r="K62" s="340"/>
      <c r="L62" s="340"/>
      <c r="M62" s="340"/>
      <c r="N62" s="340"/>
      <c r="O62" s="340"/>
      <c r="P62" s="340"/>
      <c r="Q62" s="45" t="s">
        <v>6560</v>
      </c>
      <c r="R62" s="45"/>
      <c r="S62" s="45"/>
    </row>
    <row r="63" spans="1:19">
      <c r="A63" s="341" t="s">
        <v>6559</v>
      </c>
      <c r="B63" s="340" t="s">
        <v>5888</v>
      </c>
      <c r="C63" s="340"/>
      <c r="D63" s="340" t="s">
        <v>5888</v>
      </c>
      <c r="E63" s="340" t="s">
        <v>816</v>
      </c>
      <c r="F63" s="340" t="s">
        <v>5888</v>
      </c>
      <c r="G63" s="340" t="s">
        <v>5888</v>
      </c>
      <c r="H63" s="340" t="s">
        <v>5888</v>
      </c>
      <c r="I63" s="340" t="s">
        <v>5888</v>
      </c>
      <c r="J63" s="340" t="s">
        <v>5888</v>
      </c>
      <c r="K63" s="340" t="s">
        <v>5888</v>
      </c>
      <c r="L63" s="340" t="s">
        <v>5888</v>
      </c>
      <c r="M63" s="340" t="s">
        <v>5888</v>
      </c>
      <c r="N63" s="340" t="s">
        <v>5888</v>
      </c>
      <c r="O63" s="340" t="s">
        <v>5888</v>
      </c>
      <c r="P63" s="340"/>
      <c r="Q63" s="45" t="s">
        <v>6558</v>
      </c>
      <c r="R63" s="45"/>
      <c r="S63" s="45"/>
    </row>
    <row r="64" spans="1:19">
      <c r="A64" s="341" t="s">
        <v>6557</v>
      </c>
      <c r="B64" s="340" t="s">
        <v>5888</v>
      </c>
      <c r="C64" s="340"/>
      <c r="D64" s="340" t="s">
        <v>5888</v>
      </c>
      <c r="E64" s="340" t="s">
        <v>816</v>
      </c>
      <c r="F64" s="340" t="s">
        <v>5888</v>
      </c>
      <c r="G64" s="340" t="s">
        <v>5888</v>
      </c>
      <c r="H64" s="340" t="s">
        <v>5888</v>
      </c>
      <c r="I64" s="340" t="s">
        <v>5888</v>
      </c>
      <c r="J64" s="340" t="s">
        <v>5888</v>
      </c>
      <c r="K64" s="340" t="s">
        <v>5888</v>
      </c>
      <c r="L64" s="340" t="s">
        <v>5888</v>
      </c>
      <c r="M64" s="340" t="s">
        <v>5888</v>
      </c>
      <c r="N64" s="340" t="s">
        <v>5888</v>
      </c>
      <c r="O64" s="340" t="s">
        <v>5888</v>
      </c>
      <c r="P64" s="340"/>
      <c r="Q64" s="45" t="s">
        <v>6556</v>
      </c>
      <c r="R64" s="45"/>
      <c r="S64" s="45"/>
    </row>
    <row r="65" spans="1:19">
      <c r="A65" s="341" t="s">
        <v>6555</v>
      </c>
      <c r="B65" s="340" t="s">
        <v>5888</v>
      </c>
      <c r="C65" s="340"/>
      <c r="D65" s="340" t="s">
        <v>5888</v>
      </c>
      <c r="E65" s="340" t="s">
        <v>816</v>
      </c>
      <c r="F65" s="340" t="s">
        <v>5888</v>
      </c>
      <c r="G65" s="340" t="s">
        <v>5888</v>
      </c>
      <c r="H65" s="340" t="s">
        <v>5888</v>
      </c>
      <c r="I65" s="340" t="s">
        <v>5888</v>
      </c>
      <c r="J65" s="340" t="s">
        <v>5888</v>
      </c>
      <c r="K65" s="340" t="s">
        <v>5888</v>
      </c>
      <c r="L65" s="340" t="s">
        <v>5888</v>
      </c>
      <c r="M65" s="340" t="s">
        <v>5888</v>
      </c>
      <c r="N65" s="340" t="s">
        <v>5888</v>
      </c>
      <c r="O65" s="340" t="s">
        <v>5888</v>
      </c>
      <c r="P65" s="340"/>
      <c r="Q65" s="45" t="s">
        <v>6554</v>
      </c>
      <c r="R65" s="45"/>
      <c r="S65" s="45"/>
    </row>
    <row r="66" spans="1:19">
      <c r="A66" s="341" t="s">
        <v>10541</v>
      </c>
      <c r="B66" s="340" t="s">
        <v>816</v>
      </c>
      <c r="C66" s="340"/>
      <c r="D66" s="340" t="s">
        <v>5888</v>
      </c>
      <c r="E66" s="340" t="s">
        <v>5888</v>
      </c>
      <c r="F66" s="340" t="s">
        <v>5888</v>
      </c>
      <c r="G66" s="340" t="s">
        <v>816</v>
      </c>
      <c r="H66" s="340" t="s">
        <v>816</v>
      </c>
      <c r="I66" s="340" t="s">
        <v>816</v>
      </c>
      <c r="J66" s="340" t="s">
        <v>816</v>
      </c>
      <c r="K66" s="340" t="s">
        <v>816</v>
      </c>
      <c r="L66" s="340" t="s">
        <v>816</v>
      </c>
      <c r="M66" s="340" t="s">
        <v>5888</v>
      </c>
      <c r="N66" s="340" t="s">
        <v>816</v>
      </c>
      <c r="O66" s="340"/>
      <c r="P66" s="340"/>
      <c r="Q66" s="343" t="s">
        <v>10542</v>
      </c>
      <c r="R66" s="45"/>
      <c r="S66" s="45"/>
    </row>
    <row r="67" spans="1:19">
      <c r="A67" s="341" t="s">
        <v>7917</v>
      </c>
      <c r="B67" s="340" t="s">
        <v>5888</v>
      </c>
      <c r="C67" s="340"/>
      <c r="D67" s="340" t="s">
        <v>5888</v>
      </c>
      <c r="E67" s="340" t="s">
        <v>5888</v>
      </c>
      <c r="F67" s="340" t="s">
        <v>5888</v>
      </c>
      <c r="G67" s="340" t="s">
        <v>5888</v>
      </c>
      <c r="H67" s="340" t="s">
        <v>5888</v>
      </c>
      <c r="I67" s="340" t="s">
        <v>5888</v>
      </c>
      <c r="J67" s="340" t="s">
        <v>816</v>
      </c>
      <c r="K67" s="340" t="s">
        <v>816</v>
      </c>
      <c r="L67" s="340" t="s">
        <v>5888</v>
      </c>
      <c r="M67" s="340" t="s">
        <v>5888</v>
      </c>
      <c r="N67" s="340" t="s">
        <v>5888</v>
      </c>
      <c r="O67" s="340" t="s">
        <v>5888</v>
      </c>
      <c r="P67" s="340"/>
      <c r="Q67" s="343" t="s">
        <v>7918</v>
      </c>
      <c r="R67" s="45"/>
      <c r="S67" s="45"/>
    </row>
    <row r="68" spans="1:19">
      <c r="A68" s="341" t="s">
        <v>6553</v>
      </c>
      <c r="B68" s="340" t="s">
        <v>5888</v>
      </c>
      <c r="C68" s="340"/>
      <c r="D68" s="340" t="s">
        <v>5888</v>
      </c>
      <c r="E68" s="340" t="s">
        <v>5888</v>
      </c>
      <c r="F68" s="340" t="s">
        <v>5888</v>
      </c>
      <c r="G68" s="340" t="s">
        <v>5888</v>
      </c>
      <c r="H68" s="340" t="s">
        <v>5888</v>
      </c>
      <c r="I68" s="340" t="s">
        <v>5888</v>
      </c>
      <c r="J68" s="340" t="s">
        <v>5888</v>
      </c>
      <c r="K68" s="340" t="s">
        <v>816</v>
      </c>
      <c r="L68" s="340" t="s">
        <v>5888</v>
      </c>
      <c r="M68" s="340" t="s">
        <v>5888</v>
      </c>
      <c r="N68" s="340" t="s">
        <v>5888</v>
      </c>
      <c r="O68" s="340" t="s">
        <v>5888</v>
      </c>
      <c r="P68" s="340"/>
      <c r="Q68" s="45" t="s">
        <v>6552</v>
      </c>
      <c r="R68" s="45"/>
      <c r="S68" s="45"/>
    </row>
    <row r="69" spans="1:19">
      <c r="A69" s="341" t="s">
        <v>6551</v>
      </c>
      <c r="B69" s="340" t="s">
        <v>5888</v>
      </c>
      <c r="C69" s="340"/>
      <c r="D69" s="340" t="s">
        <v>5888</v>
      </c>
      <c r="E69" s="340" t="s">
        <v>5888</v>
      </c>
      <c r="F69" s="340" t="s">
        <v>5888</v>
      </c>
      <c r="G69" s="340" t="s">
        <v>5888</v>
      </c>
      <c r="H69" s="340" t="s">
        <v>5888</v>
      </c>
      <c r="I69" s="340" t="s">
        <v>5888</v>
      </c>
      <c r="J69" s="340" t="s">
        <v>5888</v>
      </c>
      <c r="K69" s="340" t="s">
        <v>816</v>
      </c>
      <c r="L69" s="340" t="s">
        <v>5888</v>
      </c>
      <c r="M69" s="340" t="s">
        <v>5888</v>
      </c>
      <c r="N69" s="340" t="s">
        <v>5888</v>
      </c>
      <c r="O69" s="340" t="s">
        <v>5888</v>
      </c>
      <c r="P69" s="340"/>
      <c r="Q69" s="45" t="s">
        <v>6550</v>
      </c>
      <c r="R69" s="45"/>
      <c r="S69" s="45"/>
    </row>
    <row r="70" spans="1:19">
      <c r="A70" s="341" t="s">
        <v>6736</v>
      </c>
      <c r="B70" s="340" t="s">
        <v>5888</v>
      </c>
      <c r="C70" s="340"/>
      <c r="D70" s="340" t="s">
        <v>5888</v>
      </c>
      <c r="E70" s="340"/>
      <c r="F70" s="340" t="s">
        <v>5888</v>
      </c>
      <c r="G70" s="340"/>
      <c r="H70" s="340"/>
      <c r="I70" s="340"/>
      <c r="J70" s="340" t="s">
        <v>5888</v>
      </c>
      <c r="K70" s="340" t="s">
        <v>816</v>
      </c>
      <c r="L70" s="340"/>
      <c r="M70" s="340" t="s">
        <v>5888</v>
      </c>
      <c r="N70" s="340" t="s">
        <v>5888</v>
      </c>
      <c r="O70" s="340" t="s">
        <v>5888</v>
      </c>
      <c r="P70" s="340"/>
      <c r="Q70" s="343" t="s">
        <v>6735</v>
      </c>
      <c r="R70" s="45"/>
      <c r="S70" s="45"/>
    </row>
    <row r="71" spans="1:19">
      <c r="A71" s="341" t="s">
        <v>6714</v>
      </c>
      <c r="B71" s="340" t="s">
        <v>5888</v>
      </c>
      <c r="C71" s="340" t="s">
        <v>816</v>
      </c>
      <c r="D71" s="340" t="s">
        <v>5888</v>
      </c>
      <c r="E71" s="340"/>
      <c r="F71" s="340" t="s">
        <v>5888</v>
      </c>
      <c r="G71" s="340"/>
      <c r="H71" s="340"/>
      <c r="I71" s="340"/>
      <c r="J71" s="340" t="s">
        <v>5888</v>
      </c>
      <c r="K71" s="340"/>
      <c r="L71" s="340"/>
      <c r="M71" s="340" t="s">
        <v>5888</v>
      </c>
      <c r="N71" s="340" t="s">
        <v>5888</v>
      </c>
      <c r="O71" s="340" t="s">
        <v>5888</v>
      </c>
      <c r="P71" s="340"/>
      <c r="Q71" s="45"/>
      <c r="R71" s="45" t="s">
        <v>6713</v>
      </c>
      <c r="S71" s="45"/>
    </row>
    <row r="72" spans="1:19">
      <c r="A72" s="341" t="s">
        <v>6549</v>
      </c>
      <c r="B72" s="340" t="s">
        <v>5888</v>
      </c>
      <c r="C72" s="340"/>
      <c r="D72" s="340" t="s">
        <v>5888</v>
      </c>
      <c r="E72" s="340" t="s">
        <v>5888</v>
      </c>
      <c r="F72" s="340" t="s">
        <v>5888</v>
      </c>
      <c r="G72" s="340" t="s">
        <v>5888</v>
      </c>
      <c r="H72" s="340" t="s">
        <v>816</v>
      </c>
      <c r="I72" s="340" t="s">
        <v>5888</v>
      </c>
      <c r="J72" s="340" t="s">
        <v>5888</v>
      </c>
      <c r="K72" s="340" t="s">
        <v>5888</v>
      </c>
      <c r="L72" s="340" t="s">
        <v>5888</v>
      </c>
      <c r="M72" s="340" t="s">
        <v>5888</v>
      </c>
      <c r="N72" s="340" t="s">
        <v>5888</v>
      </c>
      <c r="O72" s="340" t="s">
        <v>5888</v>
      </c>
      <c r="P72" s="340"/>
      <c r="Q72" s="45" t="s">
        <v>6548</v>
      </c>
      <c r="R72" s="45"/>
      <c r="S72" s="45"/>
    </row>
    <row r="73" spans="1:19">
      <c r="A73" s="341" t="s">
        <v>6937</v>
      </c>
      <c r="B73" s="340" t="s">
        <v>5888</v>
      </c>
      <c r="C73" s="340"/>
      <c r="D73" s="340" t="s">
        <v>5888</v>
      </c>
      <c r="E73" s="340"/>
      <c r="F73" s="340" t="s">
        <v>5888</v>
      </c>
      <c r="G73" s="340"/>
      <c r="H73" s="340" t="s">
        <v>5888</v>
      </c>
      <c r="I73" s="340"/>
      <c r="J73" s="340" t="s">
        <v>5888</v>
      </c>
      <c r="K73" s="340" t="s">
        <v>816</v>
      </c>
      <c r="L73" s="340" t="s">
        <v>5888</v>
      </c>
      <c r="M73" s="340"/>
      <c r="N73" s="340" t="s">
        <v>5888</v>
      </c>
      <c r="O73" s="340" t="s">
        <v>5888</v>
      </c>
      <c r="P73" s="340"/>
      <c r="Q73" s="343" t="s">
        <v>6938</v>
      </c>
      <c r="R73" s="45"/>
      <c r="S73" s="45"/>
    </row>
    <row r="74" spans="1:19">
      <c r="A74" s="341" t="s">
        <v>4377</v>
      </c>
      <c r="B74" s="340" t="s">
        <v>5888</v>
      </c>
      <c r="C74" s="340"/>
      <c r="D74" s="340" t="s">
        <v>5888</v>
      </c>
      <c r="E74" s="340" t="s">
        <v>5888</v>
      </c>
      <c r="F74" s="340" t="s">
        <v>5888</v>
      </c>
      <c r="G74" s="340" t="s">
        <v>816</v>
      </c>
      <c r="H74" s="340" t="s">
        <v>5888</v>
      </c>
      <c r="I74" s="340" t="s">
        <v>5888</v>
      </c>
      <c r="J74" s="340" t="s">
        <v>816</v>
      </c>
      <c r="K74" s="340" t="s">
        <v>816</v>
      </c>
      <c r="L74" s="340" t="s">
        <v>816</v>
      </c>
      <c r="M74" s="340" t="s">
        <v>816</v>
      </c>
      <c r="N74" s="340" t="s">
        <v>5888</v>
      </c>
      <c r="O74" s="340" t="s">
        <v>5888</v>
      </c>
      <c r="P74" s="340"/>
      <c r="Q74" s="342" t="s">
        <v>6547</v>
      </c>
      <c r="R74" s="45"/>
      <c r="S74" s="45"/>
    </row>
    <row r="75" spans="1:19">
      <c r="A75" s="341" t="s">
        <v>6546</v>
      </c>
      <c r="B75" s="340" t="s">
        <v>5888</v>
      </c>
      <c r="C75" s="340"/>
      <c r="D75" s="340" t="s">
        <v>5888</v>
      </c>
      <c r="E75" s="340" t="s">
        <v>5888</v>
      </c>
      <c r="F75" s="340" t="s">
        <v>5888</v>
      </c>
      <c r="G75" s="340" t="s">
        <v>816</v>
      </c>
      <c r="H75" s="340" t="s">
        <v>5888</v>
      </c>
      <c r="I75" s="340" t="s">
        <v>5888</v>
      </c>
      <c r="J75" s="340" t="s">
        <v>816</v>
      </c>
      <c r="K75" s="340" t="s">
        <v>816</v>
      </c>
      <c r="L75" s="340" t="s">
        <v>816</v>
      </c>
      <c r="M75" s="340" t="s">
        <v>816</v>
      </c>
      <c r="N75" s="340" t="s">
        <v>5888</v>
      </c>
      <c r="O75" s="340" t="s">
        <v>5888</v>
      </c>
      <c r="P75" s="340"/>
      <c r="Q75" s="45" t="s">
        <v>6545</v>
      </c>
      <c r="R75" s="45"/>
      <c r="S75" s="45"/>
    </row>
    <row r="76" spans="1:19">
      <c r="A76" s="341" t="s">
        <v>813</v>
      </c>
      <c r="B76" s="340" t="s">
        <v>5888</v>
      </c>
      <c r="C76" s="340"/>
      <c r="D76" s="340" t="s">
        <v>5888</v>
      </c>
      <c r="E76" s="340" t="s">
        <v>816</v>
      </c>
      <c r="F76" s="340" t="s">
        <v>5888</v>
      </c>
      <c r="G76" s="340" t="s">
        <v>816</v>
      </c>
      <c r="H76" s="340" t="s">
        <v>5888</v>
      </c>
      <c r="I76" s="340" t="s">
        <v>5888</v>
      </c>
      <c r="J76" s="340" t="s">
        <v>5888</v>
      </c>
      <c r="K76" s="340" t="s">
        <v>816</v>
      </c>
      <c r="L76" s="340" t="s">
        <v>5888</v>
      </c>
      <c r="M76" s="340" t="s">
        <v>5888</v>
      </c>
      <c r="N76" s="340" t="s">
        <v>5888</v>
      </c>
      <c r="O76" s="340" t="s">
        <v>5888</v>
      </c>
      <c r="P76" s="340"/>
      <c r="Q76" s="45" t="s">
        <v>6737</v>
      </c>
      <c r="R76" s="45"/>
      <c r="S76" s="45"/>
    </row>
    <row r="77" spans="1:19">
      <c r="A77" s="341" t="s">
        <v>813</v>
      </c>
      <c r="B77" s="340" t="s">
        <v>5888</v>
      </c>
      <c r="C77" s="340"/>
      <c r="D77" s="340" t="s">
        <v>5888</v>
      </c>
      <c r="E77" s="340" t="s">
        <v>816</v>
      </c>
      <c r="F77" s="340" t="s">
        <v>5888</v>
      </c>
      <c r="G77" s="340" t="s">
        <v>816</v>
      </c>
      <c r="H77" s="340" t="s">
        <v>5888</v>
      </c>
      <c r="I77" s="340" t="s">
        <v>5888</v>
      </c>
      <c r="J77" s="340"/>
      <c r="K77" s="340" t="s">
        <v>816</v>
      </c>
      <c r="L77" s="340" t="s">
        <v>5888</v>
      </c>
      <c r="M77" s="340" t="s">
        <v>5888</v>
      </c>
      <c r="N77" s="340" t="s">
        <v>5888</v>
      </c>
      <c r="O77" s="340" t="s">
        <v>5888</v>
      </c>
      <c r="P77" s="340"/>
      <c r="Q77" s="45" t="s">
        <v>6544</v>
      </c>
      <c r="R77" s="45"/>
      <c r="S77" s="45"/>
    </row>
    <row r="78" spans="1:19">
      <c r="A78" s="341" t="s">
        <v>813</v>
      </c>
      <c r="B78" s="340"/>
      <c r="C78" s="340"/>
      <c r="D78" s="340"/>
      <c r="E78" s="340" t="s">
        <v>816</v>
      </c>
      <c r="F78" s="340"/>
      <c r="G78" s="340"/>
      <c r="H78" s="340"/>
      <c r="I78" s="340"/>
      <c r="J78" s="340"/>
      <c r="K78" s="340"/>
      <c r="L78" s="340"/>
      <c r="M78" s="340"/>
      <c r="N78" s="340"/>
      <c r="O78" s="340"/>
      <c r="P78" s="340"/>
      <c r="Q78" s="45" t="s">
        <v>6543</v>
      </c>
      <c r="R78" s="45"/>
      <c r="S78" s="45"/>
    </row>
    <row r="79" spans="1:19">
      <c r="A79" s="341" t="s">
        <v>6542</v>
      </c>
      <c r="B79" s="340" t="s">
        <v>5888</v>
      </c>
      <c r="C79" s="340"/>
      <c r="D79" s="340" t="s">
        <v>5888</v>
      </c>
      <c r="E79" s="340" t="s">
        <v>816</v>
      </c>
      <c r="F79" s="340" t="s">
        <v>5888</v>
      </c>
      <c r="G79" s="340" t="s">
        <v>816</v>
      </c>
      <c r="H79" s="340" t="s">
        <v>5888</v>
      </c>
      <c r="I79" s="340" t="s">
        <v>5888</v>
      </c>
      <c r="J79" s="340" t="s">
        <v>5888</v>
      </c>
      <c r="K79" s="340" t="s">
        <v>816</v>
      </c>
      <c r="L79" s="340" t="s">
        <v>5888</v>
      </c>
      <c r="M79" s="340" t="s">
        <v>5888</v>
      </c>
      <c r="N79" s="340" t="s">
        <v>5888</v>
      </c>
      <c r="O79" s="340" t="s">
        <v>5888</v>
      </c>
      <c r="P79" s="340"/>
      <c r="Q79" s="45" t="s">
        <v>6541</v>
      </c>
      <c r="R79" s="45"/>
      <c r="S79" s="45"/>
    </row>
    <row r="80" spans="1:19">
      <c r="A80" s="341" t="s">
        <v>6540</v>
      </c>
      <c r="B80" s="340" t="s">
        <v>5888</v>
      </c>
      <c r="C80" s="340" t="s">
        <v>816</v>
      </c>
      <c r="D80" s="340" t="s">
        <v>5888</v>
      </c>
      <c r="E80" s="340"/>
      <c r="F80" s="340" t="s">
        <v>5888</v>
      </c>
      <c r="G80" s="340"/>
      <c r="H80" s="340" t="s">
        <v>5888</v>
      </c>
      <c r="I80" s="340" t="s">
        <v>5888</v>
      </c>
      <c r="J80" s="340" t="s">
        <v>5888</v>
      </c>
      <c r="K80" s="340"/>
      <c r="L80" s="340" t="s">
        <v>5888</v>
      </c>
      <c r="M80" s="340" t="s">
        <v>5888</v>
      </c>
      <c r="N80" s="340" t="s">
        <v>5888</v>
      </c>
      <c r="O80" s="340" t="s">
        <v>5888</v>
      </c>
      <c r="P80" s="340"/>
      <c r="Q80" s="342" t="s">
        <v>6539</v>
      </c>
      <c r="R80" s="45" t="s">
        <v>6539</v>
      </c>
      <c r="S80" s="45" t="s">
        <v>7057</v>
      </c>
    </row>
    <row r="81" spans="1:19">
      <c r="A81" s="341" t="s">
        <v>6538</v>
      </c>
      <c r="B81" s="340" t="s">
        <v>5888</v>
      </c>
      <c r="C81" s="340"/>
      <c r="D81" s="340" t="s">
        <v>5888</v>
      </c>
      <c r="E81" s="340" t="s">
        <v>816</v>
      </c>
      <c r="F81" s="340" t="s">
        <v>5888</v>
      </c>
      <c r="G81" s="340" t="s">
        <v>816</v>
      </c>
      <c r="H81" s="340" t="s">
        <v>5888</v>
      </c>
      <c r="I81" s="340" t="s">
        <v>5888</v>
      </c>
      <c r="J81" s="340" t="s">
        <v>5888</v>
      </c>
      <c r="K81" s="340" t="s">
        <v>816</v>
      </c>
      <c r="L81" s="340" t="s">
        <v>5888</v>
      </c>
      <c r="M81" s="340" t="s">
        <v>5888</v>
      </c>
      <c r="N81" s="340" t="s">
        <v>5888</v>
      </c>
      <c r="O81" s="340" t="s">
        <v>5888</v>
      </c>
      <c r="P81" s="340"/>
      <c r="Q81" s="342" t="s">
        <v>6537</v>
      </c>
      <c r="R81" s="45"/>
      <c r="S81" s="45"/>
    </row>
    <row r="82" spans="1:19">
      <c r="A82" s="341" t="s">
        <v>8286</v>
      </c>
      <c r="B82" s="340"/>
      <c r="C82" s="340"/>
      <c r="D82" s="340"/>
      <c r="E82" s="340"/>
      <c r="F82" s="340"/>
      <c r="G82" s="340"/>
      <c r="H82" s="340"/>
      <c r="I82" s="340"/>
      <c r="J82" s="340"/>
      <c r="K82" s="340"/>
      <c r="L82" s="340"/>
      <c r="M82" s="340"/>
      <c r="N82" s="340"/>
      <c r="O82" s="340"/>
      <c r="P82" s="340" t="s">
        <v>816</v>
      </c>
      <c r="Q82" s="45" t="s">
        <v>8281</v>
      </c>
      <c r="R82" s="45"/>
      <c r="S82" s="45"/>
    </row>
    <row r="83" spans="1:19">
      <c r="A83" s="341" t="s">
        <v>6536</v>
      </c>
      <c r="B83" s="340" t="s">
        <v>5888</v>
      </c>
      <c r="C83" s="340"/>
      <c r="D83" s="340" t="s">
        <v>5888</v>
      </c>
      <c r="E83" s="340" t="s">
        <v>816</v>
      </c>
      <c r="F83" s="340" t="s">
        <v>5888</v>
      </c>
      <c r="G83" s="340" t="s">
        <v>5888</v>
      </c>
      <c r="H83" s="340" t="s">
        <v>5888</v>
      </c>
      <c r="I83" s="340" t="s">
        <v>5888</v>
      </c>
      <c r="J83" s="340" t="s">
        <v>5888</v>
      </c>
      <c r="K83" s="340" t="s">
        <v>5888</v>
      </c>
      <c r="L83" s="340" t="s">
        <v>5888</v>
      </c>
      <c r="M83" s="340" t="s">
        <v>5888</v>
      </c>
      <c r="N83" s="340" t="s">
        <v>5888</v>
      </c>
      <c r="O83" s="340" t="s">
        <v>5888</v>
      </c>
      <c r="P83" s="340"/>
      <c r="Q83" s="45" t="s">
        <v>6535</v>
      </c>
      <c r="R83" s="45"/>
      <c r="S83" s="45"/>
    </row>
    <row r="84" spans="1:19">
      <c r="A84" s="341" t="s">
        <v>9194</v>
      </c>
      <c r="B84" s="340"/>
      <c r="C84" s="340"/>
      <c r="D84" s="340"/>
      <c r="E84" s="340" t="s">
        <v>816</v>
      </c>
      <c r="F84" s="340"/>
      <c r="G84" s="340"/>
      <c r="H84" s="340"/>
      <c r="I84" s="340"/>
      <c r="J84" s="340"/>
      <c r="K84" s="340"/>
      <c r="L84" s="340"/>
      <c r="M84" s="340"/>
      <c r="N84" s="340"/>
      <c r="O84" s="340"/>
      <c r="P84" s="340"/>
      <c r="Q84" s="45" t="s">
        <v>9199</v>
      </c>
      <c r="R84" s="45"/>
      <c r="S84" s="45"/>
    </row>
    <row r="85" spans="1:19">
      <c r="A85" s="341" t="s">
        <v>1519</v>
      </c>
      <c r="B85" s="340" t="s">
        <v>5888</v>
      </c>
      <c r="C85" s="340"/>
      <c r="D85" s="340" t="s">
        <v>5888</v>
      </c>
      <c r="E85" s="340" t="s">
        <v>5888</v>
      </c>
      <c r="F85" s="340" t="s">
        <v>5888</v>
      </c>
      <c r="G85" s="340" t="s">
        <v>5888</v>
      </c>
      <c r="H85" s="340" t="s">
        <v>5888</v>
      </c>
      <c r="I85" s="340" t="s">
        <v>5888</v>
      </c>
      <c r="J85" s="340" t="s">
        <v>5888</v>
      </c>
      <c r="K85" s="340" t="s">
        <v>816</v>
      </c>
      <c r="L85" s="340" t="s">
        <v>5888</v>
      </c>
      <c r="M85" s="340" t="s">
        <v>5888</v>
      </c>
      <c r="N85" s="340" t="s">
        <v>5888</v>
      </c>
      <c r="O85" s="340" t="s">
        <v>5888</v>
      </c>
      <c r="P85" s="340"/>
      <c r="Q85" s="342" t="s">
        <v>6534</v>
      </c>
      <c r="R85" s="45"/>
      <c r="S85" s="45"/>
    </row>
    <row r="86" spans="1:19">
      <c r="A86" s="341" t="s">
        <v>6533</v>
      </c>
      <c r="B86" s="340" t="s">
        <v>5888</v>
      </c>
      <c r="C86" s="340"/>
      <c r="D86" s="340" t="s">
        <v>5888</v>
      </c>
      <c r="E86" s="340" t="s">
        <v>5888</v>
      </c>
      <c r="F86" s="340" t="s">
        <v>5888</v>
      </c>
      <c r="G86" s="340" t="s">
        <v>5888</v>
      </c>
      <c r="H86" s="340" t="s">
        <v>5888</v>
      </c>
      <c r="I86" s="340" t="s">
        <v>5888</v>
      </c>
      <c r="J86" s="340" t="s">
        <v>5888</v>
      </c>
      <c r="K86" s="340" t="s">
        <v>816</v>
      </c>
      <c r="L86" s="340" t="s">
        <v>5888</v>
      </c>
      <c r="M86" s="340" t="s">
        <v>5888</v>
      </c>
      <c r="N86" s="340" t="s">
        <v>5888</v>
      </c>
      <c r="O86" s="340" t="s">
        <v>5888</v>
      </c>
      <c r="P86" s="340"/>
      <c r="Q86" s="45" t="s">
        <v>6532</v>
      </c>
      <c r="R86" s="45"/>
      <c r="S86" s="45"/>
    </row>
    <row r="87" spans="1:19">
      <c r="A87" s="341" t="s">
        <v>6528</v>
      </c>
      <c r="B87" s="340" t="s">
        <v>5888</v>
      </c>
      <c r="C87" s="340"/>
      <c r="D87" s="340" t="s">
        <v>5888</v>
      </c>
      <c r="E87" s="340" t="s">
        <v>816</v>
      </c>
      <c r="F87" s="340" t="s">
        <v>5888</v>
      </c>
      <c r="G87" s="340" t="s">
        <v>5888</v>
      </c>
      <c r="H87" s="340" t="s">
        <v>5888</v>
      </c>
      <c r="I87" s="340" t="s">
        <v>5888</v>
      </c>
      <c r="J87" s="340" t="s">
        <v>5888</v>
      </c>
      <c r="K87" s="340" t="s">
        <v>816</v>
      </c>
      <c r="L87" s="340" t="s">
        <v>5888</v>
      </c>
      <c r="M87" s="340" t="s">
        <v>5888</v>
      </c>
      <c r="N87" s="340" t="s">
        <v>5888</v>
      </c>
      <c r="O87" s="340" t="s">
        <v>5888</v>
      </c>
      <c r="P87" s="340"/>
      <c r="Q87" s="342" t="s">
        <v>6531</v>
      </c>
      <c r="R87" s="45"/>
      <c r="S87" s="45"/>
    </row>
    <row r="88" spans="1:19">
      <c r="A88" s="341" t="s">
        <v>6528</v>
      </c>
      <c r="B88" s="340"/>
      <c r="C88" s="340"/>
      <c r="D88" s="340"/>
      <c r="E88" s="340" t="s">
        <v>816</v>
      </c>
      <c r="F88" s="340"/>
      <c r="G88" s="340"/>
      <c r="H88" s="340"/>
      <c r="I88" s="340"/>
      <c r="J88" s="340"/>
      <c r="K88" s="340"/>
      <c r="L88" s="340"/>
      <c r="M88" s="340"/>
      <c r="N88" s="340"/>
      <c r="O88" s="340"/>
      <c r="P88" s="340"/>
      <c r="Q88" s="45" t="s">
        <v>6530</v>
      </c>
      <c r="R88" s="45"/>
      <c r="S88" s="45"/>
    </row>
    <row r="89" spans="1:19">
      <c r="A89" s="341" t="s">
        <v>6528</v>
      </c>
      <c r="B89" s="340"/>
      <c r="C89" s="340"/>
      <c r="D89" s="340"/>
      <c r="E89" s="340" t="s">
        <v>816</v>
      </c>
      <c r="F89" s="340"/>
      <c r="G89" s="340"/>
      <c r="H89" s="340"/>
      <c r="I89" s="340"/>
      <c r="J89" s="340"/>
      <c r="K89" s="340"/>
      <c r="L89" s="340"/>
      <c r="M89" s="340"/>
      <c r="N89" s="340"/>
      <c r="O89" s="340"/>
      <c r="P89" s="340"/>
      <c r="Q89" s="45" t="s">
        <v>6529</v>
      </c>
      <c r="R89" s="45"/>
      <c r="S89" s="45"/>
    </row>
    <row r="90" spans="1:19">
      <c r="A90" s="341" t="s">
        <v>6528</v>
      </c>
      <c r="B90" s="340"/>
      <c r="C90" s="340"/>
      <c r="D90" s="340"/>
      <c r="E90" s="340" t="s">
        <v>816</v>
      </c>
      <c r="F90" s="340"/>
      <c r="G90" s="340"/>
      <c r="H90" s="340"/>
      <c r="I90" s="340"/>
      <c r="J90" s="340"/>
      <c r="K90" s="340"/>
      <c r="L90" s="340"/>
      <c r="M90" s="340"/>
      <c r="N90" s="340"/>
      <c r="O90" s="340"/>
      <c r="P90" s="340"/>
      <c r="Q90" s="342" t="s">
        <v>6527</v>
      </c>
      <c r="R90" s="45"/>
      <c r="S90" s="45"/>
    </row>
    <row r="91" spans="1:19">
      <c r="A91" s="341" t="s">
        <v>6526</v>
      </c>
      <c r="B91" s="340" t="s">
        <v>5888</v>
      </c>
      <c r="C91" s="340"/>
      <c r="D91" s="340" t="s">
        <v>5888</v>
      </c>
      <c r="E91" s="340" t="s">
        <v>816</v>
      </c>
      <c r="F91" s="340" t="s">
        <v>5888</v>
      </c>
      <c r="G91" s="340" t="s">
        <v>5888</v>
      </c>
      <c r="H91" s="340" t="s">
        <v>5888</v>
      </c>
      <c r="I91" s="340" t="s">
        <v>5888</v>
      </c>
      <c r="J91" s="340" t="s">
        <v>5888</v>
      </c>
      <c r="K91" s="340" t="s">
        <v>816</v>
      </c>
      <c r="L91" s="340" t="s">
        <v>5888</v>
      </c>
      <c r="M91" s="340" t="s">
        <v>5888</v>
      </c>
      <c r="N91" s="340" t="s">
        <v>5888</v>
      </c>
      <c r="O91" s="340" t="s">
        <v>5888</v>
      </c>
      <c r="P91" s="340"/>
      <c r="Q91" s="45" t="s">
        <v>6525</v>
      </c>
      <c r="R91" s="45"/>
      <c r="S91" s="45"/>
    </row>
    <row r="92" spans="1:19">
      <c r="A92" s="341" t="s">
        <v>6524</v>
      </c>
      <c r="B92" s="340" t="s">
        <v>5888</v>
      </c>
      <c r="C92" s="340"/>
      <c r="D92" s="340" t="s">
        <v>5888</v>
      </c>
      <c r="E92" s="340" t="s">
        <v>816</v>
      </c>
      <c r="F92" s="340" t="s">
        <v>5888</v>
      </c>
      <c r="G92" s="340" t="s">
        <v>5888</v>
      </c>
      <c r="H92" s="340" t="s">
        <v>5888</v>
      </c>
      <c r="I92" s="340" t="s">
        <v>5888</v>
      </c>
      <c r="J92" s="340" t="s">
        <v>5888</v>
      </c>
      <c r="K92" s="340" t="s">
        <v>816</v>
      </c>
      <c r="L92" s="340" t="s">
        <v>5888</v>
      </c>
      <c r="M92" s="340" t="s">
        <v>5888</v>
      </c>
      <c r="N92" s="340" t="s">
        <v>5888</v>
      </c>
      <c r="O92" s="340" t="s">
        <v>5888</v>
      </c>
      <c r="P92" s="340"/>
      <c r="Q92" s="45" t="s">
        <v>6523</v>
      </c>
      <c r="R92" s="45"/>
      <c r="S92" s="45"/>
    </row>
    <row r="93" spans="1:19">
      <c r="A93" s="341" t="s">
        <v>8287</v>
      </c>
      <c r="B93" s="340"/>
      <c r="C93" s="340"/>
      <c r="D93" s="340"/>
      <c r="E93" s="340"/>
      <c r="F93" s="340"/>
      <c r="G93" s="340"/>
      <c r="H93" s="340"/>
      <c r="I93" s="340"/>
      <c r="J93" s="340"/>
      <c r="K93" s="340"/>
      <c r="L93" s="340"/>
      <c r="M93" s="340"/>
      <c r="N93" s="340"/>
      <c r="O93" s="340"/>
      <c r="P93" s="340" t="s">
        <v>816</v>
      </c>
      <c r="Q93" s="45" t="s">
        <v>8282</v>
      </c>
      <c r="R93" s="45"/>
      <c r="S93" s="45"/>
    </row>
    <row r="94" spans="1:19">
      <c r="A94" s="341" t="s">
        <v>6522</v>
      </c>
      <c r="B94" s="340" t="s">
        <v>5888</v>
      </c>
      <c r="C94" s="340"/>
      <c r="D94" s="340" t="s">
        <v>816</v>
      </c>
      <c r="E94" s="340"/>
      <c r="F94" s="340" t="s">
        <v>5888</v>
      </c>
      <c r="G94" s="340" t="s">
        <v>5888</v>
      </c>
      <c r="H94" s="340" t="s">
        <v>5888</v>
      </c>
      <c r="I94" s="340" t="s">
        <v>5888</v>
      </c>
      <c r="J94" s="340" t="s">
        <v>5888</v>
      </c>
      <c r="K94" s="340" t="s">
        <v>5888</v>
      </c>
      <c r="L94" s="340" t="s">
        <v>5888</v>
      </c>
      <c r="M94" s="340" t="s">
        <v>5888</v>
      </c>
      <c r="N94" s="340" t="s">
        <v>5888</v>
      </c>
      <c r="O94" s="340" t="s">
        <v>5888</v>
      </c>
      <c r="P94" s="340"/>
      <c r="Q94" s="45" t="s">
        <v>6521</v>
      </c>
      <c r="R94" s="45"/>
      <c r="S94" s="45"/>
    </row>
    <row r="95" spans="1:19">
      <c r="A95" s="341" t="s">
        <v>6520</v>
      </c>
      <c r="B95" s="340" t="s">
        <v>5888</v>
      </c>
      <c r="C95" s="340"/>
      <c r="D95" s="340" t="s">
        <v>816</v>
      </c>
      <c r="E95" s="340"/>
      <c r="F95" s="340" t="s">
        <v>5888</v>
      </c>
      <c r="G95" s="340" t="s">
        <v>5888</v>
      </c>
      <c r="H95" s="340" t="s">
        <v>5888</v>
      </c>
      <c r="I95" s="340" t="s">
        <v>5888</v>
      </c>
      <c r="J95" s="340" t="s">
        <v>5888</v>
      </c>
      <c r="K95" s="340" t="s">
        <v>5888</v>
      </c>
      <c r="L95" s="340" t="s">
        <v>5888</v>
      </c>
      <c r="M95" s="340" t="s">
        <v>5888</v>
      </c>
      <c r="N95" s="340" t="s">
        <v>5888</v>
      </c>
      <c r="O95" s="340" t="s">
        <v>5888</v>
      </c>
      <c r="P95" s="340"/>
      <c r="Q95" s="45" t="s">
        <v>6519</v>
      </c>
      <c r="R95" s="45"/>
      <c r="S95" s="45"/>
    </row>
    <row r="96" spans="1:19">
      <c r="A96" s="341" t="s">
        <v>6518</v>
      </c>
      <c r="B96" s="340" t="s">
        <v>5888</v>
      </c>
      <c r="C96" s="340" t="s">
        <v>816</v>
      </c>
      <c r="D96" s="340" t="s">
        <v>5888</v>
      </c>
      <c r="E96" s="340" t="s">
        <v>5888</v>
      </c>
      <c r="F96" s="340" t="s">
        <v>5888</v>
      </c>
      <c r="G96" s="340" t="s">
        <v>5888</v>
      </c>
      <c r="H96" s="340" t="s">
        <v>5888</v>
      </c>
      <c r="I96" s="340" t="s">
        <v>5888</v>
      </c>
      <c r="J96" s="340" t="s">
        <v>5888</v>
      </c>
      <c r="K96" s="340" t="s">
        <v>5888</v>
      </c>
      <c r="L96" s="340" t="s">
        <v>5888</v>
      </c>
      <c r="M96" s="340" t="s">
        <v>5888</v>
      </c>
      <c r="N96" s="340" t="s">
        <v>5888</v>
      </c>
      <c r="O96" s="340" t="s">
        <v>5888</v>
      </c>
      <c r="P96" s="340"/>
      <c r="Q96" s="45" t="s">
        <v>6517</v>
      </c>
      <c r="R96" s="45" t="s">
        <v>6516</v>
      </c>
      <c r="S96" s="45" t="s">
        <v>6515</v>
      </c>
    </row>
    <row r="97" spans="1:19">
      <c r="A97" s="341" t="s">
        <v>6514</v>
      </c>
      <c r="B97" s="340" t="s">
        <v>5888</v>
      </c>
      <c r="C97" s="340" t="s">
        <v>816</v>
      </c>
      <c r="D97" s="340" t="s">
        <v>5888</v>
      </c>
      <c r="E97" s="340" t="s">
        <v>5888</v>
      </c>
      <c r="F97" s="340" t="s">
        <v>5888</v>
      </c>
      <c r="G97" s="340" t="s">
        <v>5888</v>
      </c>
      <c r="H97" s="340" t="s">
        <v>5888</v>
      </c>
      <c r="I97" s="340" t="s">
        <v>5888</v>
      </c>
      <c r="J97" s="340" t="s">
        <v>5888</v>
      </c>
      <c r="K97" s="340" t="s">
        <v>5888</v>
      </c>
      <c r="L97" s="340" t="s">
        <v>5888</v>
      </c>
      <c r="M97" s="340" t="s">
        <v>5888</v>
      </c>
      <c r="N97" s="340" t="s">
        <v>5888</v>
      </c>
      <c r="O97" s="340" t="s">
        <v>5888</v>
      </c>
      <c r="P97" s="340"/>
      <c r="Q97" s="45" t="s">
        <v>6513</v>
      </c>
      <c r="R97" s="45" t="s">
        <v>6512</v>
      </c>
      <c r="S97" s="45" t="s">
        <v>6511</v>
      </c>
    </row>
    <row r="98" spans="1:19">
      <c r="A98" s="341" t="s">
        <v>8414</v>
      </c>
      <c r="B98" s="340"/>
      <c r="C98" s="340"/>
      <c r="D98" s="340"/>
      <c r="E98" s="340"/>
      <c r="F98" s="340"/>
      <c r="G98" s="340" t="s">
        <v>816</v>
      </c>
      <c r="H98" s="340" t="s">
        <v>816</v>
      </c>
      <c r="I98" s="340"/>
      <c r="J98" s="340" t="s">
        <v>816</v>
      </c>
      <c r="K98" s="340" t="s">
        <v>816</v>
      </c>
      <c r="L98" s="340" t="s">
        <v>816</v>
      </c>
      <c r="M98" s="340"/>
      <c r="N98" s="340"/>
      <c r="O98" s="340"/>
      <c r="P98" s="340"/>
      <c r="Q98" s="343" t="s">
        <v>8413</v>
      </c>
      <c r="R98" s="45"/>
      <c r="S98" s="45"/>
    </row>
    <row r="99" spans="1:19">
      <c r="A99" s="341" t="s">
        <v>1527</v>
      </c>
      <c r="B99" s="340" t="s">
        <v>5888</v>
      </c>
      <c r="C99" s="340"/>
      <c r="D99" s="340" t="s">
        <v>5888</v>
      </c>
      <c r="E99" s="340" t="s">
        <v>5888</v>
      </c>
      <c r="F99" s="340" t="s">
        <v>816</v>
      </c>
      <c r="G99" s="340" t="s">
        <v>816</v>
      </c>
      <c r="H99" s="340" t="s">
        <v>816</v>
      </c>
      <c r="I99" s="340" t="s">
        <v>5888</v>
      </c>
      <c r="J99" s="340" t="s">
        <v>5888</v>
      </c>
      <c r="K99" s="340" t="s">
        <v>816</v>
      </c>
      <c r="L99" s="340" t="s">
        <v>5888</v>
      </c>
      <c r="M99" s="340" t="s">
        <v>5888</v>
      </c>
      <c r="N99" s="340" t="s">
        <v>5888</v>
      </c>
      <c r="O99" s="340" t="s">
        <v>5888</v>
      </c>
      <c r="P99" s="340"/>
      <c r="Q99" s="45" t="s">
        <v>6510</v>
      </c>
      <c r="R99" s="45"/>
      <c r="S99" s="45"/>
    </row>
    <row r="100" spans="1:19">
      <c r="A100" s="341" t="s">
        <v>6509</v>
      </c>
      <c r="B100" s="340" t="s">
        <v>5888</v>
      </c>
      <c r="C100" s="340"/>
      <c r="D100" s="340" t="s">
        <v>5888</v>
      </c>
      <c r="E100" s="340" t="s">
        <v>816</v>
      </c>
      <c r="F100" s="340" t="s">
        <v>5888</v>
      </c>
      <c r="G100" s="340" t="s">
        <v>5888</v>
      </c>
      <c r="H100" s="340" t="s">
        <v>5888</v>
      </c>
      <c r="I100" s="340" t="s">
        <v>5888</v>
      </c>
      <c r="J100" s="340" t="s">
        <v>5888</v>
      </c>
      <c r="K100" s="340" t="s">
        <v>5888</v>
      </c>
      <c r="L100" s="340" t="s">
        <v>5888</v>
      </c>
      <c r="M100" s="340" t="s">
        <v>5888</v>
      </c>
      <c r="N100" s="340" t="s">
        <v>5888</v>
      </c>
      <c r="O100" s="340" t="s">
        <v>5888</v>
      </c>
      <c r="P100" s="340"/>
      <c r="Q100" s="45" t="s">
        <v>6508</v>
      </c>
      <c r="R100" s="45"/>
      <c r="S100" s="45"/>
    </row>
    <row r="101" spans="1:19">
      <c r="A101" s="341" t="s">
        <v>6507</v>
      </c>
      <c r="B101" s="340" t="s">
        <v>5888</v>
      </c>
      <c r="C101" s="340"/>
      <c r="D101" s="340" t="s">
        <v>5888</v>
      </c>
      <c r="E101" s="340" t="s">
        <v>816</v>
      </c>
      <c r="F101" s="340" t="s">
        <v>5888</v>
      </c>
      <c r="G101" s="340" t="s">
        <v>5888</v>
      </c>
      <c r="H101" s="340" t="s">
        <v>5888</v>
      </c>
      <c r="I101" s="340" t="s">
        <v>5888</v>
      </c>
      <c r="J101" s="340" t="s">
        <v>5888</v>
      </c>
      <c r="K101" s="340" t="s">
        <v>5888</v>
      </c>
      <c r="L101" s="340" t="s">
        <v>5888</v>
      </c>
      <c r="M101" s="340" t="s">
        <v>5888</v>
      </c>
      <c r="N101" s="340" t="s">
        <v>5888</v>
      </c>
      <c r="O101" s="340" t="s">
        <v>5888</v>
      </c>
      <c r="P101" s="340"/>
      <c r="Q101" s="342" t="s">
        <v>6506</v>
      </c>
      <c r="R101" s="45"/>
      <c r="S101" s="45"/>
    </row>
    <row r="102" spans="1:19">
      <c r="A102" s="341" t="s">
        <v>6505</v>
      </c>
      <c r="B102" s="340" t="s">
        <v>5888</v>
      </c>
      <c r="C102" s="340"/>
      <c r="D102" s="340" t="s">
        <v>5888</v>
      </c>
      <c r="E102" s="340" t="s">
        <v>816</v>
      </c>
      <c r="F102" s="340" t="s">
        <v>5888</v>
      </c>
      <c r="G102" s="340" t="s">
        <v>5888</v>
      </c>
      <c r="H102" s="340" t="s">
        <v>5888</v>
      </c>
      <c r="I102" s="340" t="s">
        <v>5888</v>
      </c>
      <c r="J102" s="340" t="s">
        <v>5888</v>
      </c>
      <c r="K102" s="340" t="s">
        <v>5888</v>
      </c>
      <c r="L102" s="340" t="s">
        <v>5888</v>
      </c>
      <c r="M102" s="340" t="s">
        <v>5888</v>
      </c>
      <c r="N102" s="340" t="s">
        <v>5888</v>
      </c>
      <c r="O102" s="340" t="s">
        <v>5888</v>
      </c>
      <c r="P102" s="340"/>
      <c r="Q102" s="342" t="s">
        <v>6504</v>
      </c>
      <c r="R102" s="45"/>
      <c r="S102" s="45"/>
    </row>
    <row r="103" spans="1:19">
      <c r="A103" s="341" t="s">
        <v>6503</v>
      </c>
      <c r="B103" s="340" t="s">
        <v>5888</v>
      </c>
      <c r="C103" s="340"/>
      <c r="D103" s="340" t="s">
        <v>5888</v>
      </c>
      <c r="E103" s="340" t="s">
        <v>816</v>
      </c>
      <c r="F103" s="340" t="s">
        <v>5888</v>
      </c>
      <c r="G103" s="340" t="s">
        <v>5888</v>
      </c>
      <c r="H103" s="340" t="s">
        <v>5888</v>
      </c>
      <c r="I103" s="340" t="s">
        <v>5888</v>
      </c>
      <c r="J103" s="340" t="s">
        <v>5888</v>
      </c>
      <c r="K103" s="340" t="s">
        <v>5888</v>
      </c>
      <c r="L103" s="340" t="s">
        <v>5888</v>
      </c>
      <c r="M103" s="340" t="s">
        <v>5888</v>
      </c>
      <c r="N103" s="340" t="s">
        <v>5888</v>
      </c>
      <c r="O103" s="340" t="s">
        <v>5888</v>
      </c>
      <c r="P103" s="340"/>
      <c r="Q103" s="45" t="s">
        <v>6502</v>
      </c>
      <c r="R103" s="45"/>
      <c r="S103" s="45"/>
    </row>
    <row r="104" spans="1:19">
      <c r="A104" s="341" t="s">
        <v>6501</v>
      </c>
      <c r="B104" s="340" t="s">
        <v>5888</v>
      </c>
      <c r="C104" s="340" t="s">
        <v>816</v>
      </c>
      <c r="D104" s="340" t="s">
        <v>5888</v>
      </c>
      <c r="E104" s="340" t="s">
        <v>5888</v>
      </c>
      <c r="F104" s="340" t="s">
        <v>5888</v>
      </c>
      <c r="G104" s="340" t="s">
        <v>5888</v>
      </c>
      <c r="H104" s="340" t="s">
        <v>5888</v>
      </c>
      <c r="I104" s="340" t="s">
        <v>5888</v>
      </c>
      <c r="J104" s="340" t="s">
        <v>5888</v>
      </c>
      <c r="K104" s="340" t="s">
        <v>5888</v>
      </c>
      <c r="L104" s="340" t="s">
        <v>5888</v>
      </c>
      <c r="M104" s="340" t="s">
        <v>5888</v>
      </c>
      <c r="N104" s="340" t="s">
        <v>5888</v>
      </c>
      <c r="O104" s="340" t="s">
        <v>5888</v>
      </c>
      <c r="P104" s="340"/>
      <c r="Q104" s="45" t="s">
        <v>6500</v>
      </c>
      <c r="R104" s="45"/>
      <c r="S104" s="45"/>
    </row>
    <row r="105" spans="1:19">
      <c r="A105" s="341" t="s">
        <v>1704</v>
      </c>
      <c r="B105" s="340" t="s">
        <v>5888</v>
      </c>
      <c r="C105" s="340"/>
      <c r="D105" s="340" t="s">
        <v>5888</v>
      </c>
      <c r="E105" s="340" t="s">
        <v>5888</v>
      </c>
      <c r="F105" s="340" t="s">
        <v>5888</v>
      </c>
      <c r="G105" s="340" t="s">
        <v>5888</v>
      </c>
      <c r="H105" s="340" t="s">
        <v>816</v>
      </c>
      <c r="I105" s="340" t="s">
        <v>5888</v>
      </c>
      <c r="J105" s="340" t="s">
        <v>5888</v>
      </c>
      <c r="K105" s="340" t="s">
        <v>816</v>
      </c>
      <c r="L105" s="340" t="s">
        <v>5888</v>
      </c>
      <c r="M105" s="340" t="s">
        <v>5888</v>
      </c>
      <c r="N105" s="340" t="s">
        <v>5888</v>
      </c>
      <c r="O105" s="340" t="s">
        <v>5888</v>
      </c>
      <c r="P105" s="340"/>
      <c r="Q105" s="45" t="s">
        <v>6716</v>
      </c>
      <c r="R105" s="45"/>
      <c r="S105" s="45"/>
    </row>
    <row r="106" spans="1:19">
      <c r="A106" s="341" t="s">
        <v>6717</v>
      </c>
      <c r="B106" s="340" t="s">
        <v>5888</v>
      </c>
      <c r="C106" s="340"/>
      <c r="D106" s="340" t="s">
        <v>5888</v>
      </c>
      <c r="E106" s="340" t="s">
        <v>5888</v>
      </c>
      <c r="F106" s="340" t="s">
        <v>5888</v>
      </c>
      <c r="G106" s="340" t="s">
        <v>5888</v>
      </c>
      <c r="H106" s="340" t="s">
        <v>816</v>
      </c>
      <c r="I106" s="340" t="s">
        <v>5888</v>
      </c>
      <c r="J106" s="340" t="s">
        <v>5888</v>
      </c>
      <c r="K106" s="340" t="s">
        <v>816</v>
      </c>
      <c r="L106" s="340" t="s">
        <v>5888</v>
      </c>
      <c r="M106" s="340" t="s">
        <v>5888</v>
      </c>
      <c r="N106" s="340" t="s">
        <v>5888</v>
      </c>
      <c r="O106" s="340" t="s">
        <v>5888</v>
      </c>
      <c r="P106" s="340"/>
      <c r="Q106" s="45" t="s">
        <v>6499</v>
      </c>
      <c r="R106" s="45"/>
      <c r="S106" s="45"/>
    </row>
    <row r="107" spans="1:19">
      <c r="A107" s="341" t="s">
        <v>1294</v>
      </c>
      <c r="B107" s="340" t="s">
        <v>5888</v>
      </c>
      <c r="C107" s="340"/>
      <c r="D107" s="340" t="s">
        <v>5888</v>
      </c>
      <c r="E107" s="340" t="s">
        <v>5888</v>
      </c>
      <c r="F107" s="340" t="s">
        <v>5888</v>
      </c>
      <c r="G107" s="340" t="s">
        <v>5888</v>
      </c>
      <c r="H107" s="340" t="s">
        <v>5888</v>
      </c>
      <c r="I107" s="340" t="s">
        <v>816</v>
      </c>
      <c r="J107" s="340" t="s">
        <v>5888</v>
      </c>
      <c r="K107" s="340" t="s">
        <v>5888</v>
      </c>
      <c r="L107" s="340" t="s">
        <v>5888</v>
      </c>
      <c r="M107" s="340" t="s">
        <v>5888</v>
      </c>
      <c r="N107" s="340" t="s">
        <v>5888</v>
      </c>
      <c r="O107" s="340" t="s">
        <v>5888</v>
      </c>
      <c r="P107" s="340"/>
      <c r="Q107" s="45" t="s">
        <v>5891</v>
      </c>
      <c r="R107" s="45"/>
      <c r="S107" s="45"/>
    </row>
    <row r="108" spans="1:19">
      <c r="A108" s="341" t="s">
        <v>7477</v>
      </c>
      <c r="B108" s="340" t="s">
        <v>5888</v>
      </c>
      <c r="C108" s="340"/>
      <c r="D108" s="340" t="s">
        <v>5888</v>
      </c>
      <c r="E108" s="340" t="s">
        <v>5888</v>
      </c>
      <c r="F108" s="340" t="s">
        <v>5888</v>
      </c>
      <c r="G108" s="340" t="s">
        <v>5888</v>
      </c>
      <c r="H108" s="340" t="s">
        <v>5888</v>
      </c>
      <c r="I108" s="340" t="s">
        <v>5888</v>
      </c>
      <c r="J108" s="340" t="s">
        <v>816</v>
      </c>
      <c r="K108" s="340" t="s">
        <v>816</v>
      </c>
      <c r="L108" s="340" t="s">
        <v>5888</v>
      </c>
      <c r="M108" s="340" t="s">
        <v>5888</v>
      </c>
      <c r="N108" s="340" t="s">
        <v>5888</v>
      </c>
      <c r="O108" s="340" t="s">
        <v>5888</v>
      </c>
      <c r="P108" s="340"/>
      <c r="Q108" s="343" t="s">
        <v>7478</v>
      </c>
      <c r="R108" s="45"/>
      <c r="S108" s="45"/>
    </row>
    <row r="109" spans="1:19">
      <c r="A109" s="341" t="s">
        <v>7480</v>
      </c>
      <c r="B109" s="340" t="s">
        <v>5888</v>
      </c>
      <c r="C109" s="340"/>
      <c r="D109" s="340" t="s">
        <v>5888</v>
      </c>
      <c r="E109" s="340" t="s">
        <v>5888</v>
      </c>
      <c r="F109" s="340" t="s">
        <v>5888</v>
      </c>
      <c r="G109" s="340" t="s">
        <v>5888</v>
      </c>
      <c r="H109" s="340" t="s">
        <v>5888</v>
      </c>
      <c r="I109" s="340" t="s">
        <v>5888</v>
      </c>
      <c r="J109" s="340" t="s">
        <v>816</v>
      </c>
      <c r="K109" s="340" t="s">
        <v>816</v>
      </c>
      <c r="L109" s="340" t="s">
        <v>5888</v>
      </c>
      <c r="M109" s="340" t="s">
        <v>5888</v>
      </c>
      <c r="N109" s="340" t="s">
        <v>5888</v>
      </c>
      <c r="O109" s="340" t="s">
        <v>5888</v>
      </c>
      <c r="P109" s="340"/>
      <c r="Q109" s="343" t="s">
        <v>7479</v>
      </c>
      <c r="R109" s="45"/>
      <c r="S109" s="45"/>
    </row>
    <row r="110" spans="1:19">
      <c r="A110" s="341" t="s">
        <v>4347</v>
      </c>
      <c r="B110" s="340"/>
      <c r="C110" s="340" t="s">
        <v>816</v>
      </c>
      <c r="D110" s="340"/>
      <c r="E110" s="340"/>
      <c r="F110" s="340"/>
      <c r="G110" s="340"/>
      <c r="H110" s="340"/>
      <c r="I110" s="340"/>
      <c r="J110" s="340"/>
      <c r="K110" s="340"/>
      <c r="L110" s="340"/>
      <c r="M110" s="340"/>
      <c r="N110" s="340"/>
      <c r="O110" s="340"/>
      <c r="P110" s="340"/>
      <c r="Q110" s="45" t="s">
        <v>6498</v>
      </c>
      <c r="R110" s="45" t="s">
        <v>6498</v>
      </c>
      <c r="S110" s="45"/>
    </row>
    <row r="111" spans="1:19">
      <c r="A111" s="341" t="s">
        <v>6497</v>
      </c>
      <c r="B111" s="340" t="s">
        <v>5888</v>
      </c>
      <c r="C111" s="340"/>
      <c r="D111" s="340" t="s">
        <v>5888</v>
      </c>
      <c r="E111" s="340" t="s">
        <v>816</v>
      </c>
      <c r="F111" s="340" t="s">
        <v>5888</v>
      </c>
      <c r="G111" s="340" t="s">
        <v>5888</v>
      </c>
      <c r="H111" s="340" t="s">
        <v>5888</v>
      </c>
      <c r="I111" s="340" t="s">
        <v>5888</v>
      </c>
      <c r="J111" s="340" t="s">
        <v>5888</v>
      </c>
      <c r="K111" s="340" t="s">
        <v>5888</v>
      </c>
      <c r="L111" s="340" t="s">
        <v>5888</v>
      </c>
      <c r="M111" s="340" t="s">
        <v>5888</v>
      </c>
      <c r="N111" s="340" t="s">
        <v>5888</v>
      </c>
      <c r="O111" s="340" t="s">
        <v>5888</v>
      </c>
      <c r="P111" s="340"/>
      <c r="Q111" s="342" t="s">
        <v>6496</v>
      </c>
      <c r="R111" s="45"/>
      <c r="S111" s="45"/>
    </row>
    <row r="112" spans="1:19">
      <c r="A112" s="341" t="s">
        <v>811</v>
      </c>
      <c r="B112" s="340" t="s">
        <v>5888</v>
      </c>
      <c r="C112" s="340"/>
      <c r="D112" s="340" t="s">
        <v>5888</v>
      </c>
      <c r="E112" s="340" t="s">
        <v>5888</v>
      </c>
      <c r="F112" s="340" t="s">
        <v>5888</v>
      </c>
      <c r="G112" s="340" t="s">
        <v>5888</v>
      </c>
      <c r="H112" s="340" t="s">
        <v>816</v>
      </c>
      <c r="I112" s="340" t="s">
        <v>816</v>
      </c>
      <c r="J112" s="340" t="s">
        <v>5888</v>
      </c>
      <c r="K112" s="340" t="s">
        <v>5888</v>
      </c>
      <c r="L112" s="340" t="s">
        <v>5888</v>
      </c>
      <c r="M112" s="340" t="s">
        <v>5888</v>
      </c>
      <c r="N112" s="340" t="s">
        <v>5888</v>
      </c>
      <c r="O112" s="340" t="s">
        <v>5888</v>
      </c>
      <c r="P112" s="340"/>
      <c r="Q112" s="45" t="s">
        <v>6495</v>
      </c>
      <c r="R112" s="45"/>
      <c r="S112" s="45"/>
    </row>
    <row r="113" spans="1:19">
      <c r="A113" s="341" t="s">
        <v>1509</v>
      </c>
      <c r="B113" s="340" t="s">
        <v>5888</v>
      </c>
      <c r="C113" s="340"/>
      <c r="D113" s="340" t="s">
        <v>5888</v>
      </c>
      <c r="E113" s="340" t="s">
        <v>5888</v>
      </c>
      <c r="F113" s="340" t="s">
        <v>5888</v>
      </c>
      <c r="G113" s="340" t="s">
        <v>5888</v>
      </c>
      <c r="H113" s="340" t="s">
        <v>5888</v>
      </c>
      <c r="I113" s="340" t="s">
        <v>5888</v>
      </c>
      <c r="J113" s="340" t="s">
        <v>5888</v>
      </c>
      <c r="K113" s="340" t="s">
        <v>5888</v>
      </c>
      <c r="L113" s="340" t="s">
        <v>5888</v>
      </c>
      <c r="M113" s="340" t="s">
        <v>816</v>
      </c>
      <c r="N113" s="340" t="s">
        <v>5888</v>
      </c>
      <c r="O113" s="340" t="s">
        <v>5888</v>
      </c>
      <c r="P113" s="340"/>
      <c r="Q113" s="45" t="s">
        <v>6494</v>
      </c>
      <c r="R113" s="45"/>
      <c r="S113" s="45"/>
    </row>
    <row r="114" spans="1:19">
      <c r="A114" s="341" t="s">
        <v>8288</v>
      </c>
      <c r="B114" s="340"/>
      <c r="C114" s="340"/>
      <c r="D114" s="340"/>
      <c r="E114" s="340"/>
      <c r="F114" s="340"/>
      <c r="G114" s="340"/>
      <c r="H114" s="340"/>
      <c r="I114" s="340"/>
      <c r="J114" s="340"/>
      <c r="K114" s="340"/>
      <c r="L114" s="340"/>
      <c r="M114" s="340"/>
      <c r="N114" s="340"/>
      <c r="O114" s="340"/>
      <c r="P114" s="340" t="s">
        <v>816</v>
      </c>
      <c r="Q114" s="45" t="s">
        <v>8283</v>
      </c>
      <c r="R114" s="45"/>
      <c r="S114" s="45"/>
    </row>
    <row r="115" spans="1:19">
      <c r="A115" s="341" t="s">
        <v>8728</v>
      </c>
      <c r="B115" s="340"/>
      <c r="C115" s="340"/>
      <c r="D115" s="340"/>
      <c r="E115" s="340"/>
      <c r="F115" s="340"/>
      <c r="G115" s="340" t="s">
        <v>816</v>
      </c>
      <c r="H115" s="340"/>
      <c r="I115" s="340"/>
      <c r="J115" s="340"/>
      <c r="K115" s="340" t="s">
        <v>816</v>
      </c>
      <c r="L115" s="340"/>
      <c r="M115" s="340"/>
      <c r="N115" s="340"/>
      <c r="O115" s="340"/>
      <c r="P115" s="340"/>
      <c r="Q115" s="45" t="s">
        <v>8729</v>
      </c>
      <c r="R115" s="45"/>
      <c r="S115" s="45"/>
    </row>
    <row r="116" spans="1:19">
      <c r="A116" s="341" t="s">
        <v>8728</v>
      </c>
      <c r="B116" s="340"/>
      <c r="C116" s="340"/>
      <c r="D116" s="340"/>
      <c r="E116" s="340"/>
      <c r="F116" s="340"/>
      <c r="G116" s="340" t="s">
        <v>816</v>
      </c>
      <c r="H116" s="340"/>
      <c r="I116" s="340"/>
      <c r="J116" s="340"/>
      <c r="K116" s="340" t="s">
        <v>816</v>
      </c>
      <c r="L116" s="340"/>
      <c r="M116" s="340"/>
      <c r="N116" s="340"/>
      <c r="O116" s="340"/>
      <c r="P116" s="340"/>
      <c r="Q116" s="343" t="s">
        <v>8730</v>
      </c>
      <c r="R116" s="45"/>
      <c r="S116" s="45"/>
    </row>
    <row r="117" spans="1:19">
      <c r="A117" s="341" t="s">
        <v>8728</v>
      </c>
      <c r="B117" s="340"/>
      <c r="C117" s="340"/>
      <c r="D117" s="340"/>
      <c r="E117" s="340"/>
      <c r="F117" s="340"/>
      <c r="G117" s="340" t="s">
        <v>816</v>
      </c>
      <c r="H117" s="340"/>
      <c r="I117" s="340"/>
      <c r="J117" s="340"/>
      <c r="K117" s="340" t="s">
        <v>816</v>
      </c>
      <c r="L117" s="340"/>
      <c r="M117" s="340"/>
      <c r="N117" s="340"/>
      <c r="O117" s="340"/>
      <c r="P117" s="340"/>
      <c r="Q117" s="45" t="s">
        <v>8731</v>
      </c>
      <c r="R117" s="45"/>
      <c r="S117" s="45"/>
    </row>
    <row r="118" spans="1:19">
      <c r="A118" s="341" t="s">
        <v>8728</v>
      </c>
      <c r="B118" s="340"/>
      <c r="C118" s="340" t="s">
        <v>816</v>
      </c>
      <c r="D118" s="340"/>
      <c r="E118" s="340"/>
      <c r="F118" s="340"/>
      <c r="G118" s="340"/>
      <c r="H118" s="340"/>
      <c r="I118" s="340"/>
      <c r="J118" s="340"/>
      <c r="K118" s="340"/>
      <c r="L118" s="340"/>
      <c r="M118" s="340"/>
      <c r="N118" s="340"/>
      <c r="O118" s="340"/>
      <c r="P118" s="340"/>
      <c r="R118" s="45" t="s">
        <v>8732</v>
      </c>
      <c r="S118" s="45"/>
    </row>
    <row r="119" spans="1:19">
      <c r="A119" s="341" t="s">
        <v>1454</v>
      </c>
      <c r="B119" s="340" t="s">
        <v>5888</v>
      </c>
      <c r="C119" s="340"/>
      <c r="D119" s="340" t="s">
        <v>5888</v>
      </c>
      <c r="E119" s="340" t="s">
        <v>5888</v>
      </c>
      <c r="F119" s="340" t="s">
        <v>5888</v>
      </c>
      <c r="G119" s="340" t="s">
        <v>816</v>
      </c>
      <c r="H119" s="340" t="s">
        <v>816</v>
      </c>
      <c r="I119" s="340" t="s">
        <v>816</v>
      </c>
      <c r="J119" s="340" t="s">
        <v>5888</v>
      </c>
      <c r="K119" s="340" t="s">
        <v>816</v>
      </c>
      <c r="L119" s="340" t="s">
        <v>5888</v>
      </c>
      <c r="M119" s="340" t="s">
        <v>5888</v>
      </c>
      <c r="N119" s="340" t="s">
        <v>5888</v>
      </c>
      <c r="O119" s="340" t="s">
        <v>5888</v>
      </c>
      <c r="P119" s="340"/>
      <c r="Q119" s="45" t="s">
        <v>6493</v>
      </c>
      <c r="R119" s="45"/>
      <c r="S119" s="45"/>
    </row>
    <row r="120" spans="1:19">
      <c r="A120" s="341" t="s">
        <v>6492</v>
      </c>
      <c r="B120" s="340" t="s">
        <v>5888</v>
      </c>
      <c r="C120" s="340"/>
      <c r="D120" s="340" t="s">
        <v>5888</v>
      </c>
      <c r="E120" s="340" t="s">
        <v>5888</v>
      </c>
      <c r="F120" s="340" t="s">
        <v>5888</v>
      </c>
      <c r="G120" s="340" t="s">
        <v>816</v>
      </c>
      <c r="H120" s="340" t="s">
        <v>816</v>
      </c>
      <c r="I120" s="340" t="s">
        <v>816</v>
      </c>
      <c r="J120" s="340" t="s">
        <v>5888</v>
      </c>
      <c r="K120" s="340" t="s">
        <v>816</v>
      </c>
      <c r="L120" s="340" t="s">
        <v>5888</v>
      </c>
      <c r="M120" s="340" t="s">
        <v>5888</v>
      </c>
      <c r="N120" s="340" t="s">
        <v>5888</v>
      </c>
      <c r="O120" s="340" t="s">
        <v>5888</v>
      </c>
      <c r="P120" s="340"/>
      <c r="Q120" s="45" t="s">
        <v>6491</v>
      </c>
      <c r="R120" s="45"/>
      <c r="S120" s="45"/>
    </row>
    <row r="121" spans="1:19">
      <c r="A121" s="341" t="s">
        <v>6490</v>
      </c>
      <c r="B121" s="340" t="s">
        <v>5888</v>
      </c>
      <c r="C121" s="340"/>
      <c r="D121" s="340" t="s">
        <v>5888</v>
      </c>
      <c r="E121" s="340" t="s">
        <v>5888</v>
      </c>
      <c r="F121" s="340" t="s">
        <v>5888</v>
      </c>
      <c r="G121" s="340" t="s">
        <v>5888</v>
      </c>
      <c r="H121" s="340" t="s">
        <v>5888</v>
      </c>
      <c r="I121" s="340" t="s">
        <v>5888</v>
      </c>
      <c r="J121" s="340" t="s">
        <v>5888</v>
      </c>
      <c r="K121" s="340" t="s">
        <v>816</v>
      </c>
      <c r="L121" s="340" t="s">
        <v>5888</v>
      </c>
      <c r="M121" s="340" t="s">
        <v>5888</v>
      </c>
      <c r="N121" s="340" t="s">
        <v>5888</v>
      </c>
      <c r="O121" s="340" t="s">
        <v>5888</v>
      </c>
      <c r="P121" s="340"/>
      <c r="Q121" s="45" t="s">
        <v>6483</v>
      </c>
      <c r="R121" s="45"/>
      <c r="S121" s="45"/>
    </row>
    <row r="122" spans="1:19">
      <c r="A122" s="341" t="s">
        <v>6489</v>
      </c>
      <c r="B122" s="340" t="s">
        <v>5888</v>
      </c>
      <c r="C122" s="340"/>
      <c r="D122" s="340" t="s">
        <v>5888</v>
      </c>
      <c r="E122" s="340" t="s">
        <v>5888</v>
      </c>
      <c r="F122" s="340" t="s">
        <v>5888</v>
      </c>
      <c r="G122" s="340" t="s">
        <v>5888</v>
      </c>
      <c r="H122" s="340" t="s">
        <v>5888</v>
      </c>
      <c r="I122" s="340" t="s">
        <v>5888</v>
      </c>
      <c r="J122" s="340" t="s">
        <v>5888</v>
      </c>
      <c r="K122" s="340" t="s">
        <v>816</v>
      </c>
      <c r="L122" s="340" t="s">
        <v>5888</v>
      </c>
      <c r="M122" s="340" t="s">
        <v>5888</v>
      </c>
      <c r="N122" s="340" t="s">
        <v>5888</v>
      </c>
      <c r="O122" s="340" t="s">
        <v>5888</v>
      </c>
      <c r="P122" s="340"/>
      <c r="Q122" s="45" t="s">
        <v>6482</v>
      </c>
      <c r="R122" s="45"/>
      <c r="S122" s="45"/>
    </row>
    <row r="123" spans="1:19">
      <c r="A123" s="341" t="s">
        <v>6488</v>
      </c>
      <c r="B123" s="340" t="s">
        <v>5888</v>
      </c>
      <c r="C123" s="340"/>
      <c r="D123" s="340" t="s">
        <v>5888</v>
      </c>
      <c r="E123" s="340" t="s">
        <v>5888</v>
      </c>
      <c r="F123" s="340" t="s">
        <v>5888</v>
      </c>
      <c r="G123" s="340" t="s">
        <v>816</v>
      </c>
      <c r="H123" s="340" t="s">
        <v>5888</v>
      </c>
      <c r="I123" s="340" t="s">
        <v>5888</v>
      </c>
      <c r="J123" s="340" t="s">
        <v>5888</v>
      </c>
      <c r="K123" s="340" t="s">
        <v>816</v>
      </c>
      <c r="L123" s="340" t="s">
        <v>5888</v>
      </c>
      <c r="M123" s="340" t="s">
        <v>5888</v>
      </c>
      <c r="N123" s="340" t="s">
        <v>5888</v>
      </c>
      <c r="O123" s="340" t="s">
        <v>5888</v>
      </c>
      <c r="P123" s="340"/>
      <c r="Q123" s="45" t="s">
        <v>6196</v>
      </c>
      <c r="R123" s="45"/>
      <c r="S123" s="45"/>
    </row>
    <row r="124" spans="1:19">
      <c r="A124" s="341" t="s">
        <v>7002</v>
      </c>
      <c r="B124" s="340" t="s">
        <v>5888</v>
      </c>
      <c r="C124" s="340"/>
      <c r="D124" s="340" t="s">
        <v>5888</v>
      </c>
      <c r="E124" s="340" t="s">
        <v>816</v>
      </c>
      <c r="F124" s="340" t="s">
        <v>5888</v>
      </c>
      <c r="G124" s="340"/>
      <c r="H124" s="340" t="s">
        <v>5888</v>
      </c>
      <c r="I124" s="340" t="s">
        <v>5888</v>
      </c>
      <c r="J124" s="340"/>
      <c r="K124" s="340"/>
      <c r="L124" s="340"/>
      <c r="M124" s="340" t="s">
        <v>5888</v>
      </c>
      <c r="N124" s="340" t="s">
        <v>5888</v>
      </c>
      <c r="O124" s="340" t="s">
        <v>5888</v>
      </c>
      <c r="P124" s="340"/>
      <c r="Q124" s="343" t="s">
        <v>7003</v>
      </c>
      <c r="R124" s="45"/>
      <c r="S124" s="45"/>
    </row>
    <row r="125" spans="1:19">
      <c r="A125" s="341" t="s">
        <v>6487</v>
      </c>
      <c r="B125" s="340" t="s">
        <v>5888</v>
      </c>
      <c r="C125" s="340"/>
      <c r="D125" s="340" t="s">
        <v>5888</v>
      </c>
      <c r="E125" s="340" t="s">
        <v>816</v>
      </c>
      <c r="F125" s="340" t="s">
        <v>5888</v>
      </c>
      <c r="G125" s="340" t="s">
        <v>816</v>
      </c>
      <c r="H125" s="340" t="s">
        <v>5888</v>
      </c>
      <c r="I125" s="340" t="s">
        <v>5888</v>
      </c>
      <c r="J125" s="340" t="s">
        <v>816</v>
      </c>
      <c r="K125" s="340" t="s">
        <v>816</v>
      </c>
      <c r="L125" s="340" t="s">
        <v>816</v>
      </c>
      <c r="M125" s="340" t="s">
        <v>5888</v>
      </c>
      <c r="N125" s="340" t="s">
        <v>5888</v>
      </c>
      <c r="O125" s="340" t="s">
        <v>5888</v>
      </c>
      <c r="P125" s="340"/>
      <c r="Q125" s="45" t="s">
        <v>6486</v>
      </c>
      <c r="R125" s="45"/>
      <c r="S125" s="45"/>
    </row>
    <row r="126" spans="1:19">
      <c r="A126" s="341" t="s">
        <v>6485</v>
      </c>
      <c r="B126" s="340" t="s">
        <v>5888</v>
      </c>
      <c r="C126" s="340"/>
      <c r="D126" s="340" t="s">
        <v>5888</v>
      </c>
      <c r="E126" s="340" t="s">
        <v>816</v>
      </c>
      <c r="F126" s="340" t="s">
        <v>5888</v>
      </c>
      <c r="G126" s="340" t="s">
        <v>816</v>
      </c>
      <c r="H126" s="340" t="s">
        <v>5888</v>
      </c>
      <c r="I126" s="340" t="s">
        <v>5888</v>
      </c>
      <c r="J126" s="340" t="s">
        <v>816</v>
      </c>
      <c r="K126" s="340" t="s">
        <v>816</v>
      </c>
      <c r="L126" s="340" t="s">
        <v>816</v>
      </c>
      <c r="M126" s="340" t="s">
        <v>5888</v>
      </c>
      <c r="N126" s="340" t="s">
        <v>5888</v>
      </c>
      <c r="O126" s="340" t="s">
        <v>5888</v>
      </c>
      <c r="P126" s="340"/>
      <c r="Q126" s="45" t="s">
        <v>6484</v>
      </c>
      <c r="R126" s="45"/>
      <c r="S126" s="45"/>
    </row>
    <row r="127" spans="1:19">
      <c r="A127" s="341" t="s">
        <v>6883</v>
      </c>
      <c r="B127" s="340" t="s">
        <v>5888</v>
      </c>
      <c r="C127" s="340"/>
      <c r="D127" s="340" t="s">
        <v>5888</v>
      </c>
      <c r="E127" s="340" t="s">
        <v>816</v>
      </c>
      <c r="F127" s="340" t="s">
        <v>5888</v>
      </c>
      <c r="G127" s="340" t="s">
        <v>816</v>
      </c>
      <c r="H127" s="340" t="s">
        <v>5888</v>
      </c>
      <c r="I127" s="340" t="s">
        <v>816</v>
      </c>
      <c r="J127" s="340" t="s">
        <v>5888</v>
      </c>
      <c r="K127" s="340" t="s">
        <v>816</v>
      </c>
      <c r="L127" s="340" t="s">
        <v>5888</v>
      </c>
      <c r="M127" s="340" t="s">
        <v>816</v>
      </c>
      <c r="N127" s="340" t="s">
        <v>5888</v>
      </c>
      <c r="O127" s="340" t="s">
        <v>5888</v>
      </c>
      <c r="P127" s="340"/>
      <c r="Q127" s="343" t="s">
        <v>6884</v>
      </c>
      <c r="R127" s="45"/>
      <c r="S127" s="45"/>
    </row>
    <row r="128" spans="1:19">
      <c r="A128" s="341" t="s">
        <v>8389</v>
      </c>
      <c r="B128" s="340" t="s">
        <v>5888</v>
      </c>
      <c r="C128" s="340"/>
      <c r="D128" s="340" t="s">
        <v>5888</v>
      </c>
      <c r="E128" s="340" t="s">
        <v>816</v>
      </c>
      <c r="F128" s="340" t="s">
        <v>5888</v>
      </c>
      <c r="G128" s="340" t="s">
        <v>816</v>
      </c>
      <c r="H128" s="340" t="s">
        <v>5888</v>
      </c>
      <c r="I128" s="340" t="s">
        <v>816</v>
      </c>
      <c r="J128" s="340" t="s">
        <v>5888</v>
      </c>
      <c r="K128" s="340" t="s">
        <v>816</v>
      </c>
      <c r="L128" s="340" t="s">
        <v>5888</v>
      </c>
      <c r="M128" s="340" t="s">
        <v>816</v>
      </c>
      <c r="N128" s="340" t="s">
        <v>5888</v>
      </c>
      <c r="O128" s="340" t="s">
        <v>5888</v>
      </c>
      <c r="P128" s="340"/>
      <c r="Q128" s="343" t="s">
        <v>8388</v>
      </c>
      <c r="R128" s="45"/>
      <c r="S128" s="45"/>
    </row>
    <row r="129" spans="1:19">
      <c r="A129" s="341" t="s">
        <v>6932</v>
      </c>
      <c r="B129" s="340" t="s">
        <v>5888</v>
      </c>
      <c r="C129" s="340"/>
      <c r="D129" s="340" t="s">
        <v>5888</v>
      </c>
      <c r="E129" s="340" t="s">
        <v>5888</v>
      </c>
      <c r="F129" s="340" t="s">
        <v>5888</v>
      </c>
      <c r="G129" s="340" t="s">
        <v>5888</v>
      </c>
      <c r="H129" s="340" t="s">
        <v>816</v>
      </c>
      <c r="I129" s="340" t="s">
        <v>5888</v>
      </c>
      <c r="J129" s="340" t="s">
        <v>816</v>
      </c>
      <c r="K129" s="340" t="s">
        <v>816</v>
      </c>
      <c r="L129" s="340" t="s">
        <v>5888</v>
      </c>
      <c r="M129" s="340" t="s">
        <v>5888</v>
      </c>
      <c r="N129" s="340" t="s">
        <v>5888</v>
      </c>
      <c r="O129" s="340" t="s">
        <v>5888</v>
      </c>
      <c r="P129" s="340"/>
      <c r="Q129" s="343" t="s">
        <v>6933</v>
      </c>
      <c r="R129" s="45"/>
      <c r="S129" s="45"/>
    </row>
    <row r="130" spans="1:19">
      <c r="A130" s="341" t="s">
        <v>1639</v>
      </c>
      <c r="B130" s="340" t="s">
        <v>5888</v>
      </c>
      <c r="C130" s="340"/>
      <c r="D130" s="340" t="s">
        <v>5888</v>
      </c>
      <c r="E130" s="340" t="s">
        <v>5888</v>
      </c>
      <c r="F130" s="340" t="s">
        <v>5888</v>
      </c>
      <c r="G130" s="340" t="s">
        <v>5888</v>
      </c>
      <c r="H130" s="340" t="s">
        <v>5888</v>
      </c>
      <c r="I130" s="340" t="s">
        <v>5888</v>
      </c>
      <c r="J130" s="340" t="s">
        <v>5888</v>
      </c>
      <c r="K130" s="340" t="s">
        <v>816</v>
      </c>
      <c r="L130" s="340" t="s">
        <v>5888</v>
      </c>
      <c r="M130" s="340" t="s">
        <v>5888</v>
      </c>
      <c r="N130" s="340" t="s">
        <v>5888</v>
      </c>
      <c r="O130" s="340" t="s">
        <v>5888</v>
      </c>
      <c r="P130" s="340"/>
      <c r="Q130" s="45" t="s">
        <v>6483</v>
      </c>
      <c r="R130" s="45"/>
      <c r="S130" s="45"/>
    </row>
    <row r="131" spans="1:19">
      <c r="A131" s="341" t="s">
        <v>1593</v>
      </c>
      <c r="B131" s="340" t="s">
        <v>5888</v>
      </c>
      <c r="C131" s="340"/>
      <c r="D131" s="340" t="s">
        <v>5888</v>
      </c>
      <c r="E131" s="340" t="s">
        <v>5888</v>
      </c>
      <c r="F131" s="340" t="s">
        <v>5888</v>
      </c>
      <c r="G131" s="340" t="s">
        <v>5888</v>
      </c>
      <c r="H131" s="340" t="s">
        <v>5888</v>
      </c>
      <c r="I131" s="340" t="s">
        <v>5888</v>
      </c>
      <c r="J131" s="340" t="s">
        <v>5888</v>
      </c>
      <c r="K131" s="340" t="s">
        <v>816</v>
      </c>
      <c r="L131" s="340" t="s">
        <v>5888</v>
      </c>
      <c r="M131" s="340" t="s">
        <v>5888</v>
      </c>
      <c r="N131" s="340" t="s">
        <v>5888</v>
      </c>
      <c r="O131" s="340" t="s">
        <v>5888</v>
      </c>
      <c r="P131" s="340"/>
      <c r="Q131" s="45" t="s">
        <v>6481</v>
      </c>
      <c r="R131" s="45"/>
      <c r="S131" s="45"/>
    </row>
    <row r="132" spans="1:19">
      <c r="A132" s="341" t="s">
        <v>1593</v>
      </c>
      <c r="B132" s="340" t="s">
        <v>5888</v>
      </c>
      <c r="C132" s="340"/>
      <c r="D132" s="340" t="s">
        <v>5888</v>
      </c>
      <c r="E132" s="340" t="s">
        <v>5888</v>
      </c>
      <c r="F132" s="340" t="s">
        <v>5888</v>
      </c>
      <c r="G132" s="340" t="s">
        <v>5888</v>
      </c>
      <c r="H132" s="340" t="s">
        <v>5888</v>
      </c>
      <c r="I132" s="340" t="s">
        <v>5888</v>
      </c>
      <c r="J132" s="340" t="s">
        <v>5888</v>
      </c>
      <c r="K132" s="340" t="s">
        <v>816</v>
      </c>
      <c r="L132" s="340" t="s">
        <v>5888</v>
      </c>
      <c r="M132" s="340" t="s">
        <v>5888</v>
      </c>
      <c r="N132" s="340" t="s">
        <v>5888</v>
      </c>
      <c r="O132" s="340" t="s">
        <v>5888</v>
      </c>
      <c r="P132" s="340"/>
      <c r="Q132" s="45" t="s">
        <v>6480</v>
      </c>
      <c r="R132" s="45"/>
      <c r="S132" s="45"/>
    </row>
    <row r="133" spans="1:19">
      <c r="A133" s="341" t="s">
        <v>6479</v>
      </c>
      <c r="B133" s="340" t="s">
        <v>5888</v>
      </c>
      <c r="C133" s="340"/>
      <c r="D133" s="340" t="s">
        <v>5888</v>
      </c>
      <c r="E133" s="340" t="s">
        <v>816</v>
      </c>
      <c r="F133" s="340" t="s">
        <v>5888</v>
      </c>
      <c r="G133" s="340" t="s">
        <v>816</v>
      </c>
      <c r="H133" s="340" t="s">
        <v>5888</v>
      </c>
      <c r="I133" s="340" t="s">
        <v>5888</v>
      </c>
      <c r="J133" s="340" t="s">
        <v>5888</v>
      </c>
      <c r="K133" s="340" t="s">
        <v>816</v>
      </c>
      <c r="L133" s="340" t="s">
        <v>816</v>
      </c>
      <c r="M133" s="340" t="s">
        <v>5888</v>
      </c>
      <c r="N133" s="340" t="s">
        <v>5888</v>
      </c>
      <c r="O133" s="340" t="s">
        <v>5888</v>
      </c>
      <c r="P133" s="340"/>
      <c r="Q133" s="45" t="s">
        <v>6478</v>
      </c>
      <c r="R133" s="45"/>
      <c r="S133" s="45"/>
    </row>
    <row r="134" spans="1:19">
      <c r="A134" s="341" t="s">
        <v>6477</v>
      </c>
      <c r="B134" s="340" t="s">
        <v>5888</v>
      </c>
      <c r="C134" s="340"/>
      <c r="D134" s="340" t="s">
        <v>5888</v>
      </c>
      <c r="E134" s="340" t="s">
        <v>5888</v>
      </c>
      <c r="F134" s="340" t="s">
        <v>5888</v>
      </c>
      <c r="G134" s="340" t="s">
        <v>816</v>
      </c>
      <c r="H134" s="340" t="s">
        <v>5888</v>
      </c>
      <c r="I134" s="340" t="s">
        <v>5888</v>
      </c>
      <c r="J134" s="340" t="s">
        <v>5888</v>
      </c>
      <c r="K134" s="340" t="s">
        <v>816</v>
      </c>
      <c r="L134" s="340" t="s">
        <v>5888</v>
      </c>
      <c r="M134" s="340" t="s">
        <v>5888</v>
      </c>
      <c r="N134" s="340" t="s">
        <v>5888</v>
      </c>
      <c r="O134" s="340" t="s">
        <v>5888</v>
      </c>
      <c r="P134" s="340"/>
      <c r="Q134" s="45" t="s">
        <v>6476</v>
      </c>
      <c r="R134" s="45"/>
      <c r="S134" s="45"/>
    </row>
    <row r="135" spans="1:19">
      <c r="A135" s="341" t="s">
        <v>6475</v>
      </c>
      <c r="B135" s="340" t="s">
        <v>5888</v>
      </c>
      <c r="C135" s="340"/>
      <c r="D135" s="340" t="s">
        <v>5888</v>
      </c>
      <c r="E135" s="340" t="s">
        <v>5888</v>
      </c>
      <c r="F135" s="340" t="s">
        <v>5888</v>
      </c>
      <c r="G135" s="340" t="s">
        <v>816</v>
      </c>
      <c r="H135" s="340" t="s">
        <v>5888</v>
      </c>
      <c r="I135" s="340" t="s">
        <v>5888</v>
      </c>
      <c r="J135" s="340" t="s">
        <v>5888</v>
      </c>
      <c r="K135" s="340" t="s">
        <v>816</v>
      </c>
      <c r="L135" s="340" t="s">
        <v>5888</v>
      </c>
      <c r="M135" s="340" t="s">
        <v>5888</v>
      </c>
      <c r="N135" s="340" t="s">
        <v>5888</v>
      </c>
      <c r="O135" s="340" t="s">
        <v>5888</v>
      </c>
      <c r="P135" s="340"/>
      <c r="Q135" s="45" t="s">
        <v>6474</v>
      </c>
      <c r="R135" s="45"/>
      <c r="S135" s="45"/>
    </row>
    <row r="136" spans="1:19">
      <c r="A136" s="341" t="s">
        <v>6473</v>
      </c>
      <c r="B136" s="340" t="s">
        <v>5888</v>
      </c>
      <c r="C136" s="340"/>
      <c r="D136" s="340" t="s">
        <v>5888</v>
      </c>
      <c r="E136" s="340" t="s">
        <v>816</v>
      </c>
      <c r="F136" s="340" t="s">
        <v>5888</v>
      </c>
      <c r="G136" s="340" t="s">
        <v>816</v>
      </c>
      <c r="H136" s="340" t="s">
        <v>816</v>
      </c>
      <c r="I136" s="340" t="s">
        <v>816</v>
      </c>
      <c r="J136" s="340" t="s">
        <v>5888</v>
      </c>
      <c r="K136" s="340" t="s">
        <v>816</v>
      </c>
      <c r="L136" s="340" t="s">
        <v>5888</v>
      </c>
      <c r="M136" s="340" t="s">
        <v>5888</v>
      </c>
      <c r="N136" s="340" t="s">
        <v>5888</v>
      </c>
      <c r="O136" s="340" t="s">
        <v>5888</v>
      </c>
      <c r="P136" s="340"/>
      <c r="Q136" s="45" t="s">
        <v>6472</v>
      </c>
      <c r="R136" s="45"/>
      <c r="S136" s="45"/>
    </row>
    <row r="137" spans="1:19">
      <c r="A137" s="341" t="s">
        <v>1713</v>
      </c>
      <c r="B137" s="340" t="s">
        <v>5888</v>
      </c>
      <c r="C137" s="340"/>
      <c r="D137" s="340" t="s">
        <v>5888</v>
      </c>
      <c r="E137" s="340" t="s">
        <v>5888</v>
      </c>
      <c r="F137" s="340" t="s">
        <v>5888</v>
      </c>
      <c r="G137" s="340" t="s">
        <v>5888</v>
      </c>
      <c r="H137" s="340" t="s">
        <v>5888</v>
      </c>
      <c r="I137" s="340" t="s">
        <v>5888</v>
      </c>
      <c r="J137" s="340" t="s">
        <v>816</v>
      </c>
      <c r="K137" s="340" t="s">
        <v>5888</v>
      </c>
      <c r="L137" s="340" t="s">
        <v>5888</v>
      </c>
      <c r="M137" s="340" t="s">
        <v>5888</v>
      </c>
      <c r="N137" s="340" t="s">
        <v>5888</v>
      </c>
      <c r="O137" s="340" t="s">
        <v>5888</v>
      </c>
      <c r="P137" s="340"/>
      <c r="Q137" s="45" t="s">
        <v>6877</v>
      </c>
      <c r="R137" s="45"/>
      <c r="S137" s="45"/>
    </row>
    <row r="138" spans="1:19">
      <c r="A138" s="341" t="s">
        <v>3027</v>
      </c>
      <c r="B138" s="340" t="s">
        <v>5888</v>
      </c>
      <c r="C138" s="340"/>
      <c r="D138" s="340" t="s">
        <v>5888</v>
      </c>
      <c r="E138" s="340" t="s">
        <v>5888</v>
      </c>
      <c r="F138" s="340" t="s">
        <v>5888</v>
      </c>
      <c r="G138" s="340" t="s">
        <v>5888</v>
      </c>
      <c r="H138" s="340" t="s">
        <v>5888</v>
      </c>
      <c r="I138" s="340" t="s">
        <v>5888</v>
      </c>
      <c r="J138" s="340" t="s">
        <v>5888</v>
      </c>
      <c r="K138" s="340" t="s">
        <v>816</v>
      </c>
      <c r="L138" s="340" t="s">
        <v>5888</v>
      </c>
      <c r="M138" s="340" t="s">
        <v>5888</v>
      </c>
      <c r="N138" s="340" t="s">
        <v>5888</v>
      </c>
      <c r="O138" s="340" t="s">
        <v>5888</v>
      </c>
      <c r="P138" s="340"/>
      <c r="Q138" s="45" t="s">
        <v>6471</v>
      </c>
      <c r="R138" s="45"/>
      <c r="S138" s="45"/>
    </row>
    <row r="139" spans="1:19">
      <c r="A139" s="341" t="s">
        <v>6470</v>
      </c>
      <c r="B139" s="340" t="s">
        <v>5888</v>
      </c>
      <c r="C139" s="340"/>
      <c r="D139" s="340" t="s">
        <v>5888</v>
      </c>
      <c r="E139" s="340"/>
      <c r="F139" s="340" t="s">
        <v>5888</v>
      </c>
      <c r="G139" s="340" t="s">
        <v>816</v>
      </c>
      <c r="H139" s="340" t="s">
        <v>816</v>
      </c>
      <c r="I139" s="340" t="s">
        <v>816</v>
      </c>
      <c r="J139" s="340" t="s">
        <v>816</v>
      </c>
      <c r="K139" s="340" t="s">
        <v>816</v>
      </c>
      <c r="L139" s="340" t="s">
        <v>816</v>
      </c>
      <c r="M139" s="340" t="s">
        <v>816</v>
      </c>
      <c r="N139" s="340" t="s">
        <v>5888</v>
      </c>
      <c r="O139" s="340" t="s">
        <v>5888</v>
      </c>
      <c r="P139" s="340"/>
      <c r="Q139" s="45" t="s">
        <v>6469</v>
      </c>
      <c r="R139" s="45"/>
      <c r="S139" s="45"/>
    </row>
    <row r="140" spans="1:19">
      <c r="A140" s="341" t="s">
        <v>762</v>
      </c>
      <c r="B140" s="340" t="s">
        <v>5888</v>
      </c>
      <c r="C140" s="340"/>
      <c r="D140" s="340" t="s">
        <v>816</v>
      </c>
      <c r="E140" s="340" t="s">
        <v>5888</v>
      </c>
      <c r="F140" s="340" t="s">
        <v>5888</v>
      </c>
      <c r="G140" s="340" t="s">
        <v>5888</v>
      </c>
      <c r="H140" s="340" t="s">
        <v>5888</v>
      </c>
      <c r="I140" s="340" t="s">
        <v>5888</v>
      </c>
      <c r="J140" s="340" t="s">
        <v>5888</v>
      </c>
      <c r="K140" s="340" t="s">
        <v>5888</v>
      </c>
      <c r="L140" s="340" t="s">
        <v>5888</v>
      </c>
      <c r="M140" s="340" t="s">
        <v>816</v>
      </c>
      <c r="N140" s="340" t="s">
        <v>5888</v>
      </c>
      <c r="O140" s="340" t="s">
        <v>5888</v>
      </c>
      <c r="P140" s="340"/>
      <c r="Q140" s="45" t="s">
        <v>6468</v>
      </c>
      <c r="R140" s="45"/>
      <c r="S140" s="45"/>
    </row>
    <row r="141" spans="1:19">
      <c r="A141" s="341" t="s">
        <v>1217</v>
      </c>
      <c r="B141" s="340" t="s">
        <v>5888</v>
      </c>
      <c r="C141" s="340"/>
      <c r="D141" s="340" t="s">
        <v>5888</v>
      </c>
      <c r="E141" s="340" t="s">
        <v>816</v>
      </c>
      <c r="F141" s="340" t="s">
        <v>5888</v>
      </c>
      <c r="G141" s="340" t="s">
        <v>5888</v>
      </c>
      <c r="H141" s="340" t="s">
        <v>5888</v>
      </c>
      <c r="I141" s="340" t="s">
        <v>5888</v>
      </c>
      <c r="J141" s="340" t="s">
        <v>5888</v>
      </c>
      <c r="K141" s="340" t="s">
        <v>5888</v>
      </c>
      <c r="L141" s="340" t="s">
        <v>5888</v>
      </c>
      <c r="M141" s="340" t="s">
        <v>5888</v>
      </c>
      <c r="N141" s="340" t="s">
        <v>5888</v>
      </c>
      <c r="O141" s="340" t="s">
        <v>5888</v>
      </c>
      <c r="P141" s="340"/>
      <c r="Q141" s="45" t="s">
        <v>6467</v>
      </c>
      <c r="R141" s="45"/>
      <c r="S141" s="45"/>
    </row>
    <row r="142" spans="1:19">
      <c r="A142" s="341" t="s">
        <v>7720</v>
      </c>
      <c r="B142" s="340"/>
      <c r="C142" s="340"/>
      <c r="D142" s="340"/>
      <c r="E142" s="340" t="s">
        <v>816</v>
      </c>
      <c r="F142" s="340"/>
      <c r="G142" s="340"/>
      <c r="H142" s="340"/>
      <c r="I142" s="340"/>
      <c r="J142" s="340"/>
      <c r="K142" s="340"/>
      <c r="L142" s="340"/>
      <c r="M142" s="340"/>
      <c r="N142" s="340"/>
      <c r="O142" s="340"/>
      <c r="P142" s="340"/>
      <c r="Q142" s="45" t="s">
        <v>7721</v>
      </c>
      <c r="R142" s="45"/>
      <c r="S142" s="45"/>
    </row>
    <row r="143" spans="1:19">
      <c r="A143" s="341" t="s">
        <v>9211</v>
      </c>
      <c r="B143" s="340" t="s">
        <v>816</v>
      </c>
      <c r="C143" s="340"/>
      <c r="D143" s="340" t="s">
        <v>5888</v>
      </c>
      <c r="E143" s="340" t="s">
        <v>5888</v>
      </c>
      <c r="F143" s="340" t="s">
        <v>5888</v>
      </c>
      <c r="G143" s="340" t="s">
        <v>5888</v>
      </c>
      <c r="H143" s="340" t="s">
        <v>816</v>
      </c>
      <c r="I143" s="340" t="s">
        <v>5888</v>
      </c>
      <c r="J143" s="340" t="s">
        <v>5888</v>
      </c>
      <c r="K143" s="340" t="s">
        <v>816</v>
      </c>
      <c r="L143" s="340" t="s">
        <v>5888</v>
      </c>
      <c r="M143" s="340" t="s">
        <v>5888</v>
      </c>
      <c r="N143" s="340" t="s">
        <v>5888</v>
      </c>
      <c r="O143" s="340"/>
      <c r="P143" s="340"/>
      <c r="Q143" s="343" t="s">
        <v>9212</v>
      </c>
      <c r="R143" s="45"/>
      <c r="S143" s="45"/>
    </row>
    <row r="144" spans="1:19">
      <c r="A144" s="341" t="s">
        <v>756</v>
      </c>
      <c r="B144" s="340" t="s">
        <v>5888</v>
      </c>
      <c r="C144" s="340"/>
      <c r="D144" s="340" t="s">
        <v>5888</v>
      </c>
      <c r="E144" s="340" t="s">
        <v>816</v>
      </c>
      <c r="F144" s="340" t="s">
        <v>5888</v>
      </c>
      <c r="G144" s="340" t="s">
        <v>5888</v>
      </c>
      <c r="H144" s="340" t="s">
        <v>5888</v>
      </c>
      <c r="I144" s="340" t="s">
        <v>5888</v>
      </c>
      <c r="J144" s="340" t="s">
        <v>5888</v>
      </c>
      <c r="K144" s="340" t="s">
        <v>5888</v>
      </c>
      <c r="L144" s="340" t="s">
        <v>5888</v>
      </c>
      <c r="M144" s="340" t="s">
        <v>5888</v>
      </c>
      <c r="N144" s="340" t="s">
        <v>5888</v>
      </c>
      <c r="O144" s="340" t="s">
        <v>5888</v>
      </c>
      <c r="P144" s="340"/>
      <c r="Q144" s="45" t="s">
        <v>6466</v>
      </c>
      <c r="R144" s="45"/>
      <c r="S144" s="45"/>
    </row>
    <row r="145" spans="1:19">
      <c r="A145" s="341" t="s">
        <v>756</v>
      </c>
      <c r="B145" s="340"/>
      <c r="C145" s="340" t="s">
        <v>816</v>
      </c>
      <c r="D145" s="340"/>
      <c r="E145" s="340"/>
      <c r="F145" s="340"/>
      <c r="G145" s="340"/>
      <c r="H145" s="340"/>
      <c r="I145" s="340"/>
      <c r="J145" s="340"/>
      <c r="K145" s="340"/>
      <c r="L145" s="340"/>
      <c r="M145" s="340"/>
      <c r="N145" s="340"/>
      <c r="O145" s="340"/>
      <c r="P145" s="340"/>
      <c r="Q145" s="45" t="s">
        <v>6465</v>
      </c>
      <c r="R145" s="45" t="s">
        <v>6465</v>
      </c>
      <c r="S145" s="45" t="s">
        <v>7057</v>
      </c>
    </row>
    <row r="146" spans="1:19">
      <c r="A146" s="341" t="s">
        <v>756</v>
      </c>
      <c r="B146" s="340"/>
      <c r="C146" s="340"/>
      <c r="D146" s="340"/>
      <c r="E146" s="340" t="s">
        <v>816</v>
      </c>
      <c r="F146" s="340"/>
      <c r="G146" s="340"/>
      <c r="H146" s="340"/>
      <c r="I146" s="340"/>
      <c r="J146" s="340"/>
      <c r="K146" s="340"/>
      <c r="L146" s="340"/>
      <c r="M146" s="340"/>
      <c r="N146" s="340"/>
      <c r="O146" s="340"/>
      <c r="P146" s="340"/>
      <c r="Q146" s="45" t="s">
        <v>6464</v>
      </c>
      <c r="R146" s="45"/>
      <c r="S146" s="45"/>
    </row>
    <row r="147" spans="1:19">
      <c r="A147" s="341" t="s">
        <v>2861</v>
      </c>
      <c r="B147" s="340" t="s">
        <v>5888</v>
      </c>
      <c r="C147" s="340"/>
      <c r="D147" s="340" t="s">
        <v>5888</v>
      </c>
      <c r="E147" s="340" t="s">
        <v>816</v>
      </c>
      <c r="F147" s="340" t="s">
        <v>5888</v>
      </c>
      <c r="G147" s="340" t="s">
        <v>5888</v>
      </c>
      <c r="H147" s="340" t="s">
        <v>5888</v>
      </c>
      <c r="I147" s="340" t="s">
        <v>5888</v>
      </c>
      <c r="J147" s="340" t="s">
        <v>5888</v>
      </c>
      <c r="K147" s="340" t="s">
        <v>5888</v>
      </c>
      <c r="L147" s="340" t="s">
        <v>5888</v>
      </c>
      <c r="M147" s="340" t="s">
        <v>5888</v>
      </c>
      <c r="N147" s="340" t="s">
        <v>5888</v>
      </c>
      <c r="O147" s="340" t="s">
        <v>5888</v>
      </c>
      <c r="P147" s="340"/>
      <c r="Q147" s="45" t="s">
        <v>6463</v>
      </c>
      <c r="R147" s="45"/>
      <c r="S147" s="45"/>
    </row>
    <row r="148" spans="1:19">
      <c r="A148" s="341" t="s">
        <v>6462</v>
      </c>
      <c r="B148" s="340" t="s">
        <v>5888</v>
      </c>
      <c r="C148" s="340"/>
      <c r="D148" s="340" t="s">
        <v>5888</v>
      </c>
      <c r="E148" s="340" t="s">
        <v>5888</v>
      </c>
      <c r="F148" s="340" t="s">
        <v>5888</v>
      </c>
      <c r="G148" s="340" t="s">
        <v>5888</v>
      </c>
      <c r="H148" s="340" t="s">
        <v>5888</v>
      </c>
      <c r="I148" s="340" t="s">
        <v>5888</v>
      </c>
      <c r="J148" s="340" t="s">
        <v>816</v>
      </c>
      <c r="K148" s="340" t="s">
        <v>5888</v>
      </c>
      <c r="L148" s="340" t="s">
        <v>5888</v>
      </c>
      <c r="M148" s="340" t="s">
        <v>5888</v>
      </c>
      <c r="N148" s="340" t="s">
        <v>5888</v>
      </c>
      <c r="O148" s="340" t="s">
        <v>5888</v>
      </c>
      <c r="P148" s="340"/>
      <c r="Q148" s="342" t="s">
        <v>6461</v>
      </c>
      <c r="R148" s="45"/>
      <c r="S148" s="45"/>
    </row>
    <row r="149" spans="1:19">
      <c r="A149" s="341" t="s">
        <v>6460</v>
      </c>
      <c r="B149" s="340" t="s">
        <v>5888</v>
      </c>
      <c r="C149" s="340"/>
      <c r="D149" s="340" t="s">
        <v>5888</v>
      </c>
      <c r="E149" s="340" t="s">
        <v>5888</v>
      </c>
      <c r="F149" s="340" t="s">
        <v>5888</v>
      </c>
      <c r="G149" s="340" t="s">
        <v>5888</v>
      </c>
      <c r="H149" s="340" t="s">
        <v>5888</v>
      </c>
      <c r="I149" s="340" t="s">
        <v>5888</v>
      </c>
      <c r="J149" s="340" t="s">
        <v>816</v>
      </c>
      <c r="K149" s="340" t="s">
        <v>5888</v>
      </c>
      <c r="L149" s="340" t="s">
        <v>5888</v>
      </c>
      <c r="M149" s="340" t="s">
        <v>5888</v>
      </c>
      <c r="N149" s="340" t="s">
        <v>5888</v>
      </c>
      <c r="O149" s="340" t="s">
        <v>5888</v>
      </c>
      <c r="P149" s="340"/>
      <c r="Q149" s="342" t="s">
        <v>6459</v>
      </c>
      <c r="R149" s="45"/>
      <c r="S149" s="45"/>
    </row>
    <row r="150" spans="1:19">
      <c r="A150" s="341" t="s">
        <v>6458</v>
      </c>
      <c r="B150" s="340" t="s">
        <v>5888</v>
      </c>
      <c r="C150" s="340"/>
      <c r="D150" s="340" t="s">
        <v>5888</v>
      </c>
      <c r="E150" s="340" t="s">
        <v>5888</v>
      </c>
      <c r="F150" s="340" t="s">
        <v>5888</v>
      </c>
      <c r="G150" s="340" t="s">
        <v>5888</v>
      </c>
      <c r="H150" s="340" t="s">
        <v>5888</v>
      </c>
      <c r="I150" s="340" t="s">
        <v>5888</v>
      </c>
      <c r="J150" s="340" t="s">
        <v>816</v>
      </c>
      <c r="K150" s="340" t="s">
        <v>5888</v>
      </c>
      <c r="L150" s="340" t="s">
        <v>5888</v>
      </c>
      <c r="M150" s="340" t="s">
        <v>5888</v>
      </c>
      <c r="N150" s="340" t="s">
        <v>5888</v>
      </c>
      <c r="O150" s="340" t="s">
        <v>5888</v>
      </c>
      <c r="P150" s="340"/>
      <c r="Q150" s="45" t="s">
        <v>6457</v>
      </c>
      <c r="R150" s="45"/>
      <c r="S150" s="45"/>
    </row>
    <row r="151" spans="1:19">
      <c r="A151" s="341" t="s">
        <v>6456</v>
      </c>
      <c r="B151" s="340" t="s">
        <v>5888</v>
      </c>
      <c r="C151" s="340"/>
      <c r="D151" s="340" t="s">
        <v>5888</v>
      </c>
      <c r="E151" s="340" t="s">
        <v>5888</v>
      </c>
      <c r="F151" s="340" t="s">
        <v>5888</v>
      </c>
      <c r="G151" s="340" t="s">
        <v>5888</v>
      </c>
      <c r="H151" s="340" t="s">
        <v>5888</v>
      </c>
      <c r="I151" s="340" t="s">
        <v>5888</v>
      </c>
      <c r="J151" s="340" t="s">
        <v>816</v>
      </c>
      <c r="K151" s="340" t="s">
        <v>5888</v>
      </c>
      <c r="L151" s="340" t="s">
        <v>5888</v>
      </c>
      <c r="M151" s="340" t="s">
        <v>5888</v>
      </c>
      <c r="N151" s="340" t="s">
        <v>5888</v>
      </c>
      <c r="O151" s="340" t="s">
        <v>5888</v>
      </c>
      <c r="P151" s="340"/>
      <c r="Q151" s="45" t="s">
        <v>6455</v>
      </c>
      <c r="R151" s="45"/>
      <c r="S151" s="45"/>
    </row>
    <row r="152" spans="1:19">
      <c r="A152" s="341" t="s">
        <v>6454</v>
      </c>
      <c r="B152" s="340" t="s">
        <v>5888</v>
      </c>
      <c r="C152" s="340"/>
      <c r="D152" s="340" t="s">
        <v>5888</v>
      </c>
      <c r="E152" s="340" t="s">
        <v>5888</v>
      </c>
      <c r="F152" s="340" t="s">
        <v>5888</v>
      </c>
      <c r="G152" s="340" t="s">
        <v>5888</v>
      </c>
      <c r="H152" s="340" t="s">
        <v>5888</v>
      </c>
      <c r="I152" s="340" t="s">
        <v>5888</v>
      </c>
      <c r="J152" s="340" t="s">
        <v>816</v>
      </c>
      <c r="K152" s="340" t="s">
        <v>5888</v>
      </c>
      <c r="L152" s="340" t="s">
        <v>5888</v>
      </c>
      <c r="M152" s="340" t="s">
        <v>5888</v>
      </c>
      <c r="N152" s="340" t="s">
        <v>5888</v>
      </c>
      <c r="O152" s="340" t="s">
        <v>5888</v>
      </c>
      <c r="P152" s="340"/>
      <c r="Q152" s="45" t="s">
        <v>6882</v>
      </c>
      <c r="R152" s="45"/>
      <c r="S152" s="45"/>
    </row>
    <row r="153" spans="1:19">
      <c r="A153" s="341" t="s">
        <v>9613</v>
      </c>
      <c r="B153" s="340" t="s">
        <v>5888</v>
      </c>
      <c r="C153" s="340"/>
      <c r="D153" s="340" t="s">
        <v>5888</v>
      </c>
      <c r="E153" s="340" t="s">
        <v>5888</v>
      </c>
      <c r="F153" s="340" t="s">
        <v>5888</v>
      </c>
      <c r="G153" s="340" t="s">
        <v>5888</v>
      </c>
      <c r="H153" s="340" t="s">
        <v>5888</v>
      </c>
      <c r="I153" s="340" t="s">
        <v>5888</v>
      </c>
      <c r="J153" s="340" t="s">
        <v>816</v>
      </c>
      <c r="K153" s="340" t="s">
        <v>5888</v>
      </c>
      <c r="L153" s="340" t="s">
        <v>5888</v>
      </c>
      <c r="M153" s="340" t="s">
        <v>5888</v>
      </c>
      <c r="N153" s="340" t="s">
        <v>5888</v>
      </c>
      <c r="O153" s="340" t="s">
        <v>5888</v>
      </c>
      <c r="P153" s="340"/>
      <c r="Q153" s="45" t="s">
        <v>9614</v>
      </c>
      <c r="R153" s="45"/>
      <c r="S153" s="45"/>
    </row>
    <row r="154" spans="1:19">
      <c r="A154" s="341" t="s">
        <v>9510</v>
      </c>
      <c r="B154" s="340" t="s">
        <v>5888</v>
      </c>
      <c r="C154" s="340"/>
      <c r="D154" s="340" t="s">
        <v>5888</v>
      </c>
      <c r="E154" s="340" t="s">
        <v>5888</v>
      </c>
      <c r="F154" s="340" t="s">
        <v>5888</v>
      </c>
      <c r="G154" s="340" t="s">
        <v>5888</v>
      </c>
      <c r="H154" s="340" t="s">
        <v>5888</v>
      </c>
      <c r="I154" s="340" t="s">
        <v>5888</v>
      </c>
      <c r="J154" s="340" t="s">
        <v>816</v>
      </c>
      <c r="K154" s="340" t="s">
        <v>5888</v>
      </c>
      <c r="L154" s="340" t="s">
        <v>5888</v>
      </c>
      <c r="M154" s="340" t="s">
        <v>5888</v>
      </c>
      <c r="N154" s="340" t="s">
        <v>5888</v>
      </c>
      <c r="O154" s="340" t="s">
        <v>5888</v>
      </c>
      <c r="P154" s="340"/>
      <c r="Q154" s="45" t="s">
        <v>9511</v>
      </c>
      <c r="R154" s="45"/>
      <c r="S154" s="45"/>
    </row>
    <row r="155" spans="1:19">
      <c r="A155" s="341" t="s">
        <v>9611</v>
      </c>
      <c r="B155" s="340" t="s">
        <v>5888</v>
      </c>
      <c r="C155" s="340"/>
      <c r="D155" s="340" t="s">
        <v>5888</v>
      </c>
      <c r="E155" s="340" t="s">
        <v>5888</v>
      </c>
      <c r="F155" s="340" t="s">
        <v>5888</v>
      </c>
      <c r="G155" s="340" t="s">
        <v>5888</v>
      </c>
      <c r="H155" s="340" t="s">
        <v>5888</v>
      </c>
      <c r="I155" s="340" t="s">
        <v>5888</v>
      </c>
      <c r="J155" s="340" t="s">
        <v>816</v>
      </c>
      <c r="K155" s="340" t="s">
        <v>5888</v>
      </c>
      <c r="L155" s="340" t="s">
        <v>5888</v>
      </c>
      <c r="M155" s="340" t="s">
        <v>5888</v>
      </c>
      <c r="N155" s="340" t="s">
        <v>5888</v>
      </c>
      <c r="O155" s="340" t="s">
        <v>5888</v>
      </c>
      <c r="P155" s="340"/>
      <c r="Q155" s="45" t="s">
        <v>9612</v>
      </c>
      <c r="R155" s="45"/>
      <c r="S155" s="45"/>
    </row>
    <row r="156" spans="1:19">
      <c r="A156" s="341" t="s">
        <v>8297</v>
      </c>
      <c r="B156" s="340"/>
      <c r="C156" s="340"/>
      <c r="D156" s="340"/>
      <c r="E156" s="340"/>
      <c r="F156" s="340"/>
      <c r="G156" s="340"/>
      <c r="H156" s="340"/>
      <c r="I156" s="340"/>
      <c r="J156" s="340"/>
      <c r="K156" s="340"/>
      <c r="L156" s="340"/>
      <c r="M156" s="340"/>
      <c r="N156" s="340"/>
      <c r="O156" s="340"/>
      <c r="P156" s="340" t="s">
        <v>816</v>
      </c>
      <c r="Q156" s="45" t="s">
        <v>8295</v>
      </c>
      <c r="R156" s="45"/>
      <c r="S156" s="45"/>
    </row>
    <row r="157" spans="1:19">
      <c r="A157" s="341" t="s">
        <v>6453</v>
      </c>
      <c r="B157" s="340" t="s">
        <v>5888</v>
      </c>
      <c r="C157" s="340"/>
      <c r="D157" s="340" t="s">
        <v>5888</v>
      </c>
      <c r="E157" s="340" t="s">
        <v>816</v>
      </c>
      <c r="F157" s="340" t="s">
        <v>5888</v>
      </c>
      <c r="G157" s="340" t="s">
        <v>816</v>
      </c>
      <c r="H157" s="340" t="s">
        <v>5888</v>
      </c>
      <c r="I157" s="340" t="s">
        <v>5888</v>
      </c>
      <c r="J157" s="340" t="s">
        <v>5888</v>
      </c>
      <c r="K157" s="340" t="s">
        <v>816</v>
      </c>
      <c r="L157" s="340" t="s">
        <v>5888</v>
      </c>
      <c r="M157" s="340" t="s">
        <v>5888</v>
      </c>
      <c r="N157" s="340" t="s">
        <v>5888</v>
      </c>
      <c r="O157" s="340" t="s">
        <v>5888</v>
      </c>
      <c r="P157" s="340"/>
      <c r="Q157" s="45" t="s">
        <v>6452</v>
      </c>
      <c r="R157" s="45"/>
      <c r="S157" s="45"/>
    </row>
    <row r="158" spans="1:19">
      <c r="A158" s="341" t="s">
        <v>6453</v>
      </c>
      <c r="B158" s="340" t="s">
        <v>5888</v>
      </c>
      <c r="C158" s="340"/>
      <c r="D158" s="340" t="s">
        <v>5888</v>
      </c>
      <c r="E158" s="340" t="s">
        <v>816</v>
      </c>
      <c r="F158" s="340" t="s">
        <v>5888</v>
      </c>
      <c r="G158" s="340" t="s">
        <v>816</v>
      </c>
      <c r="H158" s="340" t="s">
        <v>5888</v>
      </c>
      <c r="I158" s="340" t="s">
        <v>5888</v>
      </c>
      <c r="J158" s="340" t="s">
        <v>5888</v>
      </c>
      <c r="K158" s="340" t="s">
        <v>816</v>
      </c>
      <c r="L158" s="340" t="s">
        <v>5888</v>
      </c>
      <c r="M158" s="340" t="s">
        <v>5888</v>
      </c>
      <c r="N158" s="340" t="s">
        <v>5888</v>
      </c>
      <c r="O158" s="340" t="s">
        <v>5888</v>
      </c>
      <c r="P158" s="340"/>
      <c r="Q158" s="45" t="s">
        <v>8774</v>
      </c>
      <c r="R158" s="45"/>
      <c r="S158" s="45"/>
    </row>
    <row r="159" spans="1:19">
      <c r="A159" s="341" t="s">
        <v>8259</v>
      </c>
      <c r="B159" s="340"/>
      <c r="C159" s="340"/>
      <c r="D159" s="340"/>
      <c r="E159" s="340"/>
      <c r="F159" s="340"/>
      <c r="G159" s="340"/>
      <c r="H159" s="340"/>
      <c r="I159" s="340"/>
      <c r="J159" s="340"/>
      <c r="K159" s="340" t="s">
        <v>816</v>
      </c>
      <c r="L159" s="340"/>
      <c r="M159" s="340"/>
      <c r="N159" s="340"/>
      <c r="O159" s="340"/>
      <c r="P159" s="340"/>
      <c r="Q159" s="343" t="s">
        <v>8260</v>
      </c>
      <c r="R159" s="45"/>
      <c r="S159" s="45"/>
    </row>
    <row r="160" spans="1:19">
      <c r="A160" s="341" t="s">
        <v>8261</v>
      </c>
      <c r="B160" s="340"/>
      <c r="C160" s="340"/>
      <c r="D160" s="340"/>
      <c r="E160" s="340"/>
      <c r="F160" s="340"/>
      <c r="G160" s="340"/>
      <c r="H160" s="340"/>
      <c r="I160" s="340"/>
      <c r="J160" s="340"/>
      <c r="K160" s="340" t="s">
        <v>816</v>
      </c>
      <c r="L160" s="340"/>
      <c r="M160" s="340"/>
      <c r="N160" s="340"/>
      <c r="O160" s="340"/>
      <c r="P160" s="340"/>
      <c r="Q160" s="343" t="s">
        <v>8262</v>
      </c>
      <c r="R160" s="45"/>
      <c r="S160" s="45"/>
    </row>
    <row r="161" spans="1:19">
      <c r="A161" s="341" t="s">
        <v>6451</v>
      </c>
      <c r="B161" s="340" t="s">
        <v>5888</v>
      </c>
      <c r="C161" s="340"/>
      <c r="D161" s="340" t="s">
        <v>5888</v>
      </c>
      <c r="E161" s="340" t="s">
        <v>5888</v>
      </c>
      <c r="F161" s="340" t="s">
        <v>5888</v>
      </c>
      <c r="G161" s="340" t="s">
        <v>5888</v>
      </c>
      <c r="H161" s="340" t="s">
        <v>5888</v>
      </c>
      <c r="I161" s="340" t="s">
        <v>5888</v>
      </c>
      <c r="J161" s="340" t="s">
        <v>816</v>
      </c>
      <c r="K161" s="340" t="s">
        <v>816</v>
      </c>
      <c r="L161" s="340" t="s">
        <v>5888</v>
      </c>
      <c r="M161" s="340" t="s">
        <v>5888</v>
      </c>
      <c r="N161" s="340" t="s">
        <v>5888</v>
      </c>
      <c r="O161" s="340" t="s">
        <v>5888</v>
      </c>
      <c r="P161" s="340"/>
      <c r="Q161" s="45" t="s">
        <v>6450</v>
      </c>
      <c r="R161" s="45"/>
      <c r="S161" s="45"/>
    </row>
    <row r="162" spans="1:19">
      <c r="A162" s="341" t="s">
        <v>6449</v>
      </c>
      <c r="B162" s="340" t="s">
        <v>5888</v>
      </c>
      <c r="C162" s="340" t="s">
        <v>816</v>
      </c>
      <c r="D162" s="340" t="s">
        <v>5888</v>
      </c>
      <c r="E162" s="340" t="s">
        <v>5888</v>
      </c>
      <c r="F162" s="340" t="s">
        <v>5888</v>
      </c>
      <c r="G162" s="340" t="s">
        <v>5888</v>
      </c>
      <c r="H162" s="340" t="s">
        <v>5888</v>
      </c>
      <c r="I162" s="340" t="s">
        <v>5888</v>
      </c>
      <c r="J162" s="340" t="s">
        <v>5888</v>
      </c>
      <c r="K162" s="340" t="s">
        <v>5888</v>
      </c>
      <c r="L162" s="340" t="s">
        <v>5888</v>
      </c>
      <c r="M162" s="340" t="s">
        <v>5888</v>
      </c>
      <c r="N162" s="340" t="s">
        <v>5888</v>
      </c>
      <c r="O162" s="340" t="s">
        <v>5888</v>
      </c>
      <c r="P162" s="340"/>
      <c r="Q162" s="45" t="s">
        <v>6448</v>
      </c>
      <c r="R162" s="45"/>
      <c r="S162" s="45"/>
    </row>
    <row r="163" spans="1:19">
      <c r="A163" s="341" t="s">
        <v>8912</v>
      </c>
      <c r="B163" s="340" t="s">
        <v>5888</v>
      </c>
      <c r="C163" s="340"/>
      <c r="D163" s="340" t="s">
        <v>816</v>
      </c>
      <c r="E163" s="340" t="s">
        <v>5888</v>
      </c>
      <c r="F163" s="340"/>
      <c r="G163" s="340" t="s">
        <v>816</v>
      </c>
      <c r="H163" s="340"/>
      <c r="I163" s="340" t="s">
        <v>816</v>
      </c>
      <c r="J163" s="340"/>
      <c r="K163" s="340" t="s">
        <v>816</v>
      </c>
      <c r="L163" s="340" t="s">
        <v>816</v>
      </c>
      <c r="M163" s="340" t="s">
        <v>816</v>
      </c>
      <c r="N163" s="340" t="s">
        <v>816</v>
      </c>
      <c r="O163" s="340" t="s">
        <v>5888</v>
      </c>
      <c r="P163" s="340"/>
      <c r="Q163" s="343" t="s">
        <v>8913</v>
      </c>
      <c r="R163" s="45"/>
      <c r="S163" s="45"/>
    </row>
    <row r="164" spans="1:19">
      <c r="A164" s="341" t="s">
        <v>8683</v>
      </c>
      <c r="B164" s="340" t="s">
        <v>5888</v>
      </c>
      <c r="C164" s="340"/>
      <c r="D164" s="340" t="s">
        <v>5888</v>
      </c>
      <c r="E164" s="340"/>
      <c r="F164" s="340" t="s">
        <v>5888</v>
      </c>
      <c r="G164" s="340"/>
      <c r="H164" s="340" t="s">
        <v>5888</v>
      </c>
      <c r="I164" s="340" t="s">
        <v>5888</v>
      </c>
      <c r="J164" s="340"/>
      <c r="K164" s="340" t="s">
        <v>816</v>
      </c>
      <c r="L164" s="340"/>
      <c r="M164" s="340" t="s">
        <v>5888</v>
      </c>
      <c r="N164" s="340" t="s">
        <v>5888</v>
      </c>
      <c r="O164" s="340" t="s">
        <v>5888</v>
      </c>
      <c r="P164" s="340"/>
      <c r="Q164" s="360" t="s">
        <v>8684</v>
      </c>
      <c r="R164" s="45"/>
      <c r="S164" s="45"/>
    </row>
    <row r="165" spans="1:19">
      <c r="A165" s="341" t="s">
        <v>8275</v>
      </c>
      <c r="B165" s="340"/>
      <c r="C165" s="340"/>
      <c r="D165" s="340"/>
      <c r="E165" s="340"/>
      <c r="F165" s="340"/>
      <c r="G165" s="340"/>
      <c r="H165" s="340"/>
      <c r="I165" s="340"/>
      <c r="J165" s="340"/>
      <c r="K165" s="340"/>
      <c r="L165" s="340"/>
      <c r="M165" s="340"/>
      <c r="N165" s="340"/>
      <c r="O165" s="340"/>
      <c r="P165" s="340" t="s">
        <v>816</v>
      </c>
      <c r="Q165" s="45" t="s">
        <v>8274</v>
      </c>
      <c r="R165" s="45"/>
      <c r="S165" s="45"/>
    </row>
    <row r="166" spans="1:19">
      <c r="A166" s="341" t="s">
        <v>1155</v>
      </c>
      <c r="B166" s="340" t="s">
        <v>5888</v>
      </c>
      <c r="C166" s="340"/>
      <c r="D166" s="340" t="s">
        <v>5888</v>
      </c>
      <c r="E166" s="340" t="s">
        <v>5888</v>
      </c>
      <c r="F166" s="340" t="s">
        <v>5888</v>
      </c>
      <c r="G166" s="340" t="s">
        <v>5888</v>
      </c>
      <c r="H166" s="340" t="s">
        <v>5888</v>
      </c>
      <c r="I166" s="340" t="s">
        <v>5888</v>
      </c>
      <c r="J166" s="340" t="s">
        <v>5888</v>
      </c>
      <c r="K166" s="340" t="s">
        <v>816</v>
      </c>
      <c r="L166" s="340" t="s">
        <v>5888</v>
      </c>
      <c r="M166" s="340" t="s">
        <v>5888</v>
      </c>
      <c r="N166" s="340" t="s">
        <v>5888</v>
      </c>
      <c r="O166" s="340" t="s">
        <v>5888</v>
      </c>
      <c r="P166" s="340"/>
      <c r="Q166" s="45" t="s">
        <v>6447</v>
      </c>
      <c r="R166" s="45"/>
      <c r="S166" s="45"/>
    </row>
    <row r="167" spans="1:19">
      <c r="A167" s="341" t="s">
        <v>6446</v>
      </c>
      <c r="B167" s="340" t="s">
        <v>5888</v>
      </c>
      <c r="C167" s="340"/>
      <c r="D167" s="340" t="s">
        <v>5888</v>
      </c>
      <c r="E167" s="340" t="s">
        <v>5888</v>
      </c>
      <c r="F167" s="340" t="s">
        <v>5888</v>
      </c>
      <c r="G167" s="340" t="s">
        <v>5888</v>
      </c>
      <c r="H167" s="340" t="s">
        <v>5888</v>
      </c>
      <c r="I167" s="340" t="s">
        <v>5888</v>
      </c>
      <c r="J167" s="340" t="s">
        <v>816</v>
      </c>
      <c r="K167" s="340" t="s">
        <v>816</v>
      </c>
      <c r="L167" s="340" t="s">
        <v>5888</v>
      </c>
      <c r="M167" s="340" t="s">
        <v>5888</v>
      </c>
      <c r="N167" s="340" t="s">
        <v>5888</v>
      </c>
      <c r="O167" s="340" t="s">
        <v>5888</v>
      </c>
      <c r="P167" s="340"/>
      <c r="Q167" s="45" t="s">
        <v>6445</v>
      </c>
      <c r="R167" s="45"/>
      <c r="S167" s="45"/>
    </row>
    <row r="168" spans="1:19">
      <c r="A168" s="341" t="s">
        <v>6444</v>
      </c>
      <c r="B168" s="340" t="s">
        <v>5888</v>
      </c>
      <c r="C168" s="340" t="s">
        <v>816</v>
      </c>
      <c r="D168" s="340" t="s">
        <v>5888</v>
      </c>
      <c r="E168" s="340" t="s">
        <v>5888</v>
      </c>
      <c r="F168" s="340" t="s">
        <v>5888</v>
      </c>
      <c r="G168" s="340" t="s">
        <v>5888</v>
      </c>
      <c r="H168" s="340" t="s">
        <v>5888</v>
      </c>
      <c r="I168" s="340" t="s">
        <v>5888</v>
      </c>
      <c r="J168" s="340"/>
      <c r="K168" s="340"/>
      <c r="L168" s="340" t="s">
        <v>5888</v>
      </c>
      <c r="M168" s="340" t="s">
        <v>5888</v>
      </c>
      <c r="N168" s="340" t="s">
        <v>5888</v>
      </c>
      <c r="O168" s="340" t="s">
        <v>5888</v>
      </c>
      <c r="P168" s="340"/>
      <c r="R168" s="45" t="s">
        <v>6443</v>
      </c>
      <c r="S168" s="45"/>
    </row>
    <row r="169" spans="1:19">
      <c r="A169" s="341" t="s">
        <v>6442</v>
      </c>
      <c r="B169" s="340" t="s">
        <v>5888</v>
      </c>
      <c r="C169" s="340"/>
      <c r="D169" s="340" t="s">
        <v>5888</v>
      </c>
      <c r="E169" s="340" t="s">
        <v>5888</v>
      </c>
      <c r="F169" s="340" t="s">
        <v>5888</v>
      </c>
      <c r="G169" s="340" t="s">
        <v>816</v>
      </c>
      <c r="H169" s="340" t="s">
        <v>5888</v>
      </c>
      <c r="I169" s="340" t="s">
        <v>5888</v>
      </c>
      <c r="J169" s="340" t="s">
        <v>816</v>
      </c>
      <c r="K169" s="340" t="s">
        <v>816</v>
      </c>
      <c r="L169" s="340" t="s">
        <v>816</v>
      </c>
      <c r="M169" s="340" t="s">
        <v>5888</v>
      </c>
      <c r="N169" s="340" t="s">
        <v>5888</v>
      </c>
      <c r="O169" s="340" t="s">
        <v>5888</v>
      </c>
      <c r="P169" s="340"/>
      <c r="Q169" s="45" t="s">
        <v>6441</v>
      </c>
      <c r="R169" s="45"/>
      <c r="S169" s="45"/>
    </row>
    <row r="170" spans="1:19">
      <c r="A170" s="341" t="s">
        <v>2751</v>
      </c>
      <c r="B170" s="340" t="s">
        <v>5888</v>
      </c>
      <c r="C170" s="340"/>
      <c r="D170" s="340" t="s">
        <v>5888</v>
      </c>
      <c r="E170" s="340" t="s">
        <v>5888</v>
      </c>
      <c r="F170" s="340" t="s">
        <v>5888</v>
      </c>
      <c r="G170" s="340" t="s">
        <v>5888</v>
      </c>
      <c r="H170" s="340" t="s">
        <v>5888</v>
      </c>
      <c r="I170" s="340" t="s">
        <v>5888</v>
      </c>
      <c r="J170" s="340" t="s">
        <v>816</v>
      </c>
      <c r="K170" s="340" t="s">
        <v>5888</v>
      </c>
      <c r="L170" s="340" t="s">
        <v>816</v>
      </c>
      <c r="M170" s="340" t="s">
        <v>5888</v>
      </c>
      <c r="N170" s="340" t="s">
        <v>5888</v>
      </c>
      <c r="O170" s="340" t="s">
        <v>5888</v>
      </c>
      <c r="P170" s="340"/>
      <c r="Q170" s="45" t="s">
        <v>6440</v>
      </c>
      <c r="R170" s="45"/>
      <c r="S170" s="45"/>
    </row>
    <row r="171" spans="1:19">
      <c r="A171" s="341" t="s">
        <v>10254</v>
      </c>
      <c r="B171" s="340"/>
      <c r="C171" s="340"/>
      <c r="D171" s="340"/>
      <c r="E171" s="340"/>
      <c r="F171" s="340"/>
      <c r="G171" s="340"/>
      <c r="H171" s="340" t="s">
        <v>816</v>
      </c>
      <c r="I171" s="340" t="s">
        <v>816</v>
      </c>
      <c r="J171" s="340" t="s">
        <v>816</v>
      </c>
      <c r="K171" s="340" t="s">
        <v>816</v>
      </c>
      <c r="L171" s="340" t="s">
        <v>816</v>
      </c>
      <c r="M171" s="340"/>
      <c r="N171" s="340"/>
      <c r="O171" s="340"/>
      <c r="P171" s="340"/>
      <c r="Q171" s="343" t="s">
        <v>10255</v>
      </c>
      <c r="R171" s="45"/>
      <c r="S171" s="45"/>
    </row>
    <row r="172" spans="1:19">
      <c r="A172" s="341" t="s">
        <v>974</v>
      </c>
      <c r="B172" s="340" t="s">
        <v>5888</v>
      </c>
      <c r="C172" s="340"/>
      <c r="D172" s="340" t="s">
        <v>5888</v>
      </c>
      <c r="E172" s="340" t="s">
        <v>5888</v>
      </c>
      <c r="F172" s="340" t="s">
        <v>5888</v>
      </c>
      <c r="G172" s="340" t="s">
        <v>5888</v>
      </c>
      <c r="H172" s="340" t="s">
        <v>5888</v>
      </c>
      <c r="I172" s="340" t="s">
        <v>5888</v>
      </c>
      <c r="J172" s="340" t="s">
        <v>5888</v>
      </c>
      <c r="K172" s="340" t="s">
        <v>5888</v>
      </c>
      <c r="L172" s="340" t="s">
        <v>816</v>
      </c>
      <c r="M172" s="340" t="s">
        <v>5888</v>
      </c>
      <c r="N172" s="340" t="s">
        <v>5888</v>
      </c>
      <c r="O172" s="340" t="s">
        <v>5888</v>
      </c>
      <c r="P172" s="340"/>
      <c r="Q172" s="45" t="s">
        <v>6439</v>
      </c>
      <c r="R172" s="45"/>
      <c r="S172" s="45"/>
    </row>
    <row r="173" spans="1:19">
      <c r="A173" s="341" t="s">
        <v>6761</v>
      </c>
      <c r="B173" s="340"/>
      <c r="C173" s="340"/>
      <c r="D173" s="340"/>
      <c r="E173" s="340" t="s">
        <v>816</v>
      </c>
      <c r="F173" s="340"/>
      <c r="G173" s="340"/>
      <c r="H173" s="340"/>
      <c r="I173" s="340"/>
      <c r="J173" s="340"/>
      <c r="K173" s="340"/>
      <c r="L173" s="340"/>
      <c r="M173" s="340"/>
      <c r="N173" s="340"/>
      <c r="O173" s="340"/>
      <c r="P173" s="340"/>
      <c r="Q173" s="342" t="s">
        <v>6762</v>
      </c>
      <c r="R173" s="45"/>
      <c r="S173" s="45"/>
    </row>
    <row r="174" spans="1:19">
      <c r="A174" s="341" t="s">
        <v>6437</v>
      </c>
      <c r="B174" s="340"/>
      <c r="C174" s="340"/>
      <c r="D174" s="340"/>
      <c r="E174" s="340" t="s">
        <v>816</v>
      </c>
      <c r="F174" s="340"/>
      <c r="G174" s="340"/>
      <c r="H174" s="340"/>
      <c r="I174" s="340"/>
      <c r="J174" s="340"/>
      <c r="K174" s="340"/>
      <c r="L174" s="340"/>
      <c r="M174" s="340"/>
      <c r="N174" s="340"/>
      <c r="O174" s="340"/>
      <c r="P174" s="340"/>
      <c r="Q174" s="45" t="s">
        <v>6438</v>
      </c>
      <c r="R174" s="45"/>
      <c r="S174" s="45"/>
    </row>
    <row r="175" spans="1:19">
      <c r="A175" s="341" t="s">
        <v>6437</v>
      </c>
      <c r="B175" s="340"/>
      <c r="C175" s="340"/>
      <c r="D175" s="340"/>
      <c r="E175" s="340" t="s">
        <v>816</v>
      </c>
      <c r="F175" s="340"/>
      <c r="G175" s="340"/>
      <c r="H175" s="340"/>
      <c r="I175" s="340"/>
      <c r="J175" s="340"/>
      <c r="K175" s="340"/>
      <c r="L175" s="340"/>
      <c r="M175" s="340"/>
      <c r="N175" s="340"/>
      <c r="O175" s="340"/>
      <c r="P175" s="340"/>
      <c r="Q175" s="45" t="s">
        <v>6436</v>
      </c>
      <c r="R175" s="45"/>
      <c r="S175" s="45"/>
    </row>
    <row r="176" spans="1:19">
      <c r="A176" s="341" t="s">
        <v>6435</v>
      </c>
      <c r="B176" s="340" t="s">
        <v>5888</v>
      </c>
      <c r="C176" s="340"/>
      <c r="D176" s="340" t="s">
        <v>5888</v>
      </c>
      <c r="E176" s="340" t="s">
        <v>5888</v>
      </c>
      <c r="F176" s="340" t="s">
        <v>5888</v>
      </c>
      <c r="G176" s="340" t="s">
        <v>5888</v>
      </c>
      <c r="H176" s="340" t="s">
        <v>816</v>
      </c>
      <c r="I176" s="340" t="s">
        <v>5888</v>
      </c>
      <c r="J176" s="340" t="s">
        <v>5888</v>
      </c>
      <c r="K176" s="340" t="s">
        <v>816</v>
      </c>
      <c r="L176" s="340" t="s">
        <v>5888</v>
      </c>
      <c r="M176" s="340" t="s">
        <v>5888</v>
      </c>
      <c r="N176" s="340" t="s">
        <v>5888</v>
      </c>
      <c r="O176" s="340" t="s">
        <v>5888</v>
      </c>
      <c r="P176" s="340"/>
      <c r="Q176" s="45" t="s">
        <v>6434</v>
      </c>
      <c r="R176" s="45"/>
      <c r="S176" s="45"/>
    </row>
    <row r="177" spans="1:19">
      <c r="A177" s="341" t="s">
        <v>6433</v>
      </c>
      <c r="B177" s="340" t="s">
        <v>5888</v>
      </c>
      <c r="C177" s="340"/>
      <c r="D177" s="340" t="s">
        <v>5888</v>
      </c>
      <c r="E177" s="340" t="s">
        <v>5888</v>
      </c>
      <c r="F177" s="340" t="s">
        <v>5888</v>
      </c>
      <c r="G177" s="340" t="s">
        <v>5888</v>
      </c>
      <c r="H177" s="340" t="s">
        <v>5888</v>
      </c>
      <c r="I177" s="340" t="s">
        <v>5888</v>
      </c>
      <c r="J177" s="340" t="s">
        <v>5888</v>
      </c>
      <c r="K177" s="340" t="s">
        <v>816</v>
      </c>
      <c r="L177" s="340" t="s">
        <v>5888</v>
      </c>
      <c r="M177" s="340" t="s">
        <v>5888</v>
      </c>
      <c r="N177" s="340" t="s">
        <v>5888</v>
      </c>
      <c r="O177" s="340" t="s">
        <v>5888</v>
      </c>
      <c r="P177" s="340"/>
      <c r="Q177" s="45" t="s">
        <v>6432</v>
      </c>
      <c r="R177" s="45"/>
      <c r="S177" s="45"/>
    </row>
    <row r="178" spans="1:19">
      <c r="A178" s="341" t="s">
        <v>1449</v>
      </c>
      <c r="B178" s="340" t="s">
        <v>5888</v>
      </c>
      <c r="C178" s="340"/>
      <c r="D178" s="340" t="s">
        <v>5888</v>
      </c>
      <c r="E178" s="340" t="s">
        <v>5888</v>
      </c>
      <c r="F178" s="340" t="s">
        <v>5888</v>
      </c>
      <c r="G178" s="340" t="s">
        <v>5888</v>
      </c>
      <c r="H178" s="340" t="s">
        <v>5888</v>
      </c>
      <c r="I178" s="340" t="s">
        <v>5888</v>
      </c>
      <c r="J178" s="340" t="s">
        <v>5888</v>
      </c>
      <c r="K178" s="340" t="s">
        <v>816</v>
      </c>
      <c r="L178" s="340" t="s">
        <v>5888</v>
      </c>
      <c r="M178" s="340" t="s">
        <v>5888</v>
      </c>
      <c r="N178" s="340" t="s">
        <v>5888</v>
      </c>
      <c r="O178" s="340" t="s">
        <v>5888</v>
      </c>
      <c r="P178" s="340"/>
      <c r="Q178" s="45" t="s">
        <v>6431</v>
      </c>
      <c r="R178" s="45"/>
      <c r="S178" s="45"/>
    </row>
    <row r="179" spans="1:19">
      <c r="A179" s="341" t="s">
        <v>1118</v>
      </c>
      <c r="B179" s="340" t="s">
        <v>5888</v>
      </c>
      <c r="C179" s="340"/>
      <c r="D179" s="340" t="s">
        <v>5888</v>
      </c>
      <c r="E179" s="340" t="s">
        <v>5888</v>
      </c>
      <c r="F179" s="340" t="s">
        <v>5888</v>
      </c>
      <c r="G179" s="340" t="s">
        <v>816</v>
      </c>
      <c r="H179" s="340"/>
      <c r="I179" s="340" t="s">
        <v>816</v>
      </c>
      <c r="J179" s="340" t="s">
        <v>816</v>
      </c>
      <c r="K179" s="340" t="s">
        <v>816</v>
      </c>
      <c r="L179" s="340" t="s">
        <v>816</v>
      </c>
      <c r="M179" s="340" t="s">
        <v>5888</v>
      </c>
      <c r="N179" s="340" t="s">
        <v>5888</v>
      </c>
      <c r="O179" s="340" t="s">
        <v>5888</v>
      </c>
      <c r="P179" s="340"/>
      <c r="Q179" s="343" t="s">
        <v>8202</v>
      </c>
      <c r="R179" s="45"/>
      <c r="S179" s="45"/>
    </row>
    <row r="180" spans="1:19">
      <c r="A180" s="341" t="s">
        <v>7924</v>
      </c>
      <c r="B180" s="340" t="s">
        <v>5888</v>
      </c>
      <c r="C180" s="340"/>
      <c r="D180" s="340" t="s">
        <v>5888</v>
      </c>
      <c r="E180" s="340" t="s">
        <v>5888</v>
      </c>
      <c r="F180" s="340" t="s">
        <v>5888</v>
      </c>
      <c r="G180" s="340" t="s">
        <v>5888</v>
      </c>
      <c r="H180" s="340" t="s">
        <v>5888</v>
      </c>
      <c r="I180" s="340" t="s">
        <v>5888</v>
      </c>
      <c r="J180" s="340" t="s">
        <v>816</v>
      </c>
      <c r="K180" s="340" t="s">
        <v>816</v>
      </c>
      <c r="L180" s="340" t="s">
        <v>816</v>
      </c>
      <c r="M180" s="340" t="s">
        <v>5888</v>
      </c>
      <c r="N180" s="340" t="s">
        <v>5888</v>
      </c>
      <c r="O180" s="340" t="s">
        <v>5888</v>
      </c>
      <c r="P180" s="340"/>
      <c r="Q180" s="343" t="s">
        <v>7919</v>
      </c>
      <c r="R180" s="45"/>
      <c r="S180" s="45"/>
    </row>
    <row r="181" spans="1:19">
      <c r="A181" s="341" t="s">
        <v>7925</v>
      </c>
      <c r="B181" s="340" t="s">
        <v>5888</v>
      </c>
      <c r="C181" s="340"/>
      <c r="D181" s="340" t="s">
        <v>5888</v>
      </c>
      <c r="E181" s="340" t="s">
        <v>5888</v>
      </c>
      <c r="F181" s="340" t="s">
        <v>5888</v>
      </c>
      <c r="G181" s="340" t="s">
        <v>5888</v>
      </c>
      <c r="H181" s="340" t="s">
        <v>5888</v>
      </c>
      <c r="I181" s="340" t="s">
        <v>5888</v>
      </c>
      <c r="J181" s="340" t="s">
        <v>816</v>
      </c>
      <c r="K181" s="340" t="s">
        <v>816</v>
      </c>
      <c r="L181" s="340" t="s">
        <v>816</v>
      </c>
      <c r="M181" s="340" t="s">
        <v>5888</v>
      </c>
      <c r="N181" s="340" t="s">
        <v>5888</v>
      </c>
      <c r="O181" s="340" t="s">
        <v>5888</v>
      </c>
      <c r="P181" s="340"/>
      <c r="Q181" s="343" t="s">
        <v>7923</v>
      </c>
      <c r="R181" s="45"/>
      <c r="S181" s="45"/>
    </row>
    <row r="182" spans="1:19">
      <c r="A182" s="341" t="s">
        <v>8416</v>
      </c>
      <c r="B182" s="340"/>
      <c r="C182" s="340"/>
      <c r="D182" s="340"/>
      <c r="E182" s="340"/>
      <c r="F182" s="340"/>
      <c r="G182" s="340"/>
      <c r="H182" s="340"/>
      <c r="I182" s="340"/>
      <c r="J182" s="340" t="s">
        <v>816</v>
      </c>
      <c r="K182" s="340" t="s">
        <v>816</v>
      </c>
      <c r="L182" s="340"/>
      <c r="M182" s="340"/>
      <c r="N182" s="340"/>
      <c r="O182" s="340"/>
      <c r="P182" s="340"/>
      <c r="Q182" s="343" t="s">
        <v>8415</v>
      </c>
      <c r="R182" s="45"/>
      <c r="S182" s="45"/>
    </row>
    <row r="183" spans="1:19">
      <c r="A183" s="341" t="s">
        <v>577</v>
      </c>
      <c r="B183" s="340" t="s">
        <v>5888</v>
      </c>
      <c r="C183" s="340"/>
      <c r="D183" s="340" t="s">
        <v>5888</v>
      </c>
      <c r="E183" s="340" t="s">
        <v>5888</v>
      </c>
      <c r="F183" s="340" t="s">
        <v>5888</v>
      </c>
      <c r="G183" s="340" t="s">
        <v>5888</v>
      </c>
      <c r="H183" s="340" t="s">
        <v>5888</v>
      </c>
      <c r="I183" s="340" t="s">
        <v>5888</v>
      </c>
      <c r="J183" s="340" t="s">
        <v>5888</v>
      </c>
      <c r="K183" s="340" t="s">
        <v>816</v>
      </c>
      <c r="L183" s="340" t="s">
        <v>5888</v>
      </c>
      <c r="M183" s="340" t="s">
        <v>5888</v>
      </c>
      <c r="N183" s="340" t="s">
        <v>5888</v>
      </c>
      <c r="O183" s="340" t="s">
        <v>5888</v>
      </c>
      <c r="P183" s="340"/>
      <c r="Q183" s="45" t="s">
        <v>6430</v>
      </c>
      <c r="R183" s="45"/>
      <c r="S183" s="45"/>
    </row>
    <row r="184" spans="1:19">
      <c r="A184" s="341" t="s">
        <v>6429</v>
      </c>
      <c r="B184" s="340" t="s">
        <v>5888</v>
      </c>
      <c r="C184" s="340"/>
      <c r="D184" s="340" t="s">
        <v>5888</v>
      </c>
      <c r="E184" s="340" t="s">
        <v>5888</v>
      </c>
      <c r="F184" s="340" t="s">
        <v>5888</v>
      </c>
      <c r="G184" s="340" t="s">
        <v>5888</v>
      </c>
      <c r="H184" s="340" t="s">
        <v>5888</v>
      </c>
      <c r="I184" s="340" t="s">
        <v>5888</v>
      </c>
      <c r="J184" s="340" t="s">
        <v>5888</v>
      </c>
      <c r="K184" s="340" t="s">
        <v>816</v>
      </c>
      <c r="L184" s="340" t="s">
        <v>5888</v>
      </c>
      <c r="M184" s="340" t="s">
        <v>5888</v>
      </c>
      <c r="N184" s="340" t="s">
        <v>5888</v>
      </c>
      <c r="O184" s="340" t="s">
        <v>5888</v>
      </c>
      <c r="P184" s="340"/>
      <c r="Q184" s="45" t="s">
        <v>6428</v>
      </c>
      <c r="R184" s="45"/>
      <c r="S184" s="45"/>
    </row>
    <row r="185" spans="1:19">
      <c r="A185" s="341" t="s">
        <v>6427</v>
      </c>
      <c r="B185" s="340" t="s">
        <v>5888</v>
      </c>
      <c r="C185" s="340"/>
      <c r="D185" s="340" t="s">
        <v>5888</v>
      </c>
      <c r="E185" s="340" t="s">
        <v>5888</v>
      </c>
      <c r="F185" s="340" t="s">
        <v>5888</v>
      </c>
      <c r="G185" s="340" t="s">
        <v>5888</v>
      </c>
      <c r="H185" s="340" t="s">
        <v>5888</v>
      </c>
      <c r="I185" s="340" t="s">
        <v>5888</v>
      </c>
      <c r="J185" s="340" t="s">
        <v>5888</v>
      </c>
      <c r="K185" s="340" t="s">
        <v>816</v>
      </c>
      <c r="L185" s="340" t="s">
        <v>5888</v>
      </c>
      <c r="M185" s="340" t="s">
        <v>5888</v>
      </c>
      <c r="N185" s="340" t="s">
        <v>5888</v>
      </c>
      <c r="O185" s="340" t="s">
        <v>5888</v>
      </c>
      <c r="P185" s="340"/>
      <c r="Q185" s="45" t="s">
        <v>6426</v>
      </c>
      <c r="R185" s="45"/>
      <c r="S185" s="45"/>
    </row>
    <row r="186" spans="1:19">
      <c r="A186" s="341" t="s">
        <v>9971</v>
      </c>
      <c r="B186" s="340"/>
      <c r="C186" s="340"/>
      <c r="D186" s="340" t="s">
        <v>816</v>
      </c>
      <c r="E186" s="340" t="s">
        <v>816</v>
      </c>
      <c r="F186" s="340"/>
      <c r="G186" s="340" t="s">
        <v>816</v>
      </c>
      <c r="H186" s="340" t="s">
        <v>816</v>
      </c>
      <c r="I186" s="340" t="s">
        <v>816</v>
      </c>
      <c r="J186" s="340" t="s">
        <v>816</v>
      </c>
      <c r="K186" s="340" t="s">
        <v>816</v>
      </c>
      <c r="L186" s="340" t="s">
        <v>816</v>
      </c>
      <c r="M186" s="340"/>
      <c r="N186" s="340" t="s">
        <v>816</v>
      </c>
      <c r="O186" s="340"/>
      <c r="P186" s="340"/>
      <c r="Q186" s="45" t="s">
        <v>9970</v>
      </c>
      <c r="R186" s="45"/>
      <c r="S186" s="45"/>
    </row>
    <row r="187" spans="1:19">
      <c r="A187" s="341" t="s">
        <v>6425</v>
      </c>
      <c r="B187" s="340"/>
      <c r="C187" s="340"/>
      <c r="D187" s="340"/>
      <c r="E187" s="340" t="s">
        <v>816</v>
      </c>
      <c r="F187" s="340"/>
      <c r="G187" s="340"/>
      <c r="H187" s="340"/>
      <c r="I187" s="340"/>
      <c r="J187" s="340"/>
      <c r="K187" s="340"/>
      <c r="L187" s="340"/>
      <c r="M187" s="340"/>
      <c r="N187" s="340"/>
      <c r="O187" s="340"/>
      <c r="P187" s="340"/>
      <c r="Q187" s="45" t="s">
        <v>6424</v>
      </c>
      <c r="R187" s="45"/>
      <c r="S187" s="45"/>
    </row>
    <row r="188" spans="1:19">
      <c r="A188" s="341" t="s">
        <v>6423</v>
      </c>
      <c r="B188" s="340"/>
      <c r="C188" s="340"/>
      <c r="D188" s="340"/>
      <c r="E188" s="340" t="s">
        <v>816</v>
      </c>
      <c r="F188" s="340"/>
      <c r="G188" s="340" t="s">
        <v>816</v>
      </c>
      <c r="H188" s="340" t="s">
        <v>816</v>
      </c>
      <c r="I188" s="340" t="s">
        <v>816</v>
      </c>
      <c r="J188" s="340" t="s">
        <v>816</v>
      </c>
      <c r="K188" s="340" t="s">
        <v>816</v>
      </c>
      <c r="L188" s="340" t="s">
        <v>816</v>
      </c>
      <c r="M188" s="340"/>
      <c r="N188" s="340" t="s">
        <v>816</v>
      </c>
      <c r="O188" s="340"/>
      <c r="P188" s="340"/>
      <c r="Q188" s="45" t="s">
        <v>6422</v>
      </c>
      <c r="R188" s="45"/>
      <c r="S188" s="45"/>
    </row>
    <row r="189" spans="1:19">
      <c r="A189" s="341" t="s">
        <v>6421</v>
      </c>
      <c r="B189" s="340" t="s">
        <v>5888</v>
      </c>
      <c r="C189" s="340"/>
      <c r="D189" s="340" t="s">
        <v>5888</v>
      </c>
      <c r="E189" s="340" t="s">
        <v>816</v>
      </c>
      <c r="F189" s="340" t="s">
        <v>5888</v>
      </c>
      <c r="G189" s="340" t="s">
        <v>5888</v>
      </c>
      <c r="H189" s="340" t="s">
        <v>5888</v>
      </c>
      <c r="I189" s="340" t="s">
        <v>5888</v>
      </c>
      <c r="J189" s="340" t="s">
        <v>5888</v>
      </c>
      <c r="K189" s="340" t="s">
        <v>5888</v>
      </c>
      <c r="L189" s="340" t="s">
        <v>5888</v>
      </c>
      <c r="M189" s="340" t="s">
        <v>5888</v>
      </c>
      <c r="N189" s="340" t="s">
        <v>5888</v>
      </c>
      <c r="O189" s="340" t="s">
        <v>5888</v>
      </c>
      <c r="P189" s="340"/>
      <c r="Q189" s="45" t="s">
        <v>6420</v>
      </c>
      <c r="R189" s="45"/>
      <c r="S189" s="45"/>
    </row>
    <row r="190" spans="1:19">
      <c r="A190" s="341" t="s">
        <v>6419</v>
      </c>
      <c r="B190" s="340" t="s">
        <v>5888</v>
      </c>
      <c r="C190" s="340"/>
      <c r="D190" s="340" t="s">
        <v>5888</v>
      </c>
      <c r="E190" s="340" t="s">
        <v>5888</v>
      </c>
      <c r="F190" s="340" t="s">
        <v>5888</v>
      </c>
      <c r="G190" s="340" t="s">
        <v>5888</v>
      </c>
      <c r="H190" s="340" t="s">
        <v>5888</v>
      </c>
      <c r="I190" s="340" t="s">
        <v>5888</v>
      </c>
      <c r="J190" s="340" t="s">
        <v>816</v>
      </c>
      <c r="K190" s="340" t="s">
        <v>816</v>
      </c>
      <c r="L190" s="340" t="s">
        <v>5888</v>
      </c>
      <c r="M190" s="340" t="s">
        <v>5888</v>
      </c>
      <c r="N190" s="340" t="s">
        <v>5888</v>
      </c>
      <c r="O190" s="340" t="s">
        <v>5888</v>
      </c>
      <c r="P190" s="340"/>
      <c r="Q190" s="45" t="s">
        <v>6418</v>
      </c>
      <c r="R190" s="45"/>
      <c r="S190" s="45"/>
    </row>
    <row r="191" spans="1:19">
      <c r="A191" s="341" t="s">
        <v>6417</v>
      </c>
      <c r="B191" s="340" t="s">
        <v>5888</v>
      </c>
      <c r="C191" s="340"/>
      <c r="D191" s="340" t="s">
        <v>5888</v>
      </c>
      <c r="E191" s="340" t="s">
        <v>5888</v>
      </c>
      <c r="F191" s="340" t="s">
        <v>5888</v>
      </c>
      <c r="G191" s="340" t="s">
        <v>5888</v>
      </c>
      <c r="H191" s="340" t="s">
        <v>5888</v>
      </c>
      <c r="I191" s="340" t="s">
        <v>5888</v>
      </c>
      <c r="J191" s="340" t="s">
        <v>816</v>
      </c>
      <c r="K191" s="340" t="s">
        <v>816</v>
      </c>
      <c r="L191" s="340" t="s">
        <v>5888</v>
      </c>
      <c r="M191" s="340" t="s">
        <v>5888</v>
      </c>
      <c r="N191" s="340" t="s">
        <v>5888</v>
      </c>
      <c r="O191" s="340" t="s">
        <v>5888</v>
      </c>
      <c r="P191" s="340"/>
      <c r="Q191" s="45" t="s">
        <v>6416</v>
      </c>
      <c r="R191" s="45"/>
      <c r="S191" s="45"/>
    </row>
    <row r="192" spans="1:19">
      <c r="A192" s="341" t="s">
        <v>1641</v>
      </c>
      <c r="B192" s="340" t="s">
        <v>5888</v>
      </c>
      <c r="C192" s="340"/>
      <c r="D192" s="340" t="s">
        <v>5888</v>
      </c>
      <c r="E192" s="340" t="s">
        <v>816</v>
      </c>
      <c r="F192" s="340" t="s">
        <v>5888</v>
      </c>
      <c r="G192" s="340" t="s">
        <v>5888</v>
      </c>
      <c r="H192" s="340" t="s">
        <v>5888</v>
      </c>
      <c r="I192" s="340" t="s">
        <v>5888</v>
      </c>
      <c r="J192" s="340" t="s">
        <v>5888</v>
      </c>
      <c r="K192" s="340" t="s">
        <v>5888</v>
      </c>
      <c r="L192" s="340" t="s">
        <v>5888</v>
      </c>
      <c r="M192" s="340" t="s">
        <v>5888</v>
      </c>
      <c r="N192" s="340" t="s">
        <v>5888</v>
      </c>
      <c r="O192" s="340" t="s">
        <v>5888</v>
      </c>
      <c r="P192" s="340"/>
      <c r="Q192" s="45" t="s">
        <v>6415</v>
      </c>
      <c r="R192" s="45"/>
      <c r="S192" s="45"/>
    </row>
    <row r="193" spans="1:19">
      <c r="A193" s="341" t="s">
        <v>1641</v>
      </c>
      <c r="B193" s="340" t="s">
        <v>5888</v>
      </c>
      <c r="C193" s="340"/>
      <c r="D193" s="340" t="s">
        <v>5888</v>
      </c>
      <c r="E193" s="340" t="s">
        <v>816</v>
      </c>
      <c r="F193" s="340" t="s">
        <v>5888</v>
      </c>
      <c r="G193" s="340" t="s">
        <v>5888</v>
      </c>
      <c r="H193" s="340" t="s">
        <v>5888</v>
      </c>
      <c r="I193" s="340" t="s">
        <v>5888</v>
      </c>
      <c r="J193" s="340" t="s">
        <v>5888</v>
      </c>
      <c r="K193" s="340" t="s">
        <v>5888</v>
      </c>
      <c r="L193" s="340" t="s">
        <v>5888</v>
      </c>
      <c r="M193" s="340" t="s">
        <v>5888</v>
      </c>
      <c r="N193" s="340" t="s">
        <v>5888</v>
      </c>
      <c r="O193" s="340" t="s">
        <v>5888</v>
      </c>
      <c r="P193" s="340"/>
      <c r="Q193" s="343" t="s">
        <v>6904</v>
      </c>
      <c r="R193" s="45"/>
      <c r="S193" s="45"/>
    </row>
    <row r="194" spans="1:19">
      <c r="A194" s="341" t="s">
        <v>8289</v>
      </c>
      <c r="B194" s="340"/>
      <c r="C194" s="340"/>
      <c r="D194" s="340"/>
      <c r="E194" s="340"/>
      <c r="F194" s="340"/>
      <c r="G194" s="340"/>
      <c r="H194" s="340"/>
      <c r="I194" s="340"/>
      <c r="J194" s="340"/>
      <c r="K194" s="340"/>
      <c r="L194" s="340"/>
      <c r="M194" s="340"/>
      <c r="N194" s="340"/>
      <c r="O194" s="340"/>
      <c r="P194" s="340" t="s">
        <v>816</v>
      </c>
      <c r="Q194" s="45" t="s">
        <v>8284</v>
      </c>
      <c r="R194" s="45"/>
      <c r="S194" s="45"/>
    </row>
    <row r="195" spans="1:19">
      <c r="A195" s="341" t="s">
        <v>2005</v>
      </c>
      <c r="B195" s="340" t="s">
        <v>5888</v>
      </c>
      <c r="C195" s="340"/>
      <c r="D195" s="340" t="s">
        <v>5888</v>
      </c>
      <c r="E195" s="340" t="s">
        <v>816</v>
      </c>
      <c r="F195" s="340" t="s">
        <v>5888</v>
      </c>
      <c r="G195" s="340" t="s">
        <v>5888</v>
      </c>
      <c r="H195" s="340" t="s">
        <v>5888</v>
      </c>
      <c r="I195" s="340" t="s">
        <v>5888</v>
      </c>
      <c r="J195" s="340" t="s">
        <v>5888</v>
      </c>
      <c r="K195" s="340" t="s">
        <v>816</v>
      </c>
      <c r="L195" s="340" t="s">
        <v>5888</v>
      </c>
      <c r="M195" s="340" t="s">
        <v>5888</v>
      </c>
      <c r="N195" s="340" t="s">
        <v>5888</v>
      </c>
      <c r="O195" s="340" t="s">
        <v>5888</v>
      </c>
      <c r="P195" s="340"/>
      <c r="Q195" s="45" t="s">
        <v>6414</v>
      </c>
      <c r="R195" s="45"/>
      <c r="S195" s="45"/>
    </row>
    <row r="196" spans="1:19">
      <c r="A196" s="341" t="s">
        <v>1361</v>
      </c>
      <c r="B196" s="340" t="s">
        <v>5888</v>
      </c>
      <c r="C196" s="340"/>
      <c r="D196" s="340" t="s">
        <v>816</v>
      </c>
      <c r="E196" s="340" t="s">
        <v>5888</v>
      </c>
      <c r="F196" s="340" t="s">
        <v>5888</v>
      </c>
      <c r="G196" s="340" t="s">
        <v>5888</v>
      </c>
      <c r="H196" s="340" t="s">
        <v>5888</v>
      </c>
      <c r="I196" s="340" t="s">
        <v>5888</v>
      </c>
      <c r="J196" s="340" t="s">
        <v>5888</v>
      </c>
      <c r="K196" s="340" t="s">
        <v>816</v>
      </c>
      <c r="L196" s="340" t="s">
        <v>5888</v>
      </c>
      <c r="M196" s="340" t="s">
        <v>816</v>
      </c>
      <c r="N196" s="340" t="s">
        <v>5888</v>
      </c>
      <c r="O196" s="340" t="s">
        <v>5888</v>
      </c>
      <c r="P196" s="340"/>
      <c r="Q196" s="45" t="s">
        <v>6413</v>
      </c>
      <c r="R196" s="45"/>
      <c r="S196" s="45"/>
    </row>
    <row r="197" spans="1:19">
      <c r="A197" s="341" t="s">
        <v>10387</v>
      </c>
      <c r="B197" s="340"/>
      <c r="C197" s="340"/>
      <c r="D197" s="340"/>
      <c r="E197" s="340" t="s">
        <v>816</v>
      </c>
      <c r="F197" s="340"/>
      <c r="G197" s="340"/>
      <c r="H197" s="340"/>
      <c r="I197" s="340"/>
      <c r="J197" s="340"/>
      <c r="K197" s="340"/>
      <c r="L197" s="340"/>
      <c r="M197" s="340"/>
      <c r="N197" s="340"/>
      <c r="O197" s="340"/>
      <c r="P197" s="340"/>
      <c r="Q197" s="342" t="s">
        <v>10386</v>
      </c>
      <c r="R197" s="45"/>
      <c r="S197" s="45"/>
    </row>
    <row r="198" spans="1:19">
      <c r="A198" s="341" t="s">
        <v>1751</v>
      </c>
      <c r="B198" s="340" t="s">
        <v>5888</v>
      </c>
      <c r="C198" s="340"/>
      <c r="D198" s="340" t="s">
        <v>5888</v>
      </c>
      <c r="E198" s="340" t="s">
        <v>5888</v>
      </c>
      <c r="F198" s="340" t="s">
        <v>5888</v>
      </c>
      <c r="G198" s="340" t="s">
        <v>816</v>
      </c>
      <c r="H198" s="340" t="s">
        <v>5888</v>
      </c>
      <c r="I198" s="340" t="s">
        <v>816</v>
      </c>
      <c r="J198" s="340"/>
      <c r="K198" s="340" t="s">
        <v>816</v>
      </c>
      <c r="L198" s="340"/>
      <c r="M198" s="340" t="s">
        <v>5888</v>
      </c>
      <c r="N198" s="340" t="s">
        <v>5888</v>
      </c>
      <c r="O198" s="340" t="s">
        <v>5888</v>
      </c>
      <c r="P198" s="340"/>
      <c r="Q198" s="342" t="s">
        <v>6809</v>
      </c>
      <c r="R198" s="45"/>
      <c r="S198" s="45"/>
    </row>
    <row r="199" spans="1:19">
      <c r="A199" s="341" t="s">
        <v>6412</v>
      </c>
      <c r="B199" s="340" t="s">
        <v>5888</v>
      </c>
      <c r="C199" s="340"/>
      <c r="D199" s="340" t="s">
        <v>5888</v>
      </c>
      <c r="E199" s="340" t="s">
        <v>5888</v>
      </c>
      <c r="F199" s="340" t="s">
        <v>5888</v>
      </c>
      <c r="G199" s="340" t="s">
        <v>816</v>
      </c>
      <c r="H199" s="340" t="s">
        <v>816</v>
      </c>
      <c r="I199" s="340" t="s">
        <v>816</v>
      </c>
      <c r="J199" s="340" t="s">
        <v>816</v>
      </c>
      <c r="K199" s="340" t="s">
        <v>816</v>
      </c>
      <c r="L199" s="340" t="s">
        <v>5888</v>
      </c>
      <c r="M199" s="340" t="s">
        <v>5888</v>
      </c>
      <c r="N199" s="340" t="s">
        <v>5888</v>
      </c>
      <c r="O199" s="340" t="s">
        <v>5888</v>
      </c>
      <c r="P199" s="340"/>
      <c r="Q199" s="45" t="s">
        <v>6411</v>
      </c>
      <c r="R199" s="45"/>
      <c r="S199" s="45"/>
    </row>
    <row r="200" spans="1:19">
      <c r="A200" s="341" t="s">
        <v>6409</v>
      </c>
      <c r="B200" s="340"/>
      <c r="C200" s="340"/>
      <c r="D200" s="340"/>
      <c r="E200" s="340" t="s">
        <v>816</v>
      </c>
      <c r="F200" s="340"/>
      <c r="G200" s="340"/>
      <c r="H200" s="340"/>
      <c r="I200" s="340"/>
      <c r="J200" s="340"/>
      <c r="K200" s="340"/>
      <c r="L200" s="340"/>
      <c r="M200" s="340"/>
      <c r="N200" s="340"/>
      <c r="O200" s="340"/>
      <c r="P200" s="340"/>
      <c r="Q200" s="45" t="s">
        <v>6410</v>
      </c>
      <c r="R200" s="45"/>
      <c r="S200" s="45"/>
    </row>
    <row r="201" spans="1:19">
      <c r="A201" s="341" t="s">
        <v>6409</v>
      </c>
      <c r="B201" s="340"/>
      <c r="C201" s="340"/>
      <c r="D201" s="340"/>
      <c r="E201" s="340" t="s">
        <v>816</v>
      </c>
      <c r="F201" s="340"/>
      <c r="G201" s="340"/>
      <c r="H201" s="340"/>
      <c r="I201" s="340"/>
      <c r="J201" s="340"/>
      <c r="K201" s="340"/>
      <c r="L201" s="340"/>
      <c r="M201" s="340"/>
      <c r="N201" s="340"/>
      <c r="O201" s="340"/>
      <c r="P201" s="340"/>
      <c r="Q201" s="45" t="s">
        <v>6408</v>
      </c>
      <c r="R201" s="45"/>
      <c r="S201" s="45"/>
    </row>
    <row r="202" spans="1:19">
      <c r="A202" s="341" t="s">
        <v>6407</v>
      </c>
      <c r="B202" s="340" t="s">
        <v>5888</v>
      </c>
      <c r="C202" s="340"/>
      <c r="D202" s="340" t="s">
        <v>816</v>
      </c>
      <c r="E202" s="340" t="s">
        <v>5888</v>
      </c>
      <c r="F202" s="340" t="s">
        <v>5888</v>
      </c>
      <c r="G202" s="340" t="s">
        <v>5888</v>
      </c>
      <c r="H202" s="340" t="s">
        <v>5888</v>
      </c>
      <c r="I202" s="340" t="s">
        <v>5888</v>
      </c>
      <c r="J202" s="340" t="s">
        <v>5888</v>
      </c>
      <c r="K202" s="340" t="s">
        <v>5888</v>
      </c>
      <c r="L202" s="340" t="s">
        <v>5888</v>
      </c>
      <c r="M202" s="340" t="s">
        <v>5888</v>
      </c>
      <c r="N202" s="340" t="s">
        <v>5888</v>
      </c>
      <c r="O202" s="340" t="s">
        <v>5888</v>
      </c>
      <c r="P202" s="340"/>
      <c r="Q202" s="45" t="s">
        <v>6406</v>
      </c>
      <c r="R202" s="45"/>
      <c r="S202" s="45"/>
    </row>
    <row r="203" spans="1:19">
      <c r="A203" s="341" t="s">
        <v>6405</v>
      </c>
      <c r="B203" s="340" t="s">
        <v>5888</v>
      </c>
      <c r="C203" s="340"/>
      <c r="D203" s="340" t="s">
        <v>816</v>
      </c>
      <c r="E203" s="340" t="s">
        <v>816</v>
      </c>
      <c r="F203" s="340" t="s">
        <v>5888</v>
      </c>
      <c r="G203" s="340" t="s">
        <v>5888</v>
      </c>
      <c r="H203" s="340" t="s">
        <v>5888</v>
      </c>
      <c r="I203" s="340" t="s">
        <v>5888</v>
      </c>
      <c r="J203" s="340" t="s">
        <v>5888</v>
      </c>
      <c r="K203" s="340" t="s">
        <v>5888</v>
      </c>
      <c r="L203" s="340" t="s">
        <v>5888</v>
      </c>
      <c r="M203" s="340" t="s">
        <v>5888</v>
      </c>
      <c r="N203" s="340" t="s">
        <v>5888</v>
      </c>
      <c r="O203" s="340" t="s">
        <v>5888</v>
      </c>
      <c r="P203" s="340"/>
      <c r="Q203" s="45" t="s">
        <v>6404</v>
      </c>
      <c r="R203" s="45"/>
      <c r="S203" s="45"/>
    </row>
    <row r="204" spans="1:19">
      <c r="A204" s="341" t="s">
        <v>3392</v>
      </c>
      <c r="B204" s="340" t="s">
        <v>5888</v>
      </c>
      <c r="C204" s="340"/>
      <c r="D204" s="340" t="s">
        <v>816</v>
      </c>
      <c r="E204" s="340" t="s">
        <v>816</v>
      </c>
      <c r="F204" s="340" t="s">
        <v>5888</v>
      </c>
      <c r="G204" s="340" t="s">
        <v>5888</v>
      </c>
      <c r="H204" s="340" t="s">
        <v>5888</v>
      </c>
      <c r="I204" s="340" t="s">
        <v>5888</v>
      </c>
      <c r="J204" s="340" t="s">
        <v>5888</v>
      </c>
      <c r="K204" s="340" t="s">
        <v>5888</v>
      </c>
      <c r="L204" s="340" t="s">
        <v>5888</v>
      </c>
      <c r="M204" s="340" t="s">
        <v>5888</v>
      </c>
      <c r="N204" s="340" t="s">
        <v>5888</v>
      </c>
      <c r="O204" s="340" t="s">
        <v>5888</v>
      </c>
      <c r="P204" s="340"/>
      <c r="Q204" s="45" t="s">
        <v>6403</v>
      </c>
      <c r="R204" s="45"/>
      <c r="S204" s="45"/>
    </row>
    <row r="205" spans="1:19">
      <c r="A205" s="341" t="s">
        <v>6402</v>
      </c>
      <c r="B205" s="340" t="s">
        <v>5888</v>
      </c>
      <c r="C205" s="340"/>
      <c r="D205" s="340" t="s">
        <v>816</v>
      </c>
      <c r="E205" s="340" t="s">
        <v>5888</v>
      </c>
      <c r="F205" s="340" t="s">
        <v>5888</v>
      </c>
      <c r="G205" s="340" t="s">
        <v>5888</v>
      </c>
      <c r="H205" s="340" t="s">
        <v>5888</v>
      </c>
      <c r="I205" s="340" t="s">
        <v>5888</v>
      </c>
      <c r="J205" s="340" t="s">
        <v>5888</v>
      </c>
      <c r="K205" s="340" t="s">
        <v>5888</v>
      </c>
      <c r="L205" s="340" t="s">
        <v>5888</v>
      </c>
      <c r="M205" s="340" t="s">
        <v>5888</v>
      </c>
      <c r="N205" s="340" t="s">
        <v>5888</v>
      </c>
      <c r="O205" s="340" t="s">
        <v>5888</v>
      </c>
      <c r="P205" s="340"/>
      <c r="Q205" s="45" t="s">
        <v>6401</v>
      </c>
      <c r="R205" s="45"/>
      <c r="S205" s="45"/>
    </row>
    <row r="206" spans="1:19">
      <c r="A206" s="341" t="s">
        <v>6398</v>
      </c>
      <c r="B206" s="340"/>
      <c r="C206" s="340"/>
      <c r="D206" s="340"/>
      <c r="E206" s="340" t="s">
        <v>816</v>
      </c>
      <c r="F206" s="340"/>
      <c r="G206" s="340"/>
      <c r="H206" s="340"/>
      <c r="I206" s="340"/>
      <c r="J206" s="340"/>
      <c r="K206" s="340"/>
      <c r="L206" s="340"/>
      <c r="M206" s="340"/>
      <c r="N206" s="340"/>
      <c r="O206" s="340"/>
      <c r="P206" s="340"/>
      <c r="Q206" s="45" t="s">
        <v>6400</v>
      </c>
      <c r="R206" s="45"/>
      <c r="S206" s="45"/>
    </row>
    <row r="207" spans="1:19">
      <c r="A207" s="341" t="s">
        <v>6398</v>
      </c>
      <c r="B207" s="340"/>
      <c r="C207" s="340"/>
      <c r="D207" s="340"/>
      <c r="E207" s="340" t="s">
        <v>816</v>
      </c>
      <c r="F207" s="340"/>
      <c r="G207" s="340"/>
      <c r="H207" s="340"/>
      <c r="I207" s="340"/>
      <c r="J207" s="340"/>
      <c r="K207" s="340"/>
      <c r="L207" s="340"/>
      <c r="M207" s="340"/>
      <c r="N207" s="340"/>
      <c r="O207" s="340"/>
      <c r="P207" s="340"/>
      <c r="Q207" s="45" t="s">
        <v>6399</v>
      </c>
      <c r="R207" s="45"/>
      <c r="S207" s="45"/>
    </row>
    <row r="208" spans="1:19">
      <c r="A208" s="341" t="s">
        <v>6398</v>
      </c>
      <c r="B208" s="340"/>
      <c r="C208" s="340"/>
      <c r="D208" s="340"/>
      <c r="E208" s="340" t="s">
        <v>816</v>
      </c>
      <c r="F208" s="340"/>
      <c r="G208" s="340"/>
      <c r="H208" s="340"/>
      <c r="I208" s="340"/>
      <c r="J208" s="340"/>
      <c r="K208" s="340"/>
      <c r="L208" s="340"/>
      <c r="M208" s="340"/>
      <c r="N208" s="340"/>
      <c r="O208" s="340"/>
      <c r="P208" s="340"/>
      <c r="Q208" s="45" t="s">
        <v>6397</v>
      </c>
      <c r="R208" s="45"/>
      <c r="S208" s="45"/>
    </row>
    <row r="209" spans="1:19">
      <c r="A209" s="341" t="s">
        <v>1186</v>
      </c>
      <c r="B209" s="340" t="s">
        <v>5888</v>
      </c>
      <c r="C209" s="340"/>
      <c r="D209" s="340" t="s">
        <v>5888</v>
      </c>
      <c r="E209" s="340" t="s">
        <v>816</v>
      </c>
      <c r="F209" s="340" t="s">
        <v>5888</v>
      </c>
      <c r="G209" s="340" t="s">
        <v>5888</v>
      </c>
      <c r="H209" s="340" t="s">
        <v>5888</v>
      </c>
      <c r="I209" s="340" t="s">
        <v>5888</v>
      </c>
      <c r="J209" s="340" t="s">
        <v>5888</v>
      </c>
      <c r="K209" s="340" t="s">
        <v>5888</v>
      </c>
      <c r="L209" s="340" t="s">
        <v>5888</v>
      </c>
      <c r="M209" s="340" t="s">
        <v>5888</v>
      </c>
      <c r="N209" s="340" t="s">
        <v>5888</v>
      </c>
      <c r="O209" s="340" t="s">
        <v>5888</v>
      </c>
      <c r="P209" s="340"/>
      <c r="Q209" s="45" t="s">
        <v>6396</v>
      </c>
      <c r="R209" s="45"/>
      <c r="S209" s="45"/>
    </row>
    <row r="210" spans="1:19">
      <c r="A210" s="341" t="s">
        <v>3353</v>
      </c>
      <c r="B210" s="340" t="s">
        <v>5888</v>
      </c>
      <c r="C210" s="340"/>
      <c r="D210" s="340" t="s">
        <v>5888</v>
      </c>
      <c r="E210" s="340" t="s">
        <v>5888</v>
      </c>
      <c r="F210" s="340" t="s">
        <v>5888</v>
      </c>
      <c r="G210" s="340" t="s">
        <v>5888</v>
      </c>
      <c r="H210" s="340" t="s">
        <v>816</v>
      </c>
      <c r="I210" s="340" t="s">
        <v>5888</v>
      </c>
      <c r="J210" s="340" t="s">
        <v>816</v>
      </c>
      <c r="K210" s="340" t="s">
        <v>816</v>
      </c>
      <c r="L210" s="340" t="s">
        <v>5888</v>
      </c>
      <c r="M210" s="340" t="s">
        <v>5888</v>
      </c>
      <c r="N210" s="340" t="s">
        <v>5888</v>
      </c>
      <c r="O210" s="340" t="s">
        <v>5888</v>
      </c>
      <c r="P210" s="340"/>
      <c r="Q210" s="45" t="s">
        <v>6395</v>
      </c>
      <c r="R210" s="45"/>
      <c r="S210" s="45"/>
    </row>
    <row r="211" spans="1:19">
      <c r="A211" s="341" t="s">
        <v>6394</v>
      </c>
      <c r="B211" s="340" t="s">
        <v>5888</v>
      </c>
      <c r="C211" s="340"/>
      <c r="D211" s="340" t="s">
        <v>5888</v>
      </c>
      <c r="E211" s="340" t="s">
        <v>5888</v>
      </c>
      <c r="F211" s="340" t="s">
        <v>5888</v>
      </c>
      <c r="G211" s="340" t="s">
        <v>5888</v>
      </c>
      <c r="H211" s="340" t="s">
        <v>5888</v>
      </c>
      <c r="I211" s="340" t="s">
        <v>5888</v>
      </c>
      <c r="J211" s="340" t="s">
        <v>5888</v>
      </c>
      <c r="K211" s="340" t="s">
        <v>816</v>
      </c>
      <c r="L211" s="340" t="s">
        <v>5888</v>
      </c>
      <c r="M211" s="340" t="s">
        <v>5888</v>
      </c>
      <c r="N211" s="340" t="s">
        <v>5888</v>
      </c>
      <c r="O211" s="340" t="s">
        <v>5888</v>
      </c>
      <c r="P211" s="340"/>
      <c r="Q211" s="45" t="s">
        <v>6393</v>
      </c>
      <c r="R211" s="45"/>
      <c r="S211" s="45"/>
    </row>
    <row r="212" spans="1:19">
      <c r="A212" s="341" t="s">
        <v>6392</v>
      </c>
      <c r="B212" s="340" t="s">
        <v>5888</v>
      </c>
      <c r="C212" s="340"/>
      <c r="D212" s="340" t="s">
        <v>5888</v>
      </c>
      <c r="E212" s="340" t="s">
        <v>5888</v>
      </c>
      <c r="F212" s="340" t="s">
        <v>5888</v>
      </c>
      <c r="G212" s="340" t="s">
        <v>5888</v>
      </c>
      <c r="H212" s="340" t="s">
        <v>5888</v>
      </c>
      <c r="I212" s="340" t="s">
        <v>5888</v>
      </c>
      <c r="J212" s="340" t="s">
        <v>5888</v>
      </c>
      <c r="K212" s="340" t="s">
        <v>816</v>
      </c>
      <c r="L212" s="340" t="s">
        <v>5888</v>
      </c>
      <c r="M212" s="340" t="s">
        <v>5888</v>
      </c>
      <c r="N212" s="340" t="s">
        <v>5888</v>
      </c>
      <c r="O212" s="340" t="s">
        <v>5888</v>
      </c>
      <c r="P212" s="340"/>
      <c r="Q212" s="45" t="s">
        <v>6391</v>
      </c>
      <c r="R212" s="45"/>
      <c r="S212" s="45"/>
    </row>
    <row r="213" spans="1:19">
      <c r="A213" s="341" t="s">
        <v>6390</v>
      </c>
      <c r="B213" s="340" t="s">
        <v>5888</v>
      </c>
      <c r="C213" s="340"/>
      <c r="D213" s="340" t="s">
        <v>5888</v>
      </c>
      <c r="E213" s="340" t="s">
        <v>5888</v>
      </c>
      <c r="F213" s="340" t="s">
        <v>816</v>
      </c>
      <c r="G213" s="340" t="s">
        <v>816</v>
      </c>
      <c r="H213" s="340" t="s">
        <v>816</v>
      </c>
      <c r="I213" s="340" t="s">
        <v>816</v>
      </c>
      <c r="J213" s="340" t="s">
        <v>816</v>
      </c>
      <c r="K213" s="340" t="s">
        <v>816</v>
      </c>
      <c r="L213" s="340" t="s">
        <v>816</v>
      </c>
      <c r="M213" s="340" t="s">
        <v>5888</v>
      </c>
      <c r="N213" s="340" t="s">
        <v>816</v>
      </c>
      <c r="O213" s="340" t="s">
        <v>5888</v>
      </c>
      <c r="P213" s="340"/>
      <c r="Q213" s="45" t="s">
        <v>6389</v>
      </c>
      <c r="R213" s="45"/>
      <c r="S213" s="45"/>
    </row>
    <row r="214" spans="1:19">
      <c r="A214" s="341" t="s">
        <v>8910</v>
      </c>
      <c r="B214" s="340" t="s">
        <v>5888</v>
      </c>
      <c r="C214" s="340"/>
      <c r="D214" s="340" t="s">
        <v>5888</v>
      </c>
      <c r="E214" s="340" t="s">
        <v>816</v>
      </c>
      <c r="F214" s="340" t="s">
        <v>5888</v>
      </c>
      <c r="G214" s="340" t="s">
        <v>5888</v>
      </c>
      <c r="H214" s="340" t="s">
        <v>5888</v>
      </c>
      <c r="I214" s="340" t="s">
        <v>5888</v>
      </c>
      <c r="J214" s="340" t="s">
        <v>5888</v>
      </c>
      <c r="K214" s="340" t="s">
        <v>5888</v>
      </c>
      <c r="L214" s="340" t="s">
        <v>5888</v>
      </c>
      <c r="M214" s="340" t="s">
        <v>5888</v>
      </c>
      <c r="N214" s="340" t="s">
        <v>5888</v>
      </c>
      <c r="O214" s="340" t="s">
        <v>5888</v>
      </c>
      <c r="P214" s="340"/>
      <c r="Q214" s="343" t="s">
        <v>8909</v>
      </c>
      <c r="R214" s="45"/>
      <c r="S214" s="45"/>
    </row>
    <row r="215" spans="1:19">
      <c r="A215" s="341" t="s">
        <v>6388</v>
      </c>
      <c r="B215" s="340" t="s">
        <v>5888</v>
      </c>
      <c r="C215" s="340" t="s">
        <v>816</v>
      </c>
      <c r="D215" s="340" t="s">
        <v>5888</v>
      </c>
      <c r="E215" s="340" t="s">
        <v>5888</v>
      </c>
      <c r="F215" s="340" t="s">
        <v>5888</v>
      </c>
      <c r="G215" s="340" t="s">
        <v>5888</v>
      </c>
      <c r="H215" s="340" t="s">
        <v>5888</v>
      </c>
      <c r="I215" s="340" t="s">
        <v>5888</v>
      </c>
      <c r="J215" s="340" t="s">
        <v>5888</v>
      </c>
      <c r="K215" s="340" t="s">
        <v>5888</v>
      </c>
      <c r="L215" s="340" t="s">
        <v>5888</v>
      </c>
      <c r="M215" s="340" t="s">
        <v>5888</v>
      </c>
      <c r="N215" s="340" t="s">
        <v>5888</v>
      </c>
      <c r="O215" s="340" t="s">
        <v>5888</v>
      </c>
      <c r="P215" s="340"/>
      <c r="Q215" s="45" t="s">
        <v>6387</v>
      </c>
      <c r="R215" s="45"/>
      <c r="S215" s="45"/>
    </row>
    <row r="216" spans="1:19">
      <c r="A216" s="341" t="s">
        <v>6386</v>
      </c>
      <c r="B216" s="340"/>
      <c r="C216" s="340"/>
      <c r="D216" s="340"/>
      <c r="E216" s="340" t="s">
        <v>816</v>
      </c>
      <c r="F216" s="340"/>
      <c r="G216" s="340"/>
      <c r="H216" s="340"/>
      <c r="I216" s="340"/>
      <c r="J216" s="340"/>
      <c r="K216" s="340"/>
      <c r="L216" s="340"/>
      <c r="M216" s="340"/>
      <c r="N216" s="340"/>
      <c r="O216" s="340"/>
      <c r="P216" s="340"/>
      <c r="Q216" s="45" t="s">
        <v>6385</v>
      </c>
      <c r="R216" s="45"/>
      <c r="S216" s="45"/>
    </row>
    <row r="217" spans="1:19">
      <c r="A217" s="341" t="s">
        <v>6384</v>
      </c>
      <c r="B217" s="340" t="s">
        <v>5888</v>
      </c>
      <c r="C217" s="340"/>
      <c r="D217" s="340" t="s">
        <v>5888</v>
      </c>
      <c r="E217" s="340" t="s">
        <v>816</v>
      </c>
      <c r="F217" s="340" t="s">
        <v>5888</v>
      </c>
      <c r="G217" s="340" t="s">
        <v>5888</v>
      </c>
      <c r="H217" s="340" t="s">
        <v>5888</v>
      </c>
      <c r="I217" s="340" t="s">
        <v>5888</v>
      </c>
      <c r="J217" s="340" t="s">
        <v>5888</v>
      </c>
      <c r="K217" s="340" t="s">
        <v>5888</v>
      </c>
      <c r="L217" s="340" t="s">
        <v>5888</v>
      </c>
      <c r="M217" s="340" t="s">
        <v>5888</v>
      </c>
      <c r="N217" s="340" t="s">
        <v>5888</v>
      </c>
      <c r="O217" s="340" t="s">
        <v>5888</v>
      </c>
      <c r="P217" s="340"/>
      <c r="Q217" s="45" t="s">
        <v>6383</v>
      </c>
      <c r="R217" s="45"/>
      <c r="S217" s="45"/>
    </row>
    <row r="218" spans="1:19">
      <c r="A218" s="341" t="s">
        <v>7074</v>
      </c>
      <c r="B218" s="340"/>
      <c r="C218" s="340"/>
      <c r="D218" s="340"/>
      <c r="E218" s="340"/>
      <c r="F218" s="340"/>
      <c r="G218" s="340"/>
      <c r="H218" s="340"/>
      <c r="I218" s="340"/>
      <c r="J218" s="340" t="s">
        <v>816</v>
      </c>
      <c r="K218" s="340"/>
      <c r="L218" s="340"/>
      <c r="M218" s="340"/>
      <c r="N218" s="340"/>
      <c r="O218" s="340"/>
      <c r="P218" s="340"/>
      <c r="Q218" s="343" t="s">
        <v>7075</v>
      </c>
      <c r="R218" s="45"/>
      <c r="S218" s="45"/>
    </row>
    <row r="219" spans="1:19">
      <c r="A219" s="341" t="s">
        <v>6682</v>
      </c>
      <c r="B219" s="340" t="s">
        <v>5888</v>
      </c>
      <c r="C219" s="340"/>
      <c r="D219" s="340" t="s">
        <v>5888</v>
      </c>
      <c r="E219" s="340" t="s">
        <v>5888</v>
      </c>
      <c r="F219" s="340" t="s">
        <v>5888</v>
      </c>
      <c r="G219" s="340" t="s">
        <v>816</v>
      </c>
      <c r="H219" s="340" t="s">
        <v>816</v>
      </c>
      <c r="I219" s="340" t="s">
        <v>816</v>
      </c>
      <c r="J219" s="340" t="s">
        <v>816</v>
      </c>
      <c r="K219" s="340" t="s">
        <v>816</v>
      </c>
      <c r="L219" s="340" t="s">
        <v>816</v>
      </c>
      <c r="M219" s="340" t="s">
        <v>816</v>
      </c>
      <c r="N219" s="340" t="s">
        <v>5888</v>
      </c>
      <c r="O219" s="340" t="s">
        <v>5888</v>
      </c>
      <c r="P219" s="340"/>
      <c r="Q219" s="45" t="s">
        <v>6382</v>
      </c>
      <c r="R219" s="45"/>
      <c r="S219" s="45"/>
    </row>
    <row r="220" spans="1:19">
      <c r="A220" s="341" t="s">
        <v>6683</v>
      </c>
      <c r="B220" s="340" t="s">
        <v>5888</v>
      </c>
      <c r="C220" s="340"/>
      <c r="D220" s="340" t="s">
        <v>5888</v>
      </c>
      <c r="E220" s="340" t="s">
        <v>5888</v>
      </c>
      <c r="F220" s="340" t="s">
        <v>5888</v>
      </c>
      <c r="G220" s="340" t="s">
        <v>816</v>
      </c>
      <c r="H220" s="340" t="s">
        <v>816</v>
      </c>
      <c r="I220" s="340" t="s">
        <v>816</v>
      </c>
      <c r="J220" s="340" t="s">
        <v>816</v>
      </c>
      <c r="K220" s="340" t="s">
        <v>816</v>
      </c>
      <c r="L220" s="340" t="s">
        <v>816</v>
      </c>
      <c r="M220" s="340" t="s">
        <v>816</v>
      </c>
      <c r="N220" s="340" t="s">
        <v>5888</v>
      </c>
      <c r="O220" s="340" t="s">
        <v>5888</v>
      </c>
      <c r="P220" s="340"/>
      <c r="Q220" s="45" t="s">
        <v>5901</v>
      </c>
      <c r="R220" s="45"/>
      <c r="S220" s="45"/>
    </row>
    <row r="221" spans="1:19">
      <c r="A221" s="401" t="s">
        <v>9186</v>
      </c>
      <c r="B221" s="340"/>
      <c r="C221" s="340"/>
      <c r="D221" s="340"/>
      <c r="E221" s="340"/>
      <c r="F221" s="340"/>
      <c r="G221" s="340" t="s">
        <v>816</v>
      </c>
      <c r="H221" s="340"/>
      <c r="I221" s="340"/>
      <c r="J221" s="340"/>
      <c r="K221" s="340"/>
      <c r="L221" s="340"/>
      <c r="M221" s="340"/>
      <c r="N221" s="340"/>
      <c r="O221" s="340"/>
      <c r="P221" s="340"/>
      <c r="Q221" s="343" t="s">
        <v>9208</v>
      </c>
      <c r="R221" s="45"/>
      <c r="S221" s="45"/>
    </row>
    <row r="222" spans="1:19">
      <c r="A222" s="341" t="s">
        <v>6836</v>
      </c>
      <c r="B222" s="340" t="s">
        <v>5888</v>
      </c>
      <c r="C222" s="340"/>
      <c r="D222" s="340" t="s">
        <v>5888</v>
      </c>
      <c r="E222" s="340" t="s">
        <v>5888</v>
      </c>
      <c r="F222" s="340" t="s">
        <v>5888</v>
      </c>
      <c r="G222" s="340" t="s">
        <v>816</v>
      </c>
      <c r="H222" s="340" t="s">
        <v>5888</v>
      </c>
      <c r="I222" s="340" t="s">
        <v>5888</v>
      </c>
      <c r="J222" s="340" t="s">
        <v>5888</v>
      </c>
      <c r="K222" s="340"/>
      <c r="L222" s="340" t="s">
        <v>5888</v>
      </c>
      <c r="M222" s="340" t="s">
        <v>5888</v>
      </c>
      <c r="N222" s="340"/>
      <c r="O222" s="340" t="s">
        <v>5888</v>
      </c>
      <c r="P222" s="340"/>
      <c r="Q222" s="45" t="s">
        <v>6837</v>
      </c>
      <c r="R222" s="45"/>
      <c r="S222" s="45"/>
    </row>
    <row r="223" spans="1:19">
      <c r="A223" s="341" t="s">
        <v>6381</v>
      </c>
      <c r="B223" s="340"/>
      <c r="C223" s="340"/>
      <c r="D223" s="340"/>
      <c r="E223" s="340" t="s">
        <v>816</v>
      </c>
      <c r="F223" s="340"/>
      <c r="G223" s="340"/>
      <c r="H223" s="340"/>
      <c r="I223" s="340"/>
      <c r="J223" s="340"/>
      <c r="K223" s="340"/>
      <c r="L223" s="340"/>
      <c r="M223" s="340"/>
      <c r="N223" s="340"/>
      <c r="O223" s="340"/>
      <c r="P223" s="340"/>
      <c r="Q223" s="342" t="s">
        <v>6380</v>
      </c>
      <c r="R223" s="45"/>
      <c r="S223" s="45"/>
    </row>
    <row r="224" spans="1:19">
      <c r="A224" s="341" t="s">
        <v>6379</v>
      </c>
      <c r="B224" s="340" t="s">
        <v>5888</v>
      </c>
      <c r="C224" s="340" t="s">
        <v>816</v>
      </c>
      <c r="D224" s="340" t="s">
        <v>5888</v>
      </c>
      <c r="E224" s="340" t="s">
        <v>5888</v>
      </c>
      <c r="F224" s="340" t="s">
        <v>5888</v>
      </c>
      <c r="G224" s="340" t="s">
        <v>5888</v>
      </c>
      <c r="H224" s="340" t="s">
        <v>5888</v>
      </c>
      <c r="I224" s="340" t="s">
        <v>5888</v>
      </c>
      <c r="J224" s="340" t="s">
        <v>5888</v>
      </c>
      <c r="K224" s="340" t="s">
        <v>5888</v>
      </c>
      <c r="L224" s="340" t="s">
        <v>5888</v>
      </c>
      <c r="M224" s="340" t="s">
        <v>5888</v>
      </c>
      <c r="N224" s="340" t="s">
        <v>5888</v>
      </c>
      <c r="O224" s="340" t="s">
        <v>5888</v>
      </c>
      <c r="P224" s="340"/>
      <c r="Q224" s="45" t="s">
        <v>6378</v>
      </c>
      <c r="R224" s="45"/>
      <c r="S224" s="45"/>
    </row>
    <row r="225" spans="1:19">
      <c r="A225" s="341" t="s">
        <v>1573</v>
      </c>
      <c r="B225" s="340" t="s">
        <v>5888</v>
      </c>
      <c r="C225" s="340"/>
      <c r="D225" s="340" t="s">
        <v>5888</v>
      </c>
      <c r="E225" s="340" t="s">
        <v>5888</v>
      </c>
      <c r="F225" s="340" t="s">
        <v>5888</v>
      </c>
      <c r="G225" s="340" t="s">
        <v>5888</v>
      </c>
      <c r="H225" s="340" t="s">
        <v>5888</v>
      </c>
      <c r="I225" s="340" t="s">
        <v>5888</v>
      </c>
      <c r="J225" s="340" t="s">
        <v>816</v>
      </c>
      <c r="K225" s="340" t="s">
        <v>5888</v>
      </c>
      <c r="L225" s="340" t="s">
        <v>5888</v>
      </c>
      <c r="M225" s="340" t="s">
        <v>5888</v>
      </c>
      <c r="N225" s="340" t="s">
        <v>5888</v>
      </c>
      <c r="O225" s="340" t="s">
        <v>5888</v>
      </c>
      <c r="P225" s="340"/>
      <c r="Q225" s="45" t="s">
        <v>6377</v>
      </c>
      <c r="R225" s="45"/>
      <c r="S225" s="45"/>
    </row>
    <row r="226" spans="1:19">
      <c r="A226" s="341" t="s">
        <v>6684</v>
      </c>
      <c r="B226" s="340" t="s">
        <v>5888</v>
      </c>
      <c r="C226" s="340"/>
      <c r="D226" s="340" t="s">
        <v>5888</v>
      </c>
      <c r="E226" s="340" t="s">
        <v>5888</v>
      </c>
      <c r="F226" s="340" t="s">
        <v>5888</v>
      </c>
      <c r="G226" s="340" t="s">
        <v>5888</v>
      </c>
      <c r="H226" s="340" t="s">
        <v>5888</v>
      </c>
      <c r="I226" s="340" t="s">
        <v>5888</v>
      </c>
      <c r="J226" s="340" t="s">
        <v>816</v>
      </c>
      <c r="K226" s="340" t="s">
        <v>5888</v>
      </c>
      <c r="L226" s="340" t="s">
        <v>5888</v>
      </c>
      <c r="M226" s="340" t="s">
        <v>5888</v>
      </c>
      <c r="N226" s="340" t="s">
        <v>5888</v>
      </c>
      <c r="O226" s="340" t="s">
        <v>5888</v>
      </c>
      <c r="P226" s="340"/>
      <c r="Q226" s="45" t="s">
        <v>6376</v>
      </c>
      <c r="R226" s="45"/>
      <c r="S226" s="45"/>
    </row>
    <row r="227" spans="1:19">
      <c r="A227" s="341" t="s">
        <v>6375</v>
      </c>
      <c r="B227" s="340" t="s">
        <v>5888</v>
      </c>
      <c r="C227" s="340" t="s">
        <v>816</v>
      </c>
      <c r="D227" s="340" t="s">
        <v>5888</v>
      </c>
      <c r="E227" s="340" t="s">
        <v>5888</v>
      </c>
      <c r="F227" s="340" t="s">
        <v>5888</v>
      </c>
      <c r="G227" s="340" t="s">
        <v>5888</v>
      </c>
      <c r="H227" s="340" t="s">
        <v>5888</v>
      </c>
      <c r="I227" s="340" t="s">
        <v>5888</v>
      </c>
      <c r="J227" s="340" t="s">
        <v>5888</v>
      </c>
      <c r="K227" s="340" t="s">
        <v>5888</v>
      </c>
      <c r="L227" s="340" t="s">
        <v>5888</v>
      </c>
      <c r="M227" s="340" t="s">
        <v>5888</v>
      </c>
      <c r="N227" s="340" t="s">
        <v>5888</v>
      </c>
      <c r="O227" s="340" t="s">
        <v>5888</v>
      </c>
      <c r="P227" s="340"/>
      <c r="Q227" s="45" t="s">
        <v>6374</v>
      </c>
      <c r="R227" s="45"/>
      <c r="S227" s="45"/>
    </row>
    <row r="228" spans="1:19">
      <c r="A228" s="341" t="s">
        <v>589</v>
      </c>
      <c r="B228" s="340" t="s">
        <v>5888</v>
      </c>
      <c r="C228" s="340"/>
      <c r="D228" s="340" t="s">
        <v>5888</v>
      </c>
      <c r="E228" s="340" t="s">
        <v>5888</v>
      </c>
      <c r="F228" s="340" t="s">
        <v>5888</v>
      </c>
      <c r="G228" s="340" t="s">
        <v>5888</v>
      </c>
      <c r="H228" s="340" t="s">
        <v>5888</v>
      </c>
      <c r="I228" s="340" t="s">
        <v>5888</v>
      </c>
      <c r="J228" s="340" t="s">
        <v>816</v>
      </c>
      <c r="K228" s="340" t="s">
        <v>816</v>
      </c>
      <c r="L228" s="340" t="s">
        <v>5888</v>
      </c>
      <c r="M228" s="340" t="s">
        <v>5888</v>
      </c>
      <c r="N228" s="340" t="s">
        <v>5888</v>
      </c>
      <c r="O228" s="340" t="s">
        <v>5888</v>
      </c>
      <c r="P228" s="340"/>
      <c r="Q228" s="45" t="s">
        <v>6373</v>
      </c>
      <c r="R228" s="45"/>
      <c r="S228" s="45"/>
    </row>
    <row r="229" spans="1:19">
      <c r="A229" s="341" t="s">
        <v>7460</v>
      </c>
      <c r="B229" s="340" t="s">
        <v>5888</v>
      </c>
      <c r="C229" s="340"/>
      <c r="D229" s="340"/>
      <c r="E229" s="340"/>
      <c r="F229" s="340" t="s">
        <v>5888</v>
      </c>
      <c r="G229" s="340" t="s">
        <v>5888</v>
      </c>
      <c r="H229" s="340" t="s">
        <v>5888</v>
      </c>
      <c r="I229" s="340" t="s">
        <v>5888</v>
      </c>
      <c r="J229" s="340" t="s">
        <v>816</v>
      </c>
      <c r="K229" s="340" t="s">
        <v>816</v>
      </c>
      <c r="L229" s="340" t="s">
        <v>5888</v>
      </c>
      <c r="M229" s="340" t="s">
        <v>5888</v>
      </c>
      <c r="N229" s="340" t="s">
        <v>5888</v>
      </c>
      <c r="O229" s="340" t="s">
        <v>5888</v>
      </c>
      <c r="P229" s="340"/>
      <c r="Q229" s="343" t="s">
        <v>7077</v>
      </c>
      <c r="R229" s="45"/>
      <c r="S229" s="45"/>
    </row>
    <row r="230" spans="1:19">
      <c r="A230" s="341" t="s">
        <v>7628</v>
      </c>
      <c r="B230" s="340" t="s">
        <v>5888</v>
      </c>
      <c r="C230" s="340"/>
      <c r="D230" s="340"/>
      <c r="E230" s="340"/>
      <c r="F230" s="340" t="s">
        <v>5888</v>
      </c>
      <c r="G230" s="340" t="s">
        <v>5888</v>
      </c>
      <c r="H230" s="340" t="s">
        <v>5888</v>
      </c>
      <c r="I230" s="340" t="s">
        <v>5888</v>
      </c>
      <c r="J230" s="340" t="s">
        <v>816</v>
      </c>
      <c r="K230" s="340" t="s">
        <v>816</v>
      </c>
      <c r="L230" s="340" t="s">
        <v>5888</v>
      </c>
      <c r="M230" s="340" t="s">
        <v>5888</v>
      </c>
      <c r="N230" s="340" t="s">
        <v>5888</v>
      </c>
      <c r="O230" s="340" t="s">
        <v>5888</v>
      </c>
      <c r="P230" s="340"/>
      <c r="Q230" s="343" t="s">
        <v>7627</v>
      </c>
      <c r="R230" s="45"/>
      <c r="S230" s="45"/>
    </row>
    <row r="231" spans="1:19">
      <c r="A231" s="341" t="s">
        <v>7630</v>
      </c>
      <c r="B231" s="340" t="s">
        <v>5888</v>
      </c>
      <c r="C231" s="340"/>
      <c r="D231" s="340"/>
      <c r="E231" s="340"/>
      <c r="F231" s="340" t="s">
        <v>5888</v>
      </c>
      <c r="G231" s="340" t="s">
        <v>5888</v>
      </c>
      <c r="H231" s="340" t="s">
        <v>5888</v>
      </c>
      <c r="I231" s="340" t="s">
        <v>5888</v>
      </c>
      <c r="J231" s="340" t="s">
        <v>816</v>
      </c>
      <c r="K231" s="340" t="s">
        <v>816</v>
      </c>
      <c r="L231" s="340" t="s">
        <v>5888</v>
      </c>
      <c r="M231" s="340" t="s">
        <v>5888</v>
      </c>
      <c r="N231" s="340" t="s">
        <v>5888</v>
      </c>
      <c r="O231" s="340" t="s">
        <v>5888</v>
      </c>
      <c r="P231" s="340"/>
      <c r="Q231" s="343" t="s">
        <v>7629</v>
      </c>
      <c r="R231" s="45"/>
      <c r="S231" s="45"/>
    </row>
    <row r="232" spans="1:19">
      <c r="A232" s="341" t="s">
        <v>6685</v>
      </c>
      <c r="B232" s="340" t="s">
        <v>5888</v>
      </c>
      <c r="C232" s="340"/>
      <c r="D232" s="340" t="s">
        <v>5888</v>
      </c>
      <c r="E232" s="340" t="s">
        <v>5888</v>
      </c>
      <c r="F232" s="340" t="s">
        <v>5888</v>
      </c>
      <c r="G232" s="340" t="s">
        <v>5888</v>
      </c>
      <c r="H232" s="340" t="s">
        <v>5888</v>
      </c>
      <c r="I232" s="340" t="s">
        <v>5888</v>
      </c>
      <c r="J232" s="340" t="s">
        <v>816</v>
      </c>
      <c r="K232" s="340" t="s">
        <v>816</v>
      </c>
      <c r="L232" s="340" t="s">
        <v>5888</v>
      </c>
      <c r="M232" s="340" t="s">
        <v>5888</v>
      </c>
      <c r="N232" s="340" t="s">
        <v>5888</v>
      </c>
      <c r="O232" s="340" t="s">
        <v>5888</v>
      </c>
      <c r="P232" s="340"/>
      <c r="Q232" s="45" t="s">
        <v>6372</v>
      </c>
      <c r="R232" s="45"/>
      <c r="S232" s="45"/>
    </row>
    <row r="233" spans="1:19">
      <c r="A233" s="341" t="s">
        <v>6686</v>
      </c>
      <c r="B233" s="340" t="s">
        <v>5888</v>
      </c>
      <c r="C233" s="340"/>
      <c r="D233" s="340" t="s">
        <v>5888</v>
      </c>
      <c r="E233" s="340" t="s">
        <v>5888</v>
      </c>
      <c r="F233" s="340" t="s">
        <v>5888</v>
      </c>
      <c r="G233" s="340" t="s">
        <v>5888</v>
      </c>
      <c r="H233" s="340" t="s">
        <v>5888</v>
      </c>
      <c r="I233" s="340" t="s">
        <v>5888</v>
      </c>
      <c r="J233" s="340" t="s">
        <v>816</v>
      </c>
      <c r="K233" s="340" t="s">
        <v>816</v>
      </c>
      <c r="L233" s="340" t="s">
        <v>5888</v>
      </c>
      <c r="M233" s="340" t="s">
        <v>5888</v>
      </c>
      <c r="N233" s="340" t="s">
        <v>5888</v>
      </c>
      <c r="O233" s="340" t="s">
        <v>5888</v>
      </c>
      <c r="P233" s="340"/>
      <c r="Q233" s="45" t="s">
        <v>6371</v>
      </c>
      <c r="R233" s="45"/>
      <c r="S233" s="45"/>
    </row>
    <row r="234" spans="1:19">
      <c r="A234" s="341" t="s">
        <v>6370</v>
      </c>
      <c r="B234" s="340" t="s">
        <v>5888</v>
      </c>
      <c r="C234" s="340"/>
      <c r="D234" s="340" t="s">
        <v>816</v>
      </c>
      <c r="E234" s="340" t="s">
        <v>5888</v>
      </c>
      <c r="F234" s="340" t="s">
        <v>5888</v>
      </c>
      <c r="G234" s="340" t="s">
        <v>5888</v>
      </c>
      <c r="H234" s="340" t="s">
        <v>5888</v>
      </c>
      <c r="I234" s="340" t="s">
        <v>5888</v>
      </c>
      <c r="J234" s="340" t="s">
        <v>5888</v>
      </c>
      <c r="K234" s="340" t="s">
        <v>5888</v>
      </c>
      <c r="L234" s="340" t="s">
        <v>5888</v>
      </c>
      <c r="M234" s="340" t="s">
        <v>5888</v>
      </c>
      <c r="N234" s="340" t="s">
        <v>5888</v>
      </c>
      <c r="O234" s="340" t="s">
        <v>5888</v>
      </c>
      <c r="P234" s="340"/>
      <c r="Q234" s="45" t="s">
        <v>6369</v>
      </c>
      <c r="R234" s="45"/>
      <c r="S234" s="45"/>
    </row>
    <row r="235" spans="1:19">
      <c r="A235" s="341" t="s">
        <v>1477</v>
      </c>
      <c r="B235" s="340" t="s">
        <v>5888</v>
      </c>
      <c r="C235" s="340"/>
      <c r="D235" s="340" t="s">
        <v>816</v>
      </c>
      <c r="E235" s="340" t="s">
        <v>5888</v>
      </c>
      <c r="F235" s="340" t="s">
        <v>5888</v>
      </c>
      <c r="G235" s="340" t="s">
        <v>5888</v>
      </c>
      <c r="H235" s="340" t="s">
        <v>5888</v>
      </c>
      <c r="I235" s="340" t="s">
        <v>5888</v>
      </c>
      <c r="J235" s="340" t="s">
        <v>5888</v>
      </c>
      <c r="K235" s="340" t="s">
        <v>5888</v>
      </c>
      <c r="L235" s="340" t="s">
        <v>5888</v>
      </c>
      <c r="M235" s="340" t="s">
        <v>5888</v>
      </c>
      <c r="N235" s="340" t="s">
        <v>5888</v>
      </c>
      <c r="O235" s="340" t="s">
        <v>5888</v>
      </c>
      <c r="P235" s="340"/>
      <c r="Q235" s="45" t="s">
        <v>6368</v>
      </c>
      <c r="R235" s="45"/>
      <c r="S235" s="45"/>
    </row>
    <row r="236" spans="1:19">
      <c r="A236" s="341" t="s">
        <v>583</v>
      </c>
      <c r="B236" s="340" t="s">
        <v>5888</v>
      </c>
      <c r="C236" s="340"/>
      <c r="D236" s="340" t="s">
        <v>816</v>
      </c>
      <c r="E236" s="340" t="s">
        <v>5888</v>
      </c>
      <c r="F236" s="340" t="s">
        <v>5888</v>
      </c>
      <c r="G236" s="340" t="s">
        <v>5888</v>
      </c>
      <c r="H236" s="340" t="s">
        <v>5888</v>
      </c>
      <c r="I236" s="340" t="s">
        <v>5888</v>
      </c>
      <c r="J236" s="340" t="s">
        <v>5888</v>
      </c>
      <c r="K236" s="340" t="s">
        <v>5888</v>
      </c>
      <c r="L236" s="340" t="s">
        <v>5888</v>
      </c>
      <c r="M236" s="340" t="s">
        <v>5888</v>
      </c>
      <c r="N236" s="340" t="s">
        <v>5888</v>
      </c>
      <c r="O236" s="340" t="s">
        <v>5888</v>
      </c>
      <c r="P236" s="340"/>
      <c r="Q236" s="45" t="s">
        <v>6367</v>
      </c>
      <c r="R236" s="45"/>
      <c r="S236" s="45"/>
    </row>
    <row r="237" spans="1:19">
      <c r="A237" s="341" t="s">
        <v>6687</v>
      </c>
      <c r="B237" s="340" t="s">
        <v>5888</v>
      </c>
      <c r="C237" s="340"/>
      <c r="D237" s="340" t="s">
        <v>816</v>
      </c>
      <c r="E237" s="340" t="s">
        <v>5888</v>
      </c>
      <c r="F237" s="340" t="s">
        <v>5888</v>
      </c>
      <c r="G237" s="340" t="s">
        <v>5888</v>
      </c>
      <c r="H237" s="340" t="s">
        <v>5888</v>
      </c>
      <c r="I237" s="340" t="s">
        <v>5888</v>
      </c>
      <c r="J237" s="340" t="s">
        <v>5888</v>
      </c>
      <c r="K237" s="340" t="s">
        <v>5888</v>
      </c>
      <c r="L237" s="340" t="s">
        <v>5888</v>
      </c>
      <c r="M237" s="340" t="s">
        <v>5888</v>
      </c>
      <c r="N237" s="340" t="s">
        <v>5888</v>
      </c>
      <c r="O237" s="340" t="s">
        <v>5888</v>
      </c>
      <c r="P237" s="340"/>
      <c r="Q237" s="45" t="s">
        <v>6366</v>
      </c>
      <c r="R237" s="45"/>
      <c r="S237" s="45"/>
    </row>
    <row r="238" spans="1:19">
      <c r="A238" s="341" t="s">
        <v>6365</v>
      </c>
      <c r="B238" s="340" t="s">
        <v>5888</v>
      </c>
      <c r="C238" s="340"/>
      <c r="D238" s="340" t="s">
        <v>816</v>
      </c>
      <c r="E238" s="340" t="s">
        <v>5888</v>
      </c>
      <c r="F238" s="340" t="s">
        <v>5888</v>
      </c>
      <c r="G238" s="340" t="s">
        <v>5888</v>
      </c>
      <c r="H238" s="340" t="s">
        <v>5888</v>
      </c>
      <c r="I238" s="340" t="s">
        <v>5888</v>
      </c>
      <c r="J238" s="340" t="s">
        <v>5888</v>
      </c>
      <c r="K238" s="340" t="s">
        <v>5888</v>
      </c>
      <c r="L238" s="340" t="s">
        <v>5888</v>
      </c>
      <c r="M238" s="340" t="s">
        <v>5888</v>
      </c>
      <c r="N238" s="340" t="s">
        <v>5888</v>
      </c>
      <c r="O238" s="340" t="s">
        <v>5888</v>
      </c>
      <c r="P238" s="340"/>
      <c r="Q238" s="45" t="s">
        <v>6364</v>
      </c>
      <c r="R238" s="45"/>
      <c r="S238" s="45"/>
    </row>
    <row r="239" spans="1:19">
      <c r="A239" s="341" t="s">
        <v>6363</v>
      </c>
      <c r="B239" s="340" t="s">
        <v>5888</v>
      </c>
      <c r="C239" s="340"/>
      <c r="D239" s="340" t="s">
        <v>816</v>
      </c>
      <c r="E239" s="340" t="s">
        <v>5888</v>
      </c>
      <c r="F239" s="340" t="s">
        <v>5888</v>
      </c>
      <c r="G239" s="340" t="s">
        <v>5888</v>
      </c>
      <c r="H239" s="340" t="s">
        <v>5888</v>
      </c>
      <c r="I239" s="340" t="s">
        <v>5888</v>
      </c>
      <c r="J239" s="340" t="s">
        <v>5888</v>
      </c>
      <c r="K239" s="340" t="s">
        <v>5888</v>
      </c>
      <c r="L239" s="340" t="s">
        <v>5888</v>
      </c>
      <c r="M239" s="340" t="s">
        <v>5888</v>
      </c>
      <c r="N239" s="340" t="s">
        <v>5888</v>
      </c>
      <c r="O239" s="340" t="s">
        <v>5888</v>
      </c>
      <c r="P239" s="340"/>
      <c r="Q239" s="45" t="s">
        <v>6362</v>
      </c>
      <c r="R239" s="45"/>
      <c r="S239" s="45"/>
    </row>
    <row r="240" spans="1:19">
      <c r="A240" s="341" t="s">
        <v>6361</v>
      </c>
      <c r="B240" s="340" t="s">
        <v>5888</v>
      </c>
      <c r="C240" s="340"/>
      <c r="D240" s="340" t="s">
        <v>5888</v>
      </c>
      <c r="E240" s="340" t="s">
        <v>5888</v>
      </c>
      <c r="F240" s="340" t="s">
        <v>5888</v>
      </c>
      <c r="G240" s="340" t="s">
        <v>5888</v>
      </c>
      <c r="H240" s="340" t="s">
        <v>5888</v>
      </c>
      <c r="I240" s="340" t="s">
        <v>5888</v>
      </c>
      <c r="J240" s="340" t="s">
        <v>5888</v>
      </c>
      <c r="K240" s="340" t="s">
        <v>816</v>
      </c>
      <c r="L240" s="340" t="s">
        <v>5888</v>
      </c>
      <c r="M240" s="340" t="s">
        <v>5888</v>
      </c>
      <c r="N240" s="340" t="s">
        <v>5888</v>
      </c>
      <c r="O240" s="340" t="s">
        <v>5888</v>
      </c>
      <c r="P240" s="340"/>
      <c r="Q240" s="45" t="s">
        <v>6360</v>
      </c>
      <c r="R240" s="45"/>
      <c r="S240" s="45"/>
    </row>
    <row r="241" spans="1:19">
      <c r="A241" s="341" t="s">
        <v>9846</v>
      </c>
      <c r="B241" s="340"/>
      <c r="C241" s="340"/>
      <c r="D241" s="340"/>
      <c r="E241" s="340"/>
      <c r="F241" s="340"/>
      <c r="G241" s="340"/>
      <c r="H241" s="340"/>
      <c r="I241" s="340"/>
      <c r="J241" s="340" t="s">
        <v>816</v>
      </c>
      <c r="K241" s="340" t="s">
        <v>816</v>
      </c>
      <c r="L241" s="340"/>
      <c r="M241" s="340"/>
      <c r="N241" s="340"/>
      <c r="O241" s="340"/>
      <c r="P241" s="340"/>
      <c r="Q241" s="343" t="s">
        <v>9845</v>
      </c>
      <c r="R241" s="45"/>
      <c r="S241" s="45"/>
    </row>
    <row r="242" spans="1:19">
      <c r="A242" s="341" t="s">
        <v>1721</v>
      </c>
      <c r="B242" s="340" t="s">
        <v>5888</v>
      </c>
      <c r="C242" s="340"/>
      <c r="D242" s="340" t="s">
        <v>5888</v>
      </c>
      <c r="E242" s="340" t="s">
        <v>5888</v>
      </c>
      <c r="F242" s="340" t="s">
        <v>5888</v>
      </c>
      <c r="G242" s="340" t="s">
        <v>5888</v>
      </c>
      <c r="H242" s="340" t="s">
        <v>5888</v>
      </c>
      <c r="I242" s="340" t="s">
        <v>5888</v>
      </c>
      <c r="J242" s="340" t="s">
        <v>5888</v>
      </c>
      <c r="K242" s="340" t="s">
        <v>816</v>
      </c>
      <c r="L242" s="340" t="s">
        <v>5888</v>
      </c>
      <c r="M242" s="340" t="s">
        <v>5888</v>
      </c>
      <c r="N242" s="340" t="s">
        <v>5888</v>
      </c>
      <c r="O242" s="340" t="s">
        <v>5888</v>
      </c>
      <c r="P242" s="340"/>
      <c r="Q242" s="45" t="s">
        <v>6359</v>
      </c>
      <c r="R242" s="45"/>
      <c r="S242" s="45"/>
    </row>
    <row r="243" spans="1:19">
      <c r="A243" s="341" t="s">
        <v>6358</v>
      </c>
      <c r="B243" s="340" t="s">
        <v>5888</v>
      </c>
      <c r="C243" s="340"/>
      <c r="D243" s="340" t="s">
        <v>5888</v>
      </c>
      <c r="E243" s="340" t="s">
        <v>5888</v>
      </c>
      <c r="F243" s="340" t="s">
        <v>5888</v>
      </c>
      <c r="G243" s="340" t="s">
        <v>5888</v>
      </c>
      <c r="H243" s="340" t="s">
        <v>5888</v>
      </c>
      <c r="I243" s="340" t="s">
        <v>5888</v>
      </c>
      <c r="J243" s="340" t="s">
        <v>816</v>
      </c>
      <c r="K243" s="340" t="s">
        <v>5888</v>
      </c>
      <c r="L243" s="340" t="s">
        <v>5888</v>
      </c>
      <c r="M243" s="340" t="s">
        <v>5888</v>
      </c>
      <c r="N243" s="340" t="s">
        <v>5888</v>
      </c>
      <c r="O243" s="340" t="s">
        <v>5888</v>
      </c>
      <c r="P243" s="340"/>
      <c r="Q243" s="45" t="s">
        <v>6357</v>
      </c>
      <c r="R243" s="45"/>
      <c r="S243" s="45"/>
    </row>
    <row r="244" spans="1:19">
      <c r="A244" s="341" t="s">
        <v>6358</v>
      </c>
      <c r="B244" s="340" t="s">
        <v>5888</v>
      </c>
      <c r="C244" s="340"/>
      <c r="D244" s="340" t="s">
        <v>5888</v>
      </c>
      <c r="E244" s="340" t="s">
        <v>5888</v>
      </c>
      <c r="F244" s="340" t="s">
        <v>5888</v>
      </c>
      <c r="G244" s="340" t="s">
        <v>5888</v>
      </c>
      <c r="H244" s="340" t="s">
        <v>5888</v>
      </c>
      <c r="I244" s="340" t="s">
        <v>5888</v>
      </c>
      <c r="J244" s="340" t="s">
        <v>816</v>
      </c>
      <c r="K244" s="340" t="s">
        <v>5888</v>
      </c>
      <c r="L244" s="340" t="s">
        <v>5888</v>
      </c>
      <c r="M244" s="340" t="s">
        <v>5888</v>
      </c>
      <c r="N244" s="340" t="s">
        <v>5888</v>
      </c>
      <c r="O244" s="340" t="s">
        <v>5888</v>
      </c>
      <c r="P244" s="340"/>
      <c r="Q244" s="45" t="s">
        <v>6356</v>
      </c>
      <c r="R244" s="45"/>
      <c r="S244" s="45"/>
    </row>
    <row r="245" spans="1:19">
      <c r="A245" s="341" t="s">
        <v>9818</v>
      </c>
      <c r="B245" s="340"/>
      <c r="C245" s="340"/>
      <c r="D245" s="340"/>
      <c r="E245" s="340"/>
      <c r="F245" s="340"/>
      <c r="G245" s="340"/>
      <c r="H245" s="340"/>
      <c r="I245" s="340"/>
      <c r="J245" s="340"/>
      <c r="K245" s="340" t="s">
        <v>816</v>
      </c>
      <c r="L245" s="340"/>
      <c r="M245" s="340"/>
      <c r="N245" s="340"/>
      <c r="O245" s="340"/>
      <c r="P245" s="340"/>
      <c r="Q245" s="343" t="s">
        <v>9819</v>
      </c>
      <c r="R245" s="45"/>
      <c r="S245" s="45"/>
    </row>
    <row r="246" spans="1:19">
      <c r="A246" s="341" t="s">
        <v>8290</v>
      </c>
      <c r="B246" s="340"/>
      <c r="C246" s="340"/>
      <c r="D246" s="340"/>
      <c r="E246" s="340"/>
      <c r="F246" s="340"/>
      <c r="G246" s="340"/>
      <c r="H246" s="340"/>
      <c r="I246" s="340"/>
      <c r="J246" s="340"/>
      <c r="K246" s="340"/>
      <c r="L246" s="340"/>
      <c r="M246" s="340"/>
      <c r="N246" s="340"/>
      <c r="O246" s="340"/>
      <c r="P246" s="340" t="s">
        <v>816</v>
      </c>
      <c r="Q246" s="45" t="s">
        <v>8285</v>
      </c>
      <c r="R246" s="45"/>
      <c r="S246" s="45"/>
    </row>
    <row r="247" spans="1:19">
      <c r="A247" s="341" t="s">
        <v>8689</v>
      </c>
      <c r="B247" s="340"/>
      <c r="C247" s="340"/>
      <c r="D247" s="340"/>
      <c r="E247" s="340"/>
      <c r="F247" s="340"/>
      <c r="G247" s="340"/>
      <c r="H247" s="340" t="s">
        <v>816</v>
      </c>
      <c r="I247" s="340"/>
      <c r="J247" s="340"/>
      <c r="K247" s="340"/>
      <c r="L247" s="340"/>
      <c r="M247" s="340"/>
      <c r="N247" s="340"/>
      <c r="O247" s="340"/>
      <c r="P247" s="340"/>
      <c r="Q247" s="343" t="s">
        <v>8690</v>
      </c>
      <c r="R247" s="45"/>
      <c r="S247" s="45"/>
    </row>
    <row r="248" spans="1:19">
      <c r="A248" s="341" t="s">
        <v>6355</v>
      </c>
      <c r="B248" s="340" t="s">
        <v>5888</v>
      </c>
      <c r="C248" s="340"/>
      <c r="D248" s="340" t="s">
        <v>5888</v>
      </c>
      <c r="E248" s="340" t="s">
        <v>5888</v>
      </c>
      <c r="F248" s="340" t="s">
        <v>5888</v>
      </c>
      <c r="G248" s="340" t="s">
        <v>5888</v>
      </c>
      <c r="H248" s="340" t="s">
        <v>5888</v>
      </c>
      <c r="I248" s="340" t="s">
        <v>816</v>
      </c>
      <c r="J248" s="340" t="s">
        <v>5888</v>
      </c>
      <c r="K248" s="340" t="s">
        <v>5888</v>
      </c>
      <c r="L248" s="340" t="s">
        <v>5888</v>
      </c>
      <c r="M248" s="340" t="s">
        <v>5888</v>
      </c>
      <c r="N248" s="340" t="s">
        <v>5888</v>
      </c>
      <c r="O248" s="340" t="s">
        <v>5888</v>
      </c>
      <c r="P248" s="340"/>
      <c r="Q248" s="45" t="s">
        <v>6354</v>
      </c>
      <c r="R248" s="45"/>
      <c r="S248" s="45"/>
    </row>
    <row r="249" spans="1:19">
      <c r="A249" s="341" t="s">
        <v>6353</v>
      </c>
      <c r="B249" s="340" t="s">
        <v>5888</v>
      </c>
      <c r="C249" s="340"/>
      <c r="D249" s="340" t="s">
        <v>5888</v>
      </c>
      <c r="E249" s="340" t="s">
        <v>5888</v>
      </c>
      <c r="F249" s="340" t="s">
        <v>5888</v>
      </c>
      <c r="G249" s="340" t="s">
        <v>816</v>
      </c>
      <c r="H249" s="340" t="s">
        <v>5888</v>
      </c>
      <c r="I249" s="340" t="s">
        <v>5888</v>
      </c>
      <c r="J249" s="340" t="s">
        <v>5888</v>
      </c>
      <c r="K249" s="340" t="s">
        <v>816</v>
      </c>
      <c r="L249" s="340" t="s">
        <v>5888</v>
      </c>
      <c r="M249" s="340" t="s">
        <v>5888</v>
      </c>
      <c r="N249" s="340" t="s">
        <v>5888</v>
      </c>
      <c r="O249" s="340" t="s">
        <v>5888</v>
      </c>
      <c r="P249" s="340"/>
      <c r="Q249" s="45" t="s">
        <v>6352</v>
      </c>
      <c r="R249" s="45"/>
      <c r="S249" s="45"/>
    </row>
    <row r="250" spans="1:19">
      <c r="A250" s="341" t="s">
        <v>2045</v>
      </c>
      <c r="B250" s="340" t="s">
        <v>5888</v>
      </c>
      <c r="C250" s="345" t="s">
        <v>816</v>
      </c>
      <c r="D250" s="340" t="s">
        <v>5888</v>
      </c>
      <c r="E250" s="340" t="s">
        <v>5888</v>
      </c>
      <c r="F250" s="340" t="s">
        <v>5888</v>
      </c>
      <c r="G250" s="340" t="s">
        <v>5888</v>
      </c>
      <c r="H250" s="340" t="s">
        <v>5888</v>
      </c>
      <c r="I250" s="340" t="s">
        <v>5888</v>
      </c>
      <c r="J250" s="340" t="s">
        <v>5888</v>
      </c>
      <c r="K250" s="340" t="s">
        <v>5888</v>
      </c>
      <c r="L250" s="340" t="s">
        <v>5888</v>
      </c>
      <c r="M250" s="340" t="s">
        <v>5888</v>
      </c>
      <c r="N250" s="340" t="s">
        <v>5888</v>
      </c>
      <c r="O250" s="340" t="s">
        <v>5888</v>
      </c>
      <c r="P250" s="340"/>
      <c r="Q250" s="524" t="s">
        <v>6351</v>
      </c>
      <c r="R250" s="45"/>
      <c r="S250" s="45"/>
    </row>
    <row r="251" spans="1:19">
      <c r="A251" s="341" t="s">
        <v>6350</v>
      </c>
      <c r="B251" s="340" t="s">
        <v>5888</v>
      </c>
      <c r="C251" s="340"/>
      <c r="D251" s="340" t="s">
        <v>5888</v>
      </c>
      <c r="E251" s="340" t="s">
        <v>5888</v>
      </c>
      <c r="F251" s="340" t="s">
        <v>5888</v>
      </c>
      <c r="G251" s="340" t="s">
        <v>816</v>
      </c>
      <c r="H251" s="340" t="s">
        <v>5888</v>
      </c>
      <c r="I251" s="340" t="s">
        <v>5888</v>
      </c>
      <c r="J251" s="340" t="s">
        <v>5888</v>
      </c>
      <c r="K251" s="340" t="s">
        <v>5888</v>
      </c>
      <c r="L251" s="340" t="s">
        <v>5888</v>
      </c>
      <c r="M251" s="340" t="s">
        <v>5888</v>
      </c>
      <c r="N251" s="340" t="s">
        <v>5888</v>
      </c>
      <c r="O251" s="340" t="s">
        <v>5888</v>
      </c>
      <c r="P251" s="340"/>
      <c r="Q251" s="45" t="s">
        <v>6349</v>
      </c>
      <c r="R251" s="45"/>
      <c r="S251" s="344"/>
    </row>
    <row r="252" spans="1:19">
      <c r="A252" s="341" t="s">
        <v>6348</v>
      </c>
      <c r="B252" s="340"/>
      <c r="C252" s="340"/>
      <c r="D252" s="340"/>
      <c r="E252" s="340" t="s">
        <v>816</v>
      </c>
      <c r="F252" s="340"/>
      <c r="G252" s="340"/>
      <c r="H252" s="340"/>
      <c r="I252" s="340"/>
      <c r="J252" s="340"/>
      <c r="K252" s="340"/>
      <c r="L252" s="340"/>
      <c r="M252" s="340"/>
      <c r="N252" s="340"/>
      <c r="O252" s="340"/>
      <c r="P252" s="340"/>
      <c r="Q252" s="45" t="s">
        <v>6347</v>
      </c>
      <c r="R252" s="45"/>
      <c r="S252" s="344"/>
    </row>
    <row r="253" spans="1:19">
      <c r="A253" s="341" t="s">
        <v>820</v>
      </c>
      <c r="B253" s="340" t="s">
        <v>5888</v>
      </c>
      <c r="C253" s="340"/>
      <c r="D253" s="340" t="s">
        <v>5888</v>
      </c>
      <c r="E253" s="340" t="s">
        <v>5888</v>
      </c>
      <c r="F253" s="340" t="s">
        <v>5888</v>
      </c>
      <c r="G253" s="340" t="s">
        <v>5888</v>
      </c>
      <c r="H253" s="340" t="s">
        <v>5888</v>
      </c>
      <c r="I253" s="340" t="s">
        <v>816</v>
      </c>
      <c r="J253" s="340" t="s">
        <v>5888</v>
      </c>
      <c r="K253" s="340" t="s">
        <v>5888</v>
      </c>
      <c r="L253" s="340" t="s">
        <v>5888</v>
      </c>
      <c r="M253" s="340" t="s">
        <v>5888</v>
      </c>
      <c r="N253" s="340" t="s">
        <v>5888</v>
      </c>
      <c r="O253" s="340" t="s">
        <v>5888</v>
      </c>
      <c r="P253" s="340"/>
      <c r="Q253" s="342" t="s">
        <v>6346</v>
      </c>
      <c r="R253" s="45"/>
      <c r="S253" s="344"/>
    </row>
    <row r="254" spans="1:19">
      <c r="A254" s="341" t="s">
        <v>7345</v>
      </c>
      <c r="B254" s="340"/>
      <c r="C254" s="340"/>
      <c r="D254" s="340"/>
      <c r="E254" s="340"/>
      <c r="F254" s="340"/>
      <c r="G254" s="340" t="s">
        <v>816</v>
      </c>
      <c r="H254" s="340" t="s">
        <v>816</v>
      </c>
      <c r="I254" s="340" t="s">
        <v>816</v>
      </c>
      <c r="J254" s="340" t="s">
        <v>816</v>
      </c>
      <c r="K254" s="340" t="s">
        <v>816</v>
      </c>
      <c r="L254" s="340"/>
      <c r="M254" s="340"/>
      <c r="N254" s="340"/>
      <c r="O254" s="340"/>
      <c r="P254" s="340"/>
      <c r="Q254" s="343" t="s">
        <v>7344</v>
      </c>
      <c r="R254" s="45"/>
      <c r="S254" s="344"/>
    </row>
    <row r="255" spans="1:19">
      <c r="A255" s="341" t="s">
        <v>608</v>
      </c>
      <c r="B255" s="340" t="s">
        <v>5888</v>
      </c>
      <c r="C255" s="340"/>
      <c r="D255" s="340" t="s">
        <v>5888</v>
      </c>
      <c r="E255" s="340" t="s">
        <v>5888</v>
      </c>
      <c r="F255" s="340" t="s">
        <v>5888</v>
      </c>
      <c r="G255" s="340" t="s">
        <v>5888</v>
      </c>
      <c r="H255" s="340" t="s">
        <v>5888</v>
      </c>
      <c r="I255" s="340" t="s">
        <v>5888</v>
      </c>
      <c r="J255" s="340" t="s">
        <v>816</v>
      </c>
      <c r="K255" s="340" t="s">
        <v>816</v>
      </c>
      <c r="L255" s="340" t="s">
        <v>5888</v>
      </c>
      <c r="M255" s="340" t="s">
        <v>5888</v>
      </c>
      <c r="N255" s="340" t="s">
        <v>5888</v>
      </c>
      <c r="O255" s="340" t="s">
        <v>5888</v>
      </c>
      <c r="P255" s="340"/>
      <c r="Q255" s="45" t="s">
        <v>6345</v>
      </c>
      <c r="R255" s="45"/>
      <c r="S255" s="344"/>
    </row>
    <row r="256" spans="1:19">
      <c r="A256" s="341" t="s">
        <v>6688</v>
      </c>
      <c r="B256" s="340" t="s">
        <v>5888</v>
      </c>
      <c r="C256" s="340"/>
      <c r="D256" s="340" t="s">
        <v>5888</v>
      </c>
      <c r="E256" s="340" t="s">
        <v>5888</v>
      </c>
      <c r="F256" s="340" t="s">
        <v>5888</v>
      </c>
      <c r="G256" s="340" t="s">
        <v>5888</v>
      </c>
      <c r="H256" s="340" t="s">
        <v>5888</v>
      </c>
      <c r="I256" s="340" t="s">
        <v>5888</v>
      </c>
      <c r="J256" s="340" t="s">
        <v>816</v>
      </c>
      <c r="K256" s="340" t="s">
        <v>816</v>
      </c>
      <c r="L256" s="340" t="s">
        <v>5888</v>
      </c>
      <c r="M256" s="340" t="s">
        <v>5888</v>
      </c>
      <c r="N256" s="340" t="s">
        <v>5888</v>
      </c>
      <c r="O256" s="340" t="s">
        <v>5888</v>
      </c>
      <c r="P256" s="340"/>
      <c r="Q256" s="45" t="s">
        <v>6196</v>
      </c>
      <c r="R256" s="45"/>
      <c r="S256" s="344"/>
    </row>
    <row r="257" spans="1:19">
      <c r="A257" s="341" t="s">
        <v>6344</v>
      </c>
      <c r="B257" s="340" t="s">
        <v>5888</v>
      </c>
      <c r="C257" s="340"/>
      <c r="D257" s="340" t="s">
        <v>816</v>
      </c>
      <c r="E257" s="340" t="s">
        <v>5888</v>
      </c>
      <c r="F257" s="340" t="s">
        <v>5888</v>
      </c>
      <c r="G257" s="340" t="s">
        <v>5888</v>
      </c>
      <c r="H257" s="340" t="s">
        <v>5888</v>
      </c>
      <c r="I257" s="340" t="s">
        <v>5888</v>
      </c>
      <c r="J257" s="340" t="s">
        <v>5888</v>
      </c>
      <c r="K257" s="340" t="s">
        <v>5888</v>
      </c>
      <c r="L257" s="340" t="s">
        <v>5888</v>
      </c>
      <c r="M257" s="340" t="s">
        <v>5888</v>
      </c>
      <c r="N257" s="340" t="s">
        <v>5888</v>
      </c>
      <c r="O257" s="340" t="s">
        <v>5888</v>
      </c>
      <c r="P257" s="340"/>
      <c r="Q257" s="45" t="s">
        <v>6343</v>
      </c>
      <c r="R257" s="45"/>
      <c r="S257" s="344"/>
    </row>
    <row r="258" spans="1:19">
      <c r="A258" s="341" t="s">
        <v>9197</v>
      </c>
      <c r="B258" s="340"/>
      <c r="C258" s="340"/>
      <c r="D258" s="340"/>
      <c r="E258" s="340"/>
      <c r="F258" s="340"/>
      <c r="G258" s="340"/>
      <c r="H258" s="340"/>
      <c r="I258" s="340"/>
      <c r="J258" s="340"/>
      <c r="K258" s="340" t="s">
        <v>816</v>
      </c>
      <c r="L258" s="340"/>
      <c r="M258" s="340"/>
      <c r="N258" s="340"/>
      <c r="O258" s="340"/>
      <c r="P258" s="340"/>
      <c r="Q258" s="343" t="s">
        <v>7407</v>
      </c>
      <c r="R258" s="45"/>
      <c r="S258" s="344"/>
    </row>
    <row r="259" spans="1:19">
      <c r="A259" s="341" t="s">
        <v>7406</v>
      </c>
      <c r="B259" s="340"/>
      <c r="C259" s="340"/>
      <c r="D259" s="340"/>
      <c r="E259" s="340"/>
      <c r="F259" s="340"/>
      <c r="G259" s="340"/>
      <c r="H259" s="340"/>
      <c r="I259" s="340" t="s">
        <v>816</v>
      </c>
      <c r="J259" s="340"/>
      <c r="K259" s="340" t="s">
        <v>816</v>
      </c>
      <c r="L259" s="340"/>
      <c r="M259" s="340"/>
      <c r="N259" s="340"/>
      <c r="O259" s="340"/>
      <c r="P259" s="340"/>
      <c r="Q259" s="343" t="s">
        <v>7407</v>
      </c>
      <c r="R259" s="45"/>
      <c r="S259" s="344"/>
    </row>
    <row r="260" spans="1:19">
      <c r="A260" s="341" t="s">
        <v>10730</v>
      </c>
      <c r="B260" s="340" t="s">
        <v>5888</v>
      </c>
      <c r="C260" s="340"/>
      <c r="D260" s="340" t="s">
        <v>5888</v>
      </c>
      <c r="E260" s="340" t="s">
        <v>5888</v>
      </c>
      <c r="F260" s="340" t="s">
        <v>5888</v>
      </c>
      <c r="G260" s="340" t="s">
        <v>816</v>
      </c>
      <c r="H260" s="340" t="s">
        <v>816</v>
      </c>
      <c r="I260" s="340" t="s">
        <v>5888</v>
      </c>
      <c r="J260" s="340" t="s">
        <v>5888</v>
      </c>
      <c r="K260" s="340" t="s">
        <v>816</v>
      </c>
      <c r="L260" s="340" t="s">
        <v>5888</v>
      </c>
      <c r="M260" s="340" t="s">
        <v>5888</v>
      </c>
      <c r="N260" s="340" t="s">
        <v>5888</v>
      </c>
      <c r="O260" s="340" t="s">
        <v>5888</v>
      </c>
      <c r="P260" s="340"/>
      <c r="Q260" s="45" t="s">
        <v>6342</v>
      </c>
      <c r="R260" s="45"/>
      <c r="S260" s="344"/>
    </row>
    <row r="261" spans="1:19">
      <c r="A261" s="341" t="s">
        <v>10729</v>
      </c>
      <c r="B261" s="340" t="s">
        <v>5888</v>
      </c>
      <c r="C261" s="340"/>
      <c r="D261" s="340" t="s">
        <v>5888</v>
      </c>
      <c r="E261" s="340" t="s">
        <v>5888</v>
      </c>
      <c r="F261" s="340" t="s">
        <v>5888</v>
      </c>
      <c r="G261" s="340" t="s">
        <v>816</v>
      </c>
      <c r="H261" s="340" t="s">
        <v>816</v>
      </c>
      <c r="I261" s="340" t="s">
        <v>5888</v>
      </c>
      <c r="J261" s="340" t="s">
        <v>5888</v>
      </c>
      <c r="K261" s="340" t="s">
        <v>816</v>
      </c>
      <c r="L261" s="340" t="s">
        <v>5888</v>
      </c>
      <c r="M261" s="340" t="s">
        <v>5888</v>
      </c>
      <c r="N261" s="340" t="s">
        <v>5888</v>
      </c>
      <c r="O261" s="340" t="s">
        <v>5888</v>
      </c>
      <c r="P261" s="340"/>
      <c r="Q261" s="343" t="s">
        <v>10728</v>
      </c>
      <c r="R261" s="45"/>
      <c r="S261" s="344"/>
    </row>
    <row r="262" spans="1:19">
      <c r="A262" s="341" t="s">
        <v>6341</v>
      </c>
      <c r="B262" s="340" t="s">
        <v>5888</v>
      </c>
      <c r="C262" s="340"/>
      <c r="D262" s="340" t="s">
        <v>5888</v>
      </c>
      <c r="E262" s="340" t="s">
        <v>5888</v>
      </c>
      <c r="F262" s="340" t="s">
        <v>5888</v>
      </c>
      <c r="G262" s="340" t="s">
        <v>5888</v>
      </c>
      <c r="H262" s="340" t="s">
        <v>816</v>
      </c>
      <c r="I262" s="340" t="s">
        <v>5888</v>
      </c>
      <c r="J262" s="340" t="s">
        <v>816</v>
      </c>
      <c r="K262" s="340" t="s">
        <v>816</v>
      </c>
      <c r="L262" s="340" t="s">
        <v>5888</v>
      </c>
      <c r="M262" s="340" t="s">
        <v>5888</v>
      </c>
      <c r="N262" s="340" t="s">
        <v>5888</v>
      </c>
      <c r="O262" s="340" t="s">
        <v>5888</v>
      </c>
      <c r="P262" s="340"/>
      <c r="Q262" s="45" t="s">
        <v>6340</v>
      </c>
      <c r="R262" s="45"/>
      <c r="S262" s="344"/>
    </row>
    <row r="263" spans="1:19">
      <c r="A263" s="341" t="s">
        <v>6339</v>
      </c>
      <c r="B263" s="340" t="s">
        <v>5888</v>
      </c>
      <c r="C263" s="340"/>
      <c r="D263" s="340" t="s">
        <v>5888</v>
      </c>
      <c r="E263" s="340" t="s">
        <v>5888</v>
      </c>
      <c r="F263" s="340" t="s">
        <v>5888</v>
      </c>
      <c r="G263" s="340" t="s">
        <v>5888</v>
      </c>
      <c r="H263" s="340" t="s">
        <v>5888</v>
      </c>
      <c r="I263" s="340" t="s">
        <v>5888</v>
      </c>
      <c r="J263" s="340" t="s">
        <v>816</v>
      </c>
      <c r="K263" s="340" t="s">
        <v>816</v>
      </c>
      <c r="L263" s="340" t="s">
        <v>5888</v>
      </c>
      <c r="M263" s="340" t="s">
        <v>5888</v>
      </c>
      <c r="N263" s="340" t="s">
        <v>5888</v>
      </c>
      <c r="O263" s="340" t="s">
        <v>5888</v>
      </c>
      <c r="P263" s="340"/>
      <c r="Q263" s="45" t="s">
        <v>6338</v>
      </c>
      <c r="R263" s="45"/>
      <c r="S263" s="344"/>
    </row>
    <row r="264" spans="1:19">
      <c r="A264" s="341" t="s">
        <v>6337</v>
      </c>
      <c r="B264" s="340" t="s">
        <v>5888</v>
      </c>
      <c r="C264" s="340"/>
      <c r="D264" s="340" t="s">
        <v>5888</v>
      </c>
      <c r="E264" s="340" t="s">
        <v>5888</v>
      </c>
      <c r="F264" s="340" t="s">
        <v>5888</v>
      </c>
      <c r="G264" s="340" t="s">
        <v>5888</v>
      </c>
      <c r="H264" s="340" t="s">
        <v>5888</v>
      </c>
      <c r="I264" s="340" t="s">
        <v>5888</v>
      </c>
      <c r="J264" s="340" t="s">
        <v>816</v>
      </c>
      <c r="K264" s="340" t="s">
        <v>816</v>
      </c>
      <c r="L264" s="340" t="s">
        <v>5888</v>
      </c>
      <c r="M264" s="340" t="s">
        <v>5888</v>
      </c>
      <c r="N264" s="340" t="s">
        <v>5888</v>
      </c>
      <c r="O264" s="340" t="s">
        <v>5888</v>
      </c>
      <c r="P264" s="340"/>
      <c r="Q264" s="45" t="s">
        <v>6336</v>
      </c>
      <c r="R264" s="45"/>
      <c r="S264" s="344"/>
    </row>
    <row r="265" spans="1:19">
      <c r="A265" s="341" t="s">
        <v>6335</v>
      </c>
      <c r="B265" s="340"/>
      <c r="C265" s="340"/>
      <c r="D265" s="340"/>
      <c r="E265" s="340" t="s">
        <v>816</v>
      </c>
      <c r="F265" s="340"/>
      <c r="G265" s="340"/>
      <c r="H265" s="340"/>
      <c r="I265" s="340"/>
      <c r="J265" s="340"/>
      <c r="K265" s="340"/>
      <c r="L265" s="340"/>
      <c r="M265" s="340"/>
      <c r="N265" s="340"/>
      <c r="O265" s="340"/>
      <c r="P265" s="340"/>
      <c r="Q265" s="45" t="s">
        <v>6334</v>
      </c>
      <c r="R265" s="45"/>
      <c r="S265" s="344"/>
    </row>
    <row r="266" spans="1:19">
      <c r="A266" s="341" t="s">
        <v>6333</v>
      </c>
      <c r="B266" s="340" t="s">
        <v>5888</v>
      </c>
      <c r="C266" s="340"/>
      <c r="D266" s="340" t="s">
        <v>5888</v>
      </c>
      <c r="E266" s="340" t="s">
        <v>5888</v>
      </c>
      <c r="F266" s="340" t="s">
        <v>5888</v>
      </c>
      <c r="G266" s="340" t="s">
        <v>816</v>
      </c>
      <c r="H266" s="340" t="s">
        <v>816</v>
      </c>
      <c r="I266" s="340" t="s">
        <v>5888</v>
      </c>
      <c r="J266" s="340" t="s">
        <v>816</v>
      </c>
      <c r="K266" s="340" t="s">
        <v>816</v>
      </c>
      <c r="L266" s="340" t="s">
        <v>816</v>
      </c>
      <c r="M266" s="340" t="s">
        <v>5888</v>
      </c>
      <c r="N266" s="340" t="s">
        <v>5888</v>
      </c>
      <c r="O266" s="340" t="s">
        <v>5888</v>
      </c>
      <c r="P266" s="340"/>
      <c r="Q266" s="342" t="s">
        <v>6332</v>
      </c>
      <c r="R266" s="342"/>
      <c r="S266" s="344"/>
    </row>
    <row r="267" spans="1:19">
      <c r="A267" s="341" t="s">
        <v>2832</v>
      </c>
      <c r="B267" s="340" t="s">
        <v>5888</v>
      </c>
      <c r="C267" s="340"/>
      <c r="D267" s="340" t="s">
        <v>5888</v>
      </c>
      <c r="E267" s="340" t="s">
        <v>816</v>
      </c>
      <c r="F267" s="340" t="s">
        <v>5888</v>
      </c>
      <c r="G267" s="340" t="s">
        <v>5888</v>
      </c>
      <c r="H267" s="340" t="s">
        <v>816</v>
      </c>
      <c r="I267" s="340" t="s">
        <v>5888</v>
      </c>
      <c r="J267" s="340" t="s">
        <v>816</v>
      </c>
      <c r="K267" s="340" t="s">
        <v>5888</v>
      </c>
      <c r="L267" s="340" t="s">
        <v>5888</v>
      </c>
      <c r="M267" s="340" t="s">
        <v>5888</v>
      </c>
      <c r="N267" s="340" t="s">
        <v>5888</v>
      </c>
      <c r="O267" s="340" t="s">
        <v>5888</v>
      </c>
      <c r="P267" s="340"/>
      <c r="Q267" s="342" t="s">
        <v>6331</v>
      </c>
      <c r="R267" s="45"/>
      <c r="S267" s="344"/>
    </row>
    <row r="268" spans="1:19">
      <c r="A268" s="341" t="s">
        <v>9401</v>
      </c>
      <c r="B268" s="340"/>
      <c r="C268" s="340"/>
      <c r="D268" s="340"/>
      <c r="E268" s="340"/>
      <c r="F268" s="340"/>
      <c r="G268" s="340"/>
      <c r="H268" s="340"/>
      <c r="I268" s="340"/>
      <c r="J268" s="340" t="s">
        <v>816</v>
      </c>
      <c r="K268" s="340"/>
      <c r="L268" s="340"/>
      <c r="M268" s="340"/>
      <c r="N268" s="340"/>
      <c r="O268" s="340"/>
      <c r="P268" s="340"/>
      <c r="Q268" s="45" t="s">
        <v>9400</v>
      </c>
      <c r="R268" s="45"/>
      <c r="S268" s="344"/>
    </row>
    <row r="269" spans="1:19">
      <c r="A269" s="341" t="s">
        <v>1442</v>
      </c>
      <c r="B269" s="340" t="s">
        <v>5888</v>
      </c>
      <c r="C269" s="340"/>
      <c r="D269" s="340" t="s">
        <v>5888</v>
      </c>
      <c r="E269" s="340" t="s">
        <v>816</v>
      </c>
      <c r="F269" s="340" t="s">
        <v>5888</v>
      </c>
      <c r="G269" s="340" t="s">
        <v>5888</v>
      </c>
      <c r="H269" s="340" t="s">
        <v>5888</v>
      </c>
      <c r="I269" s="340" t="s">
        <v>5888</v>
      </c>
      <c r="J269" s="340" t="s">
        <v>5888</v>
      </c>
      <c r="K269" s="340" t="s">
        <v>816</v>
      </c>
      <c r="L269" s="340" t="s">
        <v>5888</v>
      </c>
      <c r="M269" s="340" t="s">
        <v>5888</v>
      </c>
      <c r="N269" s="340" t="s">
        <v>5888</v>
      </c>
      <c r="O269" s="340" t="s">
        <v>5888</v>
      </c>
      <c r="P269" s="340"/>
      <c r="Q269" s="45" t="s">
        <v>6330</v>
      </c>
      <c r="R269" s="45"/>
      <c r="S269" s="344"/>
    </row>
    <row r="270" spans="1:19">
      <c r="A270" s="341" t="s">
        <v>1442</v>
      </c>
      <c r="B270" s="340" t="s">
        <v>5888</v>
      </c>
      <c r="C270" s="340"/>
      <c r="D270" s="340" t="s">
        <v>5888</v>
      </c>
      <c r="E270" s="340" t="s">
        <v>816</v>
      </c>
      <c r="F270" s="340" t="s">
        <v>5888</v>
      </c>
      <c r="G270" s="340" t="s">
        <v>5888</v>
      </c>
      <c r="H270" s="340" t="s">
        <v>5888</v>
      </c>
      <c r="I270" s="340" t="s">
        <v>5888</v>
      </c>
      <c r="J270" s="340" t="s">
        <v>5888</v>
      </c>
      <c r="K270" s="340" t="s">
        <v>816</v>
      </c>
      <c r="L270" s="340" t="s">
        <v>5888</v>
      </c>
      <c r="M270" s="340" t="s">
        <v>5888</v>
      </c>
      <c r="N270" s="340" t="s">
        <v>5888</v>
      </c>
      <c r="O270" s="340" t="s">
        <v>5888</v>
      </c>
      <c r="P270" s="340"/>
      <c r="Q270" s="45" t="s">
        <v>6329</v>
      </c>
      <c r="R270" s="45"/>
      <c r="S270" s="344"/>
    </row>
    <row r="271" spans="1:19">
      <c r="A271" s="341" t="s">
        <v>1442</v>
      </c>
      <c r="B271" s="340" t="s">
        <v>5888</v>
      </c>
      <c r="C271" s="340"/>
      <c r="D271" s="340" t="s">
        <v>5888</v>
      </c>
      <c r="E271" s="340" t="s">
        <v>816</v>
      </c>
      <c r="F271" s="340" t="s">
        <v>5888</v>
      </c>
      <c r="G271" s="340" t="s">
        <v>5888</v>
      </c>
      <c r="H271" s="340" t="s">
        <v>5888</v>
      </c>
      <c r="I271" s="340" t="s">
        <v>5888</v>
      </c>
      <c r="J271" s="340" t="s">
        <v>5888</v>
      </c>
      <c r="K271" s="340" t="s">
        <v>816</v>
      </c>
      <c r="L271" s="340" t="s">
        <v>5888</v>
      </c>
      <c r="M271" s="340" t="s">
        <v>5888</v>
      </c>
      <c r="N271" s="340" t="s">
        <v>5888</v>
      </c>
      <c r="O271" s="340" t="s">
        <v>5888</v>
      </c>
      <c r="P271" s="340"/>
      <c r="Q271" s="45" t="s">
        <v>6328</v>
      </c>
      <c r="R271" s="45"/>
      <c r="S271" s="344"/>
    </row>
    <row r="272" spans="1:19">
      <c r="A272" s="401" t="s">
        <v>9182</v>
      </c>
      <c r="B272" s="340"/>
      <c r="C272" s="340"/>
      <c r="D272" s="340"/>
      <c r="E272" s="340"/>
      <c r="F272" s="340"/>
      <c r="G272" s="340" t="s">
        <v>816</v>
      </c>
      <c r="H272" s="340"/>
      <c r="I272" s="340"/>
      <c r="J272" s="340"/>
      <c r="K272" s="340"/>
      <c r="L272" s="340"/>
      <c r="M272" s="340"/>
      <c r="N272" s="340"/>
      <c r="O272" s="340"/>
      <c r="P272" s="340"/>
      <c r="Q272" s="343" t="s">
        <v>9207</v>
      </c>
      <c r="R272" s="45"/>
      <c r="S272" s="344"/>
    </row>
    <row r="273" spans="1:19">
      <c r="A273" s="341" t="s">
        <v>6326</v>
      </c>
      <c r="B273" s="340"/>
      <c r="C273" s="340" t="s">
        <v>816</v>
      </c>
      <c r="D273" s="340"/>
      <c r="E273" s="340"/>
      <c r="F273" s="340"/>
      <c r="G273" s="340"/>
      <c r="H273" s="340"/>
      <c r="I273" s="340"/>
      <c r="J273" s="340"/>
      <c r="K273" s="340"/>
      <c r="L273" s="340"/>
      <c r="M273" s="340"/>
      <c r="N273" s="340"/>
      <c r="O273" s="340"/>
      <c r="P273" s="340"/>
      <c r="Q273" s="45" t="s">
        <v>6327</v>
      </c>
      <c r="R273" s="45" t="s">
        <v>6327</v>
      </c>
      <c r="S273" s="344" t="s">
        <v>7057</v>
      </c>
    </row>
    <row r="274" spans="1:19" ht="15" customHeight="1">
      <c r="A274" s="341" t="s">
        <v>6326</v>
      </c>
      <c r="B274" s="340"/>
      <c r="C274" s="340" t="s">
        <v>816</v>
      </c>
      <c r="D274" s="340"/>
      <c r="E274" s="340"/>
      <c r="F274" s="340"/>
      <c r="G274" s="340"/>
      <c r="H274" s="340"/>
      <c r="I274" s="340"/>
      <c r="J274" s="340"/>
      <c r="K274" s="340"/>
      <c r="L274" s="340"/>
      <c r="M274" s="340"/>
      <c r="N274" s="340"/>
      <c r="O274" s="340"/>
      <c r="P274" s="340"/>
      <c r="Q274" s="45" t="s">
        <v>6325</v>
      </c>
      <c r="R274" s="45" t="s">
        <v>6325</v>
      </c>
      <c r="S274" s="344" t="s">
        <v>7057</v>
      </c>
    </row>
    <row r="275" spans="1:19">
      <c r="A275" s="341" t="s">
        <v>6734</v>
      </c>
      <c r="B275" s="340"/>
      <c r="C275" s="340"/>
      <c r="D275" s="340"/>
      <c r="E275" s="340" t="s">
        <v>816</v>
      </c>
      <c r="F275" s="340" t="s">
        <v>5888</v>
      </c>
      <c r="G275" s="340"/>
      <c r="H275" s="340"/>
      <c r="I275" s="340"/>
      <c r="J275" s="340"/>
      <c r="K275" s="340"/>
      <c r="L275" s="340"/>
      <c r="M275" s="340"/>
      <c r="N275" s="340" t="s">
        <v>5888</v>
      </c>
      <c r="O275" s="340" t="s">
        <v>5888</v>
      </c>
      <c r="P275" s="340"/>
      <c r="Q275" s="45" t="s">
        <v>6733</v>
      </c>
      <c r="R275" s="45"/>
      <c r="S275" s="344"/>
    </row>
    <row r="276" spans="1:19">
      <c r="A276" s="341" t="s">
        <v>8272</v>
      </c>
      <c r="B276" s="340"/>
      <c r="C276" s="340"/>
      <c r="D276" s="340"/>
      <c r="E276" s="340"/>
      <c r="F276" s="340"/>
      <c r="G276" s="340"/>
      <c r="H276" s="340"/>
      <c r="I276" s="340"/>
      <c r="J276" s="340"/>
      <c r="K276" s="340"/>
      <c r="L276" s="340"/>
      <c r="M276" s="340"/>
      <c r="N276" s="340"/>
      <c r="O276" s="340"/>
      <c r="P276" s="340" t="s">
        <v>816</v>
      </c>
      <c r="Q276" s="45" t="s">
        <v>8273</v>
      </c>
      <c r="R276" s="45"/>
      <c r="S276" s="344"/>
    </row>
    <row r="277" spans="1:19">
      <c r="A277" s="341" t="s">
        <v>6324</v>
      </c>
      <c r="B277" s="340" t="s">
        <v>5888</v>
      </c>
      <c r="C277" s="340"/>
      <c r="D277" s="340" t="s">
        <v>5888</v>
      </c>
      <c r="E277" s="340" t="s">
        <v>5888</v>
      </c>
      <c r="F277" s="340" t="s">
        <v>5888</v>
      </c>
      <c r="G277" s="340" t="s">
        <v>5888</v>
      </c>
      <c r="H277" s="340" t="s">
        <v>816</v>
      </c>
      <c r="I277" s="340" t="s">
        <v>5888</v>
      </c>
      <c r="J277" s="340" t="s">
        <v>5888</v>
      </c>
      <c r="K277" s="340" t="s">
        <v>5888</v>
      </c>
      <c r="L277" s="340" t="s">
        <v>5888</v>
      </c>
      <c r="M277" s="340" t="s">
        <v>5888</v>
      </c>
      <c r="N277" s="340" t="s">
        <v>5888</v>
      </c>
      <c r="O277" s="340" t="s">
        <v>5888</v>
      </c>
      <c r="P277" s="340"/>
      <c r="Q277" s="45" t="s">
        <v>5898</v>
      </c>
      <c r="R277" s="45"/>
      <c r="S277" s="344"/>
    </row>
    <row r="278" spans="1:19">
      <c r="A278" s="341" t="s">
        <v>6323</v>
      </c>
      <c r="B278" s="340" t="s">
        <v>5888</v>
      </c>
      <c r="C278" s="340"/>
      <c r="D278" s="340" t="s">
        <v>5888</v>
      </c>
      <c r="E278" s="340" t="s">
        <v>5888</v>
      </c>
      <c r="F278" s="340" t="s">
        <v>5888</v>
      </c>
      <c r="G278" s="340" t="s">
        <v>5888</v>
      </c>
      <c r="H278" s="340" t="s">
        <v>5888</v>
      </c>
      <c r="I278" s="340" t="s">
        <v>5888</v>
      </c>
      <c r="J278" s="340" t="s">
        <v>5888</v>
      </c>
      <c r="K278" s="340" t="s">
        <v>816</v>
      </c>
      <c r="L278" s="340" t="s">
        <v>5888</v>
      </c>
      <c r="M278" s="340" t="s">
        <v>5888</v>
      </c>
      <c r="N278" s="340" t="s">
        <v>5888</v>
      </c>
      <c r="O278" s="340" t="s">
        <v>5888</v>
      </c>
      <c r="P278" s="340"/>
      <c r="Q278" s="45" t="s">
        <v>6322</v>
      </c>
      <c r="R278" s="45"/>
      <c r="S278" s="344"/>
    </row>
    <row r="279" spans="1:19">
      <c r="A279" s="341" t="s">
        <v>4062</v>
      </c>
      <c r="B279" s="340"/>
      <c r="C279" s="340"/>
      <c r="D279" s="340"/>
      <c r="E279" s="340" t="s">
        <v>816</v>
      </c>
      <c r="F279" s="340"/>
      <c r="G279" s="340"/>
      <c r="H279" s="340"/>
      <c r="I279" s="340"/>
      <c r="J279" s="340"/>
      <c r="K279" s="340"/>
      <c r="L279" s="340"/>
      <c r="M279" s="340"/>
      <c r="N279" s="340"/>
      <c r="O279" s="340"/>
      <c r="P279" s="340"/>
      <c r="Q279" s="343" t="s">
        <v>6322</v>
      </c>
      <c r="R279" s="45"/>
      <c r="S279" s="344"/>
    </row>
    <row r="280" spans="1:19">
      <c r="A280" s="341" t="s">
        <v>3880</v>
      </c>
      <c r="B280" s="340" t="s">
        <v>5888</v>
      </c>
      <c r="C280" s="340"/>
      <c r="D280" s="340" t="s">
        <v>5888</v>
      </c>
      <c r="E280" s="340" t="s">
        <v>5888</v>
      </c>
      <c r="F280" s="340" t="s">
        <v>5888</v>
      </c>
      <c r="G280" s="340" t="s">
        <v>5888</v>
      </c>
      <c r="H280" s="340" t="s">
        <v>816</v>
      </c>
      <c r="I280" s="340" t="s">
        <v>5888</v>
      </c>
      <c r="J280" s="340" t="s">
        <v>816</v>
      </c>
      <c r="K280" s="340" t="s">
        <v>816</v>
      </c>
      <c r="L280" s="340" t="s">
        <v>5888</v>
      </c>
      <c r="M280" s="340" t="s">
        <v>5888</v>
      </c>
      <c r="N280" s="340" t="s">
        <v>5888</v>
      </c>
      <c r="O280" s="340" t="s">
        <v>5888</v>
      </c>
      <c r="P280" s="340"/>
      <c r="Q280" s="342" t="s">
        <v>6321</v>
      </c>
      <c r="R280" s="45"/>
      <c r="S280" s="344"/>
    </row>
    <row r="281" spans="1:19">
      <c r="A281" s="341" t="s">
        <v>6320</v>
      </c>
      <c r="B281" s="340" t="s">
        <v>5888</v>
      </c>
      <c r="C281" s="340"/>
      <c r="D281" s="340" t="s">
        <v>5888</v>
      </c>
      <c r="E281" s="340" t="s">
        <v>5888</v>
      </c>
      <c r="F281" s="340" t="s">
        <v>5888</v>
      </c>
      <c r="G281" s="340" t="s">
        <v>5888</v>
      </c>
      <c r="H281" s="340" t="s">
        <v>816</v>
      </c>
      <c r="I281" s="340" t="s">
        <v>5888</v>
      </c>
      <c r="J281" s="340" t="s">
        <v>816</v>
      </c>
      <c r="K281" s="340" t="s">
        <v>816</v>
      </c>
      <c r="L281" s="340" t="s">
        <v>5888</v>
      </c>
      <c r="M281" s="340" t="s">
        <v>5888</v>
      </c>
      <c r="N281" s="340" t="s">
        <v>5888</v>
      </c>
      <c r="O281" s="340" t="s">
        <v>5888</v>
      </c>
      <c r="P281" s="340"/>
      <c r="Q281" s="45" t="s">
        <v>6319</v>
      </c>
      <c r="R281" s="45"/>
      <c r="S281" s="344"/>
    </row>
    <row r="282" spans="1:19">
      <c r="A282" s="341" t="s">
        <v>6941</v>
      </c>
      <c r="B282" s="340" t="s">
        <v>5888</v>
      </c>
      <c r="C282" s="340"/>
      <c r="D282" s="340" t="s">
        <v>5888</v>
      </c>
      <c r="E282" s="340" t="s">
        <v>5888</v>
      </c>
      <c r="F282" s="340" t="s">
        <v>5888</v>
      </c>
      <c r="G282" s="340" t="s">
        <v>5888</v>
      </c>
      <c r="H282" s="340" t="s">
        <v>816</v>
      </c>
      <c r="I282" s="340" t="s">
        <v>5888</v>
      </c>
      <c r="J282" s="340" t="s">
        <v>816</v>
      </c>
      <c r="K282" s="340" t="s">
        <v>816</v>
      </c>
      <c r="L282" s="340" t="s">
        <v>5888</v>
      </c>
      <c r="M282" s="340" t="s">
        <v>5888</v>
      </c>
      <c r="N282" s="340" t="s">
        <v>5888</v>
      </c>
      <c r="O282" s="340" t="s">
        <v>5888</v>
      </c>
      <c r="P282" s="340"/>
      <c r="Q282" s="343" t="s">
        <v>6942</v>
      </c>
      <c r="R282" s="45"/>
      <c r="S282" s="344"/>
    </row>
    <row r="283" spans="1:19">
      <c r="A283" s="341" t="s">
        <v>6318</v>
      </c>
      <c r="B283" s="340" t="s">
        <v>5888</v>
      </c>
      <c r="C283" s="340"/>
      <c r="D283" s="340" t="s">
        <v>5888</v>
      </c>
      <c r="E283" s="340" t="s">
        <v>5888</v>
      </c>
      <c r="F283" s="340" t="s">
        <v>5888</v>
      </c>
      <c r="G283" s="340" t="s">
        <v>5888</v>
      </c>
      <c r="H283" s="340" t="s">
        <v>816</v>
      </c>
      <c r="I283" s="340" t="s">
        <v>5888</v>
      </c>
      <c r="J283" s="340" t="s">
        <v>816</v>
      </c>
      <c r="K283" s="340" t="s">
        <v>816</v>
      </c>
      <c r="L283" s="340" t="s">
        <v>816</v>
      </c>
      <c r="M283" s="340" t="s">
        <v>5888</v>
      </c>
      <c r="N283" s="340" t="s">
        <v>816</v>
      </c>
      <c r="O283" s="340" t="s">
        <v>5888</v>
      </c>
      <c r="P283" s="340"/>
      <c r="Q283" s="45" t="s">
        <v>6317</v>
      </c>
      <c r="R283" s="45"/>
      <c r="S283" s="344"/>
    </row>
    <row r="284" spans="1:19">
      <c r="A284" s="341" t="s">
        <v>6316</v>
      </c>
      <c r="B284" s="340" t="s">
        <v>5888</v>
      </c>
      <c r="C284" s="340"/>
      <c r="D284" s="340" t="s">
        <v>5888</v>
      </c>
      <c r="E284" s="340" t="s">
        <v>5888</v>
      </c>
      <c r="F284" s="340" t="s">
        <v>5888</v>
      </c>
      <c r="G284" s="340" t="s">
        <v>5888</v>
      </c>
      <c r="H284" s="340" t="s">
        <v>816</v>
      </c>
      <c r="I284" s="340" t="s">
        <v>5888</v>
      </c>
      <c r="J284" s="340" t="s">
        <v>816</v>
      </c>
      <c r="K284" s="340" t="s">
        <v>816</v>
      </c>
      <c r="L284" s="340" t="s">
        <v>816</v>
      </c>
      <c r="M284" s="340" t="s">
        <v>5888</v>
      </c>
      <c r="N284" s="340" t="s">
        <v>816</v>
      </c>
      <c r="O284" s="340" t="s">
        <v>5888</v>
      </c>
      <c r="P284" s="340"/>
      <c r="Q284" s="45" t="s">
        <v>6315</v>
      </c>
      <c r="R284" s="45"/>
      <c r="S284" s="344"/>
    </row>
    <row r="285" spans="1:19">
      <c r="A285" s="341" t="s">
        <v>6314</v>
      </c>
      <c r="B285" s="340" t="s">
        <v>5888</v>
      </c>
      <c r="C285" s="340"/>
      <c r="D285" s="340" t="s">
        <v>5888</v>
      </c>
      <c r="E285" s="340" t="s">
        <v>5888</v>
      </c>
      <c r="F285" s="340" t="s">
        <v>5888</v>
      </c>
      <c r="G285" s="340" t="s">
        <v>5888</v>
      </c>
      <c r="H285" s="340" t="s">
        <v>816</v>
      </c>
      <c r="I285" s="340" t="s">
        <v>5888</v>
      </c>
      <c r="J285" s="340" t="s">
        <v>816</v>
      </c>
      <c r="K285" s="340" t="s">
        <v>816</v>
      </c>
      <c r="L285" s="340" t="s">
        <v>816</v>
      </c>
      <c r="M285" s="340" t="s">
        <v>5888</v>
      </c>
      <c r="N285" s="340" t="s">
        <v>816</v>
      </c>
      <c r="O285" s="340" t="s">
        <v>5888</v>
      </c>
      <c r="P285" s="340"/>
      <c r="Q285" s="45" t="s">
        <v>6313</v>
      </c>
      <c r="R285" s="45"/>
      <c r="S285" s="344"/>
    </row>
    <row r="286" spans="1:19">
      <c r="A286" s="341" t="s">
        <v>6312</v>
      </c>
      <c r="B286" s="340" t="s">
        <v>5888</v>
      </c>
      <c r="C286" s="340"/>
      <c r="D286" s="340" t="s">
        <v>5888</v>
      </c>
      <c r="E286" s="340" t="s">
        <v>5888</v>
      </c>
      <c r="F286" s="340" t="s">
        <v>5888</v>
      </c>
      <c r="G286" s="340" t="s">
        <v>5888</v>
      </c>
      <c r="H286" s="340" t="s">
        <v>816</v>
      </c>
      <c r="I286" s="340" t="s">
        <v>5888</v>
      </c>
      <c r="J286" s="340" t="s">
        <v>816</v>
      </c>
      <c r="K286" s="340" t="s">
        <v>816</v>
      </c>
      <c r="L286" s="340" t="s">
        <v>816</v>
      </c>
      <c r="M286" s="340" t="s">
        <v>5888</v>
      </c>
      <c r="N286" s="340" t="s">
        <v>816</v>
      </c>
      <c r="O286" s="340" t="s">
        <v>5888</v>
      </c>
      <c r="P286" s="340"/>
      <c r="Q286" s="45" t="s">
        <v>6311</v>
      </c>
      <c r="R286" s="45"/>
      <c r="S286" s="344"/>
    </row>
    <row r="287" spans="1:19">
      <c r="A287" s="341" t="s">
        <v>6310</v>
      </c>
      <c r="B287" s="340" t="s">
        <v>5888</v>
      </c>
      <c r="C287" s="340"/>
      <c r="D287" s="340" t="s">
        <v>5888</v>
      </c>
      <c r="E287" s="340" t="s">
        <v>5888</v>
      </c>
      <c r="F287" s="340" t="s">
        <v>5888</v>
      </c>
      <c r="G287" s="340" t="s">
        <v>5888</v>
      </c>
      <c r="H287" s="340" t="s">
        <v>816</v>
      </c>
      <c r="I287" s="340" t="s">
        <v>5888</v>
      </c>
      <c r="J287" s="340" t="s">
        <v>816</v>
      </c>
      <c r="K287" s="340" t="s">
        <v>816</v>
      </c>
      <c r="L287" s="340" t="s">
        <v>816</v>
      </c>
      <c r="M287" s="340" t="s">
        <v>5888</v>
      </c>
      <c r="N287" s="340" t="s">
        <v>816</v>
      </c>
      <c r="O287" s="340" t="s">
        <v>5888</v>
      </c>
      <c r="P287" s="340"/>
      <c r="Q287" s="342" t="s">
        <v>6309</v>
      </c>
      <c r="R287" s="45"/>
      <c r="S287" s="344"/>
    </row>
    <row r="288" spans="1:19">
      <c r="A288" s="341" t="s">
        <v>6966</v>
      </c>
      <c r="B288" s="346"/>
      <c r="C288" s="346"/>
      <c r="D288" s="346"/>
      <c r="E288" s="346"/>
      <c r="F288" s="346"/>
      <c r="G288" s="346"/>
      <c r="H288" s="346" t="s">
        <v>816</v>
      </c>
      <c r="I288" s="346"/>
      <c r="J288" s="346"/>
      <c r="K288" s="346" t="s">
        <v>816</v>
      </c>
      <c r="L288" s="346"/>
      <c r="M288" s="346"/>
      <c r="N288" s="346"/>
      <c r="O288" s="346"/>
      <c r="P288" s="346"/>
      <c r="Q288" s="360" t="s">
        <v>6967</v>
      </c>
      <c r="R288" s="341"/>
      <c r="S288" s="361"/>
    </row>
    <row r="289" spans="1:19">
      <c r="A289" s="341" t="s">
        <v>6964</v>
      </c>
      <c r="B289" s="346"/>
      <c r="C289" s="346"/>
      <c r="D289" s="346"/>
      <c r="E289" s="346"/>
      <c r="F289" s="346"/>
      <c r="G289" s="346"/>
      <c r="H289" s="346" t="s">
        <v>816</v>
      </c>
      <c r="I289" s="346"/>
      <c r="J289" s="346"/>
      <c r="K289" s="346" t="s">
        <v>816</v>
      </c>
      <c r="L289" s="346"/>
      <c r="M289" s="346"/>
      <c r="N289" s="346"/>
      <c r="O289" s="346"/>
      <c r="P289" s="346"/>
      <c r="Q289" s="360" t="s">
        <v>6965</v>
      </c>
      <c r="R289" s="341"/>
      <c r="S289" s="361"/>
    </row>
    <row r="290" spans="1:19">
      <c r="A290" s="341" t="s">
        <v>8687</v>
      </c>
      <c r="B290" s="340"/>
      <c r="C290" s="340"/>
      <c r="D290" s="340"/>
      <c r="E290" s="340"/>
      <c r="F290" s="340"/>
      <c r="G290" s="340"/>
      <c r="H290" s="340"/>
      <c r="I290" s="340" t="s">
        <v>816</v>
      </c>
      <c r="J290" s="340"/>
      <c r="K290" s="340" t="s">
        <v>816</v>
      </c>
      <c r="L290" s="340"/>
      <c r="M290" s="340"/>
      <c r="N290" s="340"/>
      <c r="O290" s="340"/>
      <c r="P290" s="340"/>
      <c r="Q290" s="343" t="s">
        <v>8688</v>
      </c>
      <c r="R290" s="45"/>
      <c r="S290" s="344"/>
    </row>
    <row r="291" spans="1:19">
      <c r="A291" s="341" t="s">
        <v>6308</v>
      </c>
      <c r="B291" s="340" t="s">
        <v>5888</v>
      </c>
      <c r="C291" s="340"/>
      <c r="D291" s="340" t="s">
        <v>5888</v>
      </c>
      <c r="E291" s="340" t="s">
        <v>816</v>
      </c>
      <c r="F291" s="340" t="s">
        <v>5888</v>
      </c>
      <c r="G291" s="340" t="s">
        <v>816</v>
      </c>
      <c r="H291" s="340"/>
      <c r="I291" s="340" t="s">
        <v>5888</v>
      </c>
      <c r="J291" s="340"/>
      <c r="K291" s="340"/>
      <c r="L291" s="340" t="s">
        <v>5888</v>
      </c>
      <c r="M291" s="340" t="s">
        <v>5888</v>
      </c>
      <c r="N291" s="340" t="s">
        <v>5888</v>
      </c>
      <c r="O291" s="340" t="s">
        <v>5888</v>
      </c>
      <c r="P291" s="340"/>
      <c r="Q291" s="45" t="s">
        <v>6307</v>
      </c>
      <c r="R291" s="45"/>
      <c r="S291" s="344"/>
    </row>
    <row r="292" spans="1:19">
      <c r="A292" s="341" t="s">
        <v>8679</v>
      </c>
      <c r="B292" s="340"/>
      <c r="C292" s="340"/>
      <c r="D292" s="340"/>
      <c r="E292" s="340"/>
      <c r="F292" s="340"/>
      <c r="G292" s="340"/>
      <c r="H292" s="340"/>
      <c r="I292" s="340" t="s">
        <v>816</v>
      </c>
      <c r="J292" s="340"/>
      <c r="K292" s="340" t="s">
        <v>816</v>
      </c>
      <c r="L292" s="340"/>
      <c r="M292" s="340"/>
      <c r="N292" s="340"/>
      <c r="O292" s="340"/>
      <c r="P292" s="340"/>
      <c r="Q292" s="343" t="s">
        <v>8680</v>
      </c>
      <c r="R292" s="45"/>
      <c r="S292" s="344"/>
    </row>
    <row r="293" spans="1:19">
      <c r="A293" s="341" t="s">
        <v>1304</v>
      </c>
      <c r="B293" s="340" t="s">
        <v>5888</v>
      </c>
      <c r="C293" s="340"/>
      <c r="D293" s="340" t="s">
        <v>5888</v>
      </c>
      <c r="E293" s="340" t="s">
        <v>5888</v>
      </c>
      <c r="F293" s="340" t="s">
        <v>5888</v>
      </c>
      <c r="G293" s="340" t="s">
        <v>5888</v>
      </c>
      <c r="H293" s="340" t="s">
        <v>5888</v>
      </c>
      <c r="I293" s="340" t="s">
        <v>5888</v>
      </c>
      <c r="J293" s="340" t="s">
        <v>5888</v>
      </c>
      <c r="K293" s="340" t="s">
        <v>5888</v>
      </c>
      <c r="L293" s="340" t="s">
        <v>5888</v>
      </c>
      <c r="M293" s="340" t="s">
        <v>5888</v>
      </c>
      <c r="N293" s="340" t="s">
        <v>816</v>
      </c>
      <c r="O293" s="340" t="s">
        <v>5888</v>
      </c>
      <c r="P293" s="340"/>
      <c r="Q293" s="45" t="s">
        <v>6306</v>
      </c>
      <c r="R293" s="45"/>
      <c r="S293" s="344"/>
    </row>
    <row r="294" spans="1:19">
      <c r="A294" s="341" t="s">
        <v>6305</v>
      </c>
      <c r="B294" s="340" t="s">
        <v>5888</v>
      </c>
      <c r="C294" s="340"/>
      <c r="D294" s="340" t="s">
        <v>5888</v>
      </c>
      <c r="E294" s="340" t="s">
        <v>5888</v>
      </c>
      <c r="F294" s="340" t="s">
        <v>5888</v>
      </c>
      <c r="G294" s="340" t="s">
        <v>5888</v>
      </c>
      <c r="H294" s="340" t="s">
        <v>5888</v>
      </c>
      <c r="I294" s="340" t="s">
        <v>5888</v>
      </c>
      <c r="J294" s="340" t="s">
        <v>5888</v>
      </c>
      <c r="K294" s="340" t="s">
        <v>5888</v>
      </c>
      <c r="L294" s="340" t="s">
        <v>5888</v>
      </c>
      <c r="M294" s="340" t="s">
        <v>5888</v>
      </c>
      <c r="N294" s="340" t="s">
        <v>816</v>
      </c>
      <c r="O294" s="340" t="s">
        <v>5888</v>
      </c>
      <c r="P294" s="340"/>
      <c r="Q294" s="45" t="s">
        <v>6304</v>
      </c>
      <c r="R294" s="45"/>
      <c r="S294" s="344"/>
    </row>
    <row r="295" spans="1:19">
      <c r="A295" s="341" t="s">
        <v>6303</v>
      </c>
      <c r="B295" s="340"/>
      <c r="C295" s="340"/>
      <c r="D295" s="340"/>
      <c r="E295" s="340" t="s">
        <v>816</v>
      </c>
      <c r="F295" s="340"/>
      <c r="G295" s="340"/>
      <c r="H295" s="340"/>
      <c r="I295" s="340"/>
      <c r="J295" s="340"/>
      <c r="K295" s="340"/>
      <c r="L295" s="340"/>
      <c r="M295" s="340"/>
      <c r="N295" s="340"/>
      <c r="O295" s="340"/>
      <c r="P295" s="340"/>
      <c r="Q295" s="45" t="s">
        <v>6302</v>
      </c>
      <c r="R295" s="45"/>
      <c r="S295" s="344"/>
    </row>
    <row r="296" spans="1:19">
      <c r="A296" s="341" t="s">
        <v>6300</v>
      </c>
      <c r="B296" s="340" t="s">
        <v>5888</v>
      </c>
      <c r="C296" s="340"/>
      <c r="D296" s="340" t="s">
        <v>816</v>
      </c>
      <c r="E296" s="340" t="s">
        <v>816</v>
      </c>
      <c r="F296" s="340" t="s">
        <v>5888</v>
      </c>
      <c r="G296" s="340" t="s">
        <v>5888</v>
      </c>
      <c r="H296" s="340" t="s">
        <v>5888</v>
      </c>
      <c r="I296" s="340" t="s">
        <v>5888</v>
      </c>
      <c r="J296" s="340" t="s">
        <v>5888</v>
      </c>
      <c r="K296" s="340" t="s">
        <v>5888</v>
      </c>
      <c r="L296" s="340" t="s">
        <v>5888</v>
      </c>
      <c r="M296" s="340" t="s">
        <v>5888</v>
      </c>
      <c r="N296" s="340" t="s">
        <v>5888</v>
      </c>
      <c r="O296" s="340" t="s">
        <v>5888</v>
      </c>
      <c r="P296" s="340"/>
      <c r="Q296" s="45" t="s">
        <v>6299</v>
      </c>
      <c r="R296" s="45"/>
      <c r="S296" s="344"/>
    </row>
    <row r="297" spans="1:19">
      <c r="A297" s="341" t="s">
        <v>7198</v>
      </c>
      <c r="B297" s="340"/>
      <c r="C297" s="340"/>
      <c r="D297" s="340" t="s">
        <v>816</v>
      </c>
      <c r="E297" s="340"/>
      <c r="F297" s="340"/>
      <c r="G297" s="340"/>
      <c r="H297" s="340"/>
      <c r="I297" s="340"/>
      <c r="J297" s="340"/>
      <c r="K297" s="340" t="s">
        <v>816</v>
      </c>
      <c r="L297" s="340"/>
      <c r="M297" s="340" t="s">
        <v>816</v>
      </c>
      <c r="N297" s="340"/>
      <c r="O297" s="340" t="s">
        <v>816</v>
      </c>
      <c r="P297" s="340"/>
      <c r="Q297" s="387" t="s">
        <v>7736</v>
      </c>
      <c r="R297" s="45"/>
      <c r="S297" s="344"/>
    </row>
    <row r="298" spans="1:19">
      <c r="A298" s="341" t="s">
        <v>7737</v>
      </c>
      <c r="B298" s="340"/>
      <c r="C298" s="340"/>
      <c r="D298" s="340" t="s">
        <v>816</v>
      </c>
      <c r="E298" s="340"/>
      <c r="F298" s="340"/>
      <c r="G298" s="340"/>
      <c r="H298" s="340"/>
      <c r="I298" s="340"/>
      <c r="J298" s="340"/>
      <c r="K298" s="340" t="s">
        <v>816</v>
      </c>
      <c r="L298" s="340"/>
      <c r="M298" s="340" t="s">
        <v>816</v>
      </c>
      <c r="N298" s="340"/>
      <c r="O298" s="340" t="s">
        <v>816</v>
      </c>
      <c r="P298" s="340"/>
      <c r="Q298" s="387" t="s">
        <v>7738</v>
      </c>
      <c r="R298" s="45"/>
      <c r="S298" s="344"/>
    </row>
    <row r="299" spans="1:19">
      <c r="A299" s="341" t="s">
        <v>6298</v>
      </c>
      <c r="B299" s="340" t="s">
        <v>5888</v>
      </c>
      <c r="C299" s="340"/>
      <c r="D299" s="340" t="s">
        <v>5888</v>
      </c>
      <c r="E299" s="340" t="s">
        <v>5888</v>
      </c>
      <c r="F299" s="340" t="s">
        <v>5888</v>
      </c>
      <c r="G299" s="340" t="s">
        <v>5888</v>
      </c>
      <c r="H299" s="340" t="s">
        <v>5888</v>
      </c>
      <c r="I299" s="340" t="s">
        <v>5888</v>
      </c>
      <c r="J299" s="340" t="s">
        <v>5888</v>
      </c>
      <c r="K299" s="340" t="s">
        <v>816</v>
      </c>
      <c r="L299" s="340" t="s">
        <v>5888</v>
      </c>
      <c r="M299" s="340" t="s">
        <v>5888</v>
      </c>
      <c r="N299" s="340" t="s">
        <v>5888</v>
      </c>
      <c r="O299" s="340" t="s">
        <v>5888</v>
      </c>
      <c r="P299" s="340"/>
      <c r="Q299" s="342" t="s">
        <v>6297</v>
      </c>
      <c r="R299" s="45"/>
      <c r="S299" s="344"/>
    </row>
    <row r="300" spans="1:19">
      <c r="A300" s="341" t="s">
        <v>6296</v>
      </c>
      <c r="B300" s="340"/>
      <c r="C300" s="340"/>
      <c r="D300" s="340"/>
      <c r="E300" s="340" t="s">
        <v>816</v>
      </c>
      <c r="F300" s="340"/>
      <c r="G300" s="340"/>
      <c r="H300" s="340"/>
      <c r="I300" s="340"/>
      <c r="J300" s="340"/>
      <c r="K300" s="340"/>
      <c r="L300" s="340"/>
      <c r="M300" s="340"/>
      <c r="N300" s="340"/>
      <c r="O300" s="340"/>
      <c r="P300" s="340"/>
      <c r="Q300" s="45" t="s">
        <v>6295</v>
      </c>
      <c r="R300" s="45"/>
      <c r="S300" s="344"/>
    </row>
    <row r="301" spans="1:19">
      <c r="A301" s="341" t="s">
        <v>6995</v>
      </c>
      <c r="B301" s="340"/>
      <c r="C301" s="340"/>
      <c r="D301" s="340"/>
      <c r="E301" s="340" t="s">
        <v>816</v>
      </c>
      <c r="F301" s="340"/>
      <c r="G301" s="340" t="s">
        <v>816</v>
      </c>
      <c r="H301" s="340" t="s">
        <v>816</v>
      </c>
      <c r="I301" s="340"/>
      <c r="J301" s="340"/>
      <c r="K301" s="340" t="s">
        <v>816</v>
      </c>
      <c r="L301" s="340"/>
      <c r="M301" s="340"/>
      <c r="N301" s="340"/>
      <c r="O301" s="340"/>
      <c r="P301" s="340"/>
      <c r="Q301" s="343" t="s">
        <v>6994</v>
      </c>
      <c r="R301" s="45"/>
      <c r="S301" s="344"/>
    </row>
    <row r="302" spans="1:19">
      <c r="A302" s="341" t="s">
        <v>7342</v>
      </c>
      <c r="B302" s="340"/>
      <c r="C302" s="340"/>
      <c r="D302" s="340"/>
      <c r="E302" s="340"/>
      <c r="F302" s="340"/>
      <c r="G302" s="340" t="s">
        <v>816</v>
      </c>
      <c r="H302" s="340"/>
      <c r="I302" s="340"/>
      <c r="J302" s="340"/>
      <c r="K302" s="340"/>
      <c r="L302" s="340"/>
      <c r="M302" s="340"/>
      <c r="N302" s="340"/>
      <c r="O302" s="340"/>
      <c r="P302" s="340"/>
      <c r="Q302" s="343" t="s">
        <v>6994</v>
      </c>
      <c r="R302" s="45"/>
      <c r="S302" s="344"/>
    </row>
    <row r="303" spans="1:19">
      <c r="A303" s="341" t="s">
        <v>7920</v>
      </c>
      <c r="B303" s="340"/>
      <c r="C303" s="340"/>
      <c r="D303" s="340"/>
      <c r="E303" s="340"/>
      <c r="F303" s="340"/>
      <c r="G303" s="340"/>
      <c r="H303" s="340"/>
      <c r="I303" s="340"/>
      <c r="J303" s="340"/>
      <c r="K303" s="340" t="s">
        <v>816</v>
      </c>
      <c r="L303" s="340"/>
      <c r="M303" s="340"/>
      <c r="N303" s="340"/>
      <c r="O303" s="340"/>
      <c r="P303" s="340"/>
      <c r="Q303" s="343" t="s">
        <v>7921</v>
      </c>
      <c r="R303" s="45"/>
      <c r="S303" s="344"/>
    </row>
    <row r="304" spans="1:19">
      <c r="A304" s="341" t="s">
        <v>6294</v>
      </c>
      <c r="B304" s="340" t="s">
        <v>5888</v>
      </c>
      <c r="C304" s="340"/>
      <c r="D304" s="340" t="s">
        <v>816</v>
      </c>
      <c r="E304" s="340" t="s">
        <v>5888</v>
      </c>
      <c r="F304" s="340" t="s">
        <v>5888</v>
      </c>
      <c r="G304" s="340" t="s">
        <v>5888</v>
      </c>
      <c r="H304" s="340" t="s">
        <v>5888</v>
      </c>
      <c r="I304" s="340" t="s">
        <v>5888</v>
      </c>
      <c r="J304" s="340" t="s">
        <v>5888</v>
      </c>
      <c r="K304" s="340" t="s">
        <v>5888</v>
      </c>
      <c r="L304" s="340" t="s">
        <v>5888</v>
      </c>
      <c r="M304" s="340" t="s">
        <v>5888</v>
      </c>
      <c r="N304" s="340" t="s">
        <v>5888</v>
      </c>
      <c r="O304" s="340" t="s">
        <v>5888</v>
      </c>
      <c r="P304" s="340"/>
      <c r="Q304" s="45" t="s">
        <v>6293</v>
      </c>
      <c r="R304" s="45"/>
      <c r="S304" s="344"/>
    </row>
    <row r="305" spans="1:19">
      <c r="A305" s="341" t="s">
        <v>6292</v>
      </c>
      <c r="B305" s="340" t="s">
        <v>5888</v>
      </c>
      <c r="C305" s="340"/>
      <c r="D305" s="340" t="s">
        <v>816</v>
      </c>
      <c r="E305" s="340" t="s">
        <v>816</v>
      </c>
      <c r="F305" s="340" t="s">
        <v>5888</v>
      </c>
      <c r="G305" s="340" t="s">
        <v>5888</v>
      </c>
      <c r="H305" s="340" t="s">
        <v>5888</v>
      </c>
      <c r="I305" s="340" t="s">
        <v>5888</v>
      </c>
      <c r="J305" s="340" t="s">
        <v>5888</v>
      </c>
      <c r="K305" s="340" t="s">
        <v>5888</v>
      </c>
      <c r="L305" s="340" t="s">
        <v>5888</v>
      </c>
      <c r="M305" s="340" t="s">
        <v>5888</v>
      </c>
      <c r="N305" s="340" t="s">
        <v>5888</v>
      </c>
      <c r="O305" s="340" t="s">
        <v>5888</v>
      </c>
      <c r="P305" s="340"/>
      <c r="Q305" s="45" t="s">
        <v>6291</v>
      </c>
      <c r="R305" s="45"/>
      <c r="S305" s="344"/>
    </row>
    <row r="306" spans="1:19">
      <c r="A306" s="341" t="s">
        <v>10490</v>
      </c>
      <c r="B306" s="340"/>
      <c r="C306" s="340" t="s">
        <v>816</v>
      </c>
      <c r="D306" s="340" t="s">
        <v>816</v>
      </c>
      <c r="E306" s="340" t="s">
        <v>816</v>
      </c>
      <c r="F306" s="340"/>
      <c r="G306" s="340" t="s">
        <v>816</v>
      </c>
      <c r="H306" s="340" t="s">
        <v>816</v>
      </c>
      <c r="I306" s="340" t="s">
        <v>816</v>
      </c>
      <c r="J306" s="340"/>
      <c r="K306" s="340"/>
      <c r="L306" s="340"/>
      <c r="M306" s="340" t="s">
        <v>816</v>
      </c>
      <c r="N306" s="340"/>
      <c r="O306" s="340"/>
      <c r="P306" s="340" t="s">
        <v>816</v>
      </c>
      <c r="Q306" s="343" t="s">
        <v>10491</v>
      </c>
      <c r="R306" s="45"/>
      <c r="S306" s="344"/>
    </row>
    <row r="307" spans="1:19">
      <c r="A307" s="341" t="s">
        <v>6290</v>
      </c>
      <c r="B307" s="340" t="s">
        <v>5888</v>
      </c>
      <c r="C307" s="340"/>
      <c r="D307" s="340" t="s">
        <v>5888</v>
      </c>
      <c r="E307" s="340" t="s">
        <v>5888</v>
      </c>
      <c r="F307" s="340" t="s">
        <v>5888</v>
      </c>
      <c r="G307" s="340" t="s">
        <v>816</v>
      </c>
      <c r="H307" s="340" t="s">
        <v>816</v>
      </c>
      <c r="I307" s="340" t="s">
        <v>5888</v>
      </c>
      <c r="J307" s="340" t="s">
        <v>816</v>
      </c>
      <c r="K307" s="340" t="s">
        <v>816</v>
      </c>
      <c r="L307" s="340" t="s">
        <v>5888</v>
      </c>
      <c r="M307" s="340" t="s">
        <v>5888</v>
      </c>
      <c r="N307" s="340" t="s">
        <v>5888</v>
      </c>
      <c r="O307" s="340" t="s">
        <v>5888</v>
      </c>
      <c r="P307" s="340"/>
      <c r="Q307" s="45" t="s">
        <v>6289</v>
      </c>
      <c r="R307" s="45"/>
      <c r="S307" s="344"/>
    </row>
    <row r="308" spans="1:19">
      <c r="A308" s="341" t="s">
        <v>3950</v>
      </c>
      <c r="B308" s="340" t="s">
        <v>5888</v>
      </c>
      <c r="C308" s="340"/>
      <c r="D308" s="340" t="s">
        <v>816</v>
      </c>
      <c r="E308" s="340"/>
      <c r="F308" s="340" t="s">
        <v>5888</v>
      </c>
      <c r="G308" s="340"/>
      <c r="H308" s="340" t="s">
        <v>5888</v>
      </c>
      <c r="I308" s="340" t="s">
        <v>5888</v>
      </c>
      <c r="J308" s="340" t="s">
        <v>5888</v>
      </c>
      <c r="K308" s="340" t="s">
        <v>5888</v>
      </c>
      <c r="L308" s="340" t="s">
        <v>5888</v>
      </c>
      <c r="M308" s="340" t="s">
        <v>816</v>
      </c>
      <c r="N308" s="340" t="s">
        <v>5888</v>
      </c>
      <c r="O308" s="340" t="s">
        <v>5888</v>
      </c>
      <c r="P308" s="340"/>
      <c r="Q308" s="343" t="s">
        <v>8218</v>
      </c>
      <c r="R308" s="45"/>
      <c r="S308" s="344"/>
    </row>
    <row r="309" spans="1:19">
      <c r="A309" s="341" t="s">
        <v>4292</v>
      </c>
      <c r="B309" s="340" t="s">
        <v>5888</v>
      </c>
      <c r="C309" s="340"/>
      <c r="D309" s="340" t="s">
        <v>5888</v>
      </c>
      <c r="E309" s="340" t="s">
        <v>5888</v>
      </c>
      <c r="F309" s="340" t="s">
        <v>5888</v>
      </c>
      <c r="G309" s="340" t="s">
        <v>5888</v>
      </c>
      <c r="H309" s="340" t="s">
        <v>816</v>
      </c>
      <c r="I309" s="340" t="s">
        <v>5888</v>
      </c>
      <c r="J309" s="340" t="s">
        <v>816</v>
      </c>
      <c r="K309" s="340" t="s">
        <v>816</v>
      </c>
      <c r="L309" s="340" t="s">
        <v>5888</v>
      </c>
      <c r="M309" s="340" t="s">
        <v>5888</v>
      </c>
      <c r="N309" s="340" t="s">
        <v>5888</v>
      </c>
      <c r="O309" s="340" t="s">
        <v>5888</v>
      </c>
      <c r="P309" s="340"/>
      <c r="Q309" s="45" t="s">
        <v>6301</v>
      </c>
      <c r="R309" s="45"/>
      <c r="S309" s="344"/>
    </row>
    <row r="310" spans="1:19">
      <c r="A310" s="341" t="s">
        <v>6907</v>
      </c>
      <c r="B310" s="340" t="s">
        <v>5888</v>
      </c>
      <c r="C310" s="340"/>
      <c r="D310" s="340" t="s">
        <v>5888</v>
      </c>
      <c r="E310" s="340" t="s">
        <v>5888</v>
      </c>
      <c r="F310" s="340" t="s">
        <v>5888</v>
      </c>
      <c r="G310" s="340" t="s">
        <v>5888</v>
      </c>
      <c r="H310" s="340" t="s">
        <v>5888</v>
      </c>
      <c r="I310" s="340" t="s">
        <v>5888</v>
      </c>
      <c r="J310" s="340" t="s">
        <v>816</v>
      </c>
      <c r="K310" s="340" t="s">
        <v>816</v>
      </c>
      <c r="L310" s="340" t="s">
        <v>5888</v>
      </c>
      <c r="M310" s="340" t="s">
        <v>5888</v>
      </c>
      <c r="N310" s="340" t="s">
        <v>5888</v>
      </c>
      <c r="O310" s="340" t="s">
        <v>5888</v>
      </c>
      <c r="P310" s="340"/>
      <c r="Q310" s="343" t="s">
        <v>6908</v>
      </c>
      <c r="R310" s="45"/>
      <c r="S310" s="344"/>
    </row>
    <row r="311" spans="1:19">
      <c r="A311" s="341" t="s">
        <v>8276</v>
      </c>
      <c r="B311" s="340"/>
      <c r="C311" s="340"/>
      <c r="D311" s="340"/>
      <c r="E311" s="340"/>
      <c r="F311" s="340"/>
      <c r="G311" s="340"/>
      <c r="H311" s="340"/>
      <c r="I311" s="340"/>
      <c r="J311" s="340"/>
      <c r="K311" s="340"/>
      <c r="L311" s="340"/>
      <c r="M311" s="340"/>
      <c r="N311" s="340"/>
      <c r="O311" s="340"/>
      <c r="P311" s="340" t="s">
        <v>816</v>
      </c>
      <c r="Q311" s="45" t="s">
        <v>8277</v>
      </c>
      <c r="R311" s="45"/>
      <c r="S311" s="344"/>
    </row>
    <row r="312" spans="1:19">
      <c r="A312" s="341" t="s">
        <v>8291</v>
      </c>
      <c r="B312" s="340"/>
      <c r="C312" s="340"/>
      <c r="D312" s="340"/>
      <c r="E312" s="340"/>
      <c r="F312" s="340"/>
      <c r="G312" s="340"/>
      <c r="H312" s="340"/>
      <c r="I312" s="340"/>
      <c r="J312" s="340"/>
      <c r="K312" s="340"/>
      <c r="L312" s="340"/>
      <c r="M312" s="340"/>
      <c r="N312" s="340"/>
      <c r="O312" s="340"/>
      <c r="P312" s="340" t="s">
        <v>816</v>
      </c>
      <c r="Q312" s="344" t="s">
        <v>8292</v>
      </c>
      <c r="R312" s="45"/>
      <c r="S312" s="344"/>
    </row>
    <row r="313" spans="1:19">
      <c r="A313" s="341" t="s">
        <v>625</v>
      </c>
      <c r="B313" s="340" t="s">
        <v>5888</v>
      </c>
      <c r="C313" s="340"/>
      <c r="D313" s="340" t="s">
        <v>5888</v>
      </c>
      <c r="E313" s="340" t="s">
        <v>5888</v>
      </c>
      <c r="F313" s="340" t="s">
        <v>5888</v>
      </c>
      <c r="G313" s="340" t="s">
        <v>5888</v>
      </c>
      <c r="H313" s="340" t="s">
        <v>5888</v>
      </c>
      <c r="I313" s="340" t="s">
        <v>5888</v>
      </c>
      <c r="J313" s="340" t="s">
        <v>5888</v>
      </c>
      <c r="K313" s="340" t="s">
        <v>816</v>
      </c>
      <c r="L313" s="340" t="s">
        <v>5888</v>
      </c>
      <c r="M313" s="340" t="s">
        <v>5888</v>
      </c>
      <c r="N313" s="340" t="s">
        <v>5888</v>
      </c>
      <c r="O313" s="340" t="s">
        <v>5888</v>
      </c>
      <c r="P313" s="340"/>
      <c r="Q313" s="342" t="s">
        <v>6288</v>
      </c>
      <c r="R313" s="45"/>
      <c r="S313" s="344"/>
    </row>
    <row r="314" spans="1:19">
      <c r="A314" s="341" t="s">
        <v>6689</v>
      </c>
      <c r="B314" s="340" t="s">
        <v>5888</v>
      </c>
      <c r="C314" s="340"/>
      <c r="D314" s="340" t="s">
        <v>5888</v>
      </c>
      <c r="E314" s="340" t="s">
        <v>5888</v>
      </c>
      <c r="F314" s="340" t="s">
        <v>5888</v>
      </c>
      <c r="G314" s="340" t="s">
        <v>5888</v>
      </c>
      <c r="H314" s="340" t="s">
        <v>5888</v>
      </c>
      <c r="I314" s="340" t="s">
        <v>5888</v>
      </c>
      <c r="J314" s="340" t="s">
        <v>5888</v>
      </c>
      <c r="K314" s="340" t="s">
        <v>816</v>
      </c>
      <c r="L314" s="340" t="s">
        <v>5888</v>
      </c>
      <c r="M314" s="340" t="s">
        <v>5888</v>
      </c>
      <c r="N314" s="340" t="s">
        <v>5888</v>
      </c>
      <c r="O314" s="340" t="s">
        <v>5888</v>
      </c>
      <c r="P314" s="340"/>
      <c r="Q314" s="45" t="s">
        <v>6288</v>
      </c>
      <c r="R314" s="45"/>
      <c r="S314" s="344"/>
    </row>
    <row r="315" spans="1:19">
      <c r="A315" s="341" t="s">
        <v>6691</v>
      </c>
      <c r="B315" s="340" t="s">
        <v>5888</v>
      </c>
      <c r="C315" s="340"/>
      <c r="D315" s="340" t="s">
        <v>5888</v>
      </c>
      <c r="E315" s="340" t="s">
        <v>816</v>
      </c>
      <c r="F315" s="340" t="s">
        <v>5888</v>
      </c>
      <c r="G315" s="340" t="s">
        <v>816</v>
      </c>
      <c r="H315" s="340" t="s">
        <v>5888</v>
      </c>
      <c r="I315" s="340" t="s">
        <v>5888</v>
      </c>
      <c r="J315" s="340" t="s">
        <v>5888</v>
      </c>
      <c r="K315" s="340" t="s">
        <v>816</v>
      </c>
      <c r="L315" s="340" t="s">
        <v>5888</v>
      </c>
      <c r="M315" s="340" t="s">
        <v>5888</v>
      </c>
      <c r="N315" s="340" t="s">
        <v>5888</v>
      </c>
      <c r="O315" s="340" t="s">
        <v>5888</v>
      </c>
      <c r="P315" s="340"/>
      <c r="Q315" s="45" t="s">
        <v>6287</v>
      </c>
      <c r="R315" s="45"/>
      <c r="S315" s="344"/>
    </row>
    <row r="316" spans="1:19">
      <c r="A316" s="341" t="s">
        <v>6690</v>
      </c>
      <c r="B316" s="340" t="s">
        <v>5888</v>
      </c>
      <c r="C316" s="340" t="s">
        <v>816</v>
      </c>
      <c r="D316" s="340" t="s">
        <v>5888</v>
      </c>
      <c r="E316" s="340"/>
      <c r="F316" s="340" t="s">
        <v>5888</v>
      </c>
      <c r="G316" s="340"/>
      <c r="H316" s="340" t="s">
        <v>5888</v>
      </c>
      <c r="I316" s="340" t="s">
        <v>5888</v>
      </c>
      <c r="J316" s="340" t="s">
        <v>5888</v>
      </c>
      <c r="K316" s="340"/>
      <c r="L316" s="340" t="s">
        <v>5888</v>
      </c>
      <c r="M316" s="340" t="s">
        <v>5888</v>
      </c>
      <c r="N316" s="340" t="s">
        <v>5888</v>
      </c>
      <c r="O316" s="340" t="s">
        <v>5888</v>
      </c>
      <c r="P316" s="340"/>
      <c r="Q316" s="344"/>
      <c r="R316" s="45"/>
      <c r="S316" s="344"/>
    </row>
    <row r="317" spans="1:19">
      <c r="A317" s="341" t="s">
        <v>9195</v>
      </c>
      <c r="B317" s="340"/>
      <c r="C317" s="340"/>
      <c r="D317" s="340"/>
      <c r="E317" s="340" t="s">
        <v>816</v>
      </c>
      <c r="F317" s="340"/>
      <c r="G317" s="340"/>
      <c r="H317" s="340"/>
      <c r="I317" s="340"/>
      <c r="J317" s="340"/>
      <c r="K317" s="340"/>
      <c r="L317" s="340"/>
      <c r="M317" s="340"/>
      <c r="N317" s="340"/>
      <c r="O317" s="340"/>
      <c r="P317" s="340"/>
      <c r="Q317" s="45" t="s">
        <v>9200</v>
      </c>
      <c r="R317" s="45"/>
      <c r="S317" s="344"/>
    </row>
    <row r="318" spans="1:19">
      <c r="A318" s="341" t="s">
        <v>9804</v>
      </c>
      <c r="B318" s="340"/>
      <c r="C318" s="340"/>
      <c r="D318" s="340" t="s">
        <v>816</v>
      </c>
      <c r="E318" s="340"/>
      <c r="F318" s="340"/>
      <c r="G318" s="340"/>
      <c r="H318" s="340"/>
      <c r="I318" s="340"/>
      <c r="J318" s="340"/>
      <c r="K318" s="340"/>
      <c r="L318" s="340"/>
      <c r="M318" s="340"/>
      <c r="N318" s="340"/>
      <c r="O318" s="340"/>
      <c r="P318" s="340"/>
      <c r="Q318" s="343" t="s">
        <v>9805</v>
      </c>
      <c r="R318" s="45"/>
      <c r="S318" s="344"/>
    </row>
    <row r="319" spans="1:19">
      <c r="A319" s="341" t="s">
        <v>6282</v>
      </c>
      <c r="B319" s="340" t="s">
        <v>5888</v>
      </c>
      <c r="C319" s="340"/>
      <c r="D319" s="340" t="s">
        <v>5888</v>
      </c>
      <c r="E319" s="340" t="s">
        <v>5888</v>
      </c>
      <c r="F319" s="340" t="s">
        <v>5888</v>
      </c>
      <c r="G319" s="340" t="s">
        <v>5888</v>
      </c>
      <c r="H319" s="340" t="s">
        <v>816</v>
      </c>
      <c r="I319" s="340" t="s">
        <v>5888</v>
      </c>
      <c r="J319" s="340" t="s">
        <v>5888</v>
      </c>
      <c r="K319" s="340" t="s">
        <v>5888</v>
      </c>
      <c r="L319" s="340" t="s">
        <v>5888</v>
      </c>
      <c r="M319" s="340" t="s">
        <v>5888</v>
      </c>
      <c r="N319" s="340" t="s">
        <v>5888</v>
      </c>
      <c r="O319" s="340" t="s">
        <v>5888</v>
      </c>
      <c r="P319" s="340"/>
      <c r="Q319" s="45" t="s">
        <v>6286</v>
      </c>
      <c r="R319" s="45"/>
      <c r="S319" s="344"/>
    </row>
    <row r="320" spans="1:19">
      <c r="A320" s="341" t="s">
        <v>6282</v>
      </c>
      <c r="B320" s="340" t="s">
        <v>5888</v>
      </c>
      <c r="C320" s="340"/>
      <c r="D320" s="340" t="s">
        <v>5888</v>
      </c>
      <c r="E320" s="340" t="s">
        <v>5888</v>
      </c>
      <c r="F320" s="340" t="s">
        <v>5888</v>
      </c>
      <c r="G320" s="340" t="s">
        <v>5888</v>
      </c>
      <c r="H320" s="340" t="s">
        <v>816</v>
      </c>
      <c r="I320" s="340" t="s">
        <v>5888</v>
      </c>
      <c r="J320" s="340" t="s">
        <v>5888</v>
      </c>
      <c r="K320" s="340" t="s">
        <v>5888</v>
      </c>
      <c r="L320" s="340" t="s">
        <v>5888</v>
      </c>
      <c r="M320" s="340" t="s">
        <v>5888</v>
      </c>
      <c r="N320" s="340" t="s">
        <v>5888</v>
      </c>
      <c r="O320" s="340" t="s">
        <v>5888</v>
      </c>
      <c r="P320" s="340"/>
      <c r="Q320" s="344" t="s">
        <v>6285</v>
      </c>
      <c r="R320" s="45"/>
      <c r="S320" s="344"/>
    </row>
    <row r="321" spans="1:19">
      <c r="A321" s="341" t="s">
        <v>6282</v>
      </c>
      <c r="B321" s="340" t="s">
        <v>5888</v>
      </c>
      <c r="C321" s="340"/>
      <c r="D321" s="340" t="s">
        <v>5888</v>
      </c>
      <c r="E321" s="340" t="s">
        <v>5888</v>
      </c>
      <c r="F321" s="340" t="s">
        <v>5888</v>
      </c>
      <c r="G321" s="340" t="s">
        <v>5888</v>
      </c>
      <c r="H321" s="340" t="s">
        <v>816</v>
      </c>
      <c r="I321" s="340" t="s">
        <v>5888</v>
      </c>
      <c r="J321" s="340" t="s">
        <v>5888</v>
      </c>
      <c r="K321" s="340" t="s">
        <v>5888</v>
      </c>
      <c r="L321" s="340" t="s">
        <v>5888</v>
      </c>
      <c r="M321" s="340" t="s">
        <v>5888</v>
      </c>
      <c r="N321" s="340" t="s">
        <v>5888</v>
      </c>
      <c r="O321" s="340" t="s">
        <v>5888</v>
      </c>
      <c r="P321" s="340"/>
      <c r="Q321" s="45" t="s">
        <v>6284</v>
      </c>
      <c r="R321" s="45"/>
      <c r="S321" s="344"/>
    </row>
    <row r="322" spans="1:19">
      <c r="A322" s="341" t="s">
        <v>6282</v>
      </c>
      <c r="B322" s="340" t="s">
        <v>5888</v>
      </c>
      <c r="C322" s="340"/>
      <c r="D322" s="340" t="s">
        <v>5888</v>
      </c>
      <c r="E322" s="340" t="s">
        <v>5888</v>
      </c>
      <c r="F322" s="340" t="s">
        <v>5888</v>
      </c>
      <c r="G322" s="340" t="s">
        <v>5888</v>
      </c>
      <c r="H322" s="340" t="s">
        <v>816</v>
      </c>
      <c r="I322" s="340" t="s">
        <v>5888</v>
      </c>
      <c r="J322" s="340" t="s">
        <v>5888</v>
      </c>
      <c r="K322" s="340" t="s">
        <v>5888</v>
      </c>
      <c r="L322" s="340" t="s">
        <v>5888</v>
      </c>
      <c r="M322" s="340" t="s">
        <v>5888</v>
      </c>
      <c r="N322" s="340" t="s">
        <v>5888</v>
      </c>
      <c r="O322" s="340" t="s">
        <v>5888</v>
      </c>
      <c r="P322" s="340"/>
      <c r="Q322" s="343" t="s">
        <v>6283</v>
      </c>
      <c r="R322" s="45"/>
      <c r="S322" s="344"/>
    </row>
    <row r="323" spans="1:19">
      <c r="A323" s="341" t="s">
        <v>6282</v>
      </c>
      <c r="B323" s="340" t="s">
        <v>5888</v>
      </c>
      <c r="C323" s="340"/>
      <c r="D323" s="340" t="s">
        <v>5888</v>
      </c>
      <c r="E323" s="340" t="s">
        <v>5888</v>
      </c>
      <c r="F323" s="340" t="s">
        <v>5888</v>
      </c>
      <c r="G323" s="340" t="s">
        <v>5888</v>
      </c>
      <c r="H323" s="340" t="s">
        <v>816</v>
      </c>
      <c r="I323" s="340" t="s">
        <v>5888</v>
      </c>
      <c r="J323" s="340" t="s">
        <v>5888</v>
      </c>
      <c r="K323" s="340" t="s">
        <v>5888</v>
      </c>
      <c r="L323" s="340" t="s">
        <v>5888</v>
      </c>
      <c r="M323" s="340" t="s">
        <v>5888</v>
      </c>
      <c r="N323" s="340" t="s">
        <v>5888</v>
      </c>
      <c r="O323" s="340" t="s">
        <v>5888</v>
      </c>
      <c r="P323" s="340"/>
      <c r="Q323" s="45" t="s">
        <v>6281</v>
      </c>
      <c r="R323" s="45"/>
      <c r="S323" s="344"/>
    </row>
    <row r="324" spans="1:19">
      <c r="A324" s="341" t="s">
        <v>6280</v>
      </c>
      <c r="B324" s="340" t="s">
        <v>5888</v>
      </c>
      <c r="C324" s="340" t="s">
        <v>816</v>
      </c>
      <c r="D324" s="340" t="s">
        <v>5888</v>
      </c>
      <c r="E324" s="340" t="s">
        <v>5888</v>
      </c>
      <c r="F324" s="340" t="s">
        <v>5888</v>
      </c>
      <c r="G324" s="340" t="s">
        <v>5888</v>
      </c>
      <c r="H324" s="340" t="s">
        <v>5888</v>
      </c>
      <c r="I324" s="340" t="s">
        <v>5888</v>
      </c>
      <c r="J324" s="340" t="s">
        <v>5888</v>
      </c>
      <c r="K324" s="340" t="s">
        <v>5888</v>
      </c>
      <c r="L324" s="340" t="s">
        <v>5888</v>
      </c>
      <c r="M324" s="340" t="s">
        <v>5888</v>
      </c>
      <c r="N324" s="340" t="s">
        <v>5888</v>
      </c>
      <c r="O324" s="340" t="s">
        <v>5888</v>
      </c>
      <c r="P324" s="340"/>
      <c r="Q324" s="45" t="s">
        <v>6279</v>
      </c>
      <c r="R324" s="45"/>
      <c r="S324" s="344"/>
    </row>
    <row r="325" spans="1:19">
      <c r="A325" s="341" t="s">
        <v>1763</v>
      </c>
      <c r="B325" s="340" t="s">
        <v>5888</v>
      </c>
      <c r="C325" s="340"/>
      <c r="D325" s="340" t="s">
        <v>5888</v>
      </c>
      <c r="E325" s="340" t="s">
        <v>816</v>
      </c>
      <c r="F325" s="340" t="s">
        <v>5888</v>
      </c>
      <c r="G325" s="340" t="s">
        <v>5888</v>
      </c>
      <c r="H325" s="340" t="s">
        <v>816</v>
      </c>
      <c r="I325" s="340" t="s">
        <v>5888</v>
      </c>
      <c r="J325" s="340" t="s">
        <v>816</v>
      </c>
      <c r="K325" s="340" t="s">
        <v>816</v>
      </c>
      <c r="L325" s="340" t="s">
        <v>816</v>
      </c>
      <c r="M325" s="340" t="s">
        <v>5888</v>
      </c>
      <c r="N325" s="340" t="s">
        <v>5888</v>
      </c>
      <c r="O325" s="340" t="s">
        <v>5888</v>
      </c>
      <c r="P325" s="340"/>
      <c r="Q325" s="342" t="s">
        <v>6278</v>
      </c>
      <c r="R325" s="45"/>
      <c r="S325" s="344"/>
    </row>
    <row r="326" spans="1:19">
      <c r="A326" s="341" t="s">
        <v>6277</v>
      </c>
      <c r="B326" s="340" t="s">
        <v>5888</v>
      </c>
      <c r="C326" s="340"/>
      <c r="D326" s="340" t="s">
        <v>5888</v>
      </c>
      <c r="E326" s="340" t="s">
        <v>816</v>
      </c>
      <c r="F326" s="340" t="s">
        <v>5888</v>
      </c>
      <c r="G326" s="340" t="s">
        <v>5888</v>
      </c>
      <c r="H326" s="340" t="s">
        <v>816</v>
      </c>
      <c r="I326" s="340" t="s">
        <v>5888</v>
      </c>
      <c r="J326" s="340" t="s">
        <v>816</v>
      </c>
      <c r="K326" s="340" t="s">
        <v>816</v>
      </c>
      <c r="L326" s="340" t="s">
        <v>816</v>
      </c>
      <c r="M326" s="340" t="s">
        <v>5888</v>
      </c>
      <c r="N326" s="340" t="s">
        <v>5888</v>
      </c>
      <c r="O326" s="340" t="s">
        <v>5888</v>
      </c>
      <c r="P326" s="340"/>
      <c r="Q326" s="45" t="s">
        <v>6276</v>
      </c>
      <c r="R326" s="45"/>
      <c r="S326" s="344"/>
    </row>
    <row r="327" spans="1:19">
      <c r="A327" s="341" t="s">
        <v>6275</v>
      </c>
      <c r="B327" s="340" t="s">
        <v>816</v>
      </c>
      <c r="C327" s="340"/>
      <c r="D327" s="340" t="s">
        <v>816</v>
      </c>
      <c r="E327" s="340" t="s">
        <v>816</v>
      </c>
      <c r="F327" s="340"/>
      <c r="G327" s="340" t="s">
        <v>5888</v>
      </c>
      <c r="H327" s="340" t="s">
        <v>816</v>
      </c>
      <c r="I327" s="340" t="s">
        <v>816</v>
      </c>
      <c r="J327" s="340" t="s">
        <v>5888</v>
      </c>
      <c r="K327" s="340" t="s">
        <v>5888</v>
      </c>
      <c r="L327" s="340" t="s">
        <v>5888</v>
      </c>
      <c r="M327" s="340" t="s">
        <v>816</v>
      </c>
      <c r="N327" s="340" t="s">
        <v>5888</v>
      </c>
      <c r="O327" s="340" t="s">
        <v>5888</v>
      </c>
      <c r="P327" s="340"/>
      <c r="Q327" s="45" t="s">
        <v>10733</v>
      </c>
      <c r="R327" s="45"/>
      <c r="S327" s="344"/>
    </row>
    <row r="328" spans="1:19">
      <c r="A328" s="341" t="s">
        <v>6274</v>
      </c>
      <c r="B328" s="340"/>
      <c r="C328" s="340"/>
      <c r="D328" s="340"/>
      <c r="E328" s="340" t="s">
        <v>816</v>
      </c>
      <c r="F328" s="340"/>
      <c r="G328" s="340"/>
      <c r="H328" s="340"/>
      <c r="I328" s="340"/>
      <c r="J328" s="340"/>
      <c r="K328" s="340"/>
      <c r="L328" s="340"/>
      <c r="M328" s="340"/>
      <c r="N328" s="340"/>
      <c r="O328" s="340"/>
      <c r="P328" s="340"/>
      <c r="Q328" s="45" t="s">
        <v>6273</v>
      </c>
      <c r="R328" s="45"/>
      <c r="S328" s="344"/>
    </row>
    <row r="329" spans="1:19">
      <c r="A329" s="341" t="s">
        <v>9772</v>
      </c>
      <c r="B329" s="340"/>
      <c r="C329" s="340"/>
      <c r="D329" s="340"/>
      <c r="E329" s="340"/>
      <c r="F329" s="340"/>
      <c r="G329" s="340"/>
      <c r="H329" s="340"/>
      <c r="I329" s="340" t="s">
        <v>816</v>
      </c>
      <c r="J329" s="340"/>
      <c r="K329" s="340" t="s">
        <v>816</v>
      </c>
      <c r="L329" s="340"/>
      <c r="M329" s="340"/>
      <c r="N329" s="340"/>
      <c r="O329" s="340"/>
      <c r="P329" s="340"/>
      <c r="Q329" s="343" t="s">
        <v>9773</v>
      </c>
      <c r="R329" s="45"/>
      <c r="S329" s="344"/>
    </row>
    <row r="330" spans="1:19">
      <c r="A330" s="341" t="s">
        <v>9703</v>
      </c>
      <c r="B330" s="340"/>
      <c r="C330" s="340"/>
      <c r="D330" s="340"/>
      <c r="E330" s="340"/>
      <c r="F330" s="340"/>
      <c r="G330" s="340"/>
      <c r="H330" s="340"/>
      <c r="I330" s="340"/>
      <c r="J330" s="340" t="s">
        <v>816</v>
      </c>
      <c r="K330" s="340" t="s">
        <v>816</v>
      </c>
      <c r="L330" s="340"/>
      <c r="M330" s="340"/>
      <c r="N330" s="340"/>
      <c r="O330" s="340"/>
      <c r="P330" s="340"/>
      <c r="Q330" s="343" t="s">
        <v>9771</v>
      </c>
      <c r="R330" s="45"/>
      <c r="S330" s="344"/>
    </row>
    <row r="331" spans="1:19">
      <c r="A331" s="341" t="s">
        <v>9770</v>
      </c>
      <c r="B331" s="340"/>
      <c r="C331" s="340"/>
      <c r="D331" s="340"/>
      <c r="E331" s="340"/>
      <c r="F331" s="340"/>
      <c r="G331" s="340"/>
      <c r="H331" s="340"/>
      <c r="I331" s="340"/>
      <c r="J331" s="340" t="s">
        <v>816</v>
      </c>
      <c r="K331" s="340" t="s">
        <v>816</v>
      </c>
      <c r="L331" s="340"/>
      <c r="M331" s="340"/>
      <c r="N331" s="340"/>
      <c r="O331" s="340"/>
      <c r="P331" s="340"/>
      <c r="Q331" s="343" t="s">
        <v>9704</v>
      </c>
      <c r="R331" s="45"/>
      <c r="S331" s="344"/>
    </row>
    <row r="332" spans="1:19">
      <c r="A332" s="341" t="s">
        <v>6694</v>
      </c>
      <c r="B332" s="340" t="s">
        <v>5888</v>
      </c>
      <c r="C332" s="340"/>
      <c r="D332" s="340" t="s">
        <v>5888</v>
      </c>
      <c r="E332" s="340" t="s">
        <v>5888</v>
      </c>
      <c r="F332" s="340" t="s">
        <v>5888</v>
      </c>
      <c r="G332" s="340" t="s">
        <v>5888</v>
      </c>
      <c r="H332" s="340" t="s">
        <v>5888</v>
      </c>
      <c r="I332" s="340" t="s">
        <v>5888</v>
      </c>
      <c r="J332" s="340" t="s">
        <v>5888</v>
      </c>
      <c r="K332" s="340" t="s">
        <v>816</v>
      </c>
      <c r="L332" s="340" t="s">
        <v>5888</v>
      </c>
      <c r="M332" s="340" t="s">
        <v>5888</v>
      </c>
      <c r="N332" s="340" t="s">
        <v>5888</v>
      </c>
      <c r="O332" s="340" t="s">
        <v>5888</v>
      </c>
      <c r="P332" s="340"/>
      <c r="Q332" s="45" t="s">
        <v>6270</v>
      </c>
      <c r="R332" s="45"/>
      <c r="S332" s="344"/>
    </row>
    <row r="333" spans="1:19">
      <c r="A333" s="341" t="s">
        <v>6692</v>
      </c>
      <c r="B333" s="340" t="s">
        <v>5888</v>
      </c>
      <c r="C333" s="340" t="s">
        <v>816</v>
      </c>
      <c r="D333" s="340" t="s">
        <v>5888</v>
      </c>
      <c r="E333" s="340" t="s">
        <v>5888</v>
      </c>
      <c r="F333" s="340" t="s">
        <v>5888</v>
      </c>
      <c r="G333" s="340" t="s">
        <v>5888</v>
      </c>
      <c r="H333" s="340" t="s">
        <v>5888</v>
      </c>
      <c r="I333" s="340" t="s">
        <v>5888</v>
      </c>
      <c r="J333" s="340" t="s">
        <v>5888</v>
      </c>
      <c r="K333" s="340"/>
      <c r="L333" s="340" t="s">
        <v>5888</v>
      </c>
      <c r="M333" s="340" t="s">
        <v>5888</v>
      </c>
      <c r="N333" s="340" t="s">
        <v>5888</v>
      </c>
      <c r="O333" s="340" t="s">
        <v>5888</v>
      </c>
      <c r="P333" s="340"/>
      <c r="R333" s="45" t="s">
        <v>6272</v>
      </c>
      <c r="S333" s="344"/>
    </row>
    <row r="334" spans="1:19">
      <c r="A334" s="341" t="s">
        <v>6693</v>
      </c>
      <c r="B334" s="340" t="s">
        <v>5888</v>
      </c>
      <c r="C334" s="340"/>
      <c r="D334" s="340" t="s">
        <v>5888</v>
      </c>
      <c r="E334" s="340" t="s">
        <v>5888</v>
      </c>
      <c r="F334" s="340" t="s">
        <v>5888</v>
      </c>
      <c r="G334" s="340" t="s">
        <v>5888</v>
      </c>
      <c r="H334" s="340" t="s">
        <v>5888</v>
      </c>
      <c r="I334" s="340" t="s">
        <v>5888</v>
      </c>
      <c r="J334" s="340" t="s">
        <v>5888</v>
      </c>
      <c r="K334" s="340" t="s">
        <v>816</v>
      </c>
      <c r="L334" s="340" t="s">
        <v>5888</v>
      </c>
      <c r="M334" s="340" t="s">
        <v>5888</v>
      </c>
      <c r="N334" s="340" t="s">
        <v>5888</v>
      </c>
      <c r="O334" s="340" t="s">
        <v>5888</v>
      </c>
      <c r="P334" s="340"/>
      <c r="Q334" s="45" t="s">
        <v>6271</v>
      </c>
      <c r="R334" s="45"/>
      <c r="S334" s="344"/>
    </row>
    <row r="335" spans="1:19">
      <c r="A335" s="341" t="s">
        <v>9803</v>
      </c>
      <c r="B335" s="340"/>
      <c r="C335" s="340"/>
      <c r="D335" s="340"/>
      <c r="E335" s="340"/>
      <c r="F335" s="340"/>
      <c r="G335" s="340"/>
      <c r="H335" s="340"/>
      <c r="I335" s="340"/>
      <c r="J335" s="340"/>
      <c r="K335" s="340" t="s">
        <v>816</v>
      </c>
      <c r="L335" s="340"/>
      <c r="M335" s="340"/>
      <c r="N335" s="340"/>
      <c r="O335" s="340"/>
      <c r="P335" s="340"/>
      <c r="Q335" s="343" t="s">
        <v>9802</v>
      </c>
      <c r="R335" s="45"/>
      <c r="S335" s="344"/>
    </row>
    <row r="336" spans="1:19">
      <c r="A336" s="341" t="s">
        <v>1630</v>
      </c>
      <c r="B336" s="340" t="s">
        <v>5888</v>
      </c>
      <c r="C336" s="340"/>
      <c r="D336" s="340" t="s">
        <v>5888</v>
      </c>
      <c r="E336" s="340" t="s">
        <v>5888</v>
      </c>
      <c r="F336" s="340" t="s">
        <v>5888</v>
      </c>
      <c r="G336" s="340" t="s">
        <v>5888</v>
      </c>
      <c r="H336" s="340" t="s">
        <v>5888</v>
      </c>
      <c r="I336" s="340" t="s">
        <v>816</v>
      </c>
      <c r="J336" s="340" t="s">
        <v>5888</v>
      </c>
      <c r="K336" s="340" t="s">
        <v>5888</v>
      </c>
      <c r="L336" s="340" t="s">
        <v>5888</v>
      </c>
      <c r="M336" s="340" t="s">
        <v>5888</v>
      </c>
      <c r="N336" s="340" t="s">
        <v>5888</v>
      </c>
      <c r="O336" s="340" t="s">
        <v>5888</v>
      </c>
      <c r="P336" s="340"/>
      <c r="Q336" s="344" t="s">
        <v>6269</v>
      </c>
      <c r="R336" s="45"/>
      <c r="S336" s="344"/>
    </row>
    <row r="337" spans="1:19">
      <c r="A337" s="341" t="s">
        <v>6813</v>
      </c>
      <c r="B337" s="340" t="s">
        <v>816</v>
      </c>
      <c r="C337" s="340"/>
      <c r="D337" s="340" t="s">
        <v>5888</v>
      </c>
      <c r="E337" s="340" t="s">
        <v>5888</v>
      </c>
      <c r="F337" s="340" t="s">
        <v>5888</v>
      </c>
      <c r="G337" s="340" t="s">
        <v>5888</v>
      </c>
      <c r="H337" s="340" t="s">
        <v>5888</v>
      </c>
      <c r="I337" s="340" t="s">
        <v>5888</v>
      </c>
      <c r="J337" s="340" t="s">
        <v>5888</v>
      </c>
      <c r="K337" s="340"/>
      <c r="L337" s="340" t="s">
        <v>5888</v>
      </c>
      <c r="M337" s="340" t="s">
        <v>5888</v>
      </c>
      <c r="N337" s="340" t="s">
        <v>5888</v>
      </c>
      <c r="O337" s="340" t="s">
        <v>5888</v>
      </c>
      <c r="P337" s="340"/>
      <c r="Q337" s="45" t="s">
        <v>6814</v>
      </c>
      <c r="R337" s="45"/>
      <c r="S337" s="344"/>
    </row>
    <row r="338" spans="1:19">
      <c r="A338" s="341" t="s">
        <v>6695</v>
      </c>
      <c r="B338" s="340" t="s">
        <v>5888</v>
      </c>
      <c r="C338" s="340"/>
      <c r="D338" s="340" t="s">
        <v>5888</v>
      </c>
      <c r="E338" s="340" t="s">
        <v>5888</v>
      </c>
      <c r="F338" s="340" t="s">
        <v>5888</v>
      </c>
      <c r="G338" s="340" t="s">
        <v>5888</v>
      </c>
      <c r="H338" s="340"/>
      <c r="I338" s="340" t="s">
        <v>5888</v>
      </c>
      <c r="J338" s="340"/>
      <c r="K338" s="340" t="s">
        <v>816</v>
      </c>
      <c r="L338" s="340" t="s">
        <v>5888</v>
      </c>
      <c r="M338" s="340" t="s">
        <v>5888</v>
      </c>
      <c r="N338" s="340" t="s">
        <v>5888</v>
      </c>
      <c r="O338" s="340" t="s">
        <v>5888</v>
      </c>
      <c r="P338" s="340"/>
      <c r="Q338" s="387" t="s">
        <v>7092</v>
      </c>
      <c r="R338" s="45"/>
      <c r="S338" s="344"/>
    </row>
    <row r="339" spans="1:19">
      <c r="A339" s="341" t="s">
        <v>6696</v>
      </c>
      <c r="B339" s="340" t="s">
        <v>5888</v>
      </c>
      <c r="C339" s="340"/>
      <c r="D339" s="340" t="s">
        <v>5888</v>
      </c>
      <c r="E339" s="340" t="s">
        <v>5888</v>
      </c>
      <c r="F339" s="340" t="s">
        <v>5888</v>
      </c>
      <c r="G339" s="340" t="s">
        <v>5888</v>
      </c>
      <c r="H339" s="340"/>
      <c r="I339" s="340" t="s">
        <v>5888</v>
      </c>
      <c r="J339" s="340"/>
      <c r="K339" s="340" t="s">
        <v>816</v>
      </c>
      <c r="L339" s="340" t="s">
        <v>5888</v>
      </c>
      <c r="M339" s="340" t="s">
        <v>5888</v>
      </c>
      <c r="N339" s="340" t="s">
        <v>5888</v>
      </c>
      <c r="O339" s="340" t="s">
        <v>5888</v>
      </c>
      <c r="P339" s="340"/>
      <c r="Q339" s="45" t="s">
        <v>6268</v>
      </c>
      <c r="R339" s="45"/>
      <c r="S339" s="344"/>
    </row>
    <row r="340" spans="1:19">
      <c r="A340" s="341" t="s">
        <v>6697</v>
      </c>
      <c r="B340" s="340" t="s">
        <v>5888</v>
      </c>
      <c r="C340" s="340"/>
      <c r="D340" s="340" t="s">
        <v>5888</v>
      </c>
      <c r="E340" s="340" t="s">
        <v>5888</v>
      </c>
      <c r="F340" s="340" t="s">
        <v>5888</v>
      </c>
      <c r="G340" s="340" t="s">
        <v>5888</v>
      </c>
      <c r="H340" s="340"/>
      <c r="I340" s="340" t="s">
        <v>5888</v>
      </c>
      <c r="J340" s="340"/>
      <c r="K340" s="340" t="s">
        <v>816</v>
      </c>
      <c r="L340" s="340" t="s">
        <v>5888</v>
      </c>
      <c r="M340" s="340" t="s">
        <v>5888</v>
      </c>
      <c r="N340" s="340" t="s">
        <v>5888</v>
      </c>
      <c r="O340" s="340" t="s">
        <v>5888</v>
      </c>
      <c r="P340" s="340"/>
      <c r="Q340" s="45" t="s">
        <v>6267</v>
      </c>
      <c r="R340" s="45"/>
      <c r="S340" s="344"/>
    </row>
    <row r="341" spans="1:19">
      <c r="A341" s="341" t="s">
        <v>9196</v>
      </c>
      <c r="B341" s="340"/>
      <c r="C341" s="340"/>
      <c r="D341" s="340"/>
      <c r="E341" s="340"/>
      <c r="F341" s="340"/>
      <c r="G341" s="340" t="s">
        <v>816</v>
      </c>
      <c r="H341" s="340"/>
      <c r="I341" s="340"/>
      <c r="J341" s="340"/>
      <c r="K341" s="340" t="s">
        <v>816</v>
      </c>
      <c r="L341" s="340" t="s">
        <v>816</v>
      </c>
      <c r="M341" s="340"/>
      <c r="N341" s="340"/>
      <c r="O341" s="340"/>
      <c r="P341" s="340"/>
      <c r="Q341" s="343" t="s">
        <v>9201</v>
      </c>
      <c r="R341" s="45"/>
      <c r="S341" s="344"/>
    </row>
    <row r="342" spans="1:19">
      <c r="A342" s="341" t="s">
        <v>3501</v>
      </c>
      <c r="B342" s="340" t="s">
        <v>5888</v>
      </c>
      <c r="C342" s="340"/>
      <c r="D342" s="340" t="s">
        <v>816</v>
      </c>
      <c r="E342" s="340" t="s">
        <v>5888</v>
      </c>
      <c r="F342" s="340" t="s">
        <v>5888</v>
      </c>
      <c r="G342" s="340" t="s">
        <v>5888</v>
      </c>
      <c r="H342" s="340" t="s">
        <v>5888</v>
      </c>
      <c r="I342" s="340" t="s">
        <v>5888</v>
      </c>
      <c r="J342" s="340" t="s">
        <v>5888</v>
      </c>
      <c r="K342" s="340" t="s">
        <v>5888</v>
      </c>
      <c r="L342" s="340" t="s">
        <v>5888</v>
      </c>
      <c r="M342" s="340" t="s">
        <v>5888</v>
      </c>
      <c r="N342" s="340" t="s">
        <v>5888</v>
      </c>
      <c r="O342" s="340" t="s">
        <v>5888</v>
      </c>
      <c r="P342" s="340"/>
      <c r="Q342" s="45" t="s">
        <v>6266</v>
      </c>
      <c r="R342" s="45"/>
      <c r="S342" s="344"/>
    </row>
    <row r="343" spans="1:19">
      <c r="A343" s="341" t="s">
        <v>1216</v>
      </c>
      <c r="B343" s="340" t="s">
        <v>5888</v>
      </c>
      <c r="C343" s="340"/>
      <c r="D343" s="340" t="s">
        <v>5888</v>
      </c>
      <c r="E343" s="340" t="s">
        <v>5888</v>
      </c>
      <c r="F343" s="340" t="s">
        <v>5888</v>
      </c>
      <c r="G343" s="340" t="s">
        <v>816</v>
      </c>
      <c r="H343" s="340" t="s">
        <v>5888</v>
      </c>
      <c r="I343" s="340" t="s">
        <v>5888</v>
      </c>
      <c r="J343" s="340" t="s">
        <v>5888</v>
      </c>
      <c r="K343" s="340" t="s">
        <v>5888</v>
      </c>
      <c r="L343" s="340" t="s">
        <v>5888</v>
      </c>
      <c r="M343" s="340" t="s">
        <v>5888</v>
      </c>
      <c r="N343" s="340" t="s">
        <v>5888</v>
      </c>
      <c r="O343" s="340" t="s">
        <v>5888</v>
      </c>
      <c r="P343" s="340"/>
      <c r="Q343" s="45" t="s">
        <v>6265</v>
      </c>
      <c r="R343" s="45"/>
      <c r="S343" s="344"/>
    </row>
    <row r="344" spans="1:19">
      <c r="A344" s="341" t="s">
        <v>6698</v>
      </c>
      <c r="B344" s="340" t="s">
        <v>5888</v>
      </c>
      <c r="C344" s="340"/>
      <c r="D344" s="340" t="s">
        <v>5888</v>
      </c>
      <c r="E344" s="340" t="s">
        <v>5888</v>
      </c>
      <c r="F344" s="340" t="s">
        <v>5888</v>
      </c>
      <c r="G344" s="340" t="s">
        <v>816</v>
      </c>
      <c r="H344" s="340" t="s">
        <v>5888</v>
      </c>
      <c r="I344" s="340" t="s">
        <v>5888</v>
      </c>
      <c r="J344" s="340" t="s">
        <v>5888</v>
      </c>
      <c r="K344" s="340" t="s">
        <v>5888</v>
      </c>
      <c r="L344" s="340" t="s">
        <v>5888</v>
      </c>
      <c r="M344" s="340" t="s">
        <v>5888</v>
      </c>
      <c r="N344" s="340" t="s">
        <v>5888</v>
      </c>
      <c r="O344" s="340" t="s">
        <v>5888</v>
      </c>
      <c r="P344" s="340"/>
      <c r="Q344" s="45" t="s">
        <v>6264</v>
      </c>
      <c r="R344" s="45"/>
      <c r="S344" s="344"/>
    </row>
    <row r="345" spans="1:19">
      <c r="A345" s="341" t="s">
        <v>6699</v>
      </c>
      <c r="B345" s="340" t="s">
        <v>5888</v>
      </c>
      <c r="C345" s="340"/>
      <c r="D345" s="340" t="s">
        <v>5888</v>
      </c>
      <c r="E345" s="340" t="s">
        <v>5888</v>
      </c>
      <c r="F345" s="340" t="s">
        <v>5888</v>
      </c>
      <c r="G345" s="340" t="s">
        <v>816</v>
      </c>
      <c r="H345" s="340" t="s">
        <v>5888</v>
      </c>
      <c r="I345" s="340" t="s">
        <v>5888</v>
      </c>
      <c r="J345" s="340" t="s">
        <v>5888</v>
      </c>
      <c r="K345" s="340" t="s">
        <v>5888</v>
      </c>
      <c r="L345" s="340" t="s">
        <v>5888</v>
      </c>
      <c r="M345" s="340" t="s">
        <v>5888</v>
      </c>
      <c r="N345" s="340" t="s">
        <v>5888</v>
      </c>
      <c r="O345" s="340" t="s">
        <v>5888</v>
      </c>
      <c r="P345" s="340"/>
      <c r="Q345" s="45" t="s">
        <v>6263</v>
      </c>
      <c r="R345" s="45"/>
      <c r="S345" s="344"/>
    </row>
    <row r="346" spans="1:19">
      <c r="A346" s="341" t="s">
        <v>3388</v>
      </c>
      <c r="B346" s="340" t="s">
        <v>5888</v>
      </c>
      <c r="C346" s="340"/>
      <c r="D346" s="340" t="s">
        <v>5888</v>
      </c>
      <c r="E346" s="340" t="s">
        <v>5888</v>
      </c>
      <c r="F346" s="340" t="s">
        <v>5888</v>
      </c>
      <c r="G346" s="340" t="s">
        <v>5888</v>
      </c>
      <c r="H346" s="340" t="s">
        <v>5888</v>
      </c>
      <c r="I346" s="340" t="s">
        <v>5888</v>
      </c>
      <c r="J346" s="340" t="s">
        <v>5888</v>
      </c>
      <c r="K346" s="340" t="s">
        <v>816</v>
      </c>
      <c r="L346" s="340" t="s">
        <v>5888</v>
      </c>
      <c r="M346" s="340" t="s">
        <v>5888</v>
      </c>
      <c r="N346" s="340" t="s">
        <v>5888</v>
      </c>
      <c r="O346" s="340" t="s">
        <v>5888</v>
      </c>
      <c r="P346" s="340"/>
      <c r="Q346" s="45" t="s">
        <v>6262</v>
      </c>
      <c r="R346" s="45"/>
      <c r="S346" s="344"/>
    </row>
    <row r="347" spans="1:19">
      <c r="A347" s="341" t="s">
        <v>2868</v>
      </c>
      <c r="B347" s="340"/>
      <c r="C347" s="340" t="s">
        <v>816</v>
      </c>
      <c r="D347" s="340"/>
      <c r="E347" s="340"/>
      <c r="F347" s="340"/>
      <c r="G347" s="340"/>
      <c r="H347" s="340"/>
      <c r="I347" s="340"/>
      <c r="J347" s="340"/>
      <c r="K347" s="340"/>
      <c r="L347" s="340"/>
      <c r="M347" s="340"/>
      <c r="N347" s="340"/>
      <c r="O347" s="340"/>
      <c r="P347" s="340"/>
      <c r="Q347" s="45" t="s">
        <v>6261</v>
      </c>
      <c r="R347" s="45" t="s">
        <v>6261</v>
      </c>
      <c r="S347" s="344" t="s">
        <v>7057</v>
      </c>
    </row>
    <row r="348" spans="1:19">
      <c r="A348" s="341" t="s">
        <v>6260</v>
      </c>
      <c r="B348" s="340" t="s">
        <v>5888</v>
      </c>
      <c r="C348" s="340"/>
      <c r="D348" s="340" t="s">
        <v>5888</v>
      </c>
      <c r="E348" s="340" t="s">
        <v>5888</v>
      </c>
      <c r="F348" s="340" t="s">
        <v>5888</v>
      </c>
      <c r="G348" s="340" t="s">
        <v>5888</v>
      </c>
      <c r="H348" s="340" t="s">
        <v>816</v>
      </c>
      <c r="I348" s="340" t="s">
        <v>5888</v>
      </c>
      <c r="J348" s="340" t="s">
        <v>816</v>
      </c>
      <c r="K348" s="340" t="s">
        <v>816</v>
      </c>
      <c r="L348" s="340" t="s">
        <v>5888</v>
      </c>
      <c r="M348" s="340" t="s">
        <v>5888</v>
      </c>
      <c r="N348" s="340" t="s">
        <v>5888</v>
      </c>
      <c r="O348" s="340" t="s">
        <v>5888</v>
      </c>
      <c r="P348" s="340"/>
      <c r="Q348" s="45" t="s">
        <v>6259</v>
      </c>
      <c r="R348" s="45"/>
      <c r="S348" s="344"/>
    </row>
    <row r="349" spans="1:19">
      <c r="A349" s="341" t="s">
        <v>6258</v>
      </c>
      <c r="B349" s="340" t="s">
        <v>5888</v>
      </c>
      <c r="C349" s="340"/>
      <c r="D349" s="340" t="s">
        <v>5888</v>
      </c>
      <c r="E349" s="340" t="s">
        <v>5888</v>
      </c>
      <c r="F349" s="340" t="s">
        <v>5888</v>
      </c>
      <c r="G349" s="340" t="s">
        <v>5888</v>
      </c>
      <c r="H349" s="340" t="s">
        <v>816</v>
      </c>
      <c r="I349" s="340" t="s">
        <v>5888</v>
      </c>
      <c r="J349" s="340" t="s">
        <v>816</v>
      </c>
      <c r="K349" s="340" t="s">
        <v>816</v>
      </c>
      <c r="L349" s="340" t="s">
        <v>5888</v>
      </c>
      <c r="M349" s="340" t="s">
        <v>5888</v>
      </c>
      <c r="N349" s="340" t="s">
        <v>5888</v>
      </c>
      <c r="O349" s="340" t="s">
        <v>5888</v>
      </c>
      <c r="P349" s="340"/>
      <c r="Q349" s="45" t="s">
        <v>6257</v>
      </c>
      <c r="R349" s="45"/>
      <c r="S349" s="344"/>
    </row>
    <row r="350" spans="1:19">
      <c r="A350" s="341" t="s">
        <v>6256</v>
      </c>
      <c r="B350" s="340" t="s">
        <v>5888</v>
      </c>
      <c r="C350" s="340"/>
      <c r="D350" s="340" t="s">
        <v>816</v>
      </c>
      <c r="E350" s="340" t="s">
        <v>5888</v>
      </c>
      <c r="F350" s="340" t="s">
        <v>5888</v>
      </c>
      <c r="G350" s="340" t="s">
        <v>5888</v>
      </c>
      <c r="H350" s="340" t="s">
        <v>5888</v>
      </c>
      <c r="I350" s="340" t="s">
        <v>5888</v>
      </c>
      <c r="J350" s="340" t="s">
        <v>5888</v>
      </c>
      <c r="K350" s="340" t="s">
        <v>5888</v>
      </c>
      <c r="L350" s="340" t="s">
        <v>5888</v>
      </c>
      <c r="M350" s="340" t="s">
        <v>5888</v>
      </c>
      <c r="N350" s="340" t="s">
        <v>5888</v>
      </c>
      <c r="O350" s="340" t="s">
        <v>5888</v>
      </c>
      <c r="P350" s="340"/>
      <c r="Q350" s="45" t="s">
        <v>6255</v>
      </c>
      <c r="R350" s="45"/>
      <c r="S350" s="344"/>
    </row>
    <row r="351" spans="1:19">
      <c r="A351" s="341" t="s">
        <v>7997</v>
      </c>
      <c r="B351" s="340" t="s">
        <v>5888</v>
      </c>
      <c r="C351" s="340"/>
      <c r="D351" s="340" t="s">
        <v>5888</v>
      </c>
      <c r="E351" s="340" t="s">
        <v>5888</v>
      </c>
      <c r="F351" s="340" t="s">
        <v>5888</v>
      </c>
      <c r="G351" s="340"/>
      <c r="H351" s="340" t="s">
        <v>5888</v>
      </c>
      <c r="I351" s="340" t="s">
        <v>5888</v>
      </c>
      <c r="J351" s="340"/>
      <c r="K351" s="340" t="s">
        <v>816</v>
      </c>
      <c r="L351" s="340" t="s">
        <v>5888</v>
      </c>
      <c r="M351" s="340" t="s">
        <v>5888</v>
      </c>
      <c r="N351" s="340" t="s">
        <v>5888</v>
      </c>
      <c r="O351" s="340" t="s">
        <v>5888</v>
      </c>
      <c r="P351" s="340"/>
      <c r="Q351" s="387" t="s">
        <v>7996</v>
      </c>
      <c r="R351" s="45"/>
      <c r="S351" s="344"/>
    </row>
    <row r="352" spans="1:19">
      <c r="A352" s="341" t="s">
        <v>6254</v>
      </c>
      <c r="B352" s="340"/>
      <c r="C352" s="340"/>
      <c r="D352" s="340"/>
      <c r="E352" s="340" t="s">
        <v>816</v>
      </c>
      <c r="F352" s="340"/>
      <c r="G352" s="340"/>
      <c r="H352" s="340"/>
      <c r="I352" s="340"/>
      <c r="J352" s="340"/>
      <c r="K352" s="340"/>
      <c r="L352" s="340"/>
      <c r="M352" s="340"/>
      <c r="N352" s="340"/>
      <c r="O352" s="340"/>
      <c r="P352" s="340"/>
      <c r="Q352" s="45" t="s">
        <v>6253</v>
      </c>
      <c r="R352" s="45"/>
      <c r="S352" s="344"/>
    </row>
    <row r="353" spans="1:19">
      <c r="A353" s="341" t="s">
        <v>6252</v>
      </c>
      <c r="B353" s="340" t="s">
        <v>5888</v>
      </c>
      <c r="C353" s="340" t="s">
        <v>816</v>
      </c>
      <c r="D353" s="340" t="s">
        <v>5888</v>
      </c>
      <c r="E353" s="340" t="s">
        <v>5888</v>
      </c>
      <c r="F353" s="340" t="s">
        <v>5888</v>
      </c>
      <c r="G353" s="340" t="s">
        <v>5888</v>
      </c>
      <c r="H353" s="340" t="s">
        <v>5888</v>
      </c>
      <c r="I353" s="340" t="s">
        <v>5888</v>
      </c>
      <c r="J353" s="340" t="s">
        <v>5888</v>
      </c>
      <c r="K353" s="340" t="s">
        <v>5888</v>
      </c>
      <c r="L353" s="340" t="s">
        <v>5888</v>
      </c>
      <c r="M353" s="340" t="s">
        <v>5888</v>
      </c>
      <c r="N353" s="340" t="s">
        <v>5888</v>
      </c>
      <c r="O353" s="340" t="s">
        <v>5888</v>
      </c>
      <c r="P353" s="340"/>
      <c r="Q353" s="342" t="s">
        <v>6251</v>
      </c>
      <c r="R353" s="45"/>
      <c r="S353" s="344"/>
    </row>
    <row r="354" spans="1:19">
      <c r="A354" s="341" t="s">
        <v>884</v>
      </c>
      <c r="B354" s="340" t="s">
        <v>5888</v>
      </c>
      <c r="C354" s="340"/>
      <c r="D354" s="340" t="s">
        <v>5888</v>
      </c>
      <c r="E354" s="340" t="s">
        <v>816</v>
      </c>
      <c r="F354" s="340" t="s">
        <v>5888</v>
      </c>
      <c r="G354" s="340" t="s">
        <v>5888</v>
      </c>
      <c r="H354" s="340" t="s">
        <v>5888</v>
      </c>
      <c r="I354" s="340" t="s">
        <v>5888</v>
      </c>
      <c r="J354" s="340" t="s">
        <v>5888</v>
      </c>
      <c r="K354" s="340" t="s">
        <v>5888</v>
      </c>
      <c r="L354" s="340" t="s">
        <v>5888</v>
      </c>
      <c r="M354" s="340" t="s">
        <v>5888</v>
      </c>
      <c r="N354" s="340" t="s">
        <v>5888</v>
      </c>
      <c r="O354" s="340" t="s">
        <v>5888</v>
      </c>
      <c r="P354" s="340"/>
      <c r="Q354" s="45" t="s">
        <v>6250</v>
      </c>
      <c r="R354" s="45"/>
      <c r="S354" s="344"/>
    </row>
    <row r="355" spans="1:19">
      <c r="A355" s="341" t="s">
        <v>7004</v>
      </c>
      <c r="B355" s="340" t="s">
        <v>5888</v>
      </c>
      <c r="C355" s="340"/>
      <c r="D355" s="340" t="s">
        <v>5888</v>
      </c>
      <c r="E355" s="340" t="s">
        <v>5888</v>
      </c>
      <c r="F355" s="340" t="s">
        <v>5888</v>
      </c>
      <c r="G355" s="340" t="s">
        <v>816</v>
      </c>
      <c r="H355" s="340" t="s">
        <v>816</v>
      </c>
      <c r="I355" s="340" t="s">
        <v>816</v>
      </c>
      <c r="J355" s="340" t="s">
        <v>816</v>
      </c>
      <c r="K355" s="340" t="s">
        <v>816</v>
      </c>
      <c r="L355" s="340" t="s">
        <v>816</v>
      </c>
      <c r="M355" s="340" t="s">
        <v>5888</v>
      </c>
      <c r="N355" s="340" t="s">
        <v>5888</v>
      </c>
      <c r="O355" s="340" t="s">
        <v>5888</v>
      </c>
      <c r="P355" s="340"/>
      <c r="Q355" s="387" t="s">
        <v>6249</v>
      </c>
      <c r="R355" s="45"/>
      <c r="S355" s="344"/>
    </row>
    <row r="356" spans="1:19">
      <c r="A356" s="341" t="s">
        <v>6248</v>
      </c>
      <c r="B356" s="340" t="s">
        <v>5888</v>
      </c>
      <c r="C356" s="340"/>
      <c r="D356" s="340" t="s">
        <v>816</v>
      </c>
      <c r="E356" s="340" t="s">
        <v>5888</v>
      </c>
      <c r="F356" s="340" t="s">
        <v>5888</v>
      </c>
      <c r="G356" s="340" t="s">
        <v>816</v>
      </c>
      <c r="H356" s="340" t="s">
        <v>5888</v>
      </c>
      <c r="I356" s="340" t="s">
        <v>816</v>
      </c>
      <c r="J356" s="340" t="s">
        <v>816</v>
      </c>
      <c r="K356" s="340" t="s">
        <v>816</v>
      </c>
      <c r="L356" s="340" t="s">
        <v>816</v>
      </c>
      <c r="M356" s="340" t="s">
        <v>5888</v>
      </c>
      <c r="N356" s="340" t="s">
        <v>5888</v>
      </c>
      <c r="O356" s="340" t="s">
        <v>5888</v>
      </c>
      <c r="P356" s="340"/>
      <c r="Q356" s="45" t="s">
        <v>6247</v>
      </c>
      <c r="R356" s="45"/>
      <c r="S356" s="344"/>
    </row>
    <row r="357" spans="1:19">
      <c r="A357" s="341" t="s">
        <v>6702</v>
      </c>
      <c r="B357" s="340" t="s">
        <v>5888</v>
      </c>
      <c r="C357" s="340"/>
      <c r="D357" s="340" t="s">
        <v>5888</v>
      </c>
      <c r="E357" s="340" t="s">
        <v>816</v>
      </c>
      <c r="F357" s="340" t="s">
        <v>5888</v>
      </c>
      <c r="G357" s="340" t="s">
        <v>5888</v>
      </c>
      <c r="H357" s="340" t="s">
        <v>5888</v>
      </c>
      <c r="I357" s="340" t="s">
        <v>5888</v>
      </c>
      <c r="J357" s="340" t="s">
        <v>5888</v>
      </c>
      <c r="K357" s="340" t="s">
        <v>5888</v>
      </c>
      <c r="L357" s="340" t="s">
        <v>5888</v>
      </c>
      <c r="M357" s="340" t="s">
        <v>5888</v>
      </c>
      <c r="N357" s="340" t="s">
        <v>5888</v>
      </c>
      <c r="O357" s="340" t="s">
        <v>5888</v>
      </c>
      <c r="P357" s="340"/>
      <c r="Q357" s="45" t="s">
        <v>6244</v>
      </c>
      <c r="R357" s="45"/>
      <c r="S357" s="344"/>
    </row>
    <row r="358" spans="1:19">
      <c r="A358" s="341" t="s">
        <v>6700</v>
      </c>
      <c r="B358" s="340" t="s">
        <v>5888</v>
      </c>
      <c r="C358" s="340"/>
      <c r="D358" s="340" t="s">
        <v>5888</v>
      </c>
      <c r="E358" s="340" t="s">
        <v>816</v>
      </c>
      <c r="F358" s="340" t="s">
        <v>5888</v>
      </c>
      <c r="G358" s="340" t="s">
        <v>5888</v>
      </c>
      <c r="H358" s="340" t="s">
        <v>5888</v>
      </c>
      <c r="I358" s="340" t="s">
        <v>5888</v>
      </c>
      <c r="J358" s="340" t="s">
        <v>5888</v>
      </c>
      <c r="K358" s="340" t="s">
        <v>5888</v>
      </c>
      <c r="L358" s="340" t="s">
        <v>5888</v>
      </c>
      <c r="M358" s="340" t="s">
        <v>5888</v>
      </c>
      <c r="N358" s="340" t="s">
        <v>5888</v>
      </c>
      <c r="O358" s="340" t="s">
        <v>5888</v>
      </c>
      <c r="P358" s="340"/>
      <c r="Q358" s="45" t="s">
        <v>6246</v>
      </c>
      <c r="R358" s="45"/>
      <c r="S358" s="344"/>
    </row>
    <row r="359" spans="1:19">
      <c r="A359" s="341" t="s">
        <v>6701</v>
      </c>
      <c r="B359" s="340" t="s">
        <v>5888</v>
      </c>
      <c r="C359" s="340"/>
      <c r="D359" s="340" t="s">
        <v>5888</v>
      </c>
      <c r="E359" s="340" t="s">
        <v>816</v>
      </c>
      <c r="F359" s="340" t="s">
        <v>5888</v>
      </c>
      <c r="G359" s="340" t="s">
        <v>5888</v>
      </c>
      <c r="H359" s="340" t="s">
        <v>5888</v>
      </c>
      <c r="I359" s="340" t="s">
        <v>5888</v>
      </c>
      <c r="J359" s="340" t="s">
        <v>5888</v>
      </c>
      <c r="K359" s="340" t="s">
        <v>5888</v>
      </c>
      <c r="L359" s="340" t="s">
        <v>5888</v>
      </c>
      <c r="M359" s="340" t="s">
        <v>5888</v>
      </c>
      <c r="N359" s="340" t="s">
        <v>5888</v>
      </c>
      <c r="O359" s="340" t="s">
        <v>5888</v>
      </c>
      <c r="P359" s="340"/>
      <c r="Q359" s="45" t="s">
        <v>6245</v>
      </c>
      <c r="R359" s="45"/>
      <c r="S359" s="344"/>
    </row>
    <row r="360" spans="1:19">
      <c r="A360" s="341" t="s">
        <v>8042</v>
      </c>
      <c r="B360" s="340"/>
      <c r="C360" s="340"/>
      <c r="D360" s="340"/>
      <c r="E360" s="340" t="s">
        <v>816</v>
      </c>
      <c r="F360" s="340"/>
      <c r="G360" s="340"/>
      <c r="H360" s="340"/>
      <c r="I360" s="340"/>
      <c r="J360" s="340"/>
      <c r="K360" s="340"/>
      <c r="L360" s="340"/>
      <c r="M360" s="340"/>
      <c r="N360" s="340"/>
      <c r="O360" s="340"/>
      <c r="P360" s="340"/>
      <c r="Q360" s="45" t="s">
        <v>8041</v>
      </c>
      <c r="R360" s="45"/>
      <c r="S360" s="344"/>
    </row>
    <row r="361" spans="1:19">
      <c r="A361" s="341" t="s">
        <v>6243</v>
      </c>
      <c r="B361" s="340" t="s">
        <v>5888</v>
      </c>
      <c r="C361" s="340"/>
      <c r="D361" s="340" t="s">
        <v>5888</v>
      </c>
      <c r="E361" s="340" t="s">
        <v>5888</v>
      </c>
      <c r="F361" s="340" t="s">
        <v>5888</v>
      </c>
      <c r="G361" s="340" t="s">
        <v>5888</v>
      </c>
      <c r="H361" s="340" t="s">
        <v>5888</v>
      </c>
      <c r="I361" s="340" t="s">
        <v>816</v>
      </c>
      <c r="J361" s="340" t="s">
        <v>5888</v>
      </c>
      <c r="K361" s="340" t="s">
        <v>816</v>
      </c>
      <c r="L361" s="340" t="s">
        <v>5888</v>
      </c>
      <c r="M361" s="340" t="s">
        <v>5888</v>
      </c>
      <c r="N361" s="340" t="s">
        <v>5888</v>
      </c>
      <c r="O361" s="340" t="s">
        <v>5888</v>
      </c>
      <c r="P361" s="340"/>
      <c r="Q361" s="45" t="s">
        <v>6242</v>
      </c>
      <c r="R361" s="45"/>
      <c r="S361" s="344"/>
    </row>
    <row r="362" spans="1:19">
      <c r="A362" s="341" t="s">
        <v>4371</v>
      </c>
      <c r="B362" s="340" t="s">
        <v>5888</v>
      </c>
      <c r="C362" s="340"/>
      <c r="D362" s="340" t="s">
        <v>5888</v>
      </c>
      <c r="E362" s="340" t="s">
        <v>5888</v>
      </c>
      <c r="F362" s="340" t="s">
        <v>5888</v>
      </c>
      <c r="G362" s="340" t="s">
        <v>5888</v>
      </c>
      <c r="H362" s="340" t="s">
        <v>5888</v>
      </c>
      <c r="I362" s="340" t="s">
        <v>5888</v>
      </c>
      <c r="J362" s="340" t="s">
        <v>816</v>
      </c>
      <c r="K362" s="340" t="s">
        <v>816</v>
      </c>
      <c r="L362" s="340" t="s">
        <v>5888</v>
      </c>
      <c r="M362" s="340" t="s">
        <v>5888</v>
      </c>
      <c r="N362" s="340" t="s">
        <v>5888</v>
      </c>
      <c r="O362" s="340" t="s">
        <v>5888</v>
      </c>
      <c r="P362" s="340"/>
      <c r="Q362" s="343" t="s">
        <v>8390</v>
      </c>
      <c r="R362" s="45"/>
      <c r="S362" s="344"/>
    </row>
    <row r="363" spans="1:19">
      <c r="A363" s="341" t="s">
        <v>6241</v>
      </c>
      <c r="B363" s="340" t="s">
        <v>5888</v>
      </c>
      <c r="C363" s="340"/>
      <c r="D363" s="340" t="s">
        <v>5888</v>
      </c>
      <c r="E363" s="340" t="s">
        <v>5888</v>
      </c>
      <c r="F363" s="340" t="s">
        <v>5888</v>
      </c>
      <c r="G363" s="340" t="s">
        <v>5888</v>
      </c>
      <c r="H363" s="340" t="s">
        <v>5888</v>
      </c>
      <c r="I363" s="340" t="s">
        <v>5888</v>
      </c>
      <c r="J363" s="340" t="s">
        <v>816</v>
      </c>
      <c r="K363" s="340" t="s">
        <v>816</v>
      </c>
      <c r="L363" s="340" t="s">
        <v>5888</v>
      </c>
      <c r="M363" s="340" t="s">
        <v>5888</v>
      </c>
      <c r="N363" s="340" t="s">
        <v>5888</v>
      </c>
      <c r="O363" s="340" t="s">
        <v>5888</v>
      </c>
      <c r="P363" s="340"/>
      <c r="Q363" s="45" t="s">
        <v>6240</v>
      </c>
      <c r="R363" s="45"/>
      <c r="S363" s="344"/>
    </row>
    <row r="364" spans="1:19">
      <c r="A364" s="341" t="s">
        <v>1755</v>
      </c>
      <c r="B364" s="340" t="s">
        <v>816</v>
      </c>
      <c r="C364" s="340"/>
      <c r="D364" s="340" t="s">
        <v>5888</v>
      </c>
      <c r="E364" s="340" t="s">
        <v>5888</v>
      </c>
      <c r="F364" s="340" t="s">
        <v>5888</v>
      </c>
      <c r="G364" s="340" t="s">
        <v>816</v>
      </c>
      <c r="H364" s="340" t="s">
        <v>816</v>
      </c>
      <c r="I364" s="340" t="s">
        <v>816</v>
      </c>
      <c r="J364" s="340" t="s">
        <v>5888</v>
      </c>
      <c r="K364" s="340" t="s">
        <v>816</v>
      </c>
      <c r="L364" s="340" t="s">
        <v>816</v>
      </c>
      <c r="M364" s="340" t="s">
        <v>5888</v>
      </c>
      <c r="N364" s="340" t="s">
        <v>5888</v>
      </c>
      <c r="O364" s="340" t="s">
        <v>816</v>
      </c>
      <c r="P364" s="340"/>
      <c r="Q364" s="343" t="s">
        <v>6239</v>
      </c>
      <c r="R364" s="45"/>
      <c r="S364" s="344"/>
    </row>
    <row r="365" spans="1:19">
      <c r="A365" s="341" t="s">
        <v>8693</v>
      </c>
      <c r="B365" s="340" t="s">
        <v>5888</v>
      </c>
      <c r="C365" s="340"/>
      <c r="D365" s="340" t="s">
        <v>5888</v>
      </c>
      <c r="E365" s="340" t="s">
        <v>5888</v>
      </c>
      <c r="F365" s="340" t="s">
        <v>5888</v>
      </c>
      <c r="G365" s="340" t="s">
        <v>816</v>
      </c>
      <c r="H365" s="340" t="s">
        <v>5888</v>
      </c>
      <c r="I365" s="340" t="s">
        <v>5888</v>
      </c>
      <c r="J365" s="340" t="s">
        <v>816</v>
      </c>
      <c r="K365" s="340" t="s">
        <v>816</v>
      </c>
      <c r="L365" s="340" t="s">
        <v>5888</v>
      </c>
      <c r="M365" s="340" t="s">
        <v>5888</v>
      </c>
      <c r="N365" s="340" t="s">
        <v>5888</v>
      </c>
      <c r="O365" s="340" t="s">
        <v>5888</v>
      </c>
      <c r="P365" s="340"/>
      <c r="Q365" s="45" t="s">
        <v>8692</v>
      </c>
      <c r="R365" s="45"/>
      <c r="S365" s="344"/>
    </row>
    <row r="366" spans="1:19">
      <c r="A366" s="341" t="s">
        <v>768</v>
      </c>
      <c r="B366" s="340" t="s">
        <v>5888</v>
      </c>
      <c r="C366" s="340"/>
      <c r="D366" s="340" t="s">
        <v>5888</v>
      </c>
      <c r="E366" s="340" t="s">
        <v>5888</v>
      </c>
      <c r="F366" s="340" t="s">
        <v>5888</v>
      </c>
      <c r="G366" s="340" t="s">
        <v>816</v>
      </c>
      <c r="H366" s="340" t="s">
        <v>5888</v>
      </c>
      <c r="I366" s="340" t="s">
        <v>5888</v>
      </c>
      <c r="J366" s="340" t="s">
        <v>816</v>
      </c>
      <c r="K366" s="340" t="s">
        <v>816</v>
      </c>
      <c r="L366" s="340" t="s">
        <v>5888</v>
      </c>
      <c r="M366" s="340" t="s">
        <v>5888</v>
      </c>
      <c r="N366" s="340" t="s">
        <v>5888</v>
      </c>
      <c r="O366" s="340" t="s">
        <v>5888</v>
      </c>
      <c r="P366" s="340"/>
      <c r="Q366" s="45" t="s">
        <v>6238</v>
      </c>
      <c r="R366" s="45"/>
      <c r="S366" s="344"/>
    </row>
    <row r="367" spans="1:19">
      <c r="A367" s="341" t="s">
        <v>6237</v>
      </c>
      <c r="B367" s="340" t="s">
        <v>5888</v>
      </c>
      <c r="C367" s="340"/>
      <c r="D367" s="340" t="s">
        <v>5888</v>
      </c>
      <c r="E367" s="340" t="s">
        <v>5888</v>
      </c>
      <c r="F367" s="340" t="s">
        <v>5888</v>
      </c>
      <c r="G367" s="340" t="s">
        <v>816</v>
      </c>
      <c r="H367" s="340" t="s">
        <v>5888</v>
      </c>
      <c r="I367" s="340" t="s">
        <v>5888</v>
      </c>
      <c r="J367" s="340" t="s">
        <v>816</v>
      </c>
      <c r="K367" s="340" t="s">
        <v>816</v>
      </c>
      <c r="L367" s="340" t="s">
        <v>5888</v>
      </c>
      <c r="M367" s="340" t="s">
        <v>5888</v>
      </c>
      <c r="N367" s="340" t="s">
        <v>5888</v>
      </c>
      <c r="O367" s="340" t="s">
        <v>5888</v>
      </c>
      <c r="P367" s="340"/>
      <c r="Q367" s="45" t="s">
        <v>6236</v>
      </c>
      <c r="R367" s="45"/>
      <c r="S367" s="344"/>
    </row>
    <row r="368" spans="1:19">
      <c r="A368" s="341" t="s">
        <v>6235</v>
      </c>
      <c r="B368" s="340" t="s">
        <v>5888</v>
      </c>
      <c r="C368" s="340"/>
      <c r="D368" s="340" t="s">
        <v>5888</v>
      </c>
      <c r="E368" s="340" t="s">
        <v>5888</v>
      </c>
      <c r="F368" s="340" t="s">
        <v>5888</v>
      </c>
      <c r="G368" s="340" t="s">
        <v>816</v>
      </c>
      <c r="H368" s="340" t="s">
        <v>5888</v>
      </c>
      <c r="I368" s="340" t="s">
        <v>5888</v>
      </c>
      <c r="J368" s="340" t="s">
        <v>816</v>
      </c>
      <c r="K368" s="340" t="s">
        <v>816</v>
      </c>
      <c r="L368" s="340" t="s">
        <v>5888</v>
      </c>
      <c r="M368" s="340" t="s">
        <v>5888</v>
      </c>
      <c r="N368" s="340" t="s">
        <v>5888</v>
      </c>
      <c r="O368" s="340" t="s">
        <v>5888</v>
      </c>
      <c r="P368" s="340"/>
      <c r="Q368" s="45" t="s">
        <v>6234</v>
      </c>
      <c r="R368" s="45"/>
      <c r="S368" s="344"/>
    </row>
    <row r="369" spans="1:19">
      <c r="A369" s="341" t="s">
        <v>10612</v>
      </c>
      <c r="B369" s="340" t="s">
        <v>5888</v>
      </c>
      <c r="C369" s="340"/>
      <c r="D369" s="340" t="s">
        <v>5888</v>
      </c>
      <c r="E369" s="340" t="s">
        <v>5888</v>
      </c>
      <c r="F369" s="340" t="s">
        <v>5888</v>
      </c>
      <c r="G369" s="340"/>
      <c r="H369" s="340" t="s">
        <v>5888</v>
      </c>
      <c r="I369" s="340" t="s">
        <v>5888</v>
      </c>
      <c r="J369" s="340" t="s">
        <v>816</v>
      </c>
      <c r="K369" s="340" t="s">
        <v>816</v>
      </c>
      <c r="L369" s="340" t="s">
        <v>5888</v>
      </c>
      <c r="M369" s="340" t="s">
        <v>5888</v>
      </c>
      <c r="N369" s="340" t="s">
        <v>5888</v>
      </c>
      <c r="O369" s="340" t="s">
        <v>5888</v>
      </c>
      <c r="P369" s="340"/>
      <c r="Q369" s="668" t="s">
        <v>10611</v>
      </c>
      <c r="R369" s="45"/>
      <c r="S369" s="344"/>
    </row>
    <row r="370" spans="1:19">
      <c r="A370" s="341" t="s">
        <v>1064</v>
      </c>
      <c r="B370" s="340" t="s">
        <v>5888</v>
      </c>
      <c r="C370" s="340" t="s">
        <v>816</v>
      </c>
      <c r="D370" s="340" t="s">
        <v>5888</v>
      </c>
      <c r="E370" s="340" t="s">
        <v>5888</v>
      </c>
      <c r="F370" s="340" t="s">
        <v>5888</v>
      </c>
      <c r="G370" s="340" t="s">
        <v>5888</v>
      </c>
      <c r="H370" s="340"/>
      <c r="I370" s="340" t="s">
        <v>5888</v>
      </c>
      <c r="J370" s="340" t="s">
        <v>5888</v>
      </c>
      <c r="K370" s="340" t="s">
        <v>5888</v>
      </c>
      <c r="L370" s="340" t="s">
        <v>5888</v>
      </c>
      <c r="M370" s="340" t="s">
        <v>5888</v>
      </c>
      <c r="N370" s="340" t="s">
        <v>5888</v>
      </c>
      <c r="O370" s="340" t="s">
        <v>5888</v>
      </c>
      <c r="P370" s="340"/>
      <c r="Q370" s="668"/>
      <c r="R370" s="45" t="s">
        <v>6233</v>
      </c>
      <c r="S370" s="344"/>
    </row>
    <row r="371" spans="1:19">
      <c r="A371" s="341" t="s">
        <v>6231</v>
      </c>
      <c r="B371" s="340" t="s">
        <v>5888</v>
      </c>
      <c r="C371" s="340" t="s">
        <v>816</v>
      </c>
      <c r="D371" s="340" t="s">
        <v>5888</v>
      </c>
      <c r="E371" s="340" t="s">
        <v>5888</v>
      </c>
      <c r="F371" s="340" t="s">
        <v>5888</v>
      </c>
      <c r="G371" s="340" t="s">
        <v>5888</v>
      </c>
      <c r="H371" s="340"/>
      <c r="I371" s="340" t="s">
        <v>5888</v>
      </c>
      <c r="J371" s="340" t="s">
        <v>5888</v>
      </c>
      <c r="K371" s="340"/>
      <c r="L371" s="340" t="s">
        <v>5888</v>
      </c>
      <c r="M371" s="340" t="s">
        <v>5888</v>
      </c>
      <c r="N371" s="340" t="s">
        <v>5888</v>
      </c>
      <c r="O371" s="340" t="s">
        <v>5888</v>
      </c>
      <c r="P371" s="340"/>
      <c r="R371" s="45" t="s">
        <v>6230</v>
      </c>
      <c r="S371" s="344"/>
    </row>
    <row r="372" spans="1:19">
      <c r="A372" s="341" t="s">
        <v>6703</v>
      </c>
      <c r="B372" s="340" t="s">
        <v>5888</v>
      </c>
      <c r="C372" s="340" t="s">
        <v>816</v>
      </c>
      <c r="D372" s="340" t="s">
        <v>5888</v>
      </c>
      <c r="E372" s="340" t="s">
        <v>5888</v>
      </c>
      <c r="F372" s="340" t="s">
        <v>5888</v>
      </c>
      <c r="G372" s="340" t="s">
        <v>5888</v>
      </c>
      <c r="H372" s="340"/>
      <c r="I372" s="340" t="s">
        <v>5888</v>
      </c>
      <c r="J372" s="340" t="s">
        <v>5888</v>
      </c>
      <c r="K372" s="340" t="s">
        <v>5888</v>
      </c>
      <c r="L372" s="340" t="s">
        <v>5888</v>
      </c>
      <c r="M372" s="340" t="s">
        <v>5888</v>
      </c>
      <c r="N372" s="340" t="s">
        <v>5888</v>
      </c>
      <c r="O372" s="340" t="s">
        <v>5888</v>
      </c>
      <c r="P372" s="340"/>
      <c r="R372" s="45" t="s">
        <v>6232</v>
      </c>
      <c r="S372" s="344"/>
    </row>
    <row r="373" spans="1:19">
      <c r="A373" s="341" t="s">
        <v>8571</v>
      </c>
      <c r="B373" s="340"/>
      <c r="C373" s="340"/>
      <c r="D373" s="340"/>
      <c r="E373" s="340" t="s">
        <v>816</v>
      </c>
      <c r="F373" s="340"/>
      <c r="G373" s="340"/>
      <c r="H373" s="340"/>
      <c r="I373" s="340"/>
      <c r="J373" s="340"/>
      <c r="K373" s="340" t="s">
        <v>816</v>
      </c>
      <c r="L373" s="340"/>
      <c r="M373" s="340"/>
      <c r="N373" s="340"/>
      <c r="O373" s="340"/>
      <c r="P373" s="340"/>
      <c r="Q373" s="343" t="s">
        <v>8572</v>
      </c>
      <c r="R373" s="45"/>
      <c r="S373" s="344"/>
    </row>
    <row r="374" spans="1:19">
      <c r="A374" s="341" t="s">
        <v>6229</v>
      </c>
      <c r="B374" s="340" t="s">
        <v>5888</v>
      </c>
      <c r="C374" s="340"/>
      <c r="D374" s="340" t="s">
        <v>5888</v>
      </c>
      <c r="E374" s="340" t="s">
        <v>5888</v>
      </c>
      <c r="F374" s="340" t="s">
        <v>5888</v>
      </c>
      <c r="G374" s="340" t="s">
        <v>5888</v>
      </c>
      <c r="H374" s="340" t="s">
        <v>5888</v>
      </c>
      <c r="I374" s="340" t="s">
        <v>5888</v>
      </c>
      <c r="J374" s="340" t="s">
        <v>5888</v>
      </c>
      <c r="K374" s="340" t="s">
        <v>816</v>
      </c>
      <c r="L374" s="340" t="s">
        <v>5888</v>
      </c>
      <c r="M374" s="340" t="s">
        <v>5888</v>
      </c>
      <c r="N374" s="340" t="s">
        <v>5888</v>
      </c>
      <c r="O374" s="340" t="s">
        <v>5888</v>
      </c>
      <c r="P374" s="340"/>
      <c r="Q374" s="45" t="s">
        <v>6228</v>
      </c>
      <c r="R374" s="45"/>
      <c r="S374" s="344"/>
    </row>
    <row r="375" spans="1:19">
      <c r="A375" s="341" t="s">
        <v>1349</v>
      </c>
      <c r="B375" s="340" t="s">
        <v>5888</v>
      </c>
      <c r="C375" s="340" t="s">
        <v>816</v>
      </c>
      <c r="D375" s="340" t="s">
        <v>5888</v>
      </c>
      <c r="E375" s="340"/>
      <c r="F375" s="340" t="s">
        <v>5888</v>
      </c>
      <c r="G375" s="340" t="s">
        <v>5888</v>
      </c>
      <c r="H375" s="340" t="s">
        <v>5888</v>
      </c>
      <c r="I375" s="340" t="s">
        <v>5888</v>
      </c>
      <c r="J375" s="340" t="s">
        <v>5888</v>
      </c>
      <c r="K375" s="340" t="s">
        <v>5888</v>
      </c>
      <c r="L375" s="340" t="s">
        <v>5888</v>
      </c>
      <c r="M375" s="340" t="s">
        <v>5888</v>
      </c>
      <c r="N375" s="340" t="s">
        <v>5888</v>
      </c>
      <c r="O375" s="340" t="s">
        <v>5888</v>
      </c>
      <c r="P375" s="340"/>
      <c r="Q375" s="45"/>
      <c r="R375" s="45" t="s">
        <v>6227</v>
      </c>
      <c r="S375" s="344" t="s">
        <v>7057</v>
      </c>
    </row>
    <row r="376" spans="1:19">
      <c r="A376" s="341" t="s">
        <v>6226</v>
      </c>
      <c r="B376" s="340" t="s">
        <v>5888</v>
      </c>
      <c r="C376" s="340"/>
      <c r="D376" s="340" t="s">
        <v>5888</v>
      </c>
      <c r="E376" s="340" t="s">
        <v>816</v>
      </c>
      <c r="F376" s="340" t="s">
        <v>5888</v>
      </c>
      <c r="G376" s="340" t="s">
        <v>5888</v>
      </c>
      <c r="H376" s="340" t="s">
        <v>5888</v>
      </c>
      <c r="I376" s="340" t="s">
        <v>5888</v>
      </c>
      <c r="J376" s="340" t="s">
        <v>5888</v>
      </c>
      <c r="K376" s="340" t="s">
        <v>816</v>
      </c>
      <c r="L376" s="340" t="s">
        <v>5888</v>
      </c>
      <c r="M376" s="340" t="s">
        <v>5888</v>
      </c>
      <c r="N376" s="340" t="s">
        <v>5888</v>
      </c>
      <c r="O376" s="340" t="s">
        <v>5888</v>
      </c>
      <c r="P376" s="340"/>
      <c r="Q376" s="45" t="s">
        <v>6225</v>
      </c>
      <c r="R376" s="45"/>
      <c r="S376" s="344"/>
    </row>
    <row r="377" spans="1:19">
      <c r="A377" s="341" t="s">
        <v>6224</v>
      </c>
      <c r="B377" s="340" t="s">
        <v>5888</v>
      </c>
      <c r="C377" s="340" t="s">
        <v>816</v>
      </c>
      <c r="D377" s="340" t="s">
        <v>5888</v>
      </c>
      <c r="E377" s="340"/>
      <c r="F377" s="340" t="s">
        <v>5888</v>
      </c>
      <c r="G377" s="340" t="s">
        <v>5888</v>
      </c>
      <c r="H377" s="340" t="s">
        <v>5888</v>
      </c>
      <c r="I377" s="340" t="s">
        <v>5888</v>
      </c>
      <c r="J377" s="340" t="s">
        <v>5888</v>
      </c>
      <c r="K377" s="340" t="s">
        <v>5888</v>
      </c>
      <c r="L377" s="340" t="s">
        <v>5888</v>
      </c>
      <c r="M377" s="340" t="s">
        <v>5888</v>
      </c>
      <c r="N377" s="340" t="s">
        <v>5888</v>
      </c>
      <c r="O377" s="340" t="s">
        <v>5888</v>
      </c>
      <c r="P377" s="340"/>
      <c r="Q377" s="45"/>
      <c r="R377" s="45" t="s">
        <v>6223</v>
      </c>
      <c r="S377" s="344" t="s">
        <v>7057</v>
      </c>
    </row>
    <row r="378" spans="1:19">
      <c r="A378" s="341" t="s">
        <v>6222</v>
      </c>
      <c r="B378" s="340" t="s">
        <v>5888</v>
      </c>
      <c r="C378" s="340"/>
      <c r="D378" s="340" t="s">
        <v>5888</v>
      </c>
      <c r="E378" s="340" t="s">
        <v>816</v>
      </c>
      <c r="F378" s="340" t="s">
        <v>5888</v>
      </c>
      <c r="G378" s="340" t="s">
        <v>5888</v>
      </c>
      <c r="H378" s="340" t="s">
        <v>5888</v>
      </c>
      <c r="I378" s="340" t="s">
        <v>5888</v>
      </c>
      <c r="J378" s="340" t="s">
        <v>5888</v>
      </c>
      <c r="K378" s="340" t="s">
        <v>5888</v>
      </c>
      <c r="L378" s="340" t="s">
        <v>5888</v>
      </c>
      <c r="M378" s="340" t="s">
        <v>5888</v>
      </c>
      <c r="N378" s="340" t="s">
        <v>5888</v>
      </c>
      <c r="O378" s="340" t="s">
        <v>5888</v>
      </c>
      <c r="P378" s="340"/>
      <c r="Q378" s="45" t="s">
        <v>6221</v>
      </c>
      <c r="R378" s="45"/>
      <c r="S378" s="344"/>
    </row>
    <row r="379" spans="1:19">
      <c r="A379" s="341" t="s">
        <v>2109</v>
      </c>
      <c r="B379" s="340" t="s">
        <v>5888</v>
      </c>
      <c r="C379" s="340"/>
      <c r="D379" s="340" t="s">
        <v>5888</v>
      </c>
      <c r="E379" s="340" t="s">
        <v>816</v>
      </c>
      <c r="F379" s="340" t="s">
        <v>5888</v>
      </c>
      <c r="G379" s="340" t="s">
        <v>5888</v>
      </c>
      <c r="H379" s="340" t="s">
        <v>5888</v>
      </c>
      <c r="I379" s="340" t="s">
        <v>5888</v>
      </c>
      <c r="J379" s="340" t="s">
        <v>5888</v>
      </c>
      <c r="K379" s="340" t="s">
        <v>5888</v>
      </c>
      <c r="L379" s="340" t="s">
        <v>5888</v>
      </c>
      <c r="M379" s="340" t="s">
        <v>5888</v>
      </c>
      <c r="N379" s="340" t="s">
        <v>5888</v>
      </c>
      <c r="O379" s="340" t="s">
        <v>5888</v>
      </c>
      <c r="P379" s="340"/>
      <c r="Q379" s="45" t="s">
        <v>6220</v>
      </c>
      <c r="R379" s="45"/>
      <c r="S379" s="344"/>
    </row>
    <row r="380" spans="1:19">
      <c r="A380" s="341" t="s">
        <v>6219</v>
      </c>
      <c r="B380" s="340"/>
      <c r="C380" s="340" t="s">
        <v>816</v>
      </c>
      <c r="D380" s="340"/>
      <c r="E380" s="340"/>
      <c r="F380" s="340"/>
      <c r="G380" s="340"/>
      <c r="H380" s="340"/>
      <c r="I380" s="340"/>
      <c r="J380" s="340"/>
      <c r="K380" s="340"/>
      <c r="L380" s="340"/>
      <c r="M380" s="340"/>
      <c r="N380" s="340"/>
      <c r="O380" s="340"/>
      <c r="P380" s="340"/>
      <c r="Q380" s="45"/>
      <c r="R380" s="45" t="s">
        <v>6218</v>
      </c>
      <c r="S380" s="344" t="s">
        <v>7057</v>
      </c>
    </row>
    <row r="381" spans="1:19">
      <c r="A381" s="341" t="s">
        <v>1788</v>
      </c>
      <c r="B381" s="340" t="s">
        <v>5888</v>
      </c>
      <c r="C381" s="340"/>
      <c r="D381" s="340" t="s">
        <v>5888</v>
      </c>
      <c r="E381" s="340" t="s">
        <v>816</v>
      </c>
      <c r="F381" s="340" t="s">
        <v>5888</v>
      </c>
      <c r="G381" s="340" t="s">
        <v>5888</v>
      </c>
      <c r="H381" s="340" t="s">
        <v>5888</v>
      </c>
      <c r="I381" s="340" t="s">
        <v>5888</v>
      </c>
      <c r="J381" s="340" t="s">
        <v>5888</v>
      </c>
      <c r="K381" s="340" t="s">
        <v>816</v>
      </c>
      <c r="L381" s="340" t="s">
        <v>5888</v>
      </c>
      <c r="M381" s="340" t="s">
        <v>5888</v>
      </c>
      <c r="N381" s="340" t="s">
        <v>5888</v>
      </c>
      <c r="O381" s="340" t="s">
        <v>5888</v>
      </c>
      <c r="P381" s="340"/>
      <c r="Q381" s="45" t="s">
        <v>6217</v>
      </c>
      <c r="R381" s="45"/>
      <c r="S381" s="344"/>
    </row>
    <row r="382" spans="1:19">
      <c r="A382" s="341" t="s">
        <v>2753</v>
      </c>
      <c r="B382" s="340" t="s">
        <v>5888</v>
      </c>
      <c r="C382" s="340"/>
      <c r="D382" s="340" t="s">
        <v>5888</v>
      </c>
      <c r="E382" s="340" t="s">
        <v>5888</v>
      </c>
      <c r="F382" s="340" t="s">
        <v>5888</v>
      </c>
      <c r="G382" s="340" t="s">
        <v>5888</v>
      </c>
      <c r="H382" s="340" t="s">
        <v>5888</v>
      </c>
      <c r="I382" s="340" t="s">
        <v>5888</v>
      </c>
      <c r="J382" s="340" t="s">
        <v>5888</v>
      </c>
      <c r="K382" s="340" t="s">
        <v>816</v>
      </c>
      <c r="L382" s="340" t="s">
        <v>5888</v>
      </c>
      <c r="M382" s="340" t="s">
        <v>5888</v>
      </c>
      <c r="N382" s="340" t="s">
        <v>5888</v>
      </c>
      <c r="O382" s="340" t="s">
        <v>5888</v>
      </c>
      <c r="P382" s="340"/>
      <c r="Q382" s="45" t="s">
        <v>6216</v>
      </c>
      <c r="R382" s="45"/>
      <c r="S382" s="344"/>
    </row>
    <row r="383" spans="1:19">
      <c r="A383" s="341" t="s">
        <v>6214</v>
      </c>
      <c r="B383" s="340"/>
      <c r="C383" s="340" t="s">
        <v>816</v>
      </c>
      <c r="D383" s="340"/>
      <c r="E383" s="340"/>
      <c r="F383" s="340"/>
      <c r="G383" s="340"/>
      <c r="H383" s="340"/>
      <c r="I383" s="340"/>
      <c r="J383" s="340"/>
      <c r="K383" s="340"/>
      <c r="L383" s="340"/>
      <c r="M383" s="340"/>
      <c r="N383" s="340"/>
      <c r="O383" s="340"/>
      <c r="P383" s="340"/>
      <c r="Q383" s="342"/>
      <c r="R383" s="342" t="s">
        <v>6215</v>
      </c>
      <c r="S383" s="344" t="s">
        <v>7057</v>
      </c>
    </row>
    <row r="384" spans="1:19">
      <c r="A384" s="341" t="s">
        <v>7076</v>
      </c>
      <c r="B384" s="340"/>
      <c r="C384" s="340" t="s">
        <v>816</v>
      </c>
      <c r="D384" s="340"/>
      <c r="E384" s="340"/>
      <c r="F384" s="340"/>
      <c r="G384" s="340"/>
      <c r="H384" s="340"/>
      <c r="I384" s="340"/>
      <c r="J384" s="340"/>
      <c r="K384" s="340"/>
      <c r="L384" s="340"/>
      <c r="M384" s="340"/>
      <c r="N384" s="340"/>
      <c r="O384" s="340"/>
      <c r="P384" s="340"/>
      <c r="Q384" s="45"/>
      <c r="R384" s="45" t="s">
        <v>6213</v>
      </c>
      <c r="S384" s="344" t="s">
        <v>7057</v>
      </c>
    </row>
    <row r="385" spans="1:19">
      <c r="A385" s="341" t="s">
        <v>6212</v>
      </c>
      <c r="B385" s="340"/>
      <c r="C385" s="340"/>
      <c r="D385" s="340"/>
      <c r="E385" s="340" t="s">
        <v>816</v>
      </c>
      <c r="F385" s="340"/>
      <c r="G385" s="340"/>
      <c r="H385" s="340"/>
      <c r="I385" s="340"/>
      <c r="J385" s="340"/>
      <c r="K385" s="340"/>
      <c r="L385" s="340"/>
      <c r="M385" s="340"/>
      <c r="N385" s="340"/>
      <c r="O385" s="340"/>
      <c r="P385" s="340"/>
      <c r="Q385" s="45" t="s">
        <v>6211</v>
      </c>
      <c r="R385" s="45"/>
      <c r="S385" s="344"/>
    </row>
    <row r="386" spans="1:19">
      <c r="A386" s="341" t="s">
        <v>7521</v>
      </c>
      <c r="B386" s="340"/>
      <c r="C386" s="340"/>
      <c r="D386" s="340"/>
      <c r="E386" s="340"/>
      <c r="F386" s="340"/>
      <c r="G386" s="340"/>
      <c r="H386" s="340"/>
      <c r="I386" s="340"/>
      <c r="J386" s="340"/>
      <c r="K386" s="340" t="s">
        <v>816</v>
      </c>
      <c r="L386" s="340"/>
      <c r="M386" s="340"/>
      <c r="N386" s="340"/>
      <c r="O386" s="340"/>
      <c r="P386" s="340"/>
      <c r="Q386" s="343" t="s">
        <v>7522</v>
      </c>
      <c r="R386" s="45"/>
      <c r="S386" s="344"/>
    </row>
    <row r="387" spans="1:19">
      <c r="A387" s="341" t="s">
        <v>6210</v>
      </c>
      <c r="B387" s="340" t="s">
        <v>5888</v>
      </c>
      <c r="C387" s="340"/>
      <c r="D387" s="340" t="s">
        <v>5888</v>
      </c>
      <c r="E387" s="340" t="s">
        <v>5888</v>
      </c>
      <c r="F387" s="340" t="s">
        <v>5888</v>
      </c>
      <c r="G387" s="340" t="s">
        <v>5888</v>
      </c>
      <c r="H387" s="340" t="s">
        <v>5888</v>
      </c>
      <c r="I387" s="340" t="s">
        <v>5888</v>
      </c>
      <c r="J387" s="340" t="s">
        <v>5888</v>
      </c>
      <c r="K387" s="340" t="s">
        <v>816</v>
      </c>
      <c r="L387" s="340" t="s">
        <v>5888</v>
      </c>
      <c r="M387" s="340" t="s">
        <v>5888</v>
      </c>
      <c r="N387" s="340" t="s">
        <v>5888</v>
      </c>
      <c r="O387" s="340" t="s">
        <v>5888</v>
      </c>
      <c r="P387" s="340"/>
      <c r="Q387" s="45" t="s">
        <v>6209</v>
      </c>
      <c r="R387" s="45"/>
      <c r="S387" s="344"/>
    </row>
    <row r="388" spans="1:19">
      <c r="A388" s="341" t="s">
        <v>6208</v>
      </c>
      <c r="B388" s="340"/>
      <c r="C388" s="340"/>
      <c r="D388" s="340"/>
      <c r="E388" s="340" t="s">
        <v>816</v>
      </c>
      <c r="F388" s="340"/>
      <c r="G388" s="340"/>
      <c r="H388" s="340"/>
      <c r="I388" s="340"/>
      <c r="J388" s="340"/>
      <c r="K388" s="340"/>
      <c r="L388" s="340"/>
      <c r="M388" s="340"/>
      <c r="N388" s="340"/>
      <c r="O388" s="340"/>
      <c r="P388" s="340"/>
      <c r="Q388" s="45" t="s">
        <v>6207</v>
      </c>
      <c r="R388" s="45"/>
      <c r="S388" s="344"/>
    </row>
    <row r="389" spans="1:19">
      <c r="A389" s="341" t="s">
        <v>6206</v>
      </c>
      <c r="B389" s="340" t="s">
        <v>5888</v>
      </c>
      <c r="C389" s="340"/>
      <c r="D389" s="340" t="s">
        <v>5888</v>
      </c>
      <c r="E389" s="340" t="s">
        <v>5888</v>
      </c>
      <c r="F389" s="340" t="s">
        <v>5888</v>
      </c>
      <c r="G389" s="340" t="s">
        <v>5888</v>
      </c>
      <c r="H389" s="340" t="s">
        <v>5888</v>
      </c>
      <c r="I389" s="340" t="s">
        <v>5888</v>
      </c>
      <c r="J389" s="340" t="s">
        <v>5888</v>
      </c>
      <c r="K389" s="340" t="s">
        <v>816</v>
      </c>
      <c r="L389" s="340" t="s">
        <v>5888</v>
      </c>
      <c r="M389" s="340" t="s">
        <v>5888</v>
      </c>
      <c r="N389" s="340" t="s">
        <v>5888</v>
      </c>
      <c r="O389" s="340" t="s">
        <v>5888</v>
      </c>
      <c r="P389" s="340"/>
      <c r="Q389" s="45" t="s">
        <v>6205</v>
      </c>
      <c r="R389" s="45"/>
      <c r="S389" s="344"/>
    </row>
    <row r="390" spans="1:19">
      <c r="A390" s="341" t="s">
        <v>6204</v>
      </c>
      <c r="B390" s="340" t="s">
        <v>5888</v>
      </c>
      <c r="C390" s="340"/>
      <c r="D390" s="340" t="s">
        <v>5888</v>
      </c>
      <c r="E390" s="340" t="s">
        <v>5888</v>
      </c>
      <c r="F390" s="340" t="s">
        <v>5888</v>
      </c>
      <c r="G390" s="340" t="s">
        <v>5888</v>
      </c>
      <c r="H390" s="340" t="s">
        <v>5888</v>
      </c>
      <c r="I390" s="340" t="s">
        <v>5888</v>
      </c>
      <c r="J390" s="340" t="s">
        <v>5888</v>
      </c>
      <c r="K390" s="340" t="s">
        <v>816</v>
      </c>
      <c r="L390" s="340" t="s">
        <v>5888</v>
      </c>
      <c r="M390" s="340" t="s">
        <v>5888</v>
      </c>
      <c r="N390" s="340" t="s">
        <v>5888</v>
      </c>
      <c r="O390" s="340" t="s">
        <v>5888</v>
      </c>
      <c r="P390" s="340"/>
      <c r="Q390" s="45" t="s">
        <v>6203</v>
      </c>
      <c r="R390" s="45"/>
      <c r="S390" s="344"/>
    </row>
    <row r="391" spans="1:19">
      <c r="A391" s="341" t="s">
        <v>6202</v>
      </c>
      <c r="B391" s="340" t="s">
        <v>5888</v>
      </c>
      <c r="C391" s="340"/>
      <c r="D391" s="340" t="s">
        <v>5888</v>
      </c>
      <c r="E391" s="340" t="s">
        <v>5888</v>
      </c>
      <c r="F391" s="340" t="s">
        <v>5888</v>
      </c>
      <c r="G391" s="340" t="s">
        <v>5888</v>
      </c>
      <c r="H391" s="340" t="s">
        <v>5888</v>
      </c>
      <c r="I391" s="340" t="s">
        <v>5888</v>
      </c>
      <c r="J391" s="340" t="s">
        <v>5888</v>
      </c>
      <c r="K391" s="340" t="s">
        <v>816</v>
      </c>
      <c r="L391" s="340" t="s">
        <v>5888</v>
      </c>
      <c r="M391" s="340" t="s">
        <v>5888</v>
      </c>
      <c r="N391" s="340" t="s">
        <v>5888</v>
      </c>
      <c r="O391" s="340" t="s">
        <v>5888</v>
      </c>
      <c r="P391" s="340"/>
      <c r="Q391" s="45" t="s">
        <v>6201</v>
      </c>
      <c r="R391" s="45"/>
      <c r="S391" s="344"/>
    </row>
    <row r="392" spans="1:19">
      <c r="A392" s="341" t="s">
        <v>6200</v>
      </c>
      <c r="B392" s="340" t="s">
        <v>5888</v>
      </c>
      <c r="C392" s="340"/>
      <c r="D392" s="340" t="s">
        <v>5888</v>
      </c>
      <c r="E392" s="340" t="s">
        <v>5888</v>
      </c>
      <c r="F392" s="340" t="s">
        <v>5888</v>
      </c>
      <c r="G392" s="340" t="s">
        <v>5888</v>
      </c>
      <c r="H392" s="340" t="s">
        <v>5888</v>
      </c>
      <c r="I392" s="340" t="s">
        <v>5888</v>
      </c>
      <c r="J392" s="340" t="s">
        <v>5888</v>
      </c>
      <c r="K392" s="340" t="s">
        <v>816</v>
      </c>
      <c r="L392" s="340" t="s">
        <v>5888</v>
      </c>
      <c r="M392" s="340" t="s">
        <v>5888</v>
      </c>
      <c r="N392" s="340" t="s">
        <v>5888</v>
      </c>
      <c r="O392" s="340" t="s">
        <v>5888</v>
      </c>
      <c r="P392" s="340"/>
      <c r="Q392" s="45" t="s">
        <v>6199</v>
      </c>
      <c r="R392" s="45"/>
      <c r="S392" s="344"/>
    </row>
    <row r="393" spans="1:19">
      <c r="A393" s="341" t="s">
        <v>7148</v>
      </c>
      <c r="B393" s="340"/>
      <c r="C393" s="340"/>
      <c r="D393" s="340"/>
      <c r="E393" s="340"/>
      <c r="F393" s="340"/>
      <c r="G393" s="340"/>
      <c r="H393" s="340" t="s">
        <v>816</v>
      </c>
      <c r="I393" s="340"/>
      <c r="J393" s="340" t="s">
        <v>816</v>
      </c>
      <c r="K393" s="340" t="s">
        <v>816</v>
      </c>
      <c r="L393" s="340" t="s">
        <v>816</v>
      </c>
      <c r="M393" s="340"/>
      <c r="N393" s="340"/>
      <c r="O393" s="340"/>
      <c r="P393" s="340"/>
      <c r="Q393" s="342" t="s">
        <v>7149</v>
      </c>
      <c r="R393" s="45"/>
      <c r="S393" s="344"/>
    </row>
    <row r="394" spans="1:19">
      <c r="A394" s="341" t="s">
        <v>7148</v>
      </c>
      <c r="B394" s="340"/>
      <c r="C394" s="340"/>
      <c r="D394" s="340"/>
      <c r="E394" s="340"/>
      <c r="F394" s="340"/>
      <c r="G394" s="340"/>
      <c r="H394" s="340" t="s">
        <v>816</v>
      </c>
      <c r="I394" s="340"/>
      <c r="J394" s="340" t="s">
        <v>816</v>
      </c>
      <c r="K394" s="340" t="s">
        <v>816</v>
      </c>
      <c r="L394" s="340" t="s">
        <v>816</v>
      </c>
      <c r="M394" s="340"/>
      <c r="N394" s="340"/>
      <c r="O394" s="340"/>
      <c r="P394" s="340"/>
      <c r="Q394" s="342" t="s">
        <v>7784</v>
      </c>
      <c r="R394" s="45"/>
      <c r="S394" s="344"/>
    </row>
    <row r="395" spans="1:19">
      <c r="A395" s="341" t="s">
        <v>7148</v>
      </c>
      <c r="B395" s="340"/>
      <c r="C395" s="340"/>
      <c r="D395" s="340"/>
      <c r="E395" s="340"/>
      <c r="F395" s="340"/>
      <c r="G395" s="340"/>
      <c r="H395" s="340" t="s">
        <v>816</v>
      </c>
      <c r="I395" s="340"/>
      <c r="J395" s="340" t="s">
        <v>816</v>
      </c>
      <c r="K395" s="340" t="s">
        <v>816</v>
      </c>
      <c r="L395" s="340" t="s">
        <v>816</v>
      </c>
      <c r="M395" s="340"/>
      <c r="N395" s="340"/>
      <c r="O395" s="340"/>
      <c r="P395" s="340"/>
      <c r="Q395" s="45" t="s">
        <v>7785</v>
      </c>
      <c r="R395" s="45"/>
      <c r="S395" s="344"/>
    </row>
    <row r="396" spans="1:19">
      <c r="A396" s="341" t="s">
        <v>7265</v>
      </c>
      <c r="B396" s="340"/>
      <c r="C396" s="340"/>
      <c r="D396" s="340"/>
      <c r="E396" s="340"/>
      <c r="F396" s="340"/>
      <c r="G396" s="340"/>
      <c r="H396" s="340" t="s">
        <v>816</v>
      </c>
      <c r="I396" s="340"/>
      <c r="J396" s="340" t="s">
        <v>816</v>
      </c>
      <c r="K396" s="340" t="s">
        <v>816</v>
      </c>
      <c r="L396" s="340" t="s">
        <v>816</v>
      </c>
      <c r="M396" s="340"/>
      <c r="N396" s="340"/>
      <c r="O396" s="340"/>
      <c r="P396" s="340"/>
      <c r="Q396" s="45" t="s">
        <v>8866</v>
      </c>
      <c r="R396" s="45"/>
      <c r="S396" s="344"/>
    </row>
    <row r="397" spans="1:19">
      <c r="A397" s="341" t="s">
        <v>6198</v>
      </c>
      <c r="B397" s="340"/>
      <c r="C397" s="340"/>
      <c r="D397" s="340"/>
      <c r="E397" s="340" t="s">
        <v>816</v>
      </c>
      <c r="F397" s="340"/>
      <c r="G397" s="340"/>
      <c r="H397" s="340"/>
      <c r="I397" s="340"/>
      <c r="J397" s="340"/>
      <c r="K397" s="340"/>
      <c r="L397" s="340"/>
      <c r="M397" s="340"/>
      <c r="N397" s="340"/>
      <c r="O397" s="340"/>
      <c r="P397" s="340"/>
      <c r="Q397" s="343" t="s">
        <v>6197</v>
      </c>
      <c r="R397" s="45"/>
      <c r="S397" s="344"/>
    </row>
    <row r="398" spans="1:19">
      <c r="A398" s="341" t="s">
        <v>1151</v>
      </c>
      <c r="B398" s="340" t="s">
        <v>5888</v>
      </c>
      <c r="C398" s="340"/>
      <c r="D398" s="340" t="s">
        <v>5888</v>
      </c>
      <c r="E398" s="340" t="s">
        <v>5888</v>
      </c>
      <c r="F398" s="340" t="s">
        <v>5888</v>
      </c>
      <c r="G398" s="340" t="s">
        <v>5888</v>
      </c>
      <c r="H398" s="340" t="s">
        <v>5888</v>
      </c>
      <c r="I398" s="340" t="s">
        <v>5888</v>
      </c>
      <c r="J398" s="340" t="s">
        <v>5888</v>
      </c>
      <c r="K398" s="340" t="s">
        <v>816</v>
      </c>
      <c r="L398" s="340" t="s">
        <v>5888</v>
      </c>
      <c r="M398" s="340" t="s">
        <v>5888</v>
      </c>
      <c r="N398" s="340" t="s">
        <v>5888</v>
      </c>
      <c r="O398" s="340" t="s">
        <v>5888</v>
      </c>
      <c r="P398" s="340"/>
      <c r="Q398" s="45" t="s">
        <v>6196</v>
      </c>
      <c r="R398" s="45"/>
      <c r="S398" s="344"/>
    </row>
    <row r="399" spans="1:19">
      <c r="A399" s="341" t="s">
        <v>6195</v>
      </c>
      <c r="B399" s="340" t="s">
        <v>5888</v>
      </c>
      <c r="C399" s="340"/>
      <c r="D399" s="340" t="s">
        <v>5888</v>
      </c>
      <c r="E399" s="340" t="s">
        <v>5888</v>
      </c>
      <c r="F399" s="340" t="s">
        <v>5888</v>
      </c>
      <c r="G399" s="340" t="s">
        <v>5888</v>
      </c>
      <c r="H399" s="340" t="s">
        <v>5888</v>
      </c>
      <c r="I399" s="340" t="s">
        <v>5888</v>
      </c>
      <c r="J399" s="340" t="s">
        <v>5888</v>
      </c>
      <c r="K399" s="340" t="s">
        <v>816</v>
      </c>
      <c r="L399" s="340" t="s">
        <v>5888</v>
      </c>
      <c r="M399" s="340" t="s">
        <v>5888</v>
      </c>
      <c r="N399" s="340" t="s">
        <v>5888</v>
      </c>
      <c r="O399" s="340" t="s">
        <v>5888</v>
      </c>
      <c r="P399" s="340"/>
      <c r="Q399" s="45" t="s">
        <v>6194</v>
      </c>
      <c r="R399" s="45"/>
      <c r="S399" s="344"/>
    </row>
    <row r="400" spans="1:19">
      <c r="A400" s="341" t="s">
        <v>6193</v>
      </c>
      <c r="B400" s="340" t="s">
        <v>5888</v>
      </c>
      <c r="C400" s="340"/>
      <c r="D400" s="340" t="s">
        <v>5888</v>
      </c>
      <c r="E400" s="340" t="s">
        <v>5888</v>
      </c>
      <c r="F400" s="340" t="s">
        <v>5888</v>
      </c>
      <c r="G400" s="340" t="s">
        <v>5888</v>
      </c>
      <c r="H400" s="340" t="s">
        <v>5888</v>
      </c>
      <c r="I400" s="340" t="s">
        <v>5888</v>
      </c>
      <c r="J400" s="340" t="s">
        <v>816</v>
      </c>
      <c r="K400" s="340" t="s">
        <v>816</v>
      </c>
      <c r="L400" s="340" t="s">
        <v>5888</v>
      </c>
      <c r="M400" s="340" t="s">
        <v>5888</v>
      </c>
      <c r="N400" s="340" t="s">
        <v>5888</v>
      </c>
      <c r="O400" s="340" t="s">
        <v>5888</v>
      </c>
      <c r="P400" s="340"/>
      <c r="Q400" s="45" t="s">
        <v>6192</v>
      </c>
      <c r="R400" s="45"/>
      <c r="S400" s="344"/>
    </row>
    <row r="401" spans="1:19">
      <c r="A401" s="341" t="s">
        <v>9857</v>
      </c>
      <c r="B401" s="340"/>
      <c r="C401" s="340"/>
      <c r="D401" s="340"/>
      <c r="E401" s="340" t="s">
        <v>816</v>
      </c>
      <c r="F401" s="340"/>
      <c r="G401" s="340"/>
      <c r="H401" s="340"/>
      <c r="I401" s="340"/>
      <c r="J401" s="340"/>
      <c r="K401" s="340" t="s">
        <v>816</v>
      </c>
      <c r="L401" s="340"/>
      <c r="M401" s="340"/>
      <c r="N401" s="340"/>
      <c r="O401" s="340"/>
      <c r="P401" s="340"/>
      <c r="Q401" s="387" t="s">
        <v>9858</v>
      </c>
      <c r="R401" s="45"/>
      <c r="S401" s="344"/>
    </row>
    <row r="402" spans="1:19">
      <c r="A402" s="341" t="s">
        <v>6191</v>
      </c>
      <c r="B402" s="340"/>
      <c r="C402" s="340"/>
      <c r="D402" s="340"/>
      <c r="E402" s="340" t="s">
        <v>816</v>
      </c>
      <c r="F402" s="340"/>
      <c r="G402" s="340"/>
      <c r="H402" s="340"/>
      <c r="I402" s="340"/>
      <c r="J402" s="340"/>
      <c r="K402" s="340"/>
      <c r="L402" s="340"/>
      <c r="M402" s="340"/>
      <c r="N402" s="340"/>
      <c r="O402" s="340"/>
      <c r="P402" s="340"/>
      <c r="Q402" s="45" t="s">
        <v>6190</v>
      </c>
      <c r="R402" s="45"/>
      <c r="S402" s="344"/>
    </row>
    <row r="403" spans="1:19">
      <c r="A403" s="341" t="s">
        <v>6189</v>
      </c>
      <c r="B403" s="340"/>
      <c r="C403" s="340" t="s">
        <v>816</v>
      </c>
      <c r="D403" s="340"/>
      <c r="E403" s="340"/>
      <c r="F403" s="340"/>
      <c r="G403" s="340"/>
      <c r="H403" s="340"/>
      <c r="I403" s="340"/>
      <c r="J403" s="340"/>
      <c r="K403" s="340"/>
      <c r="L403" s="340"/>
      <c r="M403" s="340"/>
      <c r="N403" s="340"/>
      <c r="O403" s="340"/>
      <c r="P403" s="340"/>
      <c r="Q403" s="45"/>
      <c r="R403" s="45" t="s">
        <v>6188</v>
      </c>
      <c r="S403" s="344" t="s">
        <v>7057</v>
      </c>
    </row>
    <row r="404" spans="1:19">
      <c r="A404" s="341" t="s">
        <v>6187</v>
      </c>
      <c r="B404" s="340" t="s">
        <v>5888</v>
      </c>
      <c r="C404" s="340"/>
      <c r="D404" s="340" t="s">
        <v>5888</v>
      </c>
      <c r="E404" s="340" t="s">
        <v>5888</v>
      </c>
      <c r="F404" s="340" t="s">
        <v>5888</v>
      </c>
      <c r="G404" s="340" t="s">
        <v>5888</v>
      </c>
      <c r="H404" s="340" t="s">
        <v>5888</v>
      </c>
      <c r="I404" s="340" t="s">
        <v>816</v>
      </c>
      <c r="J404" s="340" t="s">
        <v>5888</v>
      </c>
      <c r="K404" s="340" t="s">
        <v>5888</v>
      </c>
      <c r="L404" s="340" t="s">
        <v>5888</v>
      </c>
      <c r="M404" s="340" t="s">
        <v>5888</v>
      </c>
      <c r="N404" s="340" t="s">
        <v>5888</v>
      </c>
      <c r="O404" s="340" t="s">
        <v>5888</v>
      </c>
      <c r="P404" s="340"/>
      <c r="Q404" s="45" t="s">
        <v>5901</v>
      </c>
      <c r="R404" s="45"/>
      <c r="S404" s="344"/>
    </row>
    <row r="405" spans="1:19">
      <c r="A405" s="341" t="s">
        <v>1759</v>
      </c>
      <c r="B405" s="340" t="s">
        <v>5888</v>
      </c>
      <c r="C405" s="340"/>
      <c r="D405" s="340" t="s">
        <v>5888</v>
      </c>
      <c r="E405" s="340" t="s">
        <v>5888</v>
      </c>
      <c r="F405" s="340" t="s">
        <v>5888</v>
      </c>
      <c r="G405" s="340" t="s">
        <v>5888</v>
      </c>
      <c r="H405" s="340" t="s">
        <v>816</v>
      </c>
      <c r="I405" s="340" t="s">
        <v>5888</v>
      </c>
      <c r="J405" s="340" t="s">
        <v>816</v>
      </c>
      <c r="K405" s="340" t="s">
        <v>816</v>
      </c>
      <c r="L405" s="340" t="s">
        <v>5888</v>
      </c>
      <c r="M405" s="340" t="s">
        <v>5888</v>
      </c>
      <c r="N405" s="340" t="s">
        <v>5888</v>
      </c>
      <c r="O405" s="340" t="s">
        <v>5888</v>
      </c>
      <c r="P405" s="340"/>
      <c r="Q405" s="45" t="s">
        <v>6186</v>
      </c>
      <c r="R405" s="45"/>
      <c r="S405" s="344"/>
    </row>
    <row r="406" spans="1:19">
      <c r="A406" s="341" t="s">
        <v>6185</v>
      </c>
      <c r="B406" s="340" t="s">
        <v>5888</v>
      </c>
      <c r="C406" s="340"/>
      <c r="D406" s="340" t="s">
        <v>5888</v>
      </c>
      <c r="E406" s="340" t="s">
        <v>5888</v>
      </c>
      <c r="F406" s="340" t="s">
        <v>5888</v>
      </c>
      <c r="G406" s="340" t="s">
        <v>5888</v>
      </c>
      <c r="H406" s="340" t="s">
        <v>816</v>
      </c>
      <c r="I406" s="340" t="s">
        <v>5888</v>
      </c>
      <c r="J406" s="340" t="s">
        <v>816</v>
      </c>
      <c r="K406" s="340" t="s">
        <v>816</v>
      </c>
      <c r="L406" s="340" t="s">
        <v>5888</v>
      </c>
      <c r="M406" s="340" t="s">
        <v>5888</v>
      </c>
      <c r="N406" s="340" t="s">
        <v>5888</v>
      </c>
      <c r="O406" s="340" t="s">
        <v>5888</v>
      </c>
      <c r="P406" s="340"/>
      <c r="Q406" s="45" t="s">
        <v>6184</v>
      </c>
      <c r="R406" s="45"/>
      <c r="S406" s="344"/>
    </row>
    <row r="407" spans="1:19">
      <c r="A407" s="341" t="s">
        <v>6183</v>
      </c>
      <c r="B407" s="340" t="s">
        <v>5888</v>
      </c>
      <c r="C407" s="340"/>
      <c r="D407" s="340" t="s">
        <v>5888</v>
      </c>
      <c r="E407" s="340" t="s">
        <v>5888</v>
      </c>
      <c r="F407" s="340" t="s">
        <v>5888</v>
      </c>
      <c r="G407" s="340" t="s">
        <v>5888</v>
      </c>
      <c r="H407" s="340" t="s">
        <v>816</v>
      </c>
      <c r="I407" s="340" t="s">
        <v>5888</v>
      </c>
      <c r="J407" s="340" t="s">
        <v>816</v>
      </c>
      <c r="K407" s="340" t="s">
        <v>816</v>
      </c>
      <c r="L407" s="340" t="s">
        <v>5888</v>
      </c>
      <c r="M407" s="340" t="s">
        <v>5888</v>
      </c>
      <c r="N407" s="340" t="s">
        <v>5888</v>
      </c>
      <c r="O407" s="340" t="s">
        <v>5888</v>
      </c>
      <c r="P407" s="340"/>
      <c r="Q407" s="342" t="s">
        <v>7786</v>
      </c>
      <c r="R407" s="45"/>
      <c r="S407" s="344"/>
    </row>
    <row r="408" spans="1:19">
      <c r="A408" s="341" t="s">
        <v>6182</v>
      </c>
      <c r="B408" s="340" t="s">
        <v>5888</v>
      </c>
      <c r="C408" s="340"/>
      <c r="D408" s="340" t="s">
        <v>5888</v>
      </c>
      <c r="E408" s="340" t="s">
        <v>5888</v>
      </c>
      <c r="F408" s="340" t="s">
        <v>5888</v>
      </c>
      <c r="G408" s="340" t="s">
        <v>5888</v>
      </c>
      <c r="H408" s="340" t="s">
        <v>816</v>
      </c>
      <c r="I408" s="340" t="s">
        <v>5888</v>
      </c>
      <c r="J408" s="340" t="s">
        <v>816</v>
      </c>
      <c r="K408" s="340" t="s">
        <v>816</v>
      </c>
      <c r="L408" s="340" t="s">
        <v>5888</v>
      </c>
      <c r="M408" s="340" t="s">
        <v>5888</v>
      </c>
      <c r="N408" s="340" t="s">
        <v>5888</v>
      </c>
      <c r="O408" s="340" t="s">
        <v>5888</v>
      </c>
      <c r="P408" s="340"/>
      <c r="Q408" s="45" t="s">
        <v>6181</v>
      </c>
      <c r="R408" s="45"/>
      <c r="S408" s="344"/>
    </row>
    <row r="409" spans="1:19">
      <c r="A409" s="341" t="s">
        <v>2118</v>
      </c>
      <c r="B409" s="340" t="s">
        <v>5888</v>
      </c>
      <c r="C409" s="340" t="s">
        <v>816</v>
      </c>
      <c r="D409" s="340" t="s">
        <v>5888</v>
      </c>
      <c r="E409" s="340" t="s">
        <v>5888</v>
      </c>
      <c r="F409" s="340" t="s">
        <v>5888</v>
      </c>
      <c r="G409" s="340" t="s">
        <v>5888</v>
      </c>
      <c r="H409" s="340" t="s">
        <v>5888</v>
      </c>
      <c r="I409" s="340" t="s">
        <v>5888</v>
      </c>
      <c r="J409" s="340" t="s">
        <v>5888</v>
      </c>
      <c r="K409" s="340"/>
      <c r="L409" s="340" t="s">
        <v>5888</v>
      </c>
      <c r="M409" s="340" t="s">
        <v>5888</v>
      </c>
      <c r="N409" s="340" t="s">
        <v>5888</v>
      </c>
      <c r="O409" s="340" t="s">
        <v>5888</v>
      </c>
      <c r="P409" s="340"/>
      <c r="R409" s="45" t="s">
        <v>6180</v>
      </c>
      <c r="S409" s="344"/>
    </row>
    <row r="410" spans="1:19">
      <c r="A410" s="341" t="s">
        <v>6179</v>
      </c>
      <c r="B410" s="340" t="s">
        <v>5888</v>
      </c>
      <c r="C410" s="340" t="s">
        <v>816</v>
      </c>
      <c r="D410" s="340" t="s">
        <v>5888</v>
      </c>
      <c r="E410" s="340" t="s">
        <v>5888</v>
      </c>
      <c r="F410" s="340" t="s">
        <v>5888</v>
      </c>
      <c r="G410" s="340" t="s">
        <v>5888</v>
      </c>
      <c r="H410" s="340" t="s">
        <v>5888</v>
      </c>
      <c r="I410" s="340" t="s">
        <v>5888</v>
      </c>
      <c r="J410" s="340" t="s">
        <v>5888</v>
      </c>
      <c r="K410" s="340"/>
      <c r="L410" s="340" t="s">
        <v>5888</v>
      </c>
      <c r="M410" s="340" t="s">
        <v>5888</v>
      </c>
      <c r="N410" s="340" t="s">
        <v>5888</v>
      </c>
      <c r="O410" s="340" t="s">
        <v>5888</v>
      </c>
      <c r="P410" s="340"/>
      <c r="R410" s="45" t="s">
        <v>6178</v>
      </c>
      <c r="S410" s="344"/>
    </row>
    <row r="411" spans="1:19">
      <c r="A411" s="341" t="s">
        <v>6176</v>
      </c>
      <c r="B411" s="340" t="s">
        <v>5888</v>
      </c>
      <c r="C411" s="340" t="s">
        <v>816</v>
      </c>
      <c r="D411" s="340" t="s">
        <v>5888</v>
      </c>
      <c r="E411" s="340" t="s">
        <v>5888</v>
      </c>
      <c r="F411" s="340" t="s">
        <v>5888</v>
      </c>
      <c r="G411" s="340" t="s">
        <v>5888</v>
      </c>
      <c r="H411" s="340" t="s">
        <v>5888</v>
      </c>
      <c r="I411" s="340" t="s">
        <v>5888</v>
      </c>
      <c r="J411" s="340" t="s">
        <v>5888</v>
      </c>
      <c r="K411" s="340"/>
      <c r="L411" s="340" t="s">
        <v>5888</v>
      </c>
      <c r="M411" s="340" t="s">
        <v>5888</v>
      </c>
      <c r="N411" s="340" t="s">
        <v>5888</v>
      </c>
      <c r="O411" s="340" t="s">
        <v>5888</v>
      </c>
      <c r="P411" s="340"/>
      <c r="R411" s="45" t="s">
        <v>6175</v>
      </c>
      <c r="S411" s="344"/>
    </row>
    <row r="412" spans="1:19">
      <c r="A412" s="341" t="s">
        <v>6704</v>
      </c>
      <c r="B412" s="340" t="s">
        <v>5888</v>
      </c>
      <c r="C412" s="340"/>
      <c r="D412" s="340" t="s">
        <v>5888</v>
      </c>
      <c r="E412" s="340" t="s">
        <v>5888</v>
      </c>
      <c r="F412" s="340" t="s">
        <v>5888</v>
      </c>
      <c r="G412" s="340" t="s">
        <v>5888</v>
      </c>
      <c r="H412" s="340" t="s">
        <v>5888</v>
      </c>
      <c r="I412" s="340" t="s">
        <v>5888</v>
      </c>
      <c r="J412" s="340" t="s">
        <v>5888</v>
      </c>
      <c r="K412" s="340" t="s">
        <v>816</v>
      </c>
      <c r="L412" s="340" t="s">
        <v>5888</v>
      </c>
      <c r="M412" s="340" t="s">
        <v>5888</v>
      </c>
      <c r="N412" s="340" t="s">
        <v>5888</v>
      </c>
      <c r="O412" s="340" t="s">
        <v>5888</v>
      </c>
      <c r="P412" s="340"/>
      <c r="Q412" s="45" t="s">
        <v>6177</v>
      </c>
      <c r="R412" s="45"/>
      <c r="S412" s="344"/>
    </row>
    <row r="413" spans="1:19">
      <c r="A413" s="341" t="s">
        <v>6173</v>
      </c>
      <c r="B413" s="340"/>
      <c r="C413" s="340" t="s">
        <v>816</v>
      </c>
      <c r="D413" s="340"/>
      <c r="E413" s="340"/>
      <c r="F413" s="340"/>
      <c r="G413" s="340"/>
      <c r="H413" s="340"/>
      <c r="I413" s="340"/>
      <c r="J413" s="340"/>
      <c r="K413" s="340"/>
      <c r="L413" s="340"/>
      <c r="M413" s="340"/>
      <c r="N413" s="340"/>
      <c r="O413" s="340"/>
      <c r="P413" s="340"/>
      <c r="Q413" s="45"/>
      <c r="R413" s="45" t="s">
        <v>6174</v>
      </c>
      <c r="S413" s="344" t="s">
        <v>7057</v>
      </c>
    </row>
    <row r="414" spans="1:19">
      <c r="A414" s="341" t="s">
        <v>6173</v>
      </c>
      <c r="B414" s="340"/>
      <c r="C414" s="340" t="s">
        <v>4381</v>
      </c>
      <c r="D414" s="340"/>
      <c r="E414" s="340"/>
      <c r="F414" s="340"/>
      <c r="G414" s="340"/>
      <c r="H414" s="340"/>
      <c r="I414" s="340"/>
      <c r="J414" s="340"/>
      <c r="K414" s="340"/>
      <c r="L414" s="340"/>
      <c r="M414" s="340"/>
      <c r="N414" s="340"/>
      <c r="O414" s="340"/>
      <c r="P414" s="340"/>
      <c r="Q414" s="45"/>
      <c r="R414" s="45" t="s">
        <v>6172</v>
      </c>
      <c r="S414" s="344" t="s">
        <v>7057</v>
      </c>
    </row>
    <row r="415" spans="1:19">
      <c r="A415" s="341" t="s">
        <v>6171</v>
      </c>
      <c r="B415" s="340"/>
      <c r="C415" s="340"/>
      <c r="D415" s="340"/>
      <c r="E415" s="340" t="s">
        <v>816</v>
      </c>
      <c r="F415" s="340"/>
      <c r="G415" s="340"/>
      <c r="H415" s="340"/>
      <c r="I415" s="340"/>
      <c r="J415" s="340"/>
      <c r="K415" s="340"/>
      <c r="L415" s="340"/>
      <c r="M415" s="340"/>
      <c r="N415" s="340"/>
      <c r="O415" s="340"/>
      <c r="P415" s="340"/>
      <c r="Q415" s="45" t="s">
        <v>6170</v>
      </c>
      <c r="R415" s="45"/>
      <c r="S415" s="344"/>
    </row>
    <row r="416" spans="1:19">
      <c r="A416" s="341" t="s">
        <v>4080</v>
      </c>
      <c r="B416" s="340" t="s">
        <v>5888</v>
      </c>
      <c r="C416" s="340"/>
      <c r="D416" s="340" t="s">
        <v>5888</v>
      </c>
      <c r="E416" s="340" t="s">
        <v>816</v>
      </c>
      <c r="F416" s="340" t="s">
        <v>5888</v>
      </c>
      <c r="G416" s="340" t="s">
        <v>5888</v>
      </c>
      <c r="H416" s="340" t="s">
        <v>5888</v>
      </c>
      <c r="I416" s="340" t="s">
        <v>5888</v>
      </c>
      <c r="J416" s="340" t="s">
        <v>5888</v>
      </c>
      <c r="K416" s="340" t="s">
        <v>816</v>
      </c>
      <c r="L416" s="340" t="s">
        <v>5888</v>
      </c>
      <c r="M416" s="340" t="s">
        <v>5888</v>
      </c>
      <c r="N416" s="340" t="s">
        <v>5888</v>
      </c>
      <c r="O416" s="340" t="s">
        <v>5888</v>
      </c>
      <c r="P416" s="340"/>
      <c r="Q416" s="45" t="s">
        <v>6169</v>
      </c>
      <c r="R416" s="45"/>
      <c r="S416" s="344"/>
    </row>
    <row r="417" spans="1:19">
      <c r="A417" s="341" t="s">
        <v>6924</v>
      </c>
      <c r="B417" s="340"/>
      <c r="C417" s="340"/>
      <c r="D417" s="340"/>
      <c r="E417" s="340" t="s">
        <v>816</v>
      </c>
      <c r="F417" s="340"/>
      <c r="G417" s="340"/>
      <c r="H417" s="340"/>
      <c r="I417" s="340"/>
      <c r="J417" s="340"/>
      <c r="K417" s="340"/>
      <c r="L417" s="340"/>
      <c r="M417" s="340"/>
      <c r="N417" s="340"/>
      <c r="O417" s="340"/>
      <c r="P417" s="340"/>
      <c r="Q417" s="45" t="s">
        <v>6925</v>
      </c>
      <c r="R417" s="45"/>
      <c r="S417" s="344"/>
    </row>
    <row r="418" spans="1:19">
      <c r="A418" s="341" t="s">
        <v>6926</v>
      </c>
      <c r="B418" s="340"/>
      <c r="C418" s="340"/>
      <c r="D418" s="340"/>
      <c r="E418" s="340" t="s">
        <v>816</v>
      </c>
      <c r="F418" s="340"/>
      <c r="G418" s="340"/>
      <c r="H418" s="340"/>
      <c r="I418" s="340"/>
      <c r="J418" s="340"/>
      <c r="K418" s="340"/>
      <c r="L418" s="340"/>
      <c r="M418" s="340"/>
      <c r="N418" s="340"/>
      <c r="O418" s="340"/>
      <c r="P418" s="340"/>
      <c r="Q418" s="45" t="s">
        <v>6927</v>
      </c>
      <c r="R418" s="45"/>
      <c r="S418" s="344"/>
    </row>
    <row r="419" spans="1:19">
      <c r="A419" s="341" t="s">
        <v>6168</v>
      </c>
      <c r="B419" s="340" t="s">
        <v>5888</v>
      </c>
      <c r="C419" s="340"/>
      <c r="D419" s="340" t="s">
        <v>5888</v>
      </c>
      <c r="E419" s="340" t="s">
        <v>5888</v>
      </c>
      <c r="F419" s="340" t="s">
        <v>5888</v>
      </c>
      <c r="G419" s="340" t="s">
        <v>5888</v>
      </c>
      <c r="H419" s="340" t="s">
        <v>5888</v>
      </c>
      <c r="I419" s="340" t="s">
        <v>5888</v>
      </c>
      <c r="J419" s="340" t="s">
        <v>5888</v>
      </c>
      <c r="K419" s="340" t="s">
        <v>816</v>
      </c>
      <c r="L419" s="340" t="s">
        <v>5888</v>
      </c>
      <c r="M419" s="340" t="s">
        <v>5888</v>
      </c>
      <c r="N419" s="340" t="s">
        <v>5888</v>
      </c>
      <c r="O419" s="340" t="s">
        <v>5888</v>
      </c>
      <c r="P419" s="340"/>
      <c r="Q419" s="45" t="s">
        <v>6167</v>
      </c>
      <c r="R419" s="45"/>
      <c r="S419" s="344"/>
    </row>
    <row r="420" spans="1:19">
      <c r="A420" s="341" t="s">
        <v>6166</v>
      </c>
      <c r="B420" s="340" t="s">
        <v>5888</v>
      </c>
      <c r="C420" s="340"/>
      <c r="D420" s="340" t="s">
        <v>5888</v>
      </c>
      <c r="E420" s="340" t="s">
        <v>5888</v>
      </c>
      <c r="F420" s="340" t="s">
        <v>5888</v>
      </c>
      <c r="G420" s="340" t="s">
        <v>5888</v>
      </c>
      <c r="H420" s="340" t="s">
        <v>5888</v>
      </c>
      <c r="I420" s="340" t="s">
        <v>5888</v>
      </c>
      <c r="J420" s="340" t="s">
        <v>5888</v>
      </c>
      <c r="K420" s="340" t="s">
        <v>816</v>
      </c>
      <c r="L420" s="340" t="s">
        <v>5888</v>
      </c>
      <c r="M420" s="340" t="s">
        <v>5888</v>
      </c>
      <c r="N420" s="340" t="s">
        <v>5888</v>
      </c>
      <c r="O420" s="340" t="s">
        <v>5888</v>
      </c>
      <c r="P420" s="340"/>
      <c r="Q420" s="45" t="s">
        <v>5974</v>
      </c>
      <c r="R420" s="45"/>
      <c r="S420" s="344"/>
    </row>
    <row r="421" spans="1:19">
      <c r="A421" s="341" t="s">
        <v>6705</v>
      </c>
      <c r="B421" s="340" t="s">
        <v>5888</v>
      </c>
      <c r="C421" s="340"/>
      <c r="D421" s="340" t="s">
        <v>5888</v>
      </c>
      <c r="E421" s="340" t="s">
        <v>5888</v>
      </c>
      <c r="F421" s="340" t="s">
        <v>5888</v>
      </c>
      <c r="G421" s="340" t="s">
        <v>5888</v>
      </c>
      <c r="H421" s="340" t="s">
        <v>5888</v>
      </c>
      <c r="I421" s="340" t="s">
        <v>5888</v>
      </c>
      <c r="J421" s="340" t="s">
        <v>5888</v>
      </c>
      <c r="K421" s="340" t="s">
        <v>816</v>
      </c>
      <c r="L421" s="340" t="s">
        <v>5888</v>
      </c>
      <c r="M421" s="340" t="s">
        <v>5888</v>
      </c>
      <c r="N421" s="340" t="s">
        <v>5888</v>
      </c>
      <c r="O421" s="340" t="s">
        <v>5888</v>
      </c>
      <c r="P421" s="340"/>
      <c r="Q421" s="45" t="s">
        <v>6165</v>
      </c>
      <c r="R421" s="45"/>
      <c r="S421" s="344"/>
    </row>
    <row r="422" spans="1:19">
      <c r="A422" s="341" t="s">
        <v>6164</v>
      </c>
      <c r="B422" s="340"/>
      <c r="C422" s="340"/>
      <c r="D422" s="340"/>
      <c r="E422" s="340" t="s">
        <v>816</v>
      </c>
      <c r="F422" s="340"/>
      <c r="G422" s="340" t="s">
        <v>816</v>
      </c>
      <c r="H422" s="340"/>
      <c r="I422" s="340"/>
      <c r="J422" s="340"/>
      <c r="K422" s="340" t="s">
        <v>816</v>
      </c>
      <c r="L422" s="340"/>
      <c r="M422" s="340"/>
      <c r="N422" s="340"/>
      <c r="O422" s="340"/>
      <c r="P422" s="340"/>
      <c r="Q422" s="45" t="s">
        <v>6163</v>
      </c>
      <c r="R422" s="45"/>
      <c r="S422" s="344"/>
    </row>
    <row r="423" spans="1:19">
      <c r="A423" s="341" t="s">
        <v>6162</v>
      </c>
      <c r="B423" s="340" t="s">
        <v>5888</v>
      </c>
      <c r="C423" s="340"/>
      <c r="D423" s="340" t="s">
        <v>5888</v>
      </c>
      <c r="E423" s="340" t="s">
        <v>816</v>
      </c>
      <c r="F423" s="340" t="s">
        <v>5888</v>
      </c>
      <c r="G423" s="340" t="s">
        <v>816</v>
      </c>
      <c r="H423" s="340" t="s">
        <v>5888</v>
      </c>
      <c r="I423" s="340" t="s">
        <v>5888</v>
      </c>
      <c r="J423" s="340" t="s">
        <v>5888</v>
      </c>
      <c r="K423" s="340" t="s">
        <v>816</v>
      </c>
      <c r="L423" s="340" t="s">
        <v>5888</v>
      </c>
      <c r="M423" s="340" t="s">
        <v>5888</v>
      </c>
      <c r="N423" s="340" t="s">
        <v>5888</v>
      </c>
      <c r="O423" s="340" t="s">
        <v>5888</v>
      </c>
      <c r="P423" s="340"/>
      <c r="Q423" s="45" t="s">
        <v>6161</v>
      </c>
      <c r="R423" s="45"/>
      <c r="S423" s="344"/>
    </row>
    <row r="424" spans="1:19">
      <c r="A424" s="341" t="s">
        <v>6160</v>
      </c>
      <c r="B424" s="340" t="s">
        <v>816</v>
      </c>
      <c r="C424" s="340"/>
      <c r="D424" s="340" t="s">
        <v>816</v>
      </c>
      <c r="E424" s="340" t="s">
        <v>816</v>
      </c>
      <c r="F424" s="340" t="s">
        <v>5888</v>
      </c>
      <c r="G424" s="340" t="s">
        <v>816</v>
      </c>
      <c r="H424" s="340" t="s">
        <v>816</v>
      </c>
      <c r="I424" s="340" t="s">
        <v>816</v>
      </c>
      <c r="J424" s="340" t="s">
        <v>816</v>
      </c>
      <c r="K424" s="340" t="s">
        <v>816</v>
      </c>
      <c r="L424" s="340" t="s">
        <v>816</v>
      </c>
      <c r="M424" s="340" t="s">
        <v>816</v>
      </c>
      <c r="N424" s="340" t="s">
        <v>5888</v>
      </c>
      <c r="O424" s="340" t="s">
        <v>816</v>
      </c>
      <c r="P424" s="340"/>
      <c r="Q424" s="342" t="s">
        <v>5901</v>
      </c>
      <c r="R424" s="45"/>
      <c r="S424" s="344"/>
    </row>
    <row r="425" spans="1:19">
      <c r="A425" s="341" t="s">
        <v>6160</v>
      </c>
      <c r="B425" s="340"/>
      <c r="C425" s="340"/>
      <c r="D425" s="340"/>
      <c r="E425" s="340" t="s">
        <v>816</v>
      </c>
      <c r="F425" s="340"/>
      <c r="G425" s="340"/>
      <c r="H425" s="340"/>
      <c r="I425" s="340"/>
      <c r="J425" s="340"/>
      <c r="K425" s="340"/>
      <c r="L425" s="340"/>
      <c r="M425" s="340"/>
      <c r="N425" s="340"/>
      <c r="O425" s="340"/>
      <c r="P425" s="340"/>
      <c r="Q425" s="45" t="s">
        <v>6159</v>
      </c>
      <c r="R425" s="45"/>
      <c r="S425" s="344"/>
    </row>
    <row r="426" spans="1:19">
      <c r="A426" s="341" t="s">
        <v>10219</v>
      </c>
      <c r="B426" s="340"/>
      <c r="C426" s="340"/>
      <c r="D426" s="340" t="s">
        <v>816</v>
      </c>
      <c r="E426" s="340" t="s">
        <v>816</v>
      </c>
      <c r="F426" s="340"/>
      <c r="G426" s="340" t="s">
        <v>816</v>
      </c>
      <c r="H426" s="340" t="s">
        <v>816</v>
      </c>
      <c r="I426" s="340" t="s">
        <v>816</v>
      </c>
      <c r="J426" s="340"/>
      <c r="K426" s="340" t="s">
        <v>816</v>
      </c>
      <c r="L426" s="340" t="s">
        <v>816</v>
      </c>
      <c r="M426" s="340" t="s">
        <v>816</v>
      </c>
      <c r="N426" s="340" t="s">
        <v>816</v>
      </c>
      <c r="O426" s="340" t="s">
        <v>816</v>
      </c>
      <c r="P426" s="340"/>
      <c r="Q426" s="343" t="s">
        <v>10220</v>
      </c>
      <c r="R426" s="45"/>
      <c r="S426" s="344"/>
    </row>
    <row r="427" spans="1:19">
      <c r="A427" s="341" t="s">
        <v>8932</v>
      </c>
      <c r="B427" s="340" t="s">
        <v>5888</v>
      </c>
      <c r="C427" s="340"/>
      <c r="D427" s="340" t="s">
        <v>5888</v>
      </c>
      <c r="E427" s="340" t="s">
        <v>5888</v>
      </c>
      <c r="F427" s="340" t="s">
        <v>5888</v>
      </c>
      <c r="G427" s="340" t="s">
        <v>5888</v>
      </c>
      <c r="H427" s="340" t="s">
        <v>5888</v>
      </c>
      <c r="I427" s="340" t="s">
        <v>5888</v>
      </c>
      <c r="J427" s="340" t="s">
        <v>816</v>
      </c>
      <c r="K427" s="340" t="s">
        <v>816</v>
      </c>
      <c r="L427" s="340" t="s">
        <v>5888</v>
      </c>
      <c r="M427" s="340" t="s">
        <v>5888</v>
      </c>
      <c r="N427" s="340" t="s">
        <v>5888</v>
      </c>
      <c r="O427" s="340" t="s">
        <v>5888</v>
      </c>
      <c r="P427" s="340"/>
      <c r="Q427" s="343" t="s">
        <v>8933</v>
      </c>
      <c r="R427" s="45"/>
      <c r="S427" s="344"/>
    </row>
    <row r="428" spans="1:19">
      <c r="A428" s="341" t="s">
        <v>6158</v>
      </c>
      <c r="B428" s="340"/>
      <c r="C428" s="340"/>
      <c r="D428" s="340"/>
      <c r="E428" s="340" t="s">
        <v>816</v>
      </c>
      <c r="F428" s="340"/>
      <c r="G428" s="340"/>
      <c r="H428" s="340"/>
      <c r="I428" s="340"/>
      <c r="J428" s="340"/>
      <c r="K428" s="340"/>
      <c r="L428" s="340"/>
      <c r="M428" s="340"/>
      <c r="N428" s="340"/>
      <c r="O428" s="340"/>
      <c r="P428" s="340"/>
      <c r="Q428" s="45" t="s">
        <v>6157</v>
      </c>
      <c r="R428" s="45"/>
      <c r="S428" s="344"/>
    </row>
    <row r="429" spans="1:19">
      <c r="A429" s="341" t="s">
        <v>1385</v>
      </c>
      <c r="B429" s="340" t="s">
        <v>5888</v>
      </c>
      <c r="C429" s="340"/>
      <c r="D429" s="340" t="s">
        <v>816</v>
      </c>
      <c r="E429" s="340" t="s">
        <v>5888</v>
      </c>
      <c r="F429" s="340" t="s">
        <v>5888</v>
      </c>
      <c r="G429" s="340" t="s">
        <v>5888</v>
      </c>
      <c r="H429" s="340" t="s">
        <v>5888</v>
      </c>
      <c r="I429" s="340" t="s">
        <v>5888</v>
      </c>
      <c r="J429" s="340" t="s">
        <v>5888</v>
      </c>
      <c r="K429" s="340" t="s">
        <v>5888</v>
      </c>
      <c r="L429" s="340" t="s">
        <v>5888</v>
      </c>
      <c r="M429" s="340" t="s">
        <v>5888</v>
      </c>
      <c r="N429" s="340" t="s">
        <v>5888</v>
      </c>
      <c r="O429" s="340" t="s">
        <v>5888</v>
      </c>
      <c r="P429" s="340"/>
      <c r="Q429" s="45" t="s">
        <v>6156</v>
      </c>
      <c r="R429" s="45"/>
      <c r="S429" s="344"/>
    </row>
    <row r="430" spans="1:19">
      <c r="A430" s="341" t="s">
        <v>6155</v>
      </c>
      <c r="B430" s="340" t="s">
        <v>5888</v>
      </c>
      <c r="C430" s="340" t="s">
        <v>816</v>
      </c>
      <c r="D430" s="340" t="s">
        <v>5888</v>
      </c>
      <c r="E430" s="340" t="s">
        <v>5888</v>
      </c>
      <c r="F430" s="340" t="s">
        <v>5888</v>
      </c>
      <c r="G430" s="340" t="s">
        <v>5888</v>
      </c>
      <c r="H430" s="340" t="s">
        <v>5888</v>
      </c>
      <c r="I430" s="340" t="s">
        <v>5888</v>
      </c>
      <c r="J430" s="340" t="s">
        <v>5888</v>
      </c>
      <c r="K430" s="340" t="s">
        <v>5888</v>
      </c>
      <c r="L430" s="340" t="s">
        <v>5888</v>
      </c>
      <c r="M430" s="340" t="s">
        <v>5888</v>
      </c>
      <c r="N430" s="340" t="s">
        <v>5888</v>
      </c>
      <c r="O430" s="340" t="s">
        <v>5888</v>
      </c>
      <c r="P430" s="340"/>
      <c r="Q430" s="45" t="s">
        <v>6154</v>
      </c>
      <c r="R430" s="45"/>
      <c r="S430" s="344"/>
    </row>
    <row r="431" spans="1:19">
      <c r="A431" s="341" t="s">
        <v>1319</v>
      </c>
      <c r="B431" s="340" t="s">
        <v>5888</v>
      </c>
      <c r="C431" s="340"/>
      <c r="D431" s="340" t="s">
        <v>5888</v>
      </c>
      <c r="E431" s="340" t="s">
        <v>5888</v>
      </c>
      <c r="F431" s="340" t="s">
        <v>5888</v>
      </c>
      <c r="G431" s="340" t="s">
        <v>5888</v>
      </c>
      <c r="H431" s="340" t="s">
        <v>5888</v>
      </c>
      <c r="I431" s="340" t="s">
        <v>5888</v>
      </c>
      <c r="J431" s="340" t="s">
        <v>5888</v>
      </c>
      <c r="K431" s="340" t="s">
        <v>816</v>
      </c>
      <c r="L431" s="340" t="s">
        <v>5888</v>
      </c>
      <c r="M431" s="340" t="s">
        <v>5888</v>
      </c>
      <c r="N431" s="340" t="s">
        <v>5888</v>
      </c>
      <c r="O431" s="340" t="s">
        <v>5888</v>
      </c>
      <c r="P431" s="340"/>
      <c r="Q431" s="45" t="s">
        <v>6153</v>
      </c>
      <c r="R431" s="45"/>
      <c r="S431" s="344"/>
    </row>
    <row r="432" spans="1:19">
      <c r="A432" s="341" t="s">
        <v>2139</v>
      </c>
      <c r="B432" s="340" t="s">
        <v>5888</v>
      </c>
      <c r="C432" s="340"/>
      <c r="D432" s="340" t="s">
        <v>5888</v>
      </c>
      <c r="E432" s="340" t="s">
        <v>5888</v>
      </c>
      <c r="F432" s="340" t="s">
        <v>5888</v>
      </c>
      <c r="G432" s="340" t="s">
        <v>5888</v>
      </c>
      <c r="H432" s="340" t="s">
        <v>5888</v>
      </c>
      <c r="I432" s="340" t="s">
        <v>5888</v>
      </c>
      <c r="J432" s="340" t="s">
        <v>5888</v>
      </c>
      <c r="K432" s="340" t="s">
        <v>816</v>
      </c>
      <c r="L432" s="340" t="s">
        <v>5888</v>
      </c>
      <c r="M432" s="340" t="s">
        <v>5888</v>
      </c>
      <c r="N432" s="340" t="s">
        <v>5888</v>
      </c>
      <c r="O432" s="340" t="s">
        <v>5888</v>
      </c>
      <c r="P432" s="340"/>
      <c r="Q432" s="45" t="s">
        <v>6152</v>
      </c>
      <c r="R432" s="45"/>
      <c r="S432" s="344"/>
    </row>
    <row r="433" spans="1:19">
      <c r="A433" s="341" t="s">
        <v>6151</v>
      </c>
      <c r="B433" s="340"/>
      <c r="C433" s="340"/>
      <c r="D433" s="340" t="s">
        <v>816</v>
      </c>
      <c r="E433" s="340" t="s">
        <v>816</v>
      </c>
      <c r="F433" s="340"/>
      <c r="G433" s="340"/>
      <c r="H433" s="340"/>
      <c r="I433" s="340"/>
      <c r="J433" s="340"/>
      <c r="K433" s="340"/>
      <c r="L433" s="340"/>
      <c r="M433" s="340"/>
      <c r="N433" s="340"/>
      <c r="O433" s="340"/>
      <c r="P433" s="340"/>
      <c r="Q433" s="45" t="s">
        <v>6150</v>
      </c>
      <c r="R433" s="45"/>
      <c r="S433" s="344"/>
    </row>
    <row r="434" spans="1:19">
      <c r="A434" s="341" t="s">
        <v>6149</v>
      </c>
      <c r="B434" s="340"/>
      <c r="C434" s="340"/>
      <c r="D434" s="340"/>
      <c r="E434" s="340" t="s">
        <v>816</v>
      </c>
      <c r="F434" s="340"/>
      <c r="G434" s="340"/>
      <c r="H434" s="340"/>
      <c r="I434" s="340"/>
      <c r="J434" s="340"/>
      <c r="K434" s="340"/>
      <c r="L434" s="340"/>
      <c r="M434" s="340"/>
      <c r="N434" s="340"/>
      <c r="O434" s="340"/>
      <c r="P434" s="340"/>
      <c r="Q434" s="45" t="s">
        <v>6148</v>
      </c>
      <c r="R434" s="45"/>
      <c r="S434" s="344"/>
    </row>
    <row r="435" spans="1:19">
      <c r="A435" s="341" t="s">
        <v>8198</v>
      </c>
      <c r="B435" s="340" t="s">
        <v>5888</v>
      </c>
      <c r="C435" s="340"/>
      <c r="D435" s="340" t="s">
        <v>816</v>
      </c>
      <c r="E435" s="340"/>
      <c r="F435" s="340" t="s">
        <v>5888</v>
      </c>
      <c r="G435" s="340"/>
      <c r="H435" s="340" t="s">
        <v>5888</v>
      </c>
      <c r="I435" s="340" t="s">
        <v>5888</v>
      </c>
      <c r="J435" s="340" t="s">
        <v>5888</v>
      </c>
      <c r="K435" s="340" t="s">
        <v>5888</v>
      </c>
      <c r="L435" s="340" t="s">
        <v>5888</v>
      </c>
      <c r="M435" s="340" t="s">
        <v>5888</v>
      </c>
      <c r="N435" s="340" t="s">
        <v>5888</v>
      </c>
      <c r="O435" s="340" t="s">
        <v>5888</v>
      </c>
      <c r="P435" s="340"/>
      <c r="Q435" s="343" t="s">
        <v>8199</v>
      </c>
      <c r="R435" s="45"/>
      <c r="S435" s="344"/>
    </row>
    <row r="436" spans="1:19">
      <c r="A436" s="341" t="s">
        <v>8823</v>
      </c>
      <c r="B436" s="340" t="s">
        <v>5888</v>
      </c>
      <c r="C436" s="340"/>
      <c r="D436" s="340" t="s">
        <v>5888</v>
      </c>
      <c r="E436" s="340" t="s">
        <v>5888</v>
      </c>
      <c r="F436" s="340" t="s">
        <v>5888</v>
      </c>
      <c r="G436" s="340" t="s">
        <v>816</v>
      </c>
      <c r="H436" s="340" t="s">
        <v>5888</v>
      </c>
      <c r="I436" s="340" t="s">
        <v>816</v>
      </c>
      <c r="J436" s="340" t="s">
        <v>816</v>
      </c>
      <c r="K436" s="340" t="s">
        <v>816</v>
      </c>
      <c r="L436" s="340"/>
      <c r="M436" s="340" t="s">
        <v>816</v>
      </c>
      <c r="N436" s="340" t="s">
        <v>5888</v>
      </c>
      <c r="O436" s="340" t="s">
        <v>5888</v>
      </c>
      <c r="P436" s="340"/>
      <c r="Q436" s="343" t="s">
        <v>6809</v>
      </c>
      <c r="R436" s="45"/>
      <c r="S436" s="344"/>
    </row>
    <row r="437" spans="1:19">
      <c r="A437" s="341" t="s">
        <v>8823</v>
      </c>
      <c r="B437" s="340" t="s">
        <v>5888</v>
      </c>
      <c r="C437" s="340"/>
      <c r="D437" s="340" t="s">
        <v>5888</v>
      </c>
      <c r="E437" s="340" t="s">
        <v>5888</v>
      </c>
      <c r="F437" s="340" t="s">
        <v>5888</v>
      </c>
      <c r="G437" s="340" t="s">
        <v>816</v>
      </c>
      <c r="H437" s="340" t="s">
        <v>5888</v>
      </c>
      <c r="I437" s="340" t="s">
        <v>816</v>
      </c>
      <c r="J437" s="340" t="s">
        <v>816</v>
      </c>
      <c r="K437" s="340" t="s">
        <v>816</v>
      </c>
      <c r="L437" s="340"/>
      <c r="M437" s="340" t="s">
        <v>816</v>
      </c>
      <c r="N437" s="340" t="s">
        <v>5888</v>
      </c>
      <c r="O437" s="340" t="s">
        <v>5888</v>
      </c>
      <c r="P437" s="340"/>
      <c r="Q437" s="343" t="s">
        <v>8825</v>
      </c>
      <c r="R437" s="343"/>
      <c r="S437" s="344"/>
    </row>
    <row r="438" spans="1:19">
      <c r="A438" s="341" t="s">
        <v>8824</v>
      </c>
      <c r="B438" s="340" t="s">
        <v>5888</v>
      </c>
      <c r="C438" s="340" t="s">
        <v>816</v>
      </c>
      <c r="D438" s="340" t="s">
        <v>5888</v>
      </c>
      <c r="E438" s="340" t="s">
        <v>5888</v>
      </c>
      <c r="F438" s="340" t="s">
        <v>5888</v>
      </c>
      <c r="G438" s="340"/>
      <c r="H438" s="340"/>
      <c r="I438" s="340"/>
      <c r="J438" s="340"/>
      <c r="K438" s="340"/>
      <c r="L438" s="340"/>
      <c r="M438" s="340"/>
      <c r="N438" s="340" t="s">
        <v>5888</v>
      </c>
      <c r="O438" s="340" t="s">
        <v>5888</v>
      </c>
      <c r="P438" s="340"/>
      <c r="Q438" s="45"/>
      <c r="R438" s="343" t="s">
        <v>7534</v>
      </c>
      <c r="S438" s="344"/>
    </row>
    <row r="439" spans="1:19">
      <c r="A439" s="341" t="s">
        <v>1039</v>
      </c>
      <c r="B439" s="340" t="s">
        <v>5888</v>
      </c>
      <c r="C439" s="340"/>
      <c r="D439" s="340" t="s">
        <v>5888</v>
      </c>
      <c r="E439" s="340" t="s">
        <v>5888</v>
      </c>
      <c r="F439" s="340" t="s">
        <v>5888</v>
      </c>
      <c r="G439" s="340" t="s">
        <v>5888</v>
      </c>
      <c r="H439" s="340" t="s">
        <v>5888</v>
      </c>
      <c r="I439" s="340" t="s">
        <v>5888</v>
      </c>
      <c r="J439" s="340" t="s">
        <v>816</v>
      </c>
      <c r="K439" s="340" t="s">
        <v>5888</v>
      </c>
      <c r="L439" s="340" t="s">
        <v>5888</v>
      </c>
      <c r="M439" s="340" t="s">
        <v>5888</v>
      </c>
      <c r="N439" s="340" t="s">
        <v>5888</v>
      </c>
      <c r="O439" s="340" t="s">
        <v>5888</v>
      </c>
      <c r="P439" s="340"/>
      <c r="Q439" s="45" t="s">
        <v>6147</v>
      </c>
      <c r="R439" s="45"/>
      <c r="S439" s="344"/>
    </row>
    <row r="440" spans="1:19">
      <c r="A440" s="341" t="s">
        <v>6146</v>
      </c>
      <c r="B440" s="340" t="s">
        <v>5888</v>
      </c>
      <c r="C440" s="340"/>
      <c r="D440" s="340" t="s">
        <v>5888</v>
      </c>
      <c r="E440" s="340" t="s">
        <v>5888</v>
      </c>
      <c r="F440" s="340" t="s">
        <v>5888</v>
      </c>
      <c r="G440" s="340" t="s">
        <v>5888</v>
      </c>
      <c r="H440" s="340" t="s">
        <v>5888</v>
      </c>
      <c r="I440" s="340" t="s">
        <v>5888</v>
      </c>
      <c r="J440" s="340"/>
      <c r="K440" s="340" t="s">
        <v>5888</v>
      </c>
      <c r="L440" s="340" t="s">
        <v>816</v>
      </c>
      <c r="M440" s="340" t="s">
        <v>5888</v>
      </c>
      <c r="N440" s="340" t="s">
        <v>5888</v>
      </c>
      <c r="O440" s="340" t="s">
        <v>5888</v>
      </c>
      <c r="P440" s="340"/>
      <c r="Q440" s="45" t="s">
        <v>6145</v>
      </c>
      <c r="R440" s="45"/>
      <c r="S440" s="344"/>
    </row>
    <row r="441" spans="1:19">
      <c r="A441" s="341" t="s">
        <v>6144</v>
      </c>
      <c r="B441" s="340" t="s">
        <v>5888</v>
      </c>
      <c r="C441" s="340"/>
      <c r="D441" s="340" t="s">
        <v>5888</v>
      </c>
      <c r="E441" s="340" t="s">
        <v>5888</v>
      </c>
      <c r="F441" s="340" t="s">
        <v>5888</v>
      </c>
      <c r="G441" s="340" t="s">
        <v>5888</v>
      </c>
      <c r="H441" s="340" t="s">
        <v>5888</v>
      </c>
      <c r="I441" s="340" t="s">
        <v>5888</v>
      </c>
      <c r="J441" s="340"/>
      <c r="K441" s="340" t="s">
        <v>5888</v>
      </c>
      <c r="L441" s="340" t="s">
        <v>816</v>
      </c>
      <c r="M441" s="340" t="s">
        <v>5888</v>
      </c>
      <c r="N441" s="340" t="s">
        <v>5888</v>
      </c>
      <c r="O441" s="340" t="s">
        <v>5888</v>
      </c>
      <c r="P441" s="340"/>
      <c r="Q441" s="342" t="s">
        <v>6143</v>
      </c>
      <c r="R441" s="45"/>
      <c r="S441" s="344"/>
    </row>
    <row r="442" spans="1:19">
      <c r="A442" s="341" t="s">
        <v>6142</v>
      </c>
      <c r="B442" s="340" t="s">
        <v>5888</v>
      </c>
      <c r="C442" s="340"/>
      <c r="D442" s="340" t="s">
        <v>5888</v>
      </c>
      <c r="E442" s="340" t="s">
        <v>5888</v>
      </c>
      <c r="F442" s="340" t="s">
        <v>5888</v>
      </c>
      <c r="G442" s="340" t="s">
        <v>5888</v>
      </c>
      <c r="H442" s="340" t="s">
        <v>5888</v>
      </c>
      <c r="I442" s="340" t="s">
        <v>5888</v>
      </c>
      <c r="J442" s="340"/>
      <c r="K442" s="340" t="s">
        <v>5888</v>
      </c>
      <c r="L442" s="340" t="s">
        <v>816</v>
      </c>
      <c r="M442" s="340" t="s">
        <v>5888</v>
      </c>
      <c r="N442" s="340" t="s">
        <v>5888</v>
      </c>
      <c r="O442" s="340" t="s">
        <v>5888</v>
      </c>
      <c r="P442" s="340"/>
      <c r="Q442" s="45" t="s">
        <v>6141</v>
      </c>
      <c r="R442" s="45"/>
      <c r="S442" s="344"/>
    </row>
    <row r="443" spans="1:19">
      <c r="A443" s="341" t="s">
        <v>6140</v>
      </c>
      <c r="B443" s="340" t="s">
        <v>5888</v>
      </c>
      <c r="C443" s="340"/>
      <c r="D443" s="340" t="s">
        <v>5888</v>
      </c>
      <c r="E443" s="340" t="s">
        <v>5888</v>
      </c>
      <c r="F443" s="340" t="s">
        <v>5888</v>
      </c>
      <c r="G443" s="340" t="s">
        <v>5888</v>
      </c>
      <c r="H443" s="340" t="s">
        <v>5888</v>
      </c>
      <c r="I443" s="340" t="s">
        <v>5888</v>
      </c>
      <c r="J443" s="340"/>
      <c r="K443" s="340" t="s">
        <v>5888</v>
      </c>
      <c r="L443" s="340" t="s">
        <v>816</v>
      </c>
      <c r="M443" s="340" t="s">
        <v>5888</v>
      </c>
      <c r="N443" s="340" t="s">
        <v>5888</v>
      </c>
      <c r="O443" s="340" t="s">
        <v>5888</v>
      </c>
      <c r="P443" s="340"/>
      <c r="Q443" s="45" t="s">
        <v>6139</v>
      </c>
      <c r="R443" s="45"/>
      <c r="S443" s="344"/>
    </row>
    <row r="444" spans="1:19">
      <c r="A444" s="341" t="s">
        <v>8219</v>
      </c>
      <c r="B444" s="340" t="s">
        <v>5888</v>
      </c>
      <c r="C444" s="340"/>
      <c r="D444" s="340" t="s">
        <v>816</v>
      </c>
      <c r="E444" s="340"/>
      <c r="F444" s="340" t="s">
        <v>5888</v>
      </c>
      <c r="G444" s="340"/>
      <c r="H444" s="340" t="s">
        <v>5888</v>
      </c>
      <c r="I444" s="340" t="s">
        <v>5888</v>
      </c>
      <c r="J444" s="340" t="s">
        <v>5888</v>
      </c>
      <c r="K444" s="340" t="s">
        <v>5888</v>
      </c>
      <c r="L444" s="340" t="s">
        <v>5888</v>
      </c>
      <c r="M444" s="340" t="s">
        <v>816</v>
      </c>
      <c r="N444" s="340" t="s">
        <v>5888</v>
      </c>
      <c r="O444" s="340" t="s">
        <v>5888</v>
      </c>
      <c r="P444" s="340"/>
      <c r="Q444" s="343" t="s">
        <v>8220</v>
      </c>
      <c r="R444" s="45"/>
      <c r="S444" s="344"/>
    </row>
    <row r="445" spans="1:19">
      <c r="A445" s="341" t="s">
        <v>9198</v>
      </c>
      <c r="B445" s="340"/>
      <c r="C445" s="340"/>
      <c r="D445" s="340"/>
      <c r="E445" s="340"/>
      <c r="F445" s="340"/>
      <c r="G445" s="340"/>
      <c r="H445" s="340"/>
      <c r="I445" s="340"/>
      <c r="J445" s="340"/>
      <c r="K445" s="340" t="s">
        <v>816</v>
      </c>
      <c r="L445" s="340"/>
      <c r="M445" s="340"/>
      <c r="N445" s="340"/>
      <c r="O445" s="340"/>
      <c r="P445" s="340"/>
      <c r="Q445" s="343" t="s">
        <v>9202</v>
      </c>
      <c r="R445" s="45"/>
      <c r="S445" s="344"/>
    </row>
    <row r="446" spans="1:19">
      <c r="A446" s="341" t="s">
        <v>6138</v>
      </c>
      <c r="B446" s="340" t="s">
        <v>5888</v>
      </c>
      <c r="C446" s="340" t="s">
        <v>816</v>
      </c>
      <c r="D446" s="340" t="s">
        <v>5888</v>
      </c>
      <c r="E446" s="340" t="s">
        <v>5888</v>
      </c>
      <c r="F446" s="340" t="s">
        <v>5888</v>
      </c>
      <c r="G446" s="340" t="s">
        <v>5888</v>
      </c>
      <c r="H446" s="340" t="s">
        <v>5888</v>
      </c>
      <c r="I446" s="340" t="s">
        <v>5888</v>
      </c>
      <c r="J446" s="340" t="s">
        <v>5888</v>
      </c>
      <c r="K446" s="340"/>
      <c r="L446" s="340" t="s">
        <v>5888</v>
      </c>
      <c r="M446" s="340" t="s">
        <v>5888</v>
      </c>
      <c r="N446" s="340" t="s">
        <v>5888</v>
      </c>
      <c r="O446" s="340" t="s">
        <v>5888</v>
      </c>
      <c r="P446" s="340"/>
      <c r="R446" s="45" t="s">
        <v>6137</v>
      </c>
      <c r="S446" s="344"/>
    </row>
    <row r="447" spans="1:19">
      <c r="A447" s="341" t="s">
        <v>1368</v>
      </c>
      <c r="B447" s="340" t="s">
        <v>5888</v>
      </c>
      <c r="C447" s="340"/>
      <c r="D447" s="340" t="s">
        <v>5888</v>
      </c>
      <c r="E447" s="340" t="s">
        <v>5888</v>
      </c>
      <c r="F447" s="340" t="s">
        <v>5888</v>
      </c>
      <c r="G447" s="340" t="s">
        <v>5888</v>
      </c>
      <c r="H447" s="340" t="s">
        <v>5888</v>
      </c>
      <c r="I447" s="340" t="s">
        <v>5888</v>
      </c>
      <c r="J447" s="340" t="s">
        <v>816</v>
      </c>
      <c r="K447" s="340" t="s">
        <v>816</v>
      </c>
      <c r="L447" s="340" t="s">
        <v>5888</v>
      </c>
      <c r="M447" s="340" t="s">
        <v>5888</v>
      </c>
      <c r="N447" s="340" t="s">
        <v>5888</v>
      </c>
      <c r="O447" s="340" t="s">
        <v>5888</v>
      </c>
      <c r="P447" s="340"/>
      <c r="Q447" s="45" t="s">
        <v>6136</v>
      </c>
      <c r="R447" s="45"/>
      <c r="S447" s="344"/>
    </row>
    <row r="448" spans="1:19">
      <c r="A448" s="341" t="s">
        <v>3959</v>
      </c>
      <c r="B448" s="340" t="s">
        <v>5888</v>
      </c>
      <c r="C448" s="340"/>
      <c r="D448" s="340" t="s">
        <v>5888</v>
      </c>
      <c r="E448" s="340" t="s">
        <v>5888</v>
      </c>
      <c r="F448" s="340" t="s">
        <v>5888</v>
      </c>
      <c r="G448" s="340" t="s">
        <v>816</v>
      </c>
      <c r="H448" s="340" t="s">
        <v>5888</v>
      </c>
      <c r="I448" s="340" t="s">
        <v>816</v>
      </c>
      <c r="J448" s="340" t="s">
        <v>5888</v>
      </c>
      <c r="K448" s="340" t="s">
        <v>816</v>
      </c>
      <c r="L448" s="340" t="s">
        <v>5888</v>
      </c>
      <c r="M448" s="340" t="s">
        <v>5888</v>
      </c>
      <c r="N448" s="340" t="s">
        <v>5888</v>
      </c>
      <c r="O448" s="340" t="s">
        <v>5888</v>
      </c>
      <c r="P448" s="340"/>
      <c r="Q448" s="45" t="s">
        <v>6135</v>
      </c>
      <c r="R448" s="45"/>
      <c r="S448" s="344"/>
    </row>
    <row r="449" spans="1:19">
      <c r="A449" s="341" t="s">
        <v>1311</v>
      </c>
      <c r="B449" s="340" t="s">
        <v>5888</v>
      </c>
      <c r="C449" s="340"/>
      <c r="D449" s="340" t="s">
        <v>5888</v>
      </c>
      <c r="E449" s="340" t="s">
        <v>5888</v>
      </c>
      <c r="F449" s="340" t="s">
        <v>5888</v>
      </c>
      <c r="G449" s="340" t="s">
        <v>816</v>
      </c>
      <c r="H449" s="340" t="s">
        <v>5888</v>
      </c>
      <c r="I449" s="340" t="s">
        <v>5888</v>
      </c>
      <c r="J449" s="340" t="s">
        <v>5888</v>
      </c>
      <c r="K449" s="340" t="s">
        <v>5888</v>
      </c>
      <c r="L449" s="340" t="s">
        <v>5888</v>
      </c>
      <c r="M449" s="340" t="s">
        <v>5888</v>
      </c>
      <c r="N449" s="340" t="s">
        <v>5888</v>
      </c>
      <c r="O449" s="340" t="s">
        <v>5888</v>
      </c>
      <c r="P449" s="340"/>
      <c r="Q449" s="45" t="s">
        <v>6134</v>
      </c>
      <c r="R449" s="343"/>
      <c r="S449" s="344"/>
    </row>
    <row r="450" spans="1:19">
      <c r="A450" s="341" t="s">
        <v>9360</v>
      </c>
      <c r="B450" s="340" t="s">
        <v>5888</v>
      </c>
      <c r="C450" s="340"/>
      <c r="D450" s="340" t="s">
        <v>5888</v>
      </c>
      <c r="E450" s="340" t="s">
        <v>5888</v>
      </c>
      <c r="F450" s="340" t="s">
        <v>5888</v>
      </c>
      <c r="G450" s="340" t="s">
        <v>816</v>
      </c>
      <c r="H450" s="340" t="s">
        <v>5888</v>
      </c>
      <c r="I450" s="340" t="s">
        <v>5888</v>
      </c>
      <c r="J450" s="340" t="s">
        <v>5888</v>
      </c>
      <c r="K450" s="340" t="s">
        <v>5888</v>
      </c>
      <c r="L450" s="340" t="s">
        <v>5888</v>
      </c>
      <c r="M450" s="340" t="s">
        <v>5888</v>
      </c>
      <c r="N450" s="340" t="s">
        <v>5888</v>
      </c>
      <c r="O450" s="340" t="s">
        <v>5888</v>
      </c>
      <c r="P450" s="340"/>
      <c r="Q450" s="343" t="s">
        <v>9359</v>
      </c>
      <c r="R450" s="343"/>
      <c r="S450" s="344"/>
    </row>
    <row r="451" spans="1:19">
      <c r="A451" s="341" t="s">
        <v>6133</v>
      </c>
      <c r="B451" s="340" t="s">
        <v>5888</v>
      </c>
      <c r="C451" s="340"/>
      <c r="D451" s="340" t="s">
        <v>5888</v>
      </c>
      <c r="E451" s="340" t="s">
        <v>5888</v>
      </c>
      <c r="F451" s="340" t="s">
        <v>5888</v>
      </c>
      <c r="G451" s="340" t="s">
        <v>816</v>
      </c>
      <c r="H451" s="340" t="s">
        <v>5888</v>
      </c>
      <c r="I451" s="340" t="s">
        <v>5888</v>
      </c>
      <c r="J451" s="340" t="s">
        <v>5888</v>
      </c>
      <c r="K451" s="340" t="s">
        <v>5888</v>
      </c>
      <c r="L451" s="340" t="s">
        <v>5888</v>
      </c>
      <c r="M451" s="340" t="s">
        <v>5888</v>
      </c>
      <c r="N451" s="340" t="s">
        <v>5888</v>
      </c>
      <c r="O451" s="340" t="s">
        <v>5888</v>
      </c>
      <c r="P451" s="340"/>
      <c r="Q451" s="45" t="s">
        <v>6132</v>
      </c>
      <c r="R451" s="45"/>
      <c r="S451" s="344"/>
    </row>
    <row r="452" spans="1:19">
      <c r="A452" s="341" t="s">
        <v>7894</v>
      </c>
      <c r="B452" s="340"/>
      <c r="C452" s="340"/>
      <c r="D452" s="340"/>
      <c r="E452" s="340" t="s">
        <v>816</v>
      </c>
      <c r="F452" s="340" t="s">
        <v>816</v>
      </c>
      <c r="G452" s="340"/>
      <c r="H452" s="340"/>
      <c r="I452" s="340" t="s">
        <v>816</v>
      </c>
      <c r="J452" s="340" t="s">
        <v>816</v>
      </c>
      <c r="K452" s="340" t="s">
        <v>816</v>
      </c>
      <c r="L452" s="340"/>
      <c r="M452" s="340"/>
      <c r="N452" s="340"/>
      <c r="O452" s="340"/>
      <c r="P452" s="340"/>
      <c r="Q452" s="45" t="s">
        <v>7895</v>
      </c>
      <c r="R452" s="45"/>
      <c r="S452" s="344"/>
    </row>
    <row r="453" spans="1:19">
      <c r="A453" s="341" t="s">
        <v>1309</v>
      </c>
      <c r="B453" s="340" t="s">
        <v>5888</v>
      </c>
      <c r="C453" s="340"/>
      <c r="D453" s="340" t="s">
        <v>5888</v>
      </c>
      <c r="E453" s="340" t="s">
        <v>5888</v>
      </c>
      <c r="F453" s="340" t="s">
        <v>5888</v>
      </c>
      <c r="G453" s="340" t="s">
        <v>5888</v>
      </c>
      <c r="H453" s="340" t="s">
        <v>5888</v>
      </c>
      <c r="I453" s="340" t="s">
        <v>5888</v>
      </c>
      <c r="J453" s="340" t="s">
        <v>5888</v>
      </c>
      <c r="K453" s="340" t="s">
        <v>5888</v>
      </c>
      <c r="L453" s="340" t="s">
        <v>5888</v>
      </c>
      <c r="M453" s="340" t="s">
        <v>816</v>
      </c>
      <c r="N453" s="340" t="s">
        <v>5888</v>
      </c>
      <c r="O453" s="340" t="s">
        <v>5888</v>
      </c>
      <c r="P453" s="340"/>
      <c r="Q453" s="45" t="s">
        <v>6131</v>
      </c>
      <c r="R453" s="45"/>
      <c r="S453" s="344"/>
    </row>
    <row r="454" spans="1:19">
      <c r="A454" s="341" t="s">
        <v>6130</v>
      </c>
      <c r="B454" s="340" t="s">
        <v>5888</v>
      </c>
      <c r="C454" s="340"/>
      <c r="D454" s="340" t="s">
        <v>5888</v>
      </c>
      <c r="E454" s="340" t="s">
        <v>5888</v>
      </c>
      <c r="F454" s="340" t="s">
        <v>5888</v>
      </c>
      <c r="G454" s="340" t="s">
        <v>5888</v>
      </c>
      <c r="H454" s="340" t="s">
        <v>5888</v>
      </c>
      <c r="I454" s="340" t="s">
        <v>5888</v>
      </c>
      <c r="J454" s="340" t="s">
        <v>5888</v>
      </c>
      <c r="K454" s="340" t="s">
        <v>5888</v>
      </c>
      <c r="L454" s="340" t="s">
        <v>5888</v>
      </c>
      <c r="M454" s="340" t="s">
        <v>816</v>
      </c>
      <c r="N454" s="340" t="s">
        <v>5888</v>
      </c>
      <c r="O454" s="340" t="s">
        <v>5888</v>
      </c>
      <c r="P454" s="340"/>
      <c r="Q454" s="45" t="s">
        <v>6129</v>
      </c>
      <c r="R454" s="45"/>
      <c r="S454" s="344"/>
    </row>
    <row r="455" spans="1:19">
      <c r="A455" s="341" t="s">
        <v>6128</v>
      </c>
      <c r="B455" s="340"/>
      <c r="C455" s="340"/>
      <c r="D455" s="340"/>
      <c r="E455" s="340" t="s">
        <v>816</v>
      </c>
      <c r="F455" s="340"/>
      <c r="G455" s="340"/>
      <c r="H455" s="340"/>
      <c r="I455" s="340"/>
      <c r="J455" s="340"/>
      <c r="K455" s="340"/>
      <c r="L455" s="340"/>
      <c r="M455" s="340"/>
      <c r="N455" s="340"/>
      <c r="O455" s="340"/>
      <c r="P455" s="340"/>
      <c r="Q455" s="45" t="s">
        <v>6127</v>
      </c>
      <c r="R455" s="45"/>
      <c r="S455" s="344"/>
    </row>
    <row r="456" spans="1:19">
      <c r="A456" s="341" t="s">
        <v>8279</v>
      </c>
      <c r="B456" s="340"/>
      <c r="C456" s="340"/>
      <c r="D456" s="340"/>
      <c r="E456" s="340"/>
      <c r="F456" s="340"/>
      <c r="G456" s="340"/>
      <c r="H456" s="340"/>
      <c r="I456" s="340"/>
      <c r="J456" s="340"/>
      <c r="K456" s="340"/>
      <c r="L456" s="340"/>
      <c r="M456" s="340"/>
      <c r="N456" s="340"/>
      <c r="O456" s="340"/>
      <c r="P456" s="340" t="s">
        <v>816</v>
      </c>
      <c r="Q456" s="45" t="s">
        <v>8280</v>
      </c>
      <c r="R456" s="45"/>
      <c r="S456" s="344"/>
    </row>
    <row r="457" spans="1:19">
      <c r="A457" s="341" t="s">
        <v>6126</v>
      </c>
      <c r="B457" s="340" t="s">
        <v>816</v>
      </c>
      <c r="C457" s="340"/>
      <c r="D457" s="340" t="s">
        <v>816</v>
      </c>
      <c r="E457" s="340" t="s">
        <v>816</v>
      </c>
      <c r="F457" s="340" t="s">
        <v>5888</v>
      </c>
      <c r="G457" s="340" t="s">
        <v>816</v>
      </c>
      <c r="H457" s="340" t="s">
        <v>816</v>
      </c>
      <c r="I457" s="340" t="s">
        <v>816</v>
      </c>
      <c r="J457" s="340" t="s">
        <v>816</v>
      </c>
      <c r="K457" s="340" t="s">
        <v>816</v>
      </c>
      <c r="L457" s="340" t="s">
        <v>816</v>
      </c>
      <c r="M457" s="340" t="s">
        <v>816</v>
      </c>
      <c r="N457" s="340" t="s">
        <v>5888</v>
      </c>
      <c r="O457" s="340" t="s">
        <v>816</v>
      </c>
      <c r="P457" s="340"/>
      <c r="Q457" s="343" t="s">
        <v>5901</v>
      </c>
      <c r="R457" s="45"/>
      <c r="S457" s="344"/>
    </row>
    <row r="458" spans="1:19">
      <c r="A458" s="341" t="s">
        <v>6125</v>
      </c>
      <c r="B458" s="340" t="s">
        <v>5888</v>
      </c>
      <c r="C458" s="340"/>
      <c r="D458" s="340" t="s">
        <v>5888</v>
      </c>
      <c r="E458" s="340" t="s">
        <v>5888</v>
      </c>
      <c r="F458" s="340" t="s">
        <v>5888</v>
      </c>
      <c r="G458" s="340" t="s">
        <v>5888</v>
      </c>
      <c r="H458" s="340" t="s">
        <v>5888</v>
      </c>
      <c r="I458" s="340" t="s">
        <v>5888</v>
      </c>
      <c r="J458" s="340" t="s">
        <v>816</v>
      </c>
      <c r="K458" s="340" t="s">
        <v>5888</v>
      </c>
      <c r="L458" s="340" t="s">
        <v>5888</v>
      </c>
      <c r="M458" s="340" t="s">
        <v>5888</v>
      </c>
      <c r="N458" s="340" t="s">
        <v>5888</v>
      </c>
      <c r="O458" s="340" t="s">
        <v>5888</v>
      </c>
      <c r="P458" s="340"/>
      <c r="Q458" s="624" t="s">
        <v>6124</v>
      </c>
      <c r="R458" s="45"/>
      <c r="S458" s="344"/>
    </row>
    <row r="459" spans="1:19">
      <c r="A459" s="341" t="s">
        <v>6123</v>
      </c>
      <c r="B459" s="340" t="s">
        <v>5888</v>
      </c>
      <c r="C459" s="340"/>
      <c r="D459" s="340" t="s">
        <v>5888</v>
      </c>
      <c r="E459" s="340" t="s">
        <v>5888</v>
      </c>
      <c r="F459" s="340" t="s">
        <v>5888</v>
      </c>
      <c r="G459" s="340" t="s">
        <v>5888</v>
      </c>
      <c r="H459" s="340" t="s">
        <v>5888</v>
      </c>
      <c r="I459" s="340" t="s">
        <v>5888</v>
      </c>
      <c r="J459" s="340" t="s">
        <v>816</v>
      </c>
      <c r="K459" s="340" t="s">
        <v>5888</v>
      </c>
      <c r="L459" s="340" t="s">
        <v>5888</v>
      </c>
      <c r="M459" s="340" t="s">
        <v>5888</v>
      </c>
      <c r="N459" s="340" t="s">
        <v>5888</v>
      </c>
      <c r="O459" s="340" t="s">
        <v>5888</v>
      </c>
      <c r="P459" s="340"/>
      <c r="Q459" s="45" t="s">
        <v>6122</v>
      </c>
      <c r="R459" s="45"/>
      <c r="S459" s="344"/>
    </row>
    <row r="460" spans="1:19">
      <c r="A460" s="341" t="s">
        <v>1408</v>
      </c>
      <c r="B460" s="340" t="s">
        <v>5888</v>
      </c>
      <c r="C460" s="340"/>
      <c r="D460" s="340" t="s">
        <v>5888</v>
      </c>
      <c r="E460" s="340" t="s">
        <v>816</v>
      </c>
      <c r="F460" s="340" t="s">
        <v>5888</v>
      </c>
      <c r="G460" s="340" t="s">
        <v>816</v>
      </c>
      <c r="H460" s="340" t="s">
        <v>5888</v>
      </c>
      <c r="I460" s="340" t="s">
        <v>5888</v>
      </c>
      <c r="J460" s="340" t="s">
        <v>5888</v>
      </c>
      <c r="K460" s="340" t="s">
        <v>816</v>
      </c>
      <c r="L460" s="340" t="s">
        <v>816</v>
      </c>
      <c r="M460" s="340" t="s">
        <v>5888</v>
      </c>
      <c r="N460" s="340" t="s">
        <v>5888</v>
      </c>
      <c r="O460" s="340" t="s">
        <v>5888</v>
      </c>
      <c r="P460" s="340"/>
      <c r="Q460" s="45" t="s">
        <v>6121</v>
      </c>
      <c r="R460" s="45"/>
      <c r="S460" s="344"/>
    </row>
    <row r="461" spans="1:19">
      <c r="A461" s="341" t="s">
        <v>6899</v>
      </c>
      <c r="B461" s="340" t="s">
        <v>5888</v>
      </c>
      <c r="C461" s="340"/>
      <c r="D461" s="340" t="s">
        <v>5888</v>
      </c>
      <c r="E461" s="340" t="s">
        <v>816</v>
      </c>
      <c r="F461" s="340" t="s">
        <v>5888</v>
      </c>
      <c r="G461" s="340" t="s">
        <v>816</v>
      </c>
      <c r="H461" s="340" t="s">
        <v>5888</v>
      </c>
      <c r="I461" s="340" t="s">
        <v>5888</v>
      </c>
      <c r="J461" s="340" t="s">
        <v>5888</v>
      </c>
      <c r="K461" s="340" t="s">
        <v>816</v>
      </c>
      <c r="L461" s="340" t="s">
        <v>816</v>
      </c>
      <c r="M461" s="340" t="s">
        <v>5888</v>
      </c>
      <c r="N461" s="340" t="s">
        <v>5888</v>
      </c>
      <c r="O461" s="340" t="s">
        <v>5888</v>
      </c>
      <c r="P461" s="340"/>
      <c r="Q461" s="45" t="s">
        <v>6900</v>
      </c>
      <c r="R461" s="45"/>
      <c r="S461" s="344"/>
    </row>
    <row r="462" spans="1:19">
      <c r="A462" s="341" t="s">
        <v>6902</v>
      </c>
      <c r="B462" s="340" t="s">
        <v>5888</v>
      </c>
      <c r="C462" s="340"/>
      <c r="D462" s="340" t="s">
        <v>5888</v>
      </c>
      <c r="E462" s="340" t="s">
        <v>816</v>
      </c>
      <c r="F462" s="340" t="s">
        <v>5888</v>
      </c>
      <c r="G462" s="340" t="s">
        <v>816</v>
      </c>
      <c r="H462" s="340" t="s">
        <v>5888</v>
      </c>
      <c r="I462" s="340" t="s">
        <v>5888</v>
      </c>
      <c r="J462" s="340" t="s">
        <v>5888</v>
      </c>
      <c r="K462" s="340" t="s">
        <v>816</v>
      </c>
      <c r="L462" s="340" t="s">
        <v>816</v>
      </c>
      <c r="M462" s="340" t="s">
        <v>5888</v>
      </c>
      <c r="N462" s="340" t="s">
        <v>5888</v>
      </c>
      <c r="O462" s="340" t="s">
        <v>5888</v>
      </c>
      <c r="P462" s="340"/>
      <c r="Q462" s="343" t="s">
        <v>6901</v>
      </c>
      <c r="R462" s="45"/>
      <c r="S462" s="344"/>
    </row>
    <row r="463" spans="1:19">
      <c r="A463" s="341" t="s">
        <v>6897</v>
      </c>
      <c r="B463" s="340" t="s">
        <v>5888</v>
      </c>
      <c r="C463" s="340"/>
      <c r="D463" s="340" t="s">
        <v>5888</v>
      </c>
      <c r="E463" s="340" t="s">
        <v>816</v>
      </c>
      <c r="F463" s="340" t="s">
        <v>5888</v>
      </c>
      <c r="G463" s="340" t="s">
        <v>816</v>
      </c>
      <c r="H463" s="340" t="s">
        <v>5888</v>
      </c>
      <c r="I463" s="340" t="s">
        <v>5888</v>
      </c>
      <c r="J463" s="340" t="s">
        <v>5888</v>
      </c>
      <c r="K463" s="340" t="s">
        <v>816</v>
      </c>
      <c r="L463" s="340" t="s">
        <v>816</v>
      </c>
      <c r="M463" s="340" t="s">
        <v>5888</v>
      </c>
      <c r="N463" s="340" t="s">
        <v>5888</v>
      </c>
      <c r="O463" s="340" t="s">
        <v>5888</v>
      </c>
      <c r="P463" s="340"/>
      <c r="Q463" s="343" t="s">
        <v>6898</v>
      </c>
      <c r="R463" s="45"/>
      <c r="S463" s="344"/>
    </row>
    <row r="464" spans="1:19">
      <c r="A464" s="341" t="s">
        <v>2168</v>
      </c>
      <c r="B464" s="340" t="s">
        <v>5888</v>
      </c>
      <c r="C464" s="340"/>
      <c r="D464" s="340" t="s">
        <v>5888</v>
      </c>
      <c r="E464" s="340" t="s">
        <v>5888</v>
      </c>
      <c r="F464" s="340" t="s">
        <v>5888</v>
      </c>
      <c r="G464" s="340" t="s">
        <v>5888</v>
      </c>
      <c r="H464" s="340" t="s">
        <v>5888</v>
      </c>
      <c r="I464" s="340" t="s">
        <v>5888</v>
      </c>
      <c r="J464" s="340" t="s">
        <v>816</v>
      </c>
      <c r="K464" s="340" t="s">
        <v>5888</v>
      </c>
      <c r="L464" s="340" t="s">
        <v>5888</v>
      </c>
      <c r="M464" s="340" t="s">
        <v>5888</v>
      </c>
      <c r="N464" s="340" t="s">
        <v>5888</v>
      </c>
      <c r="O464" s="340" t="s">
        <v>5888</v>
      </c>
      <c r="P464" s="340"/>
      <c r="Q464" s="45" t="s">
        <v>6120</v>
      </c>
      <c r="R464" s="45"/>
      <c r="S464" s="344"/>
    </row>
    <row r="465" spans="1:19">
      <c r="A465" s="341" t="s">
        <v>8681</v>
      </c>
      <c r="B465" s="340" t="s">
        <v>5888</v>
      </c>
      <c r="C465" s="340"/>
      <c r="D465" s="340" t="s">
        <v>5888</v>
      </c>
      <c r="E465" s="340" t="s">
        <v>5888</v>
      </c>
      <c r="F465" s="340" t="s">
        <v>5888</v>
      </c>
      <c r="G465" s="340" t="s">
        <v>5888</v>
      </c>
      <c r="H465" s="340" t="s">
        <v>5888</v>
      </c>
      <c r="I465" s="340" t="s">
        <v>5888</v>
      </c>
      <c r="J465" s="340" t="s">
        <v>816</v>
      </c>
      <c r="K465" s="340" t="s">
        <v>5888</v>
      </c>
      <c r="L465" s="340" t="s">
        <v>5888</v>
      </c>
      <c r="M465" s="340" t="s">
        <v>5888</v>
      </c>
      <c r="N465" s="340" t="s">
        <v>5888</v>
      </c>
      <c r="O465" s="340" t="s">
        <v>5888</v>
      </c>
      <c r="P465" s="340"/>
      <c r="Q465" s="343" t="s">
        <v>8682</v>
      </c>
      <c r="R465" s="45"/>
      <c r="S465" s="344"/>
    </row>
    <row r="466" spans="1:19">
      <c r="A466" s="341" t="s">
        <v>7541</v>
      </c>
      <c r="B466" s="340" t="s">
        <v>5888</v>
      </c>
      <c r="C466" s="340"/>
      <c r="D466" s="340" t="s">
        <v>5888</v>
      </c>
      <c r="E466" s="340" t="s">
        <v>5888</v>
      </c>
      <c r="F466" s="340" t="s">
        <v>5888</v>
      </c>
      <c r="G466" s="340"/>
      <c r="H466" s="340" t="s">
        <v>816</v>
      </c>
      <c r="I466" s="340"/>
      <c r="J466" s="340"/>
      <c r="K466" s="340" t="s">
        <v>816</v>
      </c>
      <c r="L466" s="340"/>
      <c r="M466" s="340" t="s">
        <v>5888</v>
      </c>
      <c r="N466" s="340" t="s">
        <v>5888</v>
      </c>
      <c r="O466" s="340" t="s">
        <v>5888</v>
      </c>
      <c r="P466" s="340"/>
      <c r="Q466" s="342" t="s">
        <v>7542</v>
      </c>
      <c r="R466" s="45"/>
      <c r="S466" s="344"/>
    </row>
    <row r="467" spans="1:19">
      <c r="A467" s="341" t="s">
        <v>7543</v>
      </c>
      <c r="B467" s="340" t="s">
        <v>5888</v>
      </c>
      <c r="C467" s="340"/>
      <c r="D467" s="340" t="s">
        <v>5888</v>
      </c>
      <c r="E467" s="340" t="s">
        <v>5888</v>
      </c>
      <c r="F467" s="340" t="s">
        <v>5888</v>
      </c>
      <c r="G467" s="340"/>
      <c r="H467" s="340" t="s">
        <v>816</v>
      </c>
      <c r="I467" s="340"/>
      <c r="J467" s="340"/>
      <c r="K467" s="340" t="s">
        <v>816</v>
      </c>
      <c r="L467" s="340"/>
      <c r="M467" s="340" t="s">
        <v>5888</v>
      </c>
      <c r="N467" s="340" t="s">
        <v>5888</v>
      </c>
      <c r="O467" s="340" t="s">
        <v>5888</v>
      </c>
      <c r="P467" s="340"/>
      <c r="Q467" s="343" t="s">
        <v>7787</v>
      </c>
      <c r="R467" s="45"/>
      <c r="S467" s="344"/>
    </row>
    <row r="468" spans="1:19">
      <c r="A468" s="341" t="s">
        <v>6119</v>
      </c>
      <c r="B468" s="340" t="s">
        <v>5888</v>
      </c>
      <c r="C468" s="340"/>
      <c r="D468" s="340" t="s">
        <v>5888</v>
      </c>
      <c r="E468" s="340" t="s">
        <v>5888</v>
      </c>
      <c r="F468" s="340" t="s">
        <v>5888</v>
      </c>
      <c r="G468" s="340" t="s">
        <v>5888</v>
      </c>
      <c r="H468" s="340" t="s">
        <v>5888</v>
      </c>
      <c r="I468" s="340" t="s">
        <v>5888</v>
      </c>
      <c r="J468" s="340" t="s">
        <v>5888</v>
      </c>
      <c r="K468" s="340" t="s">
        <v>816</v>
      </c>
      <c r="L468" s="340" t="s">
        <v>5888</v>
      </c>
      <c r="M468" s="340" t="s">
        <v>5888</v>
      </c>
      <c r="N468" s="340" t="s">
        <v>5888</v>
      </c>
      <c r="O468" s="340" t="s">
        <v>5888</v>
      </c>
      <c r="P468" s="340"/>
      <c r="Q468" s="45" t="s">
        <v>6118</v>
      </c>
      <c r="R468" s="45"/>
      <c r="S468" s="344"/>
    </row>
    <row r="469" spans="1:19">
      <c r="A469" s="341" t="s">
        <v>877</v>
      </c>
      <c r="B469" s="340" t="s">
        <v>5888</v>
      </c>
      <c r="C469" s="340"/>
      <c r="D469" s="340" t="s">
        <v>5888</v>
      </c>
      <c r="E469" s="340" t="s">
        <v>5888</v>
      </c>
      <c r="F469" s="340" t="s">
        <v>5888</v>
      </c>
      <c r="G469" s="340" t="s">
        <v>5888</v>
      </c>
      <c r="H469" s="340" t="s">
        <v>816</v>
      </c>
      <c r="I469" s="340" t="s">
        <v>5888</v>
      </c>
      <c r="J469" s="340" t="s">
        <v>5888</v>
      </c>
      <c r="K469" s="340" t="s">
        <v>5888</v>
      </c>
      <c r="L469" s="340" t="s">
        <v>5888</v>
      </c>
      <c r="M469" s="340" t="s">
        <v>5888</v>
      </c>
      <c r="N469" s="340" t="s">
        <v>5888</v>
      </c>
      <c r="O469" s="340" t="s">
        <v>5888</v>
      </c>
      <c r="P469" s="340"/>
      <c r="Q469" s="45" t="s">
        <v>6117</v>
      </c>
      <c r="R469" s="45"/>
      <c r="S469" s="344"/>
    </row>
    <row r="470" spans="1:19">
      <c r="A470" s="341" t="s">
        <v>634</v>
      </c>
      <c r="B470" s="340" t="s">
        <v>5888</v>
      </c>
      <c r="C470" s="340"/>
      <c r="D470" s="340" t="s">
        <v>5888</v>
      </c>
      <c r="E470" s="340" t="s">
        <v>5888</v>
      </c>
      <c r="F470" s="340" t="s">
        <v>5888</v>
      </c>
      <c r="G470" s="340" t="s">
        <v>5888</v>
      </c>
      <c r="H470" s="340" t="s">
        <v>816</v>
      </c>
      <c r="I470" s="340" t="s">
        <v>5888</v>
      </c>
      <c r="J470" s="340" t="s">
        <v>5888</v>
      </c>
      <c r="K470" s="340" t="s">
        <v>816</v>
      </c>
      <c r="L470" s="340" t="s">
        <v>5888</v>
      </c>
      <c r="M470" s="340" t="s">
        <v>5888</v>
      </c>
      <c r="N470" s="340" t="s">
        <v>5888</v>
      </c>
      <c r="O470" s="340" t="s">
        <v>5888</v>
      </c>
      <c r="P470" s="340"/>
      <c r="Q470" s="343" t="s">
        <v>7871</v>
      </c>
      <c r="R470" s="45"/>
      <c r="S470" s="344"/>
    </row>
    <row r="471" spans="1:19">
      <c r="A471" s="341" t="s">
        <v>6116</v>
      </c>
      <c r="B471" s="340" t="s">
        <v>5888</v>
      </c>
      <c r="C471" s="340"/>
      <c r="D471" s="340" t="s">
        <v>5888</v>
      </c>
      <c r="E471" s="340" t="s">
        <v>5888</v>
      </c>
      <c r="F471" s="340" t="s">
        <v>5888</v>
      </c>
      <c r="G471" s="340" t="s">
        <v>5888</v>
      </c>
      <c r="H471" s="340" t="s">
        <v>816</v>
      </c>
      <c r="I471" s="340" t="s">
        <v>5888</v>
      </c>
      <c r="J471" s="340" t="s">
        <v>5888</v>
      </c>
      <c r="K471" s="340" t="s">
        <v>816</v>
      </c>
      <c r="L471" s="340" t="s">
        <v>5888</v>
      </c>
      <c r="M471" s="340" t="s">
        <v>5888</v>
      </c>
      <c r="N471" s="340" t="s">
        <v>5888</v>
      </c>
      <c r="O471" s="340" t="s">
        <v>5888</v>
      </c>
      <c r="P471" s="340"/>
      <c r="Q471" s="45" t="s">
        <v>6115</v>
      </c>
      <c r="R471" s="45"/>
      <c r="S471" s="344"/>
    </row>
    <row r="472" spans="1:19">
      <c r="A472" s="341" t="s">
        <v>6114</v>
      </c>
      <c r="B472" s="340" t="s">
        <v>5888</v>
      </c>
      <c r="C472" s="340"/>
      <c r="D472" s="340" t="s">
        <v>5888</v>
      </c>
      <c r="E472" s="340" t="s">
        <v>5888</v>
      </c>
      <c r="F472" s="340" t="s">
        <v>5888</v>
      </c>
      <c r="G472" s="340" t="s">
        <v>5888</v>
      </c>
      <c r="H472" s="340" t="s">
        <v>816</v>
      </c>
      <c r="I472" s="340" t="s">
        <v>5888</v>
      </c>
      <c r="J472" s="340" t="s">
        <v>5888</v>
      </c>
      <c r="K472" s="340" t="s">
        <v>816</v>
      </c>
      <c r="L472" s="340" t="s">
        <v>5888</v>
      </c>
      <c r="M472" s="340" t="s">
        <v>5888</v>
      </c>
      <c r="N472" s="340" t="s">
        <v>5888</v>
      </c>
      <c r="O472" s="340" t="s">
        <v>5888</v>
      </c>
      <c r="P472" s="340"/>
      <c r="Q472" s="45" t="s">
        <v>6113</v>
      </c>
      <c r="R472" s="45"/>
      <c r="S472" s="344"/>
    </row>
    <row r="473" spans="1:19">
      <c r="A473" s="341" t="s">
        <v>6112</v>
      </c>
      <c r="B473" s="340" t="s">
        <v>5888</v>
      </c>
      <c r="C473" s="340"/>
      <c r="D473" s="340" t="s">
        <v>5888</v>
      </c>
      <c r="E473" s="340" t="s">
        <v>5888</v>
      </c>
      <c r="F473" s="340" t="s">
        <v>5888</v>
      </c>
      <c r="G473" s="340" t="s">
        <v>5888</v>
      </c>
      <c r="H473" s="340" t="s">
        <v>816</v>
      </c>
      <c r="I473" s="340" t="s">
        <v>5888</v>
      </c>
      <c r="J473" s="340"/>
      <c r="K473" s="340" t="s">
        <v>816</v>
      </c>
      <c r="L473" s="340" t="s">
        <v>5888</v>
      </c>
      <c r="M473" s="340" t="s">
        <v>5888</v>
      </c>
      <c r="N473" s="340" t="s">
        <v>5888</v>
      </c>
      <c r="O473" s="340" t="s">
        <v>5888</v>
      </c>
      <c r="P473" s="340"/>
      <c r="Q473" s="45" t="s">
        <v>6111</v>
      </c>
      <c r="R473" s="45"/>
      <c r="S473" s="344"/>
    </row>
    <row r="474" spans="1:19">
      <c r="A474" s="341" t="s">
        <v>6110</v>
      </c>
      <c r="B474" s="340" t="s">
        <v>5888</v>
      </c>
      <c r="C474" s="340"/>
      <c r="D474" s="340" t="s">
        <v>5888</v>
      </c>
      <c r="E474" s="340" t="s">
        <v>5888</v>
      </c>
      <c r="F474" s="340" t="s">
        <v>5888</v>
      </c>
      <c r="G474" s="340" t="s">
        <v>5888</v>
      </c>
      <c r="H474" s="340" t="s">
        <v>816</v>
      </c>
      <c r="I474" s="340" t="s">
        <v>5888</v>
      </c>
      <c r="J474" s="340" t="s">
        <v>5888</v>
      </c>
      <c r="K474" s="340" t="s">
        <v>816</v>
      </c>
      <c r="L474" s="340" t="s">
        <v>5888</v>
      </c>
      <c r="M474" s="340" t="s">
        <v>5888</v>
      </c>
      <c r="N474" s="340" t="s">
        <v>5888</v>
      </c>
      <c r="O474" s="340" t="s">
        <v>5888</v>
      </c>
      <c r="P474" s="340"/>
      <c r="Q474" s="45" t="s">
        <v>6109</v>
      </c>
      <c r="R474" s="45"/>
      <c r="S474" s="344"/>
    </row>
    <row r="475" spans="1:19">
      <c r="A475" s="341" t="s">
        <v>6108</v>
      </c>
      <c r="B475" s="340" t="s">
        <v>5888</v>
      </c>
      <c r="C475" s="340"/>
      <c r="D475" s="340" t="s">
        <v>5888</v>
      </c>
      <c r="E475" s="340" t="s">
        <v>5888</v>
      </c>
      <c r="F475" s="340" t="s">
        <v>5888</v>
      </c>
      <c r="G475" s="340" t="s">
        <v>5888</v>
      </c>
      <c r="H475" s="340" t="s">
        <v>816</v>
      </c>
      <c r="I475" s="340" t="s">
        <v>5888</v>
      </c>
      <c r="J475" s="340" t="s">
        <v>5888</v>
      </c>
      <c r="K475" s="340" t="s">
        <v>816</v>
      </c>
      <c r="L475" s="340" t="s">
        <v>5888</v>
      </c>
      <c r="M475" s="340" t="s">
        <v>5888</v>
      </c>
      <c r="N475" s="340" t="s">
        <v>5888</v>
      </c>
      <c r="O475" s="340" t="s">
        <v>5888</v>
      </c>
      <c r="P475" s="340"/>
      <c r="Q475" s="45" t="s">
        <v>6107</v>
      </c>
      <c r="R475" s="45"/>
      <c r="S475" s="344"/>
    </row>
    <row r="476" spans="1:19">
      <c r="A476" s="341" t="s">
        <v>6106</v>
      </c>
      <c r="B476" s="340" t="s">
        <v>5888</v>
      </c>
      <c r="C476" s="340"/>
      <c r="D476" s="340" t="s">
        <v>5888</v>
      </c>
      <c r="E476" s="340" t="s">
        <v>5888</v>
      </c>
      <c r="F476" s="340" t="s">
        <v>5888</v>
      </c>
      <c r="G476" s="340" t="s">
        <v>5888</v>
      </c>
      <c r="H476" s="340" t="s">
        <v>816</v>
      </c>
      <c r="I476" s="340" t="s">
        <v>5888</v>
      </c>
      <c r="J476" s="340" t="s">
        <v>5888</v>
      </c>
      <c r="K476" s="340" t="s">
        <v>816</v>
      </c>
      <c r="L476" s="340" t="s">
        <v>5888</v>
      </c>
      <c r="M476" s="340" t="s">
        <v>5888</v>
      </c>
      <c r="N476" s="340" t="s">
        <v>5888</v>
      </c>
      <c r="O476" s="340" t="s">
        <v>5888</v>
      </c>
      <c r="P476" s="340"/>
      <c r="Q476" s="45" t="s">
        <v>6105</v>
      </c>
      <c r="R476" s="45"/>
      <c r="S476" s="344"/>
    </row>
    <row r="477" spans="1:19">
      <c r="A477" s="341" t="s">
        <v>1057</v>
      </c>
      <c r="B477" s="340" t="s">
        <v>5888</v>
      </c>
      <c r="C477" s="340"/>
      <c r="D477" s="340" t="s">
        <v>5888</v>
      </c>
      <c r="E477" s="340" t="s">
        <v>5888</v>
      </c>
      <c r="F477" s="340" t="s">
        <v>5888</v>
      </c>
      <c r="G477" s="340" t="s">
        <v>5888</v>
      </c>
      <c r="H477" s="340" t="s">
        <v>5888</v>
      </c>
      <c r="I477" s="340" t="s">
        <v>5888</v>
      </c>
      <c r="J477" s="340" t="s">
        <v>5888</v>
      </c>
      <c r="K477" s="340" t="s">
        <v>816</v>
      </c>
      <c r="L477" s="340" t="s">
        <v>5888</v>
      </c>
      <c r="M477" s="340" t="s">
        <v>5888</v>
      </c>
      <c r="N477" s="340" t="s">
        <v>5888</v>
      </c>
      <c r="O477" s="340" t="s">
        <v>5888</v>
      </c>
      <c r="P477" s="340"/>
      <c r="Q477" s="45" t="s">
        <v>6104</v>
      </c>
      <c r="R477" s="45"/>
      <c r="S477" s="344"/>
    </row>
    <row r="478" spans="1:19">
      <c r="A478" s="341" t="s">
        <v>1197</v>
      </c>
      <c r="B478" s="340" t="s">
        <v>5888</v>
      </c>
      <c r="C478" s="340"/>
      <c r="D478" s="340" t="s">
        <v>5888</v>
      </c>
      <c r="E478" s="340" t="s">
        <v>816</v>
      </c>
      <c r="F478" s="340" t="s">
        <v>5888</v>
      </c>
      <c r="G478" s="340" t="s">
        <v>5888</v>
      </c>
      <c r="H478" s="340" t="s">
        <v>5888</v>
      </c>
      <c r="I478" s="340" t="s">
        <v>5888</v>
      </c>
      <c r="J478" s="340" t="s">
        <v>5888</v>
      </c>
      <c r="K478" s="340" t="s">
        <v>816</v>
      </c>
      <c r="L478" s="340" t="s">
        <v>5888</v>
      </c>
      <c r="M478" s="340" t="s">
        <v>5888</v>
      </c>
      <c r="N478" s="340" t="s">
        <v>5888</v>
      </c>
      <c r="O478" s="340" t="s">
        <v>5888</v>
      </c>
      <c r="P478" s="340"/>
      <c r="Q478" s="342" t="s">
        <v>6103</v>
      </c>
      <c r="R478" s="45"/>
      <c r="S478" s="344"/>
    </row>
    <row r="479" spans="1:19">
      <c r="A479" s="341" t="s">
        <v>941</v>
      </c>
      <c r="B479" s="340" t="s">
        <v>5888</v>
      </c>
      <c r="C479" s="340"/>
      <c r="D479" s="340" t="s">
        <v>5888</v>
      </c>
      <c r="E479" s="340" t="s">
        <v>5888</v>
      </c>
      <c r="F479" s="340" t="s">
        <v>5888</v>
      </c>
      <c r="G479" s="340" t="s">
        <v>5888</v>
      </c>
      <c r="H479" s="340" t="s">
        <v>5888</v>
      </c>
      <c r="I479" s="340" t="s">
        <v>5888</v>
      </c>
      <c r="J479" s="340" t="s">
        <v>5888</v>
      </c>
      <c r="K479" s="340" t="s">
        <v>816</v>
      </c>
      <c r="L479" s="340" t="s">
        <v>5888</v>
      </c>
      <c r="M479" s="340" t="s">
        <v>5888</v>
      </c>
      <c r="N479" s="340" t="s">
        <v>5888</v>
      </c>
      <c r="O479" s="340" t="s">
        <v>5888</v>
      </c>
      <c r="P479" s="340"/>
      <c r="Q479" s="45" t="s">
        <v>6102</v>
      </c>
      <c r="R479" s="45"/>
      <c r="S479" s="344"/>
    </row>
    <row r="480" spans="1:19">
      <c r="A480" s="341" t="s">
        <v>6101</v>
      </c>
      <c r="B480" s="340" t="s">
        <v>5888</v>
      </c>
      <c r="C480" s="340"/>
      <c r="D480" s="340" t="s">
        <v>5888</v>
      </c>
      <c r="E480" s="340" t="s">
        <v>5888</v>
      </c>
      <c r="F480" s="340" t="s">
        <v>5888</v>
      </c>
      <c r="G480" s="340" t="s">
        <v>5888</v>
      </c>
      <c r="H480" s="340" t="s">
        <v>5888</v>
      </c>
      <c r="I480" s="340" t="s">
        <v>5888</v>
      </c>
      <c r="J480" s="340" t="s">
        <v>5888</v>
      </c>
      <c r="K480" s="340" t="s">
        <v>816</v>
      </c>
      <c r="L480" s="340" t="s">
        <v>5888</v>
      </c>
      <c r="M480" s="340" t="s">
        <v>5888</v>
      </c>
      <c r="N480" s="340" t="s">
        <v>5888</v>
      </c>
      <c r="O480" s="340" t="s">
        <v>5888</v>
      </c>
      <c r="P480" s="340"/>
      <c r="Q480" s="45" t="s">
        <v>6100</v>
      </c>
      <c r="R480" s="45"/>
      <c r="S480" s="344"/>
    </row>
    <row r="481" spans="1:19">
      <c r="A481" s="341" t="s">
        <v>6099</v>
      </c>
      <c r="B481" s="340" t="s">
        <v>5888</v>
      </c>
      <c r="C481" s="340"/>
      <c r="D481" s="340" t="s">
        <v>5888</v>
      </c>
      <c r="E481" s="340" t="s">
        <v>5888</v>
      </c>
      <c r="F481" s="340" t="s">
        <v>5888</v>
      </c>
      <c r="G481" s="340" t="s">
        <v>5888</v>
      </c>
      <c r="H481" s="340" t="s">
        <v>5888</v>
      </c>
      <c r="I481" s="340" t="s">
        <v>5888</v>
      </c>
      <c r="J481" s="340" t="s">
        <v>5888</v>
      </c>
      <c r="K481" s="340" t="s">
        <v>816</v>
      </c>
      <c r="L481" s="340" t="s">
        <v>5888</v>
      </c>
      <c r="M481" s="340" t="s">
        <v>5888</v>
      </c>
      <c r="N481" s="340" t="s">
        <v>5888</v>
      </c>
      <c r="O481" s="340" t="s">
        <v>5888</v>
      </c>
      <c r="P481" s="340"/>
      <c r="Q481" s="45" t="s">
        <v>6098</v>
      </c>
      <c r="R481" s="45"/>
      <c r="S481" s="344"/>
    </row>
    <row r="482" spans="1:19">
      <c r="A482" s="341" t="s">
        <v>7575</v>
      </c>
      <c r="B482" s="340"/>
      <c r="C482" s="340"/>
      <c r="D482" s="340" t="s">
        <v>816</v>
      </c>
      <c r="E482" s="340" t="s">
        <v>816</v>
      </c>
      <c r="F482" s="340"/>
      <c r="G482" s="340"/>
      <c r="H482" s="340"/>
      <c r="I482" s="340"/>
      <c r="J482" s="340"/>
      <c r="K482" s="340"/>
      <c r="L482" s="340"/>
      <c r="M482" s="340"/>
      <c r="N482" s="340"/>
      <c r="O482" s="340"/>
      <c r="P482" s="340"/>
      <c r="Q482" s="343" t="s">
        <v>7576</v>
      </c>
      <c r="R482" s="45"/>
      <c r="S482" s="344"/>
    </row>
    <row r="483" spans="1:19">
      <c r="A483" s="341" t="s">
        <v>6097</v>
      </c>
      <c r="B483" s="340" t="s">
        <v>5888</v>
      </c>
      <c r="C483" s="340"/>
      <c r="D483" s="340" t="s">
        <v>5888</v>
      </c>
      <c r="E483" s="340" t="s">
        <v>5888</v>
      </c>
      <c r="F483" s="340" t="s">
        <v>5888</v>
      </c>
      <c r="G483" s="340" t="s">
        <v>816</v>
      </c>
      <c r="H483" s="340" t="s">
        <v>816</v>
      </c>
      <c r="I483" s="340" t="s">
        <v>816</v>
      </c>
      <c r="J483" s="340" t="s">
        <v>816</v>
      </c>
      <c r="K483" s="340" t="s">
        <v>816</v>
      </c>
      <c r="L483" s="340" t="s">
        <v>816</v>
      </c>
      <c r="M483" s="340" t="s">
        <v>816</v>
      </c>
      <c r="N483" s="340" t="s">
        <v>816</v>
      </c>
      <c r="O483" s="340" t="s">
        <v>5888</v>
      </c>
      <c r="P483" s="340"/>
      <c r="Q483" s="45" t="s">
        <v>6096</v>
      </c>
      <c r="R483" s="45"/>
      <c r="S483" s="344"/>
    </row>
    <row r="484" spans="1:19">
      <c r="A484" s="341" t="s">
        <v>9873</v>
      </c>
      <c r="B484" s="340" t="s">
        <v>5888</v>
      </c>
      <c r="C484" s="340"/>
      <c r="D484" s="340" t="s">
        <v>5888</v>
      </c>
      <c r="E484" s="340" t="s">
        <v>5888</v>
      </c>
      <c r="F484" s="340" t="s">
        <v>5888</v>
      </c>
      <c r="G484" s="340" t="s">
        <v>5888</v>
      </c>
      <c r="H484" s="340" t="s">
        <v>816</v>
      </c>
      <c r="I484" s="340" t="s">
        <v>5888</v>
      </c>
      <c r="J484" s="340" t="s">
        <v>816</v>
      </c>
      <c r="K484" s="340" t="s">
        <v>816</v>
      </c>
      <c r="L484" s="340" t="s">
        <v>816</v>
      </c>
      <c r="M484" s="340" t="s">
        <v>5888</v>
      </c>
      <c r="N484" s="340" t="s">
        <v>5888</v>
      </c>
      <c r="O484" s="340" t="s">
        <v>5888</v>
      </c>
      <c r="P484" s="340"/>
      <c r="Q484" s="343" t="s">
        <v>9874</v>
      </c>
      <c r="R484" s="45"/>
      <c r="S484" s="344"/>
    </row>
    <row r="485" spans="1:19">
      <c r="A485" s="341" t="s">
        <v>6095</v>
      </c>
      <c r="B485" s="340" t="s">
        <v>5888</v>
      </c>
      <c r="C485" s="340"/>
      <c r="D485" s="340" t="s">
        <v>5888</v>
      </c>
      <c r="E485" s="340" t="s">
        <v>5888</v>
      </c>
      <c r="F485" s="340" t="s">
        <v>5888</v>
      </c>
      <c r="G485" s="340" t="s">
        <v>816</v>
      </c>
      <c r="H485" s="340" t="s">
        <v>5888</v>
      </c>
      <c r="I485" s="340" t="s">
        <v>816</v>
      </c>
      <c r="J485" s="340" t="s">
        <v>5888</v>
      </c>
      <c r="K485" s="340" t="s">
        <v>816</v>
      </c>
      <c r="L485" s="340" t="s">
        <v>816</v>
      </c>
      <c r="M485" s="340" t="s">
        <v>5888</v>
      </c>
      <c r="N485" s="340" t="s">
        <v>5888</v>
      </c>
      <c r="O485" s="340" t="s">
        <v>5888</v>
      </c>
      <c r="P485" s="340"/>
      <c r="Q485" s="45" t="s">
        <v>6094</v>
      </c>
      <c r="R485" s="45"/>
      <c r="S485" s="344"/>
    </row>
    <row r="486" spans="1:19">
      <c r="A486" s="401" t="s">
        <v>9178</v>
      </c>
      <c r="B486" s="340"/>
      <c r="C486" s="340"/>
      <c r="D486" s="340"/>
      <c r="E486" s="340"/>
      <c r="F486" s="340"/>
      <c r="G486" s="340" t="s">
        <v>816</v>
      </c>
      <c r="H486" s="340"/>
      <c r="I486" s="340"/>
      <c r="J486" s="340"/>
      <c r="K486" s="340"/>
      <c r="L486" s="340"/>
      <c r="M486" s="340"/>
      <c r="N486" s="340"/>
      <c r="O486" s="340"/>
      <c r="P486" s="340"/>
      <c r="Q486" s="343" t="s">
        <v>9204</v>
      </c>
      <c r="R486" s="45"/>
      <c r="S486" s="344"/>
    </row>
    <row r="487" spans="1:19">
      <c r="A487" s="341" t="s">
        <v>1694</v>
      </c>
      <c r="B487" s="340" t="s">
        <v>5888</v>
      </c>
      <c r="C487" s="340"/>
      <c r="D487" s="340" t="s">
        <v>816</v>
      </c>
      <c r="E487" s="340" t="s">
        <v>5888</v>
      </c>
      <c r="F487" s="340" t="s">
        <v>5888</v>
      </c>
      <c r="G487" s="340" t="s">
        <v>5888</v>
      </c>
      <c r="H487" s="340" t="s">
        <v>5888</v>
      </c>
      <c r="I487" s="340" t="s">
        <v>5888</v>
      </c>
      <c r="J487" s="340" t="s">
        <v>5888</v>
      </c>
      <c r="K487" s="340" t="s">
        <v>5888</v>
      </c>
      <c r="L487" s="340" t="s">
        <v>5888</v>
      </c>
      <c r="M487" s="340" t="s">
        <v>5888</v>
      </c>
      <c r="N487" s="340" t="s">
        <v>5888</v>
      </c>
      <c r="O487" s="340" t="s">
        <v>5888</v>
      </c>
      <c r="P487" s="340"/>
      <c r="Q487" s="342" t="s">
        <v>6093</v>
      </c>
      <c r="R487" s="45"/>
      <c r="S487" s="344"/>
    </row>
    <row r="488" spans="1:19">
      <c r="A488" s="341" t="s">
        <v>1694</v>
      </c>
      <c r="B488" s="340" t="s">
        <v>5888</v>
      </c>
      <c r="C488" s="340"/>
      <c r="D488" s="340" t="s">
        <v>816</v>
      </c>
      <c r="E488" s="340" t="s">
        <v>5888</v>
      </c>
      <c r="F488" s="340" t="s">
        <v>5888</v>
      </c>
      <c r="G488" s="340" t="s">
        <v>5888</v>
      </c>
      <c r="H488" s="340" t="s">
        <v>5888</v>
      </c>
      <c r="I488" s="340" t="s">
        <v>5888</v>
      </c>
      <c r="J488" s="340" t="s">
        <v>5888</v>
      </c>
      <c r="K488" s="340" t="s">
        <v>5888</v>
      </c>
      <c r="L488" s="340" t="s">
        <v>5888</v>
      </c>
      <c r="M488" s="340" t="s">
        <v>5888</v>
      </c>
      <c r="N488" s="340" t="s">
        <v>5888</v>
      </c>
      <c r="O488" s="340" t="s">
        <v>5888</v>
      </c>
      <c r="P488" s="340"/>
      <c r="Q488" s="45" t="s">
        <v>6092</v>
      </c>
      <c r="R488" s="45"/>
      <c r="S488" s="344"/>
    </row>
    <row r="489" spans="1:19">
      <c r="A489" s="341" t="s">
        <v>6091</v>
      </c>
      <c r="B489" s="340" t="s">
        <v>5888</v>
      </c>
      <c r="C489" s="340"/>
      <c r="D489" s="340" t="s">
        <v>816</v>
      </c>
      <c r="E489" s="340" t="s">
        <v>5888</v>
      </c>
      <c r="F489" s="340" t="s">
        <v>5888</v>
      </c>
      <c r="G489" s="340" t="s">
        <v>5888</v>
      </c>
      <c r="H489" s="340" t="s">
        <v>5888</v>
      </c>
      <c r="I489" s="340" t="s">
        <v>5888</v>
      </c>
      <c r="J489" s="340" t="s">
        <v>5888</v>
      </c>
      <c r="K489" s="340" t="s">
        <v>5888</v>
      </c>
      <c r="L489" s="340" t="s">
        <v>5888</v>
      </c>
      <c r="M489" s="340" t="s">
        <v>5888</v>
      </c>
      <c r="N489" s="340" t="s">
        <v>5888</v>
      </c>
      <c r="O489" s="340" t="s">
        <v>5888</v>
      </c>
      <c r="P489" s="340"/>
      <c r="Q489" s="45" t="s">
        <v>6090</v>
      </c>
      <c r="R489" s="45"/>
      <c r="S489" s="344"/>
    </row>
    <row r="490" spans="1:19">
      <c r="A490" s="341" t="s">
        <v>1012</v>
      </c>
      <c r="B490" s="340" t="s">
        <v>5888</v>
      </c>
      <c r="C490" s="340"/>
      <c r="D490" s="340"/>
      <c r="E490" s="340" t="s">
        <v>5888</v>
      </c>
      <c r="F490" s="340" t="s">
        <v>5888</v>
      </c>
      <c r="G490" s="340" t="s">
        <v>5888</v>
      </c>
      <c r="H490" s="340" t="s">
        <v>5888</v>
      </c>
      <c r="I490" s="340" t="s">
        <v>5888</v>
      </c>
      <c r="J490" s="340" t="s">
        <v>5888</v>
      </c>
      <c r="K490" s="340" t="s">
        <v>816</v>
      </c>
      <c r="L490" s="340" t="s">
        <v>5888</v>
      </c>
      <c r="M490" s="340" t="s">
        <v>816</v>
      </c>
      <c r="N490" s="340" t="s">
        <v>5888</v>
      </c>
      <c r="O490" s="340" t="s">
        <v>5888</v>
      </c>
      <c r="P490" s="340"/>
      <c r="Q490" s="343" t="s">
        <v>7091</v>
      </c>
      <c r="R490" s="45"/>
      <c r="S490" s="344"/>
    </row>
    <row r="491" spans="1:19">
      <c r="A491" s="341" t="s">
        <v>6089</v>
      </c>
      <c r="B491" s="340" t="s">
        <v>5888</v>
      </c>
      <c r="C491" s="340"/>
      <c r="D491" s="340" t="s">
        <v>5888</v>
      </c>
      <c r="E491" s="340" t="s">
        <v>5888</v>
      </c>
      <c r="F491" s="340" t="s">
        <v>5888</v>
      </c>
      <c r="G491" s="340" t="s">
        <v>5888</v>
      </c>
      <c r="H491" s="340" t="s">
        <v>816</v>
      </c>
      <c r="I491" s="340" t="s">
        <v>5888</v>
      </c>
      <c r="J491" s="340" t="s">
        <v>816</v>
      </c>
      <c r="K491" s="340" t="s">
        <v>816</v>
      </c>
      <c r="L491" s="340" t="s">
        <v>5888</v>
      </c>
      <c r="M491" s="340" t="s">
        <v>5888</v>
      </c>
      <c r="N491" s="340" t="s">
        <v>5888</v>
      </c>
      <c r="O491" s="340" t="s">
        <v>5888</v>
      </c>
      <c r="P491" s="340"/>
      <c r="Q491" s="45" t="s">
        <v>6088</v>
      </c>
      <c r="R491" s="45"/>
      <c r="S491" s="344"/>
    </row>
    <row r="492" spans="1:19">
      <c r="A492" s="341" t="s">
        <v>7986</v>
      </c>
      <c r="B492" s="340" t="s">
        <v>5888</v>
      </c>
      <c r="C492" s="340"/>
      <c r="D492" s="340" t="s">
        <v>5888</v>
      </c>
      <c r="E492" s="340" t="s">
        <v>5888</v>
      </c>
      <c r="F492" s="340" t="s">
        <v>5888</v>
      </c>
      <c r="G492" s="340" t="s">
        <v>5888</v>
      </c>
      <c r="H492" s="340" t="s">
        <v>816</v>
      </c>
      <c r="I492" s="340" t="s">
        <v>5888</v>
      </c>
      <c r="J492" s="340" t="s">
        <v>816</v>
      </c>
      <c r="K492" s="340" t="s">
        <v>816</v>
      </c>
      <c r="L492" s="340" t="s">
        <v>5888</v>
      </c>
      <c r="M492" s="340" t="s">
        <v>5888</v>
      </c>
      <c r="N492" s="340" t="s">
        <v>5888</v>
      </c>
      <c r="O492" s="340" t="s">
        <v>5888</v>
      </c>
      <c r="P492" s="340"/>
      <c r="Q492" s="45" t="s">
        <v>7985</v>
      </c>
      <c r="R492" s="45"/>
      <c r="S492" s="344"/>
    </row>
    <row r="493" spans="1:19">
      <c r="A493" s="341" t="s">
        <v>6087</v>
      </c>
      <c r="B493" s="340"/>
      <c r="C493" s="340"/>
      <c r="D493" s="340"/>
      <c r="E493" s="340" t="s">
        <v>816</v>
      </c>
      <c r="F493" s="340"/>
      <c r="G493" s="340"/>
      <c r="H493" s="340"/>
      <c r="I493" s="340"/>
      <c r="J493" s="340"/>
      <c r="K493" s="340"/>
      <c r="L493" s="340"/>
      <c r="M493" s="340"/>
      <c r="N493" s="340"/>
      <c r="O493" s="340"/>
      <c r="P493" s="340"/>
      <c r="Q493" s="45" t="s">
        <v>6086</v>
      </c>
      <c r="R493" s="45"/>
      <c r="S493" s="344"/>
    </row>
    <row r="494" spans="1:19">
      <c r="A494" s="341" t="s">
        <v>6085</v>
      </c>
      <c r="B494" s="340"/>
      <c r="C494" s="340"/>
      <c r="D494" s="340"/>
      <c r="E494" s="340" t="s">
        <v>816</v>
      </c>
      <c r="F494" s="340"/>
      <c r="G494" s="340"/>
      <c r="H494" s="340"/>
      <c r="I494" s="340"/>
      <c r="J494" s="340"/>
      <c r="K494" s="340"/>
      <c r="L494" s="340"/>
      <c r="M494" s="340"/>
      <c r="N494" s="340"/>
      <c r="O494" s="340"/>
      <c r="P494" s="340"/>
      <c r="Q494" s="45" t="s">
        <v>6084</v>
      </c>
      <c r="R494" s="45"/>
      <c r="S494" s="344"/>
    </row>
    <row r="495" spans="1:19">
      <c r="A495" s="341" t="s">
        <v>728</v>
      </c>
      <c r="B495" s="340"/>
      <c r="C495" s="340"/>
      <c r="D495" s="340"/>
      <c r="E495" s="340" t="s">
        <v>816</v>
      </c>
      <c r="F495" s="340"/>
      <c r="G495" s="340"/>
      <c r="H495" s="340"/>
      <c r="I495" s="340"/>
      <c r="J495" s="340"/>
      <c r="K495" s="340"/>
      <c r="L495" s="340"/>
      <c r="M495" s="340"/>
      <c r="N495" s="340"/>
      <c r="O495" s="340"/>
      <c r="P495" s="340"/>
      <c r="Q495" s="45" t="s">
        <v>6083</v>
      </c>
      <c r="R495" s="45"/>
      <c r="S495" s="344"/>
    </row>
    <row r="496" spans="1:19">
      <c r="A496" s="341" t="s">
        <v>6082</v>
      </c>
      <c r="B496" s="340" t="s">
        <v>5888</v>
      </c>
      <c r="C496" s="340"/>
      <c r="D496" s="340" t="s">
        <v>5888</v>
      </c>
      <c r="E496" s="340" t="s">
        <v>816</v>
      </c>
      <c r="F496" s="340" t="s">
        <v>5888</v>
      </c>
      <c r="G496" s="340" t="s">
        <v>816</v>
      </c>
      <c r="H496" s="340" t="s">
        <v>5888</v>
      </c>
      <c r="I496" s="340" t="s">
        <v>5888</v>
      </c>
      <c r="J496" s="340" t="s">
        <v>5888</v>
      </c>
      <c r="K496" s="340" t="s">
        <v>816</v>
      </c>
      <c r="L496" s="340" t="s">
        <v>5888</v>
      </c>
      <c r="M496" s="340" t="s">
        <v>5888</v>
      </c>
      <c r="N496" s="340" t="s">
        <v>5888</v>
      </c>
      <c r="O496" s="340" t="s">
        <v>5888</v>
      </c>
      <c r="P496" s="340"/>
      <c r="Q496" s="45" t="s">
        <v>6081</v>
      </c>
      <c r="R496" s="45"/>
      <c r="S496" s="344"/>
    </row>
    <row r="497" spans="1:19">
      <c r="A497" s="341" t="s">
        <v>6080</v>
      </c>
      <c r="B497" s="340" t="s">
        <v>5888</v>
      </c>
      <c r="C497" s="340"/>
      <c r="D497" s="340" t="s">
        <v>5888</v>
      </c>
      <c r="E497" s="340" t="s">
        <v>816</v>
      </c>
      <c r="F497" s="340" t="s">
        <v>5888</v>
      </c>
      <c r="G497" s="340" t="s">
        <v>816</v>
      </c>
      <c r="H497" s="340" t="s">
        <v>5888</v>
      </c>
      <c r="I497" s="340" t="s">
        <v>5888</v>
      </c>
      <c r="J497" s="340" t="s">
        <v>5888</v>
      </c>
      <c r="K497" s="340" t="s">
        <v>816</v>
      </c>
      <c r="L497" s="340" t="s">
        <v>5888</v>
      </c>
      <c r="M497" s="340" t="s">
        <v>5888</v>
      </c>
      <c r="N497" s="340" t="s">
        <v>5888</v>
      </c>
      <c r="O497" s="340" t="s">
        <v>5888</v>
      </c>
      <c r="P497" s="340"/>
      <c r="Q497" s="45" t="s">
        <v>6079</v>
      </c>
      <c r="R497" s="45"/>
      <c r="S497" s="344"/>
    </row>
    <row r="498" spans="1:19">
      <c r="A498" s="341" t="s">
        <v>7926</v>
      </c>
      <c r="B498" s="340"/>
      <c r="C498" s="340" t="s">
        <v>816</v>
      </c>
      <c r="D498" s="340"/>
      <c r="E498" s="340" t="s">
        <v>816</v>
      </c>
      <c r="F498" s="340"/>
      <c r="G498" s="340"/>
      <c r="H498" s="340"/>
      <c r="I498" s="340"/>
      <c r="J498" s="340"/>
      <c r="K498" s="340"/>
      <c r="L498" s="340"/>
      <c r="M498" s="340"/>
      <c r="N498" s="340"/>
      <c r="O498" s="340"/>
      <c r="P498" s="340"/>
      <c r="Q498" s="45" t="s">
        <v>7927</v>
      </c>
      <c r="R498" s="45"/>
      <c r="S498" s="344"/>
    </row>
    <row r="499" spans="1:19">
      <c r="A499" s="341" t="s">
        <v>6078</v>
      </c>
      <c r="B499" s="340" t="s">
        <v>5888</v>
      </c>
      <c r="C499" s="340" t="s">
        <v>816</v>
      </c>
      <c r="D499" s="340" t="s">
        <v>5888</v>
      </c>
      <c r="E499" s="340" t="s">
        <v>5888</v>
      </c>
      <c r="F499" s="340" t="s">
        <v>5888</v>
      </c>
      <c r="G499" s="340" t="s">
        <v>5888</v>
      </c>
      <c r="H499" s="340" t="s">
        <v>5888</v>
      </c>
      <c r="I499" s="340" t="s">
        <v>5888</v>
      </c>
      <c r="J499" s="340" t="s">
        <v>5888</v>
      </c>
      <c r="K499" s="340"/>
      <c r="L499" s="340" t="s">
        <v>5888</v>
      </c>
      <c r="M499" s="340" t="s">
        <v>5888</v>
      </c>
      <c r="N499" s="340" t="s">
        <v>5888</v>
      </c>
      <c r="O499" s="340" t="s">
        <v>5888</v>
      </c>
      <c r="P499" s="340"/>
      <c r="R499" s="45" t="s">
        <v>6077</v>
      </c>
      <c r="S499" s="342"/>
    </row>
    <row r="500" spans="1:19">
      <c r="A500" s="341" t="s">
        <v>6706</v>
      </c>
      <c r="B500" s="340" t="s">
        <v>5888</v>
      </c>
      <c r="C500" s="340" t="s">
        <v>816</v>
      </c>
      <c r="D500" s="340" t="s">
        <v>5888</v>
      </c>
      <c r="E500" s="340" t="s">
        <v>5888</v>
      </c>
      <c r="F500" s="340" t="s">
        <v>5888</v>
      </c>
      <c r="G500" s="340" t="s">
        <v>5888</v>
      </c>
      <c r="H500" s="340" t="s">
        <v>5888</v>
      </c>
      <c r="I500" s="340" t="s">
        <v>5888</v>
      </c>
      <c r="J500" s="340" t="s">
        <v>5888</v>
      </c>
      <c r="K500" s="340"/>
      <c r="L500" s="340" t="s">
        <v>5888</v>
      </c>
      <c r="M500" s="340" t="s">
        <v>5888</v>
      </c>
      <c r="N500" s="340" t="s">
        <v>5888</v>
      </c>
      <c r="O500" s="340" t="s">
        <v>5888</v>
      </c>
      <c r="P500" s="340"/>
      <c r="R500" s="45" t="s">
        <v>6076</v>
      </c>
      <c r="S500" s="342"/>
    </row>
    <row r="501" spans="1:19">
      <c r="A501" s="341" t="s">
        <v>7552</v>
      </c>
      <c r="B501" s="340"/>
      <c r="C501" s="340"/>
      <c r="D501" s="340" t="s">
        <v>816</v>
      </c>
      <c r="E501" s="340"/>
      <c r="F501" s="340"/>
      <c r="G501" s="340"/>
      <c r="H501" s="340"/>
      <c r="I501" s="340"/>
      <c r="J501" s="340"/>
      <c r="K501" s="340"/>
      <c r="L501" s="340"/>
      <c r="M501" s="340"/>
      <c r="N501" s="340"/>
      <c r="O501" s="340"/>
      <c r="P501" s="340"/>
      <c r="Q501" s="342" t="s">
        <v>7553</v>
      </c>
      <c r="R501" s="45"/>
      <c r="S501" s="342"/>
    </row>
    <row r="502" spans="1:19">
      <c r="A502" s="341" t="s">
        <v>7554</v>
      </c>
      <c r="B502" s="340"/>
      <c r="C502" s="340"/>
      <c r="D502" s="340" t="s">
        <v>816</v>
      </c>
      <c r="E502" s="340"/>
      <c r="F502" s="340"/>
      <c r="G502" s="340"/>
      <c r="H502" s="340"/>
      <c r="I502" s="340"/>
      <c r="J502" s="340"/>
      <c r="K502" s="340"/>
      <c r="L502" s="340"/>
      <c r="M502" s="340"/>
      <c r="N502" s="340"/>
      <c r="O502" s="340"/>
      <c r="P502" s="340"/>
      <c r="Q502" s="45" t="s">
        <v>7555</v>
      </c>
      <c r="R502" s="45"/>
      <c r="S502" s="342"/>
    </row>
    <row r="503" spans="1:19">
      <c r="A503" s="341" t="s">
        <v>6075</v>
      </c>
      <c r="B503" s="340" t="s">
        <v>5888</v>
      </c>
      <c r="C503" s="340"/>
      <c r="D503" s="340" t="s">
        <v>5888</v>
      </c>
      <c r="E503" s="340" t="s">
        <v>5888</v>
      </c>
      <c r="F503" s="340" t="s">
        <v>5888</v>
      </c>
      <c r="G503" s="340" t="s">
        <v>816</v>
      </c>
      <c r="H503" s="340" t="s">
        <v>5888</v>
      </c>
      <c r="I503" s="340" t="s">
        <v>5888</v>
      </c>
      <c r="J503" s="340" t="s">
        <v>5888</v>
      </c>
      <c r="K503" s="340" t="s">
        <v>816</v>
      </c>
      <c r="L503" s="340" t="s">
        <v>5888</v>
      </c>
      <c r="M503" s="340" t="s">
        <v>5888</v>
      </c>
      <c r="N503" s="340" t="s">
        <v>5888</v>
      </c>
      <c r="O503" s="340" t="s">
        <v>5888</v>
      </c>
      <c r="P503" s="340"/>
      <c r="Q503" s="45" t="s">
        <v>6074</v>
      </c>
      <c r="R503" s="45"/>
      <c r="S503" s="342"/>
    </row>
    <row r="504" spans="1:19">
      <c r="A504" s="341" t="s">
        <v>6707</v>
      </c>
      <c r="B504" s="340" t="s">
        <v>5888</v>
      </c>
      <c r="C504" s="340" t="s">
        <v>816</v>
      </c>
      <c r="D504" s="340" t="s">
        <v>5888</v>
      </c>
      <c r="E504" s="340" t="s">
        <v>5888</v>
      </c>
      <c r="F504" s="340" t="s">
        <v>5888</v>
      </c>
      <c r="G504" s="340"/>
      <c r="H504" s="340" t="s">
        <v>5888</v>
      </c>
      <c r="I504" s="340" t="s">
        <v>5888</v>
      </c>
      <c r="J504" s="340" t="s">
        <v>5888</v>
      </c>
      <c r="K504" s="340" t="s">
        <v>5888</v>
      </c>
      <c r="L504" s="340" t="s">
        <v>5888</v>
      </c>
      <c r="M504" s="340" t="s">
        <v>5888</v>
      </c>
      <c r="N504" s="340" t="s">
        <v>5888</v>
      </c>
      <c r="O504" s="340" t="s">
        <v>5888</v>
      </c>
      <c r="P504" s="340"/>
      <c r="Q504" s="45"/>
      <c r="R504" s="45" t="s">
        <v>6071</v>
      </c>
      <c r="S504" s="342"/>
    </row>
    <row r="505" spans="1:19">
      <c r="A505" s="341" t="s">
        <v>6073</v>
      </c>
      <c r="B505" s="340" t="s">
        <v>5888</v>
      </c>
      <c r="C505" s="340"/>
      <c r="D505" s="340" t="s">
        <v>5888</v>
      </c>
      <c r="E505" s="340" t="s">
        <v>5888</v>
      </c>
      <c r="F505" s="340" t="s">
        <v>5888</v>
      </c>
      <c r="G505" s="340" t="s">
        <v>816</v>
      </c>
      <c r="H505" s="340" t="s">
        <v>5888</v>
      </c>
      <c r="I505" s="340" t="s">
        <v>5888</v>
      </c>
      <c r="J505" s="340" t="s">
        <v>5888</v>
      </c>
      <c r="K505" s="340" t="s">
        <v>5888</v>
      </c>
      <c r="L505" s="340" t="s">
        <v>5888</v>
      </c>
      <c r="M505" s="340" t="s">
        <v>5888</v>
      </c>
      <c r="N505" s="340" t="s">
        <v>5888</v>
      </c>
      <c r="O505" s="340" t="s">
        <v>5888</v>
      </c>
      <c r="P505" s="340"/>
      <c r="Q505" s="45" t="s">
        <v>6072</v>
      </c>
      <c r="R505" s="45"/>
      <c r="S505" s="342"/>
    </row>
    <row r="506" spans="1:19">
      <c r="A506" s="341" t="s">
        <v>1100</v>
      </c>
      <c r="B506" s="340" t="s">
        <v>5888</v>
      </c>
      <c r="C506" s="340"/>
      <c r="D506" s="340" t="s">
        <v>5888</v>
      </c>
      <c r="E506" s="340" t="s">
        <v>5888</v>
      </c>
      <c r="F506" s="340" t="s">
        <v>5888</v>
      </c>
      <c r="G506" s="340" t="s">
        <v>5888</v>
      </c>
      <c r="H506" s="340" t="s">
        <v>5888</v>
      </c>
      <c r="I506" s="340" t="s">
        <v>5888</v>
      </c>
      <c r="J506" s="340" t="s">
        <v>5888</v>
      </c>
      <c r="K506" s="340" t="s">
        <v>5888</v>
      </c>
      <c r="L506" s="340" t="s">
        <v>5888</v>
      </c>
      <c r="M506" s="340" t="s">
        <v>816</v>
      </c>
      <c r="N506" s="340" t="s">
        <v>5888</v>
      </c>
      <c r="O506" s="340" t="s">
        <v>5888</v>
      </c>
      <c r="P506" s="340"/>
      <c r="Q506" s="45" t="s">
        <v>6070</v>
      </c>
      <c r="R506" s="45"/>
      <c r="S506" s="342"/>
    </row>
    <row r="507" spans="1:19">
      <c r="A507" s="341" t="s">
        <v>6708</v>
      </c>
      <c r="B507" s="340" t="s">
        <v>5888</v>
      </c>
      <c r="C507" s="340"/>
      <c r="D507" s="340" t="s">
        <v>5888</v>
      </c>
      <c r="E507" s="340" t="s">
        <v>5888</v>
      </c>
      <c r="F507" s="340" t="s">
        <v>5888</v>
      </c>
      <c r="G507" s="340" t="s">
        <v>5888</v>
      </c>
      <c r="H507" s="340" t="s">
        <v>5888</v>
      </c>
      <c r="I507" s="340" t="s">
        <v>5888</v>
      </c>
      <c r="J507" s="340" t="s">
        <v>5888</v>
      </c>
      <c r="K507" s="340" t="s">
        <v>5888</v>
      </c>
      <c r="L507" s="340" t="s">
        <v>5888</v>
      </c>
      <c r="M507" s="340" t="s">
        <v>816</v>
      </c>
      <c r="N507" s="340" t="s">
        <v>5888</v>
      </c>
      <c r="O507" s="340" t="s">
        <v>5888</v>
      </c>
      <c r="P507" s="340"/>
      <c r="Q507" s="45" t="s">
        <v>6069</v>
      </c>
      <c r="R507" s="45"/>
      <c r="S507" s="342"/>
    </row>
    <row r="508" spans="1:19">
      <c r="A508" s="341" t="s">
        <v>6068</v>
      </c>
      <c r="B508" s="340"/>
      <c r="C508" s="340"/>
      <c r="D508" s="340"/>
      <c r="E508" s="340"/>
      <c r="F508" s="340"/>
      <c r="G508" s="340"/>
      <c r="H508" s="340" t="s">
        <v>816</v>
      </c>
      <c r="I508" s="340"/>
      <c r="J508" s="340"/>
      <c r="K508" s="340"/>
      <c r="L508" s="340"/>
      <c r="M508" s="340"/>
      <c r="N508" s="340"/>
      <c r="O508" s="340"/>
      <c r="P508" s="340"/>
      <c r="Q508" s="343" t="s">
        <v>6067</v>
      </c>
      <c r="R508" s="45"/>
      <c r="S508" s="342"/>
    </row>
    <row r="509" spans="1:19">
      <c r="A509" s="341" t="s">
        <v>6065</v>
      </c>
      <c r="B509" s="340"/>
      <c r="C509" s="340"/>
      <c r="D509" s="340"/>
      <c r="E509" s="340"/>
      <c r="F509" s="340"/>
      <c r="G509" s="340"/>
      <c r="H509" s="340"/>
      <c r="I509" s="340"/>
      <c r="J509" s="340"/>
      <c r="K509" s="340"/>
      <c r="L509" s="340"/>
      <c r="M509" s="340"/>
      <c r="N509" s="340"/>
      <c r="O509" s="340"/>
      <c r="P509" s="340"/>
      <c r="Q509" s="342" t="s">
        <v>6066</v>
      </c>
      <c r="R509" s="45"/>
      <c r="S509" s="342"/>
    </row>
    <row r="510" spans="1:19">
      <c r="A510" s="341" t="s">
        <v>6065</v>
      </c>
      <c r="B510" s="340"/>
      <c r="C510" s="340"/>
      <c r="D510" s="340"/>
      <c r="E510" s="340"/>
      <c r="F510" s="340"/>
      <c r="G510" s="340"/>
      <c r="H510" s="340"/>
      <c r="I510" s="340"/>
      <c r="J510" s="340"/>
      <c r="K510" s="340"/>
      <c r="L510" s="340"/>
      <c r="M510" s="340"/>
      <c r="N510" s="340"/>
      <c r="O510" s="340"/>
      <c r="P510" s="340"/>
      <c r="Q510" s="45" t="s">
        <v>6064</v>
      </c>
      <c r="R510" s="45"/>
      <c r="S510" s="342"/>
    </row>
    <row r="511" spans="1:19">
      <c r="A511" s="341" t="s">
        <v>6063</v>
      </c>
      <c r="B511" s="340" t="s">
        <v>5888</v>
      </c>
      <c r="C511" s="340"/>
      <c r="D511" s="340" t="s">
        <v>5888</v>
      </c>
      <c r="E511" s="340" t="s">
        <v>5888</v>
      </c>
      <c r="F511" s="340" t="s">
        <v>5888</v>
      </c>
      <c r="G511" s="340" t="s">
        <v>816</v>
      </c>
      <c r="H511" s="340" t="s">
        <v>5888</v>
      </c>
      <c r="I511" s="340" t="s">
        <v>5888</v>
      </c>
      <c r="J511" s="340" t="s">
        <v>5888</v>
      </c>
      <c r="K511" s="340" t="s">
        <v>5888</v>
      </c>
      <c r="L511" s="340" t="s">
        <v>5888</v>
      </c>
      <c r="M511" s="340" t="s">
        <v>5888</v>
      </c>
      <c r="N511" s="340" t="s">
        <v>5888</v>
      </c>
      <c r="O511" s="340" t="s">
        <v>5888</v>
      </c>
      <c r="P511" s="340"/>
      <c r="Q511" s="45" t="s">
        <v>6062</v>
      </c>
      <c r="R511" s="45"/>
      <c r="S511" s="342"/>
    </row>
    <row r="512" spans="1:19">
      <c r="A512" s="341" t="s">
        <v>6061</v>
      </c>
      <c r="B512" s="340"/>
      <c r="C512" s="340"/>
      <c r="D512" s="340"/>
      <c r="E512" s="340" t="s">
        <v>816</v>
      </c>
      <c r="F512" s="340"/>
      <c r="G512" s="340"/>
      <c r="H512" s="340"/>
      <c r="I512" s="340"/>
      <c r="J512" s="340"/>
      <c r="K512" s="340"/>
      <c r="L512" s="340"/>
      <c r="M512" s="340"/>
      <c r="N512" s="340"/>
      <c r="O512" s="340"/>
      <c r="P512" s="340"/>
      <c r="Q512" s="342" t="s">
        <v>6060</v>
      </c>
      <c r="R512" s="45"/>
      <c r="S512" s="342"/>
    </row>
    <row r="513" spans="1:19">
      <c r="A513" s="341" t="s">
        <v>6059</v>
      </c>
      <c r="B513" s="340" t="s">
        <v>5888</v>
      </c>
      <c r="C513" s="340" t="s">
        <v>816</v>
      </c>
      <c r="D513" s="340" t="s">
        <v>5888</v>
      </c>
      <c r="E513" s="340" t="s">
        <v>5888</v>
      </c>
      <c r="F513" s="340" t="s">
        <v>5888</v>
      </c>
      <c r="G513" s="340" t="s">
        <v>5888</v>
      </c>
      <c r="H513" s="340" t="s">
        <v>5888</v>
      </c>
      <c r="I513" s="340" t="s">
        <v>5888</v>
      </c>
      <c r="J513" s="340" t="s">
        <v>5888</v>
      </c>
      <c r="K513" s="340"/>
      <c r="L513" s="340" t="s">
        <v>5888</v>
      </c>
      <c r="M513" s="340" t="s">
        <v>5888</v>
      </c>
      <c r="N513" s="340" t="s">
        <v>5888</v>
      </c>
      <c r="O513" s="340" t="s">
        <v>5888</v>
      </c>
      <c r="P513" s="340"/>
      <c r="R513" s="45" t="s">
        <v>6058</v>
      </c>
      <c r="S513" s="342"/>
    </row>
    <row r="514" spans="1:19">
      <c r="A514" s="341" t="s">
        <v>6057</v>
      </c>
      <c r="B514" s="340" t="s">
        <v>5888</v>
      </c>
      <c r="C514" s="340"/>
      <c r="D514" s="340" t="s">
        <v>5888</v>
      </c>
      <c r="E514" s="340" t="s">
        <v>5888</v>
      </c>
      <c r="F514" s="340" t="s">
        <v>5888</v>
      </c>
      <c r="G514" s="340" t="s">
        <v>5888</v>
      </c>
      <c r="H514" s="340" t="s">
        <v>5888</v>
      </c>
      <c r="I514" s="340" t="s">
        <v>5888</v>
      </c>
      <c r="J514" s="340" t="s">
        <v>5888</v>
      </c>
      <c r="K514" s="340" t="s">
        <v>816</v>
      </c>
      <c r="L514" s="340" t="s">
        <v>5888</v>
      </c>
      <c r="M514" s="340" t="s">
        <v>5888</v>
      </c>
      <c r="N514" s="340" t="s">
        <v>5888</v>
      </c>
      <c r="O514" s="340" t="s">
        <v>5888</v>
      </c>
      <c r="P514" s="340"/>
      <c r="Q514" s="45" t="s">
        <v>6056</v>
      </c>
      <c r="R514" s="45"/>
      <c r="S514" s="342"/>
    </row>
    <row r="515" spans="1:19">
      <c r="A515" s="341" t="s">
        <v>7980</v>
      </c>
      <c r="B515" s="340"/>
      <c r="C515" s="340"/>
      <c r="D515" s="340"/>
      <c r="E515" s="340"/>
      <c r="F515" s="340"/>
      <c r="G515" s="340" t="s">
        <v>816</v>
      </c>
      <c r="H515" s="340" t="s">
        <v>816</v>
      </c>
      <c r="I515" s="340" t="s">
        <v>816</v>
      </c>
      <c r="J515" s="340" t="s">
        <v>816</v>
      </c>
      <c r="K515" s="340" t="s">
        <v>816</v>
      </c>
      <c r="L515" s="340" t="s">
        <v>816</v>
      </c>
      <c r="M515" s="340" t="s">
        <v>816</v>
      </c>
      <c r="N515" s="340" t="s">
        <v>816</v>
      </c>
      <c r="O515" s="340"/>
      <c r="P515" s="340"/>
      <c r="Q515" s="343" t="s">
        <v>6041</v>
      </c>
      <c r="R515" s="45"/>
      <c r="S515" s="342"/>
    </row>
    <row r="516" spans="1:19">
      <c r="A516" s="341" t="s">
        <v>7979</v>
      </c>
      <c r="B516" s="340"/>
      <c r="C516" s="340"/>
      <c r="D516" s="340"/>
      <c r="E516" s="340"/>
      <c r="F516" s="340"/>
      <c r="G516" s="340" t="s">
        <v>816</v>
      </c>
      <c r="H516" s="340" t="s">
        <v>816</v>
      </c>
      <c r="I516" s="340" t="s">
        <v>816</v>
      </c>
      <c r="J516" s="340" t="s">
        <v>816</v>
      </c>
      <c r="K516" s="340" t="s">
        <v>816</v>
      </c>
      <c r="L516" s="340" t="s">
        <v>816</v>
      </c>
      <c r="M516" s="340" t="s">
        <v>816</v>
      </c>
      <c r="N516" s="340" t="s">
        <v>816</v>
      </c>
      <c r="O516" s="340"/>
      <c r="P516" s="340"/>
      <c r="Q516" s="343" t="s">
        <v>7981</v>
      </c>
      <c r="R516" s="45"/>
      <c r="S516" s="342"/>
    </row>
    <row r="517" spans="1:19">
      <c r="A517" s="341" t="s">
        <v>9210</v>
      </c>
      <c r="B517" s="340"/>
      <c r="C517" s="340"/>
      <c r="D517" s="340"/>
      <c r="E517" s="340"/>
      <c r="F517" s="340"/>
      <c r="G517" s="340" t="s">
        <v>816</v>
      </c>
      <c r="H517" s="340" t="s">
        <v>816</v>
      </c>
      <c r="I517" s="340" t="s">
        <v>816</v>
      </c>
      <c r="J517" s="340" t="s">
        <v>816</v>
      </c>
      <c r="K517" s="340" t="s">
        <v>816</v>
      </c>
      <c r="L517" s="340" t="s">
        <v>816</v>
      </c>
      <c r="M517" s="340" t="s">
        <v>816</v>
      </c>
      <c r="N517" s="340" t="s">
        <v>816</v>
      </c>
      <c r="O517" s="340"/>
      <c r="P517" s="340"/>
      <c r="Q517" s="45" t="s">
        <v>9209</v>
      </c>
      <c r="R517" s="45"/>
      <c r="S517" s="342"/>
    </row>
    <row r="518" spans="1:19">
      <c r="A518" s="341" t="s">
        <v>6055</v>
      </c>
      <c r="B518" s="340" t="s">
        <v>5888</v>
      </c>
      <c r="C518" s="340"/>
      <c r="D518" s="340" t="s">
        <v>5888</v>
      </c>
      <c r="E518" s="340" t="s">
        <v>5888</v>
      </c>
      <c r="F518" s="340" t="s">
        <v>5888</v>
      </c>
      <c r="G518" s="340" t="s">
        <v>5888</v>
      </c>
      <c r="H518" s="340" t="s">
        <v>5888</v>
      </c>
      <c r="I518" s="340" t="s">
        <v>5888</v>
      </c>
      <c r="J518" s="340" t="s">
        <v>5888</v>
      </c>
      <c r="K518" s="340" t="s">
        <v>816</v>
      </c>
      <c r="L518" s="340" t="s">
        <v>5888</v>
      </c>
      <c r="M518" s="340" t="s">
        <v>5888</v>
      </c>
      <c r="N518" s="340" t="s">
        <v>5888</v>
      </c>
      <c r="O518" s="340" t="s">
        <v>5888</v>
      </c>
      <c r="P518" s="340"/>
      <c r="Q518" s="45" t="s">
        <v>6054</v>
      </c>
      <c r="R518" s="45"/>
      <c r="S518" s="342"/>
    </row>
    <row r="519" spans="1:19">
      <c r="A519" s="341" t="s">
        <v>10228</v>
      </c>
      <c r="B519" s="340"/>
      <c r="C519" s="340"/>
      <c r="D519" s="340"/>
      <c r="E519" s="340"/>
      <c r="F519" s="340"/>
      <c r="G519" s="340"/>
      <c r="H519" s="340"/>
      <c r="I519" s="340" t="s">
        <v>816</v>
      </c>
      <c r="J519" s="340"/>
      <c r="K519" s="340"/>
      <c r="L519" s="340"/>
      <c r="M519" s="340"/>
      <c r="N519" s="340"/>
      <c r="O519" s="340"/>
      <c r="P519" s="340"/>
      <c r="Q519" s="387" t="s">
        <v>10229</v>
      </c>
      <c r="R519" s="45"/>
      <c r="S519" s="342"/>
    </row>
    <row r="520" spans="1:19">
      <c r="A520" s="341" t="s">
        <v>4351</v>
      </c>
      <c r="B520" s="340" t="s">
        <v>5888</v>
      </c>
      <c r="C520" s="340"/>
      <c r="D520" s="340" t="s">
        <v>5888</v>
      </c>
      <c r="E520" s="340" t="s">
        <v>5888</v>
      </c>
      <c r="F520" s="340" t="s">
        <v>5888</v>
      </c>
      <c r="G520" s="340" t="s">
        <v>5888</v>
      </c>
      <c r="H520" s="340" t="s">
        <v>5888</v>
      </c>
      <c r="I520" s="340" t="s">
        <v>816</v>
      </c>
      <c r="J520" s="340" t="s">
        <v>816</v>
      </c>
      <c r="K520" s="340" t="s">
        <v>816</v>
      </c>
      <c r="L520" s="340" t="s">
        <v>816</v>
      </c>
      <c r="M520" s="340" t="s">
        <v>5888</v>
      </c>
      <c r="N520" s="340" t="s">
        <v>5888</v>
      </c>
      <c r="O520" s="340" t="s">
        <v>5888</v>
      </c>
      <c r="P520" s="340"/>
      <c r="Q520" s="342" t="s">
        <v>6053</v>
      </c>
      <c r="R520" s="45"/>
      <c r="S520" s="342"/>
    </row>
    <row r="521" spans="1:19">
      <c r="A521" s="341" t="s">
        <v>6052</v>
      </c>
      <c r="B521" s="340" t="s">
        <v>5888</v>
      </c>
      <c r="C521" s="340"/>
      <c r="D521" s="340" t="s">
        <v>816</v>
      </c>
      <c r="E521" s="340" t="s">
        <v>5888</v>
      </c>
      <c r="F521" s="340" t="s">
        <v>5888</v>
      </c>
      <c r="G521" s="340" t="s">
        <v>5888</v>
      </c>
      <c r="H521" s="340" t="s">
        <v>5888</v>
      </c>
      <c r="I521" s="340" t="s">
        <v>5888</v>
      </c>
      <c r="J521" s="340" t="s">
        <v>5888</v>
      </c>
      <c r="K521" s="340" t="s">
        <v>5888</v>
      </c>
      <c r="L521" s="340" t="s">
        <v>5888</v>
      </c>
      <c r="M521" s="340" t="s">
        <v>5888</v>
      </c>
      <c r="N521" s="340" t="s">
        <v>5888</v>
      </c>
      <c r="O521" s="340" t="s">
        <v>5888</v>
      </c>
      <c r="P521" s="340"/>
      <c r="Q521" s="45" t="s">
        <v>6051</v>
      </c>
      <c r="R521" s="45"/>
      <c r="S521" s="342"/>
    </row>
    <row r="522" spans="1:19">
      <c r="A522" s="341" t="s">
        <v>6050</v>
      </c>
      <c r="B522" s="340" t="s">
        <v>5888</v>
      </c>
      <c r="C522" s="340"/>
      <c r="D522" s="340" t="s">
        <v>5888</v>
      </c>
      <c r="E522" s="340" t="s">
        <v>5888</v>
      </c>
      <c r="F522" s="340" t="s">
        <v>5888</v>
      </c>
      <c r="G522" s="340" t="s">
        <v>816</v>
      </c>
      <c r="H522" s="340" t="s">
        <v>5888</v>
      </c>
      <c r="I522" s="340" t="s">
        <v>5888</v>
      </c>
      <c r="J522" s="340" t="s">
        <v>5888</v>
      </c>
      <c r="K522" s="340" t="s">
        <v>5888</v>
      </c>
      <c r="L522" s="340" t="s">
        <v>5888</v>
      </c>
      <c r="M522" s="340" t="s">
        <v>5888</v>
      </c>
      <c r="N522" s="340" t="s">
        <v>5888</v>
      </c>
      <c r="O522" s="340" t="s">
        <v>5888</v>
      </c>
      <c r="P522" s="340"/>
      <c r="Q522" s="45" t="s">
        <v>6049</v>
      </c>
      <c r="R522" s="45"/>
      <c r="S522" s="342"/>
    </row>
    <row r="523" spans="1:19">
      <c r="A523" s="341" t="s">
        <v>2221</v>
      </c>
      <c r="B523" s="340" t="s">
        <v>5888</v>
      </c>
      <c r="C523" s="340"/>
      <c r="D523" s="340" t="s">
        <v>5888</v>
      </c>
      <c r="E523" s="340" t="s">
        <v>5888</v>
      </c>
      <c r="F523" s="340" t="s">
        <v>5888</v>
      </c>
      <c r="G523" s="340" t="s">
        <v>816</v>
      </c>
      <c r="H523" s="340" t="s">
        <v>5888</v>
      </c>
      <c r="I523" s="340" t="s">
        <v>5888</v>
      </c>
      <c r="J523" s="340" t="s">
        <v>5888</v>
      </c>
      <c r="K523" s="340" t="s">
        <v>5888</v>
      </c>
      <c r="L523" s="340" t="s">
        <v>5888</v>
      </c>
      <c r="M523" s="340" t="s">
        <v>5888</v>
      </c>
      <c r="N523" s="340" t="s">
        <v>5888</v>
      </c>
      <c r="O523" s="340" t="s">
        <v>5888</v>
      </c>
      <c r="P523" s="340"/>
      <c r="Q523" s="45" t="s">
        <v>6048</v>
      </c>
      <c r="R523" s="45"/>
      <c r="S523" s="342"/>
    </row>
    <row r="524" spans="1:19">
      <c r="A524" s="341" t="s">
        <v>9206</v>
      </c>
      <c r="B524" s="340"/>
      <c r="C524" s="340"/>
      <c r="D524" s="340"/>
      <c r="E524" s="340"/>
      <c r="F524" s="340"/>
      <c r="G524" s="340" t="s">
        <v>816</v>
      </c>
      <c r="H524" s="340"/>
      <c r="I524" s="340"/>
      <c r="J524" s="340"/>
      <c r="K524" s="340"/>
      <c r="L524" s="340"/>
      <c r="M524" s="340"/>
      <c r="N524" s="340"/>
      <c r="O524" s="340"/>
      <c r="P524" s="340"/>
      <c r="Q524" s="343" t="s">
        <v>9205</v>
      </c>
      <c r="R524" s="45"/>
      <c r="S524" s="342"/>
    </row>
    <row r="525" spans="1:19">
      <c r="A525" s="341" t="s">
        <v>4091</v>
      </c>
      <c r="B525" s="340" t="s">
        <v>5888</v>
      </c>
      <c r="C525" s="340"/>
      <c r="D525" s="340" t="s">
        <v>816</v>
      </c>
      <c r="E525" s="340" t="s">
        <v>5888</v>
      </c>
      <c r="F525" s="340" t="s">
        <v>5888</v>
      </c>
      <c r="G525" s="340" t="s">
        <v>5888</v>
      </c>
      <c r="H525" s="340" t="s">
        <v>5888</v>
      </c>
      <c r="I525" s="340" t="s">
        <v>5888</v>
      </c>
      <c r="J525" s="340" t="s">
        <v>5888</v>
      </c>
      <c r="K525" s="340" t="s">
        <v>5888</v>
      </c>
      <c r="L525" s="340" t="s">
        <v>5888</v>
      </c>
      <c r="M525" s="340" t="s">
        <v>5888</v>
      </c>
      <c r="N525" s="340" t="s">
        <v>5888</v>
      </c>
      <c r="O525" s="340" t="s">
        <v>5888</v>
      </c>
      <c r="P525" s="340"/>
      <c r="Q525" s="45" t="s">
        <v>6047</v>
      </c>
      <c r="R525" s="45"/>
      <c r="S525" s="342"/>
    </row>
    <row r="526" spans="1:19">
      <c r="A526" s="341" t="s">
        <v>4091</v>
      </c>
      <c r="B526" s="340"/>
      <c r="C526" s="340"/>
      <c r="D526" s="340"/>
      <c r="E526" s="340" t="s">
        <v>816</v>
      </c>
      <c r="F526" s="340"/>
      <c r="G526" s="340"/>
      <c r="H526" s="340"/>
      <c r="I526" s="340"/>
      <c r="J526" s="340"/>
      <c r="K526" s="340"/>
      <c r="L526" s="340"/>
      <c r="M526" s="340"/>
      <c r="N526" s="340"/>
      <c r="O526" s="340"/>
      <c r="P526" s="340"/>
      <c r="Q526" s="45" t="s">
        <v>5920</v>
      </c>
      <c r="R526" s="45"/>
      <c r="S526" s="342"/>
    </row>
    <row r="527" spans="1:19">
      <c r="A527" s="341" t="s">
        <v>1270</v>
      </c>
      <c r="B527" s="340"/>
      <c r="C527" s="340"/>
      <c r="D527" s="340"/>
      <c r="E527" s="340" t="s">
        <v>816</v>
      </c>
      <c r="F527" s="340"/>
      <c r="G527" s="340"/>
      <c r="H527" s="340"/>
      <c r="I527" s="340"/>
      <c r="J527" s="340"/>
      <c r="K527" s="340"/>
      <c r="L527" s="340"/>
      <c r="M527" s="340"/>
      <c r="N527" s="340"/>
      <c r="O527" s="340"/>
      <c r="P527" s="340"/>
      <c r="Q527" s="45" t="s">
        <v>6046</v>
      </c>
      <c r="R527" s="45"/>
      <c r="S527" s="342"/>
    </row>
    <row r="528" spans="1:19">
      <c r="A528" s="341" t="s">
        <v>1270</v>
      </c>
      <c r="B528" s="340"/>
      <c r="C528" s="340"/>
      <c r="D528" s="340"/>
      <c r="E528" s="340" t="s">
        <v>816</v>
      </c>
      <c r="F528" s="340"/>
      <c r="G528" s="340"/>
      <c r="H528" s="340"/>
      <c r="I528" s="340"/>
      <c r="J528" s="340"/>
      <c r="K528" s="340"/>
      <c r="L528" s="340"/>
      <c r="M528" s="340"/>
      <c r="N528" s="340"/>
      <c r="O528" s="340"/>
      <c r="P528" s="340"/>
      <c r="Q528" s="45" t="s">
        <v>6045</v>
      </c>
      <c r="R528" s="45"/>
      <c r="S528" s="342"/>
    </row>
    <row r="529" spans="1:19">
      <c r="A529" s="341" t="s">
        <v>6044</v>
      </c>
      <c r="B529" s="340" t="s">
        <v>5888</v>
      </c>
      <c r="C529" s="340"/>
      <c r="D529" s="340" t="s">
        <v>5888</v>
      </c>
      <c r="E529" s="340" t="s">
        <v>5888</v>
      </c>
      <c r="F529" s="340" t="s">
        <v>5888</v>
      </c>
      <c r="G529" s="340" t="s">
        <v>5888</v>
      </c>
      <c r="H529" s="340" t="s">
        <v>5888</v>
      </c>
      <c r="I529" s="340" t="s">
        <v>5888</v>
      </c>
      <c r="J529" s="340" t="s">
        <v>816</v>
      </c>
      <c r="K529" s="340" t="s">
        <v>816</v>
      </c>
      <c r="L529" s="340" t="s">
        <v>5888</v>
      </c>
      <c r="M529" s="340" t="s">
        <v>5888</v>
      </c>
      <c r="N529" s="340" t="s">
        <v>5888</v>
      </c>
      <c r="O529" s="340" t="s">
        <v>5888</v>
      </c>
      <c r="P529" s="340"/>
      <c r="Q529" s="45" t="s">
        <v>6043</v>
      </c>
      <c r="R529" s="45"/>
      <c r="S529" s="342"/>
    </row>
    <row r="530" spans="1:19">
      <c r="A530" s="341" t="s">
        <v>6042</v>
      </c>
      <c r="B530" s="340" t="s">
        <v>5888</v>
      </c>
      <c r="C530" s="340"/>
      <c r="D530" s="340" t="s">
        <v>5888</v>
      </c>
      <c r="E530" s="340" t="s">
        <v>5888</v>
      </c>
      <c r="F530" s="340" t="s">
        <v>5888</v>
      </c>
      <c r="G530" s="340" t="s">
        <v>5888</v>
      </c>
      <c r="H530" s="340" t="s">
        <v>5888</v>
      </c>
      <c r="I530" s="340" t="s">
        <v>5888</v>
      </c>
      <c r="J530" s="340" t="s">
        <v>816</v>
      </c>
      <c r="K530" s="340" t="s">
        <v>816</v>
      </c>
      <c r="L530" s="340" t="s">
        <v>5888</v>
      </c>
      <c r="M530" s="340" t="s">
        <v>5888</v>
      </c>
      <c r="N530" s="340" t="s">
        <v>5888</v>
      </c>
      <c r="O530" s="340" t="s">
        <v>5888</v>
      </c>
      <c r="P530" s="340"/>
      <c r="Q530" s="342" t="s">
        <v>6041</v>
      </c>
      <c r="R530" s="45"/>
      <c r="S530" s="342"/>
    </row>
    <row r="531" spans="1:19">
      <c r="A531" s="341" t="s">
        <v>6040</v>
      </c>
      <c r="B531" s="340" t="s">
        <v>5888</v>
      </c>
      <c r="C531" s="340"/>
      <c r="D531" s="340" t="s">
        <v>5888</v>
      </c>
      <c r="E531" s="340" t="s">
        <v>5888</v>
      </c>
      <c r="F531" s="340" t="s">
        <v>5888</v>
      </c>
      <c r="G531" s="340" t="s">
        <v>5888</v>
      </c>
      <c r="H531" s="340" t="s">
        <v>816</v>
      </c>
      <c r="I531" s="340" t="s">
        <v>5888</v>
      </c>
      <c r="J531" s="340" t="s">
        <v>816</v>
      </c>
      <c r="K531" s="340" t="s">
        <v>816</v>
      </c>
      <c r="L531" s="340" t="s">
        <v>5888</v>
      </c>
      <c r="M531" s="340" t="s">
        <v>5888</v>
      </c>
      <c r="N531" s="340" t="s">
        <v>5888</v>
      </c>
      <c r="O531" s="340" t="s">
        <v>5888</v>
      </c>
      <c r="P531" s="340"/>
      <c r="Q531" s="45" t="s">
        <v>6039</v>
      </c>
      <c r="R531" s="45"/>
      <c r="S531" s="342"/>
    </row>
    <row r="532" spans="1:19">
      <c r="A532" s="341" t="s">
        <v>6038</v>
      </c>
      <c r="B532" s="340" t="s">
        <v>5888</v>
      </c>
      <c r="C532" s="340"/>
      <c r="D532" s="340" t="s">
        <v>5888</v>
      </c>
      <c r="E532" s="340" t="s">
        <v>5888</v>
      </c>
      <c r="F532" s="340" t="s">
        <v>5888</v>
      </c>
      <c r="G532" s="340" t="s">
        <v>5888</v>
      </c>
      <c r="H532" s="340" t="s">
        <v>816</v>
      </c>
      <c r="I532" s="340" t="s">
        <v>816</v>
      </c>
      <c r="J532" s="340" t="s">
        <v>5888</v>
      </c>
      <c r="K532" s="340" t="s">
        <v>816</v>
      </c>
      <c r="L532" s="340" t="s">
        <v>816</v>
      </c>
      <c r="M532" s="340" t="s">
        <v>5888</v>
      </c>
      <c r="N532" s="340" t="s">
        <v>5888</v>
      </c>
      <c r="O532" s="340" t="s">
        <v>5888</v>
      </c>
      <c r="P532" s="340"/>
      <c r="Q532" s="45" t="s">
        <v>6037</v>
      </c>
      <c r="R532" s="45"/>
      <c r="S532" s="342"/>
    </row>
    <row r="533" spans="1:19">
      <c r="A533" s="341" t="s">
        <v>6036</v>
      </c>
      <c r="B533" s="340" t="s">
        <v>5888</v>
      </c>
      <c r="C533" s="340"/>
      <c r="D533" s="340" t="s">
        <v>5888</v>
      </c>
      <c r="E533" s="340" t="s">
        <v>5888</v>
      </c>
      <c r="F533" s="340" t="s">
        <v>5888</v>
      </c>
      <c r="G533" s="340" t="s">
        <v>5888</v>
      </c>
      <c r="H533" s="340" t="s">
        <v>816</v>
      </c>
      <c r="I533" s="340" t="s">
        <v>5888</v>
      </c>
      <c r="J533" s="340" t="s">
        <v>5888</v>
      </c>
      <c r="K533" s="340" t="s">
        <v>816</v>
      </c>
      <c r="L533" s="340" t="s">
        <v>816</v>
      </c>
      <c r="M533" s="340" t="s">
        <v>5888</v>
      </c>
      <c r="N533" s="340" t="s">
        <v>5888</v>
      </c>
      <c r="O533" s="340" t="s">
        <v>5888</v>
      </c>
      <c r="P533" s="340"/>
      <c r="Q533" s="342" t="s">
        <v>6035</v>
      </c>
      <c r="R533" s="45"/>
      <c r="S533" s="342"/>
    </row>
    <row r="534" spans="1:19">
      <c r="A534" s="341" t="s">
        <v>6034</v>
      </c>
      <c r="B534" s="340" t="s">
        <v>5888</v>
      </c>
      <c r="C534" s="340"/>
      <c r="D534" s="340" t="s">
        <v>5888</v>
      </c>
      <c r="E534" s="340" t="s">
        <v>5888</v>
      </c>
      <c r="F534" s="340" t="s">
        <v>5888</v>
      </c>
      <c r="G534" s="340" t="s">
        <v>5888</v>
      </c>
      <c r="H534" s="340" t="s">
        <v>816</v>
      </c>
      <c r="I534" s="340" t="s">
        <v>5888</v>
      </c>
      <c r="J534" s="340" t="s">
        <v>5888</v>
      </c>
      <c r="K534" s="340" t="s">
        <v>816</v>
      </c>
      <c r="L534" s="340" t="s">
        <v>816</v>
      </c>
      <c r="M534" s="340" t="s">
        <v>5888</v>
      </c>
      <c r="N534" s="340" t="s">
        <v>5888</v>
      </c>
      <c r="O534" s="340" t="s">
        <v>5888</v>
      </c>
      <c r="P534" s="340"/>
      <c r="Q534" s="342" t="s">
        <v>6033</v>
      </c>
      <c r="R534" s="45"/>
      <c r="S534" s="342"/>
    </row>
    <row r="535" spans="1:19">
      <c r="A535" s="350" t="s">
        <v>6715</v>
      </c>
      <c r="B535" s="340" t="s">
        <v>5888</v>
      </c>
      <c r="C535" s="340"/>
      <c r="D535" s="340" t="s">
        <v>5888</v>
      </c>
      <c r="E535" s="340" t="s">
        <v>816</v>
      </c>
      <c r="F535" s="340" t="s">
        <v>5888</v>
      </c>
      <c r="G535" s="340" t="s">
        <v>5888</v>
      </c>
      <c r="H535" s="340" t="s">
        <v>5888</v>
      </c>
      <c r="I535" s="340" t="s">
        <v>5888</v>
      </c>
      <c r="J535" s="340" t="s">
        <v>5888</v>
      </c>
      <c r="K535" s="340" t="s">
        <v>5888</v>
      </c>
      <c r="L535" s="340" t="s">
        <v>5888</v>
      </c>
      <c r="M535" s="340" t="s">
        <v>5888</v>
      </c>
      <c r="N535" s="340" t="s">
        <v>5888</v>
      </c>
      <c r="O535" s="340" t="s">
        <v>5888</v>
      </c>
      <c r="P535" s="340"/>
      <c r="Q535" s="45" t="s">
        <v>6032</v>
      </c>
      <c r="R535" s="45"/>
      <c r="S535" s="342"/>
    </row>
    <row r="536" spans="1:19">
      <c r="A536" s="341" t="s">
        <v>6031</v>
      </c>
      <c r="B536" s="340"/>
      <c r="C536" s="340"/>
      <c r="D536" s="340"/>
      <c r="E536" s="340" t="s">
        <v>816</v>
      </c>
      <c r="F536" s="340"/>
      <c r="G536" s="340"/>
      <c r="H536" s="340"/>
      <c r="I536" s="340"/>
      <c r="J536" s="340"/>
      <c r="K536" s="340"/>
      <c r="L536" s="340"/>
      <c r="M536" s="340"/>
      <c r="N536" s="340"/>
      <c r="O536" s="340"/>
      <c r="P536" s="340"/>
      <c r="Q536" s="342" t="s">
        <v>6030</v>
      </c>
      <c r="R536" s="45"/>
      <c r="S536" s="342"/>
    </row>
    <row r="537" spans="1:19">
      <c r="A537" s="341" t="s">
        <v>5863</v>
      </c>
      <c r="B537" s="340"/>
      <c r="C537" s="340"/>
      <c r="D537" s="340"/>
      <c r="E537" s="340" t="s">
        <v>816</v>
      </c>
      <c r="F537" s="340"/>
      <c r="G537" s="340"/>
      <c r="H537" s="340"/>
      <c r="I537" s="340"/>
      <c r="J537" s="340"/>
      <c r="K537" s="340"/>
      <c r="L537" s="340"/>
      <c r="M537" s="340"/>
      <c r="N537" s="340"/>
      <c r="O537" s="340"/>
      <c r="P537" s="340"/>
      <c r="Q537" s="342" t="s">
        <v>6029</v>
      </c>
      <c r="R537" s="45"/>
      <c r="S537" s="342"/>
    </row>
    <row r="538" spans="1:19">
      <c r="A538" s="341" t="s">
        <v>1411</v>
      </c>
      <c r="B538" s="340" t="s">
        <v>816</v>
      </c>
      <c r="C538" s="340"/>
      <c r="D538" s="340" t="s">
        <v>5888</v>
      </c>
      <c r="E538" s="340" t="s">
        <v>5888</v>
      </c>
      <c r="F538" s="340" t="s">
        <v>5888</v>
      </c>
      <c r="G538" s="340" t="s">
        <v>5888</v>
      </c>
      <c r="H538" s="340" t="s">
        <v>5888</v>
      </c>
      <c r="I538" s="340" t="s">
        <v>5888</v>
      </c>
      <c r="J538" s="340" t="s">
        <v>5888</v>
      </c>
      <c r="K538" s="340" t="s">
        <v>5888</v>
      </c>
      <c r="L538" s="340" t="s">
        <v>5888</v>
      </c>
      <c r="M538" s="340" t="s">
        <v>816</v>
      </c>
      <c r="N538" s="340" t="s">
        <v>5888</v>
      </c>
      <c r="O538" s="340" t="s">
        <v>816</v>
      </c>
      <c r="P538" s="340"/>
      <c r="Q538" s="45" t="s">
        <v>6028</v>
      </c>
      <c r="R538" s="45"/>
      <c r="S538" s="342"/>
    </row>
    <row r="539" spans="1:19">
      <c r="A539" s="341" t="s">
        <v>1777</v>
      </c>
      <c r="B539" s="340" t="s">
        <v>5888</v>
      </c>
      <c r="C539" s="340"/>
      <c r="D539" s="340" t="s">
        <v>5888</v>
      </c>
      <c r="E539" s="340" t="s">
        <v>5888</v>
      </c>
      <c r="F539" s="340" t="s">
        <v>5888</v>
      </c>
      <c r="G539" s="340" t="s">
        <v>5888</v>
      </c>
      <c r="H539" s="340" t="s">
        <v>5888</v>
      </c>
      <c r="I539" s="340" t="s">
        <v>5888</v>
      </c>
      <c r="J539" s="340" t="s">
        <v>5888</v>
      </c>
      <c r="K539" s="340" t="s">
        <v>5888</v>
      </c>
      <c r="L539" s="340" t="s">
        <v>5888</v>
      </c>
      <c r="M539" s="340" t="s">
        <v>5888</v>
      </c>
      <c r="N539" s="340" t="s">
        <v>816</v>
      </c>
      <c r="O539" s="340" t="s">
        <v>5888</v>
      </c>
      <c r="P539" s="340"/>
      <c r="Q539" s="45" t="s">
        <v>6027</v>
      </c>
      <c r="R539" s="45"/>
      <c r="S539" s="342"/>
    </row>
    <row r="540" spans="1:19">
      <c r="A540" s="341" t="s">
        <v>1777</v>
      </c>
      <c r="B540" s="340" t="s">
        <v>5888</v>
      </c>
      <c r="C540" s="340"/>
      <c r="D540" s="340" t="s">
        <v>5888</v>
      </c>
      <c r="E540" s="340" t="s">
        <v>5888</v>
      </c>
      <c r="F540" s="340" t="s">
        <v>5888</v>
      </c>
      <c r="G540" s="340" t="s">
        <v>5888</v>
      </c>
      <c r="H540" s="340" t="s">
        <v>5888</v>
      </c>
      <c r="I540" s="340" t="s">
        <v>5888</v>
      </c>
      <c r="J540" s="340" t="s">
        <v>5888</v>
      </c>
      <c r="K540" s="340" t="s">
        <v>5888</v>
      </c>
      <c r="L540" s="340" t="s">
        <v>5888</v>
      </c>
      <c r="M540" s="340" t="s">
        <v>5888</v>
      </c>
      <c r="N540" s="340" t="s">
        <v>816</v>
      </c>
      <c r="O540" s="340" t="s">
        <v>5888</v>
      </c>
      <c r="P540" s="340"/>
      <c r="Q540" s="45" t="s">
        <v>6026</v>
      </c>
      <c r="R540" s="45"/>
      <c r="S540" s="342"/>
    </row>
    <row r="541" spans="1:19">
      <c r="A541" s="341" t="s">
        <v>3619</v>
      </c>
      <c r="B541" s="340" t="s">
        <v>5888</v>
      </c>
      <c r="C541" s="340"/>
      <c r="D541" s="340" t="s">
        <v>5888</v>
      </c>
      <c r="E541" s="340" t="s">
        <v>5888</v>
      </c>
      <c r="F541" s="340" t="s">
        <v>5888</v>
      </c>
      <c r="G541" s="340" t="s">
        <v>5888</v>
      </c>
      <c r="H541" s="340" t="s">
        <v>5888</v>
      </c>
      <c r="I541" s="340" t="s">
        <v>5888</v>
      </c>
      <c r="J541" s="340" t="s">
        <v>5888</v>
      </c>
      <c r="K541" s="340" t="s">
        <v>816</v>
      </c>
      <c r="L541" s="340" t="s">
        <v>5888</v>
      </c>
      <c r="M541" s="340" t="s">
        <v>816</v>
      </c>
      <c r="N541" s="340" t="s">
        <v>5888</v>
      </c>
      <c r="O541" s="340" t="s">
        <v>5888</v>
      </c>
      <c r="P541" s="340"/>
      <c r="Q541" s="45" t="s">
        <v>6025</v>
      </c>
      <c r="R541" s="45"/>
      <c r="S541" s="342"/>
    </row>
    <row r="542" spans="1:19">
      <c r="A542" s="341" t="s">
        <v>6024</v>
      </c>
      <c r="B542" s="340" t="s">
        <v>816</v>
      </c>
      <c r="C542" s="340"/>
      <c r="D542" s="340" t="s">
        <v>5888</v>
      </c>
      <c r="E542" s="340" t="s">
        <v>5888</v>
      </c>
      <c r="F542" s="340" t="s">
        <v>5888</v>
      </c>
      <c r="G542" s="340" t="s">
        <v>5888</v>
      </c>
      <c r="H542" s="340" t="s">
        <v>5888</v>
      </c>
      <c r="I542" s="340" t="s">
        <v>5888</v>
      </c>
      <c r="J542" s="340" t="s">
        <v>5888</v>
      </c>
      <c r="K542" s="340" t="s">
        <v>5888</v>
      </c>
      <c r="L542" s="340" t="s">
        <v>5888</v>
      </c>
      <c r="M542" s="340" t="s">
        <v>816</v>
      </c>
      <c r="N542" s="340" t="s">
        <v>5888</v>
      </c>
      <c r="O542" s="340" t="s">
        <v>816</v>
      </c>
      <c r="P542" s="340"/>
      <c r="Q542" s="45" t="s">
        <v>6023</v>
      </c>
      <c r="R542" s="45"/>
      <c r="S542" s="342"/>
    </row>
    <row r="543" spans="1:19">
      <c r="A543" s="341" t="s">
        <v>6022</v>
      </c>
      <c r="B543" s="340"/>
      <c r="C543" s="340"/>
      <c r="D543" s="340" t="s">
        <v>5888</v>
      </c>
      <c r="E543" s="340" t="s">
        <v>5888</v>
      </c>
      <c r="F543" s="340" t="s">
        <v>5888</v>
      </c>
      <c r="G543" s="340" t="s">
        <v>5888</v>
      </c>
      <c r="H543" s="340" t="s">
        <v>5888</v>
      </c>
      <c r="I543" s="340" t="s">
        <v>5888</v>
      </c>
      <c r="J543" s="340" t="s">
        <v>5888</v>
      </c>
      <c r="K543" s="340" t="s">
        <v>5888</v>
      </c>
      <c r="L543" s="340" t="s">
        <v>5888</v>
      </c>
      <c r="M543" s="340" t="s">
        <v>816</v>
      </c>
      <c r="N543" s="340" t="s">
        <v>5888</v>
      </c>
      <c r="O543" s="340" t="s">
        <v>816</v>
      </c>
      <c r="P543" s="340"/>
      <c r="Q543" s="45" t="s">
        <v>6021</v>
      </c>
      <c r="R543" s="45"/>
      <c r="S543" s="342"/>
    </row>
    <row r="544" spans="1:19">
      <c r="A544" s="341" t="s">
        <v>6020</v>
      </c>
      <c r="B544" s="340" t="s">
        <v>5888</v>
      </c>
      <c r="C544" s="340"/>
      <c r="D544" s="340" t="s">
        <v>5888</v>
      </c>
      <c r="E544" s="340" t="s">
        <v>5888</v>
      </c>
      <c r="F544" s="340" t="s">
        <v>5888</v>
      </c>
      <c r="G544" s="340" t="s">
        <v>5888</v>
      </c>
      <c r="H544" s="340" t="s">
        <v>5888</v>
      </c>
      <c r="I544" s="340" t="s">
        <v>816</v>
      </c>
      <c r="J544" s="340" t="s">
        <v>5888</v>
      </c>
      <c r="K544" s="340"/>
      <c r="L544" s="340" t="s">
        <v>5888</v>
      </c>
      <c r="M544" s="340" t="s">
        <v>5888</v>
      </c>
      <c r="N544" s="340" t="s">
        <v>5888</v>
      </c>
      <c r="O544" s="340" t="s">
        <v>5888</v>
      </c>
      <c r="P544" s="340"/>
      <c r="Q544" s="45" t="s">
        <v>6019</v>
      </c>
      <c r="R544" s="45"/>
      <c r="S544" s="342"/>
    </row>
    <row r="545" spans="1:19">
      <c r="A545" s="341" t="s">
        <v>6018</v>
      </c>
      <c r="B545" s="340" t="s">
        <v>5888</v>
      </c>
      <c r="C545" s="340"/>
      <c r="D545" s="340" t="s">
        <v>5888</v>
      </c>
      <c r="E545" s="340" t="s">
        <v>5888</v>
      </c>
      <c r="F545" s="340" t="s">
        <v>5888</v>
      </c>
      <c r="G545" s="340" t="s">
        <v>5888</v>
      </c>
      <c r="H545" s="340" t="s">
        <v>5888</v>
      </c>
      <c r="I545" s="340" t="s">
        <v>816</v>
      </c>
      <c r="J545" s="340" t="s">
        <v>5888</v>
      </c>
      <c r="K545" s="340"/>
      <c r="L545" s="340" t="s">
        <v>5888</v>
      </c>
      <c r="M545" s="340" t="s">
        <v>5888</v>
      </c>
      <c r="N545" s="340" t="s">
        <v>5888</v>
      </c>
      <c r="O545" s="340" t="s">
        <v>5888</v>
      </c>
      <c r="P545" s="340"/>
      <c r="Q545" s="342" t="s">
        <v>6017</v>
      </c>
      <c r="R545" s="45"/>
      <c r="S545" s="342"/>
    </row>
    <row r="546" spans="1:19">
      <c r="A546" s="341" t="s">
        <v>6016</v>
      </c>
      <c r="B546" s="340" t="s">
        <v>5888</v>
      </c>
      <c r="C546" s="340"/>
      <c r="D546" s="340" t="s">
        <v>5888</v>
      </c>
      <c r="E546" s="340" t="s">
        <v>5888</v>
      </c>
      <c r="F546" s="340" t="s">
        <v>5888</v>
      </c>
      <c r="G546" s="340" t="s">
        <v>816</v>
      </c>
      <c r="H546" s="340" t="s">
        <v>816</v>
      </c>
      <c r="I546" s="340" t="s">
        <v>5888</v>
      </c>
      <c r="J546" s="340" t="s">
        <v>816</v>
      </c>
      <c r="K546" s="340" t="s">
        <v>816</v>
      </c>
      <c r="L546" s="340" t="s">
        <v>816</v>
      </c>
      <c r="M546" s="340" t="s">
        <v>5888</v>
      </c>
      <c r="N546" s="340" t="s">
        <v>816</v>
      </c>
      <c r="O546" s="340" t="s">
        <v>5888</v>
      </c>
      <c r="P546" s="340"/>
      <c r="Q546" s="45" t="s">
        <v>6015</v>
      </c>
      <c r="R546" s="45"/>
      <c r="S546" s="342"/>
    </row>
    <row r="547" spans="1:19">
      <c r="A547" s="341" t="s">
        <v>6014</v>
      </c>
      <c r="B547" s="340" t="s">
        <v>5888</v>
      </c>
      <c r="C547" s="340"/>
      <c r="D547" s="340" t="s">
        <v>5888</v>
      </c>
      <c r="E547" s="340" t="s">
        <v>5888</v>
      </c>
      <c r="F547" s="340" t="s">
        <v>5888</v>
      </c>
      <c r="G547" s="340" t="s">
        <v>816</v>
      </c>
      <c r="H547" s="340" t="s">
        <v>816</v>
      </c>
      <c r="I547" s="340" t="s">
        <v>5888</v>
      </c>
      <c r="J547" s="340" t="s">
        <v>816</v>
      </c>
      <c r="K547" s="340" t="s">
        <v>816</v>
      </c>
      <c r="L547" s="340" t="s">
        <v>816</v>
      </c>
      <c r="M547" s="340" t="s">
        <v>5888</v>
      </c>
      <c r="N547" s="340" t="s">
        <v>816</v>
      </c>
      <c r="O547" s="340" t="s">
        <v>5888</v>
      </c>
      <c r="P547" s="340"/>
      <c r="Q547" s="343" t="s">
        <v>7772</v>
      </c>
      <c r="R547" s="45"/>
      <c r="S547" s="342"/>
    </row>
    <row r="548" spans="1:19">
      <c r="A548" s="341" t="s">
        <v>6672</v>
      </c>
      <c r="B548" s="340" t="s">
        <v>5888</v>
      </c>
      <c r="C548" s="340"/>
      <c r="D548" s="340" t="s">
        <v>5888</v>
      </c>
      <c r="E548" s="340" t="s">
        <v>5888</v>
      </c>
      <c r="F548" s="340" t="s">
        <v>5888</v>
      </c>
      <c r="G548" s="340" t="s">
        <v>816</v>
      </c>
      <c r="H548" s="340" t="s">
        <v>816</v>
      </c>
      <c r="I548" s="340" t="s">
        <v>5888</v>
      </c>
      <c r="J548" s="340" t="s">
        <v>816</v>
      </c>
      <c r="K548" s="340" t="s">
        <v>816</v>
      </c>
      <c r="L548" s="340" t="s">
        <v>816</v>
      </c>
      <c r="M548" s="340" t="s">
        <v>5888</v>
      </c>
      <c r="N548" s="340" t="s">
        <v>816</v>
      </c>
      <c r="O548" s="340" t="s">
        <v>5888</v>
      </c>
      <c r="P548" s="340"/>
      <c r="Q548" s="45" t="s">
        <v>6673</v>
      </c>
      <c r="R548" s="45" t="s">
        <v>6673</v>
      </c>
      <c r="S548" s="342"/>
    </row>
    <row r="549" spans="1:19">
      <c r="A549" s="341" t="s">
        <v>6013</v>
      </c>
      <c r="B549" s="340" t="s">
        <v>5888</v>
      </c>
      <c r="C549" s="340"/>
      <c r="D549" s="340" t="s">
        <v>5888</v>
      </c>
      <c r="E549" s="340" t="s">
        <v>816</v>
      </c>
      <c r="F549" s="340" t="s">
        <v>5888</v>
      </c>
      <c r="G549" s="340" t="s">
        <v>5888</v>
      </c>
      <c r="H549" s="340" t="s">
        <v>5888</v>
      </c>
      <c r="I549" s="340" t="s">
        <v>5888</v>
      </c>
      <c r="J549" s="340" t="s">
        <v>5888</v>
      </c>
      <c r="K549" s="340" t="s">
        <v>5888</v>
      </c>
      <c r="L549" s="340" t="s">
        <v>5888</v>
      </c>
      <c r="M549" s="340" t="s">
        <v>5888</v>
      </c>
      <c r="N549" s="340" t="s">
        <v>5888</v>
      </c>
      <c r="O549" s="340" t="s">
        <v>5888</v>
      </c>
      <c r="P549" s="340"/>
      <c r="Q549" s="45" t="s">
        <v>6012</v>
      </c>
      <c r="R549" s="45"/>
      <c r="S549" s="342"/>
    </row>
    <row r="550" spans="1:19">
      <c r="A550" s="341" t="s">
        <v>743</v>
      </c>
      <c r="B550" s="340"/>
      <c r="C550" s="340"/>
      <c r="D550" s="340"/>
      <c r="E550" s="340" t="s">
        <v>816</v>
      </c>
      <c r="F550" s="340"/>
      <c r="G550" s="340"/>
      <c r="H550" s="340"/>
      <c r="I550" s="340"/>
      <c r="J550" s="340"/>
      <c r="K550" s="340"/>
      <c r="L550" s="340"/>
      <c r="M550" s="340"/>
      <c r="N550" s="340"/>
      <c r="O550" s="340"/>
      <c r="P550" s="340"/>
      <c r="Q550" s="45" t="s">
        <v>6011</v>
      </c>
      <c r="R550" s="45"/>
      <c r="S550" s="342"/>
    </row>
    <row r="551" spans="1:19">
      <c r="A551" s="341" t="s">
        <v>6010</v>
      </c>
      <c r="B551" s="340" t="s">
        <v>5888</v>
      </c>
      <c r="C551" s="340"/>
      <c r="D551" s="340" t="s">
        <v>5888</v>
      </c>
      <c r="E551" s="340" t="s">
        <v>816</v>
      </c>
      <c r="F551" s="340" t="s">
        <v>5888</v>
      </c>
      <c r="G551" s="340" t="s">
        <v>5888</v>
      </c>
      <c r="H551" s="340" t="s">
        <v>5888</v>
      </c>
      <c r="I551" s="340" t="s">
        <v>5888</v>
      </c>
      <c r="J551" s="340" t="s">
        <v>5888</v>
      </c>
      <c r="K551" s="340" t="s">
        <v>5888</v>
      </c>
      <c r="L551" s="340" t="s">
        <v>5888</v>
      </c>
      <c r="M551" s="340" t="s">
        <v>5888</v>
      </c>
      <c r="N551" s="340" t="s">
        <v>5888</v>
      </c>
      <c r="O551" s="340" t="s">
        <v>5888</v>
      </c>
      <c r="P551" s="340"/>
      <c r="Q551" s="45" t="s">
        <v>6009</v>
      </c>
      <c r="R551" s="45"/>
      <c r="S551" s="342"/>
    </row>
    <row r="552" spans="1:19">
      <c r="A552" s="341" t="s">
        <v>8296</v>
      </c>
      <c r="B552" s="340"/>
      <c r="C552" s="340"/>
      <c r="D552" s="340"/>
      <c r="E552" s="340"/>
      <c r="F552" s="340"/>
      <c r="G552" s="340"/>
      <c r="H552" s="340"/>
      <c r="I552" s="340"/>
      <c r="J552" s="340"/>
      <c r="K552" s="340"/>
      <c r="L552" s="340"/>
      <c r="M552" s="340"/>
      <c r="N552" s="340"/>
      <c r="O552" s="340"/>
      <c r="P552" s="340" t="s">
        <v>816</v>
      </c>
      <c r="Q552" s="45" t="s">
        <v>8293</v>
      </c>
      <c r="R552" s="45"/>
      <c r="S552" s="342"/>
    </row>
    <row r="553" spans="1:19">
      <c r="A553" s="341" t="s">
        <v>6008</v>
      </c>
      <c r="B553" s="340" t="s">
        <v>5888</v>
      </c>
      <c r="C553" s="340"/>
      <c r="D553" s="340" t="s">
        <v>5888</v>
      </c>
      <c r="E553" s="340" t="s">
        <v>5888</v>
      </c>
      <c r="F553" s="340" t="s">
        <v>5888</v>
      </c>
      <c r="G553" s="340" t="s">
        <v>5888</v>
      </c>
      <c r="H553" s="340" t="s">
        <v>5888</v>
      </c>
      <c r="I553" s="340" t="s">
        <v>5888</v>
      </c>
      <c r="J553" s="340" t="s">
        <v>5888</v>
      </c>
      <c r="K553" s="340" t="s">
        <v>816</v>
      </c>
      <c r="L553" s="340" t="s">
        <v>5888</v>
      </c>
      <c r="M553" s="340" t="s">
        <v>5888</v>
      </c>
      <c r="N553" s="340" t="s">
        <v>816</v>
      </c>
      <c r="O553" s="340" t="s">
        <v>5888</v>
      </c>
      <c r="P553" s="340"/>
      <c r="Q553" s="45" t="s">
        <v>6007</v>
      </c>
      <c r="R553" s="45"/>
    </row>
    <row r="554" spans="1:19">
      <c r="A554" s="341" t="s">
        <v>8472</v>
      </c>
      <c r="B554" s="340"/>
      <c r="C554" s="340"/>
      <c r="D554" s="340"/>
      <c r="E554" s="340" t="s">
        <v>816</v>
      </c>
      <c r="F554" s="340"/>
      <c r="G554" s="340"/>
      <c r="H554" s="340"/>
      <c r="I554" s="340"/>
      <c r="J554" s="340"/>
      <c r="K554" s="340"/>
      <c r="L554" s="340"/>
      <c r="M554" s="340"/>
      <c r="N554" s="340"/>
      <c r="O554" s="340"/>
      <c r="P554" s="340"/>
      <c r="Q554" s="45" t="s">
        <v>8471</v>
      </c>
      <c r="R554" s="45"/>
    </row>
    <row r="555" spans="1:19">
      <c r="A555" s="341" t="s">
        <v>3416</v>
      </c>
      <c r="B555" s="340" t="s">
        <v>5888</v>
      </c>
      <c r="C555" s="340"/>
      <c r="D555" s="340" t="s">
        <v>816</v>
      </c>
      <c r="E555" s="340" t="s">
        <v>816</v>
      </c>
      <c r="F555" s="340" t="s">
        <v>5888</v>
      </c>
      <c r="G555" s="340" t="s">
        <v>5888</v>
      </c>
      <c r="H555" s="340" t="s">
        <v>5888</v>
      </c>
      <c r="I555" s="340" t="s">
        <v>5888</v>
      </c>
      <c r="J555" s="340" t="s">
        <v>5888</v>
      </c>
      <c r="K555" s="340" t="s">
        <v>5888</v>
      </c>
      <c r="L555" s="340" t="s">
        <v>5888</v>
      </c>
      <c r="M555" s="340" t="s">
        <v>5888</v>
      </c>
      <c r="N555" s="340" t="s">
        <v>5888</v>
      </c>
      <c r="O555" s="340" t="s">
        <v>5888</v>
      </c>
      <c r="P555" s="340"/>
      <c r="Q555" s="45" t="s">
        <v>6006</v>
      </c>
      <c r="R555" s="45"/>
      <c r="S555" s="342"/>
    </row>
    <row r="556" spans="1:19">
      <c r="A556" s="341" t="s">
        <v>6004</v>
      </c>
      <c r="B556" s="340"/>
      <c r="C556" s="340"/>
      <c r="D556" s="340"/>
      <c r="E556" s="340" t="s">
        <v>816</v>
      </c>
      <c r="F556" s="340"/>
      <c r="G556" s="340"/>
      <c r="H556" s="340"/>
      <c r="I556" s="340"/>
      <c r="J556" s="340"/>
      <c r="K556" s="340"/>
      <c r="L556" s="340"/>
      <c r="M556" s="340"/>
      <c r="N556" s="340"/>
      <c r="O556" s="340"/>
      <c r="P556" s="340"/>
      <c r="Q556" s="342" t="s">
        <v>6005</v>
      </c>
      <c r="R556" s="45"/>
      <c r="S556" s="342"/>
    </row>
    <row r="557" spans="1:19">
      <c r="A557" s="341" t="s">
        <v>6004</v>
      </c>
      <c r="B557" s="340"/>
      <c r="C557" s="340"/>
      <c r="D557" s="340"/>
      <c r="E557" s="340" t="s">
        <v>816</v>
      </c>
      <c r="F557" s="340"/>
      <c r="G557" s="340"/>
      <c r="H557" s="340"/>
      <c r="I557" s="340"/>
      <c r="J557" s="340"/>
      <c r="K557" s="340"/>
      <c r="L557" s="340"/>
      <c r="M557" s="340"/>
      <c r="N557" s="340"/>
      <c r="O557" s="340"/>
      <c r="P557" s="340"/>
      <c r="Q557" s="45" t="s">
        <v>6003</v>
      </c>
      <c r="R557" s="45"/>
      <c r="S557" s="342"/>
    </row>
    <row r="558" spans="1:19">
      <c r="A558" s="341" t="s">
        <v>5991</v>
      </c>
      <c r="B558" s="340"/>
      <c r="C558" s="340"/>
      <c r="D558" s="340"/>
      <c r="E558" s="340" t="s">
        <v>816</v>
      </c>
      <c r="F558" s="340"/>
      <c r="G558" s="340"/>
      <c r="H558" s="340"/>
      <c r="I558" s="340"/>
      <c r="J558" s="340"/>
      <c r="K558" s="340"/>
      <c r="L558" s="340"/>
      <c r="M558" s="340"/>
      <c r="N558" s="340"/>
      <c r="O558" s="340"/>
      <c r="P558" s="340"/>
      <c r="Q558" s="45" t="s">
        <v>6002</v>
      </c>
      <c r="R558" s="45"/>
      <c r="S558" s="342"/>
    </row>
    <row r="559" spans="1:19">
      <c r="A559" s="341" t="s">
        <v>5991</v>
      </c>
      <c r="B559" s="340"/>
      <c r="C559" s="340"/>
      <c r="D559" s="340"/>
      <c r="E559" s="340" t="s">
        <v>816</v>
      </c>
      <c r="F559" s="340"/>
      <c r="G559" s="340"/>
      <c r="H559" s="340"/>
      <c r="I559" s="340"/>
      <c r="J559" s="340"/>
      <c r="K559" s="340"/>
      <c r="L559" s="340"/>
      <c r="M559" s="340"/>
      <c r="N559" s="340"/>
      <c r="O559" s="340"/>
      <c r="P559" s="340"/>
      <c r="Q559" s="45" t="s">
        <v>6001</v>
      </c>
      <c r="R559" s="45"/>
    </row>
    <row r="560" spans="1:19">
      <c r="A560" s="341" t="s">
        <v>5991</v>
      </c>
      <c r="B560" s="340"/>
      <c r="C560" s="340" t="s">
        <v>816</v>
      </c>
      <c r="D560" s="340"/>
      <c r="E560" s="340"/>
      <c r="F560" s="340"/>
      <c r="G560" s="340"/>
      <c r="H560" s="340"/>
      <c r="I560" s="340"/>
      <c r="J560" s="340"/>
      <c r="K560" s="340"/>
      <c r="L560" s="340"/>
      <c r="M560" s="340"/>
      <c r="N560" s="340"/>
      <c r="O560" s="340"/>
      <c r="P560" s="340"/>
      <c r="Q560" s="342"/>
      <c r="R560" s="45" t="s">
        <v>6000</v>
      </c>
      <c r="S560" s="65" t="s">
        <v>7057</v>
      </c>
    </row>
    <row r="561" spans="1:19">
      <c r="A561" s="341" t="s">
        <v>5991</v>
      </c>
      <c r="B561" s="340"/>
      <c r="C561" s="340"/>
      <c r="D561" s="340"/>
      <c r="E561" s="340" t="s">
        <v>816</v>
      </c>
      <c r="F561" s="340"/>
      <c r="G561" s="340"/>
      <c r="H561" s="340"/>
      <c r="I561" s="340"/>
      <c r="J561" s="340"/>
      <c r="K561" s="340"/>
      <c r="L561" s="340"/>
      <c r="M561" s="340"/>
      <c r="N561" s="340"/>
      <c r="O561" s="340"/>
      <c r="P561" s="340"/>
      <c r="Q561" s="45" t="s">
        <v>5999</v>
      </c>
      <c r="R561" s="45"/>
    </row>
    <row r="562" spans="1:19">
      <c r="A562" s="341" t="s">
        <v>5991</v>
      </c>
      <c r="B562" s="340"/>
      <c r="C562" s="340"/>
      <c r="D562" s="340"/>
      <c r="E562" s="340" t="s">
        <v>816</v>
      </c>
      <c r="F562" s="340"/>
      <c r="G562" s="340"/>
      <c r="H562" s="340"/>
      <c r="I562" s="340"/>
      <c r="J562" s="340"/>
      <c r="K562" s="340"/>
      <c r="L562" s="340"/>
      <c r="M562" s="340"/>
      <c r="N562" s="340"/>
      <c r="O562" s="340"/>
      <c r="P562" s="340"/>
      <c r="Q562" s="45" t="s">
        <v>5998</v>
      </c>
      <c r="R562" s="45"/>
    </row>
    <row r="563" spans="1:19">
      <c r="A563" s="341" t="s">
        <v>5991</v>
      </c>
      <c r="B563" s="340"/>
      <c r="C563" s="340"/>
      <c r="D563" s="340"/>
      <c r="E563" s="340" t="s">
        <v>816</v>
      </c>
      <c r="F563" s="340"/>
      <c r="G563" s="340"/>
      <c r="H563" s="340"/>
      <c r="I563" s="340"/>
      <c r="J563" s="340"/>
      <c r="K563" s="340"/>
      <c r="L563" s="340"/>
      <c r="M563" s="340"/>
      <c r="N563" s="340"/>
      <c r="O563" s="340"/>
      <c r="P563" s="340"/>
      <c r="Q563" s="45" t="s">
        <v>5997</v>
      </c>
      <c r="R563" s="45"/>
    </row>
    <row r="564" spans="1:19">
      <c r="A564" s="341" t="s">
        <v>5991</v>
      </c>
      <c r="B564" s="340"/>
      <c r="C564" s="340"/>
      <c r="D564" s="340"/>
      <c r="E564" s="340" t="s">
        <v>816</v>
      </c>
      <c r="F564" s="340"/>
      <c r="G564" s="340"/>
      <c r="H564" s="340"/>
      <c r="I564" s="340"/>
      <c r="J564" s="340"/>
      <c r="K564" s="340"/>
      <c r="L564" s="340"/>
      <c r="M564" s="340"/>
      <c r="N564" s="340"/>
      <c r="O564" s="340"/>
      <c r="P564" s="340"/>
      <c r="Q564" s="45" t="s">
        <v>5996</v>
      </c>
      <c r="R564" s="45"/>
    </row>
    <row r="565" spans="1:19">
      <c r="A565" s="341" t="s">
        <v>5991</v>
      </c>
      <c r="B565" s="340"/>
      <c r="C565" s="340"/>
      <c r="D565" s="340"/>
      <c r="E565" s="340" t="s">
        <v>816</v>
      </c>
      <c r="F565" s="340"/>
      <c r="G565" s="340"/>
      <c r="H565" s="340"/>
      <c r="I565" s="340"/>
      <c r="J565" s="340"/>
      <c r="K565" s="340"/>
      <c r="L565" s="340"/>
      <c r="M565" s="340"/>
      <c r="N565" s="340"/>
      <c r="O565" s="340"/>
      <c r="P565" s="340"/>
      <c r="Q565" s="342" t="s">
        <v>5995</v>
      </c>
      <c r="R565" s="45"/>
    </row>
    <row r="566" spans="1:19">
      <c r="A566" s="341" t="s">
        <v>5991</v>
      </c>
      <c r="B566" s="340"/>
      <c r="C566" s="340" t="s">
        <v>816</v>
      </c>
      <c r="D566" s="340"/>
      <c r="E566" s="340"/>
      <c r="F566" s="340"/>
      <c r="G566" s="340"/>
      <c r="H566" s="340"/>
      <c r="I566" s="340"/>
      <c r="J566" s="340"/>
      <c r="K566" s="340"/>
      <c r="L566" s="340"/>
      <c r="M566" s="340"/>
      <c r="N566" s="340"/>
      <c r="O566" s="340"/>
      <c r="P566" s="340"/>
      <c r="Q566" s="45"/>
      <c r="R566" s="45" t="s">
        <v>5994</v>
      </c>
      <c r="S566" s="65" t="s">
        <v>7057</v>
      </c>
    </row>
    <row r="567" spans="1:19">
      <c r="A567" s="341" t="s">
        <v>5991</v>
      </c>
      <c r="B567" s="340"/>
      <c r="C567" s="340" t="s">
        <v>816</v>
      </c>
      <c r="D567" s="340"/>
      <c r="E567" s="340"/>
      <c r="F567" s="340"/>
      <c r="G567" s="340"/>
      <c r="H567" s="340"/>
      <c r="I567" s="340"/>
      <c r="J567" s="340"/>
      <c r="K567" s="340"/>
      <c r="L567" s="340"/>
      <c r="M567" s="340"/>
      <c r="N567" s="340"/>
      <c r="O567" s="340"/>
      <c r="P567" s="340"/>
      <c r="Q567" s="342"/>
      <c r="R567" s="45" t="s">
        <v>5993</v>
      </c>
      <c r="S567" s="65" t="s">
        <v>7057</v>
      </c>
    </row>
    <row r="568" spans="1:19">
      <c r="A568" s="341" t="s">
        <v>5991</v>
      </c>
      <c r="B568" s="340"/>
      <c r="C568" s="340"/>
      <c r="D568" s="340"/>
      <c r="E568" s="340" t="s">
        <v>816</v>
      </c>
      <c r="F568" s="340"/>
      <c r="G568" s="340"/>
      <c r="H568" s="340"/>
      <c r="I568" s="340"/>
      <c r="J568" s="340"/>
      <c r="K568" s="340"/>
      <c r="L568" s="340"/>
      <c r="M568" s="340"/>
      <c r="N568" s="340"/>
      <c r="O568" s="340"/>
      <c r="P568" s="340"/>
      <c r="Q568" s="45" t="s">
        <v>5992</v>
      </c>
      <c r="R568" s="45"/>
    </row>
    <row r="569" spans="1:19">
      <c r="A569" s="341" t="s">
        <v>5991</v>
      </c>
      <c r="B569" s="340"/>
      <c r="C569" s="340"/>
      <c r="D569" s="340"/>
      <c r="E569" s="340" t="s">
        <v>816</v>
      </c>
      <c r="F569" s="340"/>
      <c r="G569" s="340"/>
      <c r="H569" s="340"/>
      <c r="I569" s="340"/>
      <c r="J569" s="340"/>
      <c r="K569" s="340"/>
      <c r="L569" s="340"/>
      <c r="M569" s="340"/>
      <c r="N569" s="340"/>
      <c r="O569" s="340"/>
      <c r="P569" s="340"/>
      <c r="Q569" s="342" t="s">
        <v>5990</v>
      </c>
      <c r="R569" s="45"/>
    </row>
    <row r="570" spans="1:19">
      <c r="A570" s="341" t="s">
        <v>1636</v>
      </c>
      <c r="B570" s="340" t="s">
        <v>5888</v>
      </c>
      <c r="C570" s="340"/>
      <c r="D570" s="340" t="s">
        <v>5888</v>
      </c>
      <c r="E570" s="340" t="s">
        <v>5888</v>
      </c>
      <c r="F570" s="340" t="s">
        <v>5888</v>
      </c>
      <c r="G570" s="340" t="s">
        <v>816</v>
      </c>
      <c r="H570" s="340" t="s">
        <v>5888</v>
      </c>
      <c r="I570" s="340" t="s">
        <v>5888</v>
      </c>
      <c r="J570" s="340" t="s">
        <v>5888</v>
      </c>
      <c r="K570" s="340" t="s">
        <v>816</v>
      </c>
      <c r="L570" s="340" t="s">
        <v>5888</v>
      </c>
      <c r="M570" s="340" t="s">
        <v>5888</v>
      </c>
      <c r="N570" s="340" t="s">
        <v>5888</v>
      </c>
      <c r="O570" s="340" t="s">
        <v>5888</v>
      </c>
      <c r="P570" s="340"/>
      <c r="Q570" s="45" t="s">
        <v>5989</v>
      </c>
      <c r="R570" s="45"/>
    </row>
    <row r="571" spans="1:19">
      <c r="A571" s="341" t="s">
        <v>5988</v>
      </c>
      <c r="B571" s="340" t="s">
        <v>5888</v>
      </c>
      <c r="C571" s="340"/>
      <c r="D571" s="340" t="s">
        <v>5888</v>
      </c>
      <c r="E571" s="340" t="s">
        <v>5888</v>
      </c>
      <c r="F571" s="340" t="s">
        <v>5888</v>
      </c>
      <c r="G571" s="340" t="s">
        <v>5888</v>
      </c>
      <c r="H571" s="340" t="s">
        <v>816</v>
      </c>
      <c r="I571" s="340" t="s">
        <v>5888</v>
      </c>
      <c r="J571" s="340" t="s">
        <v>816</v>
      </c>
      <c r="K571" s="340" t="s">
        <v>816</v>
      </c>
      <c r="L571" s="340" t="s">
        <v>816</v>
      </c>
      <c r="M571" s="340" t="s">
        <v>816</v>
      </c>
      <c r="N571" s="340" t="s">
        <v>5888</v>
      </c>
      <c r="O571" s="340" t="s">
        <v>5888</v>
      </c>
      <c r="P571" s="340"/>
      <c r="Q571" s="342" t="s">
        <v>5987</v>
      </c>
      <c r="R571" s="45"/>
    </row>
    <row r="572" spans="1:19">
      <c r="A572" s="341" t="s">
        <v>1475</v>
      </c>
      <c r="B572" s="340" t="s">
        <v>5888</v>
      </c>
      <c r="C572" s="340"/>
      <c r="D572" s="340" t="s">
        <v>5888</v>
      </c>
      <c r="E572" s="340" t="s">
        <v>5888</v>
      </c>
      <c r="F572" s="340" t="s">
        <v>5888</v>
      </c>
      <c r="G572" s="340" t="s">
        <v>5888</v>
      </c>
      <c r="H572" s="340" t="s">
        <v>5888</v>
      </c>
      <c r="I572" s="340" t="s">
        <v>5888</v>
      </c>
      <c r="J572" s="340" t="s">
        <v>5888</v>
      </c>
      <c r="K572" s="340" t="s">
        <v>816</v>
      </c>
      <c r="L572" s="340" t="s">
        <v>5888</v>
      </c>
      <c r="M572" s="340" t="s">
        <v>5888</v>
      </c>
      <c r="N572" s="340" t="s">
        <v>5888</v>
      </c>
      <c r="O572" s="340" t="s">
        <v>5888</v>
      </c>
      <c r="P572" s="340"/>
      <c r="Q572" s="342" t="s">
        <v>5986</v>
      </c>
      <c r="R572" s="45"/>
    </row>
    <row r="573" spans="1:19">
      <c r="A573" s="341" t="s">
        <v>5985</v>
      </c>
      <c r="B573" s="340" t="s">
        <v>5888</v>
      </c>
      <c r="C573" s="340"/>
      <c r="D573" s="340" t="s">
        <v>5888</v>
      </c>
      <c r="E573" s="340" t="s">
        <v>5888</v>
      </c>
      <c r="F573" s="340" t="s">
        <v>5888</v>
      </c>
      <c r="G573" s="340" t="s">
        <v>5888</v>
      </c>
      <c r="H573" s="340" t="s">
        <v>5888</v>
      </c>
      <c r="I573" s="340" t="s">
        <v>5888</v>
      </c>
      <c r="J573" s="340" t="s">
        <v>5888</v>
      </c>
      <c r="K573" s="340" t="s">
        <v>816</v>
      </c>
      <c r="L573" s="340" t="s">
        <v>5888</v>
      </c>
      <c r="M573" s="340" t="s">
        <v>5888</v>
      </c>
      <c r="N573" s="340" t="s">
        <v>5888</v>
      </c>
      <c r="O573" s="340" t="s">
        <v>5888</v>
      </c>
      <c r="P573" s="340"/>
      <c r="Q573" s="45" t="s">
        <v>5984</v>
      </c>
      <c r="R573" s="45"/>
      <c r="S573" s="342"/>
    </row>
    <row r="574" spans="1:19">
      <c r="A574" s="341" t="s">
        <v>5983</v>
      </c>
      <c r="B574" s="340" t="s">
        <v>5888</v>
      </c>
      <c r="C574" s="340"/>
      <c r="D574" s="340" t="s">
        <v>5888</v>
      </c>
      <c r="E574" s="340" t="s">
        <v>5888</v>
      </c>
      <c r="F574" s="340" t="s">
        <v>5888</v>
      </c>
      <c r="G574" s="340" t="s">
        <v>5888</v>
      </c>
      <c r="H574" s="340" t="s">
        <v>5888</v>
      </c>
      <c r="I574" s="340" t="s">
        <v>5888</v>
      </c>
      <c r="J574" s="340" t="s">
        <v>5888</v>
      </c>
      <c r="K574" s="340" t="s">
        <v>816</v>
      </c>
      <c r="L574" s="340" t="s">
        <v>5888</v>
      </c>
      <c r="M574" s="340" t="s">
        <v>5888</v>
      </c>
      <c r="N574" s="340" t="s">
        <v>5888</v>
      </c>
      <c r="O574" s="340" t="s">
        <v>5888</v>
      </c>
      <c r="P574" s="340"/>
      <c r="Q574" s="45" t="s">
        <v>5982</v>
      </c>
      <c r="R574" s="45"/>
      <c r="S574" s="342"/>
    </row>
    <row r="575" spans="1:19">
      <c r="A575" s="341" t="s">
        <v>10133</v>
      </c>
      <c r="B575" s="340" t="s">
        <v>5888</v>
      </c>
      <c r="C575" s="340"/>
      <c r="D575" s="340" t="s">
        <v>5888</v>
      </c>
      <c r="E575" s="340" t="s">
        <v>5888</v>
      </c>
      <c r="F575" s="340" t="s">
        <v>5888</v>
      </c>
      <c r="G575" s="340" t="s">
        <v>5888</v>
      </c>
      <c r="H575" s="340" t="s">
        <v>5888</v>
      </c>
      <c r="I575" s="340" t="s">
        <v>5888</v>
      </c>
      <c r="J575" s="340" t="s">
        <v>5888</v>
      </c>
      <c r="K575" s="340" t="s">
        <v>5888</v>
      </c>
      <c r="L575" s="340" t="s">
        <v>5888</v>
      </c>
      <c r="M575" s="340" t="s">
        <v>816</v>
      </c>
      <c r="N575" s="340" t="s">
        <v>5888</v>
      </c>
      <c r="O575" s="340" t="s">
        <v>5888</v>
      </c>
      <c r="P575" s="340"/>
      <c r="Q575" s="45" t="s">
        <v>5981</v>
      </c>
      <c r="R575" s="45"/>
      <c r="S575" s="342"/>
    </row>
    <row r="576" spans="1:19">
      <c r="A576" s="341" t="s">
        <v>10133</v>
      </c>
      <c r="B576" s="340" t="s">
        <v>5888</v>
      </c>
      <c r="C576" s="340"/>
      <c r="D576" s="340" t="s">
        <v>5888</v>
      </c>
      <c r="E576" s="340" t="s">
        <v>5888</v>
      </c>
      <c r="F576" s="340" t="s">
        <v>5888</v>
      </c>
      <c r="G576" s="340" t="s">
        <v>5888</v>
      </c>
      <c r="H576" s="340" t="s">
        <v>5888</v>
      </c>
      <c r="I576" s="340" t="s">
        <v>5888</v>
      </c>
      <c r="J576" s="340" t="s">
        <v>5888</v>
      </c>
      <c r="K576" s="340" t="s">
        <v>5888</v>
      </c>
      <c r="L576" s="340" t="s">
        <v>5888</v>
      </c>
      <c r="M576" s="340" t="s">
        <v>816</v>
      </c>
      <c r="N576" s="340" t="s">
        <v>5888</v>
      </c>
      <c r="O576" s="340" t="s">
        <v>5888</v>
      </c>
      <c r="P576" s="340"/>
      <c r="Q576" s="343" t="s">
        <v>5980</v>
      </c>
      <c r="R576" s="45"/>
      <c r="S576" s="342"/>
    </row>
    <row r="577" spans="1:19">
      <c r="A577" s="341" t="s">
        <v>5979</v>
      </c>
      <c r="B577" s="340"/>
      <c r="C577" s="340"/>
      <c r="D577" s="340"/>
      <c r="E577" s="340" t="s">
        <v>816</v>
      </c>
      <c r="F577" s="340"/>
      <c r="G577" s="340"/>
      <c r="H577" s="340"/>
      <c r="I577" s="340"/>
      <c r="J577" s="340"/>
      <c r="K577" s="340"/>
      <c r="L577" s="340"/>
      <c r="M577" s="340"/>
      <c r="N577" s="340"/>
      <c r="O577" s="340"/>
      <c r="P577" s="340"/>
      <c r="Q577" s="45" t="s">
        <v>5978</v>
      </c>
      <c r="R577" s="45"/>
      <c r="S577" s="342"/>
    </row>
    <row r="578" spans="1:19">
      <c r="A578" s="341" t="s">
        <v>8917</v>
      </c>
      <c r="B578" s="340"/>
      <c r="C578" s="340"/>
      <c r="D578" s="340"/>
      <c r="E578" s="340" t="s">
        <v>816</v>
      </c>
      <c r="F578" s="340"/>
      <c r="G578" s="340" t="s">
        <v>816</v>
      </c>
      <c r="H578" s="340" t="s">
        <v>816</v>
      </c>
      <c r="I578" s="340" t="s">
        <v>816</v>
      </c>
      <c r="J578" s="340"/>
      <c r="K578" s="340" t="s">
        <v>816</v>
      </c>
      <c r="L578" s="340"/>
      <c r="M578" s="340"/>
      <c r="N578" s="340"/>
      <c r="O578" s="340"/>
      <c r="P578" s="340"/>
      <c r="Q578" s="387" t="s">
        <v>8934</v>
      </c>
      <c r="R578" s="342"/>
      <c r="S578" s="342"/>
    </row>
    <row r="579" spans="1:19">
      <c r="A579" s="341" t="s">
        <v>7343</v>
      </c>
      <c r="B579" s="340"/>
      <c r="C579" s="340"/>
      <c r="D579" s="340"/>
      <c r="E579" s="340" t="s">
        <v>816</v>
      </c>
      <c r="F579" s="340"/>
      <c r="G579" s="340"/>
      <c r="H579" s="340"/>
      <c r="I579" s="340"/>
      <c r="J579" s="340"/>
      <c r="K579" s="340"/>
      <c r="L579" s="340"/>
      <c r="M579" s="340"/>
      <c r="N579" s="340"/>
      <c r="O579" s="340"/>
      <c r="P579" s="340"/>
      <c r="Q579" s="342" t="s">
        <v>5977</v>
      </c>
      <c r="R579" s="45"/>
      <c r="S579" s="342"/>
    </row>
    <row r="580" spans="1:19">
      <c r="A580" s="341" t="s">
        <v>5976</v>
      </c>
      <c r="B580" s="340" t="s">
        <v>5888</v>
      </c>
      <c r="C580" s="340"/>
      <c r="D580" s="340" t="s">
        <v>5888</v>
      </c>
      <c r="E580" s="340" t="s">
        <v>5888</v>
      </c>
      <c r="F580" s="340" t="s">
        <v>5888</v>
      </c>
      <c r="G580" s="340" t="s">
        <v>5888</v>
      </c>
      <c r="H580" s="340" t="s">
        <v>5888</v>
      </c>
      <c r="I580" s="340" t="s">
        <v>5888</v>
      </c>
      <c r="J580" s="340" t="s">
        <v>816</v>
      </c>
      <c r="K580" s="340" t="s">
        <v>816</v>
      </c>
      <c r="L580" s="340" t="s">
        <v>5888</v>
      </c>
      <c r="M580" s="340" t="s">
        <v>5888</v>
      </c>
      <c r="N580" s="340" t="s">
        <v>5888</v>
      </c>
      <c r="O580" s="340" t="s">
        <v>5888</v>
      </c>
      <c r="P580" s="340"/>
      <c r="Q580" s="387" t="s">
        <v>8691</v>
      </c>
      <c r="R580" s="45"/>
      <c r="S580" s="342"/>
    </row>
    <row r="581" spans="1:19">
      <c r="A581" s="341" t="s">
        <v>7516</v>
      </c>
      <c r="B581" s="340" t="s">
        <v>5888</v>
      </c>
      <c r="C581" s="340"/>
      <c r="D581" s="340" t="s">
        <v>5888</v>
      </c>
      <c r="E581" s="340" t="s">
        <v>5888</v>
      </c>
      <c r="F581" s="340" t="s">
        <v>5888</v>
      </c>
      <c r="G581" s="340" t="s">
        <v>5888</v>
      </c>
      <c r="H581" s="340" t="s">
        <v>5888</v>
      </c>
      <c r="I581" s="340" t="s">
        <v>5888</v>
      </c>
      <c r="J581" s="340" t="s">
        <v>816</v>
      </c>
      <c r="K581" s="340" t="s">
        <v>816</v>
      </c>
      <c r="L581" s="340" t="s">
        <v>5888</v>
      </c>
      <c r="M581" s="340" t="s">
        <v>5888</v>
      </c>
      <c r="N581" s="340" t="s">
        <v>5888</v>
      </c>
      <c r="O581" s="340" t="s">
        <v>5888</v>
      </c>
      <c r="P581" s="340"/>
      <c r="Q581" s="343" t="s">
        <v>7520</v>
      </c>
      <c r="R581" s="45"/>
    </row>
    <row r="582" spans="1:19">
      <c r="A582" s="341" t="s">
        <v>8685</v>
      </c>
      <c r="B582" s="340" t="s">
        <v>5888</v>
      </c>
      <c r="C582" s="340"/>
      <c r="D582" s="340" t="s">
        <v>5888</v>
      </c>
      <c r="E582" s="340" t="s">
        <v>5888</v>
      </c>
      <c r="F582" s="340" t="s">
        <v>5888</v>
      </c>
      <c r="G582" s="340" t="s">
        <v>5888</v>
      </c>
      <c r="H582" s="340" t="s">
        <v>5888</v>
      </c>
      <c r="I582" s="340" t="s">
        <v>5888</v>
      </c>
      <c r="J582" s="340"/>
      <c r="K582" s="340" t="s">
        <v>816</v>
      </c>
      <c r="L582" s="340" t="s">
        <v>5888</v>
      </c>
      <c r="M582" s="340" t="s">
        <v>5888</v>
      </c>
      <c r="N582" s="340" t="s">
        <v>5888</v>
      </c>
      <c r="O582" s="340" t="s">
        <v>5888</v>
      </c>
      <c r="P582" s="340"/>
      <c r="Q582" s="343" t="s">
        <v>8686</v>
      </c>
      <c r="R582" s="45"/>
    </row>
    <row r="583" spans="1:19">
      <c r="A583" s="341" t="s">
        <v>6819</v>
      </c>
      <c r="B583" s="340"/>
      <c r="C583" s="340"/>
      <c r="D583" s="340" t="s">
        <v>816</v>
      </c>
      <c r="E583" s="340"/>
      <c r="F583" s="340"/>
      <c r="G583" s="340"/>
      <c r="H583" s="340"/>
      <c r="I583" s="340"/>
      <c r="J583" s="340"/>
      <c r="K583" s="340"/>
      <c r="L583" s="340"/>
      <c r="M583" s="340"/>
      <c r="N583" s="340"/>
      <c r="O583" s="340"/>
      <c r="P583" s="340"/>
      <c r="Q583" s="45" t="s">
        <v>6820</v>
      </c>
      <c r="R583" s="45"/>
      <c r="S583" s="342"/>
    </row>
    <row r="584" spans="1:19">
      <c r="A584" s="341" t="s">
        <v>5975</v>
      </c>
      <c r="B584" s="340" t="s">
        <v>5888</v>
      </c>
      <c r="C584" s="340"/>
      <c r="D584" s="340" t="s">
        <v>5888</v>
      </c>
      <c r="E584" s="340" t="s">
        <v>5888</v>
      </c>
      <c r="F584" s="340" t="s">
        <v>5888</v>
      </c>
      <c r="G584" s="340" t="s">
        <v>5888</v>
      </c>
      <c r="H584" s="340" t="s">
        <v>5888</v>
      </c>
      <c r="I584" s="340" t="s">
        <v>5888</v>
      </c>
      <c r="J584" s="340" t="s">
        <v>5888</v>
      </c>
      <c r="K584" s="340" t="s">
        <v>816</v>
      </c>
      <c r="L584" s="340" t="s">
        <v>5888</v>
      </c>
      <c r="M584" s="340" t="s">
        <v>5888</v>
      </c>
      <c r="N584" s="340" t="s">
        <v>5888</v>
      </c>
      <c r="O584" s="340" t="s">
        <v>5888</v>
      </c>
      <c r="P584" s="340"/>
      <c r="Q584" s="45" t="s">
        <v>5974</v>
      </c>
      <c r="R584" s="45"/>
    </row>
    <row r="585" spans="1:19">
      <c r="A585" s="341" t="s">
        <v>5973</v>
      </c>
      <c r="B585" s="340"/>
      <c r="C585" s="340"/>
      <c r="D585" s="340"/>
      <c r="E585" s="340" t="s">
        <v>816</v>
      </c>
      <c r="F585" s="340"/>
      <c r="G585" s="340"/>
      <c r="H585" s="340"/>
      <c r="I585" s="340"/>
      <c r="J585" s="340"/>
      <c r="K585" s="340"/>
      <c r="L585" s="340"/>
      <c r="M585" s="340"/>
      <c r="N585" s="340"/>
      <c r="O585" s="340"/>
      <c r="P585" s="340"/>
      <c r="Q585" s="45" t="s">
        <v>5972</v>
      </c>
      <c r="R585" s="45"/>
      <c r="S585" s="342"/>
    </row>
    <row r="586" spans="1:19">
      <c r="A586" s="341" t="s">
        <v>3601</v>
      </c>
      <c r="B586" s="340"/>
      <c r="C586" s="340"/>
      <c r="D586" s="340"/>
      <c r="E586" s="340" t="s">
        <v>816</v>
      </c>
      <c r="F586" s="340"/>
      <c r="G586" s="340"/>
      <c r="H586" s="340"/>
      <c r="I586" s="340"/>
      <c r="J586" s="340"/>
      <c r="K586" s="340"/>
      <c r="L586" s="340"/>
      <c r="M586" s="340"/>
      <c r="N586" s="340"/>
      <c r="O586" s="340"/>
      <c r="P586" s="340"/>
      <c r="Q586" s="45" t="s">
        <v>5971</v>
      </c>
      <c r="R586" s="45"/>
    </row>
    <row r="587" spans="1:19">
      <c r="A587" s="341" t="s">
        <v>3601</v>
      </c>
      <c r="B587" s="340"/>
      <c r="C587" s="340"/>
      <c r="D587" s="340"/>
      <c r="E587" s="340" t="s">
        <v>816</v>
      </c>
      <c r="F587" s="340"/>
      <c r="G587" s="340" t="s">
        <v>816</v>
      </c>
      <c r="H587" s="340"/>
      <c r="I587" s="340"/>
      <c r="J587" s="340"/>
      <c r="K587" s="340" t="s">
        <v>816</v>
      </c>
      <c r="L587" s="340"/>
      <c r="M587" s="340"/>
      <c r="N587" s="340"/>
      <c r="O587" s="340"/>
      <c r="P587" s="340"/>
      <c r="Q587" s="45" t="s">
        <v>7181</v>
      </c>
      <c r="R587" s="45"/>
      <c r="S587" s="342"/>
    </row>
    <row r="588" spans="1:19">
      <c r="A588" s="341" t="s">
        <v>3601</v>
      </c>
      <c r="B588" s="340"/>
      <c r="C588" s="340"/>
      <c r="D588" s="340"/>
      <c r="E588" s="340" t="s">
        <v>816</v>
      </c>
      <c r="F588" s="340"/>
      <c r="G588" s="340" t="s">
        <v>816</v>
      </c>
      <c r="H588" s="340"/>
      <c r="I588" s="340"/>
      <c r="J588" s="340"/>
      <c r="K588" s="340" t="s">
        <v>816</v>
      </c>
      <c r="L588" s="340"/>
      <c r="M588" s="340"/>
      <c r="N588" s="340"/>
      <c r="O588" s="340"/>
      <c r="P588" s="340"/>
      <c r="Q588" s="45" t="s">
        <v>10635</v>
      </c>
      <c r="R588" s="45"/>
      <c r="S588" s="342"/>
    </row>
    <row r="589" spans="1:19">
      <c r="A589" s="341" t="s">
        <v>5970</v>
      </c>
      <c r="B589" s="340" t="s">
        <v>5888</v>
      </c>
      <c r="C589" s="340"/>
      <c r="D589" s="340" t="s">
        <v>5888</v>
      </c>
      <c r="E589" s="340" t="s">
        <v>5888</v>
      </c>
      <c r="F589" s="340" t="s">
        <v>5888</v>
      </c>
      <c r="G589" s="340" t="s">
        <v>816</v>
      </c>
      <c r="H589" s="340" t="s">
        <v>816</v>
      </c>
      <c r="I589" s="340" t="s">
        <v>5888</v>
      </c>
      <c r="J589" s="340" t="s">
        <v>816</v>
      </c>
      <c r="K589" s="340" t="s">
        <v>816</v>
      </c>
      <c r="L589" s="340" t="s">
        <v>5888</v>
      </c>
      <c r="M589" s="340" t="s">
        <v>5888</v>
      </c>
      <c r="N589" s="340" t="s">
        <v>816</v>
      </c>
      <c r="O589" s="340" t="s">
        <v>5888</v>
      </c>
      <c r="P589" s="340"/>
      <c r="Q589" s="45" t="s">
        <v>5969</v>
      </c>
      <c r="R589" s="45"/>
    </row>
    <row r="590" spans="1:19">
      <c r="A590" s="341" t="s">
        <v>7101</v>
      </c>
      <c r="B590" s="340" t="s">
        <v>5888</v>
      </c>
      <c r="C590" s="340"/>
      <c r="D590" s="340" t="s">
        <v>5888</v>
      </c>
      <c r="E590" s="340" t="s">
        <v>5888</v>
      </c>
      <c r="F590" s="340" t="s">
        <v>5888</v>
      </c>
      <c r="G590" s="340" t="s">
        <v>816</v>
      </c>
      <c r="H590" s="340" t="s">
        <v>816</v>
      </c>
      <c r="I590" s="340" t="s">
        <v>5888</v>
      </c>
      <c r="J590" s="340" t="s">
        <v>816</v>
      </c>
      <c r="K590" s="340" t="s">
        <v>816</v>
      </c>
      <c r="L590" s="340" t="s">
        <v>5888</v>
      </c>
      <c r="M590" s="340" t="s">
        <v>5888</v>
      </c>
      <c r="N590" s="340" t="s">
        <v>816</v>
      </c>
      <c r="O590" s="340" t="s">
        <v>5888</v>
      </c>
      <c r="P590" s="340"/>
      <c r="Q590" s="343" t="s">
        <v>7102</v>
      </c>
      <c r="R590" s="45"/>
    </row>
    <row r="591" spans="1:19">
      <c r="A591" s="341" t="s">
        <v>5968</v>
      </c>
      <c r="B591" s="340" t="s">
        <v>5888</v>
      </c>
      <c r="C591" s="340" t="s">
        <v>816</v>
      </c>
      <c r="D591" s="340" t="s">
        <v>5888</v>
      </c>
      <c r="E591" s="340" t="s">
        <v>5888</v>
      </c>
      <c r="F591" s="340" t="s">
        <v>5888</v>
      </c>
      <c r="G591" s="340" t="s">
        <v>5888</v>
      </c>
      <c r="H591" s="340" t="s">
        <v>5888</v>
      </c>
      <c r="I591" s="340" t="s">
        <v>5888</v>
      </c>
      <c r="J591" s="340" t="s">
        <v>5888</v>
      </c>
      <c r="K591" s="340" t="s">
        <v>5888</v>
      </c>
      <c r="L591" s="340" t="s">
        <v>5888</v>
      </c>
      <c r="M591" s="340" t="s">
        <v>5888</v>
      </c>
      <c r="N591" s="340" t="s">
        <v>5888</v>
      </c>
      <c r="O591" s="340" t="s">
        <v>5888</v>
      </c>
      <c r="P591" s="340"/>
      <c r="Q591" s="45" t="s">
        <v>5967</v>
      </c>
      <c r="R591" s="45"/>
    </row>
    <row r="592" spans="1:19">
      <c r="A592" s="341" t="s">
        <v>7916</v>
      </c>
      <c r="B592" s="340" t="s">
        <v>5888</v>
      </c>
      <c r="C592" s="340"/>
      <c r="D592" s="340" t="s">
        <v>5888</v>
      </c>
      <c r="E592" s="340" t="s">
        <v>5888</v>
      </c>
      <c r="F592" s="340" t="s">
        <v>5888</v>
      </c>
      <c r="G592" s="340" t="s">
        <v>5888</v>
      </c>
      <c r="H592" s="340" t="s">
        <v>5888</v>
      </c>
      <c r="I592" s="340" t="s">
        <v>5888</v>
      </c>
      <c r="J592" s="340" t="s">
        <v>816</v>
      </c>
      <c r="K592" s="340" t="s">
        <v>816</v>
      </c>
      <c r="L592" s="340" t="s">
        <v>5888</v>
      </c>
      <c r="M592" s="340" t="s">
        <v>5888</v>
      </c>
      <c r="N592" s="340" t="s">
        <v>5888</v>
      </c>
      <c r="O592" s="340" t="s">
        <v>5888</v>
      </c>
      <c r="P592" s="340"/>
      <c r="Q592" s="343" t="s">
        <v>7918</v>
      </c>
      <c r="R592" s="45"/>
      <c r="S592" s="342"/>
    </row>
    <row r="593" spans="1:19">
      <c r="A593" s="341" t="s">
        <v>5966</v>
      </c>
      <c r="B593" s="340" t="s">
        <v>5888</v>
      </c>
      <c r="C593" s="340" t="s">
        <v>816</v>
      </c>
      <c r="D593" s="340" t="s">
        <v>5888</v>
      </c>
      <c r="E593" s="340" t="s">
        <v>5888</v>
      </c>
      <c r="F593" s="340" t="s">
        <v>5888</v>
      </c>
      <c r="G593" s="340"/>
      <c r="H593" s="340" t="s">
        <v>5888</v>
      </c>
      <c r="I593" s="340" t="s">
        <v>5888</v>
      </c>
      <c r="J593" s="340" t="s">
        <v>5888</v>
      </c>
      <c r="K593" s="340" t="s">
        <v>5888</v>
      </c>
      <c r="L593" s="340" t="s">
        <v>5888</v>
      </c>
      <c r="M593" s="340" t="s">
        <v>5888</v>
      </c>
      <c r="N593" s="340" t="s">
        <v>5888</v>
      </c>
      <c r="O593" s="340" t="s">
        <v>5888</v>
      </c>
      <c r="P593" s="340"/>
      <c r="Q593" s="45"/>
      <c r="R593" s="45" t="s">
        <v>5965</v>
      </c>
      <c r="S593" s="342"/>
    </row>
    <row r="594" spans="1:19">
      <c r="A594" s="341" t="s">
        <v>5964</v>
      </c>
      <c r="B594" s="340" t="s">
        <v>5888</v>
      </c>
      <c r="C594" s="340"/>
      <c r="D594" s="340" t="s">
        <v>5888</v>
      </c>
      <c r="E594" s="340" t="s">
        <v>5888</v>
      </c>
      <c r="F594" s="340" t="s">
        <v>5888</v>
      </c>
      <c r="G594" s="340" t="s">
        <v>816</v>
      </c>
      <c r="H594" s="340" t="s">
        <v>5888</v>
      </c>
      <c r="I594" s="340" t="s">
        <v>5888</v>
      </c>
      <c r="J594" s="340" t="s">
        <v>5888</v>
      </c>
      <c r="K594" s="340" t="s">
        <v>5888</v>
      </c>
      <c r="L594" s="340" t="s">
        <v>5888</v>
      </c>
      <c r="M594" s="340" t="s">
        <v>5888</v>
      </c>
      <c r="N594" s="340" t="s">
        <v>5888</v>
      </c>
      <c r="O594" s="340" t="s">
        <v>5888</v>
      </c>
      <c r="P594" s="340"/>
      <c r="Q594" s="342" t="s">
        <v>5963</v>
      </c>
      <c r="R594" s="45"/>
      <c r="S594" s="342"/>
    </row>
    <row r="595" spans="1:19">
      <c r="A595" s="341" t="s">
        <v>6709</v>
      </c>
      <c r="B595" s="340" t="s">
        <v>5888</v>
      </c>
      <c r="C595" s="340"/>
      <c r="D595" s="340" t="s">
        <v>5888</v>
      </c>
      <c r="E595" s="340" t="s">
        <v>5888</v>
      </c>
      <c r="F595" s="340" t="s">
        <v>5888</v>
      </c>
      <c r="G595" s="340" t="s">
        <v>816</v>
      </c>
      <c r="H595" s="340" t="s">
        <v>5888</v>
      </c>
      <c r="I595" s="340" t="s">
        <v>5888</v>
      </c>
      <c r="J595" s="340" t="s">
        <v>5888</v>
      </c>
      <c r="K595" s="340" t="s">
        <v>5888</v>
      </c>
      <c r="L595" s="340" t="s">
        <v>5888</v>
      </c>
      <c r="M595" s="340" t="s">
        <v>5888</v>
      </c>
      <c r="N595" s="340" t="s">
        <v>5888</v>
      </c>
      <c r="O595" s="340" t="s">
        <v>5888</v>
      </c>
      <c r="P595" s="340"/>
      <c r="Q595" s="342" t="s">
        <v>5962</v>
      </c>
      <c r="R595" s="45"/>
      <c r="S595" s="342"/>
    </row>
    <row r="596" spans="1:19">
      <c r="A596" s="341" t="s">
        <v>5961</v>
      </c>
      <c r="B596" s="340" t="s">
        <v>5888</v>
      </c>
      <c r="C596" s="340"/>
      <c r="D596" s="340" t="s">
        <v>5888</v>
      </c>
      <c r="E596" s="340" t="s">
        <v>5888</v>
      </c>
      <c r="F596" s="340" t="s">
        <v>5888</v>
      </c>
      <c r="G596" s="340" t="s">
        <v>816</v>
      </c>
      <c r="H596" s="340" t="s">
        <v>5888</v>
      </c>
      <c r="I596" s="340" t="s">
        <v>5888</v>
      </c>
      <c r="J596" s="340" t="s">
        <v>5888</v>
      </c>
      <c r="K596" s="340" t="s">
        <v>5888</v>
      </c>
      <c r="L596" s="340" t="s">
        <v>5888</v>
      </c>
      <c r="M596" s="340" t="s">
        <v>5888</v>
      </c>
      <c r="N596" s="340" t="s">
        <v>5888</v>
      </c>
      <c r="O596" s="340" t="s">
        <v>5888</v>
      </c>
      <c r="P596" s="340"/>
      <c r="Q596" s="45" t="s">
        <v>5960</v>
      </c>
      <c r="R596" s="45"/>
      <c r="S596" s="342"/>
    </row>
    <row r="597" spans="1:19">
      <c r="A597" s="341" t="s">
        <v>8221</v>
      </c>
      <c r="B597" s="340" t="s">
        <v>5888</v>
      </c>
      <c r="C597" s="340"/>
      <c r="D597" s="340" t="s">
        <v>816</v>
      </c>
      <c r="E597" s="340" t="s">
        <v>5888</v>
      </c>
      <c r="F597" s="340" t="s">
        <v>5888</v>
      </c>
      <c r="G597" s="340"/>
      <c r="H597" s="340" t="s">
        <v>5888</v>
      </c>
      <c r="I597" s="340"/>
      <c r="J597" s="340"/>
      <c r="K597" s="340"/>
      <c r="L597" s="340"/>
      <c r="M597" s="340"/>
      <c r="N597" s="340" t="s">
        <v>5888</v>
      </c>
      <c r="O597" s="340" t="s">
        <v>5888</v>
      </c>
      <c r="P597" s="340"/>
      <c r="Q597" s="343" t="s">
        <v>8222</v>
      </c>
      <c r="R597" s="45"/>
      <c r="S597" s="342"/>
    </row>
    <row r="598" spans="1:19">
      <c r="A598" s="341" t="s">
        <v>1227</v>
      </c>
      <c r="B598" s="340" t="s">
        <v>5888</v>
      </c>
      <c r="C598" s="340"/>
      <c r="D598" s="340" t="s">
        <v>5888</v>
      </c>
      <c r="E598" s="340" t="s">
        <v>5888</v>
      </c>
      <c r="F598" s="340" t="s">
        <v>5888</v>
      </c>
      <c r="G598" s="340" t="s">
        <v>5888</v>
      </c>
      <c r="H598" s="340" t="s">
        <v>5888</v>
      </c>
      <c r="I598" s="340" t="s">
        <v>5888</v>
      </c>
      <c r="J598" s="340" t="s">
        <v>816</v>
      </c>
      <c r="K598" s="340" t="s">
        <v>816</v>
      </c>
      <c r="L598" s="340" t="s">
        <v>5888</v>
      </c>
      <c r="M598" s="340" t="s">
        <v>5888</v>
      </c>
      <c r="N598" s="340" t="s">
        <v>5888</v>
      </c>
      <c r="O598" s="340" t="s">
        <v>5888</v>
      </c>
      <c r="P598" s="340"/>
      <c r="Q598" s="45" t="s">
        <v>5959</v>
      </c>
      <c r="R598" s="45"/>
      <c r="S598" s="342"/>
    </row>
    <row r="599" spans="1:19">
      <c r="A599" s="341" t="s">
        <v>6668</v>
      </c>
      <c r="B599" s="340" t="s">
        <v>5888</v>
      </c>
      <c r="C599" s="340"/>
      <c r="D599" s="340" t="s">
        <v>5888</v>
      </c>
      <c r="E599" s="340" t="s">
        <v>5888</v>
      </c>
      <c r="F599" s="340" t="s">
        <v>5888</v>
      </c>
      <c r="G599" s="340" t="s">
        <v>5888</v>
      </c>
      <c r="H599" s="340" t="s">
        <v>5888</v>
      </c>
      <c r="I599" s="340" t="s">
        <v>5888</v>
      </c>
      <c r="J599" s="340" t="s">
        <v>816</v>
      </c>
      <c r="K599" s="340" t="s">
        <v>816</v>
      </c>
      <c r="L599" s="340"/>
      <c r="M599" s="340"/>
      <c r="N599" s="340"/>
      <c r="O599" s="340"/>
      <c r="P599" s="340"/>
      <c r="Q599" s="45" t="s">
        <v>6667</v>
      </c>
      <c r="R599" s="45"/>
      <c r="S599" s="342"/>
    </row>
    <row r="600" spans="1:19">
      <c r="A600" s="341" t="s">
        <v>3526</v>
      </c>
      <c r="B600" s="340" t="s">
        <v>5888</v>
      </c>
      <c r="C600" s="340"/>
      <c r="D600" s="340" t="s">
        <v>5888</v>
      </c>
      <c r="E600" s="340" t="s">
        <v>816</v>
      </c>
      <c r="F600" s="340" t="s">
        <v>5888</v>
      </c>
      <c r="G600" s="340" t="s">
        <v>5888</v>
      </c>
      <c r="H600" s="340" t="s">
        <v>5888</v>
      </c>
      <c r="I600" s="340" t="s">
        <v>5888</v>
      </c>
      <c r="J600" s="340" t="s">
        <v>5888</v>
      </c>
      <c r="K600" s="340" t="s">
        <v>5888</v>
      </c>
      <c r="L600" s="340" t="s">
        <v>5888</v>
      </c>
      <c r="M600" s="340" t="s">
        <v>5888</v>
      </c>
      <c r="N600" s="340" t="s">
        <v>5888</v>
      </c>
      <c r="O600" s="340" t="s">
        <v>5888</v>
      </c>
      <c r="P600" s="340"/>
      <c r="Q600" s="45" t="s">
        <v>5958</v>
      </c>
      <c r="R600" s="45"/>
      <c r="S600" s="342"/>
    </row>
    <row r="601" spans="1:19">
      <c r="A601" s="341" t="s">
        <v>5957</v>
      </c>
      <c r="B601" s="340"/>
      <c r="C601" s="340"/>
      <c r="D601" s="340"/>
      <c r="E601" s="340" t="s">
        <v>816</v>
      </c>
      <c r="F601" s="340"/>
      <c r="G601" s="340"/>
      <c r="H601" s="340"/>
      <c r="I601" s="340"/>
      <c r="J601" s="340"/>
      <c r="K601" s="340"/>
      <c r="L601" s="340"/>
      <c r="M601" s="340"/>
      <c r="N601" s="340"/>
      <c r="O601" s="340"/>
      <c r="P601" s="340"/>
      <c r="Q601" s="45" t="s">
        <v>5956</v>
      </c>
      <c r="R601" s="45"/>
      <c r="S601" s="342"/>
    </row>
    <row r="602" spans="1:19">
      <c r="A602" s="341" t="s">
        <v>771</v>
      </c>
      <c r="B602" s="340"/>
      <c r="C602" s="340"/>
      <c r="D602" s="340"/>
      <c r="E602" s="340" t="s">
        <v>816</v>
      </c>
      <c r="F602" s="340"/>
      <c r="G602" s="340" t="s">
        <v>816</v>
      </c>
      <c r="H602" s="340"/>
      <c r="I602" s="340"/>
      <c r="J602" s="340"/>
      <c r="K602" s="340" t="s">
        <v>816</v>
      </c>
      <c r="L602" s="340"/>
      <c r="M602" s="340"/>
      <c r="N602" s="340"/>
      <c r="O602" s="340"/>
      <c r="P602" s="340"/>
      <c r="Q602" s="490" t="s">
        <v>8989</v>
      </c>
      <c r="R602" s="45" t="s">
        <v>5952</v>
      </c>
      <c r="S602" s="342" t="s">
        <v>7057</v>
      </c>
    </row>
    <row r="603" spans="1:19">
      <c r="A603" s="341" t="s">
        <v>5955</v>
      </c>
      <c r="B603" s="340"/>
      <c r="C603" s="340"/>
      <c r="D603" s="340"/>
      <c r="E603" s="340" t="s">
        <v>816</v>
      </c>
      <c r="F603" s="340"/>
      <c r="G603" s="340"/>
      <c r="H603" s="340"/>
      <c r="I603" s="340"/>
      <c r="J603" s="340"/>
      <c r="K603" s="340"/>
      <c r="L603" s="340"/>
      <c r="M603" s="340"/>
      <c r="N603" s="340"/>
      <c r="O603" s="340"/>
      <c r="P603" s="340"/>
      <c r="Q603" s="45" t="s">
        <v>5954</v>
      </c>
      <c r="R603" s="45"/>
    </row>
    <row r="604" spans="1:19">
      <c r="A604" s="341" t="s">
        <v>5953</v>
      </c>
      <c r="B604" s="340"/>
      <c r="C604" s="340" t="s">
        <v>816</v>
      </c>
      <c r="D604" s="340"/>
      <c r="E604" s="340"/>
      <c r="F604" s="340"/>
      <c r="G604" s="340"/>
      <c r="H604" s="340"/>
      <c r="I604" s="340"/>
      <c r="J604" s="340"/>
      <c r="K604" s="340"/>
      <c r="L604" s="340"/>
      <c r="M604" s="340"/>
      <c r="N604" s="340"/>
      <c r="O604" s="340"/>
      <c r="P604" s="340"/>
      <c r="Q604" s="342"/>
      <c r="R604" s="45" t="s">
        <v>5952</v>
      </c>
      <c r="S604" s="65" t="s">
        <v>7057</v>
      </c>
    </row>
    <row r="605" spans="1:19">
      <c r="A605" s="341" t="s">
        <v>5951</v>
      </c>
      <c r="B605" s="340"/>
      <c r="C605" s="340"/>
      <c r="D605" s="340"/>
      <c r="E605" s="340" t="s">
        <v>816</v>
      </c>
      <c r="F605" s="340"/>
      <c r="G605" s="340"/>
      <c r="H605" s="340"/>
      <c r="I605" s="340"/>
      <c r="J605" s="340"/>
      <c r="K605" s="340"/>
      <c r="L605" s="340"/>
      <c r="M605" s="340"/>
      <c r="N605" s="340"/>
      <c r="O605" s="340"/>
      <c r="P605" s="340"/>
      <c r="Q605" s="45" t="s">
        <v>5950</v>
      </c>
      <c r="R605" s="45"/>
    </row>
    <row r="606" spans="1:19">
      <c r="A606" s="341" t="s">
        <v>5949</v>
      </c>
      <c r="B606" s="340" t="s">
        <v>5888</v>
      </c>
      <c r="C606" s="340"/>
      <c r="D606" s="340" t="s">
        <v>5888</v>
      </c>
      <c r="E606" s="340" t="s">
        <v>816</v>
      </c>
      <c r="F606" s="340" t="s">
        <v>5888</v>
      </c>
      <c r="G606" s="340" t="s">
        <v>5888</v>
      </c>
      <c r="H606" s="340" t="s">
        <v>5888</v>
      </c>
      <c r="I606" s="340" t="s">
        <v>5888</v>
      </c>
      <c r="J606" s="340" t="s">
        <v>5888</v>
      </c>
      <c r="K606" s="340" t="s">
        <v>816</v>
      </c>
      <c r="L606" s="340" t="s">
        <v>5888</v>
      </c>
      <c r="M606" s="340" t="s">
        <v>5888</v>
      </c>
      <c r="N606" s="340" t="s">
        <v>816</v>
      </c>
      <c r="O606" s="340" t="s">
        <v>5888</v>
      </c>
      <c r="P606" s="340"/>
      <c r="Q606" s="342" t="s">
        <v>5948</v>
      </c>
      <c r="R606" s="45"/>
    </row>
    <row r="607" spans="1:19">
      <c r="A607" s="341" t="s">
        <v>5949</v>
      </c>
      <c r="B607" s="340"/>
      <c r="C607" s="340"/>
      <c r="D607" s="340"/>
      <c r="E607" s="340" t="s">
        <v>816</v>
      </c>
      <c r="F607" s="340"/>
      <c r="G607" s="340"/>
      <c r="H607" s="340"/>
      <c r="I607" s="340"/>
      <c r="J607" s="340"/>
      <c r="K607" s="340" t="s">
        <v>816</v>
      </c>
      <c r="L607" s="340"/>
      <c r="M607" s="340"/>
      <c r="N607" s="340"/>
      <c r="O607" s="340"/>
      <c r="P607" s="340"/>
      <c r="Q607" s="342" t="s">
        <v>8557</v>
      </c>
      <c r="R607" s="45"/>
    </row>
    <row r="608" spans="1:19">
      <c r="A608" s="341" t="s">
        <v>5949</v>
      </c>
      <c r="B608" s="340"/>
      <c r="C608" s="340"/>
      <c r="D608" s="340"/>
      <c r="E608" s="340" t="s">
        <v>816</v>
      </c>
      <c r="F608" s="340"/>
      <c r="G608" s="340"/>
      <c r="H608" s="340"/>
      <c r="I608" s="340"/>
      <c r="J608" s="340"/>
      <c r="K608" s="340" t="s">
        <v>816</v>
      </c>
      <c r="L608" s="340"/>
      <c r="M608" s="340"/>
      <c r="N608" s="340"/>
      <c r="O608" s="340"/>
      <c r="P608" s="340"/>
      <c r="Q608" s="342" t="s">
        <v>8558</v>
      </c>
      <c r="R608" s="45"/>
      <c r="S608" s="342"/>
    </row>
    <row r="609" spans="1:33">
      <c r="A609" s="341" t="s">
        <v>5949</v>
      </c>
      <c r="B609" s="340"/>
      <c r="C609" s="340"/>
      <c r="D609" s="340"/>
      <c r="E609" s="340" t="s">
        <v>816</v>
      </c>
      <c r="F609" s="340"/>
      <c r="G609" s="340"/>
      <c r="H609" s="340"/>
      <c r="I609" s="340"/>
      <c r="J609" s="340"/>
      <c r="K609" s="340" t="s">
        <v>816</v>
      </c>
      <c r="L609" s="340"/>
      <c r="M609" s="340"/>
      <c r="N609" s="340"/>
      <c r="O609" s="340"/>
      <c r="P609" s="340"/>
      <c r="Q609" s="342" t="s">
        <v>8559</v>
      </c>
      <c r="R609" s="45"/>
      <c r="S609" s="342"/>
    </row>
    <row r="610" spans="1:33">
      <c r="A610" s="341" t="s">
        <v>5947</v>
      </c>
      <c r="B610" s="340"/>
      <c r="C610" s="340"/>
      <c r="D610" s="340"/>
      <c r="E610" s="340"/>
      <c r="F610" s="340"/>
      <c r="G610" s="340"/>
      <c r="H610" s="340"/>
      <c r="I610" s="340"/>
      <c r="J610" s="340" t="s">
        <v>816</v>
      </c>
      <c r="K610" s="340" t="s">
        <v>816</v>
      </c>
      <c r="L610" s="340"/>
      <c r="M610" s="340"/>
      <c r="N610" s="340"/>
      <c r="O610" s="340"/>
      <c r="P610" s="340"/>
      <c r="Q610" s="45" t="s">
        <v>5946</v>
      </c>
      <c r="R610" s="45"/>
      <c r="S610" s="342"/>
    </row>
    <row r="611" spans="1:33">
      <c r="A611" s="341" t="s">
        <v>773</v>
      </c>
      <c r="B611" s="340" t="s">
        <v>5888</v>
      </c>
      <c r="C611" s="340"/>
      <c r="D611" s="340" t="s">
        <v>5888</v>
      </c>
      <c r="E611" s="340" t="s">
        <v>5888</v>
      </c>
      <c r="F611" s="340" t="s">
        <v>5888</v>
      </c>
      <c r="G611" s="340" t="s">
        <v>5888</v>
      </c>
      <c r="H611" s="340" t="s">
        <v>5888</v>
      </c>
      <c r="I611" s="340" t="s">
        <v>5888</v>
      </c>
      <c r="J611" s="340" t="s">
        <v>816</v>
      </c>
      <c r="K611" s="340" t="s">
        <v>5888</v>
      </c>
      <c r="L611" s="340" t="s">
        <v>5888</v>
      </c>
      <c r="M611" s="340" t="s">
        <v>5888</v>
      </c>
      <c r="N611" s="340" t="s">
        <v>5888</v>
      </c>
      <c r="O611" s="340" t="s">
        <v>5888</v>
      </c>
      <c r="P611" s="340"/>
      <c r="Q611" s="45" t="s">
        <v>5945</v>
      </c>
      <c r="R611" s="45"/>
      <c r="S611" s="342"/>
    </row>
    <row r="612" spans="1:33">
      <c r="A612" s="341" t="s">
        <v>5943</v>
      </c>
      <c r="B612" s="340" t="s">
        <v>5888</v>
      </c>
      <c r="C612" s="340"/>
      <c r="D612" s="340" t="s">
        <v>5888</v>
      </c>
      <c r="E612" s="340" t="s">
        <v>5888</v>
      </c>
      <c r="F612" s="340" t="s">
        <v>5888</v>
      </c>
      <c r="G612" s="340" t="s">
        <v>5888</v>
      </c>
      <c r="H612" s="340" t="s">
        <v>5888</v>
      </c>
      <c r="I612" s="340" t="s">
        <v>5888</v>
      </c>
      <c r="J612" s="340" t="s">
        <v>816</v>
      </c>
      <c r="K612" s="340" t="s">
        <v>816</v>
      </c>
      <c r="L612" s="340" t="s">
        <v>5888</v>
      </c>
      <c r="M612" s="340" t="s">
        <v>5888</v>
      </c>
      <c r="N612" s="340" t="s">
        <v>5888</v>
      </c>
      <c r="O612" s="340" t="s">
        <v>5888</v>
      </c>
      <c r="P612" s="340"/>
      <c r="Q612" s="45" t="s">
        <v>5944</v>
      </c>
      <c r="R612" s="45"/>
    </row>
    <row r="613" spans="1:33">
      <c r="A613" s="341" t="s">
        <v>5943</v>
      </c>
      <c r="B613" s="340" t="s">
        <v>5888</v>
      </c>
      <c r="C613" s="340"/>
      <c r="D613" s="340" t="s">
        <v>5888</v>
      </c>
      <c r="E613" s="340" t="s">
        <v>5888</v>
      </c>
      <c r="F613" s="340" t="s">
        <v>5888</v>
      </c>
      <c r="G613" s="340" t="s">
        <v>5888</v>
      </c>
      <c r="H613" s="340" t="s">
        <v>5888</v>
      </c>
      <c r="I613" s="340" t="s">
        <v>5888</v>
      </c>
      <c r="J613" s="340" t="s">
        <v>816</v>
      </c>
      <c r="K613" s="340" t="s">
        <v>816</v>
      </c>
      <c r="L613" s="340" t="s">
        <v>5888</v>
      </c>
      <c r="M613" s="340" t="s">
        <v>5888</v>
      </c>
      <c r="N613" s="340" t="s">
        <v>5888</v>
      </c>
      <c r="O613" s="340" t="s">
        <v>5888</v>
      </c>
      <c r="P613" s="340"/>
      <c r="Q613" s="45" t="s">
        <v>5942</v>
      </c>
      <c r="R613" s="45"/>
      <c r="S613" s="342"/>
    </row>
    <row r="614" spans="1:33">
      <c r="A614" s="341" t="s">
        <v>10200</v>
      </c>
      <c r="B614" s="340"/>
      <c r="C614" s="340"/>
      <c r="D614" s="340"/>
      <c r="E614" s="340" t="s">
        <v>816</v>
      </c>
      <c r="F614" s="340"/>
      <c r="G614" s="340"/>
      <c r="H614" s="340"/>
      <c r="I614" s="340"/>
      <c r="J614" s="340"/>
      <c r="K614" s="340"/>
      <c r="L614" s="340"/>
      <c r="M614" s="340"/>
      <c r="N614" s="340"/>
      <c r="O614" s="340"/>
      <c r="P614" s="340"/>
      <c r="Q614" s="343" t="s">
        <v>10201</v>
      </c>
      <c r="R614" s="45"/>
      <c r="S614" s="342"/>
    </row>
    <row r="615" spans="1:33">
      <c r="A615" s="341" t="s">
        <v>5941</v>
      </c>
      <c r="B615" s="340"/>
      <c r="C615" s="340"/>
      <c r="D615" s="340"/>
      <c r="E615" s="340" t="s">
        <v>816</v>
      </c>
      <c r="F615" s="340"/>
      <c r="G615" s="340"/>
      <c r="H615" s="340"/>
      <c r="I615" s="340"/>
      <c r="J615" s="340"/>
      <c r="K615" s="340"/>
      <c r="L615" s="340"/>
      <c r="M615" s="340"/>
      <c r="N615" s="340"/>
      <c r="O615" s="340"/>
      <c r="P615" s="340"/>
      <c r="Q615" s="45" t="s">
        <v>5940</v>
      </c>
      <c r="R615" s="45"/>
      <c r="S615" s="342"/>
    </row>
    <row r="616" spans="1:33">
      <c r="A616" s="341" t="s">
        <v>8310</v>
      </c>
      <c r="B616" s="340"/>
      <c r="C616" s="340"/>
      <c r="D616" s="340" t="s">
        <v>816</v>
      </c>
      <c r="E616" s="340"/>
      <c r="F616" s="340"/>
      <c r="G616" s="340"/>
      <c r="H616" s="340"/>
      <c r="I616" s="340"/>
      <c r="J616" s="340"/>
      <c r="K616" s="340"/>
      <c r="L616" s="340"/>
      <c r="M616" s="340"/>
      <c r="N616" s="340"/>
      <c r="O616" s="340"/>
      <c r="P616" s="340"/>
      <c r="Q616" s="342" t="s">
        <v>8311</v>
      </c>
      <c r="R616" s="45"/>
      <c r="S616" s="342"/>
    </row>
    <row r="617" spans="1:33">
      <c r="A617" s="341" t="s">
        <v>9686</v>
      </c>
      <c r="B617" s="340" t="s">
        <v>5888</v>
      </c>
      <c r="C617" s="340"/>
      <c r="D617" s="340" t="s">
        <v>5888</v>
      </c>
      <c r="E617" s="340" t="s">
        <v>5888</v>
      </c>
      <c r="F617" s="340" t="s">
        <v>5888</v>
      </c>
      <c r="G617" s="340" t="s">
        <v>5888</v>
      </c>
      <c r="H617" s="340" t="s">
        <v>5888</v>
      </c>
      <c r="I617" s="340"/>
      <c r="J617" s="340"/>
      <c r="K617" s="340" t="s">
        <v>816</v>
      </c>
      <c r="L617" s="340" t="s">
        <v>5888</v>
      </c>
      <c r="M617" s="340" t="s">
        <v>5888</v>
      </c>
      <c r="N617" s="340" t="s">
        <v>5888</v>
      </c>
      <c r="O617" s="340" t="s">
        <v>5888</v>
      </c>
      <c r="P617" s="340"/>
      <c r="Q617" s="343" t="s">
        <v>9687</v>
      </c>
      <c r="R617" s="45"/>
      <c r="S617" s="342"/>
    </row>
    <row r="618" spans="1:33" s="51" customFormat="1">
      <c r="A618" s="45" t="s">
        <v>5939</v>
      </c>
      <c r="B618" s="340" t="s">
        <v>5888</v>
      </c>
      <c r="C618" s="340" t="s">
        <v>816</v>
      </c>
      <c r="D618" s="340" t="s">
        <v>5888</v>
      </c>
      <c r="E618" s="340"/>
      <c r="F618" s="340" t="s">
        <v>5888</v>
      </c>
      <c r="G618" s="340"/>
      <c r="H618" s="340"/>
      <c r="I618" s="340" t="s">
        <v>5888</v>
      </c>
      <c r="J618" s="340"/>
      <c r="K618" s="340"/>
      <c r="L618" s="340" t="s">
        <v>5888</v>
      </c>
      <c r="M618" s="340" t="s">
        <v>5888</v>
      </c>
      <c r="N618" s="340" t="s">
        <v>5888</v>
      </c>
      <c r="O618" s="340" t="s">
        <v>5888</v>
      </c>
      <c r="P618" s="340"/>
      <c r="Q618" s="45"/>
      <c r="R618" s="45" t="s">
        <v>5938</v>
      </c>
      <c r="S618" s="45" t="s">
        <v>7057</v>
      </c>
      <c r="AF618" s="65"/>
      <c r="AG618" s="65"/>
    </row>
    <row r="619" spans="1:33" s="51" customFormat="1">
      <c r="A619" s="341" t="s">
        <v>10227</v>
      </c>
      <c r="B619" s="340"/>
      <c r="C619" s="340" t="s">
        <v>816</v>
      </c>
      <c r="D619" s="340"/>
      <c r="E619" s="340"/>
      <c r="F619" s="340"/>
      <c r="G619" s="340"/>
      <c r="H619" s="340"/>
      <c r="I619" s="340"/>
      <c r="J619" s="340"/>
      <c r="K619" s="340"/>
      <c r="L619" s="340"/>
      <c r="M619" s="340"/>
      <c r="N619" s="340"/>
      <c r="O619" s="340"/>
      <c r="P619" s="340"/>
      <c r="Q619" s="45"/>
      <c r="R619" s="45" t="s">
        <v>5937</v>
      </c>
      <c r="S619" s="45" t="s">
        <v>7057</v>
      </c>
      <c r="AF619" s="65"/>
      <c r="AG619" s="65"/>
    </row>
    <row r="620" spans="1:33" s="51" customFormat="1">
      <c r="A620" s="45" t="s">
        <v>10226</v>
      </c>
      <c r="B620" s="340" t="s">
        <v>5888</v>
      </c>
      <c r="C620" s="340"/>
      <c r="D620" s="340" t="s">
        <v>5888</v>
      </c>
      <c r="E620" s="340" t="s">
        <v>816</v>
      </c>
      <c r="F620" s="340" t="s">
        <v>5888</v>
      </c>
      <c r="G620" s="340"/>
      <c r="H620" s="340"/>
      <c r="I620" s="340" t="s">
        <v>5888</v>
      </c>
      <c r="J620" s="340"/>
      <c r="K620" s="340"/>
      <c r="L620" s="340" t="s">
        <v>5888</v>
      </c>
      <c r="M620" s="340" t="s">
        <v>5888</v>
      </c>
      <c r="N620" s="340" t="s">
        <v>5888</v>
      </c>
      <c r="O620" s="340" t="s">
        <v>5888</v>
      </c>
      <c r="P620" s="340"/>
      <c r="Q620" s="387" t="s">
        <v>10225</v>
      </c>
      <c r="R620" s="45"/>
      <c r="S620" s="45"/>
      <c r="AF620" s="65"/>
      <c r="AG620" s="65"/>
    </row>
    <row r="621" spans="1:33" s="51" customFormat="1">
      <c r="A621" s="341" t="s">
        <v>1307</v>
      </c>
      <c r="B621" s="340" t="s">
        <v>5888</v>
      </c>
      <c r="C621" s="340"/>
      <c r="D621" s="340" t="s">
        <v>5888</v>
      </c>
      <c r="E621" s="340" t="s">
        <v>5888</v>
      </c>
      <c r="F621" s="340" t="s">
        <v>5888</v>
      </c>
      <c r="G621" s="340" t="s">
        <v>5888</v>
      </c>
      <c r="H621" s="340" t="s">
        <v>5888</v>
      </c>
      <c r="I621" s="340" t="s">
        <v>5888</v>
      </c>
      <c r="J621" s="340" t="s">
        <v>5888</v>
      </c>
      <c r="K621" s="340" t="s">
        <v>816</v>
      </c>
      <c r="L621" s="340" t="s">
        <v>5888</v>
      </c>
      <c r="M621" s="340" t="s">
        <v>5888</v>
      </c>
      <c r="N621" s="340" t="s">
        <v>5888</v>
      </c>
      <c r="O621" s="340" t="s">
        <v>5888</v>
      </c>
      <c r="P621" s="340"/>
      <c r="Q621" s="45" t="s">
        <v>5936</v>
      </c>
      <c r="R621" s="45"/>
      <c r="S621" s="45"/>
      <c r="AF621" s="65"/>
      <c r="AG621" s="65"/>
    </row>
    <row r="622" spans="1:33" s="51" customFormat="1">
      <c r="A622" s="341" t="s">
        <v>10472</v>
      </c>
      <c r="B622" s="340"/>
      <c r="C622" s="340"/>
      <c r="D622" s="340"/>
      <c r="E622" s="340"/>
      <c r="F622" s="340"/>
      <c r="G622" s="340"/>
      <c r="H622" s="340"/>
      <c r="I622" s="340"/>
      <c r="J622" s="340" t="s">
        <v>816</v>
      </c>
      <c r="K622" s="340"/>
      <c r="L622" s="340"/>
      <c r="M622" s="340"/>
      <c r="N622" s="340"/>
      <c r="O622" s="340"/>
      <c r="P622" s="340"/>
      <c r="Q622" s="343" t="s">
        <v>10471</v>
      </c>
      <c r="R622" s="45"/>
      <c r="S622" s="45"/>
      <c r="AF622" s="65"/>
      <c r="AG622" s="65"/>
    </row>
    <row r="623" spans="1:33" s="51" customFormat="1">
      <c r="A623" s="341" t="s">
        <v>10474</v>
      </c>
      <c r="B623" s="340"/>
      <c r="C623" s="340"/>
      <c r="D623" s="340"/>
      <c r="E623" s="340"/>
      <c r="F623" s="340"/>
      <c r="G623" s="340"/>
      <c r="H623" s="340"/>
      <c r="I623" s="340"/>
      <c r="J623" s="340" t="s">
        <v>816</v>
      </c>
      <c r="K623" s="340"/>
      <c r="L623" s="340"/>
      <c r="M623" s="340"/>
      <c r="N623" s="340"/>
      <c r="O623" s="340"/>
      <c r="P623" s="340"/>
      <c r="Q623" s="343" t="s">
        <v>10473</v>
      </c>
      <c r="R623" s="45"/>
      <c r="S623" s="45"/>
      <c r="AF623" s="65"/>
      <c r="AG623" s="65"/>
    </row>
    <row r="624" spans="1:33" s="51" customFormat="1">
      <c r="A624" s="341" t="s">
        <v>5935</v>
      </c>
      <c r="B624" s="340" t="s">
        <v>5888</v>
      </c>
      <c r="C624" s="340"/>
      <c r="D624" s="340" t="s">
        <v>5888</v>
      </c>
      <c r="E624" s="340" t="s">
        <v>5888</v>
      </c>
      <c r="F624" s="340" t="s">
        <v>5888</v>
      </c>
      <c r="G624" s="340" t="s">
        <v>5888</v>
      </c>
      <c r="H624" s="340" t="s">
        <v>5888</v>
      </c>
      <c r="I624" s="340" t="s">
        <v>5888</v>
      </c>
      <c r="J624" s="340" t="s">
        <v>816</v>
      </c>
      <c r="K624" s="340" t="s">
        <v>5888</v>
      </c>
      <c r="L624" s="340" t="s">
        <v>5888</v>
      </c>
      <c r="M624" s="340" t="s">
        <v>5888</v>
      </c>
      <c r="N624" s="340" t="s">
        <v>5888</v>
      </c>
      <c r="O624" s="340" t="s">
        <v>5888</v>
      </c>
      <c r="P624" s="340"/>
      <c r="Q624" s="45" t="s">
        <v>5934</v>
      </c>
      <c r="R624" s="45"/>
      <c r="S624" s="45"/>
      <c r="AF624" s="65"/>
      <c r="AG624" s="65"/>
    </row>
    <row r="625" spans="1:33" s="51" customFormat="1">
      <c r="A625" s="341" t="s">
        <v>5933</v>
      </c>
      <c r="B625" s="340" t="s">
        <v>5888</v>
      </c>
      <c r="C625" s="340"/>
      <c r="D625" s="340" t="s">
        <v>5888</v>
      </c>
      <c r="E625" s="340" t="s">
        <v>5888</v>
      </c>
      <c r="F625" s="340" t="s">
        <v>5888</v>
      </c>
      <c r="G625" s="340" t="s">
        <v>5888</v>
      </c>
      <c r="H625" s="340" t="s">
        <v>5888</v>
      </c>
      <c r="I625" s="340" t="s">
        <v>5888</v>
      </c>
      <c r="J625" s="340" t="s">
        <v>816</v>
      </c>
      <c r="K625" s="340" t="s">
        <v>5888</v>
      </c>
      <c r="L625" s="340" t="s">
        <v>5888</v>
      </c>
      <c r="M625" s="340" t="s">
        <v>5888</v>
      </c>
      <c r="N625" s="340" t="s">
        <v>5888</v>
      </c>
      <c r="O625" s="340" t="s">
        <v>5888</v>
      </c>
      <c r="P625" s="340"/>
      <c r="Q625" s="45" t="s">
        <v>5932</v>
      </c>
      <c r="R625" s="45"/>
      <c r="S625" s="45"/>
      <c r="AF625" s="65"/>
      <c r="AG625" s="65"/>
    </row>
    <row r="626" spans="1:33" s="51" customFormat="1">
      <c r="A626" s="341" t="s">
        <v>5931</v>
      </c>
      <c r="B626" s="340" t="s">
        <v>5888</v>
      </c>
      <c r="C626" s="340"/>
      <c r="D626" s="340" t="s">
        <v>5888</v>
      </c>
      <c r="E626" s="340" t="s">
        <v>5888</v>
      </c>
      <c r="F626" s="340" t="s">
        <v>5888</v>
      </c>
      <c r="G626" s="340" t="s">
        <v>5888</v>
      </c>
      <c r="H626" s="340" t="s">
        <v>5888</v>
      </c>
      <c r="I626" s="340" t="s">
        <v>5888</v>
      </c>
      <c r="J626" s="340" t="s">
        <v>816</v>
      </c>
      <c r="K626" s="340" t="s">
        <v>5888</v>
      </c>
      <c r="L626" s="340" t="s">
        <v>5888</v>
      </c>
      <c r="M626" s="340" t="s">
        <v>5888</v>
      </c>
      <c r="N626" s="340" t="s">
        <v>5888</v>
      </c>
      <c r="O626" s="340" t="s">
        <v>5888</v>
      </c>
      <c r="P626" s="340"/>
      <c r="Q626" s="45" t="s">
        <v>5930</v>
      </c>
      <c r="R626" s="45"/>
      <c r="S626" s="45"/>
      <c r="AF626" s="65"/>
      <c r="AG626" s="65"/>
    </row>
    <row r="627" spans="1:33" s="51" customFormat="1">
      <c r="A627" s="341" t="s">
        <v>5929</v>
      </c>
      <c r="B627" s="340" t="s">
        <v>5888</v>
      </c>
      <c r="C627" s="340"/>
      <c r="D627" s="340" t="s">
        <v>5888</v>
      </c>
      <c r="E627" s="340" t="s">
        <v>5888</v>
      </c>
      <c r="F627" s="340" t="s">
        <v>5888</v>
      </c>
      <c r="G627" s="340" t="s">
        <v>5888</v>
      </c>
      <c r="H627" s="340" t="s">
        <v>5888</v>
      </c>
      <c r="I627" s="340" t="s">
        <v>5888</v>
      </c>
      <c r="J627" s="340" t="s">
        <v>816</v>
      </c>
      <c r="K627" s="340" t="s">
        <v>5888</v>
      </c>
      <c r="L627" s="340" t="s">
        <v>5888</v>
      </c>
      <c r="M627" s="340" t="s">
        <v>5888</v>
      </c>
      <c r="N627" s="340" t="s">
        <v>5888</v>
      </c>
      <c r="O627" s="340" t="s">
        <v>5888</v>
      </c>
      <c r="P627" s="340"/>
      <c r="Q627" s="45" t="s">
        <v>5928</v>
      </c>
      <c r="R627" s="45"/>
      <c r="S627" s="45"/>
      <c r="AF627" s="65"/>
      <c r="AG627" s="65"/>
    </row>
    <row r="628" spans="1:33" s="51" customFormat="1">
      <c r="A628" s="341" t="s">
        <v>5927</v>
      </c>
      <c r="B628" s="340" t="s">
        <v>5888</v>
      </c>
      <c r="C628" s="340"/>
      <c r="D628" s="340" t="s">
        <v>5888</v>
      </c>
      <c r="E628" s="340" t="s">
        <v>5888</v>
      </c>
      <c r="F628" s="340" t="s">
        <v>5888</v>
      </c>
      <c r="G628" s="340" t="s">
        <v>5888</v>
      </c>
      <c r="H628" s="340" t="s">
        <v>5888</v>
      </c>
      <c r="I628" s="340" t="s">
        <v>5888</v>
      </c>
      <c r="J628" s="340" t="s">
        <v>816</v>
      </c>
      <c r="K628" s="340" t="s">
        <v>5888</v>
      </c>
      <c r="L628" s="340" t="s">
        <v>5888</v>
      </c>
      <c r="M628" s="340" t="s">
        <v>5888</v>
      </c>
      <c r="N628" s="340" t="s">
        <v>5888</v>
      </c>
      <c r="O628" s="340" t="s">
        <v>5888</v>
      </c>
      <c r="P628" s="340"/>
      <c r="Q628" s="45" t="s">
        <v>5926</v>
      </c>
      <c r="R628" s="45"/>
      <c r="S628" s="45"/>
      <c r="AF628" s="65"/>
      <c r="AG628" s="65"/>
    </row>
    <row r="629" spans="1:33">
      <c r="A629" s="341" t="s">
        <v>5925</v>
      </c>
      <c r="B629" s="340" t="s">
        <v>5888</v>
      </c>
      <c r="C629" s="340"/>
      <c r="D629" s="340" t="s">
        <v>5888</v>
      </c>
      <c r="E629" s="340" t="s">
        <v>5888</v>
      </c>
      <c r="F629" s="340" t="s">
        <v>5888</v>
      </c>
      <c r="G629" s="340" t="s">
        <v>5888</v>
      </c>
      <c r="H629" s="340" t="s">
        <v>5888</v>
      </c>
      <c r="I629" s="340" t="s">
        <v>5888</v>
      </c>
      <c r="J629" s="340" t="s">
        <v>816</v>
      </c>
      <c r="K629" s="340" t="s">
        <v>5888</v>
      </c>
      <c r="L629" s="340" t="s">
        <v>5888</v>
      </c>
      <c r="M629" s="340" t="s">
        <v>5888</v>
      </c>
      <c r="N629" s="340" t="s">
        <v>5888</v>
      </c>
      <c r="O629" s="340" t="s">
        <v>5888</v>
      </c>
      <c r="P629" s="340"/>
      <c r="Q629" s="45" t="s">
        <v>5924</v>
      </c>
      <c r="R629" s="45"/>
      <c r="S629" s="342"/>
    </row>
    <row r="630" spans="1:33">
      <c r="A630" s="341" t="s">
        <v>10640</v>
      </c>
      <c r="B630" s="340" t="s">
        <v>5888</v>
      </c>
      <c r="C630" s="340"/>
      <c r="D630" s="340" t="s">
        <v>5888</v>
      </c>
      <c r="E630" s="340" t="s">
        <v>5888</v>
      </c>
      <c r="F630" s="340" t="s">
        <v>5888</v>
      </c>
      <c r="G630" s="340" t="s">
        <v>5888</v>
      </c>
      <c r="H630" s="340" t="s">
        <v>5888</v>
      </c>
      <c r="I630" s="340" t="s">
        <v>5888</v>
      </c>
      <c r="J630" s="340" t="s">
        <v>816</v>
      </c>
      <c r="K630" s="340" t="s">
        <v>5888</v>
      </c>
      <c r="L630" s="340" t="s">
        <v>5888</v>
      </c>
      <c r="M630" s="340" t="s">
        <v>5888</v>
      </c>
      <c r="N630" s="340" t="s">
        <v>5888</v>
      </c>
      <c r="O630" s="340" t="s">
        <v>5888</v>
      </c>
      <c r="P630" s="340"/>
      <c r="Q630" s="45" t="s">
        <v>10639</v>
      </c>
      <c r="R630" s="45"/>
      <c r="S630" s="342"/>
    </row>
    <row r="631" spans="1:33">
      <c r="A631" s="341" t="s">
        <v>5923</v>
      </c>
      <c r="B631" s="340" t="s">
        <v>5888</v>
      </c>
      <c r="C631" s="340"/>
      <c r="D631" s="340" t="s">
        <v>5888</v>
      </c>
      <c r="E631" s="340" t="s">
        <v>5888</v>
      </c>
      <c r="F631" s="340" t="s">
        <v>5888</v>
      </c>
      <c r="G631" s="340" t="s">
        <v>5888</v>
      </c>
      <c r="H631" s="340" t="s">
        <v>5888</v>
      </c>
      <c r="I631" s="340" t="s">
        <v>5888</v>
      </c>
      <c r="J631" s="340" t="s">
        <v>816</v>
      </c>
      <c r="K631" s="340" t="s">
        <v>816</v>
      </c>
      <c r="L631" s="340" t="s">
        <v>5888</v>
      </c>
      <c r="M631" s="340" t="s">
        <v>5888</v>
      </c>
      <c r="N631" s="340" t="s">
        <v>5888</v>
      </c>
      <c r="O631" s="340" t="s">
        <v>5888</v>
      </c>
      <c r="P631" s="340"/>
      <c r="Q631" s="342" t="s">
        <v>5922</v>
      </c>
      <c r="R631" s="45"/>
      <c r="S631" s="342"/>
    </row>
    <row r="632" spans="1:33">
      <c r="A632" s="341" t="s">
        <v>2552</v>
      </c>
      <c r="B632" s="340" t="s">
        <v>5888</v>
      </c>
      <c r="C632" s="340" t="s">
        <v>4381</v>
      </c>
      <c r="D632" s="340" t="s">
        <v>5888</v>
      </c>
      <c r="E632" s="340"/>
      <c r="F632" s="340" t="s">
        <v>5888</v>
      </c>
      <c r="G632" s="340"/>
      <c r="H632" s="340" t="s">
        <v>5888</v>
      </c>
      <c r="I632" s="340" t="s">
        <v>5888</v>
      </c>
      <c r="J632" s="340" t="s">
        <v>5888</v>
      </c>
      <c r="K632" s="340" t="s">
        <v>5888</v>
      </c>
      <c r="L632" s="340" t="s">
        <v>5888</v>
      </c>
      <c r="M632" s="340" t="s">
        <v>5888</v>
      </c>
      <c r="N632" s="340" t="s">
        <v>5888</v>
      </c>
      <c r="O632" s="340" t="s">
        <v>5888</v>
      </c>
      <c r="P632" s="340"/>
      <c r="Q632" s="45"/>
      <c r="R632" s="45" t="s">
        <v>5921</v>
      </c>
      <c r="S632" s="342"/>
    </row>
    <row r="633" spans="1:33">
      <c r="A633" s="341" t="s">
        <v>3620</v>
      </c>
      <c r="B633" s="340" t="s">
        <v>5888</v>
      </c>
      <c r="C633" s="340"/>
      <c r="D633" s="340" t="s">
        <v>5888</v>
      </c>
      <c r="E633" s="340" t="s">
        <v>5888</v>
      </c>
      <c r="F633" s="340" t="s">
        <v>5888</v>
      </c>
      <c r="G633" s="340" t="s">
        <v>5888</v>
      </c>
      <c r="H633" s="340" t="s">
        <v>816</v>
      </c>
      <c r="I633" s="340" t="s">
        <v>5888</v>
      </c>
      <c r="J633" s="340" t="s">
        <v>816</v>
      </c>
      <c r="K633" s="340" t="s">
        <v>816</v>
      </c>
      <c r="L633" s="340" t="s">
        <v>5888</v>
      </c>
      <c r="M633" s="340" t="s">
        <v>5888</v>
      </c>
      <c r="N633" s="340" t="s">
        <v>5888</v>
      </c>
      <c r="O633" s="340" t="s">
        <v>5888</v>
      </c>
      <c r="P633" s="340"/>
      <c r="Q633" s="343" t="s">
        <v>5919</v>
      </c>
      <c r="R633" s="45"/>
      <c r="S633" s="342"/>
    </row>
    <row r="634" spans="1:33">
      <c r="A634" s="341" t="s">
        <v>5916</v>
      </c>
      <c r="B634" s="340"/>
      <c r="C634" s="340"/>
      <c r="D634" s="340"/>
      <c r="E634" s="340" t="s">
        <v>816</v>
      </c>
      <c r="F634" s="340"/>
      <c r="G634" s="340"/>
      <c r="H634" s="340"/>
      <c r="I634" s="340"/>
      <c r="J634" s="340"/>
      <c r="K634" s="340"/>
      <c r="L634" s="340"/>
      <c r="M634" s="340"/>
      <c r="N634" s="340"/>
      <c r="O634" s="340"/>
      <c r="P634" s="340"/>
      <c r="Q634" s="45" t="s">
        <v>5917</v>
      </c>
      <c r="R634" s="45"/>
      <c r="S634" s="342"/>
    </row>
    <row r="635" spans="1:33">
      <c r="A635" s="341" t="s">
        <v>5916</v>
      </c>
      <c r="B635" s="340"/>
      <c r="C635" s="340"/>
      <c r="D635" s="340"/>
      <c r="E635" s="340" t="s">
        <v>816</v>
      </c>
      <c r="F635" s="340"/>
      <c r="G635" s="340"/>
      <c r="H635" s="340"/>
      <c r="I635" s="340"/>
      <c r="J635" s="340"/>
      <c r="K635" s="340"/>
      <c r="L635" s="340"/>
      <c r="M635" s="340"/>
      <c r="N635" s="340"/>
      <c r="O635" s="340"/>
      <c r="P635" s="340"/>
      <c r="Q635" s="45" t="s">
        <v>5915</v>
      </c>
      <c r="R635" s="45"/>
      <c r="S635" s="342"/>
    </row>
    <row r="636" spans="1:33">
      <c r="A636" s="341" t="s">
        <v>5916</v>
      </c>
      <c r="B636" s="340" t="s">
        <v>5888</v>
      </c>
      <c r="C636" s="340"/>
      <c r="D636" s="340" t="s">
        <v>5888</v>
      </c>
      <c r="E636" s="340" t="s">
        <v>816</v>
      </c>
      <c r="F636" s="340" t="s">
        <v>5888</v>
      </c>
      <c r="G636" s="340" t="s">
        <v>816</v>
      </c>
      <c r="H636" s="340" t="s">
        <v>5888</v>
      </c>
      <c r="I636" s="340" t="s">
        <v>5888</v>
      </c>
      <c r="J636" s="340" t="s">
        <v>5888</v>
      </c>
      <c r="K636" s="340" t="s">
        <v>816</v>
      </c>
      <c r="L636" s="340" t="s">
        <v>5888</v>
      </c>
      <c r="M636" s="340" t="s">
        <v>5888</v>
      </c>
      <c r="N636" s="340" t="s">
        <v>5888</v>
      </c>
      <c r="O636" s="340" t="s">
        <v>5888</v>
      </c>
      <c r="P636" s="340"/>
      <c r="Q636" s="45" t="s">
        <v>5918</v>
      </c>
      <c r="R636" s="45"/>
      <c r="S636" s="342"/>
    </row>
    <row r="637" spans="1:33">
      <c r="A637" s="341" t="s">
        <v>10248</v>
      </c>
      <c r="B637" s="340"/>
      <c r="C637" s="340"/>
      <c r="D637" s="340"/>
      <c r="E637" s="340"/>
      <c r="F637" s="340"/>
      <c r="G637" s="340"/>
      <c r="H637" s="340"/>
      <c r="I637" s="340"/>
      <c r="J637" s="340" t="s">
        <v>816</v>
      </c>
      <c r="K637" s="340" t="s">
        <v>816</v>
      </c>
      <c r="L637" s="340"/>
      <c r="M637" s="340"/>
      <c r="N637" s="340"/>
      <c r="O637" s="340"/>
      <c r="P637" s="340"/>
      <c r="Q637" s="343" t="s">
        <v>10249</v>
      </c>
      <c r="R637" s="45"/>
      <c r="S637" s="342"/>
    </row>
    <row r="638" spans="1:33">
      <c r="A638" s="341" t="s">
        <v>6879</v>
      </c>
      <c r="B638" s="340" t="s">
        <v>5888</v>
      </c>
      <c r="C638" s="340"/>
      <c r="D638" s="340" t="s">
        <v>5888</v>
      </c>
      <c r="E638" s="340" t="s">
        <v>5888</v>
      </c>
      <c r="F638" s="340" t="s">
        <v>5888</v>
      </c>
      <c r="G638" s="340" t="s">
        <v>5888</v>
      </c>
      <c r="H638" s="340" t="s">
        <v>5888</v>
      </c>
      <c r="I638" s="340" t="s">
        <v>5888</v>
      </c>
      <c r="J638" s="340" t="s">
        <v>816</v>
      </c>
      <c r="K638" s="340"/>
      <c r="L638" s="340" t="s">
        <v>5888</v>
      </c>
      <c r="M638" s="340" t="s">
        <v>5888</v>
      </c>
      <c r="N638" s="340" t="s">
        <v>5888</v>
      </c>
      <c r="O638" s="340" t="s">
        <v>5888</v>
      </c>
      <c r="P638" s="340"/>
      <c r="Q638" s="343" t="s">
        <v>6880</v>
      </c>
      <c r="R638" s="45" t="s">
        <v>6881</v>
      </c>
      <c r="S638" s="342"/>
    </row>
    <row r="639" spans="1:33">
      <c r="A639" s="341" t="s">
        <v>1261</v>
      </c>
      <c r="B639" s="340" t="s">
        <v>5888</v>
      </c>
      <c r="C639" s="340"/>
      <c r="D639" s="340" t="s">
        <v>5888</v>
      </c>
      <c r="E639" s="340" t="s">
        <v>5888</v>
      </c>
      <c r="F639" s="340" t="s">
        <v>5888</v>
      </c>
      <c r="G639" s="340" t="s">
        <v>5888</v>
      </c>
      <c r="H639" s="340" t="s">
        <v>5888</v>
      </c>
      <c r="I639" s="340" t="s">
        <v>5888</v>
      </c>
      <c r="J639" s="340" t="s">
        <v>816</v>
      </c>
      <c r="K639" s="340" t="s">
        <v>816</v>
      </c>
      <c r="L639" s="340" t="s">
        <v>5888</v>
      </c>
      <c r="M639" s="340" t="s">
        <v>5888</v>
      </c>
      <c r="N639" s="340" t="s">
        <v>5888</v>
      </c>
      <c r="O639" s="340" t="s">
        <v>5888</v>
      </c>
      <c r="P639" s="340"/>
      <c r="Q639" s="343" t="s">
        <v>8387</v>
      </c>
      <c r="R639" s="45"/>
      <c r="S639" s="342"/>
    </row>
    <row r="640" spans="1:33">
      <c r="A640" s="341" t="s">
        <v>1537</v>
      </c>
      <c r="B640" s="340" t="s">
        <v>5888</v>
      </c>
      <c r="C640" s="340"/>
      <c r="D640" s="340" t="s">
        <v>5888</v>
      </c>
      <c r="E640" s="340" t="s">
        <v>5888</v>
      </c>
      <c r="F640" s="340" t="s">
        <v>5888</v>
      </c>
      <c r="G640" s="340" t="s">
        <v>5888</v>
      </c>
      <c r="H640" s="340" t="s">
        <v>5888</v>
      </c>
      <c r="I640" s="340" t="s">
        <v>5888</v>
      </c>
      <c r="J640" s="340" t="s">
        <v>816</v>
      </c>
      <c r="K640" s="340" t="s">
        <v>5888</v>
      </c>
      <c r="L640" s="340" t="s">
        <v>5888</v>
      </c>
      <c r="M640" s="340" t="s">
        <v>5888</v>
      </c>
      <c r="N640" s="340" t="s">
        <v>5888</v>
      </c>
      <c r="O640" s="340" t="s">
        <v>5888</v>
      </c>
      <c r="P640" s="340"/>
      <c r="Q640" s="45" t="s">
        <v>5914</v>
      </c>
      <c r="R640" s="45"/>
      <c r="S640" s="342"/>
    </row>
    <row r="641" spans="1:19">
      <c r="A641" s="341" t="s">
        <v>5913</v>
      </c>
      <c r="B641" s="340"/>
      <c r="C641" s="340"/>
      <c r="D641" s="340"/>
      <c r="E641" s="340" t="s">
        <v>816</v>
      </c>
      <c r="F641" s="340"/>
      <c r="G641" s="340"/>
      <c r="H641" s="340"/>
      <c r="I641" s="340"/>
      <c r="J641" s="340"/>
      <c r="K641" s="340"/>
      <c r="L641" s="340"/>
      <c r="M641" s="340"/>
      <c r="N641" s="340"/>
      <c r="O641" s="340"/>
      <c r="P641" s="340"/>
      <c r="Q641" s="343" t="s">
        <v>5912</v>
      </c>
      <c r="R641" s="45"/>
      <c r="S641" s="342"/>
    </row>
    <row r="642" spans="1:19">
      <c r="A642" s="341" t="s">
        <v>7274</v>
      </c>
      <c r="B642" s="340"/>
      <c r="C642" s="340"/>
      <c r="D642" s="340"/>
      <c r="E642" s="340"/>
      <c r="F642" s="340"/>
      <c r="G642" s="340"/>
      <c r="H642" s="340"/>
      <c r="I642" s="340"/>
      <c r="J642" s="340" t="s">
        <v>816</v>
      </c>
      <c r="K642" s="340"/>
      <c r="L642" s="340"/>
      <c r="M642" s="340"/>
      <c r="N642" s="340"/>
      <c r="O642" s="340"/>
      <c r="P642" s="340"/>
      <c r="Q642" s="45" t="s">
        <v>7275</v>
      </c>
      <c r="R642" s="45"/>
      <c r="S642" s="342"/>
    </row>
    <row r="643" spans="1:19">
      <c r="A643" s="341" t="s">
        <v>9544</v>
      </c>
      <c r="B643" s="340" t="s">
        <v>5888</v>
      </c>
      <c r="C643" s="340"/>
      <c r="D643" s="340" t="s">
        <v>5888</v>
      </c>
      <c r="E643" s="340" t="s">
        <v>816</v>
      </c>
      <c r="F643" s="340" t="s">
        <v>5888</v>
      </c>
      <c r="G643" s="340" t="s">
        <v>5888</v>
      </c>
      <c r="H643" s="340" t="s">
        <v>5888</v>
      </c>
      <c r="I643" s="340" t="s">
        <v>5888</v>
      </c>
      <c r="J643" s="340"/>
      <c r="K643" s="340" t="s">
        <v>5888</v>
      </c>
      <c r="L643" s="340" t="s">
        <v>5888</v>
      </c>
      <c r="M643" s="340" t="s">
        <v>5888</v>
      </c>
      <c r="N643" s="340" t="s">
        <v>5888</v>
      </c>
      <c r="O643" s="340" t="s">
        <v>5888</v>
      </c>
      <c r="P643" s="340"/>
      <c r="Q643" s="343" t="s">
        <v>9545</v>
      </c>
      <c r="R643" s="45"/>
      <c r="S643" s="342"/>
    </row>
    <row r="644" spans="1:19">
      <c r="A644" s="341" t="s">
        <v>2296</v>
      </c>
      <c r="B644" s="340" t="s">
        <v>5888</v>
      </c>
      <c r="C644" s="340"/>
      <c r="D644" s="340" t="s">
        <v>5888</v>
      </c>
      <c r="E644" s="340" t="s">
        <v>5888</v>
      </c>
      <c r="F644" s="340" t="s">
        <v>5888</v>
      </c>
      <c r="G644" s="340" t="s">
        <v>5888</v>
      </c>
      <c r="H644" s="340" t="s">
        <v>5888</v>
      </c>
      <c r="I644" s="340" t="s">
        <v>5888</v>
      </c>
      <c r="J644" s="340" t="s">
        <v>5888</v>
      </c>
      <c r="K644" s="340" t="s">
        <v>816</v>
      </c>
      <c r="L644" s="340" t="s">
        <v>5888</v>
      </c>
      <c r="M644" s="340" t="s">
        <v>5888</v>
      </c>
      <c r="N644" s="340" t="s">
        <v>5888</v>
      </c>
      <c r="O644" s="340" t="s">
        <v>5888</v>
      </c>
      <c r="P644" s="340"/>
      <c r="Q644" s="45" t="s">
        <v>5911</v>
      </c>
      <c r="R644" s="45"/>
      <c r="S644" s="342"/>
    </row>
    <row r="645" spans="1:19">
      <c r="A645" s="341" t="s">
        <v>6802</v>
      </c>
      <c r="B645" s="340" t="s">
        <v>5888</v>
      </c>
      <c r="C645" s="340"/>
      <c r="D645" s="340" t="s">
        <v>5888</v>
      </c>
      <c r="E645" s="340" t="s">
        <v>5888</v>
      </c>
      <c r="F645" s="340" t="s">
        <v>5888</v>
      </c>
      <c r="G645" s="340"/>
      <c r="H645" s="340" t="s">
        <v>5888</v>
      </c>
      <c r="I645" s="340" t="s">
        <v>816</v>
      </c>
      <c r="J645" s="340"/>
      <c r="K645" s="340" t="s">
        <v>816</v>
      </c>
      <c r="L645" s="340"/>
      <c r="M645" s="340" t="s">
        <v>816</v>
      </c>
      <c r="N645" s="340" t="s">
        <v>5888</v>
      </c>
      <c r="O645" s="340" t="s">
        <v>5888</v>
      </c>
      <c r="P645" s="340"/>
      <c r="Q645" s="45" t="s">
        <v>6810</v>
      </c>
      <c r="R645" s="45"/>
      <c r="S645" s="342"/>
    </row>
    <row r="646" spans="1:19">
      <c r="A646" s="341" t="s">
        <v>3962</v>
      </c>
      <c r="B646" s="340" t="s">
        <v>5888</v>
      </c>
      <c r="C646" s="340"/>
      <c r="D646" s="340" t="s">
        <v>5888</v>
      </c>
      <c r="E646" s="340" t="s">
        <v>5888</v>
      </c>
      <c r="F646" s="340" t="s">
        <v>5888</v>
      </c>
      <c r="G646" s="340" t="s">
        <v>816</v>
      </c>
      <c r="H646" s="340" t="s">
        <v>816</v>
      </c>
      <c r="I646" s="340" t="s">
        <v>816</v>
      </c>
      <c r="J646" s="340" t="s">
        <v>816</v>
      </c>
      <c r="K646" s="340" t="s">
        <v>816</v>
      </c>
      <c r="L646" s="340" t="s">
        <v>816</v>
      </c>
      <c r="M646" s="340" t="s">
        <v>5888</v>
      </c>
      <c r="N646" s="340" t="s">
        <v>5888</v>
      </c>
      <c r="O646" s="340" t="s">
        <v>5888</v>
      </c>
      <c r="P646" s="340"/>
      <c r="Q646" s="343" t="s">
        <v>6944</v>
      </c>
      <c r="R646" s="45"/>
      <c r="S646" s="342"/>
    </row>
    <row r="647" spans="1:19">
      <c r="A647" s="341" t="s">
        <v>6943</v>
      </c>
      <c r="B647" s="340" t="s">
        <v>5888</v>
      </c>
      <c r="C647" s="340"/>
      <c r="D647" s="340" t="s">
        <v>5888</v>
      </c>
      <c r="E647" s="340" t="s">
        <v>5888</v>
      </c>
      <c r="F647" s="340" t="s">
        <v>5888</v>
      </c>
      <c r="G647" s="340" t="s">
        <v>816</v>
      </c>
      <c r="H647" s="340" t="s">
        <v>816</v>
      </c>
      <c r="I647" s="340" t="s">
        <v>816</v>
      </c>
      <c r="J647" s="340" t="s">
        <v>816</v>
      </c>
      <c r="K647" s="340" t="s">
        <v>816</v>
      </c>
      <c r="L647" s="340" t="s">
        <v>816</v>
      </c>
      <c r="M647" s="340" t="s">
        <v>5888</v>
      </c>
      <c r="N647" s="340" t="s">
        <v>5888</v>
      </c>
      <c r="O647" s="340" t="s">
        <v>5888</v>
      </c>
      <c r="P647" s="340"/>
      <c r="Q647" s="343" t="s">
        <v>6888</v>
      </c>
      <c r="R647" s="45"/>
      <c r="S647" s="342"/>
    </row>
    <row r="648" spans="1:19">
      <c r="A648" s="341" t="s">
        <v>7107</v>
      </c>
      <c r="B648" s="340" t="s">
        <v>5888</v>
      </c>
      <c r="C648" s="340"/>
      <c r="D648" s="340" t="s">
        <v>5888</v>
      </c>
      <c r="E648" s="340" t="s">
        <v>5888</v>
      </c>
      <c r="F648" s="340" t="s">
        <v>5888</v>
      </c>
      <c r="G648" s="340" t="s">
        <v>816</v>
      </c>
      <c r="H648" s="340" t="s">
        <v>816</v>
      </c>
      <c r="I648" s="340" t="s">
        <v>816</v>
      </c>
      <c r="J648" s="340" t="s">
        <v>816</v>
      </c>
      <c r="K648" s="340" t="s">
        <v>816</v>
      </c>
      <c r="L648" s="340" t="s">
        <v>816</v>
      </c>
      <c r="M648" s="340" t="s">
        <v>5888</v>
      </c>
      <c r="N648" s="340" t="s">
        <v>5888</v>
      </c>
      <c r="O648" s="340" t="s">
        <v>5888</v>
      </c>
      <c r="P648" s="340"/>
      <c r="Q648" s="343" t="s">
        <v>7106</v>
      </c>
      <c r="R648" s="45"/>
      <c r="S648" s="342"/>
    </row>
    <row r="649" spans="1:19">
      <c r="A649" s="341" t="s">
        <v>7108</v>
      </c>
      <c r="B649" s="340" t="s">
        <v>5888</v>
      </c>
      <c r="C649" s="340"/>
      <c r="D649" s="340" t="s">
        <v>5888</v>
      </c>
      <c r="E649" s="340" t="s">
        <v>5888</v>
      </c>
      <c r="F649" s="340" t="s">
        <v>5888</v>
      </c>
      <c r="G649" s="340" t="s">
        <v>816</v>
      </c>
      <c r="H649" s="340" t="s">
        <v>816</v>
      </c>
      <c r="I649" s="340" t="s">
        <v>816</v>
      </c>
      <c r="J649" s="340" t="s">
        <v>816</v>
      </c>
      <c r="K649" s="340" t="s">
        <v>816</v>
      </c>
      <c r="L649" s="340" t="s">
        <v>816</v>
      </c>
      <c r="M649" s="340" t="s">
        <v>5888</v>
      </c>
      <c r="N649" s="340" t="s">
        <v>5888</v>
      </c>
      <c r="O649" s="340" t="s">
        <v>5888</v>
      </c>
      <c r="P649" s="340"/>
      <c r="Q649" s="343" t="s">
        <v>7105</v>
      </c>
      <c r="R649" s="45"/>
      <c r="S649" s="342"/>
    </row>
    <row r="650" spans="1:19">
      <c r="A650" s="341" t="s">
        <v>4422</v>
      </c>
      <c r="B650" s="340" t="s">
        <v>5888</v>
      </c>
      <c r="C650" s="340"/>
      <c r="D650" s="340" t="s">
        <v>5888</v>
      </c>
      <c r="E650" s="340" t="s">
        <v>5888</v>
      </c>
      <c r="F650" s="340" t="s">
        <v>5888</v>
      </c>
      <c r="G650" s="340" t="s">
        <v>5888</v>
      </c>
      <c r="H650" s="340" t="s">
        <v>5888</v>
      </c>
      <c r="I650" s="340" t="s">
        <v>816</v>
      </c>
      <c r="J650" s="340" t="s">
        <v>816</v>
      </c>
      <c r="K650" s="340" t="s">
        <v>816</v>
      </c>
      <c r="L650" s="340" t="s">
        <v>5888</v>
      </c>
      <c r="M650" s="340" t="s">
        <v>5888</v>
      </c>
      <c r="N650" s="340" t="s">
        <v>5888</v>
      </c>
      <c r="O650" s="340" t="s">
        <v>5888</v>
      </c>
      <c r="P650" s="340"/>
      <c r="Q650" s="45" t="s">
        <v>5910</v>
      </c>
      <c r="R650" s="45"/>
      <c r="S650" s="342"/>
    </row>
    <row r="651" spans="1:19">
      <c r="A651" s="349" t="s">
        <v>5909</v>
      </c>
      <c r="B651" s="340" t="s">
        <v>5888</v>
      </c>
      <c r="C651" s="340"/>
      <c r="D651" s="340" t="s">
        <v>5888</v>
      </c>
      <c r="E651" s="340" t="s">
        <v>5888</v>
      </c>
      <c r="F651" s="340" t="s">
        <v>5888</v>
      </c>
      <c r="G651" s="340" t="s">
        <v>816</v>
      </c>
      <c r="H651" s="340" t="s">
        <v>5888</v>
      </c>
      <c r="I651" s="340" t="s">
        <v>5888</v>
      </c>
      <c r="J651" s="340" t="s">
        <v>816</v>
      </c>
      <c r="K651" s="340" t="s">
        <v>816</v>
      </c>
      <c r="L651" s="340" t="s">
        <v>5888</v>
      </c>
      <c r="M651" s="340" t="s">
        <v>5888</v>
      </c>
      <c r="N651" s="340" t="s">
        <v>5888</v>
      </c>
      <c r="O651" s="340" t="s">
        <v>5888</v>
      </c>
      <c r="P651" s="340"/>
      <c r="Q651" s="45" t="s">
        <v>5908</v>
      </c>
      <c r="R651" s="45"/>
      <c r="S651" s="342"/>
    </row>
    <row r="652" spans="1:19">
      <c r="A652" s="341" t="s">
        <v>5907</v>
      </c>
      <c r="B652" s="340" t="s">
        <v>5888</v>
      </c>
      <c r="C652" s="340"/>
      <c r="D652" s="340" t="s">
        <v>5888</v>
      </c>
      <c r="E652" s="340" t="s">
        <v>5888</v>
      </c>
      <c r="F652" s="340" t="s">
        <v>5888</v>
      </c>
      <c r="G652" s="340" t="s">
        <v>5888</v>
      </c>
      <c r="H652" s="340" t="s">
        <v>5888</v>
      </c>
      <c r="I652" s="340" t="s">
        <v>5888</v>
      </c>
      <c r="J652" s="340" t="s">
        <v>816</v>
      </c>
      <c r="K652" s="340" t="s">
        <v>816</v>
      </c>
      <c r="L652" s="340" t="s">
        <v>5888</v>
      </c>
      <c r="M652" s="340" t="s">
        <v>5888</v>
      </c>
      <c r="N652" s="340" t="s">
        <v>5888</v>
      </c>
      <c r="O652" s="340" t="s">
        <v>5888</v>
      </c>
      <c r="P652" s="340"/>
      <c r="Q652" s="45" t="s">
        <v>5906</v>
      </c>
      <c r="R652" s="45"/>
      <c r="S652" s="342"/>
    </row>
    <row r="653" spans="1:19">
      <c r="A653" s="341" t="s">
        <v>5905</v>
      </c>
      <c r="B653" s="340" t="s">
        <v>5888</v>
      </c>
      <c r="C653" s="340"/>
      <c r="D653" s="340" t="s">
        <v>5888</v>
      </c>
      <c r="E653" s="340" t="s">
        <v>5888</v>
      </c>
      <c r="F653" s="340" t="s">
        <v>5888</v>
      </c>
      <c r="G653" s="340" t="s">
        <v>5888</v>
      </c>
      <c r="H653" s="340" t="s">
        <v>5888</v>
      </c>
      <c r="I653" s="340" t="s">
        <v>5888</v>
      </c>
      <c r="J653" s="340" t="s">
        <v>816</v>
      </c>
      <c r="K653" s="340" t="s">
        <v>816</v>
      </c>
      <c r="L653" s="340" t="s">
        <v>5888</v>
      </c>
      <c r="M653" s="340" t="s">
        <v>5888</v>
      </c>
      <c r="N653" s="340" t="s">
        <v>5888</v>
      </c>
      <c r="O653" s="340" t="s">
        <v>5888</v>
      </c>
      <c r="P653" s="340"/>
      <c r="Q653" s="45" t="s">
        <v>5904</v>
      </c>
      <c r="R653" s="45"/>
      <c r="S653" s="342"/>
    </row>
    <row r="654" spans="1:19">
      <c r="A654" s="341" t="s">
        <v>5903</v>
      </c>
      <c r="B654" s="340"/>
      <c r="C654" s="340"/>
      <c r="D654" s="340"/>
      <c r="E654" s="340" t="s">
        <v>816</v>
      </c>
      <c r="F654" s="340"/>
      <c r="G654" s="340"/>
      <c r="H654" s="340"/>
      <c r="I654" s="340"/>
      <c r="J654" s="340"/>
      <c r="K654" s="340"/>
      <c r="L654" s="340"/>
      <c r="M654" s="340"/>
      <c r="N654" s="340"/>
      <c r="O654" s="340"/>
      <c r="P654" s="340"/>
      <c r="Q654" s="45" t="s">
        <v>5902</v>
      </c>
      <c r="R654" s="342"/>
      <c r="S654" s="342"/>
    </row>
    <row r="655" spans="1:19">
      <c r="A655" s="341" t="s">
        <v>9543</v>
      </c>
      <c r="B655" s="340" t="s">
        <v>5888</v>
      </c>
      <c r="C655" s="340"/>
      <c r="D655" s="340" t="s">
        <v>5888</v>
      </c>
      <c r="E655" s="340" t="s">
        <v>5888</v>
      </c>
      <c r="F655" s="340" t="s">
        <v>5888</v>
      </c>
      <c r="G655" s="340" t="s">
        <v>5888</v>
      </c>
      <c r="H655" s="340" t="s">
        <v>5888</v>
      </c>
      <c r="I655" s="340" t="s">
        <v>5888</v>
      </c>
      <c r="J655" s="340" t="s">
        <v>816</v>
      </c>
      <c r="K655" s="340" t="s">
        <v>5888</v>
      </c>
      <c r="L655" s="340" t="s">
        <v>5888</v>
      </c>
      <c r="M655" s="340" t="s">
        <v>5888</v>
      </c>
      <c r="N655" s="340" t="s">
        <v>5888</v>
      </c>
      <c r="O655" s="340" t="s">
        <v>5888</v>
      </c>
      <c r="P655" s="340"/>
      <c r="Q655" s="45" t="s">
        <v>7981</v>
      </c>
      <c r="R655" s="342"/>
    </row>
    <row r="656" spans="1:19">
      <c r="A656" s="341" t="s">
        <v>2302</v>
      </c>
      <c r="B656" s="340" t="s">
        <v>5888</v>
      </c>
      <c r="C656" s="340"/>
      <c r="D656" s="340" t="s">
        <v>5888</v>
      </c>
      <c r="E656" s="340" t="s">
        <v>5888</v>
      </c>
      <c r="F656" s="340" t="s">
        <v>5888</v>
      </c>
      <c r="G656" s="340" t="s">
        <v>5888</v>
      </c>
      <c r="H656" s="340" t="s">
        <v>5888</v>
      </c>
      <c r="I656" s="340" t="s">
        <v>816</v>
      </c>
      <c r="J656" s="340" t="s">
        <v>5888</v>
      </c>
      <c r="K656" s="340" t="s">
        <v>5888</v>
      </c>
      <c r="L656" s="340" t="s">
        <v>5888</v>
      </c>
      <c r="M656" s="340" t="s">
        <v>5888</v>
      </c>
      <c r="N656" s="340" t="s">
        <v>5888</v>
      </c>
      <c r="O656" s="340" t="s">
        <v>5888</v>
      </c>
      <c r="P656" s="340"/>
      <c r="Q656" s="45" t="s">
        <v>5901</v>
      </c>
      <c r="R656" s="342"/>
      <c r="S656" s="342"/>
    </row>
    <row r="657" spans="1:19">
      <c r="A657" s="341" t="s">
        <v>1338</v>
      </c>
      <c r="B657" s="340" t="s">
        <v>5888</v>
      </c>
      <c r="C657" s="340"/>
      <c r="D657" s="340" t="s">
        <v>816</v>
      </c>
      <c r="E657" s="340" t="s">
        <v>5888</v>
      </c>
      <c r="F657" s="340" t="s">
        <v>5888</v>
      </c>
      <c r="G657" s="340" t="s">
        <v>5888</v>
      </c>
      <c r="H657" s="340" t="s">
        <v>5888</v>
      </c>
      <c r="I657" s="340" t="s">
        <v>5888</v>
      </c>
      <c r="J657" s="340" t="s">
        <v>5888</v>
      </c>
      <c r="K657" s="340" t="s">
        <v>5888</v>
      </c>
      <c r="L657" s="340" t="s">
        <v>5888</v>
      </c>
      <c r="M657" s="340" t="s">
        <v>816</v>
      </c>
      <c r="N657" s="340" t="s">
        <v>5888</v>
      </c>
      <c r="O657" s="340" t="s">
        <v>5888</v>
      </c>
      <c r="P657" s="340"/>
      <c r="Q657" s="45" t="s">
        <v>5900</v>
      </c>
      <c r="R657" s="342"/>
      <c r="S657" s="342"/>
    </row>
    <row r="658" spans="1:19">
      <c r="A658" s="341" t="s">
        <v>5899</v>
      </c>
      <c r="B658" s="340" t="s">
        <v>5888</v>
      </c>
      <c r="C658" s="340"/>
      <c r="D658" s="340" t="s">
        <v>5888</v>
      </c>
      <c r="E658" s="340" t="s">
        <v>816</v>
      </c>
      <c r="F658" s="340" t="s">
        <v>5888</v>
      </c>
      <c r="G658" s="340" t="s">
        <v>5888</v>
      </c>
      <c r="H658" s="340" t="s">
        <v>816</v>
      </c>
      <c r="I658" s="340" t="s">
        <v>5888</v>
      </c>
      <c r="J658" s="340" t="s">
        <v>5888</v>
      </c>
      <c r="K658" s="340" t="s">
        <v>5888</v>
      </c>
      <c r="L658" s="340" t="s">
        <v>5888</v>
      </c>
      <c r="M658" s="340" t="s">
        <v>5888</v>
      </c>
      <c r="N658" s="340" t="s">
        <v>5888</v>
      </c>
      <c r="O658" s="340" t="s">
        <v>5888</v>
      </c>
      <c r="P658" s="340"/>
      <c r="Q658" s="45" t="s">
        <v>5898</v>
      </c>
      <c r="R658" s="342"/>
      <c r="S658" s="342"/>
    </row>
    <row r="659" spans="1:19">
      <c r="A659" s="341" t="s">
        <v>1607</v>
      </c>
      <c r="B659" s="340" t="s">
        <v>5888</v>
      </c>
      <c r="C659" s="340"/>
      <c r="D659" s="340" t="s">
        <v>5888</v>
      </c>
      <c r="E659" s="340" t="s">
        <v>5888</v>
      </c>
      <c r="F659" s="340" t="s">
        <v>5888</v>
      </c>
      <c r="G659" s="340" t="s">
        <v>5888</v>
      </c>
      <c r="H659" s="340" t="s">
        <v>5888</v>
      </c>
      <c r="I659" s="340" t="s">
        <v>5888</v>
      </c>
      <c r="J659" s="340" t="s">
        <v>816</v>
      </c>
      <c r="K659" s="340" t="s">
        <v>816</v>
      </c>
      <c r="L659" s="340" t="s">
        <v>5888</v>
      </c>
      <c r="M659" s="340" t="s">
        <v>5888</v>
      </c>
      <c r="N659" s="340" t="s">
        <v>5888</v>
      </c>
      <c r="O659" s="340" t="s">
        <v>5888</v>
      </c>
      <c r="P659" s="340"/>
      <c r="Q659" s="45" t="s">
        <v>5897</v>
      </c>
      <c r="R659" s="342"/>
      <c r="S659" s="342"/>
    </row>
    <row r="660" spans="1:19">
      <c r="A660" s="341" t="s">
        <v>6710</v>
      </c>
      <c r="B660" s="340" t="s">
        <v>5888</v>
      </c>
      <c r="C660" s="340"/>
      <c r="D660" s="340" t="s">
        <v>5888</v>
      </c>
      <c r="E660" s="340" t="s">
        <v>5888</v>
      </c>
      <c r="F660" s="340" t="s">
        <v>5888</v>
      </c>
      <c r="G660" s="340" t="s">
        <v>5888</v>
      </c>
      <c r="H660" s="340" t="s">
        <v>5888</v>
      </c>
      <c r="I660" s="340" t="s">
        <v>5888</v>
      </c>
      <c r="J660" s="340" t="s">
        <v>816</v>
      </c>
      <c r="K660" s="340" t="s">
        <v>816</v>
      </c>
      <c r="L660" s="340" t="s">
        <v>5888</v>
      </c>
      <c r="M660" s="340" t="s">
        <v>5888</v>
      </c>
      <c r="N660" s="340" t="s">
        <v>5888</v>
      </c>
      <c r="O660" s="340" t="s">
        <v>5888</v>
      </c>
      <c r="P660" s="340"/>
      <c r="Q660" s="45" t="s">
        <v>5896</v>
      </c>
      <c r="R660" s="342"/>
      <c r="S660" s="342"/>
    </row>
    <row r="661" spans="1:19">
      <c r="A661" s="341" t="s">
        <v>7631</v>
      </c>
      <c r="B661" s="340" t="s">
        <v>5888</v>
      </c>
      <c r="C661" s="340"/>
      <c r="D661" s="340" t="s">
        <v>5888</v>
      </c>
      <c r="E661" s="340" t="s">
        <v>5888</v>
      </c>
      <c r="F661" s="340" t="s">
        <v>5888</v>
      </c>
      <c r="G661" s="340" t="s">
        <v>5888</v>
      </c>
      <c r="H661" s="340" t="s">
        <v>816</v>
      </c>
      <c r="I661" s="340" t="s">
        <v>5888</v>
      </c>
      <c r="J661" s="340" t="s">
        <v>5888</v>
      </c>
      <c r="K661" s="340" t="s">
        <v>5888</v>
      </c>
      <c r="L661" s="340" t="s">
        <v>5888</v>
      </c>
      <c r="M661" s="340" t="s">
        <v>5888</v>
      </c>
      <c r="N661" s="340" t="s">
        <v>5888</v>
      </c>
      <c r="O661" s="340" t="s">
        <v>5888</v>
      </c>
      <c r="P661" s="340"/>
      <c r="Q661" s="343" t="s">
        <v>7632</v>
      </c>
      <c r="R661" s="342"/>
      <c r="S661" s="342"/>
    </row>
    <row r="662" spans="1:19">
      <c r="A662" s="341" t="s">
        <v>8674</v>
      </c>
      <c r="B662" s="340"/>
      <c r="C662" s="340"/>
      <c r="D662" s="340"/>
      <c r="E662" s="340"/>
      <c r="F662" s="340"/>
      <c r="G662" s="340"/>
      <c r="H662" s="340" t="s">
        <v>816</v>
      </c>
      <c r="I662" s="340"/>
      <c r="J662" s="340"/>
      <c r="K662" s="340"/>
      <c r="L662" s="340"/>
      <c r="M662" s="340"/>
      <c r="N662" s="340"/>
      <c r="O662" s="340"/>
      <c r="P662" s="340"/>
      <c r="Q662" s="662" t="s">
        <v>10481</v>
      </c>
      <c r="R662" s="342"/>
      <c r="S662" s="342"/>
    </row>
    <row r="663" spans="1:19">
      <c r="A663" s="341" t="s">
        <v>8674</v>
      </c>
      <c r="B663" s="340"/>
      <c r="C663" s="340"/>
      <c r="D663" s="340"/>
      <c r="E663" s="340"/>
      <c r="F663" s="340"/>
      <c r="G663" s="340"/>
      <c r="H663" s="340" t="s">
        <v>816</v>
      </c>
      <c r="I663" s="340"/>
      <c r="J663" s="340"/>
      <c r="K663" s="340"/>
      <c r="L663" s="340"/>
      <c r="M663" s="340"/>
      <c r="N663" s="340"/>
      <c r="O663" s="340"/>
      <c r="P663" s="340"/>
      <c r="Q663" s="662" t="s">
        <v>6283</v>
      </c>
      <c r="R663" s="342"/>
      <c r="S663" s="342"/>
    </row>
    <row r="664" spans="1:19">
      <c r="A664" s="341" t="s">
        <v>8674</v>
      </c>
      <c r="B664" s="340"/>
      <c r="C664" s="340"/>
      <c r="D664" s="340"/>
      <c r="E664" s="340"/>
      <c r="F664" s="340"/>
      <c r="G664" s="340"/>
      <c r="H664" s="340" t="s">
        <v>816</v>
      </c>
      <c r="I664" s="340"/>
      <c r="J664" s="340"/>
      <c r="K664" s="340"/>
      <c r="L664" s="340"/>
      <c r="M664" s="340"/>
      <c r="N664" s="340"/>
      <c r="O664" s="340"/>
      <c r="P664" s="340"/>
      <c r="Q664" s="662" t="s">
        <v>10482</v>
      </c>
      <c r="R664" s="342"/>
      <c r="S664" s="342"/>
    </row>
    <row r="665" spans="1:19">
      <c r="A665" s="341" t="s">
        <v>8674</v>
      </c>
      <c r="B665" s="340"/>
      <c r="C665" s="340"/>
      <c r="D665" s="340"/>
      <c r="E665" s="340"/>
      <c r="F665" s="340"/>
      <c r="G665" s="340"/>
      <c r="H665" s="340" t="s">
        <v>816</v>
      </c>
      <c r="I665" s="340"/>
      <c r="J665" s="340"/>
      <c r="K665" s="340"/>
      <c r="L665" s="340"/>
      <c r="M665" s="340"/>
      <c r="N665" s="340"/>
      <c r="O665" s="340"/>
      <c r="P665" s="340"/>
      <c r="Q665" s="45" t="s">
        <v>7632</v>
      </c>
      <c r="R665" s="342"/>
      <c r="S665" s="342"/>
    </row>
    <row r="666" spans="1:19">
      <c r="A666" s="341" t="s">
        <v>8674</v>
      </c>
      <c r="B666" s="340"/>
      <c r="C666" s="340" t="s">
        <v>816</v>
      </c>
      <c r="D666" s="340"/>
      <c r="E666" s="340"/>
      <c r="F666" s="340"/>
      <c r="G666" s="340"/>
      <c r="H666" s="340" t="s">
        <v>816</v>
      </c>
      <c r="I666" s="340"/>
      <c r="J666" s="340"/>
      <c r="K666" s="340"/>
      <c r="L666" s="340"/>
      <c r="M666" s="340"/>
      <c r="N666" s="340"/>
      <c r="O666" s="340"/>
      <c r="P666" s="340"/>
      <c r="Q666" s="662" t="s">
        <v>6285</v>
      </c>
      <c r="R666" s="45" t="s">
        <v>8675</v>
      </c>
      <c r="S666" s="342"/>
    </row>
    <row r="667" spans="1:19">
      <c r="A667" s="341" t="s">
        <v>574</v>
      </c>
      <c r="B667" s="340" t="s">
        <v>5888</v>
      </c>
      <c r="C667" s="340"/>
      <c r="D667" s="340" t="s">
        <v>5888</v>
      </c>
      <c r="E667" s="340" t="s">
        <v>5888</v>
      </c>
      <c r="F667" s="340" t="s">
        <v>5888</v>
      </c>
      <c r="G667" s="340" t="s">
        <v>5888</v>
      </c>
      <c r="H667" s="340" t="s">
        <v>816</v>
      </c>
      <c r="I667" s="340" t="s">
        <v>816</v>
      </c>
      <c r="J667" s="340" t="s">
        <v>5888</v>
      </c>
      <c r="K667" s="340" t="s">
        <v>5888</v>
      </c>
      <c r="L667" s="340" t="s">
        <v>5888</v>
      </c>
      <c r="M667" s="340" t="s">
        <v>5888</v>
      </c>
      <c r="N667" s="340" t="s">
        <v>5888</v>
      </c>
      <c r="O667" s="340" t="s">
        <v>5888</v>
      </c>
      <c r="P667" s="340"/>
      <c r="Q667" s="45" t="s">
        <v>5895</v>
      </c>
      <c r="R667" s="342"/>
      <c r="S667" s="342"/>
    </row>
    <row r="668" spans="1:19">
      <c r="A668" s="341" t="s">
        <v>5894</v>
      </c>
      <c r="B668" s="340" t="s">
        <v>5888</v>
      </c>
      <c r="C668" s="340"/>
      <c r="D668" s="340" t="s">
        <v>5888</v>
      </c>
      <c r="E668" s="340" t="s">
        <v>5888</v>
      </c>
      <c r="F668" s="340" t="s">
        <v>5888</v>
      </c>
      <c r="G668" s="340" t="s">
        <v>5888</v>
      </c>
      <c r="H668" s="340" t="s">
        <v>5888</v>
      </c>
      <c r="I668" s="340" t="s">
        <v>816</v>
      </c>
      <c r="J668" s="340" t="s">
        <v>5888</v>
      </c>
      <c r="K668" s="340" t="s">
        <v>816</v>
      </c>
      <c r="L668" s="340" t="s">
        <v>5888</v>
      </c>
      <c r="M668" s="340" t="s">
        <v>5888</v>
      </c>
      <c r="N668" s="340" t="s">
        <v>5888</v>
      </c>
      <c r="O668" s="340" t="s">
        <v>5888</v>
      </c>
      <c r="P668" s="340"/>
      <c r="Q668" s="45" t="s">
        <v>5893</v>
      </c>
      <c r="R668" s="342"/>
      <c r="S668" s="342"/>
    </row>
    <row r="669" spans="1:19">
      <c r="A669" s="341" t="s">
        <v>5892</v>
      </c>
      <c r="B669" s="340" t="s">
        <v>5888</v>
      </c>
      <c r="C669" s="340"/>
      <c r="D669" s="340" t="s">
        <v>5888</v>
      </c>
      <c r="E669" s="340" t="s">
        <v>5888</v>
      </c>
      <c r="F669" s="340" t="s">
        <v>5888</v>
      </c>
      <c r="G669" s="340" t="s">
        <v>5888</v>
      </c>
      <c r="H669" s="340" t="s">
        <v>5888</v>
      </c>
      <c r="I669" s="340" t="s">
        <v>816</v>
      </c>
      <c r="J669" s="340" t="s">
        <v>5888</v>
      </c>
      <c r="K669" s="340" t="s">
        <v>816</v>
      </c>
      <c r="L669" s="340" t="s">
        <v>5888</v>
      </c>
      <c r="M669" s="340" t="s">
        <v>5888</v>
      </c>
      <c r="N669" s="340" t="s">
        <v>5888</v>
      </c>
      <c r="O669" s="340" t="s">
        <v>5888</v>
      </c>
      <c r="P669" s="340"/>
      <c r="Q669" s="45" t="s">
        <v>5891</v>
      </c>
      <c r="R669" s="342"/>
      <c r="S669" s="342"/>
    </row>
    <row r="670" spans="1:19">
      <c r="A670" s="341" t="s">
        <v>5890</v>
      </c>
      <c r="B670" s="340" t="s">
        <v>5888</v>
      </c>
      <c r="C670" s="340"/>
      <c r="D670" s="340" t="s">
        <v>5888</v>
      </c>
      <c r="E670" s="340" t="s">
        <v>5888</v>
      </c>
      <c r="F670" s="340" t="s">
        <v>5888</v>
      </c>
      <c r="G670" s="340" t="s">
        <v>5888</v>
      </c>
      <c r="H670" s="340" t="s">
        <v>5888</v>
      </c>
      <c r="I670" s="340" t="s">
        <v>816</v>
      </c>
      <c r="J670" s="340" t="s">
        <v>5888</v>
      </c>
      <c r="K670" s="340" t="s">
        <v>816</v>
      </c>
      <c r="L670" s="340" t="s">
        <v>5888</v>
      </c>
      <c r="M670" s="340" t="s">
        <v>5888</v>
      </c>
      <c r="N670" s="340" t="s">
        <v>5888</v>
      </c>
      <c r="O670" s="340" t="s">
        <v>5888</v>
      </c>
      <c r="P670" s="340"/>
      <c r="Q670" s="45" t="s">
        <v>5889</v>
      </c>
      <c r="R670" s="342"/>
      <c r="S670" s="342"/>
    </row>
    <row r="671" spans="1:19">
      <c r="A671" s="341" t="s">
        <v>1413</v>
      </c>
      <c r="B671" s="340" t="s">
        <v>816</v>
      </c>
      <c r="C671" s="340"/>
      <c r="D671" s="340" t="s">
        <v>5888</v>
      </c>
      <c r="E671" s="340" t="s">
        <v>5888</v>
      </c>
      <c r="F671" s="340" t="s">
        <v>5888</v>
      </c>
      <c r="G671" s="340" t="s">
        <v>5888</v>
      </c>
      <c r="H671" s="340" t="s">
        <v>5888</v>
      </c>
      <c r="I671" s="340" t="s">
        <v>5888</v>
      </c>
      <c r="J671" s="340" t="s">
        <v>5888</v>
      </c>
      <c r="K671" s="340" t="s">
        <v>5888</v>
      </c>
      <c r="L671" s="340" t="s">
        <v>5888</v>
      </c>
      <c r="M671" s="340"/>
      <c r="N671" s="340" t="s">
        <v>5888</v>
      </c>
      <c r="O671" s="340" t="s">
        <v>816</v>
      </c>
      <c r="P671" s="340"/>
      <c r="Q671" s="45" t="s">
        <v>5887</v>
      </c>
      <c r="R671" s="342"/>
      <c r="S671" s="342"/>
    </row>
  </sheetData>
  <autoFilter ref="A1:S671"/>
  <conditionalFormatting sqref="Q672:Q1048576 R371 Q650:Q651 Q271 Q304 Q479:Q486 Q488:Q498 Q501 R499:R500 R487 Q647 Q134 Q92:Q94 Q56:Q61 R55 Q54 Q511:Q512 R513 Q531:Q535 R530 Q538:Q551 R536:R537 Q113:Q115 Q117 Q119 R118 R116 Q225:Q227 Q230:Q232 Q236:Q238 Q240:Q252 Q256:Q259 Q295 Q297:Q302 Q313:Q314 Q317:Q318 Q321:Q324 Q326:Q327 R325 Q349:Q352 Q357 Q359:Q360 Q366:Q367 R365 R358 Q384:Q385 R383 R355 Q354 R353 Q389:Q392 Q395 R393:R394 Q456:Q457 Q468:Q470 Q472 Q475:Q477 Q503:Q509 Q553:Q555 Q83:Q84 R77:R78 Q86:Q88 R90 Q174:Q178 Q589:Q591 Q201:Q214 Q309:Q310 Q567:Q568 Q572:Q575 R571 Q570 R569 Q580 R578:R579 R149 Q182:Q191 Q634 Q435:Q437 Q193 Q599:Q603 Q132 Q274:Q289 Q613:Q617 Q525:Q526 Q528:Q529 R527 Q37:Q43 Q195:Q197 Q559:Q565 Q380:Q382 Q557 Q1:Q2 Q307 Q291:Q293 Q19:Q21 Q329:Q330 Q363:Q364 Q387 Q462:Q464 Q24:Q27 Q29:Q32 R28 Q216:Q218 Q593 Q596:Q597 Q136 Q125:Q129 Q397:Q402 Q166:Q167 Q169:Q172 R168 Q641:Q642 Q138:Q148 Q4 Q96:Q111 Q636:Q639 Q466 Q577 Q442:Q445 Q447:Q452 R446 R441 Q440 Q222:Q223 Q220 Q63:Q80 Q45:Q52 Q605:Q609 Q337:Q347 Q518:Q523 Q151:Q163 Q334 Q332 Q34 Q404:Q408 Q412:Q430 R409:R411 Q261:Q263">
    <cfRule type="duplicateValues" dxfId="279" priority="239"/>
  </conditionalFormatting>
  <conditionalFormatting sqref="Q647 Q501 R499:R500 Q511:Q512 R513 Q531:Q535 R530 Q538:Q551 R536:R537 Q503:Q509 Q553:Q555 Q589:Q591 Q567:Q568 Q572:Q575 R571 Q570 R569 Q580 R578:R579 Q634 Q599:Q603 Q613:Q617 Q525:Q526 Q528:Q529 R527 Q559:Q565 Q557 Q593 Q596:Q597 Q636:Q639 Q577 Q605:Q609 Q518:Q523">
    <cfRule type="duplicateValues" dxfId="278" priority="240"/>
    <cfRule type="duplicateValues" dxfId="277" priority="241"/>
  </conditionalFormatting>
  <conditionalFormatting sqref="R266 Q264">
    <cfRule type="duplicateValues" dxfId="276" priority="237"/>
  </conditionalFormatting>
  <conditionalFormatting sqref="Q268">
    <cfRule type="duplicateValues" dxfId="275" priority="236"/>
  </conditionalFormatting>
  <conditionalFormatting sqref="Q303">
    <cfRule type="duplicateValues" dxfId="274" priority="235"/>
  </conditionalFormatting>
  <conditionalFormatting sqref="Q643 Q645:Q646">
    <cfRule type="duplicateValues" dxfId="273" priority="234"/>
  </conditionalFormatting>
  <conditionalFormatting sqref="Q133">
    <cfRule type="duplicateValues" dxfId="272" priority="233"/>
  </conditionalFormatting>
  <conditionalFormatting sqref="Q27 Q29 R28">
    <cfRule type="duplicateValues" dxfId="271" priority="232"/>
  </conditionalFormatting>
  <conditionalFormatting sqref="Q91">
    <cfRule type="duplicateValues" dxfId="270" priority="231"/>
  </conditionalFormatting>
  <conditionalFormatting sqref="R267">
    <cfRule type="duplicateValues" dxfId="269" priority="229"/>
  </conditionalFormatting>
  <conditionalFormatting sqref="Q510">
    <cfRule type="duplicateValues" dxfId="268" priority="226"/>
  </conditionalFormatting>
  <conditionalFormatting sqref="Q510">
    <cfRule type="duplicateValues" dxfId="267" priority="227"/>
    <cfRule type="duplicateValues" dxfId="266" priority="228"/>
  </conditionalFormatting>
  <conditionalFormatting sqref="Q294">
    <cfRule type="duplicateValues" dxfId="265" priority="218"/>
  </conditionalFormatting>
  <conditionalFormatting sqref="Q82">
    <cfRule type="duplicateValues" dxfId="264" priority="197"/>
  </conditionalFormatting>
  <conditionalFormatting sqref="Q62">
    <cfRule type="duplicateValues" dxfId="263" priority="196"/>
  </conditionalFormatting>
  <conditionalFormatting sqref="Q81">
    <cfRule type="duplicateValues" dxfId="262" priority="195"/>
  </conditionalFormatting>
  <conditionalFormatting sqref="Q85">
    <cfRule type="duplicateValues" dxfId="261" priority="194"/>
  </conditionalFormatting>
  <conditionalFormatting sqref="Q173">
    <cfRule type="duplicateValues" dxfId="260" priority="193"/>
  </conditionalFormatting>
  <conditionalFormatting sqref="Q588">
    <cfRule type="duplicateValues" dxfId="259" priority="190"/>
  </conditionalFormatting>
  <conditionalFormatting sqref="Q588">
    <cfRule type="duplicateValues" dxfId="258" priority="191"/>
    <cfRule type="duplicateValues" dxfId="257" priority="192"/>
  </conditionalFormatting>
  <conditionalFormatting sqref="Q200">
    <cfRule type="duplicateValues" dxfId="256" priority="189"/>
  </conditionalFormatting>
  <conditionalFormatting sqref="Q198">
    <cfRule type="duplicateValues" dxfId="255" priority="188"/>
  </conditionalFormatting>
  <conditionalFormatting sqref="Q308">
    <cfRule type="duplicateValues" dxfId="254" priority="187"/>
  </conditionalFormatting>
  <conditionalFormatting sqref="Q566">
    <cfRule type="duplicateValues" dxfId="253" priority="184"/>
  </conditionalFormatting>
  <conditionalFormatting sqref="Q566">
    <cfRule type="duplicateValues" dxfId="252" priority="185"/>
    <cfRule type="duplicateValues" dxfId="251" priority="186"/>
  </conditionalFormatting>
  <conditionalFormatting sqref="Q598">
    <cfRule type="duplicateValues" dxfId="250" priority="181"/>
  </conditionalFormatting>
  <conditionalFormatting sqref="Q598">
    <cfRule type="duplicateValues" dxfId="249" priority="182"/>
    <cfRule type="duplicateValues" dxfId="248" priority="183"/>
  </conditionalFormatting>
  <conditionalFormatting sqref="Q179">
    <cfRule type="duplicateValues" dxfId="247" priority="180"/>
  </conditionalFormatting>
  <conditionalFormatting sqref="Q434">
    <cfRule type="duplicateValues" dxfId="246" priority="176"/>
  </conditionalFormatting>
  <conditionalFormatting sqref="Q431:Q433">
    <cfRule type="duplicateValues" dxfId="245" priority="175"/>
  </conditionalFormatting>
  <conditionalFormatting sqref="Q192">
    <cfRule type="duplicateValues" dxfId="244" priority="174"/>
  </conditionalFormatting>
  <conditionalFormatting sqref="Q180">
    <cfRule type="duplicateValues" dxfId="243" priority="173"/>
  </conditionalFormatting>
  <conditionalFormatting sqref="Q601">
    <cfRule type="duplicateValues" dxfId="242" priority="170"/>
  </conditionalFormatting>
  <conditionalFormatting sqref="Q601">
    <cfRule type="duplicateValues" dxfId="241" priority="171"/>
    <cfRule type="duplicateValues" dxfId="240" priority="172"/>
  </conditionalFormatting>
  <conditionalFormatting sqref="Q602">
    <cfRule type="duplicateValues" dxfId="239" priority="167"/>
  </conditionalFormatting>
  <conditionalFormatting sqref="Q602">
    <cfRule type="duplicateValues" dxfId="238" priority="168"/>
    <cfRule type="duplicateValues" dxfId="237" priority="169"/>
  </conditionalFormatting>
  <conditionalFormatting sqref="Q131">
    <cfRule type="duplicateValues" dxfId="236" priority="165"/>
  </conditionalFormatting>
  <conditionalFormatting sqref="Q272:Q273">
    <cfRule type="duplicateValues" dxfId="235" priority="164"/>
  </conditionalFormatting>
  <conditionalFormatting sqref="Q612">
    <cfRule type="duplicateValues" dxfId="234" priority="161"/>
  </conditionalFormatting>
  <conditionalFormatting sqref="Q612">
    <cfRule type="duplicateValues" dxfId="233" priority="162"/>
    <cfRule type="duplicateValues" dxfId="232" priority="163"/>
  </conditionalFormatting>
  <conditionalFormatting sqref="Q621:Q624">
    <cfRule type="duplicateValues" dxfId="231" priority="158"/>
  </conditionalFormatting>
  <conditionalFormatting sqref="Q621:Q624">
    <cfRule type="duplicateValues" dxfId="230" priority="159"/>
    <cfRule type="duplicateValues" dxfId="229" priority="160"/>
  </conditionalFormatting>
  <conditionalFormatting sqref="Q626">
    <cfRule type="duplicateValues" dxfId="228" priority="155"/>
  </conditionalFormatting>
  <conditionalFormatting sqref="Q626">
    <cfRule type="duplicateValues" dxfId="227" priority="156"/>
    <cfRule type="duplicateValues" dxfId="226" priority="157"/>
  </conditionalFormatting>
  <conditionalFormatting sqref="Q130">
    <cfRule type="duplicateValues" dxfId="225" priority="154"/>
  </conditionalFormatting>
  <conditionalFormatting sqref="Q524">
    <cfRule type="duplicateValues" dxfId="224" priority="151"/>
  </conditionalFormatting>
  <conditionalFormatting sqref="Q524">
    <cfRule type="duplicateValues" dxfId="223" priority="152"/>
    <cfRule type="duplicateValues" dxfId="222" priority="153"/>
  </conditionalFormatting>
  <conditionalFormatting sqref="Q36">
    <cfRule type="duplicateValues" dxfId="221" priority="150"/>
  </conditionalFormatting>
  <conditionalFormatting sqref="Q35">
    <cfRule type="duplicateValues" dxfId="220" priority="149"/>
  </conditionalFormatting>
  <conditionalFormatting sqref="Q194">
    <cfRule type="duplicateValues" dxfId="219" priority="148"/>
  </conditionalFormatting>
  <conditionalFormatting sqref="Q558">
    <cfRule type="duplicateValues" dxfId="218" priority="145"/>
  </conditionalFormatting>
  <conditionalFormatting sqref="Q558">
    <cfRule type="duplicateValues" dxfId="217" priority="146"/>
    <cfRule type="duplicateValues" dxfId="216" priority="147"/>
  </conditionalFormatting>
  <conditionalFormatting sqref="Q627">
    <cfRule type="duplicateValues" dxfId="215" priority="142"/>
  </conditionalFormatting>
  <conditionalFormatting sqref="Q627">
    <cfRule type="duplicateValues" dxfId="214" priority="143"/>
    <cfRule type="duplicateValues" dxfId="213" priority="144"/>
  </conditionalFormatting>
  <conditionalFormatting sqref="Q628">
    <cfRule type="duplicateValues" dxfId="212" priority="136"/>
  </conditionalFormatting>
  <conditionalFormatting sqref="Q628">
    <cfRule type="duplicateValues" dxfId="211" priority="137"/>
    <cfRule type="duplicateValues" dxfId="210" priority="138"/>
  </conditionalFormatting>
  <conditionalFormatting sqref="Q652">
    <cfRule type="duplicateValues" dxfId="209" priority="135"/>
  </conditionalFormatting>
  <conditionalFormatting sqref="Q611">
    <cfRule type="duplicateValues" dxfId="208" priority="132"/>
  </conditionalFormatting>
  <conditionalFormatting sqref="Q611">
    <cfRule type="duplicateValues" dxfId="207" priority="133"/>
    <cfRule type="duplicateValues" dxfId="206" priority="134"/>
  </conditionalFormatting>
  <conditionalFormatting sqref="Q373:Q379 R372">
    <cfRule type="duplicateValues" dxfId="205" priority="131"/>
  </conditionalFormatting>
  <conditionalFormatting sqref="Q618:Q619">
    <cfRule type="duplicateValues" dxfId="204" priority="128"/>
  </conditionalFormatting>
  <conditionalFormatting sqref="Q618:Q619">
    <cfRule type="duplicateValues" dxfId="203" priority="129"/>
    <cfRule type="duplicateValues" dxfId="202" priority="130"/>
  </conditionalFormatting>
  <conditionalFormatting sqref="Q620">
    <cfRule type="duplicateValues" dxfId="201" priority="125"/>
  </conditionalFormatting>
  <conditionalFormatting sqref="Q620">
    <cfRule type="duplicateValues" dxfId="200" priority="126"/>
    <cfRule type="duplicateValues" dxfId="199" priority="127"/>
  </conditionalFormatting>
  <conditionalFormatting sqref="Q199">
    <cfRule type="duplicateValues" dxfId="198" priority="121"/>
  </conditionalFormatting>
  <conditionalFormatting sqref="Q630">
    <cfRule type="duplicateValues" dxfId="197" priority="118"/>
  </conditionalFormatting>
  <conditionalFormatting sqref="Q630">
    <cfRule type="duplicateValues" dxfId="196" priority="119"/>
    <cfRule type="duplicateValues" dxfId="195" priority="120"/>
  </conditionalFormatting>
  <conditionalFormatting sqref="R631">
    <cfRule type="duplicateValues" dxfId="194" priority="115"/>
  </conditionalFormatting>
  <conditionalFormatting sqref="R631">
    <cfRule type="duplicateValues" dxfId="193" priority="116"/>
    <cfRule type="duplicateValues" dxfId="192" priority="117"/>
  </conditionalFormatting>
  <conditionalFormatting sqref="Q632">
    <cfRule type="duplicateValues" dxfId="191" priority="112"/>
  </conditionalFormatting>
  <conditionalFormatting sqref="Q632">
    <cfRule type="duplicateValues" dxfId="190" priority="113"/>
    <cfRule type="duplicateValues" dxfId="189" priority="114"/>
  </conditionalFormatting>
  <conditionalFormatting sqref="Q26">
    <cfRule type="duplicateValues" dxfId="188" priority="110"/>
  </conditionalFormatting>
  <conditionalFormatting sqref="Q234">
    <cfRule type="duplicateValues" dxfId="187" priority="108"/>
  </conditionalFormatting>
  <conditionalFormatting sqref="Q233">
    <cfRule type="duplicateValues" dxfId="186" priority="107"/>
  </conditionalFormatting>
  <conditionalFormatting sqref="Q305:Q306">
    <cfRule type="duplicateValues" dxfId="185" priority="106"/>
  </conditionalFormatting>
  <conditionalFormatting sqref="Q290">
    <cfRule type="duplicateValues" dxfId="184" priority="105"/>
  </conditionalFormatting>
  <conditionalFormatting sqref="Q527">
    <cfRule type="duplicateValues" dxfId="183" priority="101"/>
  </conditionalFormatting>
  <conditionalFormatting sqref="Q527">
    <cfRule type="duplicateValues" dxfId="182" priority="102"/>
    <cfRule type="duplicateValues" dxfId="181" priority="103"/>
  </conditionalFormatting>
  <conditionalFormatting sqref="Q358">
    <cfRule type="duplicateValues" dxfId="180" priority="99"/>
  </conditionalFormatting>
  <conditionalFormatting sqref="Q365">
    <cfRule type="duplicateValues" dxfId="179" priority="98"/>
  </conditionalFormatting>
  <conditionalFormatting sqref="Q116">
    <cfRule type="duplicateValues" dxfId="178" priority="95"/>
  </conditionalFormatting>
  <conditionalFormatting sqref="Q254">
    <cfRule type="duplicateValues" dxfId="177" priority="94"/>
  </conditionalFormatting>
  <conditionalFormatting sqref="Q586">
    <cfRule type="duplicateValues" dxfId="176" priority="91"/>
  </conditionalFormatting>
  <conditionalFormatting sqref="Q586">
    <cfRule type="duplicateValues" dxfId="175" priority="92"/>
    <cfRule type="duplicateValues" dxfId="174" priority="93"/>
  </conditionalFormatting>
  <conditionalFormatting sqref="Q23">
    <cfRule type="duplicateValues" dxfId="173" priority="90"/>
  </conditionalFormatting>
  <conditionalFormatting sqref="Q181">
    <cfRule type="duplicateValues" dxfId="172" priority="89"/>
  </conditionalFormatting>
  <conditionalFormatting sqref="Q215">
    <cfRule type="duplicateValues" dxfId="171" priority="87"/>
  </conditionalFormatting>
  <conditionalFormatting sqref="Q592">
    <cfRule type="duplicateValues" dxfId="170" priority="84"/>
  </conditionalFormatting>
  <conditionalFormatting sqref="Q592">
    <cfRule type="duplicateValues" dxfId="169" priority="85"/>
    <cfRule type="duplicateValues" dxfId="168" priority="86"/>
  </conditionalFormatting>
  <conditionalFormatting sqref="Q633">
    <cfRule type="duplicateValues" dxfId="167" priority="78"/>
  </conditionalFormatting>
  <conditionalFormatting sqref="Q633">
    <cfRule type="duplicateValues" dxfId="166" priority="79"/>
    <cfRule type="duplicateValues" dxfId="165" priority="80"/>
  </conditionalFormatting>
  <conditionalFormatting sqref="Q653">
    <cfRule type="duplicateValues" dxfId="164" priority="77"/>
  </conditionalFormatting>
  <conditionalFormatting sqref="Q610">
    <cfRule type="duplicateValues" dxfId="163" priority="74"/>
  </conditionalFormatting>
  <conditionalFormatting sqref="Q610">
    <cfRule type="duplicateValues" dxfId="162" priority="75"/>
    <cfRule type="duplicateValues" dxfId="161" priority="76"/>
  </conditionalFormatting>
  <conditionalFormatting sqref="Q120:Q124">
    <cfRule type="duplicateValues" dxfId="160" priority="73"/>
  </conditionalFormatting>
  <conditionalFormatting sqref="Q22">
    <cfRule type="duplicateValues" dxfId="159" priority="72"/>
  </conditionalFormatting>
  <conditionalFormatting sqref="Q625">
    <cfRule type="duplicateValues" dxfId="158" priority="69"/>
  </conditionalFormatting>
  <conditionalFormatting sqref="Q625">
    <cfRule type="duplicateValues" dxfId="157" priority="70"/>
    <cfRule type="duplicateValues" dxfId="156" priority="71"/>
  </conditionalFormatting>
  <conditionalFormatting sqref="Q165">
    <cfRule type="duplicateValues" dxfId="155" priority="68"/>
  </conditionalFormatting>
  <conditionalFormatting sqref="Q654:Q656">
    <cfRule type="duplicateValues" dxfId="154" priority="67"/>
  </conditionalFormatting>
  <conditionalFormatting sqref="Q657:Q661 Q667:Q671 R666">
    <cfRule type="duplicateValues" dxfId="153" priority="66"/>
  </conditionalFormatting>
  <conditionalFormatting sqref="Q640">
    <cfRule type="duplicateValues" dxfId="152" priority="63"/>
  </conditionalFormatting>
  <conditionalFormatting sqref="Q640">
    <cfRule type="duplicateValues" dxfId="151" priority="64"/>
    <cfRule type="duplicateValues" dxfId="150" priority="65"/>
  </conditionalFormatting>
  <conditionalFormatting sqref="Q137">
    <cfRule type="duplicateValues" dxfId="149" priority="62"/>
  </conditionalFormatting>
  <conditionalFormatting sqref="Q3">
    <cfRule type="duplicateValues" dxfId="148" priority="61"/>
  </conditionalFormatting>
  <conditionalFormatting sqref="Q95">
    <cfRule type="duplicateValues" dxfId="147" priority="60"/>
  </conditionalFormatting>
  <conditionalFormatting sqref="Q5">
    <cfRule type="duplicateValues" dxfId="146" priority="59"/>
  </conditionalFormatting>
  <conditionalFormatting sqref="Q8:Q12">
    <cfRule type="duplicateValues" dxfId="145" priority="58"/>
  </conditionalFormatting>
  <conditionalFormatting sqref="Q635">
    <cfRule type="duplicateValues" dxfId="144" priority="55"/>
  </conditionalFormatting>
  <conditionalFormatting sqref="Q635">
    <cfRule type="duplicateValues" dxfId="143" priority="56"/>
    <cfRule type="duplicateValues" dxfId="142" priority="57"/>
  </conditionalFormatting>
  <conditionalFormatting sqref="Q465">
    <cfRule type="duplicateValues" dxfId="141" priority="54"/>
  </conditionalFormatting>
  <conditionalFormatting sqref="Q458">
    <cfRule type="duplicateValues" dxfId="140" priority="53"/>
  </conditionalFormatting>
  <conditionalFormatting sqref="Q459:Q461">
    <cfRule type="duplicateValues" dxfId="139" priority="52"/>
  </conditionalFormatting>
  <conditionalFormatting sqref="Q576">
    <cfRule type="duplicateValues" dxfId="138" priority="49"/>
  </conditionalFormatting>
  <conditionalFormatting sqref="Q576">
    <cfRule type="duplicateValues" dxfId="137" priority="50"/>
    <cfRule type="duplicateValues" dxfId="136" priority="51"/>
  </conditionalFormatting>
  <conditionalFormatting sqref="Q454">
    <cfRule type="duplicateValues" dxfId="135" priority="48"/>
  </conditionalFormatting>
  <conditionalFormatting sqref="R370">
    <cfRule type="duplicateValues" dxfId="134" priority="44"/>
  </conditionalFormatting>
  <conditionalFormatting sqref="Q164">
    <cfRule type="duplicateValues" dxfId="133" priority="42"/>
  </conditionalFormatting>
  <conditionalFormatting sqref="Q438">
    <cfRule type="duplicateValues" dxfId="132" priority="41"/>
  </conditionalFormatting>
  <conditionalFormatting sqref="Q439">
    <cfRule type="duplicateValues" dxfId="131" priority="40"/>
  </conditionalFormatting>
  <conditionalFormatting sqref="Q221">
    <cfRule type="duplicateValues" dxfId="130" priority="39"/>
  </conditionalFormatting>
  <conditionalFormatting sqref="Q219">
    <cfRule type="duplicateValues" dxfId="129" priority="38"/>
  </conditionalFormatting>
  <conditionalFormatting sqref="Q44">
    <cfRule type="duplicateValues" dxfId="128" priority="37"/>
  </conditionalFormatting>
  <conditionalFormatting sqref="Q581:Q585">
    <cfRule type="duplicateValues" dxfId="127" priority="88703"/>
  </conditionalFormatting>
  <conditionalFormatting sqref="Q581:Q585">
    <cfRule type="duplicateValues" dxfId="126" priority="88704"/>
    <cfRule type="duplicateValues" dxfId="125" priority="88705"/>
  </conditionalFormatting>
  <conditionalFormatting sqref="Q514:Q517">
    <cfRule type="duplicateValues" dxfId="124" priority="24"/>
  </conditionalFormatting>
  <conditionalFormatting sqref="Q514:Q517">
    <cfRule type="duplicateValues" dxfId="123" priority="25"/>
    <cfRule type="duplicateValues" dxfId="122" priority="26"/>
  </conditionalFormatting>
  <conditionalFormatting sqref="Q7">
    <cfRule type="duplicateValues" dxfId="121" priority="23"/>
  </conditionalFormatting>
  <conditionalFormatting sqref="Q452">
    <cfRule type="duplicateValues" dxfId="120" priority="22"/>
  </conditionalFormatting>
  <conditionalFormatting sqref="Q156">
    <cfRule type="duplicateValues" dxfId="119" priority="21"/>
  </conditionalFormatting>
  <conditionalFormatting sqref="Q160">
    <cfRule type="duplicateValues" dxfId="118" priority="20"/>
  </conditionalFormatting>
  <conditionalFormatting sqref="Q649">
    <cfRule type="duplicateValues" dxfId="117" priority="19"/>
  </conditionalFormatting>
  <conditionalFormatting sqref="R333">
    <cfRule type="duplicateValues" dxfId="116" priority="18"/>
  </conditionalFormatting>
  <conditionalFormatting sqref="Q13 Q15:Q17">
    <cfRule type="duplicateValues" dxfId="115" priority="16"/>
  </conditionalFormatting>
  <conditionalFormatting sqref="Q331">
    <cfRule type="duplicateValues" dxfId="114" priority="15"/>
  </conditionalFormatting>
  <conditionalFormatting sqref="Q14">
    <cfRule type="duplicateValues" dxfId="113" priority="14"/>
  </conditionalFormatting>
  <conditionalFormatting sqref="Q33">
    <cfRule type="duplicateValues" dxfId="112" priority="13"/>
  </conditionalFormatting>
  <conditionalFormatting sqref="Q403">
    <cfRule type="duplicateValues" dxfId="111" priority="12"/>
  </conditionalFormatting>
  <conditionalFormatting sqref="Q229">
    <cfRule type="duplicateValues" dxfId="110" priority="11"/>
  </conditionalFormatting>
  <conditionalFormatting sqref="Q665">
    <cfRule type="duplicateValues" dxfId="109" priority="10"/>
  </conditionalFormatting>
  <conditionalFormatting sqref="Q6">
    <cfRule type="duplicateValues" dxfId="108" priority="9"/>
  </conditionalFormatting>
  <conditionalFormatting sqref="Q368">
    <cfRule type="duplicateValues" dxfId="107" priority="8"/>
  </conditionalFormatting>
  <conditionalFormatting sqref="Q587">
    <cfRule type="duplicateValues" dxfId="106" priority="5"/>
  </conditionalFormatting>
  <conditionalFormatting sqref="Q587">
    <cfRule type="duplicateValues" dxfId="105" priority="6"/>
    <cfRule type="duplicateValues" dxfId="104" priority="7"/>
  </conditionalFormatting>
  <conditionalFormatting sqref="Q629">
    <cfRule type="duplicateValues" dxfId="103" priority="2"/>
  </conditionalFormatting>
  <conditionalFormatting sqref="Q629">
    <cfRule type="duplicateValues" dxfId="102" priority="3"/>
    <cfRule type="duplicateValues" dxfId="101" priority="4"/>
  </conditionalFormatting>
  <conditionalFormatting sqref="Q260">
    <cfRule type="duplicateValues" dxfId="100" priority="1"/>
  </conditionalFormatting>
  <hyperlinks>
    <hyperlink ref="Q638" r:id="rId1"/>
    <hyperlink ref="Q127" r:id="rId2"/>
    <hyperlink ref="Q647" r:id="rId3"/>
    <hyperlink ref="Q463" r:id="rId4"/>
    <hyperlink ref="Q461" r:id="rId5"/>
    <hyperlink ref="Q462" r:id="rId6"/>
    <hyperlink ref="Q193" r:id="rId7"/>
    <hyperlink ref="Q310" r:id="rId8"/>
    <hyperlink ref="Q417" r:id="rId9"/>
    <hyperlink ref="Q418" r:id="rId10"/>
    <hyperlink ref="Q129" r:id="rId11"/>
    <hyperlink ref="Q73" r:id="rId12"/>
    <hyperlink ref="Q282" r:id="rId13"/>
    <hyperlink ref="Q646" r:id="rId14"/>
    <hyperlink ref="Q289" r:id="rId15"/>
    <hyperlink ref="Q288" r:id="rId16"/>
    <hyperlink ref="Q301" r:id="rId17"/>
    <hyperlink ref="Q124" r:id="rId18"/>
    <hyperlink ref="Q355" r:id="rId19"/>
    <hyperlink ref="Q218" r:id="rId20"/>
    <hyperlink ref="Q229" r:id="rId21"/>
    <hyperlink ref="Q13" r:id="rId22"/>
    <hyperlink ref="Q490" r:id="rId23"/>
    <hyperlink ref="Q338" r:id="rId24"/>
    <hyperlink ref="Q38" r:id="rId25"/>
    <hyperlink ref="Q590" r:id="rId26"/>
    <hyperlink ref="Q633" r:id="rId27"/>
    <hyperlink ref="Q648" r:id="rId28"/>
    <hyperlink ref="Q393" r:id="rId29"/>
    <hyperlink ref="Q394" r:id="rId30" display="cnunes@medlive.com.br "/>
    <hyperlink ref="Q395" r:id="rId31" display="chermes@medlive.com.br "/>
    <hyperlink ref="Q302" r:id="rId32"/>
    <hyperlink ref="Q254" r:id="rId33"/>
    <hyperlink ref="Q259" r:id="rId34"/>
    <hyperlink ref="Q35" r:id="rId35"/>
    <hyperlink ref="Q108" r:id="rId36"/>
    <hyperlink ref="Q109" r:id="rId37"/>
    <hyperlink ref="Q581" r:id="rId38"/>
    <hyperlink ref="Q386" r:id="rId39"/>
    <hyperlink ref="Q641" r:id="rId40"/>
    <hyperlink ref="R438" r:id="rId41"/>
    <hyperlink ref="Q649" r:id="rId42"/>
    <hyperlink ref="Q467" r:id="rId43" display="financeiro@phitosdobrasil.com.br "/>
    <hyperlink ref="Q9" r:id="rId44"/>
    <hyperlink ref="Q501" r:id="rId45" display="mailto:vendas@protcap.com.br"/>
    <hyperlink ref="Q482" r:id="rId46"/>
    <hyperlink ref="Q231" r:id="rId47"/>
    <hyperlink ref="Q230" r:id="rId48"/>
    <hyperlink ref="Q661" r:id="rId49"/>
    <hyperlink ref="Q297" r:id="rId50"/>
    <hyperlink ref="Q298" r:id="rId51"/>
    <hyperlink ref="Q547" r:id="rId52"/>
    <hyperlink ref="Q20" r:id="rId53"/>
    <hyperlink ref="Q49" r:id="rId54"/>
    <hyperlink ref="Q41" r:id="rId55"/>
    <hyperlink ref="Q470" r:id="rId56"/>
    <hyperlink ref="Q457" r:id="rId57"/>
    <hyperlink ref="Q592" r:id="rId58" display="mailto:jeancarlonetto@gmail.com"/>
    <hyperlink ref="Q67" r:id="rId59"/>
    <hyperlink ref="Q580" r:id="rId60"/>
    <hyperlink ref="Q180" r:id="rId61"/>
    <hyperlink ref="Q303" r:id="rId62"/>
    <hyperlink ref="Q515" r:id="rId63" display="mailto:claudio@rcvendas.com.br"/>
    <hyperlink ref="Q516" r:id="rId64" display="mailto:luiza@rcvendas.com.br"/>
    <hyperlink ref="Q351" r:id="rId65"/>
    <hyperlink ref="Q435" r:id="rId66"/>
    <hyperlink ref="Q179" r:id="rId67"/>
    <hyperlink ref="Q308" r:id="rId68"/>
    <hyperlink ref="Q444" r:id="rId69"/>
    <hyperlink ref="Q597" r:id="rId70"/>
    <hyperlink ref="Q19" r:id="rId71"/>
    <hyperlink ref="Q159" r:id="rId72"/>
    <hyperlink ref="Q160" r:id="rId73"/>
    <hyperlink ref="Q276" r:id="rId74"/>
    <hyperlink ref="Q165" r:id="rId75"/>
    <hyperlink ref="Q311" r:id="rId76"/>
    <hyperlink ref="Q456" r:id="rId77"/>
    <hyperlink ref="Q82" r:id="rId78"/>
    <hyperlink ref="Q93" r:id="rId79"/>
    <hyperlink ref="Q114" r:id="rId80"/>
    <hyperlink ref="Q194" r:id="rId81"/>
    <hyperlink ref="Q246" r:id="rId82"/>
    <hyperlink ref="Q312" r:id="rId83"/>
    <hyperlink ref="Q552" r:id="rId84"/>
    <hyperlink ref="Q47" r:id="rId85"/>
    <hyperlink ref="Q156" r:id="rId86"/>
    <hyperlink ref="Q639" r:id="rId87"/>
    <hyperlink ref="Q128" r:id="rId88"/>
    <hyperlink ref="Q362" r:id="rId89"/>
    <hyperlink ref="Q98" r:id="rId90"/>
    <hyperlink ref="Q182" r:id="rId91"/>
    <hyperlink ref="Q4" r:id="rId92"/>
    <hyperlink ref="Q373" r:id="rId93"/>
    <hyperlink ref="Q292" r:id="rId94"/>
    <hyperlink ref="Q465" r:id="rId95"/>
    <hyperlink ref="Q164" r:id="rId96"/>
    <hyperlink ref="Q582" r:id="rId97"/>
    <hyperlink ref="Q290" r:id="rId98"/>
    <hyperlink ref="Q247" r:id="rId99"/>
    <hyperlink ref="Q365" r:id="rId100"/>
    <hyperlink ref="Q116" r:id="rId101"/>
    <hyperlink ref="Q436" r:id="rId102"/>
    <hyperlink ref="Q437" r:id="rId103"/>
    <hyperlink ref="Q364" r:id="rId104"/>
    <hyperlink ref="Q214" r:id="rId105"/>
    <hyperlink ref="Q163" r:id="rId106"/>
    <hyperlink ref="Q427" r:id="rId107"/>
    <hyperlink ref="Q578" r:id="rId108"/>
    <hyperlink ref="Q258" r:id="rId109"/>
    <hyperlink ref="Q341" r:id="rId110"/>
    <hyperlink ref="Q445" r:id="rId111"/>
    <hyperlink ref="Q486" r:id="rId112"/>
    <hyperlink ref="Q524" r:id="rId113"/>
    <hyperlink ref="Q272" r:id="rId114"/>
    <hyperlink ref="Q221" r:id="rId115"/>
    <hyperlink ref="Q143" r:id="rId116"/>
    <hyperlink ref="Q450" r:id="rId117"/>
    <hyperlink ref="Q643" r:id="rId118"/>
    <hyperlink ref="Q155" r:id="rId119"/>
    <hyperlink ref="Q153" r:id="rId120"/>
    <hyperlink ref="Q617" r:id="rId121"/>
    <hyperlink ref="Q331" r:id="rId122"/>
    <hyperlink ref="Q330" r:id="rId123"/>
    <hyperlink ref="Q329" r:id="rId124"/>
    <hyperlink ref="Q335" r:id="rId125"/>
    <hyperlink ref="Q318" r:id="rId126"/>
    <hyperlink ref="Q245" r:id="rId127"/>
    <hyperlink ref="Q51" r:id="rId128"/>
    <hyperlink ref="Q241" r:id="rId129"/>
    <hyperlink ref="Q30" r:id="rId130"/>
    <hyperlink ref="Q31" r:id="rId131"/>
    <hyperlink ref="Q401" r:id="rId132"/>
    <hyperlink ref="Q484" r:id="rId133"/>
    <hyperlink ref="Q576" r:id="rId134"/>
    <hyperlink ref="Q279" r:id="rId135"/>
    <hyperlink ref="Q614" r:id="rId136"/>
    <hyperlink ref="Q426" r:id="rId137"/>
    <hyperlink ref="Q620" r:id="rId138"/>
    <hyperlink ref="Q519" r:id="rId139"/>
    <hyperlink ref="Q637" r:id="rId140"/>
    <hyperlink ref="Q171" r:id="rId141"/>
    <hyperlink ref="Q622" r:id="rId142"/>
    <hyperlink ref="Q623" r:id="rId143"/>
    <hyperlink ref="Q306" r:id="rId144"/>
    <hyperlink ref="Q66" r:id="rId145"/>
    <hyperlink ref="Q70" r:id="rId146"/>
    <hyperlink ref="Q369" r:id="rId147"/>
    <hyperlink ref="Q261" r:id="rId148"/>
  </hyperlinks>
  <pageMargins left="0.511811024" right="0.511811024" top="0.78740157499999996" bottom="0.78740157499999996" header="0.31496062000000002" footer="0.31496062000000002"/>
  <pageSetup paperSize="9" orientation="portrait" r:id="rId14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XEW482"/>
  <sheetViews>
    <sheetView zoomScale="120" zoomScaleNormal="120" workbookViewId="0">
      <pane xSplit="1" ySplit="1" topLeftCell="B2" activePane="bottomRight" state="frozen"/>
      <selection pane="topRight" activeCell="B1" sqref="B1"/>
      <selection pane="bottomLeft" activeCell="A2" sqref="A2"/>
      <selection pane="bottomRight"/>
    </sheetView>
  </sheetViews>
  <sheetFormatPr defaultColWidth="9.140625" defaultRowHeight="12.75"/>
  <cols>
    <col min="1" max="1" width="33.28515625" style="556" customWidth="1"/>
    <col min="2" max="2" width="36.42578125" style="394" customWidth="1"/>
    <col min="3" max="3" width="38.42578125" style="683" customWidth="1"/>
    <col min="4" max="4" width="6.85546875" style="685" customWidth="1"/>
    <col min="5" max="6" width="38.42578125" style="699" customWidth="1"/>
    <col min="7" max="7" width="9.7109375" style="689" customWidth="1"/>
    <col min="8" max="8" width="18.42578125" style="557" customWidth="1"/>
    <col min="9" max="9" width="12.5703125" style="557" customWidth="1"/>
    <col min="10" max="10" width="11.5703125" style="558" customWidth="1"/>
    <col min="11" max="11" width="14.5703125" style="558" customWidth="1"/>
    <col min="12" max="12" width="16.7109375" style="558" customWidth="1"/>
    <col min="13" max="13" width="13.5703125" style="694" customWidth="1"/>
    <col min="14" max="14" width="38.42578125" style="394" customWidth="1"/>
    <col min="15" max="16384" width="9.140625" style="394"/>
  </cols>
  <sheetData>
    <row r="1" spans="1:14">
      <c r="A1" s="530" t="s">
        <v>10736</v>
      </c>
      <c r="B1" s="389" t="s">
        <v>3039</v>
      </c>
      <c r="C1" s="680" t="s">
        <v>3040</v>
      </c>
      <c r="D1" s="684"/>
      <c r="E1" s="695"/>
      <c r="F1" s="695"/>
      <c r="G1" s="390"/>
      <c r="H1" s="391" t="s">
        <v>3041</v>
      </c>
      <c r="I1" s="391"/>
      <c r="J1" s="531" t="s">
        <v>10735</v>
      </c>
      <c r="K1" s="392"/>
      <c r="L1" s="392"/>
      <c r="M1" s="690"/>
      <c r="N1" s="393" t="s">
        <v>3030</v>
      </c>
    </row>
    <row r="2" spans="1:14">
      <c r="A2" s="530" t="s">
        <v>10737</v>
      </c>
      <c r="B2" s="389" t="s">
        <v>6785</v>
      </c>
      <c r="C2" s="680" t="s">
        <v>6786</v>
      </c>
      <c r="D2" s="684">
        <v>61</v>
      </c>
      <c r="F2" s="695">
        <v>96513314</v>
      </c>
      <c r="G2" s="390"/>
      <c r="H2" s="391"/>
      <c r="I2" s="391"/>
      <c r="J2" s="531" t="s">
        <v>10735</v>
      </c>
      <c r="K2" s="392"/>
      <c r="L2" s="392"/>
      <c r="M2" s="690"/>
      <c r="N2" s="393" t="s">
        <v>6787</v>
      </c>
    </row>
    <row r="3" spans="1:14">
      <c r="A3" s="530" t="s">
        <v>10738</v>
      </c>
      <c r="B3" s="389" t="s">
        <v>10739</v>
      </c>
      <c r="C3" s="597" t="s">
        <v>1790</v>
      </c>
      <c r="D3" s="684">
        <v>61</v>
      </c>
      <c r="E3" s="696">
        <v>39678927</v>
      </c>
      <c r="F3" s="696"/>
      <c r="G3" s="390">
        <v>702856</v>
      </c>
      <c r="H3" s="391" t="s">
        <v>1879</v>
      </c>
      <c r="I3" s="391" t="s">
        <v>2335</v>
      </c>
      <c r="J3" s="531">
        <v>341</v>
      </c>
      <c r="K3" s="392" t="s">
        <v>2476</v>
      </c>
      <c r="L3" s="392" t="s">
        <v>2477</v>
      </c>
      <c r="M3" s="690">
        <v>702856</v>
      </c>
      <c r="N3" s="393" t="s">
        <v>10740</v>
      </c>
    </row>
    <row r="4" spans="1:14">
      <c r="A4" s="530" t="s">
        <v>10741</v>
      </c>
      <c r="B4" s="389" t="s">
        <v>1880</v>
      </c>
      <c r="C4" s="597" t="s">
        <v>1706</v>
      </c>
      <c r="D4" s="684">
        <v>61</v>
      </c>
      <c r="E4" s="696">
        <v>34271399</v>
      </c>
      <c r="F4" s="696">
        <v>981251406</v>
      </c>
      <c r="G4" s="390">
        <v>702832</v>
      </c>
      <c r="H4" s="391" t="s">
        <v>1881</v>
      </c>
      <c r="I4" s="391" t="s">
        <v>2492</v>
      </c>
      <c r="J4" s="531">
        <v>756</v>
      </c>
      <c r="K4" s="392" t="s">
        <v>2493</v>
      </c>
      <c r="L4" s="392" t="s">
        <v>2494</v>
      </c>
      <c r="M4" s="690">
        <v>702832</v>
      </c>
      <c r="N4" s="393" t="s">
        <v>2974</v>
      </c>
    </row>
    <row r="5" spans="1:14">
      <c r="A5" s="530" t="s">
        <v>8402</v>
      </c>
      <c r="B5" s="389" t="s">
        <v>3036</v>
      </c>
      <c r="C5" s="597" t="s">
        <v>3037</v>
      </c>
      <c r="D5" s="684">
        <v>61</v>
      </c>
      <c r="E5" s="696">
        <v>35222401</v>
      </c>
      <c r="F5" s="696"/>
      <c r="G5" s="390">
        <v>700378</v>
      </c>
      <c r="H5" s="391" t="s">
        <v>3038</v>
      </c>
      <c r="I5" s="391" t="s">
        <v>2492</v>
      </c>
      <c r="J5" s="531">
        <v>756</v>
      </c>
      <c r="K5" s="392" t="s">
        <v>7468</v>
      </c>
      <c r="L5" s="392" t="s">
        <v>7469</v>
      </c>
      <c r="M5" s="690">
        <v>700378</v>
      </c>
      <c r="N5" s="393" t="s">
        <v>3035</v>
      </c>
    </row>
    <row r="6" spans="1:14">
      <c r="A6" s="530" t="s">
        <v>10742</v>
      </c>
      <c r="B6" s="389" t="s">
        <v>10743</v>
      </c>
      <c r="C6" s="680" t="s">
        <v>10744</v>
      </c>
      <c r="D6" s="684">
        <v>11</v>
      </c>
      <c r="E6" s="695">
        <v>55096462</v>
      </c>
      <c r="F6" s="695">
        <v>98560125</v>
      </c>
      <c r="G6" s="390">
        <v>703813</v>
      </c>
      <c r="H6" s="391" t="s">
        <v>10745</v>
      </c>
      <c r="I6" s="391"/>
      <c r="J6" s="531" t="s">
        <v>10735</v>
      </c>
      <c r="K6" s="392"/>
      <c r="L6" s="392"/>
      <c r="M6" s="691">
        <v>703813</v>
      </c>
      <c r="N6" s="393" t="s">
        <v>10746</v>
      </c>
    </row>
    <row r="7" spans="1:14">
      <c r="A7" s="530" t="s">
        <v>10747</v>
      </c>
      <c r="B7" s="389" t="s">
        <v>10748</v>
      </c>
      <c r="C7" s="681" t="s">
        <v>3056</v>
      </c>
      <c r="D7" s="684">
        <v>61</v>
      </c>
      <c r="E7" s="697">
        <v>35685666</v>
      </c>
      <c r="F7" s="702">
        <v>2135413913</v>
      </c>
      <c r="G7" s="686">
        <v>702036</v>
      </c>
      <c r="H7" s="391" t="s">
        <v>3057</v>
      </c>
      <c r="I7" s="391" t="s">
        <v>3044</v>
      </c>
      <c r="J7" s="531">
        <v>341</v>
      </c>
      <c r="K7" s="392" t="s">
        <v>3058</v>
      </c>
      <c r="L7" s="392" t="s">
        <v>3059</v>
      </c>
      <c r="M7" s="690">
        <v>702036</v>
      </c>
      <c r="N7" s="393" t="s">
        <v>10749</v>
      </c>
    </row>
    <row r="8" spans="1:14">
      <c r="A8" s="530" t="s">
        <v>10750</v>
      </c>
      <c r="B8" s="389" t="s">
        <v>10751</v>
      </c>
      <c r="C8" s="680" t="s">
        <v>869</v>
      </c>
      <c r="D8" s="684">
        <v>61</v>
      </c>
      <c r="E8" s="695">
        <v>30834451</v>
      </c>
      <c r="F8" s="695">
        <v>996896375</v>
      </c>
      <c r="G8" s="390"/>
      <c r="H8" s="391" t="s">
        <v>10752</v>
      </c>
      <c r="I8" s="391"/>
      <c r="J8" s="531" t="s">
        <v>10735</v>
      </c>
      <c r="K8" s="392"/>
      <c r="L8" s="392"/>
      <c r="M8" s="690"/>
      <c r="N8" s="393" t="s">
        <v>10753</v>
      </c>
    </row>
    <row r="9" spans="1:14">
      <c r="A9" s="530" t="s">
        <v>10754</v>
      </c>
      <c r="B9" s="389" t="s">
        <v>1883</v>
      </c>
      <c r="C9" s="597"/>
      <c r="D9" s="684"/>
      <c r="E9" s="696"/>
      <c r="F9" s="696"/>
      <c r="G9" s="390"/>
      <c r="H9" s="391" t="s">
        <v>1884</v>
      </c>
      <c r="I9" s="391"/>
      <c r="J9" s="531" t="s">
        <v>10735</v>
      </c>
      <c r="K9" s="392"/>
      <c r="L9" s="392"/>
      <c r="M9" s="690"/>
      <c r="N9" s="393" t="s">
        <v>1882</v>
      </c>
    </row>
    <row r="10" spans="1:14">
      <c r="A10" s="530" t="s">
        <v>7457</v>
      </c>
      <c r="B10" s="389" t="s">
        <v>4423</v>
      </c>
      <c r="C10" s="597" t="s">
        <v>4424</v>
      </c>
      <c r="D10" s="684">
        <v>61</v>
      </c>
      <c r="E10" s="696">
        <v>35549002</v>
      </c>
      <c r="F10" s="696"/>
      <c r="G10" s="390">
        <v>703521</v>
      </c>
      <c r="H10" s="391" t="s">
        <v>4425</v>
      </c>
      <c r="I10" s="391" t="s">
        <v>2320</v>
      </c>
      <c r="J10" s="531" t="s">
        <v>3043</v>
      </c>
      <c r="K10" s="392" t="s">
        <v>4426</v>
      </c>
      <c r="L10" s="392" t="s">
        <v>4427</v>
      </c>
      <c r="M10" s="690">
        <v>703521</v>
      </c>
      <c r="N10" s="393" t="s">
        <v>4428</v>
      </c>
    </row>
    <row r="11" spans="1:14">
      <c r="A11" s="530" t="s">
        <v>10755</v>
      </c>
      <c r="B11" s="389" t="s">
        <v>10756</v>
      </c>
      <c r="C11" s="597"/>
      <c r="D11" s="684">
        <v>61</v>
      </c>
      <c r="E11" s="696">
        <v>39913661</v>
      </c>
      <c r="F11" s="696"/>
      <c r="G11" s="390">
        <v>703282</v>
      </c>
      <c r="H11" s="391" t="s">
        <v>10757</v>
      </c>
      <c r="I11" s="391"/>
      <c r="J11" s="531" t="s">
        <v>10735</v>
      </c>
      <c r="K11" s="392"/>
      <c r="L11" s="392"/>
      <c r="M11" s="690">
        <v>703282</v>
      </c>
      <c r="N11" s="393" t="s">
        <v>10758</v>
      </c>
    </row>
    <row r="12" spans="1:14">
      <c r="A12" s="530" t="s">
        <v>7828</v>
      </c>
      <c r="B12" s="389" t="s">
        <v>4141</v>
      </c>
      <c r="C12" s="597" t="s">
        <v>4142</v>
      </c>
      <c r="D12" s="684">
        <v>61</v>
      </c>
      <c r="E12" s="696">
        <v>33735504</v>
      </c>
      <c r="F12" s="696"/>
      <c r="G12" s="390">
        <v>703436</v>
      </c>
      <c r="H12" s="391" t="s">
        <v>4143</v>
      </c>
      <c r="I12" s="391" t="s">
        <v>2404</v>
      </c>
      <c r="J12" s="531" t="s">
        <v>3043</v>
      </c>
      <c r="K12" s="392" t="s">
        <v>4144</v>
      </c>
      <c r="L12" s="392" t="s">
        <v>4145</v>
      </c>
      <c r="M12" s="690">
        <v>703436</v>
      </c>
      <c r="N12" s="393" t="s">
        <v>4146</v>
      </c>
    </row>
    <row r="13" spans="1:14">
      <c r="A13" s="530" t="s">
        <v>10759</v>
      </c>
      <c r="B13" s="389" t="s">
        <v>1885</v>
      </c>
      <c r="C13" s="680" t="s">
        <v>870</v>
      </c>
      <c r="D13" s="684">
        <v>61</v>
      </c>
      <c r="E13" s="695">
        <v>32011300</v>
      </c>
      <c r="F13" s="695"/>
      <c r="G13" s="390">
        <v>700426</v>
      </c>
      <c r="H13" s="391" t="s">
        <v>1886</v>
      </c>
      <c r="I13" s="391"/>
      <c r="J13" s="531" t="s">
        <v>10735</v>
      </c>
      <c r="K13" s="392"/>
      <c r="L13" s="392"/>
      <c r="M13" s="690">
        <v>700426</v>
      </c>
      <c r="N13" s="393" t="s">
        <v>570</v>
      </c>
    </row>
    <row r="14" spans="1:14">
      <c r="A14" s="530" t="s">
        <v>10760</v>
      </c>
      <c r="B14" s="389" t="s">
        <v>1887</v>
      </c>
      <c r="C14" s="680" t="s">
        <v>691</v>
      </c>
      <c r="D14" s="684">
        <v>61</v>
      </c>
      <c r="E14" s="695">
        <v>30454215</v>
      </c>
      <c r="F14" s="695"/>
      <c r="G14" s="390">
        <v>700916</v>
      </c>
      <c r="H14" s="391" t="s">
        <v>1888</v>
      </c>
      <c r="I14" s="391" t="s">
        <v>2404</v>
      </c>
      <c r="J14" s="531" t="s">
        <v>3043</v>
      </c>
      <c r="K14" s="392" t="s">
        <v>10761</v>
      </c>
      <c r="L14" s="392" t="s">
        <v>2451</v>
      </c>
      <c r="M14" s="690">
        <v>700916</v>
      </c>
      <c r="N14" s="393" t="s">
        <v>2973</v>
      </c>
    </row>
    <row r="15" spans="1:14">
      <c r="A15" s="530" t="s">
        <v>10762</v>
      </c>
      <c r="B15" s="533" t="s">
        <v>10763</v>
      </c>
      <c r="C15" s="597" t="s">
        <v>10764</v>
      </c>
      <c r="D15" s="684">
        <v>61</v>
      </c>
      <c r="E15" s="696">
        <v>33997021</v>
      </c>
      <c r="F15" s="696">
        <v>999593011</v>
      </c>
      <c r="G15" s="534">
        <v>703993</v>
      </c>
      <c r="H15" s="535" t="s">
        <v>10765</v>
      </c>
      <c r="I15" s="535" t="s">
        <v>2333</v>
      </c>
      <c r="J15" s="531" t="s">
        <v>3052</v>
      </c>
      <c r="K15" s="536" t="s">
        <v>10766</v>
      </c>
      <c r="L15" s="536" t="s">
        <v>10767</v>
      </c>
      <c r="M15" s="692">
        <v>703993</v>
      </c>
      <c r="N15" s="537" t="s">
        <v>10768</v>
      </c>
    </row>
    <row r="16" spans="1:14">
      <c r="A16" s="530" t="s">
        <v>10769</v>
      </c>
      <c r="B16" s="389" t="s">
        <v>714</v>
      </c>
      <c r="C16" s="680" t="s">
        <v>687</v>
      </c>
      <c r="D16" s="684">
        <v>61</v>
      </c>
      <c r="E16" s="695">
        <v>30337535</v>
      </c>
      <c r="F16" s="695"/>
      <c r="G16" s="390"/>
      <c r="H16" s="391" t="s">
        <v>1889</v>
      </c>
      <c r="I16" s="391" t="s">
        <v>2320</v>
      </c>
      <c r="J16" s="531" t="s">
        <v>3043</v>
      </c>
      <c r="K16" s="392" t="s">
        <v>2337</v>
      </c>
      <c r="L16" s="392" t="s">
        <v>2338</v>
      </c>
      <c r="M16" s="690"/>
      <c r="N16" s="393" t="s">
        <v>755</v>
      </c>
    </row>
    <row r="17" spans="1:22">
      <c r="A17" s="530" t="s">
        <v>10770</v>
      </c>
      <c r="B17" s="389" t="s">
        <v>1890</v>
      </c>
      <c r="C17" s="597" t="s">
        <v>973</v>
      </c>
      <c r="D17" s="684">
        <v>41</v>
      </c>
      <c r="E17" s="695">
        <v>33274333</v>
      </c>
      <c r="F17" s="695"/>
      <c r="G17" s="390">
        <v>700021</v>
      </c>
      <c r="H17" s="391" t="s">
        <v>1891</v>
      </c>
      <c r="I17" s="391" t="s">
        <v>2320</v>
      </c>
      <c r="J17" s="531" t="s">
        <v>3043</v>
      </c>
      <c r="K17" s="392" t="s">
        <v>2539</v>
      </c>
      <c r="L17" s="392" t="s">
        <v>2540</v>
      </c>
      <c r="M17" s="690">
        <v>700021</v>
      </c>
      <c r="N17" s="393" t="s">
        <v>972</v>
      </c>
    </row>
    <row r="18" spans="1:22">
      <c r="A18" s="530" t="s">
        <v>4379</v>
      </c>
      <c r="B18" s="389" t="s">
        <v>4390</v>
      </c>
      <c r="C18" s="597" t="s">
        <v>10329</v>
      </c>
      <c r="D18" s="684">
        <v>61</v>
      </c>
      <c r="E18" s="695">
        <v>35488548</v>
      </c>
      <c r="F18" s="695"/>
      <c r="G18" s="390">
        <v>703256</v>
      </c>
      <c r="H18" s="391" t="s">
        <v>4391</v>
      </c>
      <c r="I18" s="391" t="s">
        <v>2320</v>
      </c>
      <c r="J18" s="531" t="s">
        <v>3043</v>
      </c>
      <c r="K18" s="392" t="s">
        <v>2443</v>
      </c>
      <c r="L18" s="392" t="s">
        <v>4392</v>
      </c>
      <c r="M18" s="690">
        <v>703256</v>
      </c>
      <c r="N18" s="393" t="s">
        <v>4393</v>
      </c>
    </row>
    <row r="19" spans="1:22">
      <c r="A19" s="530" t="s">
        <v>10771</v>
      </c>
      <c r="B19" s="389" t="s">
        <v>10772</v>
      </c>
      <c r="C19" s="680" t="s">
        <v>1439</v>
      </c>
      <c r="D19" s="684">
        <v>61</v>
      </c>
      <c r="E19" s="695">
        <v>37111044</v>
      </c>
      <c r="F19" s="695">
        <v>994177021</v>
      </c>
      <c r="G19" s="390">
        <v>703124</v>
      </c>
      <c r="H19" s="391" t="s">
        <v>2888</v>
      </c>
      <c r="I19" s="391" t="s">
        <v>2335</v>
      </c>
      <c r="J19" s="531">
        <v>341</v>
      </c>
      <c r="K19" s="392" t="s">
        <v>2889</v>
      </c>
      <c r="L19" s="392" t="s">
        <v>2890</v>
      </c>
      <c r="M19" s="690">
        <v>703124</v>
      </c>
      <c r="N19" s="393" t="s">
        <v>2972</v>
      </c>
    </row>
    <row r="20" spans="1:22">
      <c r="A20" s="530" t="s">
        <v>10773</v>
      </c>
      <c r="B20" s="389" t="s">
        <v>1892</v>
      </c>
      <c r="C20" s="680" t="s">
        <v>674</v>
      </c>
      <c r="D20" s="684">
        <v>62</v>
      </c>
      <c r="E20" s="695">
        <v>36365877</v>
      </c>
      <c r="F20" s="695"/>
      <c r="G20" s="390">
        <v>702071</v>
      </c>
      <c r="H20" s="391" t="s">
        <v>1893</v>
      </c>
      <c r="I20" s="391"/>
      <c r="J20" s="531" t="s">
        <v>10735</v>
      </c>
      <c r="K20" s="392"/>
      <c r="L20" s="392"/>
      <c r="M20" s="690">
        <v>702071</v>
      </c>
      <c r="N20" s="393" t="s">
        <v>2971</v>
      </c>
    </row>
    <row r="21" spans="1:22">
      <c r="A21" s="530" t="s">
        <v>7283</v>
      </c>
      <c r="B21" s="389" t="s">
        <v>1894</v>
      </c>
      <c r="C21" s="680" t="s">
        <v>1260</v>
      </c>
      <c r="D21" s="684">
        <v>61</v>
      </c>
      <c r="E21" s="695">
        <v>33860161</v>
      </c>
      <c r="F21" s="695">
        <v>99818930</v>
      </c>
      <c r="G21" s="390">
        <v>702395</v>
      </c>
      <c r="H21" s="391" t="s">
        <v>1895</v>
      </c>
      <c r="I21" s="391" t="s">
        <v>2320</v>
      </c>
      <c r="J21" s="531" t="s">
        <v>3043</v>
      </c>
      <c r="K21" s="392" t="s">
        <v>10774</v>
      </c>
      <c r="L21" s="392" t="s">
        <v>2360</v>
      </c>
      <c r="M21" s="690">
        <v>702395</v>
      </c>
      <c r="N21" s="393" t="s">
        <v>1211</v>
      </c>
      <c r="P21" s="394" t="s">
        <v>10775</v>
      </c>
    </row>
    <row r="22" spans="1:22">
      <c r="A22" s="530" t="s">
        <v>10776</v>
      </c>
      <c r="B22" s="389" t="s">
        <v>7103</v>
      </c>
      <c r="C22" s="680"/>
      <c r="D22" s="684">
        <v>62</v>
      </c>
      <c r="E22" s="695">
        <v>35863307</v>
      </c>
      <c r="F22" s="695"/>
      <c r="G22" s="390"/>
      <c r="H22" s="391" t="s">
        <v>7104</v>
      </c>
      <c r="I22" s="391"/>
      <c r="J22" s="531" t="s">
        <v>10735</v>
      </c>
      <c r="K22" s="392"/>
      <c r="L22" s="392"/>
      <c r="M22" s="690"/>
      <c r="N22" s="393" t="s">
        <v>7100</v>
      </c>
    </row>
    <row r="23" spans="1:22">
      <c r="A23" s="530" t="s">
        <v>8252</v>
      </c>
      <c r="B23" s="389" t="s">
        <v>1896</v>
      </c>
      <c r="C23" s="680" t="s">
        <v>959</v>
      </c>
      <c r="D23" s="684">
        <v>61</v>
      </c>
      <c r="E23" s="695">
        <v>32338191</v>
      </c>
      <c r="F23" s="695"/>
      <c r="G23" s="390">
        <v>3864</v>
      </c>
      <c r="H23" s="391" t="s">
        <v>1897</v>
      </c>
      <c r="I23" s="391" t="s">
        <v>2335</v>
      </c>
      <c r="J23" s="531">
        <v>341</v>
      </c>
      <c r="K23" s="392" t="s">
        <v>10777</v>
      </c>
      <c r="L23" s="392" t="s">
        <v>2371</v>
      </c>
      <c r="M23" s="690">
        <v>3864</v>
      </c>
      <c r="N23" s="393" t="s">
        <v>949</v>
      </c>
    </row>
    <row r="24" spans="1:22">
      <c r="A24" s="530" t="s">
        <v>10778</v>
      </c>
      <c r="B24" s="389" t="s">
        <v>1898</v>
      </c>
      <c r="C24" s="680" t="s">
        <v>1285</v>
      </c>
      <c r="D24" s="684">
        <v>62</v>
      </c>
      <c r="E24" s="695">
        <v>30923817</v>
      </c>
      <c r="F24" s="695"/>
      <c r="G24" s="390">
        <v>701330</v>
      </c>
      <c r="H24" s="391" t="s">
        <v>1899</v>
      </c>
      <c r="I24" s="391" t="s">
        <v>2320</v>
      </c>
      <c r="J24" s="531" t="s">
        <v>3043</v>
      </c>
      <c r="K24" s="392" t="s">
        <v>2423</v>
      </c>
      <c r="L24" s="392" t="s">
        <v>2424</v>
      </c>
      <c r="M24" s="690">
        <v>701330</v>
      </c>
      <c r="N24" s="393" t="s">
        <v>1284</v>
      </c>
    </row>
    <row r="25" spans="1:22">
      <c r="A25" s="530" t="s">
        <v>10779</v>
      </c>
      <c r="B25" s="389" t="s">
        <v>10780</v>
      </c>
      <c r="C25" s="680" t="s">
        <v>10781</v>
      </c>
      <c r="D25" s="684">
        <v>61</v>
      </c>
      <c r="F25" s="695">
        <v>98097906</v>
      </c>
      <c r="G25" s="390">
        <v>704322</v>
      </c>
      <c r="H25" s="391" t="s">
        <v>10782</v>
      </c>
      <c r="I25" s="391"/>
      <c r="J25" s="531" t="s">
        <v>10735</v>
      </c>
      <c r="K25" s="392"/>
      <c r="L25" s="392"/>
      <c r="M25" s="690">
        <v>704322</v>
      </c>
      <c r="N25" s="393" t="s">
        <v>10783</v>
      </c>
      <c r="P25" s="394" t="s">
        <v>10784</v>
      </c>
    </row>
    <row r="26" spans="1:22">
      <c r="A26" s="530" t="s">
        <v>10785</v>
      </c>
      <c r="B26" s="389" t="s">
        <v>1900</v>
      </c>
      <c r="C26" s="597" t="s">
        <v>1106</v>
      </c>
      <c r="D26" s="684">
        <v>62</v>
      </c>
      <c r="E26" s="696">
        <v>37061110</v>
      </c>
      <c r="F26" s="696"/>
      <c r="G26" s="390">
        <v>702336</v>
      </c>
      <c r="H26" s="391" t="s">
        <v>1901</v>
      </c>
      <c r="I26" s="391"/>
      <c r="J26" s="531" t="s">
        <v>10735</v>
      </c>
      <c r="K26" s="392"/>
      <c r="L26" s="392"/>
      <c r="M26" s="690">
        <v>702336</v>
      </c>
      <c r="N26" s="393" t="s">
        <v>1105</v>
      </c>
    </row>
    <row r="27" spans="1:22">
      <c r="A27" s="530" t="s">
        <v>4247</v>
      </c>
      <c r="B27" s="389" t="s">
        <v>4243</v>
      </c>
      <c r="C27" s="680" t="s">
        <v>4244</v>
      </c>
      <c r="D27" s="684">
        <v>61</v>
      </c>
      <c r="E27" s="695">
        <v>30260927</v>
      </c>
      <c r="F27" s="695"/>
      <c r="G27" s="390">
        <v>703508</v>
      </c>
      <c r="H27" s="391" t="s">
        <v>4245</v>
      </c>
      <c r="I27" s="391" t="s">
        <v>2321</v>
      </c>
      <c r="J27" s="531" t="s">
        <v>3050</v>
      </c>
      <c r="K27" s="392" t="s">
        <v>4342</v>
      </c>
      <c r="L27" s="392" t="s">
        <v>4343</v>
      </c>
      <c r="M27" s="690">
        <v>703508</v>
      </c>
      <c r="N27" s="393" t="s">
        <v>4246</v>
      </c>
    </row>
    <row r="28" spans="1:22">
      <c r="A28" s="530" t="s">
        <v>3670</v>
      </c>
      <c r="B28" s="389" t="s">
        <v>10786</v>
      </c>
      <c r="C28" s="680" t="s">
        <v>686</v>
      </c>
      <c r="D28" s="684">
        <v>61</v>
      </c>
      <c r="E28" s="695">
        <v>32017336</v>
      </c>
      <c r="F28" s="695">
        <v>991198773</v>
      </c>
      <c r="G28" s="390">
        <v>700657</v>
      </c>
      <c r="H28" s="391" t="s">
        <v>1902</v>
      </c>
      <c r="I28" s="391" t="s">
        <v>2320</v>
      </c>
      <c r="J28" s="531" t="s">
        <v>3043</v>
      </c>
      <c r="K28" s="392" t="s">
        <v>10787</v>
      </c>
      <c r="L28" s="392" t="s">
        <v>10788</v>
      </c>
      <c r="M28" s="690">
        <v>700657</v>
      </c>
      <c r="N28" s="393" t="s">
        <v>758</v>
      </c>
    </row>
    <row r="29" spans="1:22">
      <c r="A29" s="530" t="s">
        <v>10789</v>
      </c>
      <c r="B29" s="389" t="s">
        <v>3017</v>
      </c>
      <c r="C29" s="680" t="s">
        <v>3018</v>
      </c>
      <c r="D29" s="684">
        <v>32</v>
      </c>
      <c r="E29" s="695">
        <v>21011556</v>
      </c>
      <c r="F29" s="695"/>
      <c r="G29" s="390">
        <v>703219</v>
      </c>
      <c r="H29" s="391" t="s">
        <v>3019</v>
      </c>
      <c r="I29" s="391" t="s">
        <v>2329</v>
      </c>
      <c r="J29" s="531">
        <v>104</v>
      </c>
      <c r="K29" s="392" t="s">
        <v>3020</v>
      </c>
      <c r="L29" s="392" t="s">
        <v>3021</v>
      </c>
      <c r="M29" s="690">
        <v>703219</v>
      </c>
      <c r="N29" s="393" t="s">
        <v>3022</v>
      </c>
      <c r="O29" s="538"/>
      <c r="P29" s="538"/>
      <c r="Q29" s="538"/>
      <c r="R29" s="538"/>
      <c r="S29" s="538"/>
      <c r="T29" s="538"/>
      <c r="U29" s="538"/>
      <c r="V29" s="538"/>
    </row>
    <row r="30" spans="1:22">
      <c r="A30" s="530" t="s">
        <v>10790</v>
      </c>
      <c r="B30" s="389" t="s">
        <v>10791</v>
      </c>
      <c r="C30" s="680" t="s">
        <v>10792</v>
      </c>
      <c r="D30" s="684">
        <v>35</v>
      </c>
      <c r="F30" s="695">
        <v>998760144</v>
      </c>
      <c r="G30" s="390"/>
      <c r="H30" s="391" t="s">
        <v>10793</v>
      </c>
      <c r="I30" s="391"/>
      <c r="J30" s="531" t="s">
        <v>10735</v>
      </c>
      <c r="K30" s="392"/>
      <c r="L30" s="392"/>
      <c r="M30" s="690"/>
      <c r="N30" s="393" t="s">
        <v>10794</v>
      </c>
    </row>
    <row r="31" spans="1:22">
      <c r="A31" s="530" t="s">
        <v>10795</v>
      </c>
      <c r="B31" s="389" t="s">
        <v>1903</v>
      </c>
      <c r="C31" s="680" t="s">
        <v>677</v>
      </c>
      <c r="D31" s="684">
        <v>62</v>
      </c>
      <c r="E31" s="695">
        <v>40153500</v>
      </c>
      <c r="F31" s="695"/>
      <c r="G31" s="390">
        <v>3875</v>
      </c>
      <c r="H31" s="391" t="s">
        <v>1904</v>
      </c>
      <c r="I31" s="391"/>
      <c r="J31" s="531" t="s">
        <v>10735</v>
      </c>
      <c r="K31" s="392"/>
      <c r="L31" s="392"/>
      <c r="M31" s="690">
        <v>3875</v>
      </c>
      <c r="N31" s="393" t="s">
        <v>588</v>
      </c>
    </row>
    <row r="32" spans="1:22">
      <c r="A32" s="530" t="s">
        <v>10796</v>
      </c>
      <c r="B32" s="389" t="s">
        <v>9851</v>
      </c>
      <c r="C32" s="680" t="s">
        <v>9852</v>
      </c>
      <c r="D32" s="684">
        <v>61</v>
      </c>
      <c r="E32" s="695"/>
      <c r="F32" s="695">
        <v>999616676</v>
      </c>
      <c r="G32" s="390">
        <v>703581</v>
      </c>
      <c r="H32" s="391" t="s">
        <v>9853</v>
      </c>
      <c r="I32" s="391" t="s">
        <v>2350</v>
      </c>
      <c r="J32" s="531">
        <v>237</v>
      </c>
      <c r="K32" s="392" t="s">
        <v>10797</v>
      </c>
      <c r="L32" s="392" t="s">
        <v>10798</v>
      </c>
      <c r="M32" s="690">
        <v>703581</v>
      </c>
      <c r="N32" s="393" t="s">
        <v>9843</v>
      </c>
    </row>
    <row r="33" spans="1:34">
      <c r="A33" s="530" t="s">
        <v>10799</v>
      </c>
      <c r="B33" s="389" t="s">
        <v>1905</v>
      </c>
      <c r="C33" s="680" t="s">
        <v>697</v>
      </c>
      <c r="D33" s="684">
        <v>61</v>
      </c>
      <c r="E33" s="695">
        <v>35568420</v>
      </c>
      <c r="F33" s="695"/>
      <c r="G33" s="390">
        <v>701679</v>
      </c>
      <c r="H33" s="391" t="s">
        <v>1906</v>
      </c>
      <c r="I33" s="391"/>
      <c r="J33" s="531" t="s">
        <v>10735</v>
      </c>
      <c r="K33" s="392"/>
      <c r="L33" s="392"/>
      <c r="M33" s="690">
        <v>701679</v>
      </c>
      <c r="N33" s="393" t="s">
        <v>637</v>
      </c>
    </row>
    <row r="34" spans="1:34">
      <c r="A34" s="530" t="s">
        <v>10800</v>
      </c>
      <c r="B34" s="389" t="s">
        <v>1907</v>
      </c>
      <c r="C34" s="680" t="s">
        <v>699</v>
      </c>
      <c r="D34" s="684">
        <v>62</v>
      </c>
      <c r="E34" s="695">
        <v>35481194</v>
      </c>
      <c r="F34" s="695">
        <v>30854131</v>
      </c>
      <c r="G34" s="390">
        <v>701540</v>
      </c>
      <c r="H34" s="391" t="s">
        <v>1908</v>
      </c>
      <c r="I34" s="391" t="s">
        <v>2335</v>
      </c>
      <c r="J34" s="531">
        <v>341</v>
      </c>
      <c r="K34" s="392" t="s">
        <v>2472</v>
      </c>
      <c r="L34" s="392" t="s">
        <v>2473</v>
      </c>
      <c r="M34" s="690">
        <v>701540</v>
      </c>
      <c r="N34" s="393" t="s">
        <v>607</v>
      </c>
    </row>
    <row r="35" spans="1:34">
      <c r="A35" s="530" t="s">
        <v>10801</v>
      </c>
      <c r="B35" s="389" t="s">
        <v>1909</v>
      </c>
      <c r="C35" s="680" t="s">
        <v>1599</v>
      </c>
      <c r="D35" s="684">
        <v>11</v>
      </c>
      <c r="E35" s="695">
        <v>36700008</v>
      </c>
      <c r="F35" s="695"/>
      <c r="G35" s="390">
        <v>32</v>
      </c>
      <c r="H35" s="391" t="s">
        <v>1910</v>
      </c>
      <c r="I35" s="391"/>
      <c r="J35" s="531" t="s">
        <v>10735</v>
      </c>
      <c r="K35" s="392"/>
      <c r="L35" s="392"/>
      <c r="M35" s="690">
        <v>32</v>
      </c>
      <c r="N35" s="393" t="s">
        <v>1598</v>
      </c>
    </row>
    <row r="36" spans="1:34">
      <c r="A36" s="530" t="s">
        <v>10802</v>
      </c>
      <c r="B36" s="389" t="s">
        <v>1911</v>
      </c>
      <c r="C36" s="680" t="s">
        <v>1547</v>
      </c>
      <c r="D36" s="684">
        <v>61</v>
      </c>
      <c r="F36" s="695">
        <v>981114423</v>
      </c>
      <c r="G36" s="390">
        <v>257</v>
      </c>
      <c r="H36" s="391" t="s">
        <v>1912</v>
      </c>
      <c r="I36" s="391" t="s">
        <v>2335</v>
      </c>
      <c r="J36" s="531">
        <v>341</v>
      </c>
      <c r="K36" s="392">
        <v>1103</v>
      </c>
      <c r="L36" s="392" t="s">
        <v>2504</v>
      </c>
      <c r="M36" s="690">
        <v>257</v>
      </c>
      <c r="N36" s="393" t="s">
        <v>642</v>
      </c>
    </row>
    <row r="37" spans="1:34">
      <c r="A37" s="530" t="s">
        <v>10803</v>
      </c>
      <c r="B37" s="389" t="s">
        <v>4285</v>
      </c>
      <c r="C37" s="680"/>
      <c r="D37" s="684">
        <v>61</v>
      </c>
      <c r="E37" s="695">
        <v>32011312</v>
      </c>
      <c r="F37" s="695"/>
      <c r="G37" s="390">
        <v>703418</v>
      </c>
      <c r="H37" s="391" t="s">
        <v>4286</v>
      </c>
      <c r="I37" s="391" t="s">
        <v>2321</v>
      </c>
      <c r="J37" s="531" t="s">
        <v>3050</v>
      </c>
      <c r="K37" s="392" t="s">
        <v>4313</v>
      </c>
      <c r="L37" s="392" t="s">
        <v>4314</v>
      </c>
      <c r="M37" s="690">
        <v>703418</v>
      </c>
      <c r="N37" s="393" t="s">
        <v>4287</v>
      </c>
    </row>
    <row r="38" spans="1:34" s="482" customFormat="1" ht="15">
      <c r="A38" s="530" t="s">
        <v>10804</v>
      </c>
      <c r="B38" s="389" t="s">
        <v>3943</v>
      </c>
      <c r="C38" s="680" t="s">
        <v>3944</v>
      </c>
      <c r="D38" s="684">
        <v>61</v>
      </c>
      <c r="E38" s="695">
        <v>33651028</v>
      </c>
      <c r="F38" s="695">
        <v>992516739</v>
      </c>
      <c r="G38" s="390">
        <v>702930</v>
      </c>
      <c r="H38" s="391" t="s">
        <v>3945</v>
      </c>
      <c r="I38" s="391" t="s">
        <v>2404</v>
      </c>
      <c r="J38" s="531" t="s">
        <v>3043</v>
      </c>
      <c r="K38" s="392" t="s">
        <v>3610</v>
      </c>
      <c r="L38" s="392" t="s">
        <v>3946</v>
      </c>
      <c r="M38" s="690">
        <v>702930</v>
      </c>
      <c r="N38" s="393" t="s">
        <v>3947</v>
      </c>
      <c r="AH38" s="394"/>
    </row>
    <row r="39" spans="1:34">
      <c r="A39" s="530" t="s">
        <v>10805</v>
      </c>
      <c r="B39" s="389" t="s">
        <v>10806</v>
      </c>
      <c r="C39" s="680" t="s">
        <v>4308</v>
      </c>
      <c r="D39" s="684">
        <v>51</v>
      </c>
      <c r="E39" s="695">
        <v>34594000</v>
      </c>
      <c r="F39" s="695"/>
      <c r="G39" s="390">
        <v>703205</v>
      </c>
      <c r="H39" s="391" t="s">
        <v>2913</v>
      </c>
      <c r="I39" s="391" t="s">
        <v>2404</v>
      </c>
      <c r="J39" s="531" t="s">
        <v>3043</v>
      </c>
      <c r="K39" s="392" t="s">
        <v>4309</v>
      </c>
      <c r="L39" s="392" t="s">
        <v>4310</v>
      </c>
      <c r="M39" s="690">
        <v>703205</v>
      </c>
      <c r="N39" s="393" t="s">
        <v>2912</v>
      </c>
    </row>
    <row r="40" spans="1:34">
      <c r="A40" s="530" t="s">
        <v>10807</v>
      </c>
      <c r="B40" s="389" t="s">
        <v>10808</v>
      </c>
      <c r="C40" s="680" t="s">
        <v>10809</v>
      </c>
      <c r="D40" s="684">
        <v>62</v>
      </c>
      <c r="E40" s="695">
        <v>33242120</v>
      </c>
      <c r="F40" s="695"/>
      <c r="G40" s="390">
        <v>2929</v>
      </c>
      <c r="H40" s="391" t="s">
        <v>10810</v>
      </c>
      <c r="I40" s="391" t="s">
        <v>2404</v>
      </c>
      <c r="J40" s="531" t="s">
        <v>3043</v>
      </c>
      <c r="K40" s="392" t="s">
        <v>10811</v>
      </c>
      <c r="L40" s="392" t="s">
        <v>10812</v>
      </c>
      <c r="M40" s="690">
        <v>2929</v>
      </c>
      <c r="N40" s="393" t="s">
        <v>10813</v>
      </c>
    </row>
    <row r="41" spans="1:34">
      <c r="A41" s="530" t="s">
        <v>4139</v>
      </c>
      <c r="B41" s="389" t="s">
        <v>1913</v>
      </c>
      <c r="C41" s="680" t="s">
        <v>876</v>
      </c>
      <c r="D41" s="684">
        <v>61</v>
      </c>
      <c r="E41" s="695">
        <v>32486496</v>
      </c>
      <c r="F41" s="695"/>
      <c r="G41" s="390">
        <v>396</v>
      </c>
      <c r="H41" s="391" t="s">
        <v>1914</v>
      </c>
      <c r="I41" s="391" t="s">
        <v>2320</v>
      </c>
      <c r="J41" s="531" t="s">
        <v>3043</v>
      </c>
      <c r="K41" s="392" t="s">
        <v>2850</v>
      </c>
      <c r="L41" s="392" t="s">
        <v>2851</v>
      </c>
      <c r="M41" s="690">
        <v>396</v>
      </c>
      <c r="N41" s="393" t="s">
        <v>875</v>
      </c>
    </row>
    <row r="42" spans="1:34">
      <c r="A42" s="530" t="s">
        <v>10814</v>
      </c>
      <c r="B42" s="389" t="s">
        <v>1915</v>
      </c>
      <c r="C42" s="680" t="s">
        <v>1693</v>
      </c>
      <c r="D42" s="684">
        <v>61</v>
      </c>
      <c r="E42" s="695">
        <v>33627993</v>
      </c>
      <c r="F42" s="695"/>
      <c r="G42" s="390">
        <v>702938</v>
      </c>
      <c r="H42" s="391" t="s">
        <v>1916</v>
      </c>
      <c r="I42" s="391"/>
      <c r="J42" s="531" t="s">
        <v>10735</v>
      </c>
      <c r="K42" s="392"/>
      <c r="L42" s="392"/>
      <c r="M42" s="690">
        <v>702938</v>
      </c>
      <c r="N42" s="393" t="s">
        <v>1692</v>
      </c>
    </row>
    <row r="43" spans="1:34">
      <c r="A43" s="530" t="s">
        <v>10815</v>
      </c>
      <c r="B43" s="389" t="s">
        <v>3062</v>
      </c>
      <c r="C43" s="680" t="s">
        <v>3063</v>
      </c>
      <c r="D43" s="684">
        <v>61</v>
      </c>
      <c r="F43" s="695">
        <v>999773804</v>
      </c>
      <c r="G43" s="390">
        <v>6514</v>
      </c>
      <c r="H43" s="391" t="s">
        <v>3378</v>
      </c>
      <c r="I43" s="391" t="s">
        <v>2404</v>
      </c>
      <c r="J43" s="531" t="s">
        <v>3043</v>
      </c>
      <c r="K43" s="392" t="s">
        <v>3379</v>
      </c>
      <c r="L43" s="392" t="s">
        <v>3380</v>
      </c>
      <c r="M43" s="690">
        <v>6514</v>
      </c>
      <c r="N43" s="393" t="s">
        <v>3064</v>
      </c>
    </row>
    <row r="44" spans="1:34">
      <c r="A44" s="530" t="s">
        <v>7483</v>
      </c>
      <c r="B44" s="389" t="s">
        <v>5790</v>
      </c>
      <c r="C44" s="680" t="s">
        <v>5791</v>
      </c>
      <c r="D44" s="684">
        <v>61</v>
      </c>
      <c r="E44" s="695">
        <v>48189000</v>
      </c>
      <c r="F44" s="695">
        <v>992127139</v>
      </c>
      <c r="G44" s="390">
        <v>701860</v>
      </c>
      <c r="H44" s="391" t="s">
        <v>5792</v>
      </c>
      <c r="I44" s="391" t="s">
        <v>2404</v>
      </c>
      <c r="J44" s="531" t="s">
        <v>3043</v>
      </c>
      <c r="K44" s="392" t="s">
        <v>5793</v>
      </c>
      <c r="L44" s="392" t="s">
        <v>5794</v>
      </c>
      <c r="M44" s="690">
        <v>701860</v>
      </c>
      <c r="N44" s="393" t="s">
        <v>5795</v>
      </c>
    </row>
    <row r="45" spans="1:34">
      <c r="A45" s="530" t="s">
        <v>10816</v>
      </c>
      <c r="B45" s="389" t="s">
        <v>1917</v>
      </c>
      <c r="C45" s="680" t="s">
        <v>1486</v>
      </c>
      <c r="D45" s="684">
        <v>61</v>
      </c>
      <c r="E45" s="695">
        <v>33461300</v>
      </c>
      <c r="F45" s="695"/>
      <c r="G45" s="390">
        <v>559</v>
      </c>
      <c r="H45" s="391" t="s">
        <v>1918</v>
      </c>
      <c r="I45" s="391"/>
      <c r="J45" s="531" t="s">
        <v>10735</v>
      </c>
      <c r="K45" s="392"/>
      <c r="L45" s="392"/>
      <c r="M45" s="690">
        <v>559</v>
      </c>
      <c r="N45" s="393" t="s">
        <v>657</v>
      </c>
    </row>
    <row r="46" spans="1:34">
      <c r="A46" s="530" t="s">
        <v>10817</v>
      </c>
      <c r="B46" s="389" t="s">
        <v>10818</v>
      </c>
      <c r="C46" s="680" t="s">
        <v>10819</v>
      </c>
      <c r="D46" s="684">
        <v>41</v>
      </c>
      <c r="E46" s="695">
        <v>30933900</v>
      </c>
      <c r="F46" s="695"/>
      <c r="G46" s="390">
        <v>702779</v>
      </c>
      <c r="H46" s="391" t="s">
        <v>10820</v>
      </c>
      <c r="I46" s="391" t="s">
        <v>2404</v>
      </c>
      <c r="J46" s="531" t="s">
        <v>3043</v>
      </c>
      <c r="K46" s="392" t="s">
        <v>10821</v>
      </c>
      <c r="L46" s="392" t="s">
        <v>10822</v>
      </c>
      <c r="M46" s="690">
        <v>702779</v>
      </c>
      <c r="N46" s="393" t="s">
        <v>10823</v>
      </c>
    </row>
    <row r="47" spans="1:34">
      <c r="A47" s="530" t="s">
        <v>10824</v>
      </c>
      <c r="B47" s="389" t="s">
        <v>4372</v>
      </c>
      <c r="C47" s="680" t="s">
        <v>4373</v>
      </c>
      <c r="D47" s="684">
        <v>62</v>
      </c>
      <c r="E47" s="695">
        <v>32805152</v>
      </c>
      <c r="F47" s="695"/>
      <c r="G47" s="390">
        <v>703557</v>
      </c>
      <c r="H47" s="391" t="s">
        <v>4374</v>
      </c>
      <c r="I47" s="391" t="s">
        <v>2320</v>
      </c>
      <c r="J47" s="531" t="s">
        <v>3043</v>
      </c>
      <c r="K47" s="392" t="s">
        <v>4375</v>
      </c>
      <c r="L47" s="392" t="s">
        <v>4376</v>
      </c>
      <c r="M47" s="690">
        <v>703557</v>
      </c>
      <c r="N47" s="393" t="s">
        <v>4377</v>
      </c>
    </row>
    <row r="48" spans="1:34">
      <c r="A48" s="530" t="s">
        <v>8894</v>
      </c>
      <c r="B48" s="389" t="s">
        <v>1919</v>
      </c>
      <c r="C48" s="680" t="s">
        <v>10825</v>
      </c>
      <c r="D48" s="684">
        <v>61</v>
      </c>
      <c r="E48" s="695">
        <v>33497006</v>
      </c>
      <c r="F48" s="695">
        <v>996716769</v>
      </c>
      <c r="G48" s="390">
        <v>1365</v>
      </c>
      <c r="H48" s="391" t="s">
        <v>1920</v>
      </c>
      <c r="I48" s="391" t="s">
        <v>2350</v>
      </c>
      <c r="J48" s="531">
        <v>237</v>
      </c>
      <c r="K48" s="392" t="s">
        <v>3409</v>
      </c>
      <c r="L48" s="392" t="s">
        <v>3410</v>
      </c>
      <c r="M48" s="690">
        <v>1365</v>
      </c>
      <c r="N48" s="393" t="s">
        <v>813</v>
      </c>
    </row>
    <row r="49" spans="1:16377">
      <c r="A49" s="530" t="s">
        <v>10826</v>
      </c>
      <c r="B49" s="389" t="s">
        <v>8286</v>
      </c>
      <c r="C49" s="680" t="s">
        <v>8860</v>
      </c>
      <c r="D49" s="684">
        <v>61</v>
      </c>
      <c r="E49" s="695">
        <v>30541298</v>
      </c>
      <c r="F49" s="695">
        <v>999032188</v>
      </c>
      <c r="G49" s="390">
        <v>700048</v>
      </c>
      <c r="H49" s="391" t="s">
        <v>8859</v>
      </c>
      <c r="I49" s="391"/>
      <c r="J49" s="531" t="s">
        <v>10735</v>
      </c>
      <c r="K49" s="392"/>
      <c r="L49" s="392"/>
      <c r="M49" s="690"/>
      <c r="N49" s="393" t="s">
        <v>8896</v>
      </c>
    </row>
    <row r="50" spans="1:16377">
      <c r="A50" s="530" t="s">
        <v>10827</v>
      </c>
      <c r="B50" s="389" t="s">
        <v>1921</v>
      </c>
      <c r="C50" s="680" t="s">
        <v>889</v>
      </c>
      <c r="D50" s="684">
        <v>61</v>
      </c>
      <c r="E50" s="695">
        <v>35621069</v>
      </c>
      <c r="F50" s="695"/>
      <c r="G50" s="390">
        <v>700048</v>
      </c>
      <c r="H50" s="391" t="s">
        <v>1922</v>
      </c>
      <c r="I50" s="391"/>
      <c r="J50" s="531" t="s">
        <v>10735</v>
      </c>
      <c r="K50" s="392"/>
      <c r="L50" s="392"/>
      <c r="M50" s="690">
        <v>700048</v>
      </c>
      <c r="N50" s="393" t="s">
        <v>888</v>
      </c>
    </row>
    <row r="51" spans="1:16377">
      <c r="A51" s="530" t="s">
        <v>10828</v>
      </c>
      <c r="B51" s="389" t="s">
        <v>1923</v>
      </c>
      <c r="C51" s="680" t="s">
        <v>705</v>
      </c>
      <c r="D51" s="684">
        <v>61</v>
      </c>
      <c r="E51" s="695">
        <v>32233202</v>
      </c>
      <c r="F51" s="695"/>
      <c r="G51" s="390">
        <v>700981</v>
      </c>
      <c r="H51" s="391" t="s">
        <v>1924</v>
      </c>
      <c r="I51" s="391"/>
      <c r="J51" s="531" t="s">
        <v>10735</v>
      </c>
      <c r="K51" s="392"/>
      <c r="L51" s="392"/>
      <c r="M51" s="690">
        <v>700981</v>
      </c>
      <c r="N51" s="393" t="s">
        <v>722</v>
      </c>
    </row>
    <row r="52" spans="1:16377">
      <c r="A52" s="530" t="s">
        <v>10829</v>
      </c>
      <c r="B52" s="389" t="s">
        <v>10830</v>
      </c>
      <c r="C52" s="680" t="s">
        <v>689</v>
      </c>
      <c r="D52" s="684">
        <v>61</v>
      </c>
      <c r="E52" s="695">
        <v>34583322</v>
      </c>
      <c r="F52" s="695"/>
      <c r="G52" s="390">
        <v>704233</v>
      </c>
      <c r="H52" s="391" t="s">
        <v>10831</v>
      </c>
      <c r="I52" s="391" t="s">
        <v>2320</v>
      </c>
      <c r="J52" s="531" t="s">
        <v>3043</v>
      </c>
      <c r="K52" s="392" t="s">
        <v>6719</v>
      </c>
      <c r="L52" s="392" t="s">
        <v>10832</v>
      </c>
      <c r="M52" s="690">
        <v>704233</v>
      </c>
      <c r="N52" s="393" t="s">
        <v>10833</v>
      </c>
      <c r="O52" s="539"/>
      <c r="P52" s="539"/>
      <c r="Q52" s="539"/>
      <c r="R52" s="539"/>
      <c r="S52" s="539"/>
      <c r="T52" s="539"/>
      <c r="U52" s="539"/>
      <c r="V52" s="539"/>
      <c r="W52" s="539"/>
      <c r="X52" s="539"/>
      <c r="Y52" s="539"/>
      <c r="Z52" s="539"/>
      <c r="AA52" s="539"/>
      <c r="AB52" s="539"/>
      <c r="AC52" s="539"/>
      <c r="AD52" s="539"/>
      <c r="AE52" s="539"/>
      <c r="AF52" s="539"/>
      <c r="AG52" s="539"/>
      <c r="AI52" s="539"/>
      <c r="AJ52" s="539"/>
      <c r="AK52" s="539"/>
      <c r="AL52" s="539"/>
      <c r="AM52" s="539"/>
      <c r="AN52" s="539"/>
      <c r="AO52" s="539"/>
      <c r="AP52" s="539"/>
      <c r="AQ52" s="539"/>
      <c r="AR52" s="539"/>
      <c r="AS52" s="539"/>
      <c r="AT52" s="539"/>
      <c r="AU52" s="539"/>
      <c r="AV52" s="539"/>
      <c r="AW52" s="539"/>
      <c r="AX52" s="539"/>
      <c r="AY52" s="539"/>
      <c r="AZ52" s="539"/>
      <c r="BA52" s="539"/>
      <c r="BB52" s="539"/>
      <c r="BC52" s="539"/>
      <c r="BD52" s="539"/>
      <c r="BE52" s="539"/>
      <c r="BF52" s="539"/>
      <c r="BG52" s="539"/>
      <c r="BH52" s="539"/>
      <c r="BI52" s="539"/>
      <c r="BJ52" s="539"/>
      <c r="BK52" s="539"/>
      <c r="BL52" s="539"/>
      <c r="BM52" s="539"/>
      <c r="BN52" s="539"/>
      <c r="BO52" s="539"/>
      <c r="BP52" s="539"/>
      <c r="BQ52" s="539"/>
      <c r="BR52" s="539"/>
      <c r="BS52" s="539"/>
      <c r="BT52" s="539"/>
      <c r="BU52" s="539"/>
      <c r="BV52" s="539"/>
      <c r="BW52" s="539"/>
      <c r="BX52" s="539"/>
      <c r="BY52" s="539"/>
      <c r="BZ52" s="539"/>
      <c r="CA52" s="539"/>
      <c r="CB52" s="539"/>
      <c r="CC52" s="539"/>
      <c r="CD52" s="539"/>
      <c r="CE52" s="539"/>
      <c r="CF52" s="539"/>
      <c r="CG52" s="539"/>
      <c r="CH52" s="539"/>
      <c r="CI52" s="539"/>
      <c r="CJ52" s="539"/>
      <c r="CK52" s="539"/>
      <c r="CL52" s="539"/>
      <c r="CM52" s="539"/>
      <c r="CN52" s="539"/>
      <c r="CO52" s="539"/>
      <c r="CP52" s="539"/>
      <c r="CQ52" s="539"/>
      <c r="CR52" s="539"/>
      <c r="CS52" s="539"/>
      <c r="CT52" s="539"/>
      <c r="CU52" s="539"/>
      <c r="CV52" s="539"/>
      <c r="CW52" s="539"/>
      <c r="CX52" s="539"/>
      <c r="CY52" s="539"/>
      <c r="CZ52" s="539"/>
      <c r="DA52" s="539"/>
      <c r="DB52" s="539"/>
      <c r="DC52" s="539"/>
      <c r="DD52" s="539"/>
      <c r="DE52" s="539"/>
      <c r="DF52" s="539"/>
      <c r="DG52" s="539"/>
      <c r="DH52" s="539"/>
      <c r="DI52" s="539"/>
      <c r="DJ52" s="539"/>
      <c r="DK52" s="539"/>
      <c r="DL52" s="539"/>
      <c r="DM52" s="539"/>
      <c r="DN52" s="539"/>
      <c r="DO52" s="539"/>
      <c r="DP52" s="539"/>
      <c r="DQ52" s="539"/>
      <c r="DR52" s="539"/>
      <c r="DS52" s="539"/>
      <c r="DT52" s="539"/>
      <c r="DU52" s="539"/>
      <c r="DV52" s="539"/>
      <c r="DW52" s="539"/>
      <c r="DX52" s="539"/>
      <c r="DY52" s="539"/>
      <c r="DZ52" s="539"/>
      <c r="EA52" s="539"/>
      <c r="EB52" s="539"/>
      <c r="EC52" s="539"/>
      <c r="ED52" s="539"/>
      <c r="EE52" s="539"/>
      <c r="EF52" s="539"/>
      <c r="EG52" s="539"/>
      <c r="EH52" s="539"/>
      <c r="EI52" s="539"/>
      <c r="EJ52" s="539"/>
      <c r="EK52" s="539"/>
      <c r="EL52" s="539"/>
      <c r="EM52" s="539"/>
      <c r="EN52" s="539"/>
      <c r="EO52" s="539"/>
      <c r="EP52" s="539"/>
      <c r="EQ52" s="539"/>
      <c r="ER52" s="539"/>
      <c r="ES52" s="539"/>
      <c r="ET52" s="539"/>
      <c r="EU52" s="539"/>
      <c r="EV52" s="539"/>
      <c r="EW52" s="539"/>
      <c r="EX52" s="539"/>
      <c r="EY52" s="539"/>
      <c r="EZ52" s="539"/>
      <c r="FA52" s="539"/>
      <c r="FB52" s="539"/>
      <c r="FC52" s="539"/>
      <c r="FD52" s="539"/>
      <c r="FE52" s="539"/>
      <c r="FF52" s="539"/>
      <c r="FG52" s="539"/>
      <c r="FH52" s="539"/>
      <c r="FI52" s="539"/>
      <c r="FJ52" s="539"/>
      <c r="FK52" s="539"/>
      <c r="FL52" s="539"/>
      <c r="FM52" s="539"/>
      <c r="FN52" s="539"/>
      <c r="FO52" s="539"/>
      <c r="FP52" s="539"/>
      <c r="FQ52" s="539"/>
      <c r="FR52" s="539"/>
      <c r="FS52" s="539"/>
      <c r="FT52" s="539"/>
      <c r="FU52" s="539"/>
      <c r="FV52" s="539"/>
      <c r="FW52" s="539"/>
      <c r="FX52" s="539"/>
      <c r="FY52" s="539"/>
      <c r="FZ52" s="539"/>
      <c r="GA52" s="539"/>
      <c r="GB52" s="539"/>
      <c r="GC52" s="539"/>
      <c r="GD52" s="539"/>
      <c r="GE52" s="539"/>
      <c r="GF52" s="539"/>
      <c r="GG52" s="539"/>
      <c r="GH52" s="539"/>
      <c r="GI52" s="539"/>
      <c r="GJ52" s="539"/>
      <c r="GK52" s="539"/>
      <c r="GL52" s="539"/>
      <c r="GM52" s="539"/>
      <c r="GN52" s="539"/>
      <c r="GO52" s="539"/>
      <c r="GP52" s="539"/>
      <c r="GQ52" s="539"/>
      <c r="GR52" s="539"/>
      <c r="GS52" s="539"/>
      <c r="GT52" s="539"/>
      <c r="GU52" s="539"/>
      <c r="GV52" s="539"/>
      <c r="GW52" s="539"/>
      <c r="GX52" s="539"/>
      <c r="GY52" s="539"/>
      <c r="GZ52" s="539"/>
      <c r="HA52" s="539"/>
      <c r="HB52" s="539"/>
      <c r="HC52" s="539"/>
      <c r="HD52" s="539"/>
      <c r="HE52" s="539"/>
      <c r="HF52" s="539"/>
      <c r="HG52" s="539"/>
      <c r="HH52" s="539"/>
      <c r="HI52" s="539"/>
      <c r="HJ52" s="539"/>
      <c r="HK52" s="539"/>
      <c r="HL52" s="539"/>
      <c r="HM52" s="539"/>
      <c r="HN52" s="539"/>
      <c r="HO52" s="539"/>
      <c r="HP52" s="539"/>
      <c r="HQ52" s="539"/>
      <c r="HR52" s="539"/>
      <c r="HS52" s="539"/>
      <c r="HT52" s="539"/>
      <c r="HU52" s="539"/>
      <c r="HV52" s="539"/>
      <c r="HW52" s="539"/>
      <c r="HX52" s="539"/>
      <c r="HY52" s="539"/>
      <c r="HZ52" s="539"/>
      <c r="IA52" s="539"/>
      <c r="IB52" s="539"/>
      <c r="IC52" s="539"/>
      <c r="ID52" s="539"/>
      <c r="IE52" s="539"/>
      <c r="IF52" s="539"/>
      <c r="IG52" s="539"/>
      <c r="IH52" s="539"/>
      <c r="II52" s="539"/>
      <c r="IJ52" s="539"/>
      <c r="IK52" s="539"/>
      <c r="IL52" s="539"/>
      <c r="IM52" s="539"/>
      <c r="IN52" s="539"/>
      <c r="IO52" s="539"/>
      <c r="IP52" s="539"/>
      <c r="IQ52" s="539"/>
      <c r="IR52" s="539"/>
      <c r="IS52" s="539"/>
      <c r="IT52" s="539"/>
      <c r="IU52" s="539"/>
      <c r="IV52" s="539"/>
      <c r="IW52" s="539"/>
      <c r="IX52" s="539"/>
      <c r="IY52" s="539"/>
      <c r="IZ52" s="539"/>
      <c r="JA52" s="539"/>
      <c r="JB52" s="539"/>
      <c r="JC52" s="539"/>
      <c r="JD52" s="539"/>
      <c r="JE52" s="539"/>
      <c r="JF52" s="539"/>
      <c r="JG52" s="539"/>
      <c r="JH52" s="539"/>
      <c r="JI52" s="539"/>
      <c r="JJ52" s="539"/>
      <c r="JK52" s="539"/>
      <c r="JL52" s="539"/>
      <c r="JM52" s="539"/>
      <c r="JN52" s="539"/>
      <c r="JO52" s="539"/>
      <c r="JP52" s="539"/>
      <c r="JQ52" s="539"/>
      <c r="JR52" s="539"/>
      <c r="JS52" s="539"/>
      <c r="JT52" s="539"/>
      <c r="JU52" s="539"/>
      <c r="JV52" s="539"/>
      <c r="JW52" s="539"/>
      <c r="JX52" s="539"/>
      <c r="JY52" s="539"/>
      <c r="JZ52" s="539"/>
      <c r="KA52" s="539"/>
      <c r="KB52" s="539"/>
      <c r="KC52" s="539"/>
      <c r="KD52" s="539"/>
      <c r="KE52" s="539"/>
      <c r="KF52" s="539"/>
      <c r="KG52" s="539"/>
      <c r="KH52" s="539"/>
      <c r="KI52" s="539"/>
      <c r="KJ52" s="539"/>
      <c r="KK52" s="539"/>
      <c r="KL52" s="539"/>
      <c r="KM52" s="539"/>
      <c r="KN52" s="539"/>
      <c r="KO52" s="539"/>
      <c r="KP52" s="539"/>
      <c r="KQ52" s="539"/>
      <c r="KR52" s="539"/>
      <c r="KS52" s="539"/>
      <c r="KT52" s="539"/>
      <c r="KU52" s="539"/>
      <c r="KV52" s="539"/>
      <c r="KW52" s="539"/>
      <c r="KX52" s="539"/>
      <c r="KY52" s="539"/>
      <c r="KZ52" s="539"/>
      <c r="LA52" s="539"/>
      <c r="LB52" s="539"/>
      <c r="LC52" s="539"/>
      <c r="LD52" s="539"/>
      <c r="LE52" s="539"/>
      <c r="LF52" s="539"/>
      <c r="LG52" s="539"/>
      <c r="LH52" s="539"/>
      <c r="LI52" s="539"/>
      <c r="LJ52" s="539"/>
      <c r="LK52" s="539"/>
      <c r="LL52" s="539"/>
      <c r="LM52" s="539"/>
      <c r="LN52" s="539"/>
      <c r="LO52" s="539"/>
      <c r="LP52" s="539"/>
      <c r="LQ52" s="539"/>
      <c r="LR52" s="539"/>
      <c r="LS52" s="539"/>
      <c r="LT52" s="539"/>
      <c r="LU52" s="539"/>
      <c r="LV52" s="539"/>
      <c r="LW52" s="539"/>
      <c r="LX52" s="539"/>
      <c r="LY52" s="539"/>
      <c r="LZ52" s="539"/>
      <c r="MA52" s="539"/>
      <c r="MB52" s="539"/>
      <c r="MC52" s="539"/>
      <c r="MD52" s="539"/>
      <c r="ME52" s="539"/>
      <c r="MF52" s="539"/>
      <c r="MG52" s="539"/>
      <c r="MH52" s="539"/>
      <c r="MI52" s="539"/>
      <c r="MJ52" s="539"/>
      <c r="MK52" s="539"/>
      <c r="ML52" s="539"/>
      <c r="MM52" s="539"/>
      <c r="MN52" s="539"/>
      <c r="MO52" s="539"/>
      <c r="MP52" s="539"/>
      <c r="MQ52" s="539"/>
      <c r="MR52" s="539"/>
      <c r="MS52" s="539"/>
      <c r="MT52" s="539"/>
      <c r="MU52" s="539"/>
      <c r="MV52" s="539"/>
      <c r="MW52" s="539"/>
      <c r="MX52" s="539"/>
      <c r="MY52" s="539"/>
      <c r="MZ52" s="539"/>
      <c r="NA52" s="539"/>
      <c r="NB52" s="539"/>
      <c r="NC52" s="539"/>
      <c r="ND52" s="539"/>
      <c r="NE52" s="539"/>
      <c r="NF52" s="539"/>
      <c r="NG52" s="539"/>
      <c r="NH52" s="539"/>
      <c r="NI52" s="539"/>
      <c r="NJ52" s="539"/>
      <c r="NK52" s="539"/>
      <c r="NL52" s="539"/>
      <c r="NM52" s="539"/>
      <c r="NN52" s="539"/>
      <c r="NO52" s="539"/>
      <c r="NP52" s="539"/>
      <c r="NQ52" s="539"/>
      <c r="NR52" s="539"/>
      <c r="NS52" s="539"/>
      <c r="NT52" s="539"/>
      <c r="NU52" s="539"/>
      <c r="NV52" s="539"/>
      <c r="NW52" s="539"/>
      <c r="NX52" s="539"/>
      <c r="NY52" s="539"/>
      <c r="NZ52" s="539"/>
      <c r="OA52" s="539"/>
      <c r="OB52" s="539"/>
      <c r="OC52" s="539"/>
      <c r="OD52" s="539"/>
      <c r="OE52" s="539"/>
      <c r="OF52" s="539"/>
      <c r="OG52" s="539"/>
      <c r="OH52" s="539"/>
      <c r="OI52" s="539"/>
      <c r="OJ52" s="539"/>
      <c r="OK52" s="539"/>
      <c r="OL52" s="539"/>
      <c r="OM52" s="539"/>
      <c r="ON52" s="539"/>
      <c r="OO52" s="539"/>
      <c r="OP52" s="539"/>
      <c r="OQ52" s="539"/>
      <c r="OR52" s="539"/>
      <c r="OS52" s="539"/>
      <c r="OT52" s="539"/>
      <c r="OU52" s="539"/>
      <c r="OV52" s="539"/>
      <c r="OW52" s="539"/>
      <c r="OX52" s="539"/>
      <c r="OY52" s="539"/>
      <c r="OZ52" s="539"/>
      <c r="PA52" s="539"/>
      <c r="PB52" s="539"/>
      <c r="PC52" s="539"/>
      <c r="PD52" s="539"/>
      <c r="PE52" s="539"/>
      <c r="PF52" s="539"/>
      <c r="PG52" s="539"/>
      <c r="PH52" s="539"/>
      <c r="PI52" s="539"/>
      <c r="PJ52" s="539"/>
      <c r="PK52" s="539"/>
      <c r="PL52" s="539"/>
      <c r="PM52" s="539"/>
      <c r="PN52" s="539"/>
      <c r="PO52" s="539"/>
      <c r="PP52" s="539"/>
      <c r="PQ52" s="539"/>
      <c r="PR52" s="539"/>
      <c r="PS52" s="539"/>
      <c r="PT52" s="539"/>
      <c r="PU52" s="539"/>
      <c r="PV52" s="539"/>
      <c r="PW52" s="539"/>
      <c r="PX52" s="539"/>
      <c r="PY52" s="539"/>
      <c r="PZ52" s="539"/>
      <c r="QA52" s="539"/>
      <c r="QB52" s="539"/>
      <c r="QC52" s="539"/>
      <c r="QD52" s="539"/>
      <c r="QE52" s="539"/>
      <c r="QF52" s="539"/>
      <c r="QG52" s="539"/>
      <c r="QH52" s="539"/>
      <c r="QI52" s="539"/>
      <c r="QJ52" s="539"/>
      <c r="QK52" s="539"/>
      <c r="QL52" s="539"/>
      <c r="QM52" s="539"/>
      <c r="QN52" s="539"/>
      <c r="QO52" s="539"/>
      <c r="QP52" s="539"/>
      <c r="QQ52" s="539"/>
      <c r="QR52" s="539"/>
      <c r="QS52" s="539"/>
      <c r="QT52" s="539"/>
      <c r="QU52" s="539"/>
      <c r="QV52" s="539"/>
      <c r="QW52" s="539"/>
      <c r="QX52" s="539"/>
      <c r="QY52" s="539"/>
      <c r="QZ52" s="539"/>
      <c r="RA52" s="539"/>
      <c r="RB52" s="539"/>
      <c r="RC52" s="539"/>
      <c r="RD52" s="539"/>
      <c r="RE52" s="539"/>
      <c r="RF52" s="539"/>
      <c r="RG52" s="539"/>
      <c r="RH52" s="539"/>
      <c r="RI52" s="539"/>
      <c r="RJ52" s="539"/>
      <c r="RK52" s="539"/>
      <c r="RL52" s="539"/>
      <c r="RM52" s="539"/>
      <c r="RN52" s="539"/>
      <c r="RO52" s="539"/>
      <c r="RP52" s="539"/>
      <c r="RQ52" s="539"/>
      <c r="RR52" s="539"/>
      <c r="RS52" s="539"/>
      <c r="RT52" s="539"/>
      <c r="RU52" s="539"/>
      <c r="RV52" s="539"/>
      <c r="RW52" s="539"/>
      <c r="RX52" s="539"/>
      <c r="RY52" s="539"/>
      <c r="RZ52" s="539"/>
      <c r="SA52" s="539"/>
      <c r="SB52" s="539"/>
      <c r="SC52" s="539"/>
      <c r="SD52" s="539"/>
      <c r="SE52" s="539"/>
      <c r="SF52" s="539"/>
      <c r="SG52" s="539"/>
      <c r="SH52" s="539"/>
      <c r="SI52" s="539"/>
      <c r="SJ52" s="539"/>
      <c r="SK52" s="539"/>
      <c r="SL52" s="539"/>
      <c r="SM52" s="539"/>
      <c r="SN52" s="539"/>
      <c r="SO52" s="539"/>
      <c r="SP52" s="539"/>
      <c r="SQ52" s="539"/>
      <c r="SR52" s="539"/>
      <c r="SS52" s="539"/>
      <c r="ST52" s="539"/>
      <c r="SU52" s="539"/>
      <c r="SV52" s="539"/>
      <c r="SW52" s="539"/>
      <c r="SX52" s="539"/>
      <c r="SY52" s="539"/>
      <c r="SZ52" s="539"/>
      <c r="TA52" s="539"/>
      <c r="TB52" s="539"/>
      <c r="TC52" s="539"/>
      <c r="TD52" s="539"/>
      <c r="TE52" s="539"/>
      <c r="TF52" s="539"/>
      <c r="TG52" s="539"/>
      <c r="TH52" s="539"/>
      <c r="TI52" s="539"/>
      <c r="TJ52" s="539"/>
      <c r="TK52" s="539"/>
      <c r="TL52" s="539"/>
      <c r="TM52" s="539"/>
      <c r="TN52" s="539"/>
      <c r="TO52" s="539"/>
      <c r="TP52" s="539"/>
      <c r="TQ52" s="539"/>
      <c r="TR52" s="539"/>
      <c r="TS52" s="539"/>
      <c r="TT52" s="539"/>
      <c r="TU52" s="539"/>
      <c r="TV52" s="539"/>
      <c r="TW52" s="539"/>
      <c r="TX52" s="539"/>
      <c r="TY52" s="539"/>
      <c r="TZ52" s="539"/>
      <c r="UA52" s="539"/>
      <c r="UB52" s="539"/>
      <c r="UC52" s="539"/>
      <c r="UD52" s="539"/>
      <c r="UE52" s="539"/>
      <c r="UF52" s="539"/>
      <c r="UG52" s="539"/>
      <c r="UH52" s="539"/>
      <c r="UI52" s="539"/>
      <c r="UJ52" s="539"/>
      <c r="UK52" s="539"/>
      <c r="UL52" s="539"/>
      <c r="UM52" s="539"/>
      <c r="UN52" s="539"/>
      <c r="UO52" s="539"/>
      <c r="UP52" s="539"/>
      <c r="UQ52" s="539"/>
      <c r="UR52" s="539"/>
      <c r="US52" s="539"/>
      <c r="UT52" s="539"/>
      <c r="UU52" s="539"/>
      <c r="UV52" s="539"/>
      <c r="UW52" s="539"/>
      <c r="UX52" s="539"/>
      <c r="UY52" s="539"/>
      <c r="UZ52" s="539"/>
      <c r="VA52" s="539"/>
      <c r="VB52" s="539"/>
      <c r="VC52" s="539"/>
      <c r="VD52" s="539"/>
      <c r="VE52" s="539"/>
      <c r="VF52" s="539"/>
      <c r="VG52" s="539"/>
      <c r="VH52" s="539"/>
      <c r="VI52" s="539"/>
      <c r="VJ52" s="539"/>
      <c r="VK52" s="539"/>
      <c r="VL52" s="539"/>
      <c r="VM52" s="539"/>
      <c r="VN52" s="539"/>
      <c r="VO52" s="539"/>
      <c r="VP52" s="539"/>
      <c r="VQ52" s="539"/>
      <c r="VR52" s="539"/>
      <c r="VS52" s="539"/>
      <c r="VT52" s="539"/>
      <c r="VU52" s="539"/>
      <c r="VV52" s="539"/>
      <c r="VW52" s="539"/>
      <c r="VX52" s="539"/>
      <c r="VY52" s="539"/>
      <c r="VZ52" s="539"/>
      <c r="WA52" s="539"/>
      <c r="WB52" s="539"/>
      <c r="WC52" s="539"/>
      <c r="WD52" s="539"/>
      <c r="WE52" s="539"/>
      <c r="WF52" s="539"/>
      <c r="WG52" s="539"/>
      <c r="WH52" s="539"/>
      <c r="WI52" s="539"/>
      <c r="WJ52" s="539"/>
      <c r="WK52" s="539"/>
      <c r="WL52" s="539"/>
      <c r="WM52" s="539"/>
      <c r="WN52" s="539"/>
      <c r="WO52" s="539"/>
      <c r="WP52" s="539"/>
      <c r="WQ52" s="539"/>
      <c r="WR52" s="539"/>
      <c r="WS52" s="539"/>
      <c r="WT52" s="539"/>
      <c r="WU52" s="539"/>
      <c r="WV52" s="539"/>
      <c r="WW52" s="539"/>
      <c r="WX52" s="539"/>
      <c r="WY52" s="539"/>
      <c r="WZ52" s="539"/>
      <c r="XA52" s="539"/>
      <c r="XB52" s="539"/>
      <c r="XC52" s="539"/>
      <c r="XD52" s="539"/>
      <c r="XE52" s="539"/>
      <c r="XF52" s="539"/>
      <c r="XG52" s="539"/>
      <c r="XH52" s="539"/>
      <c r="XI52" s="539"/>
      <c r="XJ52" s="539"/>
      <c r="XK52" s="539"/>
      <c r="XL52" s="539"/>
      <c r="XM52" s="539"/>
      <c r="XN52" s="539"/>
      <c r="XO52" s="539"/>
      <c r="XP52" s="539"/>
      <c r="XQ52" s="539"/>
      <c r="XR52" s="539"/>
      <c r="XS52" s="539"/>
      <c r="XT52" s="539"/>
      <c r="XU52" s="539"/>
      <c r="XV52" s="539"/>
      <c r="XW52" s="539"/>
      <c r="XX52" s="539"/>
      <c r="XY52" s="539"/>
      <c r="XZ52" s="539"/>
      <c r="YA52" s="539"/>
      <c r="YB52" s="539"/>
      <c r="YC52" s="539"/>
      <c r="YD52" s="539"/>
      <c r="YE52" s="539"/>
      <c r="YF52" s="539"/>
      <c r="YG52" s="539"/>
      <c r="YH52" s="539"/>
      <c r="YI52" s="539"/>
      <c r="YJ52" s="539"/>
      <c r="YK52" s="539"/>
      <c r="YL52" s="539"/>
      <c r="YM52" s="539"/>
      <c r="YN52" s="539"/>
      <c r="YO52" s="539"/>
      <c r="YP52" s="539"/>
      <c r="YQ52" s="539"/>
      <c r="YR52" s="539"/>
      <c r="YS52" s="539"/>
      <c r="YT52" s="539"/>
      <c r="YU52" s="539"/>
      <c r="YV52" s="539"/>
      <c r="YW52" s="539"/>
      <c r="YX52" s="539"/>
      <c r="YY52" s="539"/>
      <c r="YZ52" s="539"/>
      <c r="ZA52" s="539"/>
      <c r="ZB52" s="539"/>
      <c r="ZC52" s="539"/>
      <c r="ZD52" s="539"/>
      <c r="ZE52" s="539"/>
      <c r="ZF52" s="539"/>
      <c r="ZG52" s="539"/>
      <c r="ZH52" s="539"/>
      <c r="ZI52" s="539"/>
      <c r="ZJ52" s="539"/>
      <c r="ZK52" s="539"/>
      <c r="ZL52" s="539"/>
      <c r="ZM52" s="539"/>
      <c r="ZN52" s="539"/>
      <c r="ZO52" s="539"/>
      <c r="ZP52" s="539"/>
      <c r="ZQ52" s="539"/>
      <c r="ZR52" s="539"/>
      <c r="ZS52" s="539"/>
      <c r="ZT52" s="539"/>
      <c r="ZU52" s="539"/>
      <c r="ZV52" s="539"/>
      <c r="ZW52" s="539"/>
      <c r="ZX52" s="539"/>
      <c r="ZY52" s="539"/>
      <c r="ZZ52" s="539"/>
      <c r="AAA52" s="539"/>
      <c r="AAB52" s="539"/>
      <c r="AAC52" s="539"/>
      <c r="AAD52" s="539"/>
      <c r="AAE52" s="539"/>
      <c r="AAF52" s="539"/>
      <c r="AAG52" s="539"/>
      <c r="AAH52" s="539"/>
      <c r="AAI52" s="539"/>
      <c r="AAJ52" s="539"/>
      <c r="AAK52" s="539"/>
      <c r="AAL52" s="539"/>
      <c r="AAM52" s="539"/>
      <c r="AAN52" s="539"/>
      <c r="AAO52" s="539"/>
      <c r="AAP52" s="539"/>
      <c r="AAQ52" s="539"/>
      <c r="AAR52" s="539"/>
      <c r="AAS52" s="539"/>
      <c r="AAT52" s="539"/>
      <c r="AAU52" s="539"/>
      <c r="AAV52" s="539"/>
      <c r="AAW52" s="539"/>
      <c r="AAX52" s="539"/>
      <c r="AAY52" s="539"/>
      <c r="AAZ52" s="539"/>
      <c r="ABA52" s="539"/>
      <c r="ABB52" s="539"/>
      <c r="ABC52" s="539"/>
      <c r="ABD52" s="539"/>
      <c r="ABE52" s="539"/>
      <c r="ABF52" s="539"/>
      <c r="ABG52" s="539"/>
      <c r="ABH52" s="539"/>
      <c r="ABI52" s="539"/>
      <c r="ABJ52" s="539"/>
      <c r="ABK52" s="539"/>
      <c r="ABL52" s="539"/>
      <c r="ABM52" s="539"/>
      <c r="ABN52" s="539"/>
      <c r="ABO52" s="539"/>
      <c r="ABP52" s="539"/>
      <c r="ABQ52" s="539"/>
      <c r="ABR52" s="539"/>
      <c r="ABS52" s="539"/>
      <c r="ABT52" s="539"/>
      <c r="ABU52" s="539"/>
      <c r="ABV52" s="539"/>
      <c r="ABW52" s="539"/>
      <c r="ABX52" s="539"/>
      <c r="ABY52" s="539"/>
      <c r="ABZ52" s="539"/>
      <c r="ACA52" s="539"/>
      <c r="ACB52" s="539"/>
      <c r="ACC52" s="539"/>
      <c r="ACD52" s="539"/>
      <c r="ACE52" s="539"/>
      <c r="ACF52" s="539"/>
      <c r="ACG52" s="539"/>
      <c r="ACH52" s="539"/>
      <c r="ACI52" s="539"/>
      <c r="ACJ52" s="539"/>
      <c r="ACK52" s="539"/>
      <c r="ACL52" s="539"/>
      <c r="ACM52" s="539"/>
      <c r="ACN52" s="539"/>
      <c r="ACO52" s="539"/>
      <c r="ACP52" s="539"/>
      <c r="ACQ52" s="539"/>
      <c r="ACR52" s="539"/>
      <c r="ACS52" s="539"/>
      <c r="ACT52" s="539"/>
      <c r="ACU52" s="539"/>
      <c r="ACV52" s="539"/>
      <c r="ACW52" s="539"/>
      <c r="ACX52" s="539"/>
      <c r="ACY52" s="539"/>
      <c r="ACZ52" s="539"/>
      <c r="ADA52" s="539"/>
      <c r="ADB52" s="539"/>
      <c r="ADC52" s="539"/>
      <c r="ADD52" s="539"/>
      <c r="ADE52" s="539"/>
      <c r="ADF52" s="539"/>
      <c r="ADG52" s="539"/>
      <c r="ADH52" s="539"/>
      <c r="ADI52" s="539"/>
      <c r="ADJ52" s="539"/>
      <c r="ADK52" s="539"/>
      <c r="ADL52" s="539"/>
      <c r="ADM52" s="539"/>
      <c r="ADN52" s="539"/>
      <c r="ADO52" s="539"/>
      <c r="ADP52" s="539"/>
      <c r="ADQ52" s="539"/>
      <c r="ADR52" s="539"/>
      <c r="ADS52" s="539"/>
      <c r="ADT52" s="539"/>
      <c r="ADU52" s="539"/>
      <c r="ADV52" s="539"/>
      <c r="ADW52" s="539"/>
      <c r="ADX52" s="539"/>
      <c r="ADY52" s="539"/>
      <c r="ADZ52" s="539"/>
      <c r="AEA52" s="539"/>
      <c r="AEB52" s="539"/>
      <c r="AEC52" s="539"/>
      <c r="AED52" s="539"/>
      <c r="AEE52" s="539"/>
      <c r="AEF52" s="539"/>
      <c r="AEG52" s="539"/>
      <c r="AEH52" s="539"/>
      <c r="AEI52" s="539"/>
      <c r="AEJ52" s="539"/>
      <c r="AEK52" s="539"/>
      <c r="AEL52" s="539"/>
      <c r="AEM52" s="539"/>
      <c r="AEN52" s="539"/>
      <c r="AEO52" s="539"/>
      <c r="AEP52" s="539"/>
      <c r="AEQ52" s="539"/>
      <c r="AER52" s="539"/>
      <c r="AES52" s="539"/>
      <c r="AET52" s="539"/>
      <c r="AEU52" s="539"/>
      <c r="AEV52" s="539"/>
      <c r="AEW52" s="539"/>
      <c r="AEX52" s="539"/>
      <c r="AEY52" s="539"/>
      <c r="AEZ52" s="539"/>
      <c r="AFA52" s="539"/>
      <c r="AFB52" s="539"/>
      <c r="AFC52" s="539"/>
      <c r="AFD52" s="539"/>
      <c r="AFE52" s="539"/>
      <c r="AFF52" s="539"/>
      <c r="AFG52" s="539"/>
      <c r="AFH52" s="539"/>
      <c r="AFI52" s="539"/>
      <c r="AFJ52" s="539"/>
      <c r="AFK52" s="539"/>
      <c r="AFL52" s="539"/>
      <c r="AFM52" s="539"/>
      <c r="AFN52" s="539"/>
      <c r="AFO52" s="539"/>
      <c r="AFP52" s="539"/>
      <c r="AFQ52" s="539"/>
      <c r="AFR52" s="539"/>
      <c r="AFS52" s="539"/>
      <c r="AFT52" s="539"/>
      <c r="AFU52" s="539"/>
      <c r="AFV52" s="539"/>
      <c r="AFW52" s="539"/>
      <c r="AFX52" s="539"/>
      <c r="AFY52" s="539"/>
      <c r="AFZ52" s="539"/>
      <c r="AGA52" s="539"/>
      <c r="AGB52" s="539"/>
      <c r="AGC52" s="539"/>
      <c r="AGD52" s="539"/>
      <c r="AGE52" s="539"/>
      <c r="AGF52" s="539"/>
      <c r="AGG52" s="539"/>
      <c r="AGH52" s="539"/>
      <c r="AGI52" s="539"/>
      <c r="AGJ52" s="539"/>
      <c r="AGK52" s="539"/>
      <c r="AGL52" s="539"/>
      <c r="AGM52" s="539"/>
      <c r="AGN52" s="539"/>
      <c r="AGO52" s="539"/>
      <c r="AGP52" s="539"/>
      <c r="AGQ52" s="539"/>
      <c r="AGR52" s="539"/>
      <c r="AGS52" s="539"/>
      <c r="AGT52" s="539"/>
      <c r="AGU52" s="539"/>
      <c r="AGV52" s="539"/>
      <c r="AGW52" s="539"/>
      <c r="AGX52" s="539"/>
      <c r="AGY52" s="539"/>
      <c r="AGZ52" s="539"/>
      <c r="AHA52" s="539"/>
      <c r="AHB52" s="539"/>
      <c r="AHC52" s="539"/>
      <c r="AHD52" s="539"/>
      <c r="AHE52" s="539"/>
      <c r="AHF52" s="539"/>
      <c r="AHG52" s="539"/>
      <c r="AHH52" s="539"/>
      <c r="AHI52" s="539"/>
      <c r="AHJ52" s="539"/>
      <c r="AHK52" s="539"/>
      <c r="AHL52" s="539"/>
      <c r="AHM52" s="539"/>
      <c r="AHN52" s="539"/>
      <c r="AHO52" s="539"/>
      <c r="AHP52" s="539"/>
      <c r="AHQ52" s="539"/>
      <c r="AHR52" s="539"/>
      <c r="AHS52" s="539"/>
      <c r="AHT52" s="539"/>
      <c r="AHU52" s="539"/>
      <c r="AHV52" s="539"/>
      <c r="AHW52" s="539"/>
      <c r="AHX52" s="539"/>
      <c r="AHY52" s="539"/>
      <c r="AHZ52" s="539"/>
      <c r="AIA52" s="539"/>
      <c r="AIB52" s="539"/>
      <c r="AIC52" s="539"/>
      <c r="AID52" s="539"/>
      <c r="AIE52" s="539"/>
      <c r="AIF52" s="539"/>
      <c r="AIG52" s="539"/>
      <c r="AIH52" s="539"/>
      <c r="AII52" s="539"/>
      <c r="AIJ52" s="539"/>
      <c r="AIK52" s="539"/>
      <c r="AIL52" s="539"/>
      <c r="AIM52" s="539"/>
      <c r="AIN52" s="539"/>
      <c r="AIO52" s="539"/>
      <c r="AIP52" s="539"/>
      <c r="AIQ52" s="539"/>
      <c r="AIR52" s="539"/>
      <c r="AIS52" s="539"/>
      <c r="AIT52" s="539"/>
      <c r="AIU52" s="539"/>
      <c r="AIV52" s="539"/>
      <c r="AIW52" s="539"/>
      <c r="AIX52" s="539"/>
      <c r="AIY52" s="539"/>
      <c r="AIZ52" s="539"/>
      <c r="AJA52" s="539"/>
      <c r="AJB52" s="539"/>
      <c r="AJC52" s="539"/>
      <c r="AJD52" s="539"/>
      <c r="AJE52" s="539"/>
      <c r="AJF52" s="539"/>
      <c r="AJG52" s="539"/>
      <c r="AJH52" s="539"/>
      <c r="AJI52" s="539"/>
      <c r="AJJ52" s="539"/>
      <c r="AJK52" s="539"/>
      <c r="AJL52" s="539"/>
      <c r="AJM52" s="539"/>
      <c r="AJN52" s="539"/>
      <c r="AJO52" s="539"/>
      <c r="AJP52" s="539"/>
      <c r="AJQ52" s="539"/>
      <c r="AJR52" s="539"/>
      <c r="AJS52" s="539"/>
      <c r="AJT52" s="539"/>
      <c r="AJU52" s="539"/>
      <c r="AJV52" s="539"/>
      <c r="AJW52" s="539"/>
      <c r="AJX52" s="539"/>
      <c r="AJY52" s="539"/>
      <c r="AJZ52" s="539"/>
      <c r="AKA52" s="539"/>
      <c r="AKB52" s="539"/>
      <c r="AKC52" s="539"/>
      <c r="AKD52" s="539"/>
      <c r="AKE52" s="539"/>
      <c r="AKF52" s="539"/>
      <c r="AKG52" s="539"/>
      <c r="AKH52" s="539"/>
      <c r="AKI52" s="539"/>
      <c r="AKJ52" s="539"/>
      <c r="AKK52" s="539"/>
      <c r="AKL52" s="539"/>
      <c r="AKM52" s="539"/>
      <c r="AKN52" s="539"/>
      <c r="AKO52" s="539"/>
      <c r="AKP52" s="539"/>
      <c r="AKQ52" s="539"/>
      <c r="AKR52" s="539"/>
      <c r="AKS52" s="539"/>
      <c r="AKT52" s="539"/>
      <c r="AKU52" s="539"/>
      <c r="AKV52" s="539"/>
      <c r="AKW52" s="539"/>
      <c r="AKX52" s="539"/>
      <c r="AKY52" s="539"/>
      <c r="AKZ52" s="539"/>
      <c r="ALA52" s="539"/>
      <c r="ALB52" s="539"/>
      <c r="ALC52" s="539"/>
      <c r="ALD52" s="539"/>
      <c r="ALE52" s="539"/>
      <c r="ALF52" s="539"/>
      <c r="ALG52" s="539"/>
      <c r="ALH52" s="539"/>
      <c r="ALI52" s="539"/>
      <c r="ALJ52" s="539"/>
      <c r="ALK52" s="539"/>
      <c r="ALL52" s="539"/>
      <c r="ALM52" s="539"/>
      <c r="ALN52" s="539"/>
      <c r="ALO52" s="539"/>
      <c r="ALP52" s="539"/>
      <c r="ALQ52" s="539"/>
      <c r="ALR52" s="539"/>
      <c r="ALS52" s="539"/>
      <c r="ALT52" s="539"/>
      <c r="ALU52" s="539"/>
      <c r="ALV52" s="539"/>
      <c r="ALW52" s="539"/>
      <c r="ALX52" s="539"/>
      <c r="ALY52" s="539"/>
      <c r="ALZ52" s="539"/>
      <c r="AMA52" s="539"/>
      <c r="AMB52" s="539"/>
      <c r="AMC52" s="539"/>
      <c r="AMD52" s="539"/>
      <c r="AME52" s="539"/>
      <c r="AMF52" s="539"/>
      <c r="AMG52" s="539"/>
      <c r="AMH52" s="539"/>
      <c r="AMI52" s="539"/>
      <c r="AMJ52" s="539"/>
      <c r="AMK52" s="539"/>
      <c r="AML52" s="539"/>
      <c r="AMM52" s="539"/>
      <c r="AMN52" s="539"/>
      <c r="AMO52" s="539"/>
      <c r="AMP52" s="539"/>
      <c r="AMQ52" s="539"/>
      <c r="AMR52" s="539"/>
      <c r="AMS52" s="539"/>
      <c r="AMT52" s="539"/>
      <c r="AMU52" s="539"/>
      <c r="AMV52" s="539"/>
      <c r="AMW52" s="539"/>
      <c r="AMX52" s="539"/>
      <c r="AMY52" s="539"/>
      <c r="AMZ52" s="539"/>
      <c r="ANA52" s="539"/>
      <c r="ANB52" s="539"/>
      <c r="ANC52" s="539"/>
      <c r="AND52" s="539"/>
      <c r="ANE52" s="539"/>
      <c r="ANF52" s="539"/>
      <c r="ANG52" s="539"/>
      <c r="ANH52" s="539"/>
      <c r="ANI52" s="539"/>
      <c r="ANJ52" s="539"/>
      <c r="ANK52" s="539"/>
      <c r="ANL52" s="539"/>
      <c r="ANM52" s="539"/>
      <c r="ANN52" s="539"/>
      <c r="ANO52" s="539"/>
      <c r="ANP52" s="539"/>
      <c r="ANQ52" s="539"/>
      <c r="ANR52" s="539"/>
      <c r="ANS52" s="539"/>
      <c r="ANT52" s="539"/>
      <c r="ANU52" s="539"/>
      <c r="ANV52" s="539"/>
      <c r="ANW52" s="539"/>
      <c r="ANX52" s="539"/>
      <c r="ANY52" s="539"/>
      <c r="ANZ52" s="539"/>
      <c r="AOA52" s="539"/>
      <c r="AOB52" s="539"/>
      <c r="AOC52" s="539"/>
      <c r="AOD52" s="539"/>
      <c r="AOE52" s="539"/>
      <c r="AOF52" s="539"/>
      <c r="AOG52" s="539"/>
      <c r="AOH52" s="539"/>
      <c r="AOI52" s="539"/>
      <c r="AOJ52" s="539"/>
      <c r="AOK52" s="539"/>
      <c r="AOL52" s="539"/>
      <c r="AOM52" s="539"/>
      <c r="AON52" s="539"/>
      <c r="AOO52" s="539"/>
      <c r="AOP52" s="539"/>
      <c r="AOQ52" s="539"/>
      <c r="AOR52" s="539"/>
      <c r="AOS52" s="539"/>
      <c r="AOT52" s="539"/>
      <c r="AOU52" s="539"/>
      <c r="AOV52" s="539"/>
      <c r="AOW52" s="539"/>
      <c r="AOX52" s="539"/>
      <c r="AOY52" s="539"/>
      <c r="AOZ52" s="539"/>
      <c r="APA52" s="539"/>
      <c r="APB52" s="539"/>
      <c r="APC52" s="539"/>
      <c r="APD52" s="539"/>
      <c r="APE52" s="539"/>
      <c r="APF52" s="539"/>
      <c r="APG52" s="539"/>
      <c r="APH52" s="539"/>
      <c r="API52" s="539"/>
      <c r="APJ52" s="539"/>
      <c r="APK52" s="539"/>
      <c r="APL52" s="539"/>
      <c r="APM52" s="539"/>
      <c r="APN52" s="539"/>
      <c r="APO52" s="539"/>
      <c r="APP52" s="539"/>
      <c r="APQ52" s="539"/>
      <c r="APR52" s="539"/>
      <c r="APS52" s="539"/>
      <c r="APT52" s="539"/>
      <c r="APU52" s="539"/>
      <c r="APV52" s="539"/>
      <c r="APW52" s="539"/>
      <c r="APX52" s="539"/>
      <c r="APY52" s="539"/>
      <c r="APZ52" s="539"/>
      <c r="AQA52" s="539"/>
      <c r="AQB52" s="539"/>
      <c r="AQC52" s="539"/>
      <c r="AQD52" s="539"/>
      <c r="AQE52" s="539"/>
      <c r="AQF52" s="539"/>
      <c r="AQG52" s="539"/>
      <c r="AQH52" s="539"/>
      <c r="AQI52" s="539"/>
      <c r="AQJ52" s="539"/>
      <c r="AQK52" s="539"/>
      <c r="AQL52" s="539"/>
      <c r="AQM52" s="539"/>
      <c r="AQN52" s="539"/>
      <c r="AQO52" s="539"/>
      <c r="AQP52" s="539"/>
      <c r="AQQ52" s="539"/>
      <c r="AQR52" s="539"/>
      <c r="AQS52" s="539"/>
      <c r="AQT52" s="539"/>
      <c r="AQU52" s="539"/>
      <c r="AQV52" s="539"/>
      <c r="AQW52" s="539"/>
      <c r="AQX52" s="539"/>
      <c r="AQY52" s="539"/>
      <c r="AQZ52" s="539"/>
      <c r="ARA52" s="539"/>
      <c r="ARB52" s="539"/>
      <c r="ARC52" s="539"/>
      <c r="ARD52" s="539"/>
      <c r="ARE52" s="539"/>
      <c r="ARF52" s="539"/>
      <c r="ARG52" s="539"/>
      <c r="ARH52" s="539"/>
      <c r="ARI52" s="539"/>
      <c r="ARJ52" s="539"/>
      <c r="ARK52" s="539"/>
      <c r="ARL52" s="539"/>
      <c r="ARM52" s="539"/>
      <c r="ARN52" s="539"/>
      <c r="ARO52" s="539"/>
      <c r="ARP52" s="539"/>
      <c r="ARQ52" s="539"/>
      <c r="ARR52" s="539"/>
      <c r="ARS52" s="539"/>
      <c r="ART52" s="539"/>
      <c r="ARU52" s="539"/>
      <c r="ARV52" s="539"/>
      <c r="ARW52" s="539"/>
      <c r="ARX52" s="539"/>
      <c r="ARY52" s="539"/>
      <c r="ARZ52" s="539"/>
      <c r="ASA52" s="539"/>
      <c r="ASB52" s="539"/>
      <c r="ASC52" s="539"/>
      <c r="ASD52" s="539"/>
      <c r="ASE52" s="539"/>
      <c r="ASF52" s="539"/>
      <c r="ASG52" s="539"/>
      <c r="ASH52" s="539"/>
      <c r="ASI52" s="539"/>
      <c r="ASJ52" s="539"/>
      <c r="ASK52" s="539"/>
      <c r="ASL52" s="539"/>
      <c r="ASM52" s="539"/>
      <c r="ASN52" s="539"/>
      <c r="ASO52" s="539"/>
      <c r="ASP52" s="539"/>
      <c r="ASQ52" s="539"/>
      <c r="ASR52" s="539"/>
      <c r="ASS52" s="539"/>
      <c r="AST52" s="539"/>
      <c r="ASU52" s="539"/>
      <c r="ASV52" s="539"/>
      <c r="ASW52" s="539"/>
      <c r="ASX52" s="539"/>
      <c r="ASY52" s="539"/>
      <c r="ASZ52" s="539"/>
      <c r="ATA52" s="539"/>
      <c r="ATB52" s="539"/>
      <c r="ATC52" s="539"/>
      <c r="ATD52" s="539"/>
      <c r="ATE52" s="539"/>
      <c r="ATF52" s="539"/>
      <c r="ATG52" s="539"/>
      <c r="ATH52" s="539"/>
      <c r="ATI52" s="539"/>
      <c r="ATJ52" s="539"/>
      <c r="ATK52" s="539"/>
      <c r="ATL52" s="539"/>
      <c r="ATM52" s="539"/>
      <c r="ATN52" s="539"/>
      <c r="ATO52" s="539"/>
      <c r="ATP52" s="539"/>
      <c r="ATQ52" s="539"/>
      <c r="ATR52" s="539"/>
      <c r="ATS52" s="539"/>
      <c r="ATT52" s="539"/>
      <c r="ATU52" s="539"/>
      <c r="ATV52" s="539"/>
      <c r="ATW52" s="539"/>
      <c r="ATX52" s="539"/>
      <c r="ATY52" s="539"/>
      <c r="ATZ52" s="539"/>
      <c r="AUA52" s="539"/>
      <c r="AUB52" s="539"/>
      <c r="AUC52" s="539"/>
      <c r="AUD52" s="539"/>
      <c r="AUE52" s="539"/>
      <c r="AUF52" s="539"/>
      <c r="AUG52" s="539"/>
      <c r="AUH52" s="539"/>
      <c r="AUI52" s="539"/>
      <c r="AUJ52" s="539"/>
      <c r="AUK52" s="539"/>
      <c r="AUL52" s="539"/>
      <c r="AUM52" s="539"/>
      <c r="AUN52" s="539"/>
      <c r="AUO52" s="539"/>
      <c r="AUP52" s="539"/>
      <c r="AUQ52" s="539"/>
      <c r="AUR52" s="539"/>
      <c r="AUS52" s="539"/>
      <c r="AUT52" s="539"/>
      <c r="AUU52" s="539"/>
      <c r="AUV52" s="539"/>
      <c r="AUW52" s="539"/>
      <c r="AUX52" s="539"/>
      <c r="AUY52" s="539"/>
      <c r="AUZ52" s="539"/>
      <c r="AVA52" s="539"/>
      <c r="AVB52" s="539"/>
      <c r="AVC52" s="539"/>
      <c r="AVD52" s="539"/>
      <c r="AVE52" s="539"/>
      <c r="AVF52" s="539"/>
      <c r="AVG52" s="539"/>
      <c r="AVH52" s="539"/>
      <c r="AVI52" s="539"/>
      <c r="AVJ52" s="539"/>
      <c r="AVK52" s="539"/>
      <c r="AVL52" s="539"/>
      <c r="AVM52" s="539"/>
      <c r="AVN52" s="539"/>
      <c r="AVO52" s="539"/>
      <c r="AVP52" s="539"/>
      <c r="AVQ52" s="539"/>
      <c r="AVR52" s="539"/>
      <c r="AVS52" s="539"/>
      <c r="AVT52" s="539"/>
      <c r="AVU52" s="539"/>
      <c r="AVV52" s="539"/>
      <c r="AVW52" s="539"/>
      <c r="AVX52" s="539"/>
      <c r="AVY52" s="539"/>
      <c r="AVZ52" s="539"/>
      <c r="AWA52" s="539"/>
      <c r="AWB52" s="539"/>
      <c r="AWC52" s="539"/>
      <c r="AWD52" s="539"/>
      <c r="AWE52" s="539"/>
      <c r="AWF52" s="539"/>
      <c r="AWG52" s="539"/>
      <c r="AWH52" s="539"/>
      <c r="AWI52" s="539"/>
      <c r="AWJ52" s="539"/>
      <c r="AWK52" s="539"/>
      <c r="AWL52" s="539"/>
      <c r="AWM52" s="539"/>
      <c r="AWN52" s="539"/>
      <c r="AWO52" s="539"/>
      <c r="AWP52" s="539"/>
      <c r="AWQ52" s="539"/>
      <c r="AWR52" s="539"/>
      <c r="AWS52" s="539"/>
      <c r="AWT52" s="539"/>
      <c r="AWU52" s="539"/>
      <c r="AWV52" s="539"/>
      <c r="AWW52" s="539"/>
      <c r="AWX52" s="539"/>
      <c r="AWY52" s="539"/>
      <c r="AWZ52" s="539"/>
      <c r="AXA52" s="539"/>
      <c r="AXB52" s="539"/>
      <c r="AXC52" s="539"/>
      <c r="AXD52" s="539"/>
      <c r="AXE52" s="539"/>
      <c r="AXF52" s="539"/>
      <c r="AXG52" s="539"/>
      <c r="AXH52" s="539"/>
      <c r="AXI52" s="539"/>
      <c r="AXJ52" s="539"/>
      <c r="AXK52" s="539"/>
      <c r="AXL52" s="539"/>
      <c r="AXM52" s="539"/>
      <c r="AXN52" s="539"/>
      <c r="AXO52" s="539"/>
      <c r="AXP52" s="539"/>
      <c r="AXQ52" s="539"/>
      <c r="AXR52" s="539"/>
      <c r="AXS52" s="539"/>
      <c r="AXT52" s="539"/>
      <c r="AXU52" s="539"/>
      <c r="AXV52" s="539"/>
      <c r="AXW52" s="539"/>
      <c r="AXX52" s="539"/>
      <c r="AXY52" s="539"/>
      <c r="AXZ52" s="539"/>
      <c r="AYA52" s="539"/>
      <c r="AYB52" s="539"/>
      <c r="AYC52" s="539"/>
      <c r="AYD52" s="539"/>
      <c r="AYE52" s="539"/>
      <c r="AYF52" s="539"/>
      <c r="AYG52" s="539"/>
      <c r="AYH52" s="539"/>
      <c r="AYI52" s="539"/>
      <c r="AYJ52" s="539"/>
      <c r="AYK52" s="539"/>
      <c r="AYL52" s="539"/>
      <c r="AYM52" s="539"/>
      <c r="AYN52" s="539"/>
      <c r="AYO52" s="539"/>
      <c r="AYP52" s="539"/>
      <c r="AYQ52" s="539"/>
      <c r="AYR52" s="539"/>
      <c r="AYS52" s="539"/>
      <c r="AYT52" s="539"/>
      <c r="AYU52" s="539"/>
      <c r="AYV52" s="539"/>
      <c r="AYW52" s="539"/>
      <c r="AYX52" s="539"/>
      <c r="AYY52" s="539"/>
      <c r="AYZ52" s="539"/>
      <c r="AZA52" s="539"/>
      <c r="AZB52" s="539"/>
      <c r="AZC52" s="539"/>
      <c r="AZD52" s="539"/>
      <c r="AZE52" s="539"/>
      <c r="AZF52" s="539"/>
      <c r="AZG52" s="539"/>
      <c r="AZH52" s="539"/>
      <c r="AZI52" s="539"/>
      <c r="AZJ52" s="539"/>
      <c r="AZK52" s="539"/>
      <c r="AZL52" s="539"/>
      <c r="AZM52" s="539"/>
      <c r="AZN52" s="539"/>
      <c r="AZO52" s="539"/>
      <c r="AZP52" s="539"/>
      <c r="AZQ52" s="539"/>
      <c r="AZR52" s="539"/>
      <c r="AZS52" s="539"/>
      <c r="AZT52" s="539"/>
      <c r="AZU52" s="539"/>
      <c r="AZV52" s="539"/>
      <c r="AZW52" s="539"/>
      <c r="AZX52" s="539"/>
      <c r="AZY52" s="539"/>
      <c r="AZZ52" s="539"/>
      <c r="BAA52" s="539"/>
      <c r="BAB52" s="539"/>
      <c r="BAC52" s="539"/>
      <c r="BAD52" s="539"/>
      <c r="BAE52" s="539"/>
      <c r="BAF52" s="539"/>
      <c r="BAG52" s="539"/>
      <c r="BAH52" s="539"/>
      <c r="BAI52" s="539"/>
      <c r="BAJ52" s="539"/>
      <c r="BAK52" s="539"/>
      <c r="BAL52" s="539"/>
      <c r="BAM52" s="539"/>
      <c r="BAN52" s="539"/>
      <c r="BAO52" s="539"/>
      <c r="BAP52" s="539"/>
      <c r="BAQ52" s="539"/>
      <c r="BAR52" s="539"/>
      <c r="BAS52" s="539"/>
      <c r="BAT52" s="539"/>
      <c r="BAU52" s="539"/>
      <c r="BAV52" s="539"/>
      <c r="BAW52" s="539"/>
      <c r="BAX52" s="539"/>
      <c r="BAY52" s="539"/>
      <c r="BAZ52" s="539"/>
      <c r="BBA52" s="539"/>
      <c r="BBB52" s="539"/>
      <c r="BBC52" s="539"/>
      <c r="BBD52" s="539"/>
      <c r="BBE52" s="539"/>
      <c r="BBF52" s="539"/>
      <c r="BBG52" s="539"/>
      <c r="BBH52" s="539"/>
      <c r="BBI52" s="539"/>
      <c r="BBJ52" s="539"/>
      <c r="BBK52" s="539"/>
      <c r="BBL52" s="539"/>
      <c r="BBM52" s="539"/>
      <c r="BBN52" s="539"/>
      <c r="BBO52" s="539"/>
      <c r="BBP52" s="539"/>
      <c r="BBQ52" s="539"/>
      <c r="BBR52" s="539"/>
      <c r="BBS52" s="539"/>
      <c r="BBT52" s="539"/>
      <c r="BBU52" s="539"/>
      <c r="BBV52" s="539"/>
      <c r="BBW52" s="539"/>
      <c r="BBX52" s="539"/>
      <c r="BBY52" s="539"/>
      <c r="BBZ52" s="539"/>
      <c r="BCA52" s="539"/>
      <c r="BCB52" s="539"/>
      <c r="BCC52" s="539"/>
      <c r="BCD52" s="539"/>
      <c r="BCE52" s="539"/>
      <c r="BCF52" s="539"/>
      <c r="BCG52" s="539"/>
      <c r="BCH52" s="539"/>
      <c r="BCI52" s="539"/>
      <c r="BCJ52" s="539"/>
      <c r="BCK52" s="539"/>
      <c r="BCL52" s="539"/>
      <c r="BCM52" s="539"/>
      <c r="BCN52" s="539"/>
      <c r="BCO52" s="539"/>
      <c r="BCP52" s="539"/>
      <c r="BCQ52" s="539"/>
      <c r="BCR52" s="539"/>
      <c r="BCS52" s="539"/>
      <c r="BCT52" s="539"/>
      <c r="BCU52" s="539"/>
      <c r="BCV52" s="539"/>
      <c r="BCW52" s="539"/>
      <c r="BCX52" s="539"/>
      <c r="BCY52" s="539"/>
      <c r="BCZ52" s="539"/>
      <c r="BDA52" s="539"/>
      <c r="BDB52" s="539"/>
      <c r="BDC52" s="539"/>
      <c r="BDD52" s="539"/>
      <c r="BDE52" s="539"/>
      <c r="BDF52" s="539"/>
      <c r="BDG52" s="539"/>
      <c r="BDH52" s="539"/>
      <c r="BDI52" s="539"/>
      <c r="BDJ52" s="539"/>
      <c r="BDK52" s="539"/>
      <c r="BDL52" s="539"/>
      <c r="BDM52" s="539"/>
      <c r="BDN52" s="539"/>
      <c r="BDO52" s="539"/>
      <c r="BDP52" s="539"/>
      <c r="BDQ52" s="539"/>
      <c r="BDR52" s="539"/>
      <c r="BDS52" s="539"/>
      <c r="BDT52" s="539"/>
      <c r="BDU52" s="539"/>
      <c r="BDV52" s="539"/>
      <c r="BDW52" s="539"/>
      <c r="BDX52" s="539"/>
      <c r="BDY52" s="539"/>
      <c r="BDZ52" s="539"/>
      <c r="BEA52" s="539"/>
      <c r="BEB52" s="539"/>
      <c r="BEC52" s="539"/>
      <c r="BED52" s="539"/>
      <c r="BEE52" s="539"/>
      <c r="BEF52" s="539"/>
      <c r="BEG52" s="539"/>
      <c r="BEH52" s="539"/>
      <c r="BEI52" s="539"/>
      <c r="BEJ52" s="539"/>
      <c r="BEK52" s="539"/>
      <c r="BEL52" s="539"/>
      <c r="BEM52" s="539"/>
      <c r="BEN52" s="539"/>
      <c r="BEO52" s="539"/>
      <c r="BEP52" s="539"/>
      <c r="BEQ52" s="539"/>
      <c r="BER52" s="539"/>
      <c r="BES52" s="539"/>
      <c r="BET52" s="539"/>
      <c r="BEU52" s="539"/>
      <c r="BEV52" s="539"/>
      <c r="BEW52" s="539"/>
      <c r="BEX52" s="539"/>
      <c r="BEY52" s="539"/>
      <c r="BEZ52" s="539"/>
      <c r="BFA52" s="539"/>
      <c r="BFB52" s="539"/>
      <c r="BFC52" s="539"/>
      <c r="BFD52" s="539"/>
      <c r="BFE52" s="539"/>
      <c r="BFF52" s="539"/>
      <c r="BFG52" s="539"/>
      <c r="BFH52" s="539"/>
      <c r="BFI52" s="539"/>
      <c r="BFJ52" s="539"/>
      <c r="BFK52" s="539"/>
      <c r="BFL52" s="539"/>
      <c r="BFM52" s="539"/>
      <c r="BFN52" s="539"/>
      <c r="BFO52" s="539"/>
      <c r="BFP52" s="539"/>
      <c r="BFQ52" s="539"/>
      <c r="BFR52" s="539"/>
      <c r="BFS52" s="539"/>
      <c r="BFT52" s="539"/>
      <c r="BFU52" s="539"/>
      <c r="BFV52" s="539"/>
      <c r="BFW52" s="539"/>
      <c r="BFX52" s="539"/>
      <c r="BFY52" s="539"/>
      <c r="BFZ52" s="539"/>
      <c r="BGA52" s="539"/>
      <c r="BGB52" s="539"/>
      <c r="BGC52" s="539"/>
      <c r="BGD52" s="539"/>
      <c r="BGE52" s="539"/>
      <c r="BGF52" s="539"/>
      <c r="BGG52" s="539"/>
      <c r="BGH52" s="539"/>
      <c r="BGI52" s="539"/>
      <c r="BGJ52" s="539"/>
      <c r="BGK52" s="539"/>
      <c r="BGL52" s="539"/>
      <c r="BGM52" s="539"/>
      <c r="BGN52" s="539"/>
      <c r="BGO52" s="539"/>
      <c r="BGP52" s="539"/>
      <c r="BGQ52" s="539"/>
      <c r="BGR52" s="539"/>
      <c r="BGS52" s="539"/>
      <c r="BGT52" s="539"/>
      <c r="BGU52" s="539"/>
      <c r="BGV52" s="539"/>
      <c r="BGW52" s="539"/>
      <c r="BGX52" s="539"/>
      <c r="BGY52" s="539"/>
      <c r="BGZ52" s="539"/>
      <c r="BHA52" s="539"/>
      <c r="BHB52" s="539"/>
      <c r="BHC52" s="539"/>
      <c r="BHD52" s="539"/>
      <c r="BHE52" s="539"/>
      <c r="BHF52" s="539"/>
      <c r="BHG52" s="539"/>
      <c r="BHH52" s="539"/>
      <c r="BHI52" s="539"/>
      <c r="BHJ52" s="539"/>
      <c r="BHK52" s="539"/>
      <c r="BHL52" s="539"/>
      <c r="BHM52" s="539"/>
      <c r="BHN52" s="539"/>
      <c r="BHO52" s="539"/>
      <c r="BHP52" s="539"/>
      <c r="BHQ52" s="539"/>
      <c r="BHR52" s="539"/>
      <c r="BHS52" s="539"/>
      <c r="BHT52" s="539"/>
      <c r="BHU52" s="539"/>
      <c r="BHV52" s="539"/>
      <c r="BHW52" s="539"/>
      <c r="BHX52" s="539"/>
      <c r="BHY52" s="539"/>
      <c r="BHZ52" s="539"/>
      <c r="BIA52" s="539"/>
      <c r="BIB52" s="539"/>
      <c r="BIC52" s="539"/>
      <c r="BID52" s="539"/>
      <c r="BIE52" s="539"/>
      <c r="BIF52" s="539"/>
      <c r="BIG52" s="539"/>
      <c r="BIH52" s="539"/>
      <c r="BII52" s="539"/>
      <c r="BIJ52" s="539"/>
      <c r="BIK52" s="539"/>
      <c r="BIL52" s="539"/>
      <c r="BIM52" s="539"/>
      <c r="BIN52" s="539"/>
      <c r="BIO52" s="539"/>
      <c r="BIP52" s="539"/>
      <c r="BIQ52" s="539"/>
      <c r="BIR52" s="539"/>
      <c r="BIS52" s="539"/>
      <c r="BIT52" s="539"/>
      <c r="BIU52" s="539"/>
      <c r="BIV52" s="539"/>
      <c r="BIW52" s="539"/>
      <c r="BIX52" s="539"/>
      <c r="BIY52" s="539"/>
      <c r="BIZ52" s="539"/>
      <c r="BJA52" s="539"/>
      <c r="BJB52" s="539"/>
      <c r="BJC52" s="539"/>
      <c r="BJD52" s="539"/>
      <c r="BJE52" s="539"/>
      <c r="BJF52" s="539"/>
      <c r="BJG52" s="539"/>
      <c r="BJH52" s="539"/>
      <c r="BJI52" s="539"/>
      <c r="BJJ52" s="539"/>
      <c r="BJK52" s="539"/>
      <c r="BJL52" s="539"/>
      <c r="BJM52" s="539"/>
      <c r="BJN52" s="539"/>
      <c r="BJO52" s="539"/>
      <c r="BJP52" s="539"/>
      <c r="BJQ52" s="539"/>
      <c r="BJR52" s="539"/>
      <c r="BJS52" s="539"/>
      <c r="BJT52" s="539"/>
      <c r="BJU52" s="539"/>
      <c r="BJV52" s="539"/>
      <c r="BJW52" s="539"/>
      <c r="BJX52" s="539"/>
      <c r="BJY52" s="539"/>
      <c r="BJZ52" s="539"/>
      <c r="BKA52" s="539"/>
      <c r="BKB52" s="539"/>
      <c r="BKC52" s="539"/>
      <c r="BKD52" s="539"/>
      <c r="BKE52" s="539"/>
      <c r="BKF52" s="539"/>
      <c r="BKG52" s="539"/>
      <c r="BKH52" s="539"/>
      <c r="BKI52" s="539"/>
      <c r="BKJ52" s="539"/>
      <c r="BKK52" s="539"/>
      <c r="BKL52" s="539"/>
      <c r="BKM52" s="539"/>
      <c r="BKN52" s="539"/>
      <c r="BKO52" s="539"/>
      <c r="BKP52" s="539"/>
      <c r="BKQ52" s="539"/>
      <c r="BKR52" s="539"/>
      <c r="BKS52" s="539"/>
      <c r="BKT52" s="539"/>
      <c r="BKU52" s="539"/>
      <c r="BKV52" s="539"/>
      <c r="BKW52" s="539"/>
      <c r="BKX52" s="539"/>
      <c r="BKY52" s="539"/>
      <c r="BKZ52" s="539"/>
      <c r="BLA52" s="539"/>
      <c r="BLB52" s="539"/>
      <c r="BLC52" s="539"/>
      <c r="BLD52" s="539"/>
      <c r="BLE52" s="539"/>
      <c r="BLF52" s="539"/>
      <c r="BLG52" s="539"/>
      <c r="BLH52" s="539"/>
      <c r="BLI52" s="539"/>
      <c r="BLJ52" s="539"/>
      <c r="BLK52" s="539"/>
      <c r="BLL52" s="539"/>
      <c r="BLM52" s="539"/>
      <c r="BLN52" s="539"/>
      <c r="BLO52" s="539"/>
      <c r="BLP52" s="539"/>
      <c r="BLQ52" s="539"/>
      <c r="BLR52" s="539"/>
      <c r="BLS52" s="539"/>
      <c r="BLT52" s="539"/>
      <c r="BLU52" s="539"/>
      <c r="BLV52" s="539"/>
      <c r="BLW52" s="539"/>
      <c r="BLX52" s="539"/>
      <c r="BLY52" s="539"/>
      <c r="BLZ52" s="539"/>
      <c r="BMA52" s="539"/>
      <c r="BMB52" s="539"/>
      <c r="BMC52" s="539"/>
      <c r="BMD52" s="539"/>
      <c r="BME52" s="539"/>
      <c r="BMF52" s="539"/>
      <c r="BMG52" s="539"/>
      <c r="BMH52" s="539"/>
      <c r="BMI52" s="539"/>
      <c r="BMJ52" s="539"/>
      <c r="BMK52" s="539"/>
      <c r="BML52" s="539"/>
      <c r="BMM52" s="539"/>
      <c r="BMN52" s="539"/>
      <c r="BMO52" s="539"/>
      <c r="BMP52" s="539"/>
      <c r="BMQ52" s="539"/>
      <c r="BMR52" s="539"/>
      <c r="BMS52" s="539"/>
      <c r="BMT52" s="539"/>
      <c r="BMU52" s="539"/>
      <c r="BMV52" s="539"/>
      <c r="BMW52" s="539"/>
      <c r="BMX52" s="539"/>
      <c r="BMY52" s="539"/>
      <c r="BMZ52" s="539"/>
      <c r="BNA52" s="539"/>
      <c r="BNB52" s="539"/>
      <c r="BNC52" s="539"/>
      <c r="BND52" s="539"/>
      <c r="BNE52" s="539"/>
      <c r="BNF52" s="539"/>
      <c r="BNG52" s="539"/>
      <c r="BNH52" s="539"/>
      <c r="BNI52" s="539"/>
      <c r="BNJ52" s="539"/>
      <c r="BNK52" s="539"/>
      <c r="BNL52" s="539"/>
      <c r="BNM52" s="539"/>
      <c r="BNN52" s="539"/>
      <c r="BNO52" s="539"/>
      <c r="BNP52" s="539"/>
      <c r="BNQ52" s="539"/>
      <c r="BNR52" s="539"/>
      <c r="BNS52" s="539"/>
      <c r="BNT52" s="539"/>
      <c r="BNU52" s="539"/>
      <c r="BNV52" s="539"/>
      <c r="BNW52" s="539"/>
      <c r="BNX52" s="539"/>
      <c r="BNY52" s="539"/>
      <c r="BNZ52" s="539"/>
      <c r="BOA52" s="539"/>
      <c r="BOB52" s="539"/>
      <c r="BOC52" s="539"/>
      <c r="BOD52" s="539"/>
      <c r="BOE52" s="539"/>
      <c r="BOF52" s="539"/>
      <c r="BOG52" s="539"/>
      <c r="BOH52" s="539"/>
      <c r="BOI52" s="539"/>
      <c r="BOJ52" s="539"/>
      <c r="BOK52" s="539"/>
      <c r="BOL52" s="539"/>
      <c r="BOM52" s="539"/>
      <c r="BON52" s="539"/>
      <c r="BOO52" s="539"/>
      <c r="BOP52" s="539"/>
      <c r="BOQ52" s="539"/>
      <c r="BOR52" s="539"/>
      <c r="BOS52" s="539"/>
      <c r="BOT52" s="539"/>
      <c r="BOU52" s="539"/>
      <c r="BOV52" s="539"/>
      <c r="BOW52" s="539"/>
      <c r="BOX52" s="539"/>
      <c r="BOY52" s="539"/>
      <c r="BOZ52" s="539"/>
      <c r="BPA52" s="539"/>
      <c r="BPB52" s="539"/>
      <c r="BPC52" s="539"/>
      <c r="BPD52" s="539"/>
      <c r="BPE52" s="539"/>
      <c r="BPF52" s="539"/>
      <c r="BPG52" s="539"/>
      <c r="BPH52" s="539"/>
      <c r="BPI52" s="539"/>
      <c r="BPJ52" s="539"/>
      <c r="BPK52" s="539"/>
      <c r="BPL52" s="539"/>
      <c r="BPM52" s="539"/>
      <c r="BPN52" s="539"/>
      <c r="BPO52" s="539"/>
      <c r="BPP52" s="539"/>
      <c r="BPQ52" s="539"/>
      <c r="BPR52" s="539"/>
      <c r="BPS52" s="539"/>
      <c r="BPT52" s="539"/>
      <c r="BPU52" s="539"/>
      <c r="BPV52" s="539"/>
      <c r="BPW52" s="539"/>
      <c r="BPX52" s="539"/>
      <c r="BPY52" s="539"/>
      <c r="BPZ52" s="539"/>
      <c r="BQA52" s="539"/>
      <c r="BQB52" s="539"/>
      <c r="BQC52" s="539"/>
      <c r="BQD52" s="539"/>
      <c r="BQE52" s="539"/>
      <c r="BQF52" s="539"/>
      <c r="BQG52" s="539"/>
      <c r="BQH52" s="539"/>
      <c r="BQI52" s="539"/>
      <c r="BQJ52" s="539"/>
      <c r="BQK52" s="539"/>
      <c r="BQL52" s="539"/>
      <c r="BQM52" s="539"/>
      <c r="BQN52" s="539"/>
      <c r="BQO52" s="539"/>
      <c r="BQP52" s="539"/>
      <c r="BQQ52" s="539"/>
      <c r="BQR52" s="539"/>
      <c r="BQS52" s="539"/>
      <c r="BQT52" s="539"/>
      <c r="BQU52" s="539"/>
      <c r="BQV52" s="539"/>
      <c r="BQW52" s="539"/>
      <c r="BQX52" s="539"/>
      <c r="BQY52" s="539"/>
      <c r="BQZ52" s="539"/>
      <c r="BRA52" s="539"/>
      <c r="BRB52" s="539"/>
      <c r="BRC52" s="539"/>
      <c r="BRD52" s="539"/>
      <c r="BRE52" s="539"/>
      <c r="BRF52" s="539"/>
      <c r="BRG52" s="539"/>
      <c r="BRH52" s="539"/>
      <c r="BRI52" s="539"/>
      <c r="BRJ52" s="539"/>
      <c r="BRK52" s="539"/>
      <c r="BRL52" s="539"/>
      <c r="BRM52" s="539"/>
      <c r="BRN52" s="539"/>
      <c r="BRO52" s="539"/>
      <c r="BRP52" s="539"/>
      <c r="BRQ52" s="539"/>
      <c r="BRR52" s="539"/>
      <c r="BRS52" s="539"/>
      <c r="BRT52" s="539"/>
      <c r="BRU52" s="539"/>
      <c r="BRV52" s="539"/>
      <c r="BRW52" s="539"/>
      <c r="BRX52" s="539"/>
      <c r="BRY52" s="539"/>
      <c r="BRZ52" s="539"/>
      <c r="BSA52" s="539"/>
      <c r="BSB52" s="539"/>
      <c r="BSC52" s="539"/>
      <c r="BSD52" s="539"/>
      <c r="BSE52" s="539"/>
      <c r="BSF52" s="539"/>
      <c r="BSG52" s="539"/>
      <c r="BSH52" s="539"/>
      <c r="BSI52" s="539"/>
      <c r="BSJ52" s="539"/>
      <c r="BSK52" s="539"/>
      <c r="BSL52" s="539"/>
      <c r="BSM52" s="539"/>
      <c r="BSN52" s="539"/>
      <c r="BSO52" s="539"/>
      <c r="BSP52" s="539"/>
      <c r="BSQ52" s="539"/>
      <c r="BSR52" s="539"/>
      <c r="BSS52" s="539"/>
      <c r="BST52" s="539"/>
      <c r="BSU52" s="539"/>
      <c r="BSV52" s="539"/>
      <c r="BSW52" s="539"/>
      <c r="BSX52" s="539"/>
      <c r="BSY52" s="539"/>
      <c r="BSZ52" s="539"/>
      <c r="BTA52" s="539"/>
      <c r="BTB52" s="539"/>
      <c r="BTC52" s="539"/>
      <c r="BTD52" s="539"/>
      <c r="BTE52" s="539"/>
      <c r="BTF52" s="539"/>
      <c r="BTG52" s="539"/>
      <c r="BTH52" s="539"/>
      <c r="BTI52" s="539"/>
      <c r="BTJ52" s="539"/>
      <c r="BTK52" s="539"/>
      <c r="BTL52" s="539"/>
      <c r="BTM52" s="539"/>
      <c r="BTN52" s="539"/>
      <c r="BTO52" s="539"/>
      <c r="BTP52" s="539"/>
      <c r="BTQ52" s="539"/>
      <c r="BTR52" s="539"/>
      <c r="BTS52" s="539"/>
      <c r="BTT52" s="539"/>
      <c r="BTU52" s="539"/>
      <c r="BTV52" s="539"/>
      <c r="BTW52" s="539"/>
      <c r="BTX52" s="539"/>
      <c r="BTY52" s="539"/>
      <c r="BTZ52" s="539"/>
      <c r="BUA52" s="539"/>
      <c r="BUB52" s="539"/>
      <c r="BUC52" s="539"/>
      <c r="BUD52" s="539"/>
      <c r="BUE52" s="539"/>
      <c r="BUF52" s="539"/>
      <c r="BUG52" s="539"/>
      <c r="BUH52" s="539"/>
      <c r="BUI52" s="539"/>
      <c r="BUJ52" s="539"/>
      <c r="BUK52" s="539"/>
      <c r="BUL52" s="539"/>
      <c r="BUM52" s="539"/>
      <c r="BUN52" s="539"/>
      <c r="BUO52" s="539"/>
      <c r="BUP52" s="539"/>
      <c r="BUQ52" s="539"/>
      <c r="BUR52" s="539"/>
      <c r="BUS52" s="539"/>
      <c r="BUT52" s="539"/>
      <c r="BUU52" s="539"/>
      <c r="BUV52" s="539"/>
      <c r="BUW52" s="539"/>
      <c r="BUX52" s="539"/>
      <c r="BUY52" s="539"/>
      <c r="BUZ52" s="539"/>
      <c r="BVA52" s="539"/>
      <c r="BVB52" s="539"/>
      <c r="BVC52" s="539"/>
      <c r="BVD52" s="539"/>
      <c r="BVE52" s="539"/>
      <c r="BVF52" s="539"/>
      <c r="BVG52" s="539"/>
      <c r="BVH52" s="539"/>
      <c r="BVI52" s="539"/>
      <c r="BVJ52" s="539"/>
      <c r="BVK52" s="539"/>
      <c r="BVL52" s="539"/>
      <c r="BVM52" s="539"/>
      <c r="BVN52" s="539"/>
      <c r="BVO52" s="539"/>
      <c r="BVP52" s="539"/>
      <c r="BVQ52" s="539"/>
      <c r="BVR52" s="539"/>
      <c r="BVS52" s="539"/>
      <c r="BVT52" s="539"/>
      <c r="BVU52" s="539"/>
      <c r="BVV52" s="539"/>
      <c r="BVW52" s="539"/>
      <c r="BVX52" s="539"/>
      <c r="BVY52" s="539"/>
      <c r="BVZ52" s="539"/>
      <c r="BWA52" s="539"/>
      <c r="BWB52" s="539"/>
      <c r="BWC52" s="539"/>
      <c r="BWD52" s="539"/>
      <c r="BWE52" s="539"/>
      <c r="BWF52" s="539"/>
      <c r="BWG52" s="539"/>
      <c r="BWH52" s="539"/>
      <c r="BWI52" s="539"/>
      <c r="BWJ52" s="539"/>
      <c r="BWK52" s="539"/>
      <c r="BWL52" s="539"/>
      <c r="BWM52" s="539"/>
      <c r="BWN52" s="539"/>
      <c r="BWO52" s="539"/>
      <c r="BWP52" s="539"/>
      <c r="BWQ52" s="539"/>
      <c r="BWR52" s="539"/>
      <c r="BWS52" s="539"/>
      <c r="BWT52" s="539"/>
      <c r="BWU52" s="539"/>
      <c r="BWV52" s="539"/>
      <c r="BWW52" s="539"/>
      <c r="BWX52" s="539"/>
      <c r="BWY52" s="539"/>
      <c r="BWZ52" s="539"/>
      <c r="BXA52" s="539"/>
      <c r="BXB52" s="539"/>
      <c r="BXC52" s="539"/>
      <c r="BXD52" s="539"/>
      <c r="BXE52" s="539"/>
      <c r="BXF52" s="539"/>
      <c r="BXG52" s="539"/>
      <c r="BXH52" s="539"/>
      <c r="BXI52" s="539"/>
      <c r="BXJ52" s="539"/>
      <c r="BXK52" s="539"/>
      <c r="BXL52" s="539"/>
      <c r="BXM52" s="539"/>
      <c r="BXN52" s="539"/>
      <c r="BXO52" s="539"/>
      <c r="BXP52" s="539"/>
      <c r="BXQ52" s="539"/>
      <c r="BXR52" s="539"/>
      <c r="BXS52" s="539"/>
      <c r="BXT52" s="539"/>
      <c r="BXU52" s="539"/>
      <c r="BXV52" s="539"/>
      <c r="BXW52" s="539"/>
      <c r="BXX52" s="539"/>
      <c r="BXY52" s="539"/>
      <c r="BXZ52" s="539"/>
      <c r="BYA52" s="539"/>
      <c r="BYB52" s="539"/>
      <c r="BYC52" s="539"/>
      <c r="BYD52" s="539"/>
      <c r="BYE52" s="539"/>
      <c r="BYF52" s="539"/>
      <c r="BYG52" s="539"/>
      <c r="BYH52" s="539"/>
      <c r="BYI52" s="539"/>
      <c r="BYJ52" s="539"/>
      <c r="BYK52" s="539"/>
      <c r="BYL52" s="539"/>
      <c r="BYM52" s="539"/>
      <c r="BYN52" s="539"/>
      <c r="BYO52" s="539"/>
      <c r="BYP52" s="539"/>
      <c r="BYQ52" s="539"/>
      <c r="BYR52" s="539"/>
      <c r="BYS52" s="539"/>
      <c r="BYT52" s="539"/>
      <c r="BYU52" s="539"/>
      <c r="BYV52" s="539"/>
      <c r="BYW52" s="539"/>
      <c r="BYX52" s="539"/>
      <c r="BYY52" s="539"/>
      <c r="BYZ52" s="539"/>
      <c r="BZA52" s="539"/>
      <c r="BZB52" s="539"/>
      <c r="BZC52" s="539"/>
      <c r="BZD52" s="539"/>
      <c r="BZE52" s="539"/>
      <c r="BZF52" s="539"/>
      <c r="BZG52" s="539"/>
      <c r="BZH52" s="539"/>
      <c r="BZI52" s="539"/>
      <c r="BZJ52" s="539"/>
      <c r="BZK52" s="539"/>
      <c r="BZL52" s="539"/>
      <c r="BZM52" s="539"/>
      <c r="BZN52" s="539"/>
      <c r="BZO52" s="539"/>
      <c r="BZP52" s="539"/>
      <c r="BZQ52" s="539"/>
      <c r="BZR52" s="539"/>
      <c r="BZS52" s="539"/>
      <c r="BZT52" s="539"/>
      <c r="BZU52" s="539"/>
      <c r="BZV52" s="539"/>
      <c r="BZW52" s="539"/>
      <c r="BZX52" s="539"/>
      <c r="BZY52" s="539"/>
      <c r="BZZ52" s="539"/>
      <c r="CAA52" s="539"/>
      <c r="CAB52" s="539"/>
      <c r="CAC52" s="539"/>
      <c r="CAD52" s="539"/>
      <c r="CAE52" s="539"/>
      <c r="CAF52" s="539"/>
      <c r="CAG52" s="539"/>
      <c r="CAH52" s="539"/>
      <c r="CAI52" s="539"/>
      <c r="CAJ52" s="539"/>
      <c r="CAK52" s="539"/>
      <c r="CAL52" s="539"/>
      <c r="CAM52" s="539"/>
      <c r="CAN52" s="539"/>
      <c r="CAO52" s="539"/>
      <c r="CAP52" s="539"/>
      <c r="CAQ52" s="539"/>
      <c r="CAR52" s="539"/>
      <c r="CAS52" s="539"/>
      <c r="CAT52" s="539"/>
      <c r="CAU52" s="539"/>
      <c r="CAV52" s="539"/>
      <c r="CAW52" s="539"/>
      <c r="CAX52" s="539"/>
      <c r="CAY52" s="539"/>
      <c r="CAZ52" s="539"/>
      <c r="CBA52" s="539"/>
      <c r="CBB52" s="539"/>
      <c r="CBC52" s="539"/>
      <c r="CBD52" s="539"/>
      <c r="CBE52" s="539"/>
      <c r="CBF52" s="539"/>
      <c r="CBG52" s="539"/>
      <c r="CBH52" s="539"/>
      <c r="CBI52" s="539"/>
      <c r="CBJ52" s="539"/>
      <c r="CBK52" s="539"/>
      <c r="CBL52" s="539"/>
      <c r="CBM52" s="539"/>
      <c r="CBN52" s="539"/>
      <c r="CBO52" s="539"/>
      <c r="CBP52" s="539"/>
      <c r="CBQ52" s="539"/>
      <c r="CBR52" s="539"/>
      <c r="CBS52" s="539"/>
      <c r="CBT52" s="539"/>
      <c r="CBU52" s="539"/>
      <c r="CBV52" s="539"/>
      <c r="CBW52" s="539"/>
      <c r="CBX52" s="539"/>
      <c r="CBY52" s="539"/>
      <c r="CBZ52" s="539"/>
      <c r="CCA52" s="539"/>
      <c r="CCB52" s="539"/>
      <c r="CCC52" s="539"/>
      <c r="CCD52" s="539"/>
      <c r="CCE52" s="539"/>
      <c r="CCF52" s="539"/>
      <c r="CCG52" s="539"/>
      <c r="CCH52" s="539"/>
      <c r="CCI52" s="539"/>
      <c r="CCJ52" s="539"/>
      <c r="CCK52" s="539"/>
      <c r="CCL52" s="539"/>
      <c r="CCM52" s="539"/>
      <c r="CCN52" s="539"/>
      <c r="CCO52" s="539"/>
      <c r="CCP52" s="539"/>
      <c r="CCQ52" s="539"/>
      <c r="CCR52" s="539"/>
      <c r="CCS52" s="539"/>
      <c r="CCT52" s="539"/>
      <c r="CCU52" s="539"/>
      <c r="CCV52" s="539"/>
      <c r="CCW52" s="539"/>
      <c r="CCX52" s="539"/>
      <c r="CCY52" s="539"/>
      <c r="CCZ52" s="539"/>
      <c r="CDA52" s="539"/>
      <c r="CDB52" s="539"/>
      <c r="CDC52" s="539"/>
      <c r="CDD52" s="539"/>
      <c r="CDE52" s="539"/>
      <c r="CDF52" s="539"/>
      <c r="CDG52" s="539"/>
      <c r="CDH52" s="539"/>
      <c r="CDI52" s="539"/>
      <c r="CDJ52" s="539"/>
      <c r="CDK52" s="539"/>
      <c r="CDL52" s="539"/>
      <c r="CDM52" s="539"/>
      <c r="CDN52" s="539"/>
      <c r="CDO52" s="539"/>
      <c r="CDP52" s="539"/>
      <c r="CDQ52" s="539"/>
      <c r="CDR52" s="539"/>
      <c r="CDS52" s="539"/>
      <c r="CDT52" s="539"/>
      <c r="CDU52" s="539"/>
      <c r="CDV52" s="539"/>
      <c r="CDW52" s="539"/>
      <c r="CDX52" s="539"/>
      <c r="CDY52" s="539"/>
      <c r="CDZ52" s="539"/>
      <c r="CEA52" s="539"/>
      <c r="CEB52" s="539"/>
      <c r="CEC52" s="539"/>
      <c r="CED52" s="539"/>
      <c r="CEE52" s="539"/>
      <c r="CEF52" s="539"/>
      <c r="CEG52" s="539"/>
      <c r="CEH52" s="539"/>
      <c r="CEI52" s="539"/>
      <c r="CEJ52" s="539"/>
      <c r="CEK52" s="539"/>
      <c r="CEL52" s="539"/>
      <c r="CEM52" s="539"/>
      <c r="CEN52" s="539"/>
      <c r="CEO52" s="539"/>
      <c r="CEP52" s="539"/>
      <c r="CEQ52" s="539"/>
      <c r="CER52" s="539"/>
      <c r="CES52" s="539"/>
      <c r="CET52" s="539"/>
      <c r="CEU52" s="539"/>
      <c r="CEV52" s="539"/>
      <c r="CEW52" s="539"/>
      <c r="CEX52" s="539"/>
      <c r="CEY52" s="539"/>
      <c r="CEZ52" s="539"/>
      <c r="CFA52" s="539"/>
      <c r="CFB52" s="539"/>
      <c r="CFC52" s="539"/>
      <c r="CFD52" s="539"/>
      <c r="CFE52" s="539"/>
      <c r="CFF52" s="539"/>
      <c r="CFG52" s="539"/>
      <c r="CFH52" s="539"/>
      <c r="CFI52" s="539"/>
      <c r="CFJ52" s="539"/>
      <c r="CFK52" s="539"/>
      <c r="CFL52" s="539"/>
      <c r="CFM52" s="539"/>
      <c r="CFN52" s="539"/>
      <c r="CFO52" s="539"/>
      <c r="CFP52" s="539"/>
      <c r="CFQ52" s="539"/>
      <c r="CFR52" s="539"/>
      <c r="CFS52" s="539"/>
      <c r="CFT52" s="539"/>
      <c r="CFU52" s="539"/>
      <c r="CFV52" s="539"/>
      <c r="CFW52" s="539"/>
      <c r="CFX52" s="539"/>
      <c r="CFY52" s="539"/>
      <c r="CFZ52" s="539"/>
      <c r="CGA52" s="539"/>
      <c r="CGB52" s="539"/>
      <c r="CGC52" s="539"/>
      <c r="CGD52" s="539"/>
      <c r="CGE52" s="539"/>
      <c r="CGF52" s="539"/>
      <c r="CGG52" s="539"/>
      <c r="CGH52" s="539"/>
      <c r="CGI52" s="539"/>
      <c r="CGJ52" s="539"/>
      <c r="CGK52" s="539"/>
      <c r="CGL52" s="539"/>
      <c r="CGM52" s="539"/>
      <c r="CGN52" s="539"/>
      <c r="CGO52" s="539"/>
      <c r="CGP52" s="539"/>
      <c r="CGQ52" s="539"/>
      <c r="CGR52" s="539"/>
      <c r="CGS52" s="539"/>
      <c r="CGT52" s="539"/>
      <c r="CGU52" s="539"/>
      <c r="CGV52" s="539"/>
      <c r="CGW52" s="539"/>
      <c r="CGX52" s="539"/>
      <c r="CGY52" s="539"/>
      <c r="CGZ52" s="539"/>
      <c r="CHA52" s="539"/>
      <c r="CHB52" s="539"/>
      <c r="CHC52" s="539"/>
      <c r="CHD52" s="539"/>
      <c r="CHE52" s="539"/>
      <c r="CHF52" s="539"/>
      <c r="CHG52" s="539"/>
      <c r="CHH52" s="539"/>
      <c r="CHI52" s="539"/>
      <c r="CHJ52" s="539"/>
      <c r="CHK52" s="539"/>
      <c r="CHL52" s="539"/>
      <c r="CHM52" s="539"/>
      <c r="CHN52" s="539"/>
      <c r="CHO52" s="539"/>
      <c r="CHP52" s="539"/>
      <c r="CHQ52" s="539"/>
      <c r="CHR52" s="539"/>
      <c r="CHS52" s="539"/>
      <c r="CHT52" s="539"/>
      <c r="CHU52" s="539"/>
      <c r="CHV52" s="539"/>
      <c r="CHW52" s="539"/>
      <c r="CHX52" s="539"/>
      <c r="CHY52" s="539"/>
      <c r="CHZ52" s="539"/>
      <c r="CIA52" s="539"/>
      <c r="CIB52" s="539"/>
      <c r="CIC52" s="539"/>
      <c r="CID52" s="539"/>
      <c r="CIE52" s="539"/>
      <c r="CIF52" s="539"/>
      <c r="CIG52" s="539"/>
      <c r="CIH52" s="539"/>
      <c r="CII52" s="539"/>
      <c r="CIJ52" s="539"/>
      <c r="CIK52" s="539"/>
      <c r="CIL52" s="539"/>
      <c r="CIM52" s="539"/>
      <c r="CIN52" s="539"/>
      <c r="CIO52" s="539"/>
      <c r="CIP52" s="539"/>
      <c r="CIQ52" s="539"/>
      <c r="CIR52" s="539"/>
      <c r="CIS52" s="539"/>
      <c r="CIT52" s="539"/>
      <c r="CIU52" s="539"/>
      <c r="CIV52" s="539"/>
      <c r="CIW52" s="539"/>
      <c r="CIX52" s="539"/>
      <c r="CIY52" s="539"/>
      <c r="CIZ52" s="539"/>
      <c r="CJA52" s="539"/>
      <c r="CJB52" s="539"/>
      <c r="CJC52" s="539"/>
      <c r="CJD52" s="539"/>
      <c r="CJE52" s="539"/>
      <c r="CJF52" s="539"/>
      <c r="CJG52" s="539"/>
      <c r="CJH52" s="539"/>
      <c r="CJI52" s="539"/>
      <c r="CJJ52" s="539"/>
      <c r="CJK52" s="539"/>
      <c r="CJL52" s="539"/>
      <c r="CJM52" s="539"/>
      <c r="CJN52" s="539"/>
      <c r="CJO52" s="539"/>
      <c r="CJP52" s="539"/>
      <c r="CJQ52" s="539"/>
      <c r="CJR52" s="539"/>
      <c r="CJS52" s="539"/>
      <c r="CJT52" s="539"/>
      <c r="CJU52" s="539"/>
      <c r="CJV52" s="539"/>
      <c r="CJW52" s="539"/>
      <c r="CJX52" s="539"/>
      <c r="CJY52" s="539"/>
      <c r="CJZ52" s="539"/>
      <c r="CKA52" s="539"/>
      <c r="CKB52" s="539"/>
      <c r="CKC52" s="539"/>
      <c r="CKD52" s="539"/>
      <c r="CKE52" s="539"/>
      <c r="CKF52" s="539"/>
      <c r="CKG52" s="539"/>
      <c r="CKH52" s="539"/>
      <c r="CKI52" s="539"/>
      <c r="CKJ52" s="539"/>
      <c r="CKK52" s="539"/>
      <c r="CKL52" s="539"/>
      <c r="CKM52" s="539"/>
      <c r="CKN52" s="539"/>
      <c r="CKO52" s="539"/>
      <c r="CKP52" s="539"/>
      <c r="CKQ52" s="539"/>
      <c r="CKR52" s="539"/>
      <c r="CKS52" s="539"/>
      <c r="CKT52" s="539"/>
      <c r="CKU52" s="539"/>
      <c r="CKV52" s="539"/>
      <c r="CKW52" s="539"/>
      <c r="CKX52" s="539"/>
      <c r="CKY52" s="539"/>
      <c r="CKZ52" s="539"/>
      <c r="CLA52" s="539"/>
      <c r="CLB52" s="539"/>
      <c r="CLC52" s="539"/>
      <c r="CLD52" s="539"/>
      <c r="CLE52" s="539"/>
      <c r="CLF52" s="539"/>
      <c r="CLG52" s="539"/>
      <c r="CLH52" s="539"/>
      <c r="CLI52" s="539"/>
      <c r="CLJ52" s="539"/>
      <c r="CLK52" s="539"/>
      <c r="CLL52" s="539"/>
      <c r="CLM52" s="539"/>
      <c r="CLN52" s="539"/>
      <c r="CLO52" s="539"/>
      <c r="CLP52" s="539"/>
      <c r="CLQ52" s="539"/>
      <c r="CLR52" s="539"/>
      <c r="CLS52" s="539"/>
      <c r="CLT52" s="539"/>
      <c r="CLU52" s="539"/>
      <c r="CLV52" s="539"/>
      <c r="CLW52" s="539"/>
      <c r="CLX52" s="539"/>
      <c r="CLY52" s="539"/>
      <c r="CLZ52" s="539"/>
      <c r="CMA52" s="539"/>
      <c r="CMB52" s="539"/>
      <c r="CMC52" s="539"/>
      <c r="CMD52" s="539"/>
      <c r="CME52" s="539"/>
      <c r="CMF52" s="539"/>
      <c r="CMG52" s="539"/>
      <c r="CMH52" s="539"/>
      <c r="CMI52" s="539"/>
      <c r="CMJ52" s="539"/>
      <c r="CMK52" s="539"/>
      <c r="CML52" s="539"/>
      <c r="CMM52" s="539"/>
      <c r="CMN52" s="539"/>
      <c r="CMO52" s="539"/>
      <c r="CMP52" s="539"/>
      <c r="CMQ52" s="539"/>
      <c r="CMR52" s="539"/>
      <c r="CMS52" s="539"/>
      <c r="CMT52" s="539"/>
      <c r="CMU52" s="539"/>
      <c r="CMV52" s="539"/>
      <c r="CMW52" s="539"/>
      <c r="CMX52" s="539"/>
      <c r="CMY52" s="539"/>
      <c r="CMZ52" s="539"/>
      <c r="CNA52" s="539"/>
      <c r="CNB52" s="539"/>
      <c r="CNC52" s="539"/>
      <c r="CND52" s="539"/>
      <c r="CNE52" s="539"/>
      <c r="CNF52" s="539"/>
      <c r="CNG52" s="539"/>
      <c r="CNH52" s="539"/>
      <c r="CNI52" s="539"/>
      <c r="CNJ52" s="539"/>
      <c r="CNK52" s="539"/>
      <c r="CNL52" s="539"/>
      <c r="CNM52" s="539"/>
      <c r="CNN52" s="539"/>
      <c r="CNO52" s="539"/>
      <c r="CNP52" s="539"/>
      <c r="CNQ52" s="539"/>
      <c r="CNR52" s="539"/>
      <c r="CNS52" s="539"/>
      <c r="CNT52" s="539"/>
      <c r="CNU52" s="539"/>
      <c r="CNV52" s="539"/>
      <c r="CNW52" s="539"/>
      <c r="CNX52" s="539"/>
      <c r="CNY52" s="539"/>
      <c r="CNZ52" s="539"/>
      <c r="COA52" s="539"/>
      <c r="COB52" s="539"/>
      <c r="COC52" s="539"/>
      <c r="COD52" s="539"/>
      <c r="COE52" s="539"/>
      <c r="COF52" s="539"/>
      <c r="COG52" s="539"/>
      <c r="COH52" s="539"/>
      <c r="COI52" s="539"/>
      <c r="COJ52" s="539"/>
      <c r="COK52" s="539"/>
      <c r="COL52" s="539"/>
      <c r="COM52" s="539"/>
      <c r="CON52" s="539"/>
      <c r="COO52" s="539"/>
      <c r="COP52" s="539"/>
      <c r="COQ52" s="539"/>
      <c r="COR52" s="539"/>
      <c r="COS52" s="539"/>
      <c r="COT52" s="539"/>
      <c r="COU52" s="539"/>
      <c r="COV52" s="539"/>
      <c r="COW52" s="539"/>
      <c r="COX52" s="539"/>
      <c r="COY52" s="539"/>
      <c r="COZ52" s="539"/>
      <c r="CPA52" s="539"/>
      <c r="CPB52" s="539"/>
      <c r="CPC52" s="539"/>
      <c r="CPD52" s="539"/>
      <c r="CPE52" s="539"/>
      <c r="CPF52" s="539"/>
      <c r="CPG52" s="539"/>
      <c r="CPH52" s="539"/>
      <c r="CPI52" s="539"/>
      <c r="CPJ52" s="539"/>
      <c r="CPK52" s="539"/>
      <c r="CPL52" s="539"/>
      <c r="CPM52" s="539"/>
      <c r="CPN52" s="539"/>
      <c r="CPO52" s="539"/>
      <c r="CPP52" s="539"/>
      <c r="CPQ52" s="539"/>
      <c r="CPR52" s="539"/>
      <c r="CPS52" s="539"/>
      <c r="CPT52" s="539"/>
      <c r="CPU52" s="539"/>
      <c r="CPV52" s="539"/>
      <c r="CPW52" s="539"/>
      <c r="CPX52" s="539"/>
      <c r="CPY52" s="539"/>
      <c r="CPZ52" s="539"/>
      <c r="CQA52" s="539"/>
      <c r="CQB52" s="539"/>
      <c r="CQC52" s="539"/>
      <c r="CQD52" s="539"/>
      <c r="CQE52" s="539"/>
      <c r="CQF52" s="539"/>
      <c r="CQG52" s="539"/>
      <c r="CQH52" s="539"/>
      <c r="CQI52" s="539"/>
      <c r="CQJ52" s="539"/>
      <c r="CQK52" s="539"/>
      <c r="CQL52" s="539"/>
      <c r="CQM52" s="539"/>
      <c r="CQN52" s="539"/>
      <c r="CQO52" s="539"/>
      <c r="CQP52" s="539"/>
      <c r="CQQ52" s="539"/>
      <c r="CQR52" s="539"/>
      <c r="CQS52" s="539"/>
      <c r="CQT52" s="539"/>
      <c r="CQU52" s="539"/>
      <c r="CQV52" s="539"/>
      <c r="CQW52" s="539"/>
      <c r="CQX52" s="539"/>
      <c r="CQY52" s="539"/>
      <c r="CQZ52" s="539"/>
      <c r="CRA52" s="539"/>
      <c r="CRB52" s="539"/>
      <c r="CRC52" s="539"/>
      <c r="CRD52" s="539"/>
      <c r="CRE52" s="539"/>
      <c r="CRF52" s="539"/>
      <c r="CRG52" s="539"/>
      <c r="CRH52" s="539"/>
      <c r="CRI52" s="539"/>
      <c r="CRJ52" s="539"/>
      <c r="CRK52" s="539"/>
      <c r="CRL52" s="539"/>
      <c r="CRM52" s="539"/>
      <c r="CRN52" s="539"/>
      <c r="CRO52" s="539"/>
      <c r="CRP52" s="539"/>
      <c r="CRQ52" s="539"/>
      <c r="CRR52" s="539"/>
      <c r="CRS52" s="539"/>
      <c r="CRT52" s="539"/>
      <c r="CRU52" s="539"/>
      <c r="CRV52" s="539"/>
      <c r="CRW52" s="539"/>
      <c r="CRX52" s="539"/>
      <c r="CRY52" s="539"/>
      <c r="CRZ52" s="539"/>
      <c r="CSA52" s="539"/>
      <c r="CSB52" s="539"/>
      <c r="CSC52" s="539"/>
      <c r="CSD52" s="539"/>
      <c r="CSE52" s="539"/>
      <c r="CSF52" s="539"/>
      <c r="CSG52" s="539"/>
      <c r="CSH52" s="539"/>
      <c r="CSI52" s="539"/>
      <c r="CSJ52" s="539"/>
      <c r="CSK52" s="539"/>
      <c r="CSL52" s="539"/>
      <c r="CSM52" s="539"/>
      <c r="CSN52" s="539"/>
      <c r="CSO52" s="539"/>
      <c r="CSP52" s="539"/>
      <c r="CSQ52" s="539"/>
      <c r="CSR52" s="539"/>
      <c r="CSS52" s="539"/>
      <c r="CST52" s="539"/>
      <c r="CSU52" s="539"/>
      <c r="CSV52" s="539"/>
      <c r="CSW52" s="539"/>
      <c r="CSX52" s="539"/>
      <c r="CSY52" s="539"/>
      <c r="CSZ52" s="539"/>
      <c r="CTA52" s="539"/>
      <c r="CTB52" s="539"/>
      <c r="CTC52" s="539"/>
      <c r="CTD52" s="539"/>
      <c r="CTE52" s="539"/>
      <c r="CTF52" s="539"/>
      <c r="CTG52" s="539"/>
      <c r="CTH52" s="539"/>
      <c r="CTI52" s="539"/>
      <c r="CTJ52" s="539"/>
      <c r="CTK52" s="539"/>
      <c r="CTL52" s="539"/>
      <c r="CTM52" s="539"/>
      <c r="CTN52" s="539"/>
      <c r="CTO52" s="539"/>
      <c r="CTP52" s="539"/>
      <c r="CTQ52" s="539"/>
      <c r="CTR52" s="539"/>
      <c r="CTS52" s="539"/>
      <c r="CTT52" s="539"/>
      <c r="CTU52" s="539"/>
      <c r="CTV52" s="539"/>
      <c r="CTW52" s="539"/>
      <c r="CTX52" s="539"/>
      <c r="CTY52" s="539"/>
      <c r="CTZ52" s="539"/>
      <c r="CUA52" s="539"/>
      <c r="CUB52" s="539"/>
      <c r="CUC52" s="539"/>
      <c r="CUD52" s="539"/>
      <c r="CUE52" s="539"/>
      <c r="CUF52" s="539"/>
      <c r="CUG52" s="539"/>
      <c r="CUH52" s="539"/>
      <c r="CUI52" s="539"/>
      <c r="CUJ52" s="539"/>
      <c r="CUK52" s="539"/>
      <c r="CUL52" s="539"/>
      <c r="CUM52" s="539"/>
      <c r="CUN52" s="539"/>
      <c r="CUO52" s="539"/>
      <c r="CUP52" s="539"/>
      <c r="CUQ52" s="539"/>
      <c r="CUR52" s="539"/>
      <c r="CUS52" s="539"/>
      <c r="CUT52" s="539"/>
      <c r="CUU52" s="539"/>
      <c r="CUV52" s="539"/>
      <c r="CUW52" s="539"/>
      <c r="CUX52" s="539"/>
      <c r="CUY52" s="539"/>
      <c r="CUZ52" s="539"/>
      <c r="CVA52" s="539"/>
      <c r="CVB52" s="539"/>
      <c r="CVC52" s="539"/>
      <c r="CVD52" s="539"/>
      <c r="CVE52" s="539"/>
      <c r="CVF52" s="539"/>
      <c r="CVG52" s="539"/>
      <c r="CVH52" s="539"/>
      <c r="CVI52" s="539"/>
      <c r="CVJ52" s="539"/>
      <c r="CVK52" s="539"/>
      <c r="CVL52" s="539"/>
      <c r="CVM52" s="539"/>
      <c r="CVN52" s="539"/>
      <c r="CVO52" s="539"/>
      <c r="CVP52" s="539"/>
      <c r="CVQ52" s="539"/>
      <c r="CVR52" s="539"/>
      <c r="CVS52" s="539"/>
      <c r="CVT52" s="539"/>
      <c r="CVU52" s="539"/>
      <c r="CVV52" s="539"/>
      <c r="CVW52" s="539"/>
      <c r="CVX52" s="539"/>
      <c r="CVY52" s="539"/>
      <c r="CVZ52" s="539"/>
      <c r="CWA52" s="539"/>
      <c r="CWB52" s="539"/>
      <c r="CWC52" s="539"/>
      <c r="CWD52" s="539"/>
      <c r="CWE52" s="539"/>
      <c r="CWF52" s="539"/>
      <c r="CWG52" s="539"/>
      <c r="CWH52" s="539"/>
      <c r="CWI52" s="539"/>
      <c r="CWJ52" s="539"/>
      <c r="CWK52" s="539"/>
      <c r="CWL52" s="539"/>
      <c r="CWM52" s="539"/>
      <c r="CWN52" s="539"/>
      <c r="CWO52" s="539"/>
      <c r="CWP52" s="539"/>
      <c r="CWQ52" s="539"/>
      <c r="CWR52" s="539"/>
      <c r="CWS52" s="539"/>
      <c r="CWT52" s="539"/>
      <c r="CWU52" s="539"/>
      <c r="CWV52" s="539"/>
      <c r="CWW52" s="539"/>
      <c r="CWX52" s="539"/>
      <c r="CWY52" s="539"/>
      <c r="CWZ52" s="539"/>
      <c r="CXA52" s="539"/>
      <c r="CXB52" s="539"/>
      <c r="CXC52" s="539"/>
      <c r="CXD52" s="539"/>
      <c r="CXE52" s="539"/>
      <c r="CXF52" s="539"/>
      <c r="CXG52" s="539"/>
      <c r="CXH52" s="539"/>
      <c r="CXI52" s="539"/>
      <c r="CXJ52" s="539"/>
      <c r="CXK52" s="539"/>
      <c r="CXL52" s="539"/>
      <c r="CXM52" s="539"/>
      <c r="CXN52" s="539"/>
      <c r="CXO52" s="539"/>
      <c r="CXP52" s="539"/>
      <c r="CXQ52" s="539"/>
      <c r="CXR52" s="539"/>
      <c r="CXS52" s="539"/>
      <c r="CXT52" s="539"/>
      <c r="CXU52" s="539"/>
      <c r="CXV52" s="539"/>
      <c r="CXW52" s="539"/>
      <c r="CXX52" s="539"/>
      <c r="CXY52" s="539"/>
      <c r="CXZ52" s="539"/>
      <c r="CYA52" s="539"/>
      <c r="CYB52" s="539"/>
      <c r="CYC52" s="539"/>
      <c r="CYD52" s="539"/>
      <c r="CYE52" s="539"/>
      <c r="CYF52" s="539"/>
      <c r="CYG52" s="539"/>
      <c r="CYH52" s="539"/>
      <c r="CYI52" s="539"/>
      <c r="CYJ52" s="539"/>
      <c r="CYK52" s="539"/>
      <c r="CYL52" s="539"/>
      <c r="CYM52" s="539"/>
      <c r="CYN52" s="539"/>
      <c r="CYO52" s="539"/>
      <c r="CYP52" s="539"/>
      <c r="CYQ52" s="539"/>
      <c r="CYR52" s="539"/>
      <c r="CYS52" s="539"/>
      <c r="CYT52" s="539"/>
      <c r="CYU52" s="539"/>
      <c r="CYV52" s="539"/>
      <c r="CYW52" s="539"/>
      <c r="CYX52" s="539"/>
      <c r="CYY52" s="539"/>
      <c r="CYZ52" s="539"/>
      <c r="CZA52" s="539"/>
      <c r="CZB52" s="539"/>
      <c r="CZC52" s="539"/>
      <c r="CZD52" s="539"/>
      <c r="CZE52" s="539"/>
      <c r="CZF52" s="539"/>
      <c r="CZG52" s="539"/>
      <c r="CZH52" s="539"/>
      <c r="CZI52" s="539"/>
      <c r="CZJ52" s="539"/>
      <c r="CZK52" s="539"/>
      <c r="CZL52" s="539"/>
      <c r="CZM52" s="539"/>
      <c r="CZN52" s="539"/>
      <c r="CZO52" s="539"/>
      <c r="CZP52" s="539"/>
      <c r="CZQ52" s="539"/>
      <c r="CZR52" s="539"/>
      <c r="CZS52" s="539"/>
      <c r="CZT52" s="539"/>
      <c r="CZU52" s="539"/>
      <c r="CZV52" s="539"/>
      <c r="CZW52" s="539"/>
      <c r="CZX52" s="539"/>
      <c r="CZY52" s="539"/>
      <c r="CZZ52" s="539"/>
      <c r="DAA52" s="539"/>
      <c r="DAB52" s="539"/>
      <c r="DAC52" s="539"/>
      <c r="DAD52" s="539"/>
      <c r="DAE52" s="539"/>
      <c r="DAF52" s="539"/>
      <c r="DAG52" s="539"/>
      <c r="DAH52" s="539"/>
      <c r="DAI52" s="539"/>
      <c r="DAJ52" s="539"/>
      <c r="DAK52" s="539"/>
      <c r="DAL52" s="539"/>
      <c r="DAM52" s="539"/>
      <c r="DAN52" s="539"/>
      <c r="DAO52" s="539"/>
      <c r="DAP52" s="539"/>
      <c r="DAQ52" s="539"/>
      <c r="DAR52" s="539"/>
      <c r="DAS52" s="539"/>
      <c r="DAT52" s="539"/>
      <c r="DAU52" s="539"/>
      <c r="DAV52" s="539"/>
      <c r="DAW52" s="539"/>
      <c r="DAX52" s="539"/>
      <c r="DAY52" s="539"/>
      <c r="DAZ52" s="539"/>
      <c r="DBA52" s="539"/>
      <c r="DBB52" s="539"/>
      <c r="DBC52" s="539"/>
      <c r="DBD52" s="539"/>
      <c r="DBE52" s="539"/>
      <c r="DBF52" s="539"/>
      <c r="DBG52" s="539"/>
      <c r="DBH52" s="539"/>
      <c r="DBI52" s="539"/>
      <c r="DBJ52" s="539"/>
      <c r="DBK52" s="539"/>
      <c r="DBL52" s="539"/>
      <c r="DBM52" s="539"/>
      <c r="DBN52" s="539"/>
      <c r="DBO52" s="539"/>
      <c r="DBP52" s="539"/>
      <c r="DBQ52" s="539"/>
      <c r="DBR52" s="539"/>
      <c r="DBS52" s="539"/>
      <c r="DBT52" s="539"/>
      <c r="DBU52" s="539"/>
      <c r="DBV52" s="539"/>
      <c r="DBW52" s="539"/>
      <c r="DBX52" s="539"/>
      <c r="DBY52" s="539"/>
      <c r="DBZ52" s="539"/>
      <c r="DCA52" s="539"/>
      <c r="DCB52" s="539"/>
      <c r="DCC52" s="539"/>
      <c r="DCD52" s="539"/>
      <c r="DCE52" s="539"/>
      <c r="DCF52" s="539"/>
      <c r="DCG52" s="539"/>
      <c r="DCH52" s="539"/>
      <c r="DCI52" s="539"/>
      <c r="DCJ52" s="539"/>
      <c r="DCK52" s="539"/>
      <c r="DCL52" s="539"/>
      <c r="DCM52" s="539"/>
      <c r="DCN52" s="539"/>
      <c r="DCO52" s="539"/>
      <c r="DCP52" s="539"/>
      <c r="DCQ52" s="539"/>
      <c r="DCR52" s="539"/>
      <c r="DCS52" s="539"/>
      <c r="DCT52" s="539"/>
      <c r="DCU52" s="539"/>
      <c r="DCV52" s="539"/>
      <c r="DCW52" s="539"/>
      <c r="DCX52" s="539"/>
      <c r="DCY52" s="539"/>
      <c r="DCZ52" s="539"/>
      <c r="DDA52" s="539"/>
      <c r="DDB52" s="539"/>
      <c r="DDC52" s="539"/>
      <c r="DDD52" s="539"/>
      <c r="DDE52" s="539"/>
      <c r="DDF52" s="539"/>
      <c r="DDG52" s="539"/>
      <c r="DDH52" s="539"/>
      <c r="DDI52" s="539"/>
      <c r="DDJ52" s="539"/>
      <c r="DDK52" s="539"/>
      <c r="DDL52" s="539"/>
      <c r="DDM52" s="539"/>
      <c r="DDN52" s="539"/>
      <c r="DDO52" s="539"/>
      <c r="DDP52" s="539"/>
      <c r="DDQ52" s="539"/>
      <c r="DDR52" s="539"/>
      <c r="DDS52" s="539"/>
      <c r="DDT52" s="539"/>
      <c r="DDU52" s="539"/>
      <c r="DDV52" s="539"/>
      <c r="DDW52" s="539"/>
      <c r="DDX52" s="539"/>
      <c r="DDY52" s="539"/>
      <c r="DDZ52" s="539"/>
      <c r="DEA52" s="539"/>
      <c r="DEB52" s="539"/>
      <c r="DEC52" s="539"/>
      <c r="DED52" s="539"/>
      <c r="DEE52" s="539"/>
      <c r="DEF52" s="539"/>
      <c r="DEG52" s="539"/>
      <c r="DEH52" s="539"/>
      <c r="DEI52" s="539"/>
      <c r="DEJ52" s="539"/>
      <c r="DEK52" s="539"/>
      <c r="DEL52" s="539"/>
      <c r="DEM52" s="539"/>
      <c r="DEN52" s="539"/>
      <c r="DEO52" s="539"/>
      <c r="DEP52" s="539"/>
      <c r="DEQ52" s="539"/>
      <c r="DER52" s="539"/>
      <c r="DES52" s="539"/>
      <c r="DET52" s="539"/>
      <c r="DEU52" s="539"/>
      <c r="DEV52" s="539"/>
      <c r="DEW52" s="539"/>
      <c r="DEX52" s="539"/>
      <c r="DEY52" s="539"/>
      <c r="DEZ52" s="539"/>
      <c r="DFA52" s="539"/>
      <c r="DFB52" s="539"/>
      <c r="DFC52" s="539"/>
      <c r="DFD52" s="539"/>
      <c r="DFE52" s="539"/>
      <c r="DFF52" s="539"/>
      <c r="DFG52" s="539"/>
      <c r="DFH52" s="539"/>
      <c r="DFI52" s="539"/>
      <c r="DFJ52" s="539"/>
      <c r="DFK52" s="539"/>
      <c r="DFL52" s="539"/>
      <c r="DFM52" s="539"/>
      <c r="DFN52" s="539"/>
      <c r="DFO52" s="539"/>
      <c r="DFP52" s="539"/>
      <c r="DFQ52" s="539"/>
      <c r="DFR52" s="539"/>
      <c r="DFS52" s="539"/>
      <c r="DFT52" s="539"/>
      <c r="DFU52" s="539"/>
      <c r="DFV52" s="539"/>
      <c r="DFW52" s="539"/>
      <c r="DFX52" s="539"/>
      <c r="DFY52" s="539"/>
      <c r="DFZ52" s="539"/>
      <c r="DGA52" s="539"/>
      <c r="DGB52" s="539"/>
      <c r="DGC52" s="539"/>
      <c r="DGD52" s="539"/>
      <c r="DGE52" s="539"/>
      <c r="DGF52" s="539"/>
      <c r="DGG52" s="539"/>
      <c r="DGH52" s="539"/>
      <c r="DGI52" s="539"/>
      <c r="DGJ52" s="539"/>
      <c r="DGK52" s="539"/>
      <c r="DGL52" s="539"/>
      <c r="DGM52" s="539"/>
      <c r="DGN52" s="539"/>
      <c r="DGO52" s="539"/>
      <c r="DGP52" s="539"/>
      <c r="DGQ52" s="539"/>
      <c r="DGR52" s="539"/>
      <c r="DGS52" s="539"/>
      <c r="DGT52" s="539"/>
      <c r="DGU52" s="539"/>
      <c r="DGV52" s="539"/>
      <c r="DGW52" s="539"/>
      <c r="DGX52" s="539"/>
      <c r="DGY52" s="539"/>
      <c r="DGZ52" s="539"/>
      <c r="DHA52" s="539"/>
      <c r="DHB52" s="539"/>
      <c r="DHC52" s="539"/>
      <c r="DHD52" s="539"/>
      <c r="DHE52" s="539"/>
      <c r="DHF52" s="539"/>
      <c r="DHG52" s="539"/>
      <c r="DHH52" s="539"/>
      <c r="DHI52" s="539"/>
      <c r="DHJ52" s="539"/>
      <c r="DHK52" s="539"/>
      <c r="DHL52" s="539"/>
      <c r="DHM52" s="539"/>
      <c r="DHN52" s="539"/>
      <c r="DHO52" s="539"/>
      <c r="DHP52" s="539"/>
      <c r="DHQ52" s="539"/>
      <c r="DHR52" s="539"/>
      <c r="DHS52" s="539"/>
      <c r="DHT52" s="539"/>
      <c r="DHU52" s="539"/>
      <c r="DHV52" s="539"/>
      <c r="DHW52" s="539"/>
      <c r="DHX52" s="539"/>
      <c r="DHY52" s="539"/>
      <c r="DHZ52" s="539"/>
      <c r="DIA52" s="539"/>
      <c r="DIB52" s="539"/>
      <c r="DIC52" s="539"/>
      <c r="DID52" s="539"/>
      <c r="DIE52" s="539"/>
      <c r="DIF52" s="539"/>
      <c r="DIG52" s="539"/>
      <c r="DIH52" s="539"/>
      <c r="DII52" s="539"/>
      <c r="DIJ52" s="539"/>
      <c r="DIK52" s="539"/>
      <c r="DIL52" s="539"/>
      <c r="DIM52" s="539"/>
      <c r="DIN52" s="539"/>
      <c r="DIO52" s="539"/>
      <c r="DIP52" s="539"/>
      <c r="DIQ52" s="539"/>
      <c r="DIR52" s="539"/>
      <c r="DIS52" s="539"/>
      <c r="DIT52" s="539"/>
      <c r="DIU52" s="539"/>
      <c r="DIV52" s="539"/>
      <c r="DIW52" s="539"/>
      <c r="DIX52" s="539"/>
      <c r="DIY52" s="539"/>
      <c r="DIZ52" s="539"/>
      <c r="DJA52" s="539"/>
      <c r="DJB52" s="539"/>
      <c r="DJC52" s="539"/>
      <c r="DJD52" s="539"/>
      <c r="DJE52" s="539"/>
      <c r="DJF52" s="539"/>
      <c r="DJG52" s="539"/>
      <c r="DJH52" s="539"/>
      <c r="DJI52" s="539"/>
      <c r="DJJ52" s="539"/>
      <c r="DJK52" s="539"/>
      <c r="DJL52" s="539"/>
      <c r="DJM52" s="539"/>
      <c r="DJN52" s="539"/>
      <c r="DJO52" s="539"/>
      <c r="DJP52" s="539"/>
      <c r="DJQ52" s="539"/>
      <c r="DJR52" s="539"/>
      <c r="DJS52" s="539"/>
      <c r="DJT52" s="539"/>
      <c r="DJU52" s="539"/>
      <c r="DJV52" s="539"/>
      <c r="DJW52" s="539"/>
      <c r="DJX52" s="539"/>
      <c r="DJY52" s="539"/>
      <c r="DJZ52" s="539"/>
      <c r="DKA52" s="539"/>
      <c r="DKB52" s="539"/>
      <c r="DKC52" s="539"/>
      <c r="DKD52" s="539"/>
      <c r="DKE52" s="539"/>
      <c r="DKF52" s="539"/>
      <c r="DKG52" s="539"/>
      <c r="DKH52" s="539"/>
      <c r="DKI52" s="539"/>
      <c r="DKJ52" s="539"/>
      <c r="DKK52" s="539"/>
      <c r="DKL52" s="539"/>
      <c r="DKM52" s="539"/>
      <c r="DKN52" s="539"/>
      <c r="DKO52" s="539"/>
      <c r="DKP52" s="539"/>
      <c r="DKQ52" s="539"/>
      <c r="DKR52" s="539"/>
      <c r="DKS52" s="539"/>
      <c r="DKT52" s="539"/>
      <c r="DKU52" s="539"/>
      <c r="DKV52" s="539"/>
      <c r="DKW52" s="539"/>
      <c r="DKX52" s="539"/>
      <c r="DKY52" s="539"/>
      <c r="DKZ52" s="539"/>
      <c r="DLA52" s="539"/>
      <c r="DLB52" s="539"/>
      <c r="DLC52" s="539"/>
      <c r="DLD52" s="539"/>
      <c r="DLE52" s="539"/>
      <c r="DLF52" s="539"/>
      <c r="DLG52" s="539"/>
      <c r="DLH52" s="539"/>
      <c r="DLI52" s="539"/>
      <c r="DLJ52" s="539"/>
      <c r="DLK52" s="539"/>
      <c r="DLL52" s="539"/>
      <c r="DLM52" s="539"/>
      <c r="DLN52" s="539"/>
      <c r="DLO52" s="539"/>
      <c r="DLP52" s="539"/>
      <c r="DLQ52" s="539"/>
      <c r="DLR52" s="539"/>
      <c r="DLS52" s="539"/>
      <c r="DLT52" s="539"/>
      <c r="DLU52" s="539"/>
      <c r="DLV52" s="539"/>
      <c r="DLW52" s="539"/>
      <c r="DLX52" s="539"/>
      <c r="DLY52" s="539"/>
      <c r="DLZ52" s="539"/>
      <c r="DMA52" s="539"/>
      <c r="DMB52" s="539"/>
      <c r="DMC52" s="539"/>
      <c r="DMD52" s="539"/>
      <c r="DME52" s="539"/>
      <c r="DMF52" s="539"/>
      <c r="DMG52" s="539"/>
      <c r="DMH52" s="539"/>
      <c r="DMI52" s="539"/>
      <c r="DMJ52" s="539"/>
      <c r="DMK52" s="539"/>
      <c r="DML52" s="539"/>
      <c r="DMM52" s="539"/>
      <c r="DMN52" s="539"/>
      <c r="DMO52" s="539"/>
      <c r="DMP52" s="539"/>
      <c r="DMQ52" s="539"/>
      <c r="DMR52" s="539"/>
      <c r="DMS52" s="539"/>
      <c r="DMT52" s="539"/>
      <c r="DMU52" s="539"/>
      <c r="DMV52" s="539"/>
      <c r="DMW52" s="539"/>
      <c r="DMX52" s="539"/>
      <c r="DMY52" s="539"/>
      <c r="DMZ52" s="539"/>
      <c r="DNA52" s="539"/>
      <c r="DNB52" s="539"/>
      <c r="DNC52" s="539"/>
      <c r="DND52" s="539"/>
      <c r="DNE52" s="539"/>
      <c r="DNF52" s="539"/>
      <c r="DNG52" s="539"/>
      <c r="DNH52" s="539"/>
      <c r="DNI52" s="539"/>
      <c r="DNJ52" s="539"/>
      <c r="DNK52" s="539"/>
      <c r="DNL52" s="539"/>
      <c r="DNM52" s="539"/>
      <c r="DNN52" s="539"/>
      <c r="DNO52" s="539"/>
      <c r="DNP52" s="539"/>
      <c r="DNQ52" s="539"/>
      <c r="DNR52" s="539"/>
      <c r="DNS52" s="539"/>
      <c r="DNT52" s="539"/>
      <c r="DNU52" s="539"/>
      <c r="DNV52" s="539"/>
      <c r="DNW52" s="539"/>
      <c r="DNX52" s="539"/>
      <c r="DNY52" s="539"/>
      <c r="DNZ52" s="539"/>
      <c r="DOA52" s="539"/>
      <c r="DOB52" s="539"/>
      <c r="DOC52" s="539"/>
      <c r="DOD52" s="539"/>
      <c r="DOE52" s="539"/>
      <c r="DOF52" s="539"/>
      <c r="DOG52" s="539"/>
      <c r="DOH52" s="539"/>
      <c r="DOI52" s="539"/>
      <c r="DOJ52" s="539"/>
      <c r="DOK52" s="539"/>
      <c r="DOL52" s="539"/>
      <c r="DOM52" s="539"/>
      <c r="DON52" s="539"/>
      <c r="DOO52" s="539"/>
      <c r="DOP52" s="539"/>
      <c r="DOQ52" s="539"/>
      <c r="DOR52" s="539"/>
      <c r="DOS52" s="539"/>
      <c r="DOT52" s="539"/>
      <c r="DOU52" s="539"/>
      <c r="DOV52" s="539"/>
      <c r="DOW52" s="539"/>
      <c r="DOX52" s="539"/>
      <c r="DOY52" s="539"/>
      <c r="DOZ52" s="539"/>
      <c r="DPA52" s="539"/>
      <c r="DPB52" s="539"/>
      <c r="DPC52" s="539"/>
      <c r="DPD52" s="539"/>
      <c r="DPE52" s="539"/>
      <c r="DPF52" s="539"/>
      <c r="DPG52" s="539"/>
      <c r="DPH52" s="539"/>
      <c r="DPI52" s="539"/>
      <c r="DPJ52" s="539"/>
      <c r="DPK52" s="539"/>
      <c r="DPL52" s="539"/>
      <c r="DPM52" s="539"/>
      <c r="DPN52" s="539"/>
      <c r="DPO52" s="539"/>
      <c r="DPP52" s="539"/>
      <c r="DPQ52" s="539"/>
      <c r="DPR52" s="539"/>
      <c r="DPS52" s="539"/>
      <c r="DPT52" s="539"/>
      <c r="DPU52" s="539"/>
      <c r="DPV52" s="539"/>
      <c r="DPW52" s="539"/>
      <c r="DPX52" s="539"/>
      <c r="DPY52" s="539"/>
      <c r="DPZ52" s="539"/>
      <c r="DQA52" s="539"/>
      <c r="DQB52" s="539"/>
      <c r="DQC52" s="539"/>
      <c r="DQD52" s="539"/>
      <c r="DQE52" s="539"/>
      <c r="DQF52" s="539"/>
      <c r="DQG52" s="539"/>
      <c r="DQH52" s="539"/>
      <c r="DQI52" s="539"/>
      <c r="DQJ52" s="539"/>
      <c r="DQK52" s="539"/>
      <c r="DQL52" s="539"/>
      <c r="DQM52" s="539"/>
      <c r="DQN52" s="539"/>
      <c r="DQO52" s="539"/>
      <c r="DQP52" s="539"/>
      <c r="DQQ52" s="539"/>
      <c r="DQR52" s="539"/>
      <c r="DQS52" s="539"/>
      <c r="DQT52" s="539"/>
      <c r="DQU52" s="539"/>
      <c r="DQV52" s="539"/>
      <c r="DQW52" s="539"/>
      <c r="DQX52" s="539"/>
      <c r="DQY52" s="539"/>
      <c r="DQZ52" s="539"/>
      <c r="DRA52" s="539"/>
      <c r="DRB52" s="539"/>
      <c r="DRC52" s="539"/>
      <c r="DRD52" s="539"/>
      <c r="DRE52" s="539"/>
      <c r="DRF52" s="539"/>
      <c r="DRG52" s="539"/>
      <c r="DRH52" s="539"/>
      <c r="DRI52" s="539"/>
      <c r="DRJ52" s="539"/>
      <c r="DRK52" s="539"/>
      <c r="DRL52" s="539"/>
      <c r="DRM52" s="539"/>
      <c r="DRN52" s="539"/>
      <c r="DRO52" s="539"/>
      <c r="DRP52" s="539"/>
      <c r="DRQ52" s="539"/>
      <c r="DRR52" s="539"/>
      <c r="DRS52" s="539"/>
      <c r="DRT52" s="539"/>
      <c r="DRU52" s="539"/>
      <c r="DRV52" s="539"/>
      <c r="DRW52" s="539"/>
      <c r="DRX52" s="539"/>
      <c r="DRY52" s="539"/>
      <c r="DRZ52" s="539"/>
      <c r="DSA52" s="539"/>
      <c r="DSB52" s="539"/>
      <c r="DSC52" s="539"/>
      <c r="DSD52" s="539"/>
      <c r="DSE52" s="539"/>
      <c r="DSF52" s="539"/>
      <c r="DSG52" s="539"/>
      <c r="DSH52" s="539"/>
      <c r="DSI52" s="539"/>
      <c r="DSJ52" s="539"/>
      <c r="DSK52" s="539"/>
      <c r="DSL52" s="539"/>
      <c r="DSM52" s="539"/>
      <c r="DSN52" s="539"/>
      <c r="DSO52" s="539"/>
      <c r="DSP52" s="539"/>
      <c r="DSQ52" s="539"/>
      <c r="DSR52" s="539"/>
      <c r="DSS52" s="539"/>
      <c r="DST52" s="539"/>
      <c r="DSU52" s="539"/>
      <c r="DSV52" s="539"/>
      <c r="DSW52" s="539"/>
      <c r="DSX52" s="539"/>
      <c r="DSY52" s="539"/>
      <c r="DSZ52" s="539"/>
      <c r="DTA52" s="539"/>
      <c r="DTB52" s="539"/>
      <c r="DTC52" s="539"/>
      <c r="DTD52" s="539"/>
      <c r="DTE52" s="539"/>
      <c r="DTF52" s="539"/>
      <c r="DTG52" s="539"/>
      <c r="DTH52" s="539"/>
      <c r="DTI52" s="539"/>
      <c r="DTJ52" s="539"/>
      <c r="DTK52" s="539"/>
      <c r="DTL52" s="539"/>
      <c r="DTM52" s="539"/>
      <c r="DTN52" s="539"/>
      <c r="DTO52" s="539"/>
      <c r="DTP52" s="539"/>
      <c r="DTQ52" s="539"/>
      <c r="DTR52" s="539"/>
      <c r="DTS52" s="539"/>
      <c r="DTT52" s="539"/>
      <c r="DTU52" s="539"/>
      <c r="DTV52" s="539"/>
      <c r="DTW52" s="539"/>
      <c r="DTX52" s="539"/>
      <c r="DTY52" s="539"/>
      <c r="DTZ52" s="539"/>
      <c r="DUA52" s="539"/>
      <c r="DUB52" s="539"/>
      <c r="DUC52" s="539"/>
      <c r="DUD52" s="539"/>
      <c r="DUE52" s="539"/>
      <c r="DUF52" s="539"/>
      <c r="DUG52" s="539"/>
      <c r="DUH52" s="539"/>
      <c r="DUI52" s="539"/>
      <c r="DUJ52" s="539"/>
      <c r="DUK52" s="539"/>
      <c r="DUL52" s="539"/>
      <c r="DUM52" s="539"/>
      <c r="DUN52" s="539"/>
      <c r="DUO52" s="539"/>
      <c r="DUP52" s="539"/>
      <c r="DUQ52" s="539"/>
      <c r="DUR52" s="539"/>
      <c r="DUS52" s="539"/>
      <c r="DUT52" s="539"/>
      <c r="DUU52" s="539"/>
      <c r="DUV52" s="539"/>
      <c r="DUW52" s="539"/>
      <c r="DUX52" s="539"/>
      <c r="DUY52" s="539"/>
      <c r="DUZ52" s="539"/>
      <c r="DVA52" s="539"/>
      <c r="DVB52" s="539"/>
      <c r="DVC52" s="539"/>
      <c r="DVD52" s="539"/>
      <c r="DVE52" s="539"/>
      <c r="DVF52" s="539"/>
      <c r="DVG52" s="539"/>
      <c r="DVH52" s="539"/>
      <c r="DVI52" s="539"/>
      <c r="DVJ52" s="539"/>
      <c r="DVK52" s="539"/>
      <c r="DVL52" s="539"/>
      <c r="DVM52" s="539"/>
      <c r="DVN52" s="539"/>
      <c r="DVO52" s="539"/>
      <c r="DVP52" s="539"/>
      <c r="DVQ52" s="539"/>
      <c r="DVR52" s="539"/>
      <c r="DVS52" s="539"/>
      <c r="DVT52" s="539"/>
      <c r="DVU52" s="539"/>
      <c r="DVV52" s="539"/>
      <c r="DVW52" s="539"/>
      <c r="DVX52" s="539"/>
      <c r="DVY52" s="539"/>
      <c r="DVZ52" s="539"/>
      <c r="DWA52" s="539"/>
      <c r="DWB52" s="539"/>
      <c r="DWC52" s="539"/>
      <c r="DWD52" s="539"/>
      <c r="DWE52" s="539"/>
      <c r="DWF52" s="539"/>
      <c r="DWG52" s="539"/>
      <c r="DWH52" s="539"/>
      <c r="DWI52" s="539"/>
      <c r="DWJ52" s="539"/>
      <c r="DWK52" s="539"/>
      <c r="DWL52" s="539"/>
      <c r="DWM52" s="539"/>
      <c r="DWN52" s="539"/>
      <c r="DWO52" s="539"/>
      <c r="DWP52" s="539"/>
      <c r="DWQ52" s="539"/>
      <c r="DWR52" s="539"/>
      <c r="DWS52" s="539"/>
      <c r="DWT52" s="539"/>
      <c r="DWU52" s="539"/>
      <c r="DWV52" s="539"/>
      <c r="DWW52" s="539"/>
      <c r="DWX52" s="539"/>
      <c r="DWY52" s="539"/>
      <c r="DWZ52" s="539"/>
      <c r="DXA52" s="539"/>
      <c r="DXB52" s="539"/>
      <c r="DXC52" s="539"/>
      <c r="DXD52" s="539"/>
      <c r="DXE52" s="539"/>
      <c r="DXF52" s="539"/>
      <c r="DXG52" s="539"/>
      <c r="DXH52" s="539"/>
      <c r="DXI52" s="539"/>
      <c r="DXJ52" s="539"/>
      <c r="DXK52" s="539"/>
      <c r="DXL52" s="539"/>
      <c r="DXM52" s="539"/>
      <c r="DXN52" s="539"/>
      <c r="DXO52" s="539"/>
      <c r="DXP52" s="539"/>
      <c r="DXQ52" s="539"/>
      <c r="DXR52" s="539"/>
      <c r="DXS52" s="539"/>
      <c r="DXT52" s="539"/>
      <c r="DXU52" s="539"/>
      <c r="DXV52" s="539"/>
      <c r="DXW52" s="539"/>
      <c r="DXX52" s="539"/>
      <c r="DXY52" s="539"/>
      <c r="DXZ52" s="539"/>
      <c r="DYA52" s="539"/>
      <c r="DYB52" s="539"/>
      <c r="DYC52" s="539"/>
      <c r="DYD52" s="539"/>
      <c r="DYE52" s="539"/>
      <c r="DYF52" s="539"/>
      <c r="DYG52" s="539"/>
      <c r="DYH52" s="539"/>
      <c r="DYI52" s="539"/>
      <c r="DYJ52" s="539"/>
      <c r="DYK52" s="539"/>
      <c r="DYL52" s="539"/>
      <c r="DYM52" s="539"/>
      <c r="DYN52" s="539"/>
      <c r="DYO52" s="539"/>
      <c r="DYP52" s="539"/>
      <c r="DYQ52" s="539"/>
      <c r="DYR52" s="539"/>
      <c r="DYS52" s="539"/>
      <c r="DYT52" s="539"/>
      <c r="DYU52" s="539"/>
      <c r="DYV52" s="539"/>
      <c r="DYW52" s="539"/>
      <c r="DYX52" s="539"/>
      <c r="DYY52" s="539"/>
      <c r="DYZ52" s="539"/>
      <c r="DZA52" s="539"/>
      <c r="DZB52" s="539"/>
      <c r="DZC52" s="539"/>
      <c r="DZD52" s="539"/>
      <c r="DZE52" s="539"/>
      <c r="DZF52" s="539"/>
      <c r="DZG52" s="539"/>
      <c r="DZH52" s="539"/>
      <c r="DZI52" s="539"/>
      <c r="DZJ52" s="539"/>
      <c r="DZK52" s="539"/>
      <c r="DZL52" s="539"/>
      <c r="DZM52" s="539"/>
      <c r="DZN52" s="539"/>
      <c r="DZO52" s="539"/>
      <c r="DZP52" s="539"/>
      <c r="DZQ52" s="539"/>
      <c r="DZR52" s="539"/>
      <c r="DZS52" s="539"/>
      <c r="DZT52" s="539"/>
      <c r="DZU52" s="539"/>
      <c r="DZV52" s="539"/>
      <c r="DZW52" s="539"/>
      <c r="DZX52" s="539"/>
      <c r="DZY52" s="539"/>
      <c r="DZZ52" s="539"/>
      <c r="EAA52" s="539"/>
      <c r="EAB52" s="539"/>
      <c r="EAC52" s="539"/>
      <c r="EAD52" s="539"/>
      <c r="EAE52" s="539"/>
      <c r="EAF52" s="539"/>
      <c r="EAG52" s="539"/>
      <c r="EAH52" s="539"/>
      <c r="EAI52" s="539"/>
      <c r="EAJ52" s="539"/>
      <c r="EAK52" s="539"/>
      <c r="EAL52" s="539"/>
      <c r="EAM52" s="539"/>
      <c r="EAN52" s="539"/>
      <c r="EAO52" s="539"/>
      <c r="EAP52" s="539"/>
      <c r="EAQ52" s="539"/>
      <c r="EAR52" s="539"/>
      <c r="EAS52" s="539"/>
      <c r="EAT52" s="539"/>
      <c r="EAU52" s="539"/>
      <c r="EAV52" s="539"/>
      <c r="EAW52" s="539"/>
      <c r="EAX52" s="539"/>
      <c r="EAY52" s="539"/>
      <c r="EAZ52" s="539"/>
      <c r="EBA52" s="539"/>
      <c r="EBB52" s="539"/>
      <c r="EBC52" s="539"/>
      <c r="EBD52" s="539"/>
      <c r="EBE52" s="539"/>
      <c r="EBF52" s="539"/>
      <c r="EBG52" s="539"/>
      <c r="EBH52" s="539"/>
      <c r="EBI52" s="539"/>
      <c r="EBJ52" s="539"/>
      <c r="EBK52" s="539"/>
      <c r="EBL52" s="539"/>
      <c r="EBM52" s="539"/>
      <c r="EBN52" s="539"/>
      <c r="EBO52" s="539"/>
      <c r="EBP52" s="539"/>
      <c r="EBQ52" s="539"/>
      <c r="EBR52" s="539"/>
      <c r="EBS52" s="539"/>
      <c r="EBT52" s="539"/>
      <c r="EBU52" s="539"/>
      <c r="EBV52" s="539"/>
      <c r="EBW52" s="539"/>
      <c r="EBX52" s="539"/>
      <c r="EBY52" s="539"/>
      <c r="EBZ52" s="539"/>
      <c r="ECA52" s="539"/>
      <c r="ECB52" s="539"/>
      <c r="ECC52" s="539"/>
      <c r="ECD52" s="539"/>
      <c r="ECE52" s="539"/>
      <c r="ECF52" s="539"/>
      <c r="ECG52" s="539"/>
      <c r="ECH52" s="539"/>
      <c r="ECI52" s="539"/>
      <c r="ECJ52" s="539"/>
      <c r="ECK52" s="539"/>
      <c r="ECL52" s="539"/>
      <c r="ECM52" s="539"/>
      <c r="ECN52" s="539"/>
      <c r="ECO52" s="539"/>
      <c r="ECP52" s="539"/>
      <c r="ECQ52" s="539"/>
      <c r="ECR52" s="539"/>
      <c r="ECS52" s="539"/>
      <c r="ECT52" s="539"/>
      <c r="ECU52" s="539"/>
      <c r="ECV52" s="539"/>
      <c r="ECW52" s="539"/>
      <c r="ECX52" s="539"/>
      <c r="ECY52" s="539"/>
      <c r="ECZ52" s="539"/>
      <c r="EDA52" s="539"/>
      <c r="EDB52" s="539"/>
      <c r="EDC52" s="539"/>
      <c r="EDD52" s="539"/>
      <c r="EDE52" s="539"/>
      <c r="EDF52" s="539"/>
      <c r="EDG52" s="539"/>
      <c r="EDH52" s="539"/>
      <c r="EDI52" s="539"/>
      <c r="EDJ52" s="539"/>
      <c r="EDK52" s="539"/>
      <c r="EDL52" s="539"/>
      <c r="EDM52" s="539"/>
      <c r="EDN52" s="539"/>
      <c r="EDO52" s="539"/>
      <c r="EDP52" s="539"/>
      <c r="EDQ52" s="539"/>
      <c r="EDR52" s="539"/>
      <c r="EDS52" s="539"/>
      <c r="EDT52" s="539"/>
      <c r="EDU52" s="539"/>
      <c r="EDV52" s="539"/>
      <c r="EDW52" s="539"/>
      <c r="EDX52" s="539"/>
      <c r="EDY52" s="539"/>
      <c r="EDZ52" s="539"/>
      <c r="EEA52" s="539"/>
      <c r="EEB52" s="539"/>
      <c r="EEC52" s="539"/>
      <c r="EED52" s="539"/>
      <c r="EEE52" s="539"/>
      <c r="EEF52" s="539"/>
      <c r="EEG52" s="539"/>
      <c r="EEH52" s="539"/>
      <c r="EEI52" s="539"/>
      <c r="EEJ52" s="539"/>
      <c r="EEK52" s="539"/>
      <c r="EEL52" s="539"/>
      <c r="EEM52" s="539"/>
      <c r="EEN52" s="539"/>
      <c r="EEO52" s="539"/>
      <c r="EEP52" s="539"/>
      <c r="EEQ52" s="539"/>
      <c r="EER52" s="539"/>
      <c r="EES52" s="539"/>
      <c r="EET52" s="539"/>
      <c r="EEU52" s="539"/>
      <c r="EEV52" s="539"/>
      <c r="EEW52" s="539"/>
      <c r="EEX52" s="539"/>
      <c r="EEY52" s="539"/>
      <c r="EEZ52" s="539"/>
      <c r="EFA52" s="539"/>
      <c r="EFB52" s="539"/>
      <c r="EFC52" s="539"/>
      <c r="EFD52" s="539"/>
      <c r="EFE52" s="539"/>
      <c r="EFF52" s="539"/>
      <c r="EFG52" s="539"/>
      <c r="EFH52" s="539"/>
      <c r="EFI52" s="539"/>
      <c r="EFJ52" s="539"/>
      <c r="EFK52" s="539"/>
      <c r="EFL52" s="539"/>
      <c r="EFM52" s="539"/>
      <c r="EFN52" s="539"/>
      <c r="EFO52" s="539"/>
      <c r="EFP52" s="539"/>
      <c r="EFQ52" s="539"/>
      <c r="EFR52" s="539"/>
      <c r="EFS52" s="539"/>
      <c r="EFT52" s="539"/>
      <c r="EFU52" s="539"/>
      <c r="EFV52" s="539"/>
      <c r="EFW52" s="539"/>
      <c r="EFX52" s="539"/>
      <c r="EFY52" s="539"/>
      <c r="EFZ52" s="539"/>
      <c r="EGA52" s="539"/>
      <c r="EGB52" s="539"/>
      <c r="EGC52" s="539"/>
      <c r="EGD52" s="539"/>
      <c r="EGE52" s="539"/>
      <c r="EGF52" s="539"/>
      <c r="EGG52" s="539"/>
      <c r="EGH52" s="539"/>
      <c r="EGI52" s="539"/>
      <c r="EGJ52" s="539"/>
      <c r="EGK52" s="539"/>
      <c r="EGL52" s="539"/>
      <c r="EGM52" s="539"/>
      <c r="EGN52" s="539"/>
      <c r="EGO52" s="539"/>
      <c r="EGP52" s="539"/>
      <c r="EGQ52" s="539"/>
      <c r="EGR52" s="539"/>
      <c r="EGS52" s="539"/>
      <c r="EGT52" s="539"/>
      <c r="EGU52" s="539"/>
      <c r="EGV52" s="539"/>
      <c r="EGW52" s="539"/>
      <c r="EGX52" s="539"/>
      <c r="EGY52" s="539"/>
      <c r="EGZ52" s="539"/>
      <c r="EHA52" s="539"/>
      <c r="EHB52" s="539"/>
      <c r="EHC52" s="539"/>
      <c r="EHD52" s="539"/>
      <c r="EHE52" s="539"/>
      <c r="EHF52" s="539"/>
      <c r="EHG52" s="539"/>
      <c r="EHH52" s="539"/>
      <c r="EHI52" s="539"/>
      <c r="EHJ52" s="539"/>
      <c r="EHK52" s="539"/>
      <c r="EHL52" s="539"/>
      <c r="EHM52" s="539"/>
      <c r="EHN52" s="539"/>
      <c r="EHO52" s="539"/>
      <c r="EHP52" s="539"/>
      <c r="EHQ52" s="539"/>
      <c r="EHR52" s="539"/>
      <c r="EHS52" s="539"/>
      <c r="EHT52" s="539"/>
      <c r="EHU52" s="539"/>
      <c r="EHV52" s="539"/>
      <c r="EHW52" s="539"/>
      <c r="EHX52" s="539"/>
      <c r="EHY52" s="539"/>
      <c r="EHZ52" s="539"/>
      <c r="EIA52" s="539"/>
      <c r="EIB52" s="539"/>
      <c r="EIC52" s="539"/>
      <c r="EID52" s="539"/>
      <c r="EIE52" s="539"/>
      <c r="EIF52" s="539"/>
      <c r="EIG52" s="539"/>
      <c r="EIH52" s="539"/>
      <c r="EII52" s="539"/>
      <c r="EIJ52" s="539"/>
      <c r="EIK52" s="539"/>
      <c r="EIL52" s="539"/>
      <c r="EIM52" s="539"/>
      <c r="EIN52" s="539"/>
      <c r="EIO52" s="539"/>
      <c r="EIP52" s="539"/>
      <c r="EIQ52" s="539"/>
      <c r="EIR52" s="539"/>
      <c r="EIS52" s="539"/>
      <c r="EIT52" s="539"/>
      <c r="EIU52" s="539"/>
      <c r="EIV52" s="539"/>
      <c r="EIW52" s="539"/>
      <c r="EIX52" s="539"/>
      <c r="EIY52" s="539"/>
      <c r="EIZ52" s="539"/>
      <c r="EJA52" s="539"/>
      <c r="EJB52" s="539"/>
      <c r="EJC52" s="539"/>
      <c r="EJD52" s="539"/>
      <c r="EJE52" s="539"/>
      <c r="EJF52" s="539"/>
      <c r="EJG52" s="539"/>
      <c r="EJH52" s="539"/>
      <c r="EJI52" s="539"/>
      <c r="EJJ52" s="539"/>
      <c r="EJK52" s="539"/>
      <c r="EJL52" s="539"/>
      <c r="EJM52" s="539"/>
      <c r="EJN52" s="539"/>
      <c r="EJO52" s="539"/>
      <c r="EJP52" s="539"/>
      <c r="EJQ52" s="539"/>
      <c r="EJR52" s="539"/>
      <c r="EJS52" s="539"/>
      <c r="EJT52" s="539"/>
      <c r="EJU52" s="539"/>
      <c r="EJV52" s="539"/>
      <c r="EJW52" s="539"/>
      <c r="EJX52" s="539"/>
      <c r="EJY52" s="539"/>
      <c r="EJZ52" s="539"/>
      <c r="EKA52" s="539"/>
      <c r="EKB52" s="539"/>
      <c r="EKC52" s="539"/>
      <c r="EKD52" s="539"/>
      <c r="EKE52" s="539"/>
      <c r="EKF52" s="539"/>
      <c r="EKG52" s="539"/>
      <c r="EKH52" s="539"/>
      <c r="EKI52" s="539"/>
      <c r="EKJ52" s="539"/>
      <c r="EKK52" s="539"/>
      <c r="EKL52" s="539"/>
      <c r="EKM52" s="539"/>
      <c r="EKN52" s="539"/>
      <c r="EKO52" s="539"/>
      <c r="EKP52" s="539"/>
      <c r="EKQ52" s="539"/>
      <c r="EKR52" s="539"/>
      <c r="EKS52" s="539"/>
      <c r="EKT52" s="539"/>
      <c r="EKU52" s="539"/>
      <c r="EKV52" s="539"/>
      <c r="EKW52" s="539"/>
      <c r="EKX52" s="539"/>
      <c r="EKY52" s="539"/>
      <c r="EKZ52" s="539"/>
      <c r="ELA52" s="539"/>
      <c r="ELB52" s="539"/>
      <c r="ELC52" s="539"/>
      <c r="ELD52" s="539"/>
      <c r="ELE52" s="539"/>
      <c r="ELF52" s="539"/>
      <c r="ELG52" s="539"/>
      <c r="ELH52" s="539"/>
      <c r="ELI52" s="539"/>
      <c r="ELJ52" s="539"/>
      <c r="ELK52" s="539"/>
      <c r="ELL52" s="539"/>
      <c r="ELM52" s="539"/>
      <c r="ELN52" s="539"/>
      <c r="ELO52" s="539"/>
      <c r="ELP52" s="539"/>
      <c r="ELQ52" s="539"/>
      <c r="ELR52" s="539"/>
      <c r="ELS52" s="539"/>
      <c r="ELT52" s="539"/>
      <c r="ELU52" s="539"/>
      <c r="ELV52" s="539"/>
      <c r="ELW52" s="539"/>
      <c r="ELX52" s="539"/>
      <c r="ELY52" s="539"/>
      <c r="ELZ52" s="539"/>
      <c r="EMA52" s="539"/>
      <c r="EMB52" s="539"/>
      <c r="EMC52" s="539"/>
      <c r="EMD52" s="539"/>
      <c r="EME52" s="539"/>
      <c r="EMF52" s="539"/>
      <c r="EMG52" s="539"/>
      <c r="EMH52" s="539"/>
      <c r="EMI52" s="539"/>
      <c r="EMJ52" s="539"/>
      <c r="EMK52" s="539"/>
      <c r="EML52" s="539"/>
      <c r="EMM52" s="539"/>
      <c r="EMN52" s="539"/>
      <c r="EMO52" s="539"/>
      <c r="EMP52" s="539"/>
      <c r="EMQ52" s="539"/>
      <c r="EMR52" s="539"/>
      <c r="EMS52" s="539"/>
      <c r="EMT52" s="539"/>
      <c r="EMU52" s="539"/>
      <c r="EMV52" s="539"/>
      <c r="EMW52" s="539"/>
      <c r="EMX52" s="539"/>
      <c r="EMY52" s="539"/>
      <c r="EMZ52" s="539"/>
      <c r="ENA52" s="539"/>
      <c r="ENB52" s="539"/>
      <c r="ENC52" s="539"/>
      <c r="END52" s="539"/>
      <c r="ENE52" s="539"/>
      <c r="ENF52" s="539"/>
      <c r="ENG52" s="539"/>
      <c r="ENH52" s="539"/>
      <c r="ENI52" s="539"/>
      <c r="ENJ52" s="539"/>
      <c r="ENK52" s="539"/>
      <c r="ENL52" s="539"/>
      <c r="ENM52" s="539"/>
      <c r="ENN52" s="539"/>
      <c r="ENO52" s="539"/>
      <c r="ENP52" s="539"/>
      <c r="ENQ52" s="539"/>
      <c r="ENR52" s="539"/>
      <c r="ENS52" s="539"/>
      <c r="ENT52" s="539"/>
      <c r="ENU52" s="539"/>
      <c r="ENV52" s="539"/>
      <c r="ENW52" s="539"/>
      <c r="ENX52" s="539"/>
      <c r="ENY52" s="539"/>
      <c r="ENZ52" s="539"/>
      <c r="EOA52" s="539"/>
      <c r="EOB52" s="539"/>
      <c r="EOC52" s="539"/>
      <c r="EOD52" s="539"/>
      <c r="EOE52" s="539"/>
      <c r="EOF52" s="539"/>
      <c r="EOG52" s="539"/>
      <c r="EOH52" s="539"/>
      <c r="EOI52" s="539"/>
      <c r="EOJ52" s="539"/>
      <c r="EOK52" s="539"/>
      <c r="EOL52" s="539"/>
      <c r="EOM52" s="539"/>
      <c r="EON52" s="539"/>
      <c r="EOO52" s="539"/>
      <c r="EOP52" s="539"/>
      <c r="EOQ52" s="539"/>
      <c r="EOR52" s="539"/>
      <c r="EOS52" s="539"/>
      <c r="EOT52" s="539"/>
      <c r="EOU52" s="539"/>
      <c r="EOV52" s="539"/>
      <c r="EOW52" s="539"/>
      <c r="EOX52" s="539"/>
      <c r="EOY52" s="539"/>
      <c r="EOZ52" s="539"/>
      <c r="EPA52" s="539"/>
      <c r="EPB52" s="539"/>
      <c r="EPC52" s="539"/>
      <c r="EPD52" s="539"/>
      <c r="EPE52" s="539"/>
      <c r="EPF52" s="539"/>
      <c r="EPG52" s="539"/>
      <c r="EPH52" s="539"/>
      <c r="EPI52" s="539"/>
      <c r="EPJ52" s="539"/>
      <c r="EPK52" s="539"/>
      <c r="EPL52" s="539"/>
      <c r="EPM52" s="539"/>
      <c r="EPN52" s="539"/>
      <c r="EPO52" s="539"/>
      <c r="EPP52" s="539"/>
      <c r="EPQ52" s="539"/>
      <c r="EPR52" s="539"/>
      <c r="EPS52" s="539"/>
      <c r="EPT52" s="539"/>
      <c r="EPU52" s="539"/>
      <c r="EPV52" s="539"/>
      <c r="EPW52" s="539"/>
      <c r="EPX52" s="539"/>
      <c r="EPY52" s="539"/>
      <c r="EPZ52" s="539"/>
      <c r="EQA52" s="539"/>
      <c r="EQB52" s="539"/>
      <c r="EQC52" s="539"/>
      <c r="EQD52" s="539"/>
      <c r="EQE52" s="539"/>
      <c r="EQF52" s="539"/>
      <c r="EQG52" s="539"/>
      <c r="EQH52" s="539"/>
      <c r="EQI52" s="539"/>
      <c r="EQJ52" s="539"/>
      <c r="EQK52" s="539"/>
      <c r="EQL52" s="539"/>
      <c r="EQM52" s="539"/>
      <c r="EQN52" s="539"/>
      <c r="EQO52" s="539"/>
      <c r="EQP52" s="539"/>
      <c r="EQQ52" s="539"/>
      <c r="EQR52" s="539"/>
      <c r="EQS52" s="539"/>
      <c r="EQT52" s="539"/>
      <c r="EQU52" s="539"/>
      <c r="EQV52" s="539"/>
      <c r="EQW52" s="539"/>
      <c r="EQX52" s="539"/>
      <c r="EQY52" s="539"/>
      <c r="EQZ52" s="539"/>
      <c r="ERA52" s="539"/>
      <c r="ERB52" s="539"/>
      <c r="ERC52" s="539"/>
      <c r="ERD52" s="539"/>
      <c r="ERE52" s="539"/>
      <c r="ERF52" s="539"/>
      <c r="ERG52" s="539"/>
      <c r="ERH52" s="539"/>
      <c r="ERI52" s="539"/>
      <c r="ERJ52" s="539"/>
      <c r="ERK52" s="539"/>
      <c r="ERL52" s="539"/>
      <c r="ERM52" s="539"/>
      <c r="ERN52" s="539"/>
      <c r="ERO52" s="539"/>
      <c r="ERP52" s="539"/>
      <c r="ERQ52" s="539"/>
      <c r="ERR52" s="539"/>
      <c r="ERS52" s="539"/>
      <c r="ERT52" s="539"/>
      <c r="ERU52" s="539"/>
      <c r="ERV52" s="539"/>
      <c r="ERW52" s="539"/>
      <c r="ERX52" s="539"/>
      <c r="ERY52" s="539"/>
      <c r="ERZ52" s="539"/>
      <c r="ESA52" s="539"/>
      <c r="ESB52" s="539"/>
      <c r="ESC52" s="539"/>
      <c r="ESD52" s="539"/>
      <c r="ESE52" s="539"/>
      <c r="ESF52" s="539"/>
      <c r="ESG52" s="539"/>
      <c r="ESH52" s="539"/>
      <c r="ESI52" s="539"/>
      <c r="ESJ52" s="539"/>
      <c r="ESK52" s="539"/>
      <c r="ESL52" s="539"/>
      <c r="ESM52" s="539"/>
      <c r="ESN52" s="539"/>
      <c r="ESO52" s="539"/>
      <c r="ESP52" s="539"/>
      <c r="ESQ52" s="539"/>
      <c r="ESR52" s="539"/>
      <c r="ESS52" s="539"/>
      <c r="EST52" s="539"/>
      <c r="ESU52" s="539"/>
      <c r="ESV52" s="539"/>
      <c r="ESW52" s="539"/>
      <c r="ESX52" s="539"/>
      <c r="ESY52" s="539"/>
      <c r="ESZ52" s="539"/>
      <c r="ETA52" s="539"/>
      <c r="ETB52" s="539"/>
      <c r="ETC52" s="539"/>
      <c r="ETD52" s="539"/>
      <c r="ETE52" s="539"/>
      <c r="ETF52" s="539"/>
      <c r="ETG52" s="539"/>
      <c r="ETH52" s="539"/>
      <c r="ETI52" s="539"/>
      <c r="ETJ52" s="539"/>
      <c r="ETK52" s="539"/>
      <c r="ETL52" s="539"/>
      <c r="ETM52" s="539"/>
      <c r="ETN52" s="539"/>
      <c r="ETO52" s="539"/>
      <c r="ETP52" s="539"/>
      <c r="ETQ52" s="539"/>
      <c r="ETR52" s="539"/>
      <c r="ETS52" s="539"/>
      <c r="ETT52" s="539"/>
      <c r="ETU52" s="539"/>
      <c r="ETV52" s="539"/>
      <c r="ETW52" s="539"/>
      <c r="ETX52" s="539"/>
      <c r="ETY52" s="539"/>
      <c r="ETZ52" s="539"/>
      <c r="EUA52" s="539"/>
      <c r="EUB52" s="539"/>
      <c r="EUC52" s="539"/>
      <c r="EUD52" s="539"/>
      <c r="EUE52" s="539"/>
      <c r="EUF52" s="539"/>
      <c r="EUG52" s="539"/>
      <c r="EUH52" s="539"/>
      <c r="EUI52" s="539"/>
      <c r="EUJ52" s="539"/>
      <c r="EUK52" s="539"/>
      <c r="EUL52" s="539"/>
      <c r="EUM52" s="539"/>
      <c r="EUN52" s="539"/>
      <c r="EUO52" s="539"/>
      <c r="EUP52" s="539"/>
      <c r="EUQ52" s="539"/>
      <c r="EUR52" s="539"/>
      <c r="EUS52" s="539"/>
      <c r="EUT52" s="539"/>
      <c r="EUU52" s="539"/>
      <c r="EUV52" s="539"/>
      <c r="EUW52" s="539"/>
      <c r="EUX52" s="539"/>
      <c r="EUY52" s="539"/>
      <c r="EUZ52" s="539"/>
      <c r="EVA52" s="539"/>
      <c r="EVB52" s="539"/>
      <c r="EVC52" s="539"/>
      <c r="EVD52" s="539"/>
      <c r="EVE52" s="539"/>
      <c r="EVF52" s="539"/>
      <c r="EVG52" s="539"/>
      <c r="EVH52" s="539"/>
      <c r="EVI52" s="539"/>
      <c r="EVJ52" s="539"/>
      <c r="EVK52" s="539"/>
      <c r="EVL52" s="539"/>
      <c r="EVM52" s="539"/>
      <c r="EVN52" s="539"/>
      <c r="EVO52" s="539"/>
      <c r="EVP52" s="539"/>
      <c r="EVQ52" s="539"/>
      <c r="EVR52" s="539"/>
      <c r="EVS52" s="539"/>
      <c r="EVT52" s="539"/>
      <c r="EVU52" s="539"/>
      <c r="EVV52" s="539"/>
      <c r="EVW52" s="539"/>
      <c r="EVX52" s="539"/>
      <c r="EVY52" s="539"/>
      <c r="EVZ52" s="539"/>
      <c r="EWA52" s="539"/>
      <c r="EWB52" s="539"/>
      <c r="EWC52" s="539"/>
      <c r="EWD52" s="539"/>
      <c r="EWE52" s="539"/>
      <c r="EWF52" s="539"/>
      <c r="EWG52" s="539"/>
      <c r="EWH52" s="539"/>
      <c r="EWI52" s="539"/>
      <c r="EWJ52" s="539"/>
      <c r="EWK52" s="539"/>
      <c r="EWL52" s="539"/>
      <c r="EWM52" s="539"/>
      <c r="EWN52" s="539"/>
      <c r="EWO52" s="539"/>
      <c r="EWP52" s="539"/>
      <c r="EWQ52" s="539"/>
      <c r="EWR52" s="539"/>
      <c r="EWS52" s="539"/>
      <c r="EWT52" s="539"/>
      <c r="EWU52" s="539"/>
      <c r="EWV52" s="539"/>
      <c r="EWW52" s="539"/>
      <c r="EWX52" s="539"/>
      <c r="EWY52" s="539"/>
      <c r="EWZ52" s="539"/>
      <c r="EXA52" s="539"/>
      <c r="EXB52" s="539"/>
      <c r="EXC52" s="539"/>
      <c r="EXD52" s="539"/>
      <c r="EXE52" s="539"/>
      <c r="EXF52" s="539"/>
      <c r="EXG52" s="539"/>
      <c r="EXH52" s="539"/>
      <c r="EXI52" s="539"/>
      <c r="EXJ52" s="539"/>
      <c r="EXK52" s="539"/>
      <c r="EXL52" s="539"/>
      <c r="EXM52" s="539"/>
      <c r="EXN52" s="539"/>
      <c r="EXO52" s="539"/>
      <c r="EXP52" s="539"/>
      <c r="EXQ52" s="539"/>
      <c r="EXR52" s="539"/>
      <c r="EXS52" s="539"/>
      <c r="EXT52" s="539"/>
      <c r="EXU52" s="539"/>
      <c r="EXV52" s="539"/>
      <c r="EXW52" s="539"/>
      <c r="EXX52" s="539"/>
      <c r="EXY52" s="539"/>
      <c r="EXZ52" s="539"/>
      <c r="EYA52" s="539"/>
      <c r="EYB52" s="539"/>
      <c r="EYC52" s="539"/>
      <c r="EYD52" s="539"/>
      <c r="EYE52" s="539"/>
      <c r="EYF52" s="539"/>
      <c r="EYG52" s="539"/>
      <c r="EYH52" s="539"/>
      <c r="EYI52" s="539"/>
      <c r="EYJ52" s="539"/>
      <c r="EYK52" s="539"/>
      <c r="EYL52" s="539"/>
      <c r="EYM52" s="539"/>
      <c r="EYN52" s="539"/>
      <c r="EYO52" s="539"/>
      <c r="EYP52" s="539"/>
      <c r="EYQ52" s="539"/>
      <c r="EYR52" s="539"/>
      <c r="EYS52" s="539"/>
      <c r="EYT52" s="539"/>
      <c r="EYU52" s="539"/>
      <c r="EYV52" s="539"/>
      <c r="EYW52" s="539"/>
      <c r="EYX52" s="539"/>
      <c r="EYY52" s="539"/>
      <c r="EYZ52" s="539"/>
      <c r="EZA52" s="539"/>
      <c r="EZB52" s="539"/>
      <c r="EZC52" s="539"/>
      <c r="EZD52" s="539"/>
      <c r="EZE52" s="539"/>
      <c r="EZF52" s="539"/>
      <c r="EZG52" s="539"/>
      <c r="EZH52" s="539"/>
      <c r="EZI52" s="539"/>
      <c r="EZJ52" s="539"/>
      <c r="EZK52" s="539"/>
      <c r="EZL52" s="539"/>
      <c r="EZM52" s="539"/>
      <c r="EZN52" s="539"/>
      <c r="EZO52" s="539"/>
      <c r="EZP52" s="539"/>
      <c r="EZQ52" s="539"/>
      <c r="EZR52" s="539"/>
      <c r="EZS52" s="539"/>
      <c r="EZT52" s="539"/>
      <c r="EZU52" s="539"/>
      <c r="EZV52" s="539"/>
      <c r="EZW52" s="539"/>
      <c r="EZX52" s="539"/>
      <c r="EZY52" s="539"/>
      <c r="EZZ52" s="539"/>
      <c r="FAA52" s="539"/>
      <c r="FAB52" s="539"/>
      <c r="FAC52" s="539"/>
      <c r="FAD52" s="539"/>
      <c r="FAE52" s="539"/>
      <c r="FAF52" s="539"/>
      <c r="FAG52" s="539"/>
      <c r="FAH52" s="539"/>
      <c r="FAI52" s="539"/>
      <c r="FAJ52" s="539"/>
      <c r="FAK52" s="539"/>
      <c r="FAL52" s="539"/>
      <c r="FAM52" s="539"/>
      <c r="FAN52" s="539"/>
      <c r="FAO52" s="539"/>
      <c r="FAP52" s="539"/>
      <c r="FAQ52" s="539"/>
      <c r="FAR52" s="539"/>
      <c r="FAS52" s="539"/>
      <c r="FAT52" s="539"/>
      <c r="FAU52" s="539"/>
      <c r="FAV52" s="539"/>
      <c r="FAW52" s="539"/>
      <c r="FAX52" s="539"/>
      <c r="FAY52" s="539"/>
      <c r="FAZ52" s="539"/>
      <c r="FBA52" s="539"/>
      <c r="FBB52" s="539"/>
      <c r="FBC52" s="539"/>
      <c r="FBD52" s="539"/>
      <c r="FBE52" s="539"/>
      <c r="FBF52" s="539"/>
      <c r="FBG52" s="539"/>
      <c r="FBH52" s="539"/>
      <c r="FBI52" s="539"/>
      <c r="FBJ52" s="539"/>
      <c r="FBK52" s="539"/>
      <c r="FBL52" s="539"/>
      <c r="FBM52" s="539"/>
      <c r="FBN52" s="539"/>
      <c r="FBO52" s="539"/>
      <c r="FBP52" s="539"/>
      <c r="FBQ52" s="539"/>
      <c r="FBR52" s="539"/>
      <c r="FBS52" s="539"/>
      <c r="FBT52" s="539"/>
      <c r="FBU52" s="539"/>
      <c r="FBV52" s="539"/>
      <c r="FBW52" s="539"/>
      <c r="FBX52" s="539"/>
      <c r="FBY52" s="539"/>
      <c r="FBZ52" s="539"/>
      <c r="FCA52" s="539"/>
      <c r="FCB52" s="539"/>
      <c r="FCC52" s="539"/>
      <c r="FCD52" s="539"/>
      <c r="FCE52" s="539"/>
      <c r="FCF52" s="539"/>
      <c r="FCG52" s="539"/>
      <c r="FCH52" s="539"/>
      <c r="FCI52" s="539"/>
      <c r="FCJ52" s="539"/>
      <c r="FCK52" s="539"/>
      <c r="FCL52" s="539"/>
      <c r="FCM52" s="539"/>
      <c r="FCN52" s="539"/>
      <c r="FCO52" s="539"/>
      <c r="FCP52" s="539"/>
      <c r="FCQ52" s="539"/>
      <c r="FCR52" s="539"/>
      <c r="FCS52" s="539"/>
      <c r="FCT52" s="539"/>
      <c r="FCU52" s="539"/>
      <c r="FCV52" s="539"/>
      <c r="FCW52" s="539"/>
      <c r="FCX52" s="539"/>
      <c r="FCY52" s="539"/>
      <c r="FCZ52" s="539"/>
      <c r="FDA52" s="539"/>
      <c r="FDB52" s="539"/>
      <c r="FDC52" s="539"/>
      <c r="FDD52" s="539"/>
      <c r="FDE52" s="539"/>
      <c r="FDF52" s="539"/>
      <c r="FDG52" s="539"/>
      <c r="FDH52" s="539"/>
      <c r="FDI52" s="539"/>
      <c r="FDJ52" s="539"/>
      <c r="FDK52" s="539"/>
      <c r="FDL52" s="539"/>
      <c r="FDM52" s="539"/>
      <c r="FDN52" s="539"/>
      <c r="FDO52" s="539"/>
      <c r="FDP52" s="539"/>
      <c r="FDQ52" s="539"/>
      <c r="FDR52" s="539"/>
      <c r="FDS52" s="539"/>
      <c r="FDT52" s="539"/>
      <c r="FDU52" s="539"/>
      <c r="FDV52" s="539"/>
      <c r="FDW52" s="539"/>
      <c r="FDX52" s="539"/>
      <c r="FDY52" s="539"/>
      <c r="FDZ52" s="539"/>
      <c r="FEA52" s="539"/>
      <c r="FEB52" s="539"/>
      <c r="FEC52" s="539"/>
      <c r="FED52" s="539"/>
      <c r="FEE52" s="539"/>
      <c r="FEF52" s="539"/>
      <c r="FEG52" s="539"/>
      <c r="FEH52" s="539"/>
      <c r="FEI52" s="539"/>
      <c r="FEJ52" s="539"/>
      <c r="FEK52" s="539"/>
      <c r="FEL52" s="539"/>
      <c r="FEM52" s="539"/>
      <c r="FEN52" s="539"/>
      <c r="FEO52" s="539"/>
      <c r="FEP52" s="539"/>
      <c r="FEQ52" s="539"/>
      <c r="FER52" s="539"/>
      <c r="FES52" s="539"/>
      <c r="FET52" s="539"/>
      <c r="FEU52" s="539"/>
      <c r="FEV52" s="539"/>
      <c r="FEW52" s="539"/>
      <c r="FEX52" s="539"/>
      <c r="FEY52" s="539"/>
      <c r="FEZ52" s="539"/>
      <c r="FFA52" s="539"/>
      <c r="FFB52" s="539"/>
      <c r="FFC52" s="539"/>
      <c r="FFD52" s="539"/>
      <c r="FFE52" s="539"/>
      <c r="FFF52" s="539"/>
      <c r="FFG52" s="539"/>
      <c r="FFH52" s="539"/>
      <c r="FFI52" s="539"/>
      <c r="FFJ52" s="539"/>
      <c r="FFK52" s="539"/>
      <c r="FFL52" s="539"/>
      <c r="FFM52" s="539"/>
      <c r="FFN52" s="539"/>
      <c r="FFO52" s="539"/>
      <c r="FFP52" s="539"/>
      <c r="FFQ52" s="539"/>
      <c r="FFR52" s="539"/>
      <c r="FFS52" s="539"/>
      <c r="FFT52" s="539"/>
      <c r="FFU52" s="539"/>
      <c r="FFV52" s="539"/>
      <c r="FFW52" s="539"/>
      <c r="FFX52" s="539"/>
      <c r="FFY52" s="539"/>
      <c r="FFZ52" s="539"/>
      <c r="FGA52" s="539"/>
      <c r="FGB52" s="539"/>
      <c r="FGC52" s="539"/>
      <c r="FGD52" s="539"/>
      <c r="FGE52" s="539"/>
      <c r="FGF52" s="539"/>
      <c r="FGG52" s="539"/>
      <c r="FGH52" s="539"/>
      <c r="FGI52" s="539"/>
      <c r="FGJ52" s="539"/>
      <c r="FGK52" s="539"/>
      <c r="FGL52" s="539"/>
      <c r="FGM52" s="539"/>
      <c r="FGN52" s="539"/>
      <c r="FGO52" s="539"/>
      <c r="FGP52" s="539"/>
      <c r="FGQ52" s="539"/>
      <c r="FGR52" s="539"/>
      <c r="FGS52" s="539"/>
      <c r="FGT52" s="539"/>
      <c r="FGU52" s="539"/>
      <c r="FGV52" s="539"/>
      <c r="FGW52" s="539"/>
      <c r="FGX52" s="539"/>
      <c r="FGY52" s="539"/>
      <c r="FGZ52" s="539"/>
      <c r="FHA52" s="539"/>
      <c r="FHB52" s="539"/>
      <c r="FHC52" s="539"/>
      <c r="FHD52" s="539"/>
      <c r="FHE52" s="539"/>
      <c r="FHF52" s="539"/>
      <c r="FHG52" s="539"/>
      <c r="FHH52" s="539"/>
      <c r="FHI52" s="539"/>
      <c r="FHJ52" s="539"/>
      <c r="FHK52" s="539"/>
      <c r="FHL52" s="539"/>
      <c r="FHM52" s="539"/>
      <c r="FHN52" s="539"/>
      <c r="FHO52" s="539"/>
      <c r="FHP52" s="539"/>
      <c r="FHQ52" s="539"/>
      <c r="FHR52" s="539"/>
      <c r="FHS52" s="539"/>
      <c r="FHT52" s="539"/>
      <c r="FHU52" s="539"/>
      <c r="FHV52" s="539"/>
      <c r="FHW52" s="539"/>
      <c r="FHX52" s="539"/>
      <c r="FHY52" s="539"/>
      <c r="FHZ52" s="539"/>
      <c r="FIA52" s="539"/>
      <c r="FIB52" s="539"/>
      <c r="FIC52" s="539"/>
      <c r="FID52" s="539"/>
      <c r="FIE52" s="539"/>
      <c r="FIF52" s="539"/>
      <c r="FIG52" s="539"/>
      <c r="FIH52" s="539"/>
      <c r="FII52" s="539"/>
      <c r="FIJ52" s="539"/>
      <c r="FIK52" s="539"/>
      <c r="FIL52" s="539"/>
      <c r="FIM52" s="539"/>
      <c r="FIN52" s="539"/>
      <c r="FIO52" s="539"/>
      <c r="FIP52" s="539"/>
      <c r="FIQ52" s="539"/>
      <c r="FIR52" s="539"/>
      <c r="FIS52" s="539"/>
      <c r="FIT52" s="539"/>
      <c r="FIU52" s="539"/>
      <c r="FIV52" s="539"/>
      <c r="FIW52" s="539"/>
      <c r="FIX52" s="539"/>
      <c r="FIY52" s="539"/>
      <c r="FIZ52" s="539"/>
      <c r="FJA52" s="539"/>
      <c r="FJB52" s="539"/>
      <c r="FJC52" s="539"/>
      <c r="FJD52" s="539"/>
      <c r="FJE52" s="539"/>
      <c r="FJF52" s="539"/>
      <c r="FJG52" s="539"/>
      <c r="FJH52" s="539"/>
      <c r="FJI52" s="539"/>
      <c r="FJJ52" s="539"/>
      <c r="FJK52" s="539"/>
      <c r="FJL52" s="539"/>
      <c r="FJM52" s="539"/>
      <c r="FJN52" s="539"/>
      <c r="FJO52" s="539"/>
      <c r="FJP52" s="539"/>
      <c r="FJQ52" s="539"/>
      <c r="FJR52" s="539"/>
      <c r="FJS52" s="539"/>
      <c r="FJT52" s="539"/>
      <c r="FJU52" s="539"/>
      <c r="FJV52" s="539"/>
      <c r="FJW52" s="539"/>
      <c r="FJX52" s="539"/>
      <c r="FJY52" s="539"/>
      <c r="FJZ52" s="539"/>
      <c r="FKA52" s="539"/>
      <c r="FKB52" s="539"/>
      <c r="FKC52" s="539"/>
      <c r="FKD52" s="539"/>
      <c r="FKE52" s="539"/>
      <c r="FKF52" s="539"/>
      <c r="FKG52" s="539"/>
      <c r="FKH52" s="539"/>
      <c r="FKI52" s="539"/>
      <c r="FKJ52" s="539"/>
      <c r="FKK52" s="539"/>
      <c r="FKL52" s="539"/>
      <c r="FKM52" s="539"/>
      <c r="FKN52" s="539"/>
      <c r="FKO52" s="539"/>
      <c r="FKP52" s="539"/>
      <c r="FKQ52" s="539"/>
      <c r="FKR52" s="539"/>
      <c r="FKS52" s="539"/>
      <c r="FKT52" s="539"/>
      <c r="FKU52" s="539"/>
      <c r="FKV52" s="539"/>
      <c r="FKW52" s="539"/>
      <c r="FKX52" s="539"/>
      <c r="FKY52" s="539"/>
      <c r="FKZ52" s="539"/>
      <c r="FLA52" s="539"/>
      <c r="FLB52" s="539"/>
      <c r="FLC52" s="539"/>
      <c r="FLD52" s="539"/>
      <c r="FLE52" s="539"/>
      <c r="FLF52" s="539"/>
      <c r="FLG52" s="539"/>
      <c r="FLH52" s="539"/>
      <c r="FLI52" s="539"/>
      <c r="FLJ52" s="539"/>
      <c r="FLK52" s="539"/>
      <c r="FLL52" s="539"/>
      <c r="FLM52" s="539"/>
      <c r="FLN52" s="539"/>
      <c r="FLO52" s="539"/>
      <c r="FLP52" s="539"/>
      <c r="FLQ52" s="539"/>
      <c r="FLR52" s="539"/>
      <c r="FLS52" s="539"/>
      <c r="FLT52" s="539"/>
      <c r="FLU52" s="539"/>
      <c r="FLV52" s="539"/>
      <c r="FLW52" s="539"/>
      <c r="FLX52" s="539"/>
      <c r="FLY52" s="539"/>
      <c r="FLZ52" s="539"/>
      <c r="FMA52" s="539"/>
      <c r="FMB52" s="539"/>
      <c r="FMC52" s="539"/>
      <c r="FMD52" s="539"/>
      <c r="FME52" s="539"/>
      <c r="FMF52" s="539"/>
      <c r="FMG52" s="539"/>
      <c r="FMH52" s="539"/>
      <c r="FMI52" s="539"/>
      <c r="FMJ52" s="539"/>
      <c r="FMK52" s="539"/>
      <c r="FML52" s="539"/>
      <c r="FMM52" s="539"/>
      <c r="FMN52" s="539"/>
      <c r="FMO52" s="539"/>
      <c r="FMP52" s="539"/>
      <c r="FMQ52" s="539"/>
      <c r="FMR52" s="539"/>
      <c r="FMS52" s="539"/>
      <c r="FMT52" s="539"/>
      <c r="FMU52" s="539"/>
      <c r="FMV52" s="539"/>
      <c r="FMW52" s="539"/>
      <c r="FMX52" s="539"/>
      <c r="FMY52" s="539"/>
      <c r="FMZ52" s="539"/>
      <c r="FNA52" s="539"/>
      <c r="FNB52" s="539"/>
      <c r="FNC52" s="539"/>
      <c r="FND52" s="539"/>
      <c r="FNE52" s="539"/>
      <c r="FNF52" s="539"/>
      <c r="FNG52" s="539"/>
      <c r="FNH52" s="539"/>
      <c r="FNI52" s="539"/>
      <c r="FNJ52" s="539"/>
      <c r="FNK52" s="539"/>
      <c r="FNL52" s="539"/>
      <c r="FNM52" s="539"/>
      <c r="FNN52" s="539"/>
      <c r="FNO52" s="539"/>
      <c r="FNP52" s="539"/>
      <c r="FNQ52" s="539"/>
      <c r="FNR52" s="539"/>
      <c r="FNS52" s="539"/>
      <c r="FNT52" s="539"/>
      <c r="FNU52" s="539"/>
      <c r="FNV52" s="539"/>
      <c r="FNW52" s="539"/>
      <c r="FNX52" s="539"/>
      <c r="FNY52" s="539"/>
      <c r="FNZ52" s="539"/>
      <c r="FOA52" s="539"/>
      <c r="FOB52" s="539"/>
      <c r="FOC52" s="539"/>
      <c r="FOD52" s="539"/>
      <c r="FOE52" s="539"/>
      <c r="FOF52" s="539"/>
      <c r="FOG52" s="539"/>
      <c r="FOH52" s="539"/>
      <c r="FOI52" s="539"/>
      <c r="FOJ52" s="539"/>
      <c r="FOK52" s="539"/>
      <c r="FOL52" s="539"/>
      <c r="FOM52" s="539"/>
      <c r="FON52" s="539"/>
      <c r="FOO52" s="539"/>
      <c r="FOP52" s="539"/>
      <c r="FOQ52" s="539"/>
      <c r="FOR52" s="539"/>
      <c r="FOS52" s="539"/>
      <c r="FOT52" s="539"/>
      <c r="FOU52" s="539"/>
      <c r="FOV52" s="539"/>
      <c r="FOW52" s="539"/>
      <c r="FOX52" s="539"/>
      <c r="FOY52" s="539"/>
      <c r="FOZ52" s="539"/>
      <c r="FPA52" s="539"/>
      <c r="FPB52" s="539"/>
      <c r="FPC52" s="539"/>
      <c r="FPD52" s="539"/>
      <c r="FPE52" s="539"/>
      <c r="FPF52" s="539"/>
      <c r="FPG52" s="539"/>
      <c r="FPH52" s="539"/>
      <c r="FPI52" s="539"/>
      <c r="FPJ52" s="539"/>
      <c r="FPK52" s="539"/>
      <c r="FPL52" s="539"/>
      <c r="FPM52" s="539"/>
      <c r="FPN52" s="539"/>
      <c r="FPO52" s="539"/>
      <c r="FPP52" s="539"/>
      <c r="FPQ52" s="539"/>
      <c r="FPR52" s="539"/>
      <c r="FPS52" s="539"/>
      <c r="FPT52" s="539"/>
      <c r="FPU52" s="539"/>
      <c r="FPV52" s="539"/>
      <c r="FPW52" s="539"/>
      <c r="FPX52" s="539"/>
      <c r="FPY52" s="539"/>
      <c r="FPZ52" s="539"/>
      <c r="FQA52" s="539"/>
      <c r="FQB52" s="539"/>
      <c r="FQC52" s="539"/>
      <c r="FQD52" s="539"/>
      <c r="FQE52" s="539"/>
      <c r="FQF52" s="539"/>
      <c r="FQG52" s="539"/>
      <c r="FQH52" s="539"/>
      <c r="FQI52" s="539"/>
      <c r="FQJ52" s="539"/>
      <c r="FQK52" s="539"/>
      <c r="FQL52" s="539"/>
      <c r="FQM52" s="539"/>
      <c r="FQN52" s="539"/>
      <c r="FQO52" s="539"/>
      <c r="FQP52" s="539"/>
      <c r="FQQ52" s="539"/>
      <c r="FQR52" s="539"/>
      <c r="FQS52" s="539"/>
      <c r="FQT52" s="539"/>
      <c r="FQU52" s="539"/>
      <c r="FQV52" s="539"/>
      <c r="FQW52" s="539"/>
      <c r="FQX52" s="539"/>
      <c r="FQY52" s="539"/>
      <c r="FQZ52" s="539"/>
      <c r="FRA52" s="539"/>
      <c r="FRB52" s="539"/>
      <c r="FRC52" s="539"/>
      <c r="FRD52" s="539"/>
      <c r="FRE52" s="539"/>
      <c r="FRF52" s="539"/>
      <c r="FRG52" s="539"/>
      <c r="FRH52" s="539"/>
      <c r="FRI52" s="539"/>
      <c r="FRJ52" s="539"/>
      <c r="FRK52" s="539"/>
      <c r="FRL52" s="539"/>
      <c r="FRM52" s="539"/>
      <c r="FRN52" s="539"/>
      <c r="FRO52" s="539"/>
      <c r="FRP52" s="539"/>
      <c r="FRQ52" s="539"/>
      <c r="FRR52" s="539"/>
      <c r="FRS52" s="539"/>
      <c r="FRT52" s="539"/>
      <c r="FRU52" s="539"/>
      <c r="FRV52" s="539"/>
      <c r="FRW52" s="539"/>
      <c r="FRX52" s="539"/>
      <c r="FRY52" s="539"/>
      <c r="FRZ52" s="539"/>
      <c r="FSA52" s="539"/>
      <c r="FSB52" s="539"/>
      <c r="FSC52" s="539"/>
      <c r="FSD52" s="539"/>
      <c r="FSE52" s="539"/>
      <c r="FSF52" s="539"/>
      <c r="FSG52" s="539"/>
      <c r="FSH52" s="539"/>
      <c r="FSI52" s="539"/>
      <c r="FSJ52" s="539"/>
      <c r="FSK52" s="539"/>
      <c r="FSL52" s="539"/>
      <c r="FSM52" s="539"/>
      <c r="FSN52" s="539"/>
      <c r="FSO52" s="539"/>
      <c r="FSP52" s="539"/>
      <c r="FSQ52" s="539"/>
      <c r="FSR52" s="539"/>
      <c r="FSS52" s="539"/>
      <c r="FST52" s="539"/>
      <c r="FSU52" s="539"/>
      <c r="FSV52" s="539"/>
      <c r="FSW52" s="539"/>
      <c r="FSX52" s="539"/>
      <c r="FSY52" s="539"/>
      <c r="FSZ52" s="539"/>
      <c r="FTA52" s="539"/>
      <c r="FTB52" s="539"/>
      <c r="FTC52" s="539"/>
      <c r="FTD52" s="539"/>
      <c r="FTE52" s="539"/>
      <c r="FTF52" s="539"/>
      <c r="FTG52" s="539"/>
      <c r="FTH52" s="539"/>
      <c r="FTI52" s="539"/>
      <c r="FTJ52" s="539"/>
      <c r="FTK52" s="539"/>
      <c r="FTL52" s="539"/>
      <c r="FTM52" s="539"/>
      <c r="FTN52" s="539"/>
      <c r="FTO52" s="539"/>
      <c r="FTP52" s="539"/>
      <c r="FTQ52" s="539"/>
      <c r="FTR52" s="539"/>
      <c r="FTS52" s="539"/>
      <c r="FTT52" s="539"/>
      <c r="FTU52" s="539"/>
      <c r="FTV52" s="539"/>
      <c r="FTW52" s="539"/>
      <c r="FTX52" s="539"/>
      <c r="FTY52" s="539"/>
      <c r="FTZ52" s="539"/>
      <c r="FUA52" s="539"/>
      <c r="FUB52" s="539"/>
      <c r="FUC52" s="539"/>
      <c r="FUD52" s="539"/>
      <c r="FUE52" s="539"/>
      <c r="FUF52" s="539"/>
      <c r="FUG52" s="539"/>
      <c r="FUH52" s="539"/>
      <c r="FUI52" s="539"/>
      <c r="FUJ52" s="539"/>
      <c r="FUK52" s="539"/>
      <c r="FUL52" s="539"/>
      <c r="FUM52" s="539"/>
      <c r="FUN52" s="539"/>
      <c r="FUO52" s="539"/>
      <c r="FUP52" s="539"/>
      <c r="FUQ52" s="539"/>
      <c r="FUR52" s="539"/>
      <c r="FUS52" s="539"/>
      <c r="FUT52" s="539"/>
      <c r="FUU52" s="539"/>
      <c r="FUV52" s="539"/>
      <c r="FUW52" s="539"/>
      <c r="FUX52" s="539"/>
      <c r="FUY52" s="539"/>
      <c r="FUZ52" s="539"/>
      <c r="FVA52" s="539"/>
      <c r="FVB52" s="539"/>
      <c r="FVC52" s="539"/>
      <c r="FVD52" s="539"/>
      <c r="FVE52" s="539"/>
      <c r="FVF52" s="539"/>
      <c r="FVG52" s="539"/>
      <c r="FVH52" s="539"/>
      <c r="FVI52" s="539"/>
      <c r="FVJ52" s="539"/>
      <c r="FVK52" s="539"/>
      <c r="FVL52" s="539"/>
      <c r="FVM52" s="539"/>
      <c r="FVN52" s="539"/>
      <c r="FVO52" s="539"/>
      <c r="FVP52" s="539"/>
      <c r="FVQ52" s="539"/>
      <c r="FVR52" s="539"/>
      <c r="FVS52" s="539"/>
      <c r="FVT52" s="539"/>
      <c r="FVU52" s="539"/>
      <c r="FVV52" s="539"/>
      <c r="FVW52" s="539"/>
      <c r="FVX52" s="539"/>
      <c r="FVY52" s="539"/>
      <c r="FVZ52" s="539"/>
      <c r="FWA52" s="539"/>
      <c r="FWB52" s="539"/>
      <c r="FWC52" s="539"/>
      <c r="FWD52" s="539"/>
      <c r="FWE52" s="539"/>
      <c r="FWF52" s="539"/>
      <c r="FWG52" s="539"/>
      <c r="FWH52" s="539"/>
      <c r="FWI52" s="539"/>
      <c r="FWJ52" s="539"/>
      <c r="FWK52" s="539"/>
      <c r="FWL52" s="539"/>
      <c r="FWM52" s="539"/>
      <c r="FWN52" s="539"/>
      <c r="FWO52" s="539"/>
      <c r="FWP52" s="539"/>
      <c r="FWQ52" s="539"/>
      <c r="FWR52" s="539"/>
      <c r="FWS52" s="539"/>
      <c r="FWT52" s="539"/>
      <c r="FWU52" s="539"/>
      <c r="FWV52" s="539"/>
      <c r="FWW52" s="539"/>
      <c r="FWX52" s="539"/>
      <c r="FWY52" s="539"/>
      <c r="FWZ52" s="539"/>
      <c r="FXA52" s="539"/>
      <c r="FXB52" s="539"/>
      <c r="FXC52" s="539"/>
      <c r="FXD52" s="539"/>
      <c r="FXE52" s="539"/>
      <c r="FXF52" s="539"/>
      <c r="FXG52" s="539"/>
      <c r="FXH52" s="539"/>
      <c r="FXI52" s="539"/>
      <c r="FXJ52" s="539"/>
      <c r="FXK52" s="539"/>
      <c r="FXL52" s="539"/>
      <c r="FXM52" s="539"/>
      <c r="FXN52" s="539"/>
      <c r="FXO52" s="539"/>
      <c r="FXP52" s="539"/>
      <c r="FXQ52" s="539"/>
      <c r="FXR52" s="539"/>
      <c r="FXS52" s="539"/>
      <c r="FXT52" s="539"/>
      <c r="FXU52" s="539"/>
      <c r="FXV52" s="539"/>
      <c r="FXW52" s="539"/>
      <c r="FXX52" s="539"/>
      <c r="FXY52" s="539"/>
      <c r="FXZ52" s="539"/>
      <c r="FYA52" s="539"/>
      <c r="FYB52" s="539"/>
      <c r="FYC52" s="539"/>
      <c r="FYD52" s="539"/>
      <c r="FYE52" s="539"/>
      <c r="FYF52" s="539"/>
      <c r="FYG52" s="539"/>
      <c r="FYH52" s="539"/>
      <c r="FYI52" s="539"/>
      <c r="FYJ52" s="539"/>
      <c r="FYK52" s="539"/>
      <c r="FYL52" s="539"/>
      <c r="FYM52" s="539"/>
      <c r="FYN52" s="539"/>
      <c r="FYO52" s="539"/>
      <c r="FYP52" s="539"/>
      <c r="FYQ52" s="539"/>
      <c r="FYR52" s="539"/>
      <c r="FYS52" s="539"/>
      <c r="FYT52" s="539"/>
      <c r="FYU52" s="539"/>
      <c r="FYV52" s="539"/>
      <c r="FYW52" s="539"/>
      <c r="FYX52" s="539"/>
      <c r="FYY52" s="539"/>
      <c r="FYZ52" s="539"/>
      <c r="FZA52" s="539"/>
      <c r="FZB52" s="539"/>
      <c r="FZC52" s="539"/>
      <c r="FZD52" s="539"/>
      <c r="FZE52" s="539"/>
      <c r="FZF52" s="539"/>
      <c r="FZG52" s="539"/>
      <c r="FZH52" s="539"/>
      <c r="FZI52" s="539"/>
      <c r="FZJ52" s="539"/>
      <c r="FZK52" s="539"/>
      <c r="FZL52" s="539"/>
      <c r="FZM52" s="539"/>
      <c r="FZN52" s="539"/>
      <c r="FZO52" s="539"/>
      <c r="FZP52" s="539"/>
      <c r="FZQ52" s="539"/>
      <c r="FZR52" s="539"/>
      <c r="FZS52" s="539"/>
      <c r="FZT52" s="539"/>
      <c r="FZU52" s="539"/>
      <c r="FZV52" s="539"/>
      <c r="FZW52" s="539"/>
      <c r="FZX52" s="539"/>
      <c r="FZY52" s="539"/>
      <c r="FZZ52" s="539"/>
      <c r="GAA52" s="539"/>
      <c r="GAB52" s="539"/>
      <c r="GAC52" s="539"/>
      <c r="GAD52" s="539"/>
      <c r="GAE52" s="539"/>
      <c r="GAF52" s="539"/>
      <c r="GAG52" s="539"/>
      <c r="GAH52" s="539"/>
      <c r="GAI52" s="539"/>
      <c r="GAJ52" s="539"/>
      <c r="GAK52" s="539"/>
      <c r="GAL52" s="539"/>
      <c r="GAM52" s="539"/>
      <c r="GAN52" s="539"/>
      <c r="GAO52" s="539"/>
      <c r="GAP52" s="539"/>
      <c r="GAQ52" s="539"/>
      <c r="GAR52" s="539"/>
      <c r="GAS52" s="539"/>
      <c r="GAT52" s="539"/>
      <c r="GAU52" s="539"/>
      <c r="GAV52" s="539"/>
      <c r="GAW52" s="539"/>
      <c r="GAX52" s="539"/>
      <c r="GAY52" s="539"/>
      <c r="GAZ52" s="539"/>
      <c r="GBA52" s="539"/>
      <c r="GBB52" s="539"/>
      <c r="GBC52" s="539"/>
      <c r="GBD52" s="539"/>
      <c r="GBE52" s="539"/>
      <c r="GBF52" s="539"/>
      <c r="GBG52" s="539"/>
      <c r="GBH52" s="539"/>
      <c r="GBI52" s="539"/>
      <c r="GBJ52" s="539"/>
      <c r="GBK52" s="539"/>
      <c r="GBL52" s="539"/>
      <c r="GBM52" s="539"/>
      <c r="GBN52" s="539"/>
      <c r="GBO52" s="539"/>
      <c r="GBP52" s="539"/>
      <c r="GBQ52" s="539"/>
      <c r="GBR52" s="539"/>
      <c r="GBS52" s="539"/>
      <c r="GBT52" s="539"/>
      <c r="GBU52" s="539"/>
      <c r="GBV52" s="539"/>
      <c r="GBW52" s="539"/>
      <c r="GBX52" s="539"/>
      <c r="GBY52" s="539"/>
      <c r="GBZ52" s="539"/>
      <c r="GCA52" s="539"/>
      <c r="GCB52" s="539"/>
      <c r="GCC52" s="539"/>
      <c r="GCD52" s="539"/>
      <c r="GCE52" s="539"/>
      <c r="GCF52" s="539"/>
      <c r="GCG52" s="539"/>
      <c r="GCH52" s="539"/>
      <c r="GCI52" s="539"/>
      <c r="GCJ52" s="539"/>
      <c r="GCK52" s="539"/>
      <c r="GCL52" s="539"/>
      <c r="GCM52" s="539"/>
      <c r="GCN52" s="539"/>
      <c r="GCO52" s="539"/>
      <c r="GCP52" s="539"/>
      <c r="GCQ52" s="539"/>
      <c r="GCR52" s="539"/>
      <c r="GCS52" s="539"/>
      <c r="GCT52" s="539"/>
      <c r="GCU52" s="539"/>
      <c r="GCV52" s="539"/>
      <c r="GCW52" s="539"/>
      <c r="GCX52" s="539"/>
      <c r="GCY52" s="539"/>
      <c r="GCZ52" s="539"/>
      <c r="GDA52" s="539"/>
      <c r="GDB52" s="539"/>
      <c r="GDC52" s="539"/>
      <c r="GDD52" s="539"/>
      <c r="GDE52" s="539"/>
      <c r="GDF52" s="539"/>
      <c r="GDG52" s="539"/>
      <c r="GDH52" s="539"/>
      <c r="GDI52" s="539"/>
      <c r="GDJ52" s="539"/>
      <c r="GDK52" s="539"/>
      <c r="GDL52" s="539"/>
      <c r="GDM52" s="539"/>
      <c r="GDN52" s="539"/>
      <c r="GDO52" s="539"/>
      <c r="GDP52" s="539"/>
      <c r="GDQ52" s="539"/>
      <c r="GDR52" s="539"/>
      <c r="GDS52" s="539"/>
      <c r="GDT52" s="539"/>
      <c r="GDU52" s="539"/>
      <c r="GDV52" s="539"/>
      <c r="GDW52" s="539"/>
      <c r="GDX52" s="539"/>
      <c r="GDY52" s="539"/>
      <c r="GDZ52" s="539"/>
      <c r="GEA52" s="539"/>
      <c r="GEB52" s="539"/>
      <c r="GEC52" s="539"/>
      <c r="GED52" s="539"/>
      <c r="GEE52" s="539"/>
      <c r="GEF52" s="539"/>
      <c r="GEG52" s="539"/>
      <c r="GEH52" s="539"/>
      <c r="GEI52" s="539"/>
      <c r="GEJ52" s="539"/>
      <c r="GEK52" s="539"/>
      <c r="GEL52" s="539"/>
      <c r="GEM52" s="539"/>
      <c r="GEN52" s="539"/>
      <c r="GEO52" s="539"/>
      <c r="GEP52" s="539"/>
      <c r="GEQ52" s="539"/>
      <c r="GER52" s="539"/>
      <c r="GES52" s="539"/>
      <c r="GET52" s="539"/>
      <c r="GEU52" s="539"/>
      <c r="GEV52" s="539"/>
      <c r="GEW52" s="539"/>
      <c r="GEX52" s="539"/>
      <c r="GEY52" s="539"/>
      <c r="GEZ52" s="539"/>
      <c r="GFA52" s="539"/>
      <c r="GFB52" s="539"/>
      <c r="GFC52" s="539"/>
      <c r="GFD52" s="539"/>
      <c r="GFE52" s="539"/>
      <c r="GFF52" s="539"/>
      <c r="GFG52" s="539"/>
      <c r="GFH52" s="539"/>
      <c r="GFI52" s="539"/>
      <c r="GFJ52" s="539"/>
      <c r="GFK52" s="539"/>
      <c r="GFL52" s="539"/>
      <c r="GFM52" s="539"/>
      <c r="GFN52" s="539"/>
      <c r="GFO52" s="539"/>
      <c r="GFP52" s="539"/>
      <c r="GFQ52" s="539"/>
      <c r="GFR52" s="539"/>
      <c r="GFS52" s="539"/>
      <c r="GFT52" s="539"/>
      <c r="GFU52" s="539"/>
      <c r="GFV52" s="539"/>
      <c r="GFW52" s="539"/>
      <c r="GFX52" s="539"/>
      <c r="GFY52" s="539"/>
      <c r="GFZ52" s="539"/>
      <c r="GGA52" s="539"/>
      <c r="GGB52" s="539"/>
      <c r="GGC52" s="539"/>
      <c r="GGD52" s="539"/>
      <c r="GGE52" s="539"/>
      <c r="GGF52" s="539"/>
      <c r="GGG52" s="539"/>
      <c r="GGH52" s="539"/>
      <c r="GGI52" s="539"/>
      <c r="GGJ52" s="539"/>
      <c r="GGK52" s="539"/>
      <c r="GGL52" s="539"/>
      <c r="GGM52" s="539"/>
      <c r="GGN52" s="539"/>
      <c r="GGO52" s="539"/>
      <c r="GGP52" s="539"/>
      <c r="GGQ52" s="539"/>
      <c r="GGR52" s="539"/>
      <c r="GGS52" s="539"/>
      <c r="GGT52" s="539"/>
      <c r="GGU52" s="539"/>
      <c r="GGV52" s="539"/>
      <c r="GGW52" s="539"/>
      <c r="GGX52" s="539"/>
      <c r="GGY52" s="539"/>
      <c r="GGZ52" s="539"/>
      <c r="GHA52" s="539"/>
      <c r="GHB52" s="539"/>
      <c r="GHC52" s="539"/>
      <c r="GHD52" s="539"/>
      <c r="GHE52" s="539"/>
      <c r="GHF52" s="539"/>
      <c r="GHG52" s="539"/>
      <c r="GHH52" s="539"/>
      <c r="GHI52" s="539"/>
      <c r="GHJ52" s="539"/>
      <c r="GHK52" s="539"/>
      <c r="GHL52" s="539"/>
      <c r="GHM52" s="539"/>
      <c r="GHN52" s="539"/>
      <c r="GHO52" s="539"/>
      <c r="GHP52" s="539"/>
      <c r="GHQ52" s="539"/>
      <c r="GHR52" s="539"/>
      <c r="GHS52" s="539"/>
      <c r="GHT52" s="539"/>
      <c r="GHU52" s="539"/>
      <c r="GHV52" s="539"/>
      <c r="GHW52" s="539"/>
      <c r="GHX52" s="539"/>
      <c r="GHY52" s="539"/>
      <c r="GHZ52" s="539"/>
      <c r="GIA52" s="539"/>
      <c r="GIB52" s="539"/>
      <c r="GIC52" s="539"/>
      <c r="GID52" s="539"/>
      <c r="GIE52" s="539"/>
      <c r="GIF52" s="539"/>
      <c r="GIG52" s="539"/>
      <c r="GIH52" s="539"/>
      <c r="GII52" s="539"/>
      <c r="GIJ52" s="539"/>
      <c r="GIK52" s="539"/>
      <c r="GIL52" s="539"/>
      <c r="GIM52" s="539"/>
      <c r="GIN52" s="539"/>
      <c r="GIO52" s="539"/>
      <c r="GIP52" s="539"/>
      <c r="GIQ52" s="539"/>
      <c r="GIR52" s="539"/>
      <c r="GIS52" s="539"/>
      <c r="GIT52" s="539"/>
      <c r="GIU52" s="539"/>
      <c r="GIV52" s="539"/>
      <c r="GIW52" s="539"/>
      <c r="GIX52" s="539"/>
      <c r="GIY52" s="539"/>
      <c r="GIZ52" s="539"/>
      <c r="GJA52" s="539"/>
      <c r="GJB52" s="539"/>
      <c r="GJC52" s="539"/>
      <c r="GJD52" s="539"/>
      <c r="GJE52" s="539"/>
      <c r="GJF52" s="539"/>
      <c r="GJG52" s="539"/>
      <c r="GJH52" s="539"/>
      <c r="GJI52" s="539"/>
      <c r="GJJ52" s="539"/>
      <c r="GJK52" s="539"/>
      <c r="GJL52" s="539"/>
      <c r="GJM52" s="539"/>
      <c r="GJN52" s="539"/>
      <c r="GJO52" s="539"/>
      <c r="GJP52" s="539"/>
      <c r="GJQ52" s="539"/>
      <c r="GJR52" s="539"/>
      <c r="GJS52" s="539"/>
      <c r="GJT52" s="539"/>
      <c r="GJU52" s="539"/>
      <c r="GJV52" s="539"/>
      <c r="GJW52" s="539"/>
      <c r="GJX52" s="539"/>
      <c r="GJY52" s="539"/>
      <c r="GJZ52" s="539"/>
      <c r="GKA52" s="539"/>
      <c r="GKB52" s="539"/>
      <c r="GKC52" s="539"/>
      <c r="GKD52" s="539"/>
      <c r="GKE52" s="539"/>
      <c r="GKF52" s="539"/>
      <c r="GKG52" s="539"/>
      <c r="GKH52" s="539"/>
      <c r="GKI52" s="539"/>
      <c r="GKJ52" s="539"/>
      <c r="GKK52" s="539"/>
      <c r="GKL52" s="539"/>
      <c r="GKM52" s="539"/>
      <c r="GKN52" s="539"/>
      <c r="GKO52" s="539"/>
      <c r="GKP52" s="539"/>
      <c r="GKQ52" s="539"/>
      <c r="GKR52" s="539"/>
      <c r="GKS52" s="539"/>
      <c r="GKT52" s="539"/>
      <c r="GKU52" s="539"/>
      <c r="GKV52" s="539"/>
      <c r="GKW52" s="539"/>
      <c r="GKX52" s="539"/>
      <c r="GKY52" s="539"/>
      <c r="GKZ52" s="539"/>
      <c r="GLA52" s="539"/>
      <c r="GLB52" s="539"/>
      <c r="GLC52" s="539"/>
      <c r="GLD52" s="539"/>
      <c r="GLE52" s="539"/>
      <c r="GLF52" s="539"/>
      <c r="GLG52" s="539"/>
      <c r="GLH52" s="539"/>
      <c r="GLI52" s="539"/>
      <c r="GLJ52" s="539"/>
      <c r="GLK52" s="539"/>
      <c r="GLL52" s="539"/>
      <c r="GLM52" s="539"/>
      <c r="GLN52" s="539"/>
      <c r="GLO52" s="539"/>
      <c r="GLP52" s="539"/>
      <c r="GLQ52" s="539"/>
      <c r="GLR52" s="539"/>
      <c r="GLS52" s="539"/>
      <c r="GLT52" s="539"/>
      <c r="GLU52" s="539"/>
      <c r="GLV52" s="539"/>
      <c r="GLW52" s="539"/>
      <c r="GLX52" s="539"/>
      <c r="GLY52" s="539"/>
      <c r="GLZ52" s="539"/>
      <c r="GMA52" s="539"/>
      <c r="GMB52" s="539"/>
      <c r="GMC52" s="539"/>
      <c r="GMD52" s="539"/>
      <c r="GME52" s="539"/>
      <c r="GMF52" s="539"/>
      <c r="GMG52" s="539"/>
      <c r="GMH52" s="539"/>
      <c r="GMI52" s="539"/>
      <c r="GMJ52" s="539"/>
      <c r="GMK52" s="539"/>
      <c r="GML52" s="539"/>
      <c r="GMM52" s="539"/>
      <c r="GMN52" s="539"/>
      <c r="GMO52" s="539"/>
      <c r="GMP52" s="539"/>
      <c r="GMQ52" s="539"/>
      <c r="GMR52" s="539"/>
      <c r="GMS52" s="539"/>
      <c r="GMT52" s="539"/>
      <c r="GMU52" s="539"/>
      <c r="GMV52" s="539"/>
      <c r="GMW52" s="539"/>
      <c r="GMX52" s="539"/>
      <c r="GMY52" s="539"/>
      <c r="GMZ52" s="539"/>
      <c r="GNA52" s="539"/>
      <c r="GNB52" s="539"/>
      <c r="GNC52" s="539"/>
      <c r="GND52" s="539"/>
      <c r="GNE52" s="539"/>
      <c r="GNF52" s="539"/>
      <c r="GNG52" s="539"/>
      <c r="GNH52" s="539"/>
      <c r="GNI52" s="539"/>
      <c r="GNJ52" s="539"/>
      <c r="GNK52" s="539"/>
      <c r="GNL52" s="539"/>
      <c r="GNM52" s="539"/>
      <c r="GNN52" s="539"/>
      <c r="GNO52" s="539"/>
      <c r="GNP52" s="539"/>
      <c r="GNQ52" s="539"/>
      <c r="GNR52" s="539"/>
      <c r="GNS52" s="539"/>
      <c r="GNT52" s="539"/>
      <c r="GNU52" s="539"/>
      <c r="GNV52" s="539"/>
      <c r="GNW52" s="539"/>
      <c r="GNX52" s="539"/>
      <c r="GNY52" s="539"/>
      <c r="GNZ52" s="539"/>
      <c r="GOA52" s="539"/>
      <c r="GOB52" s="539"/>
      <c r="GOC52" s="539"/>
      <c r="GOD52" s="539"/>
      <c r="GOE52" s="539"/>
      <c r="GOF52" s="539"/>
      <c r="GOG52" s="539"/>
      <c r="GOH52" s="539"/>
      <c r="GOI52" s="539"/>
      <c r="GOJ52" s="539"/>
      <c r="GOK52" s="539"/>
      <c r="GOL52" s="539"/>
      <c r="GOM52" s="539"/>
      <c r="GON52" s="539"/>
      <c r="GOO52" s="539"/>
      <c r="GOP52" s="539"/>
      <c r="GOQ52" s="539"/>
      <c r="GOR52" s="539"/>
      <c r="GOS52" s="539"/>
      <c r="GOT52" s="539"/>
      <c r="GOU52" s="539"/>
      <c r="GOV52" s="539"/>
      <c r="GOW52" s="539"/>
      <c r="GOX52" s="539"/>
      <c r="GOY52" s="539"/>
      <c r="GOZ52" s="539"/>
      <c r="GPA52" s="539"/>
      <c r="GPB52" s="539"/>
      <c r="GPC52" s="539"/>
      <c r="GPD52" s="539"/>
      <c r="GPE52" s="539"/>
      <c r="GPF52" s="539"/>
      <c r="GPG52" s="539"/>
      <c r="GPH52" s="539"/>
      <c r="GPI52" s="539"/>
      <c r="GPJ52" s="539"/>
      <c r="GPK52" s="539"/>
      <c r="GPL52" s="539"/>
      <c r="GPM52" s="539"/>
      <c r="GPN52" s="539"/>
      <c r="GPO52" s="539"/>
      <c r="GPP52" s="539"/>
      <c r="GPQ52" s="539"/>
      <c r="GPR52" s="539"/>
      <c r="GPS52" s="539"/>
      <c r="GPT52" s="539"/>
      <c r="GPU52" s="539"/>
      <c r="GPV52" s="539"/>
      <c r="GPW52" s="539"/>
      <c r="GPX52" s="539"/>
      <c r="GPY52" s="539"/>
      <c r="GPZ52" s="539"/>
      <c r="GQA52" s="539"/>
      <c r="GQB52" s="539"/>
      <c r="GQC52" s="539"/>
      <c r="GQD52" s="539"/>
      <c r="GQE52" s="539"/>
      <c r="GQF52" s="539"/>
      <c r="GQG52" s="539"/>
      <c r="GQH52" s="539"/>
      <c r="GQI52" s="539"/>
      <c r="GQJ52" s="539"/>
      <c r="GQK52" s="539"/>
      <c r="GQL52" s="539"/>
      <c r="GQM52" s="539"/>
      <c r="GQN52" s="539"/>
      <c r="GQO52" s="539"/>
      <c r="GQP52" s="539"/>
      <c r="GQQ52" s="539"/>
      <c r="GQR52" s="539"/>
      <c r="GQS52" s="539"/>
      <c r="GQT52" s="539"/>
      <c r="GQU52" s="539"/>
      <c r="GQV52" s="539"/>
      <c r="GQW52" s="539"/>
      <c r="GQX52" s="539"/>
      <c r="GQY52" s="539"/>
      <c r="GQZ52" s="539"/>
      <c r="GRA52" s="539"/>
      <c r="GRB52" s="539"/>
      <c r="GRC52" s="539"/>
      <c r="GRD52" s="539"/>
      <c r="GRE52" s="539"/>
      <c r="GRF52" s="539"/>
      <c r="GRG52" s="539"/>
      <c r="GRH52" s="539"/>
      <c r="GRI52" s="539"/>
      <c r="GRJ52" s="539"/>
      <c r="GRK52" s="539"/>
      <c r="GRL52" s="539"/>
      <c r="GRM52" s="539"/>
      <c r="GRN52" s="539"/>
      <c r="GRO52" s="539"/>
      <c r="GRP52" s="539"/>
      <c r="GRQ52" s="539"/>
      <c r="GRR52" s="539"/>
      <c r="GRS52" s="539"/>
      <c r="GRT52" s="539"/>
      <c r="GRU52" s="539"/>
      <c r="GRV52" s="539"/>
      <c r="GRW52" s="539"/>
      <c r="GRX52" s="539"/>
      <c r="GRY52" s="539"/>
      <c r="GRZ52" s="539"/>
      <c r="GSA52" s="539"/>
      <c r="GSB52" s="539"/>
      <c r="GSC52" s="539"/>
      <c r="GSD52" s="539"/>
      <c r="GSE52" s="539"/>
      <c r="GSF52" s="539"/>
      <c r="GSG52" s="539"/>
      <c r="GSH52" s="539"/>
      <c r="GSI52" s="539"/>
      <c r="GSJ52" s="539"/>
      <c r="GSK52" s="539"/>
      <c r="GSL52" s="539"/>
      <c r="GSM52" s="539"/>
      <c r="GSN52" s="539"/>
      <c r="GSO52" s="539"/>
      <c r="GSP52" s="539"/>
      <c r="GSQ52" s="539"/>
      <c r="GSR52" s="539"/>
      <c r="GSS52" s="539"/>
      <c r="GST52" s="539"/>
      <c r="GSU52" s="539"/>
      <c r="GSV52" s="539"/>
      <c r="GSW52" s="539"/>
      <c r="GSX52" s="539"/>
      <c r="GSY52" s="539"/>
      <c r="GSZ52" s="539"/>
      <c r="GTA52" s="539"/>
      <c r="GTB52" s="539"/>
      <c r="GTC52" s="539"/>
      <c r="GTD52" s="539"/>
      <c r="GTE52" s="539"/>
      <c r="GTF52" s="539"/>
      <c r="GTG52" s="539"/>
      <c r="GTH52" s="539"/>
      <c r="GTI52" s="539"/>
      <c r="GTJ52" s="539"/>
      <c r="GTK52" s="539"/>
      <c r="GTL52" s="539"/>
      <c r="GTM52" s="539"/>
      <c r="GTN52" s="539"/>
      <c r="GTO52" s="539"/>
      <c r="GTP52" s="539"/>
      <c r="GTQ52" s="539"/>
      <c r="GTR52" s="539"/>
      <c r="GTS52" s="539"/>
      <c r="GTT52" s="539"/>
      <c r="GTU52" s="539"/>
      <c r="GTV52" s="539"/>
      <c r="GTW52" s="539"/>
      <c r="GTX52" s="539"/>
      <c r="GTY52" s="539"/>
      <c r="GTZ52" s="539"/>
      <c r="GUA52" s="539"/>
      <c r="GUB52" s="539"/>
      <c r="GUC52" s="539"/>
      <c r="GUD52" s="539"/>
      <c r="GUE52" s="539"/>
      <c r="GUF52" s="539"/>
      <c r="GUG52" s="539"/>
      <c r="GUH52" s="539"/>
      <c r="GUI52" s="539"/>
      <c r="GUJ52" s="539"/>
      <c r="GUK52" s="539"/>
      <c r="GUL52" s="539"/>
      <c r="GUM52" s="539"/>
      <c r="GUN52" s="539"/>
      <c r="GUO52" s="539"/>
      <c r="GUP52" s="539"/>
      <c r="GUQ52" s="539"/>
      <c r="GUR52" s="539"/>
      <c r="GUS52" s="539"/>
      <c r="GUT52" s="539"/>
      <c r="GUU52" s="539"/>
      <c r="GUV52" s="539"/>
      <c r="GUW52" s="539"/>
      <c r="GUX52" s="539"/>
      <c r="GUY52" s="539"/>
      <c r="GUZ52" s="539"/>
      <c r="GVA52" s="539"/>
      <c r="GVB52" s="539"/>
      <c r="GVC52" s="539"/>
      <c r="GVD52" s="539"/>
      <c r="GVE52" s="539"/>
      <c r="GVF52" s="539"/>
      <c r="GVG52" s="539"/>
      <c r="GVH52" s="539"/>
      <c r="GVI52" s="539"/>
      <c r="GVJ52" s="539"/>
      <c r="GVK52" s="539"/>
      <c r="GVL52" s="539"/>
      <c r="GVM52" s="539"/>
      <c r="GVN52" s="539"/>
      <c r="GVO52" s="539"/>
      <c r="GVP52" s="539"/>
      <c r="GVQ52" s="539"/>
      <c r="GVR52" s="539"/>
      <c r="GVS52" s="539"/>
      <c r="GVT52" s="539"/>
      <c r="GVU52" s="539"/>
      <c r="GVV52" s="539"/>
      <c r="GVW52" s="539"/>
      <c r="GVX52" s="539"/>
      <c r="GVY52" s="539"/>
      <c r="GVZ52" s="539"/>
      <c r="GWA52" s="539"/>
      <c r="GWB52" s="539"/>
      <c r="GWC52" s="539"/>
      <c r="GWD52" s="539"/>
      <c r="GWE52" s="539"/>
      <c r="GWF52" s="539"/>
      <c r="GWG52" s="539"/>
      <c r="GWH52" s="539"/>
      <c r="GWI52" s="539"/>
      <c r="GWJ52" s="539"/>
      <c r="GWK52" s="539"/>
      <c r="GWL52" s="539"/>
      <c r="GWM52" s="539"/>
      <c r="GWN52" s="539"/>
      <c r="GWO52" s="539"/>
      <c r="GWP52" s="539"/>
      <c r="GWQ52" s="539"/>
      <c r="GWR52" s="539"/>
      <c r="GWS52" s="539"/>
      <c r="GWT52" s="539"/>
      <c r="GWU52" s="539"/>
      <c r="GWV52" s="539"/>
      <c r="GWW52" s="539"/>
      <c r="GWX52" s="539"/>
      <c r="GWY52" s="539"/>
      <c r="GWZ52" s="539"/>
      <c r="GXA52" s="539"/>
      <c r="GXB52" s="539"/>
      <c r="GXC52" s="539"/>
      <c r="GXD52" s="539"/>
      <c r="GXE52" s="539"/>
      <c r="GXF52" s="539"/>
      <c r="GXG52" s="539"/>
      <c r="GXH52" s="539"/>
      <c r="GXI52" s="539"/>
      <c r="GXJ52" s="539"/>
      <c r="GXK52" s="539"/>
      <c r="GXL52" s="539"/>
      <c r="GXM52" s="539"/>
      <c r="GXN52" s="539"/>
      <c r="GXO52" s="539"/>
      <c r="GXP52" s="539"/>
      <c r="GXQ52" s="539"/>
      <c r="GXR52" s="539"/>
      <c r="GXS52" s="539"/>
      <c r="GXT52" s="539"/>
      <c r="GXU52" s="539"/>
      <c r="GXV52" s="539"/>
      <c r="GXW52" s="539"/>
      <c r="GXX52" s="539"/>
      <c r="GXY52" s="539"/>
      <c r="GXZ52" s="539"/>
      <c r="GYA52" s="539"/>
      <c r="GYB52" s="539"/>
      <c r="GYC52" s="539"/>
      <c r="GYD52" s="539"/>
      <c r="GYE52" s="539"/>
      <c r="GYF52" s="539"/>
      <c r="GYG52" s="539"/>
      <c r="GYH52" s="539"/>
      <c r="GYI52" s="539"/>
      <c r="GYJ52" s="539"/>
      <c r="GYK52" s="539"/>
      <c r="GYL52" s="539"/>
      <c r="GYM52" s="539"/>
      <c r="GYN52" s="539"/>
      <c r="GYO52" s="539"/>
      <c r="GYP52" s="539"/>
      <c r="GYQ52" s="539"/>
      <c r="GYR52" s="539"/>
      <c r="GYS52" s="539"/>
      <c r="GYT52" s="539"/>
      <c r="GYU52" s="539"/>
      <c r="GYV52" s="539"/>
      <c r="GYW52" s="539"/>
      <c r="GYX52" s="539"/>
      <c r="GYY52" s="539"/>
      <c r="GYZ52" s="539"/>
      <c r="GZA52" s="539"/>
      <c r="GZB52" s="539"/>
      <c r="GZC52" s="539"/>
      <c r="GZD52" s="539"/>
      <c r="GZE52" s="539"/>
      <c r="GZF52" s="539"/>
      <c r="GZG52" s="539"/>
      <c r="GZH52" s="539"/>
      <c r="GZI52" s="539"/>
      <c r="GZJ52" s="539"/>
      <c r="GZK52" s="539"/>
      <c r="GZL52" s="539"/>
      <c r="GZM52" s="539"/>
      <c r="GZN52" s="539"/>
      <c r="GZO52" s="539"/>
      <c r="GZP52" s="539"/>
      <c r="GZQ52" s="539"/>
      <c r="GZR52" s="539"/>
      <c r="GZS52" s="539"/>
      <c r="GZT52" s="539"/>
      <c r="GZU52" s="539"/>
      <c r="GZV52" s="539"/>
      <c r="GZW52" s="539"/>
      <c r="GZX52" s="539"/>
      <c r="GZY52" s="539"/>
      <c r="GZZ52" s="539"/>
      <c r="HAA52" s="539"/>
      <c r="HAB52" s="539"/>
      <c r="HAC52" s="539"/>
      <c r="HAD52" s="539"/>
      <c r="HAE52" s="539"/>
      <c r="HAF52" s="539"/>
      <c r="HAG52" s="539"/>
      <c r="HAH52" s="539"/>
      <c r="HAI52" s="539"/>
      <c r="HAJ52" s="539"/>
      <c r="HAK52" s="539"/>
      <c r="HAL52" s="539"/>
      <c r="HAM52" s="539"/>
      <c r="HAN52" s="539"/>
      <c r="HAO52" s="539"/>
      <c r="HAP52" s="539"/>
      <c r="HAQ52" s="539"/>
      <c r="HAR52" s="539"/>
      <c r="HAS52" s="539"/>
      <c r="HAT52" s="539"/>
      <c r="HAU52" s="539"/>
      <c r="HAV52" s="539"/>
      <c r="HAW52" s="539"/>
      <c r="HAX52" s="539"/>
      <c r="HAY52" s="539"/>
      <c r="HAZ52" s="539"/>
      <c r="HBA52" s="539"/>
      <c r="HBB52" s="539"/>
      <c r="HBC52" s="539"/>
      <c r="HBD52" s="539"/>
      <c r="HBE52" s="539"/>
      <c r="HBF52" s="539"/>
      <c r="HBG52" s="539"/>
      <c r="HBH52" s="539"/>
      <c r="HBI52" s="539"/>
      <c r="HBJ52" s="539"/>
      <c r="HBK52" s="539"/>
      <c r="HBL52" s="539"/>
      <c r="HBM52" s="539"/>
      <c r="HBN52" s="539"/>
      <c r="HBO52" s="539"/>
      <c r="HBP52" s="539"/>
      <c r="HBQ52" s="539"/>
      <c r="HBR52" s="539"/>
      <c r="HBS52" s="539"/>
      <c r="HBT52" s="539"/>
      <c r="HBU52" s="539"/>
      <c r="HBV52" s="539"/>
      <c r="HBW52" s="539"/>
      <c r="HBX52" s="539"/>
      <c r="HBY52" s="539"/>
      <c r="HBZ52" s="539"/>
      <c r="HCA52" s="539"/>
      <c r="HCB52" s="539"/>
      <c r="HCC52" s="539"/>
      <c r="HCD52" s="539"/>
      <c r="HCE52" s="539"/>
      <c r="HCF52" s="539"/>
      <c r="HCG52" s="539"/>
      <c r="HCH52" s="539"/>
      <c r="HCI52" s="539"/>
      <c r="HCJ52" s="539"/>
      <c r="HCK52" s="539"/>
      <c r="HCL52" s="539"/>
      <c r="HCM52" s="539"/>
      <c r="HCN52" s="539"/>
      <c r="HCO52" s="539"/>
      <c r="HCP52" s="539"/>
      <c r="HCQ52" s="539"/>
      <c r="HCR52" s="539"/>
      <c r="HCS52" s="539"/>
      <c r="HCT52" s="539"/>
      <c r="HCU52" s="539"/>
      <c r="HCV52" s="539"/>
      <c r="HCW52" s="539"/>
      <c r="HCX52" s="539"/>
      <c r="HCY52" s="539"/>
      <c r="HCZ52" s="539"/>
      <c r="HDA52" s="539"/>
      <c r="HDB52" s="539"/>
      <c r="HDC52" s="539"/>
      <c r="HDD52" s="539"/>
      <c r="HDE52" s="539"/>
      <c r="HDF52" s="539"/>
      <c r="HDG52" s="539"/>
      <c r="HDH52" s="539"/>
      <c r="HDI52" s="539"/>
      <c r="HDJ52" s="539"/>
      <c r="HDK52" s="539"/>
      <c r="HDL52" s="539"/>
      <c r="HDM52" s="539"/>
      <c r="HDN52" s="539"/>
      <c r="HDO52" s="539"/>
      <c r="HDP52" s="539"/>
      <c r="HDQ52" s="539"/>
      <c r="HDR52" s="539"/>
      <c r="HDS52" s="539"/>
      <c r="HDT52" s="539"/>
      <c r="HDU52" s="539"/>
      <c r="HDV52" s="539"/>
      <c r="HDW52" s="539"/>
      <c r="HDX52" s="539"/>
      <c r="HDY52" s="539"/>
      <c r="HDZ52" s="539"/>
      <c r="HEA52" s="539"/>
      <c r="HEB52" s="539"/>
      <c r="HEC52" s="539"/>
      <c r="HED52" s="539"/>
      <c r="HEE52" s="539"/>
      <c r="HEF52" s="539"/>
      <c r="HEG52" s="539"/>
      <c r="HEH52" s="539"/>
      <c r="HEI52" s="539"/>
      <c r="HEJ52" s="539"/>
      <c r="HEK52" s="539"/>
      <c r="HEL52" s="539"/>
      <c r="HEM52" s="539"/>
      <c r="HEN52" s="539"/>
      <c r="HEO52" s="539"/>
      <c r="HEP52" s="539"/>
      <c r="HEQ52" s="539"/>
      <c r="HER52" s="539"/>
      <c r="HES52" s="539"/>
      <c r="HET52" s="539"/>
      <c r="HEU52" s="539"/>
      <c r="HEV52" s="539"/>
      <c r="HEW52" s="539"/>
      <c r="HEX52" s="539"/>
      <c r="HEY52" s="539"/>
      <c r="HEZ52" s="539"/>
      <c r="HFA52" s="539"/>
      <c r="HFB52" s="539"/>
      <c r="HFC52" s="539"/>
      <c r="HFD52" s="539"/>
      <c r="HFE52" s="539"/>
      <c r="HFF52" s="539"/>
      <c r="HFG52" s="539"/>
      <c r="HFH52" s="539"/>
      <c r="HFI52" s="539"/>
      <c r="HFJ52" s="539"/>
      <c r="HFK52" s="539"/>
      <c r="HFL52" s="539"/>
      <c r="HFM52" s="539"/>
      <c r="HFN52" s="539"/>
      <c r="HFO52" s="539"/>
      <c r="HFP52" s="539"/>
      <c r="HFQ52" s="539"/>
      <c r="HFR52" s="539"/>
      <c r="HFS52" s="539"/>
      <c r="HFT52" s="539"/>
      <c r="HFU52" s="539"/>
      <c r="HFV52" s="539"/>
      <c r="HFW52" s="539"/>
      <c r="HFX52" s="539"/>
      <c r="HFY52" s="539"/>
      <c r="HFZ52" s="539"/>
      <c r="HGA52" s="539"/>
      <c r="HGB52" s="539"/>
      <c r="HGC52" s="539"/>
      <c r="HGD52" s="539"/>
      <c r="HGE52" s="539"/>
      <c r="HGF52" s="539"/>
      <c r="HGG52" s="539"/>
      <c r="HGH52" s="539"/>
      <c r="HGI52" s="539"/>
      <c r="HGJ52" s="539"/>
      <c r="HGK52" s="539"/>
      <c r="HGL52" s="539"/>
      <c r="HGM52" s="539"/>
      <c r="HGN52" s="539"/>
      <c r="HGO52" s="539"/>
      <c r="HGP52" s="539"/>
      <c r="HGQ52" s="539"/>
      <c r="HGR52" s="539"/>
      <c r="HGS52" s="539"/>
      <c r="HGT52" s="539"/>
      <c r="HGU52" s="539"/>
      <c r="HGV52" s="539"/>
      <c r="HGW52" s="539"/>
      <c r="HGX52" s="539"/>
      <c r="HGY52" s="539"/>
      <c r="HGZ52" s="539"/>
      <c r="HHA52" s="539"/>
      <c r="HHB52" s="539"/>
      <c r="HHC52" s="539"/>
      <c r="HHD52" s="539"/>
      <c r="HHE52" s="539"/>
      <c r="HHF52" s="539"/>
      <c r="HHG52" s="539"/>
      <c r="HHH52" s="539"/>
      <c r="HHI52" s="539"/>
      <c r="HHJ52" s="539"/>
      <c r="HHK52" s="539"/>
      <c r="HHL52" s="539"/>
      <c r="HHM52" s="539"/>
      <c r="HHN52" s="539"/>
      <c r="HHO52" s="539"/>
      <c r="HHP52" s="539"/>
      <c r="HHQ52" s="539"/>
      <c r="HHR52" s="539"/>
      <c r="HHS52" s="539"/>
      <c r="HHT52" s="539"/>
      <c r="HHU52" s="539"/>
      <c r="HHV52" s="539"/>
      <c r="HHW52" s="539"/>
      <c r="HHX52" s="539"/>
      <c r="HHY52" s="539"/>
      <c r="HHZ52" s="539"/>
      <c r="HIA52" s="539"/>
      <c r="HIB52" s="539"/>
      <c r="HIC52" s="539"/>
      <c r="HID52" s="539"/>
      <c r="HIE52" s="539"/>
      <c r="HIF52" s="539"/>
      <c r="HIG52" s="539"/>
      <c r="HIH52" s="539"/>
      <c r="HII52" s="539"/>
      <c r="HIJ52" s="539"/>
      <c r="HIK52" s="539"/>
      <c r="HIL52" s="539"/>
      <c r="HIM52" s="539"/>
      <c r="HIN52" s="539"/>
      <c r="HIO52" s="539"/>
      <c r="HIP52" s="539"/>
      <c r="HIQ52" s="539"/>
      <c r="HIR52" s="539"/>
      <c r="HIS52" s="539"/>
      <c r="HIT52" s="539"/>
      <c r="HIU52" s="539"/>
      <c r="HIV52" s="539"/>
      <c r="HIW52" s="539"/>
      <c r="HIX52" s="539"/>
      <c r="HIY52" s="539"/>
      <c r="HIZ52" s="539"/>
      <c r="HJA52" s="539"/>
      <c r="HJB52" s="539"/>
      <c r="HJC52" s="539"/>
      <c r="HJD52" s="539"/>
      <c r="HJE52" s="539"/>
      <c r="HJF52" s="539"/>
      <c r="HJG52" s="539"/>
      <c r="HJH52" s="539"/>
      <c r="HJI52" s="539"/>
      <c r="HJJ52" s="539"/>
      <c r="HJK52" s="539"/>
      <c r="HJL52" s="539"/>
      <c r="HJM52" s="539"/>
      <c r="HJN52" s="539"/>
      <c r="HJO52" s="539"/>
      <c r="HJP52" s="539"/>
      <c r="HJQ52" s="539"/>
      <c r="HJR52" s="539"/>
      <c r="HJS52" s="539"/>
      <c r="HJT52" s="539"/>
      <c r="HJU52" s="539"/>
      <c r="HJV52" s="539"/>
      <c r="HJW52" s="539"/>
      <c r="HJX52" s="539"/>
      <c r="HJY52" s="539"/>
      <c r="HJZ52" s="539"/>
      <c r="HKA52" s="539"/>
      <c r="HKB52" s="539"/>
      <c r="HKC52" s="539"/>
      <c r="HKD52" s="539"/>
      <c r="HKE52" s="539"/>
      <c r="HKF52" s="539"/>
      <c r="HKG52" s="539"/>
      <c r="HKH52" s="539"/>
      <c r="HKI52" s="539"/>
      <c r="HKJ52" s="539"/>
      <c r="HKK52" s="539"/>
      <c r="HKL52" s="539"/>
      <c r="HKM52" s="539"/>
      <c r="HKN52" s="539"/>
      <c r="HKO52" s="539"/>
      <c r="HKP52" s="539"/>
      <c r="HKQ52" s="539"/>
      <c r="HKR52" s="539"/>
      <c r="HKS52" s="539"/>
      <c r="HKT52" s="539"/>
      <c r="HKU52" s="539"/>
      <c r="HKV52" s="539"/>
      <c r="HKW52" s="539"/>
      <c r="HKX52" s="539"/>
      <c r="HKY52" s="539"/>
      <c r="HKZ52" s="539"/>
      <c r="HLA52" s="539"/>
      <c r="HLB52" s="539"/>
      <c r="HLC52" s="539"/>
      <c r="HLD52" s="539"/>
      <c r="HLE52" s="539"/>
      <c r="HLF52" s="539"/>
      <c r="HLG52" s="539"/>
      <c r="HLH52" s="539"/>
      <c r="HLI52" s="539"/>
      <c r="HLJ52" s="539"/>
      <c r="HLK52" s="539"/>
      <c r="HLL52" s="539"/>
      <c r="HLM52" s="539"/>
      <c r="HLN52" s="539"/>
      <c r="HLO52" s="539"/>
      <c r="HLP52" s="539"/>
      <c r="HLQ52" s="539"/>
      <c r="HLR52" s="539"/>
      <c r="HLS52" s="539"/>
      <c r="HLT52" s="539"/>
      <c r="HLU52" s="539"/>
      <c r="HLV52" s="539"/>
      <c r="HLW52" s="539"/>
      <c r="HLX52" s="539"/>
      <c r="HLY52" s="539"/>
      <c r="HLZ52" s="539"/>
      <c r="HMA52" s="539"/>
      <c r="HMB52" s="539"/>
      <c r="HMC52" s="539"/>
      <c r="HMD52" s="539"/>
      <c r="HME52" s="539"/>
      <c r="HMF52" s="539"/>
      <c r="HMG52" s="539"/>
      <c r="HMH52" s="539"/>
      <c r="HMI52" s="539"/>
      <c r="HMJ52" s="539"/>
      <c r="HMK52" s="539"/>
      <c r="HML52" s="539"/>
      <c r="HMM52" s="539"/>
      <c r="HMN52" s="539"/>
      <c r="HMO52" s="539"/>
      <c r="HMP52" s="539"/>
      <c r="HMQ52" s="539"/>
      <c r="HMR52" s="539"/>
      <c r="HMS52" s="539"/>
      <c r="HMT52" s="539"/>
      <c r="HMU52" s="539"/>
      <c r="HMV52" s="539"/>
      <c r="HMW52" s="539"/>
      <c r="HMX52" s="539"/>
      <c r="HMY52" s="539"/>
      <c r="HMZ52" s="539"/>
      <c r="HNA52" s="539"/>
      <c r="HNB52" s="539"/>
      <c r="HNC52" s="539"/>
      <c r="HND52" s="539"/>
      <c r="HNE52" s="539"/>
      <c r="HNF52" s="539"/>
      <c r="HNG52" s="539"/>
      <c r="HNH52" s="539"/>
      <c r="HNI52" s="539"/>
      <c r="HNJ52" s="539"/>
      <c r="HNK52" s="539"/>
      <c r="HNL52" s="539"/>
      <c r="HNM52" s="539"/>
      <c r="HNN52" s="539"/>
      <c r="HNO52" s="539"/>
      <c r="HNP52" s="539"/>
      <c r="HNQ52" s="539"/>
      <c r="HNR52" s="539"/>
      <c r="HNS52" s="539"/>
      <c r="HNT52" s="539"/>
      <c r="HNU52" s="539"/>
      <c r="HNV52" s="539"/>
      <c r="HNW52" s="539"/>
      <c r="HNX52" s="539"/>
      <c r="HNY52" s="539"/>
      <c r="HNZ52" s="539"/>
      <c r="HOA52" s="539"/>
      <c r="HOB52" s="539"/>
      <c r="HOC52" s="539"/>
      <c r="HOD52" s="539"/>
      <c r="HOE52" s="539"/>
      <c r="HOF52" s="539"/>
      <c r="HOG52" s="539"/>
      <c r="HOH52" s="539"/>
      <c r="HOI52" s="539"/>
      <c r="HOJ52" s="539"/>
      <c r="HOK52" s="539"/>
      <c r="HOL52" s="539"/>
      <c r="HOM52" s="539"/>
      <c r="HON52" s="539"/>
      <c r="HOO52" s="539"/>
      <c r="HOP52" s="539"/>
      <c r="HOQ52" s="539"/>
      <c r="HOR52" s="539"/>
      <c r="HOS52" s="539"/>
      <c r="HOT52" s="539"/>
      <c r="HOU52" s="539"/>
      <c r="HOV52" s="539"/>
      <c r="HOW52" s="539"/>
      <c r="HOX52" s="539"/>
      <c r="HOY52" s="539"/>
      <c r="HOZ52" s="539"/>
      <c r="HPA52" s="539"/>
      <c r="HPB52" s="539"/>
      <c r="HPC52" s="539"/>
      <c r="HPD52" s="539"/>
      <c r="HPE52" s="539"/>
      <c r="HPF52" s="539"/>
      <c r="HPG52" s="539"/>
      <c r="HPH52" s="539"/>
      <c r="HPI52" s="539"/>
      <c r="HPJ52" s="539"/>
      <c r="HPK52" s="539"/>
      <c r="HPL52" s="539"/>
      <c r="HPM52" s="539"/>
      <c r="HPN52" s="539"/>
      <c r="HPO52" s="539"/>
      <c r="HPP52" s="539"/>
      <c r="HPQ52" s="539"/>
      <c r="HPR52" s="539"/>
      <c r="HPS52" s="539"/>
      <c r="HPT52" s="539"/>
      <c r="HPU52" s="539"/>
      <c r="HPV52" s="539"/>
      <c r="HPW52" s="539"/>
      <c r="HPX52" s="539"/>
      <c r="HPY52" s="539"/>
      <c r="HPZ52" s="539"/>
      <c r="HQA52" s="539"/>
      <c r="HQB52" s="539"/>
      <c r="HQC52" s="539"/>
      <c r="HQD52" s="539"/>
      <c r="HQE52" s="539"/>
      <c r="HQF52" s="539"/>
      <c r="HQG52" s="539"/>
      <c r="HQH52" s="539"/>
      <c r="HQI52" s="539"/>
      <c r="HQJ52" s="539"/>
      <c r="HQK52" s="539"/>
      <c r="HQL52" s="539"/>
      <c r="HQM52" s="539"/>
      <c r="HQN52" s="539"/>
      <c r="HQO52" s="539"/>
      <c r="HQP52" s="539"/>
      <c r="HQQ52" s="539"/>
      <c r="HQR52" s="539"/>
      <c r="HQS52" s="539"/>
      <c r="HQT52" s="539"/>
      <c r="HQU52" s="539"/>
      <c r="HQV52" s="539"/>
      <c r="HQW52" s="539"/>
      <c r="HQX52" s="539"/>
      <c r="HQY52" s="539"/>
      <c r="HQZ52" s="539"/>
      <c r="HRA52" s="539"/>
      <c r="HRB52" s="539"/>
      <c r="HRC52" s="539"/>
      <c r="HRD52" s="539"/>
      <c r="HRE52" s="539"/>
      <c r="HRF52" s="539"/>
      <c r="HRG52" s="539"/>
      <c r="HRH52" s="539"/>
      <c r="HRI52" s="539"/>
      <c r="HRJ52" s="539"/>
      <c r="HRK52" s="539"/>
      <c r="HRL52" s="539"/>
      <c r="HRM52" s="539"/>
      <c r="HRN52" s="539"/>
      <c r="HRO52" s="539"/>
      <c r="HRP52" s="539"/>
      <c r="HRQ52" s="539"/>
      <c r="HRR52" s="539"/>
      <c r="HRS52" s="539"/>
      <c r="HRT52" s="539"/>
      <c r="HRU52" s="539"/>
      <c r="HRV52" s="539"/>
      <c r="HRW52" s="539"/>
      <c r="HRX52" s="539"/>
      <c r="HRY52" s="539"/>
      <c r="HRZ52" s="539"/>
      <c r="HSA52" s="539"/>
      <c r="HSB52" s="539"/>
      <c r="HSC52" s="539"/>
      <c r="HSD52" s="539"/>
      <c r="HSE52" s="539"/>
      <c r="HSF52" s="539"/>
      <c r="HSG52" s="539"/>
      <c r="HSH52" s="539"/>
      <c r="HSI52" s="539"/>
      <c r="HSJ52" s="539"/>
      <c r="HSK52" s="539"/>
      <c r="HSL52" s="539"/>
      <c r="HSM52" s="539"/>
      <c r="HSN52" s="539"/>
      <c r="HSO52" s="539"/>
      <c r="HSP52" s="539"/>
      <c r="HSQ52" s="539"/>
      <c r="HSR52" s="539"/>
      <c r="HSS52" s="539"/>
      <c r="HST52" s="539"/>
      <c r="HSU52" s="539"/>
      <c r="HSV52" s="539"/>
      <c r="HSW52" s="539"/>
      <c r="HSX52" s="539"/>
      <c r="HSY52" s="539"/>
      <c r="HSZ52" s="539"/>
      <c r="HTA52" s="539"/>
      <c r="HTB52" s="539"/>
      <c r="HTC52" s="539"/>
      <c r="HTD52" s="539"/>
      <c r="HTE52" s="539"/>
      <c r="HTF52" s="539"/>
      <c r="HTG52" s="539"/>
      <c r="HTH52" s="539"/>
      <c r="HTI52" s="539"/>
      <c r="HTJ52" s="539"/>
      <c r="HTK52" s="539"/>
      <c r="HTL52" s="539"/>
      <c r="HTM52" s="539"/>
      <c r="HTN52" s="539"/>
      <c r="HTO52" s="539"/>
      <c r="HTP52" s="539"/>
      <c r="HTQ52" s="539"/>
      <c r="HTR52" s="539"/>
      <c r="HTS52" s="539"/>
      <c r="HTT52" s="539"/>
      <c r="HTU52" s="539"/>
      <c r="HTV52" s="539"/>
      <c r="HTW52" s="539"/>
      <c r="HTX52" s="539"/>
      <c r="HTY52" s="539"/>
      <c r="HTZ52" s="539"/>
      <c r="HUA52" s="539"/>
      <c r="HUB52" s="539"/>
      <c r="HUC52" s="539"/>
      <c r="HUD52" s="539"/>
      <c r="HUE52" s="539"/>
      <c r="HUF52" s="539"/>
      <c r="HUG52" s="539"/>
      <c r="HUH52" s="539"/>
      <c r="HUI52" s="539"/>
      <c r="HUJ52" s="539"/>
      <c r="HUK52" s="539"/>
      <c r="HUL52" s="539"/>
      <c r="HUM52" s="539"/>
      <c r="HUN52" s="539"/>
      <c r="HUO52" s="539"/>
      <c r="HUP52" s="539"/>
      <c r="HUQ52" s="539"/>
      <c r="HUR52" s="539"/>
      <c r="HUS52" s="539"/>
      <c r="HUT52" s="539"/>
      <c r="HUU52" s="539"/>
      <c r="HUV52" s="539"/>
      <c r="HUW52" s="539"/>
      <c r="HUX52" s="539"/>
      <c r="HUY52" s="539"/>
      <c r="HUZ52" s="539"/>
      <c r="HVA52" s="539"/>
      <c r="HVB52" s="539"/>
      <c r="HVC52" s="539"/>
      <c r="HVD52" s="539"/>
      <c r="HVE52" s="539"/>
      <c r="HVF52" s="539"/>
      <c r="HVG52" s="539"/>
      <c r="HVH52" s="539"/>
      <c r="HVI52" s="539"/>
      <c r="HVJ52" s="539"/>
      <c r="HVK52" s="539"/>
      <c r="HVL52" s="539"/>
      <c r="HVM52" s="539"/>
      <c r="HVN52" s="539"/>
      <c r="HVO52" s="539"/>
      <c r="HVP52" s="539"/>
      <c r="HVQ52" s="539"/>
      <c r="HVR52" s="539"/>
      <c r="HVS52" s="539"/>
      <c r="HVT52" s="539"/>
      <c r="HVU52" s="539"/>
      <c r="HVV52" s="539"/>
      <c r="HVW52" s="539"/>
      <c r="HVX52" s="539"/>
      <c r="HVY52" s="539"/>
      <c r="HVZ52" s="539"/>
      <c r="HWA52" s="539"/>
      <c r="HWB52" s="539"/>
      <c r="HWC52" s="539"/>
      <c r="HWD52" s="539"/>
      <c r="HWE52" s="539"/>
      <c r="HWF52" s="539"/>
      <c r="HWG52" s="539"/>
      <c r="HWH52" s="539"/>
      <c r="HWI52" s="539"/>
      <c r="HWJ52" s="539"/>
      <c r="HWK52" s="539"/>
      <c r="HWL52" s="539"/>
      <c r="HWM52" s="539"/>
      <c r="HWN52" s="539"/>
      <c r="HWO52" s="539"/>
      <c r="HWP52" s="539"/>
      <c r="HWQ52" s="539"/>
      <c r="HWR52" s="539"/>
      <c r="HWS52" s="539"/>
      <c r="HWT52" s="539"/>
      <c r="HWU52" s="539"/>
      <c r="HWV52" s="539"/>
      <c r="HWW52" s="539"/>
      <c r="HWX52" s="539"/>
      <c r="HWY52" s="539"/>
      <c r="HWZ52" s="539"/>
      <c r="HXA52" s="539"/>
      <c r="HXB52" s="539"/>
      <c r="HXC52" s="539"/>
      <c r="HXD52" s="539"/>
      <c r="HXE52" s="539"/>
      <c r="HXF52" s="539"/>
      <c r="HXG52" s="539"/>
      <c r="HXH52" s="539"/>
      <c r="HXI52" s="539"/>
      <c r="HXJ52" s="539"/>
      <c r="HXK52" s="539"/>
      <c r="HXL52" s="539"/>
      <c r="HXM52" s="539"/>
      <c r="HXN52" s="539"/>
      <c r="HXO52" s="539"/>
      <c r="HXP52" s="539"/>
      <c r="HXQ52" s="539"/>
      <c r="HXR52" s="539"/>
      <c r="HXS52" s="539"/>
      <c r="HXT52" s="539"/>
      <c r="HXU52" s="539"/>
      <c r="HXV52" s="539"/>
      <c r="HXW52" s="539"/>
      <c r="HXX52" s="539"/>
      <c r="HXY52" s="539"/>
      <c r="HXZ52" s="539"/>
      <c r="HYA52" s="539"/>
      <c r="HYB52" s="539"/>
      <c r="HYC52" s="539"/>
      <c r="HYD52" s="539"/>
      <c r="HYE52" s="539"/>
      <c r="HYF52" s="539"/>
      <c r="HYG52" s="539"/>
      <c r="HYH52" s="539"/>
      <c r="HYI52" s="539"/>
      <c r="HYJ52" s="539"/>
      <c r="HYK52" s="539"/>
      <c r="HYL52" s="539"/>
      <c r="HYM52" s="539"/>
      <c r="HYN52" s="539"/>
      <c r="HYO52" s="539"/>
      <c r="HYP52" s="539"/>
      <c r="HYQ52" s="539"/>
      <c r="HYR52" s="539"/>
      <c r="HYS52" s="539"/>
      <c r="HYT52" s="539"/>
      <c r="HYU52" s="539"/>
      <c r="HYV52" s="539"/>
      <c r="HYW52" s="539"/>
      <c r="HYX52" s="539"/>
      <c r="HYY52" s="539"/>
      <c r="HYZ52" s="539"/>
      <c r="HZA52" s="539"/>
      <c r="HZB52" s="539"/>
      <c r="HZC52" s="539"/>
      <c r="HZD52" s="539"/>
      <c r="HZE52" s="539"/>
      <c r="HZF52" s="539"/>
      <c r="HZG52" s="539"/>
      <c r="HZH52" s="539"/>
      <c r="HZI52" s="539"/>
      <c r="HZJ52" s="539"/>
      <c r="HZK52" s="539"/>
      <c r="HZL52" s="539"/>
      <c r="HZM52" s="539"/>
      <c r="HZN52" s="539"/>
      <c r="HZO52" s="539"/>
      <c r="HZP52" s="539"/>
      <c r="HZQ52" s="539"/>
      <c r="HZR52" s="539"/>
      <c r="HZS52" s="539"/>
      <c r="HZT52" s="539"/>
      <c r="HZU52" s="539"/>
      <c r="HZV52" s="539"/>
      <c r="HZW52" s="539"/>
      <c r="HZX52" s="539"/>
      <c r="HZY52" s="539"/>
      <c r="HZZ52" s="539"/>
      <c r="IAA52" s="539"/>
      <c r="IAB52" s="539"/>
      <c r="IAC52" s="539"/>
      <c r="IAD52" s="539"/>
      <c r="IAE52" s="539"/>
      <c r="IAF52" s="539"/>
      <c r="IAG52" s="539"/>
      <c r="IAH52" s="539"/>
      <c r="IAI52" s="539"/>
      <c r="IAJ52" s="539"/>
      <c r="IAK52" s="539"/>
      <c r="IAL52" s="539"/>
      <c r="IAM52" s="539"/>
      <c r="IAN52" s="539"/>
      <c r="IAO52" s="539"/>
      <c r="IAP52" s="539"/>
      <c r="IAQ52" s="539"/>
      <c r="IAR52" s="539"/>
      <c r="IAS52" s="539"/>
      <c r="IAT52" s="539"/>
      <c r="IAU52" s="539"/>
      <c r="IAV52" s="539"/>
      <c r="IAW52" s="539"/>
      <c r="IAX52" s="539"/>
      <c r="IAY52" s="539"/>
      <c r="IAZ52" s="539"/>
      <c r="IBA52" s="539"/>
      <c r="IBB52" s="539"/>
      <c r="IBC52" s="539"/>
      <c r="IBD52" s="539"/>
      <c r="IBE52" s="539"/>
      <c r="IBF52" s="539"/>
      <c r="IBG52" s="539"/>
      <c r="IBH52" s="539"/>
      <c r="IBI52" s="539"/>
      <c r="IBJ52" s="539"/>
      <c r="IBK52" s="539"/>
      <c r="IBL52" s="539"/>
      <c r="IBM52" s="539"/>
      <c r="IBN52" s="539"/>
      <c r="IBO52" s="539"/>
      <c r="IBP52" s="539"/>
      <c r="IBQ52" s="539"/>
      <c r="IBR52" s="539"/>
      <c r="IBS52" s="539"/>
      <c r="IBT52" s="539"/>
      <c r="IBU52" s="539"/>
      <c r="IBV52" s="539"/>
      <c r="IBW52" s="539"/>
      <c r="IBX52" s="539"/>
      <c r="IBY52" s="539"/>
      <c r="IBZ52" s="539"/>
      <c r="ICA52" s="539"/>
      <c r="ICB52" s="539"/>
      <c r="ICC52" s="539"/>
      <c r="ICD52" s="539"/>
      <c r="ICE52" s="539"/>
      <c r="ICF52" s="539"/>
      <c r="ICG52" s="539"/>
      <c r="ICH52" s="539"/>
      <c r="ICI52" s="539"/>
      <c r="ICJ52" s="539"/>
      <c r="ICK52" s="539"/>
      <c r="ICL52" s="539"/>
      <c r="ICM52" s="539"/>
      <c r="ICN52" s="539"/>
      <c r="ICO52" s="539"/>
      <c r="ICP52" s="539"/>
      <c r="ICQ52" s="539"/>
      <c r="ICR52" s="539"/>
      <c r="ICS52" s="539"/>
      <c r="ICT52" s="539"/>
      <c r="ICU52" s="539"/>
      <c r="ICV52" s="539"/>
      <c r="ICW52" s="539"/>
      <c r="ICX52" s="539"/>
      <c r="ICY52" s="539"/>
      <c r="ICZ52" s="539"/>
      <c r="IDA52" s="539"/>
      <c r="IDB52" s="539"/>
      <c r="IDC52" s="539"/>
      <c r="IDD52" s="539"/>
      <c r="IDE52" s="539"/>
      <c r="IDF52" s="539"/>
      <c r="IDG52" s="539"/>
      <c r="IDH52" s="539"/>
      <c r="IDI52" s="539"/>
      <c r="IDJ52" s="539"/>
      <c r="IDK52" s="539"/>
      <c r="IDL52" s="539"/>
      <c r="IDM52" s="539"/>
      <c r="IDN52" s="539"/>
      <c r="IDO52" s="539"/>
      <c r="IDP52" s="539"/>
      <c r="IDQ52" s="539"/>
      <c r="IDR52" s="539"/>
      <c r="IDS52" s="539"/>
      <c r="IDT52" s="539"/>
      <c r="IDU52" s="539"/>
      <c r="IDV52" s="539"/>
      <c r="IDW52" s="539"/>
      <c r="IDX52" s="539"/>
      <c r="IDY52" s="539"/>
      <c r="IDZ52" s="539"/>
      <c r="IEA52" s="539"/>
      <c r="IEB52" s="539"/>
      <c r="IEC52" s="539"/>
      <c r="IED52" s="539"/>
      <c r="IEE52" s="539"/>
      <c r="IEF52" s="539"/>
      <c r="IEG52" s="539"/>
      <c r="IEH52" s="539"/>
      <c r="IEI52" s="539"/>
      <c r="IEJ52" s="539"/>
      <c r="IEK52" s="539"/>
      <c r="IEL52" s="539"/>
      <c r="IEM52" s="539"/>
      <c r="IEN52" s="539"/>
      <c r="IEO52" s="539"/>
      <c r="IEP52" s="539"/>
      <c r="IEQ52" s="539"/>
      <c r="IER52" s="539"/>
      <c r="IES52" s="539"/>
      <c r="IET52" s="539"/>
      <c r="IEU52" s="539"/>
      <c r="IEV52" s="539"/>
      <c r="IEW52" s="539"/>
      <c r="IEX52" s="539"/>
      <c r="IEY52" s="539"/>
      <c r="IEZ52" s="539"/>
      <c r="IFA52" s="539"/>
      <c r="IFB52" s="539"/>
      <c r="IFC52" s="539"/>
      <c r="IFD52" s="539"/>
      <c r="IFE52" s="539"/>
      <c r="IFF52" s="539"/>
      <c r="IFG52" s="539"/>
      <c r="IFH52" s="539"/>
      <c r="IFI52" s="539"/>
      <c r="IFJ52" s="539"/>
      <c r="IFK52" s="539"/>
      <c r="IFL52" s="539"/>
      <c r="IFM52" s="539"/>
      <c r="IFN52" s="539"/>
      <c r="IFO52" s="539"/>
      <c r="IFP52" s="539"/>
      <c r="IFQ52" s="539"/>
      <c r="IFR52" s="539"/>
      <c r="IFS52" s="539"/>
      <c r="IFT52" s="539"/>
      <c r="IFU52" s="539"/>
      <c r="IFV52" s="539"/>
      <c r="IFW52" s="539"/>
      <c r="IFX52" s="539"/>
      <c r="IFY52" s="539"/>
      <c r="IFZ52" s="539"/>
      <c r="IGA52" s="539"/>
      <c r="IGB52" s="539"/>
      <c r="IGC52" s="539"/>
      <c r="IGD52" s="539"/>
      <c r="IGE52" s="539"/>
      <c r="IGF52" s="539"/>
      <c r="IGG52" s="539"/>
      <c r="IGH52" s="539"/>
      <c r="IGI52" s="539"/>
      <c r="IGJ52" s="539"/>
      <c r="IGK52" s="539"/>
      <c r="IGL52" s="539"/>
      <c r="IGM52" s="539"/>
      <c r="IGN52" s="539"/>
      <c r="IGO52" s="539"/>
      <c r="IGP52" s="539"/>
      <c r="IGQ52" s="539"/>
      <c r="IGR52" s="539"/>
      <c r="IGS52" s="539"/>
      <c r="IGT52" s="539"/>
      <c r="IGU52" s="539"/>
      <c r="IGV52" s="539"/>
      <c r="IGW52" s="539"/>
      <c r="IGX52" s="539"/>
      <c r="IGY52" s="539"/>
      <c r="IGZ52" s="539"/>
      <c r="IHA52" s="539"/>
      <c r="IHB52" s="539"/>
      <c r="IHC52" s="539"/>
      <c r="IHD52" s="539"/>
      <c r="IHE52" s="539"/>
      <c r="IHF52" s="539"/>
      <c r="IHG52" s="539"/>
      <c r="IHH52" s="539"/>
      <c r="IHI52" s="539"/>
      <c r="IHJ52" s="539"/>
      <c r="IHK52" s="539"/>
      <c r="IHL52" s="539"/>
      <c r="IHM52" s="539"/>
      <c r="IHN52" s="539"/>
      <c r="IHO52" s="539"/>
      <c r="IHP52" s="539"/>
      <c r="IHQ52" s="539"/>
      <c r="IHR52" s="539"/>
      <c r="IHS52" s="539"/>
      <c r="IHT52" s="539"/>
      <c r="IHU52" s="539"/>
      <c r="IHV52" s="539"/>
      <c r="IHW52" s="539"/>
      <c r="IHX52" s="539"/>
      <c r="IHY52" s="539"/>
      <c r="IHZ52" s="539"/>
      <c r="IIA52" s="539"/>
      <c r="IIB52" s="539"/>
      <c r="IIC52" s="539"/>
      <c r="IID52" s="539"/>
      <c r="IIE52" s="539"/>
      <c r="IIF52" s="539"/>
      <c r="IIG52" s="539"/>
      <c r="IIH52" s="539"/>
      <c r="III52" s="539"/>
      <c r="IIJ52" s="539"/>
      <c r="IIK52" s="539"/>
      <c r="IIL52" s="539"/>
      <c r="IIM52" s="539"/>
      <c r="IIN52" s="539"/>
      <c r="IIO52" s="539"/>
      <c r="IIP52" s="539"/>
      <c r="IIQ52" s="539"/>
      <c r="IIR52" s="539"/>
      <c r="IIS52" s="539"/>
      <c r="IIT52" s="539"/>
      <c r="IIU52" s="539"/>
      <c r="IIV52" s="539"/>
      <c r="IIW52" s="539"/>
      <c r="IIX52" s="539"/>
      <c r="IIY52" s="539"/>
      <c r="IIZ52" s="539"/>
      <c r="IJA52" s="539"/>
      <c r="IJB52" s="539"/>
      <c r="IJC52" s="539"/>
      <c r="IJD52" s="539"/>
      <c r="IJE52" s="539"/>
      <c r="IJF52" s="539"/>
      <c r="IJG52" s="539"/>
      <c r="IJH52" s="539"/>
      <c r="IJI52" s="539"/>
      <c r="IJJ52" s="539"/>
      <c r="IJK52" s="539"/>
      <c r="IJL52" s="539"/>
      <c r="IJM52" s="539"/>
      <c r="IJN52" s="539"/>
      <c r="IJO52" s="539"/>
      <c r="IJP52" s="539"/>
      <c r="IJQ52" s="539"/>
      <c r="IJR52" s="539"/>
      <c r="IJS52" s="539"/>
      <c r="IJT52" s="539"/>
      <c r="IJU52" s="539"/>
      <c r="IJV52" s="539"/>
      <c r="IJW52" s="539"/>
      <c r="IJX52" s="539"/>
      <c r="IJY52" s="539"/>
      <c r="IJZ52" s="539"/>
      <c r="IKA52" s="539"/>
      <c r="IKB52" s="539"/>
      <c r="IKC52" s="539"/>
      <c r="IKD52" s="539"/>
      <c r="IKE52" s="539"/>
      <c r="IKF52" s="539"/>
      <c r="IKG52" s="539"/>
      <c r="IKH52" s="539"/>
      <c r="IKI52" s="539"/>
      <c r="IKJ52" s="539"/>
      <c r="IKK52" s="539"/>
      <c r="IKL52" s="539"/>
      <c r="IKM52" s="539"/>
      <c r="IKN52" s="539"/>
      <c r="IKO52" s="539"/>
      <c r="IKP52" s="539"/>
      <c r="IKQ52" s="539"/>
      <c r="IKR52" s="539"/>
      <c r="IKS52" s="539"/>
      <c r="IKT52" s="539"/>
      <c r="IKU52" s="539"/>
      <c r="IKV52" s="539"/>
      <c r="IKW52" s="539"/>
      <c r="IKX52" s="539"/>
      <c r="IKY52" s="539"/>
      <c r="IKZ52" s="539"/>
      <c r="ILA52" s="539"/>
      <c r="ILB52" s="539"/>
      <c r="ILC52" s="539"/>
      <c r="ILD52" s="539"/>
      <c r="ILE52" s="539"/>
      <c r="ILF52" s="539"/>
      <c r="ILG52" s="539"/>
      <c r="ILH52" s="539"/>
      <c r="ILI52" s="539"/>
      <c r="ILJ52" s="539"/>
      <c r="ILK52" s="539"/>
      <c r="ILL52" s="539"/>
      <c r="ILM52" s="539"/>
      <c r="ILN52" s="539"/>
      <c r="ILO52" s="539"/>
      <c r="ILP52" s="539"/>
      <c r="ILQ52" s="539"/>
      <c r="ILR52" s="539"/>
      <c r="ILS52" s="539"/>
      <c r="ILT52" s="539"/>
      <c r="ILU52" s="539"/>
      <c r="ILV52" s="539"/>
      <c r="ILW52" s="539"/>
      <c r="ILX52" s="539"/>
      <c r="ILY52" s="539"/>
      <c r="ILZ52" s="539"/>
      <c r="IMA52" s="539"/>
      <c r="IMB52" s="539"/>
      <c r="IMC52" s="539"/>
      <c r="IMD52" s="539"/>
      <c r="IME52" s="539"/>
      <c r="IMF52" s="539"/>
      <c r="IMG52" s="539"/>
      <c r="IMH52" s="539"/>
      <c r="IMI52" s="539"/>
      <c r="IMJ52" s="539"/>
      <c r="IMK52" s="539"/>
      <c r="IML52" s="539"/>
      <c r="IMM52" s="539"/>
      <c r="IMN52" s="539"/>
      <c r="IMO52" s="539"/>
      <c r="IMP52" s="539"/>
      <c r="IMQ52" s="539"/>
      <c r="IMR52" s="539"/>
      <c r="IMS52" s="539"/>
      <c r="IMT52" s="539"/>
      <c r="IMU52" s="539"/>
      <c r="IMV52" s="539"/>
      <c r="IMW52" s="539"/>
      <c r="IMX52" s="539"/>
      <c r="IMY52" s="539"/>
      <c r="IMZ52" s="539"/>
      <c r="INA52" s="539"/>
      <c r="INB52" s="539"/>
      <c r="INC52" s="539"/>
      <c r="IND52" s="539"/>
      <c r="INE52" s="539"/>
      <c r="INF52" s="539"/>
      <c r="ING52" s="539"/>
      <c r="INH52" s="539"/>
      <c r="INI52" s="539"/>
      <c r="INJ52" s="539"/>
      <c r="INK52" s="539"/>
      <c r="INL52" s="539"/>
      <c r="INM52" s="539"/>
      <c r="INN52" s="539"/>
      <c r="INO52" s="539"/>
      <c r="INP52" s="539"/>
      <c r="INQ52" s="539"/>
      <c r="INR52" s="539"/>
      <c r="INS52" s="539"/>
      <c r="INT52" s="539"/>
      <c r="INU52" s="539"/>
      <c r="INV52" s="539"/>
      <c r="INW52" s="539"/>
      <c r="INX52" s="539"/>
      <c r="INY52" s="539"/>
      <c r="INZ52" s="539"/>
      <c r="IOA52" s="539"/>
      <c r="IOB52" s="539"/>
      <c r="IOC52" s="539"/>
      <c r="IOD52" s="539"/>
      <c r="IOE52" s="539"/>
      <c r="IOF52" s="539"/>
      <c r="IOG52" s="539"/>
      <c r="IOH52" s="539"/>
      <c r="IOI52" s="539"/>
      <c r="IOJ52" s="539"/>
      <c r="IOK52" s="539"/>
      <c r="IOL52" s="539"/>
      <c r="IOM52" s="539"/>
      <c r="ION52" s="539"/>
      <c r="IOO52" s="539"/>
      <c r="IOP52" s="539"/>
      <c r="IOQ52" s="539"/>
      <c r="IOR52" s="539"/>
      <c r="IOS52" s="539"/>
      <c r="IOT52" s="539"/>
      <c r="IOU52" s="539"/>
      <c r="IOV52" s="539"/>
      <c r="IOW52" s="539"/>
      <c r="IOX52" s="539"/>
      <c r="IOY52" s="539"/>
      <c r="IOZ52" s="539"/>
      <c r="IPA52" s="539"/>
      <c r="IPB52" s="539"/>
      <c r="IPC52" s="539"/>
      <c r="IPD52" s="539"/>
      <c r="IPE52" s="539"/>
      <c r="IPF52" s="539"/>
      <c r="IPG52" s="539"/>
      <c r="IPH52" s="539"/>
      <c r="IPI52" s="539"/>
      <c r="IPJ52" s="539"/>
      <c r="IPK52" s="539"/>
      <c r="IPL52" s="539"/>
      <c r="IPM52" s="539"/>
      <c r="IPN52" s="539"/>
      <c r="IPO52" s="539"/>
      <c r="IPP52" s="539"/>
      <c r="IPQ52" s="539"/>
      <c r="IPR52" s="539"/>
      <c r="IPS52" s="539"/>
      <c r="IPT52" s="539"/>
      <c r="IPU52" s="539"/>
      <c r="IPV52" s="539"/>
      <c r="IPW52" s="539"/>
      <c r="IPX52" s="539"/>
      <c r="IPY52" s="539"/>
      <c r="IPZ52" s="539"/>
      <c r="IQA52" s="539"/>
      <c r="IQB52" s="539"/>
      <c r="IQC52" s="539"/>
      <c r="IQD52" s="539"/>
      <c r="IQE52" s="539"/>
      <c r="IQF52" s="539"/>
      <c r="IQG52" s="539"/>
      <c r="IQH52" s="539"/>
      <c r="IQI52" s="539"/>
      <c r="IQJ52" s="539"/>
      <c r="IQK52" s="539"/>
      <c r="IQL52" s="539"/>
      <c r="IQM52" s="539"/>
      <c r="IQN52" s="539"/>
      <c r="IQO52" s="539"/>
      <c r="IQP52" s="539"/>
      <c r="IQQ52" s="539"/>
      <c r="IQR52" s="539"/>
      <c r="IQS52" s="539"/>
      <c r="IQT52" s="539"/>
      <c r="IQU52" s="539"/>
      <c r="IQV52" s="539"/>
      <c r="IQW52" s="539"/>
      <c r="IQX52" s="539"/>
      <c r="IQY52" s="539"/>
      <c r="IQZ52" s="539"/>
      <c r="IRA52" s="539"/>
      <c r="IRB52" s="539"/>
      <c r="IRC52" s="539"/>
      <c r="IRD52" s="539"/>
      <c r="IRE52" s="539"/>
      <c r="IRF52" s="539"/>
      <c r="IRG52" s="539"/>
      <c r="IRH52" s="539"/>
      <c r="IRI52" s="539"/>
      <c r="IRJ52" s="539"/>
      <c r="IRK52" s="539"/>
      <c r="IRL52" s="539"/>
      <c r="IRM52" s="539"/>
      <c r="IRN52" s="539"/>
      <c r="IRO52" s="539"/>
      <c r="IRP52" s="539"/>
      <c r="IRQ52" s="539"/>
      <c r="IRR52" s="539"/>
      <c r="IRS52" s="539"/>
      <c r="IRT52" s="539"/>
      <c r="IRU52" s="539"/>
      <c r="IRV52" s="539"/>
      <c r="IRW52" s="539"/>
      <c r="IRX52" s="539"/>
      <c r="IRY52" s="539"/>
      <c r="IRZ52" s="539"/>
      <c r="ISA52" s="539"/>
      <c r="ISB52" s="539"/>
      <c r="ISC52" s="539"/>
      <c r="ISD52" s="539"/>
      <c r="ISE52" s="539"/>
      <c r="ISF52" s="539"/>
      <c r="ISG52" s="539"/>
      <c r="ISH52" s="539"/>
      <c r="ISI52" s="539"/>
      <c r="ISJ52" s="539"/>
      <c r="ISK52" s="539"/>
      <c r="ISL52" s="539"/>
      <c r="ISM52" s="539"/>
      <c r="ISN52" s="539"/>
      <c r="ISO52" s="539"/>
      <c r="ISP52" s="539"/>
      <c r="ISQ52" s="539"/>
      <c r="ISR52" s="539"/>
      <c r="ISS52" s="539"/>
      <c r="IST52" s="539"/>
      <c r="ISU52" s="539"/>
      <c r="ISV52" s="539"/>
      <c r="ISW52" s="539"/>
      <c r="ISX52" s="539"/>
      <c r="ISY52" s="539"/>
      <c r="ISZ52" s="539"/>
      <c r="ITA52" s="539"/>
      <c r="ITB52" s="539"/>
      <c r="ITC52" s="539"/>
      <c r="ITD52" s="539"/>
      <c r="ITE52" s="539"/>
      <c r="ITF52" s="539"/>
      <c r="ITG52" s="539"/>
      <c r="ITH52" s="539"/>
      <c r="ITI52" s="539"/>
      <c r="ITJ52" s="539"/>
      <c r="ITK52" s="539"/>
      <c r="ITL52" s="539"/>
      <c r="ITM52" s="539"/>
      <c r="ITN52" s="539"/>
      <c r="ITO52" s="539"/>
      <c r="ITP52" s="539"/>
      <c r="ITQ52" s="539"/>
      <c r="ITR52" s="539"/>
      <c r="ITS52" s="539"/>
      <c r="ITT52" s="539"/>
      <c r="ITU52" s="539"/>
      <c r="ITV52" s="539"/>
      <c r="ITW52" s="539"/>
      <c r="ITX52" s="539"/>
      <c r="ITY52" s="539"/>
      <c r="ITZ52" s="539"/>
      <c r="IUA52" s="539"/>
      <c r="IUB52" s="539"/>
      <c r="IUC52" s="539"/>
      <c r="IUD52" s="539"/>
      <c r="IUE52" s="539"/>
      <c r="IUF52" s="539"/>
      <c r="IUG52" s="539"/>
      <c r="IUH52" s="539"/>
      <c r="IUI52" s="539"/>
      <c r="IUJ52" s="539"/>
      <c r="IUK52" s="539"/>
      <c r="IUL52" s="539"/>
      <c r="IUM52" s="539"/>
      <c r="IUN52" s="539"/>
      <c r="IUO52" s="539"/>
      <c r="IUP52" s="539"/>
      <c r="IUQ52" s="539"/>
      <c r="IUR52" s="539"/>
      <c r="IUS52" s="539"/>
      <c r="IUT52" s="539"/>
      <c r="IUU52" s="539"/>
      <c r="IUV52" s="539"/>
      <c r="IUW52" s="539"/>
      <c r="IUX52" s="539"/>
      <c r="IUY52" s="539"/>
      <c r="IUZ52" s="539"/>
      <c r="IVA52" s="539"/>
      <c r="IVB52" s="539"/>
      <c r="IVC52" s="539"/>
      <c r="IVD52" s="539"/>
      <c r="IVE52" s="539"/>
      <c r="IVF52" s="539"/>
      <c r="IVG52" s="539"/>
      <c r="IVH52" s="539"/>
      <c r="IVI52" s="539"/>
      <c r="IVJ52" s="539"/>
      <c r="IVK52" s="539"/>
      <c r="IVL52" s="539"/>
      <c r="IVM52" s="539"/>
      <c r="IVN52" s="539"/>
      <c r="IVO52" s="539"/>
      <c r="IVP52" s="539"/>
      <c r="IVQ52" s="539"/>
      <c r="IVR52" s="539"/>
      <c r="IVS52" s="539"/>
      <c r="IVT52" s="539"/>
      <c r="IVU52" s="539"/>
      <c r="IVV52" s="539"/>
      <c r="IVW52" s="539"/>
      <c r="IVX52" s="539"/>
      <c r="IVY52" s="539"/>
      <c r="IVZ52" s="539"/>
      <c r="IWA52" s="539"/>
      <c r="IWB52" s="539"/>
      <c r="IWC52" s="539"/>
      <c r="IWD52" s="539"/>
      <c r="IWE52" s="539"/>
      <c r="IWF52" s="539"/>
      <c r="IWG52" s="539"/>
      <c r="IWH52" s="539"/>
      <c r="IWI52" s="539"/>
      <c r="IWJ52" s="539"/>
      <c r="IWK52" s="539"/>
      <c r="IWL52" s="539"/>
      <c r="IWM52" s="539"/>
      <c r="IWN52" s="539"/>
      <c r="IWO52" s="539"/>
      <c r="IWP52" s="539"/>
      <c r="IWQ52" s="539"/>
      <c r="IWR52" s="539"/>
      <c r="IWS52" s="539"/>
      <c r="IWT52" s="539"/>
      <c r="IWU52" s="539"/>
      <c r="IWV52" s="539"/>
      <c r="IWW52" s="539"/>
      <c r="IWX52" s="539"/>
      <c r="IWY52" s="539"/>
      <c r="IWZ52" s="539"/>
      <c r="IXA52" s="539"/>
      <c r="IXB52" s="539"/>
      <c r="IXC52" s="539"/>
      <c r="IXD52" s="539"/>
      <c r="IXE52" s="539"/>
      <c r="IXF52" s="539"/>
      <c r="IXG52" s="539"/>
      <c r="IXH52" s="539"/>
      <c r="IXI52" s="539"/>
      <c r="IXJ52" s="539"/>
      <c r="IXK52" s="539"/>
      <c r="IXL52" s="539"/>
      <c r="IXM52" s="539"/>
      <c r="IXN52" s="539"/>
      <c r="IXO52" s="539"/>
      <c r="IXP52" s="539"/>
      <c r="IXQ52" s="539"/>
      <c r="IXR52" s="539"/>
      <c r="IXS52" s="539"/>
      <c r="IXT52" s="539"/>
      <c r="IXU52" s="539"/>
      <c r="IXV52" s="539"/>
      <c r="IXW52" s="539"/>
      <c r="IXX52" s="539"/>
      <c r="IXY52" s="539"/>
      <c r="IXZ52" s="539"/>
      <c r="IYA52" s="539"/>
      <c r="IYB52" s="539"/>
      <c r="IYC52" s="539"/>
      <c r="IYD52" s="539"/>
      <c r="IYE52" s="539"/>
      <c r="IYF52" s="539"/>
      <c r="IYG52" s="539"/>
      <c r="IYH52" s="539"/>
      <c r="IYI52" s="539"/>
      <c r="IYJ52" s="539"/>
      <c r="IYK52" s="539"/>
      <c r="IYL52" s="539"/>
      <c r="IYM52" s="539"/>
      <c r="IYN52" s="539"/>
      <c r="IYO52" s="539"/>
      <c r="IYP52" s="539"/>
      <c r="IYQ52" s="539"/>
      <c r="IYR52" s="539"/>
      <c r="IYS52" s="539"/>
      <c r="IYT52" s="539"/>
      <c r="IYU52" s="539"/>
      <c r="IYV52" s="539"/>
      <c r="IYW52" s="539"/>
      <c r="IYX52" s="539"/>
      <c r="IYY52" s="539"/>
      <c r="IYZ52" s="539"/>
      <c r="IZA52" s="539"/>
      <c r="IZB52" s="539"/>
      <c r="IZC52" s="539"/>
      <c r="IZD52" s="539"/>
      <c r="IZE52" s="539"/>
      <c r="IZF52" s="539"/>
      <c r="IZG52" s="539"/>
      <c r="IZH52" s="539"/>
      <c r="IZI52" s="539"/>
      <c r="IZJ52" s="539"/>
      <c r="IZK52" s="539"/>
      <c r="IZL52" s="539"/>
      <c r="IZM52" s="539"/>
      <c r="IZN52" s="539"/>
      <c r="IZO52" s="539"/>
      <c r="IZP52" s="539"/>
      <c r="IZQ52" s="539"/>
      <c r="IZR52" s="539"/>
      <c r="IZS52" s="539"/>
      <c r="IZT52" s="539"/>
      <c r="IZU52" s="539"/>
      <c r="IZV52" s="539"/>
      <c r="IZW52" s="539"/>
      <c r="IZX52" s="539"/>
      <c r="IZY52" s="539"/>
      <c r="IZZ52" s="539"/>
      <c r="JAA52" s="539"/>
      <c r="JAB52" s="539"/>
      <c r="JAC52" s="539"/>
      <c r="JAD52" s="539"/>
      <c r="JAE52" s="539"/>
      <c r="JAF52" s="539"/>
      <c r="JAG52" s="539"/>
      <c r="JAH52" s="539"/>
      <c r="JAI52" s="539"/>
      <c r="JAJ52" s="539"/>
      <c r="JAK52" s="539"/>
      <c r="JAL52" s="539"/>
      <c r="JAM52" s="539"/>
      <c r="JAN52" s="539"/>
      <c r="JAO52" s="539"/>
      <c r="JAP52" s="539"/>
      <c r="JAQ52" s="539"/>
      <c r="JAR52" s="539"/>
      <c r="JAS52" s="539"/>
      <c r="JAT52" s="539"/>
      <c r="JAU52" s="539"/>
      <c r="JAV52" s="539"/>
      <c r="JAW52" s="539"/>
      <c r="JAX52" s="539"/>
      <c r="JAY52" s="539"/>
      <c r="JAZ52" s="539"/>
      <c r="JBA52" s="539"/>
      <c r="JBB52" s="539"/>
      <c r="JBC52" s="539"/>
      <c r="JBD52" s="539"/>
      <c r="JBE52" s="539"/>
      <c r="JBF52" s="539"/>
      <c r="JBG52" s="539"/>
      <c r="JBH52" s="539"/>
      <c r="JBI52" s="539"/>
      <c r="JBJ52" s="539"/>
      <c r="JBK52" s="539"/>
      <c r="JBL52" s="539"/>
      <c r="JBM52" s="539"/>
      <c r="JBN52" s="539"/>
      <c r="JBO52" s="539"/>
      <c r="JBP52" s="539"/>
      <c r="JBQ52" s="539"/>
      <c r="JBR52" s="539"/>
      <c r="JBS52" s="539"/>
      <c r="JBT52" s="539"/>
      <c r="JBU52" s="539"/>
      <c r="JBV52" s="539"/>
      <c r="JBW52" s="539"/>
      <c r="JBX52" s="539"/>
      <c r="JBY52" s="539"/>
      <c r="JBZ52" s="539"/>
      <c r="JCA52" s="539"/>
      <c r="JCB52" s="539"/>
      <c r="JCC52" s="539"/>
      <c r="JCD52" s="539"/>
      <c r="JCE52" s="539"/>
      <c r="JCF52" s="539"/>
      <c r="JCG52" s="539"/>
      <c r="JCH52" s="539"/>
      <c r="JCI52" s="539"/>
      <c r="JCJ52" s="539"/>
      <c r="JCK52" s="539"/>
      <c r="JCL52" s="539"/>
      <c r="JCM52" s="539"/>
      <c r="JCN52" s="539"/>
      <c r="JCO52" s="539"/>
      <c r="JCP52" s="539"/>
      <c r="JCQ52" s="539"/>
      <c r="JCR52" s="539"/>
      <c r="JCS52" s="539"/>
      <c r="JCT52" s="539"/>
      <c r="JCU52" s="539"/>
      <c r="JCV52" s="539"/>
      <c r="JCW52" s="539"/>
      <c r="JCX52" s="539"/>
      <c r="JCY52" s="539"/>
      <c r="JCZ52" s="539"/>
      <c r="JDA52" s="539"/>
      <c r="JDB52" s="539"/>
      <c r="JDC52" s="539"/>
      <c r="JDD52" s="539"/>
      <c r="JDE52" s="539"/>
      <c r="JDF52" s="539"/>
      <c r="JDG52" s="539"/>
      <c r="JDH52" s="539"/>
      <c r="JDI52" s="539"/>
      <c r="JDJ52" s="539"/>
      <c r="JDK52" s="539"/>
      <c r="JDL52" s="539"/>
      <c r="JDM52" s="539"/>
      <c r="JDN52" s="539"/>
      <c r="JDO52" s="539"/>
      <c r="JDP52" s="539"/>
      <c r="JDQ52" s="539"/>
      <c r="JDR52" s="539"/>
      <c r="JDS52" s="539"/>
      <c r="JDT52" s="539"/>
      <c r="JDU52" s="539"/>
      <c r="JDV52" s="539"/>
      <c r="JDW52" s="539"/>
      <c r="JDX52" s="539"/>
      <c r="JDY52" s="539"/>
      <c r="JDZ52" s="539"/>
      <c r="JEA52" s="539"/>
      <c r="JEB52" s="539"/>
      <c r="JEC52" s="539"/>
      <c r="JED52" s="539"/>
      <c r="JEE52" s="539"/>
      <c r="JEF52" s="539"/>
      <c r="JEG52" s="539"/>
      <c r="JEH52" s="539"/>
      <c r="JEI52" s="539"/>
      <c r="JEJ52" s="539"/>
      <c r="JEK52" s="539"/>
      <c r="JEL52" s="539"/>
      <c r="JEM52" s="539"/>
      <c r="JEN52" s="539"/>
      <c r="JEO52" s="539"/>
      <c r="JEP52" s="539"/>
      <c r="JEQ52" s="539"/>
      <c r="JER52" s="539"/>
      <c r="JES52" s="539"/>
      <c r="JET52" s="539"/>
      <c r="JEU52" s="539"/>
      <c r="JEV52" s="539"/>
      <c r="JEW52" s="539"/>
      <c r="JEX52" s="539"/>
      <c r="JEY52" s="539"/>
      <c r="JEZ52" s="539"/>
      <c r="JFA52" s="539"/>
      <c r="JFB52" s="539"/>
      <c r="JFC52" s="539"/>
      <c r="JFD52" s="539"/>
      <c r="JFE52" s="539"/>
      <c r="JFF52" s="539"/>
      <c r="JFG52" s="539"/>
      <c r="JFH52" s="539"/>
      <c r="JFI52" s="539"/>
      <c r="JFJ52" s="539"/>
      <c r="JFK52" s="539"/>
      <c r="JFL52" s="539"/>
      <c r="JFM52" s="539"/>
      <c r="JFN52" s="539"/>
      <c r="JFO52" s="539"/>
      <c r="JFP52" s="539"/>
      <c r="JFQ52" s="539"/>
      <c r="JFR52" s="539"/>
      <c r="JFS52" s="539"/>
      <c r="JFT52" s="539"/>
      <c r="JFU52" s="539"/>
      <c r="JFV52" s="539"/>
      <c r="JFW52" s="539"/>
      <c r="JFX52" s="539"/>
      <c r="JFY52" s="539"/>
      <c r="JFZ52" s="539"/>
      <c r="JGA52" s="539"/>
      <c r="JGB52" s="539"/>
      <c r="JGC52" s="539"/>
      <c r="JGD52" s="539"/>
      <c r="JGE52" s="539"/>
      <c r="JGF52" s="539"/>
      <c r="JGG52" s="539"/>
      <c r="JGH52" s="539"/>
      <c r="JGI52" s="539"/>
      <c r="JGJ52" s="539"/>
      <c r="JGK52" s="539"/>
      <c r="JGL52" s="539"/>
      <c r="JGM52" s="539"/>
      <c r="JGN52" s="539"/>
      <c r="JGO52" s="539"/>
      <c r="JGP52" s="539"/>
      <c r="JGQ52" s="539"/>
      <c r="JGR52" s="539"/>
      <c r="JGS52" s="539"/>
      <c r="JGT52" s="539"/>
      <c r="JGU52" s="539"/>
      <c r="JGV52" s="539"/>
      <c r="JGW52" s="539"/>
      <c r="JGX52" s="539"/>
      <c r="JGY52" s="539"/>
      <c r="JGZ52" s="539"/>
      <c r="JHA52" s="539"/>
      <c r="JHB52" s="539"/>
      <c r="JHC52" s="539"/>
      <c r="JHD52" s="539"/>
      <c r="JHE52" s="539"/>
      <c r="JHF52" s="539"/>
      <c r="JHG52" s="539"/>
      <c r="JHH52" s="539"/>
      <c r="JHI52" s="539"/>
      <c r="JHJ52" s="539"/>
      <c r="JHK52" s="539"/>
      <c r="JHL52" s="539"/>
      <c r="JHM52" s="539"/>
      <c r="JHN52" s="539"/>
      <c r="JHO52" s="539"/>
      <c r="JHP52" s="539"/>
      <c r="JHQ52" s="539"/>
      <c r="JHR52" s="539"/>
      <c r="JHS52" s="539"/>
      <c r="JHT52" s="539"/>
      <c r="JHU52" s="539"/>
      <c r="JHV52" s="539"/>
      <c r="JHW52" s="539"/>
      <c r="JHX52" s="539"/>
      <c r="JHY52" s="539"/>
      <c r="JHZ52" s="539"/>
      <c r="JIA52" s="539"/>
      <c r="JIB52" s="539"/>
      <c r="JIC52" s="539"/>
      <c r="JID52" s="539"/>
      <c r="JIE52" s="539"/>
      <c r="JIF52" s="539"/>
      <c r="JIG52" s="539"/>
      <c r="JIH52" s="539"/>
      <c r="JII52" s="539"/>
      <c r="JIJ52" s="539"/>
      <c r="JIK52" s="539"/>
      <c r="JIL52" s="539"/>
      <c r="JIM52" s="539"/>
      <c r="JIN52" s="539"/>
      <c r="JIO52" s="539"/>
      <c r="JIP52" s="539"/>
      <c r="JIQ52" s="539"/>
      <c r="JIR52" s="539"/>
      <c r="JIS52" s="539"/>
      <c r="JIT52" s="539"/>
      <c r="JIU52" s="539"/>
      <c r="JIV52" s="539"/>
      <c r="JIW52" s="539"/>
      <c r="JIX52" s="539"/>
      <c r="JIY52" s="539"/>
      <c r="JIZ52" s="539"/>
      <c r="JJA52" s="539"/>
      <c r="JJB52" s="539"/>
      <c r="JJC52" s="539"/>
      <c r="JJD52" s="539"/>
      <c r="JJE52" s="539"/>
      <c r="JJF52" s="539"/>
      <c r="JJG52" s="539"/>
      <c r="JJH52" s="539"/>
      <c r="JJI52" s="539"/>
      <c r="JJJ52" s="539"/>
      <c r="JJK52" s="539"/>
      <c r="JJL52" s="539"/>
      <c r="JJM52" s="539"/>
      <c r="JJN52" s="539"/>
      <c r="JJO52" s="539"/>
      <c r="JJP52" s="539"/>
      <c r="JJQ52" s="539"/>
      <c r="JJR52" s="539"/>
      <c r="JJS52" s="539"/>
      <c r="JJT52" s="539"/>
      <c r="JJU52" s="539"/>
      <c r="JJV52" s="539"/>
      <c r="JJW52" s="539"/>
      <c r="JJX52" s="539"/>
      <c r="JJY52" s="539"/>
      <c r="JJZ52" s="539"/>
      <c r="JKA52" s="539"/>
      <c r="JKB52" s="539"/>
      <c r="JKC52" s="539"/>
      <c r="JKD52" s="539"/>
      <c r="JKE52" s="539"/>
      <c r="JKF52" s="539"/>
      <c r="JKG52" s="539"/>
      <c r="JKH52" s="539"/>
      <c r="JKI52" s="539"/>
      <c r="JKJ52" s="539"/>
      <c r="JKK52" s="539"/>
      <c r="JKL52" s="539"/>
      <c r="JKM52" s="539"/>
      <c r="JKN52" s="539"/>
      <c r="JKO52" s="539"/>
      <c r="JKP52" s="539"/>
      <c r="JKQ52" s="539"/>
      <c r="JKR52" s="539"/>
      <c r="JKS52" s="539"/>
      <c r="JKT52" s="539"/>
      <c r="JKU52" s="539"/>
      <c r="JKV52" s="539"/>
      <c r="JKW52" s="539"/>
      <c r="JKX52" s="539"/>
      <c r="JKY52" s="539"/>
      <c r="JKZ52" s="539"/>
      <c r="JLA52" s="539"/>
      <c r="JLB52" s="539"/>
      <c r="JLC52" s="539"/>
      <c r="JLD52" s="539"/>
      <c r="JLE52" s="539"/>
      <c r="JLF52" s="539"/>
      <c r="JLG52" s="539"/>
      <c r="JLH52" s="539"/>
      <c r="JLI52" s="539"/>
      <c r="JLJ52" s="539"/>
      <c r="JLK52" s="539"/>
      <c r="JLL52" s="539"/>
      <c r="JLM52" s="539"/>
      <c r="JLN52" s="539"/>
      <c r="JLO52" s="539"/>
      <c r="JLP52" s="539"/>
      <c r="JLQ52" s="539"/>
      <c r="JLR52" s="539"/>
      <c r="JLS52" s="539"/>
      <c r="JLT52" s="539"/>
      <c r="JLU52" s="539"/>
      <c r="JLV52" s="539"/>
      <c r="JLW52" s="539"/>
      <c r="JLX52" s="539"/>
      <c r="JLY52" s="539"/>
      <c r="JLZ52" s="539"/>
      <c r="JMA52" s="539"/>
      <c r="JMB52" s="539"/>
      <c r="JMC52" s="539"/>
      <c r="JMD52" s="539"/>
      <c r="JME52" s="539"/>
      <c r="JMF52" s="539"/>
      <c r="JMG52" s="539"/>
      <c r="JMH52" s="539"/>
      <c r="JMI52" s="539"/>
      <c r="JMJ52" s="539"/>
      <c r="JMK52" s="539"/>
      <c r="JML52" s="539"/>
      <c r="JMM52" s="539"/>
      <c r="JMN52" s="539"/>
      <c r="JMO52" s="539"/>
      <c r="JMP52" s="539"/>
      <c r="JMQ52" s="539"/>
      <c r="JMR52" s="539"/>
      <c r="JMS52" s="539"/>
      <c r="JMT52" s="539"/>
      <c r="JMU52" s="539"/>
      <c r="JMV52" s="539"/>
      <c r="JMW52" s="539"/>
      <c r="JMX52" s="539"/>
      <c r="JMY52" s="539"/>
      <c r="JMZ52" s="539"/>
      <c r="JNA52" s="539"/>
      <c r="JNB52" s="539"/>
      <c r="JNC52" s="539"/>
      <c r="JND52" s="539"/>
      <c r="JNE52" s="539"/>
      <c r="JNF52" s="539"/>
      <c r="JNG52" s="539"/>
      <c r="JNH52" s="539"/>
      <c r="JNI52" s="539"/>
      <c r="JNJ52" s="539"/>
      <c r="JNK52" s="539"/>
      <c r="JNL52" s="539"/>
      <c r="JNM52" s="539"/>
      <c r="JNN52" s="539"/>
      <c r="JNO52" s="539"/>
      <c r="JNP52" s="539"/>
      <c r="JNQ52" s="539"/>
      <c r="JNR52" s="539"/>
      <c r="JNS52" s="539"/>
      <c r="JNT52" s="539"/>
      <c r="JNU52" s="539"/>
      <c r="JNV52" s="539"/>
      <c r="JNW52" s="539"/>
      <c r="JNX52" s="539"/>
      <c r="JNY52" s="539"/>
      <c r="JNZ52" s="539"/>
      <c r="JOA52" s="539"/>
      <c r="JOB52" s="539"/>
      <c r="JOC52" s="539"/>
      <c r="JOD52" s="539"/>
      <c r="JOE52" s="539"/>
      <c r="JOF52" s="539"/>
      <c r="JOG52" s="539"/>
      <c r="JOH52" s="539"/>
      <c r="JOI52" s="539"/>
      <c r="JOJ52" s="539"/>
      <c r="JOK52" s="539"/>
      <c r="JOL52" s="539"/>
      <c r="JOM52" s="539"/>
      <c r="JON52" s="539"/>
      <c r="JOO52" s="539"/>
      <c r="JOP52" s="539"/>
      <c r="JOQ52" s="539"/>
      <c r="JOR52" s="539"/>
      <c r="JOS52" s="539"/>
      <c r="JOT52" s="539"/>
      <c r="JOU52" s="539"/>
      <c r="JOV52" s="539"/>
      <c r="JOW52" s="539"/>
      <c r="JOX52" s="539"/>
      <c r="JOY52" s="539"/>
      <c r="JOZ52" s="539"/>
      <c r="JPA52" s="539"/>
      <c r="JPB52" s="539"/>
      <c r="JPC52" s="539"/>
      <c r="JPD52" s="539"/>
      <c r="JPE52" s="539"/>
      <c r="JPF52" s="539"/>
      <c r="JPG52" s="539"/>
      <c r="JPH52" s="539"/>
      <c r="JPI52" s="539"/>
      <c r="JPJ52" s="539"/>
      <c r="JPK52" s="539"/>
      <c r="JPL52" s="539"/>
      <c r="JPM52" s="539"/>
      <c r="JPN52" s="539"/>
      <c r="JPO52" s="539"/>
      <c r="JPP52" s="539"/>
      <c r="JPQ52" s="539"/>
      <c r="JPR52" s="539"/>
      <c r="JPS52" s="539"/>
      <c r="JPT52" s="539"/>
      <c r="JPU52" s="539"/>
      <c r="JPV52" s="539"/>
      <c r="JPW52" s="539"/>
      <c r="JPX52" s="539"/>
      <c r="JPY52" s="539"/>
      <c r="JPZ52" s="539"/>
      <c r="JQA52" s="539"/>
      <c r="JQB52" s="539"/>
      <c r="JQC52" s="539"/>
      <c r="JQD52" s="539"/>
      <c r="JQE52" s="539"/>
      <c r="JQF52" s="539"/>
      <c r="JQG52" s="539"/>
      <c r="JQH52" s="539"/>
      <c r="JQI52" s="539"/>
      <c r="JQJ52" s="539"/>
      <c r="JQK52" s="539"/>
      <c r="JQL52" s="539"/>
      <c r="JQM52" s="539"/>
      <c r="JQN52" s="539"/>
      <c r="JQO52" s="539"/>
      <c r="JQP52" s="539"/>
      <c r="JQQ52" s="539"/>
      <c r="JQR52" s="539"/>
      <c r="JQS52" s="539"/>
      <c r="JQT52" s="539"/>
      <c r="JQU52" s="539"/>
      <c r="JQV52" s="539"/>
      <c r="JQW52" s="539"/>
      <c r="JQX52" s="539"/>
      <c r="JQY52" s="539"/>
      <c r="JQZ52" s="539"/>
      <c r="JRA52" s="539"/>
      <c r="JRB52" s="539"/>
      <c r="JRC52" s="539"/>
      <c r="JRD52" s="539"/>
      <c r="JRE52" s="539"/>
      <c r="JRF52" s="539"/>
      <c r="JRG52" s="539"/>
      <c r="JRH52" s="539"/>
      <c r="JRI52" s="539"/>
      <c r="JRJ52" s="539"/>
      <c r="JRK52" s="539"/>
      <c r="JRL52" s="539"/>
      <c r="JRM52" s="539"/>
      <c r="JRN52" s="539"/>
      <c r="JRO52" s="539"/>
      <c r="JRP52" s="539"/>
      <c r="JRQ52" s="539"/>
      <c r="JRR52" s="539"/>
      <c r="JRS52" s="539"/>
      <c r="JRT52" s="539"/>
      <c r="JRU52" s="539"/>
      <c r="JRV52" s="539"/>
      <c r="JRW52" s="539"/>
      <c r="JRX52" s="539"/>
      <c r="JRY52" s="539"/>
      <c r="JRZ52" s="539"/>
      <c r="JSA52" s="539"/>
      <c r="JSB52" s="539"/>
      <c r="JSC52" s="539"/>
      <c r="JSD52" s="539"/>
      <c r="JSE52" s="539"/>
      <c r="JSF52" s="539"/>
      <c r="JSG52" s="539"/>
      <c r="JSH52" s="539"/>
      <c r="JSI52" s="539"/>
      <c r="JSJ52" s="539"/>
      <c r="JSK52" s="539"/>
      <c r="JSL52" s="539"/>
      <c r="JSM52" s="539"/>
      <c r="JSN52" s="539"/>
      <c r="JSO52" s="539"/>
      <c r="JSP52" s="539"/>
      <c r="JSQ52" s="539"/>
      <c r="JSR52" s="539"/>
      <c r="JSS52" s="539"/>
      <c r="JST52" s="539"/>
      <c r="JSU52" s="539"/>
      <c r="JSV52" s="539"/>
      <c r="JSW52" s="539"/>
      <c r="JSX52" s="539"/>
      <c r="JSY52" s="539"/>
      <c r="JSZ52" s="539"/>
      <c r="JTA52" s="539"/>
      <c r="JTB52" s="539"/>
      <c r="JTC52" s="539"/>
      <c r="JTD52" s="539"/>
      <c r="JTE52" s="539"/>
      <c r="JTF52" s="539"/>
      <c r="JTG52" s="539"/>
      <c r="JTH52" s="539"/>
      <c r="JTI52" s="539"/>
      <c r="JTJ52" s="539"/>
      <c r="JTK52" s="539"/>
      <c r="JTL52" s="539"/>
      <c r="JTM52" s="539"/>
      <c r="JTN52" s="539"/>
      <c r="JTO52" s="539"/>
      <c r="JTP52" s="539"/>
      <c r="JTQ52" s="539"/>
      <c r="JTR52" s="539"/>
      <c r="JTS52" s="539"/>
      <c r="JTT52" s="539"/>
      <c r="JTU52" s="539"/>
      <c r="JTV52" s="539"/>
      <c r="JTW52" s="539"/>
      <c r="JTX52" s="539"/>
      <c r="JTY52" s="539"/>
      <c r="JTZ52" s="539"/>
      <c r="JUA52" s="539"/>
      <c r="JUB52" s="539"/>
      <c r="JUC52" s="539"/>
      <c r="JUD52" s="539"/>
      <c r="JUE52" s="539"/>
      <c r="JUF52" s="539"/>
      <c r="JUG52" s="539"/>
      <c r="JUH52" s="539"/>
      <c r="JUI52" s="539"/>
      <c r="JUJ52" s="539"/>
      <c r="JUK52" s="539"/>
      <c r="JUL52" s="539"/>
      <c r="JUM52" s="539"/>
      <c r="JUN52" s="539"/>
      <c r="JUO52" s="539"/>
      <c r="JUP52" s="539"/>
      <c r="JUQ52" s="539"/>
      <c r="JUR52" s="539"/>
      <c r="JUS52" s="539"/>
      <c r="JUT52" s="539"/>
      <c r="JUU52" s="539"/>
      <c r="JUV52" s="539"/>
      <c r="JUW52" s="539"/>
      <c r="JUX52" s="539"/>
      <c r="JUY52" s="539"/>
      <c r="JUZ52" s="539"/>
      <c r="JVA52" s="539"/>
      <c r="JVB52" s="539"/>
      <c r="JVC52" s="539"/>
      <c r="JVD52" s="539"/>
      <c r="JVE52" s="539"/>
      <c r="JVF52" s="539"/>
      <c r="JVG52" s="539"/>
      <c r="JVH52" s="539"/>
      <c r="JVI52" s="539"/>
      <c r="JVJ52" s="539"/>
      <c r="JVK52" s="539"/>
      <c r="JVL52" s="539"/>
      <c r="JVM52" s="539"/>
      <c r="JVN52" s="539"/>
      <c r="JVO52" s="539"/>
      <c r="JVP52" s="539"/>
      <c r="JVQ52" s="539"/>
      <c r="JVR52" s="539"/>
      <c r="JVS52" s="539"/>
      <c r="JVT52" s="539"/>
      <c r="JVU52" s="539"/>
      <c r="JVV52" s="539"/>
      <c r="JVW52" s="539"/>
      <c r="JVX52" s="539"/>
      <c r="JVY52" s="539"/>
      <c r="JVZ52" s="539"/>
      <c r="JWA52" s="539"/>
      <c r="JWB52" s="539"/>
      <c r="JWC52" s="539"/>
      <c r="JWD52" s="539"/>
      <c r="JWE52" s="539"/>
      <c r="JWF52" s="539"/>
      <c r="JWG52" s="539"/>
      <c r="JWH52" s="539"/>
      <c r="JWI52" s="539"/>
      <c r="JWJ52" s="539"/>
      <c r="JWK52" s="539"/>
      <c r="JWL52" s="539"/>
      <c r="JWM52" s="539"/>
      <c r="JWN52" s="539"/>
      <c r="JWO52" s="539"/>
      <c r="JWP52" s="539"/>
      <c r="JWQ52" s="539"/>
      <c r="JWR52" s="539"/>
      <c r="JWS52" s="539"/>
      <c r="JWT52" s="539"/>
      <c r="JWU52" s="539"/>
      <c r="JWV52" s="539"/>
      <c r="JWW52" s="539"/>
      <c r="JWX52" s="539"/>
      <c r="JWY52" s="539"/>
      <c r="JWZ52" s="539"/>
      <c r="JXA52" s="539"/>
      <c r="JXB52" s="539"/>
      <c r="JXC52" s="539"/>
      <c r="JXD52" s="539"/>
      <c r="JXE52" s="539"/>
      <c r="JXF52" s="539"/>
      <c r="JXG52" s="539"/>
      <c r="JXH52" s="539"/>
      <c r="JXI52" s="539"/>
      <c r="JXJ52" s="539"/>
      <c r="JXK52" s="539"/>
      <c r="JXL52" s="539"/>
      <c r="JXM52" s="539"/>
      <c r="JXN52" s="539"/>
      <c r="JXO52" s="539"/>
      <c r="JXP52" s="539"/>
      <c r="JXQ52" s="539"/>
      <c r="JXR52" s="539"/>
      <c r="JXS52" s="539"/>
      <c r="JXT52" s="539"/>
      <c r="JXU52" s="539"/>
      <c r="JXV52" s="539"/>
      <c r="JXW52" s="539"/>
      <c r="JXX52" s="539"/>
      <c r="JXY52" s="539"/>
      <c r="JXZ52" s="539"/>
      <c r="JYA52" s="539"/>
      <c r="JYB52" s="539"/>
      <c r="JYC52" s="539"/>
      <c r="JYD52" s="539"/>
      <c r="JYE52" s="539"/>
      <c r="JYF52" s="539"/>
      <c r="JYG52" s="539"/>
      <c r="JYH52" s="539"/>
      <c r="JYI52" s="539"/>
      <c r="JYJ52" s="539"/>
      <c r="JYK52" s="539"/>
      <c r="JYL52" s="539"/>
      <c r="JYM52" s="539"/>
      <c r="JYN52" s="539"/>
      <c r="JYO52" s="539"/>
      <c r="JYP52" s="539"/>
      <c r="JYQ52" s="539"/>
      <c r="JYR52" s="539"/>
      <c r="JYS52" s="539"/>
      <c r="JYT52" s="539"/>
      <c r="JYU52" s="539"/>
      <c r="JYV52" s="539"/>
      <c r="JYW52" s="539"/>
      <c r="JYX52" s="539"/>
      <c r="JYY52" s="539"/>
      <c r="JYZ52" s="539"/>
      <c r="JZA52" s="539"/>
      <c r="JZB52" s="539"/>
      <c r="JZC52" s="539"/>
      <c r="JZD52" s="539"/>
      <c r="JZE52" s="539"/>
      <c r="JZF52" s="539"/>
      <c r="JZG52" s="539"/>
      <c r="JZH52" s="539"/>
      <c r="JZI52" s="539"/>
      <c r="JZJ52" s="539"/>
      <c r="JZK52" s="539"/>
      <c r="JZL52" s="539"/>
      <c r="JZM52" s="539"/>
      <c r="JZN52" s="539"/>
      <c r="JZO52" s="539"/>
      <c r="JZP52" s="539"/>
      <c r="JZQ52" s="539"/>
      <c r="JZR52" s="539"/>
      <c r="JZS52" s="539"/>
      <c r="JZT52" s="539"/>
      <c r="JZU52" s="539"/>
      <c r="JZV52" s="539"/>
      <c r="JZW52" s="539"/>
      <c r="JZX52" s="539"/>
      <c r="JZY52" s="539"/>
      <c r="JZZ52" s="539"/>
      <c r="KAA52" s="539"/>
      <c r="KAB52" s="539"/>
      <c r="KAC52" s="539"/>
      <c r="KAD52" s="539"/>
      <c r="KAE52" s="539"/>
      <c r="KAF52" s="539"/>
      <c r="KAG52" s="539"/>
      <c r="KAH52" s="539"/>
      <c r="KAI52" s="539"/>
      <c r="KAJ52" s="539"/>
      <c r="KAK52" s="539"/>
      <c r="KAL52" s="539"/>
      <c r="KAM52" s="539"/>
      <c r="KAN52" s="539"/>
      <c r="KAO52" s="539"/>
      <c r="KAP52" s="539"/>
      <c r="KAQ52" s="539"/>
      <c r="KAR52" s="539"/>
      <c r="KAS52" s="539"/>
      <c r="KAT52" s="539"/>
      <c r="KAU52" s="539"/>
      <c r="KAV52" s="539"/>
      <c r="KAW52" s="539"/>
      <c r="KAX52" s="539"/>
      <c r="KAY52" s="539"/>
      <c r="KAZ52" s="539"/>
      <c r="KBA52" s="539"/>
      <c r="KBB52" s="539"/>
      <c r="KBC52" s="539"/>
      <c r="KBD52" s="539"/>
      <c r="KBE52" s="539"/>
      <c r="KBF52" s="539"/>
      <c r="KBG52" s="539"/>
      <c r="KBH52" s="539"/>
      <c r="KBI52" s="539"/>
      <c r="KBJ52" s="539"/>
      <c r="KBK52" s="539"/>
      <c r="KBL52" s="539"/>
      <c r="KBM52" s="539"/>
      <c r="KBN52" s="539"/>
      <c r="KBO52" s="539"/>
      <c r="KBP52" s="539"/>
      <c r="KBQ52" s="539"/>
      <c r="KBR52" s="539"/>
      <c r="KBS52" s="539"/>
      <c r="KBT52" s="539"/>
      <c r="KBU52" s="539"/>
      <c r="KBV52" s="539"/>
      <c r="KBW52" s="539"/>
      <c r="KBX52" s="539"/>
      <c r="KBY52" s="539"/>
      <c r="KBZ52" s="539"/>
      <c r="KCA52" s="539"/>
      <c r="KCB52" s="539"/>
      <c r="KCC52" s="539"/>
      <c r="KCD52" s="539"/>
      <c r="KCE52" s="539"/>
      <c r="KCF52" s="539"/>
      <c r="KCG52" s="539"/>
      <c r="KCH52" s="539"/>
      <c r="KCI52" s="539"/>
      <c r="KCJ52" s="539"/>
      <c r="KCK52" s="539"/>
      <c r="KCL52" s="539"/>
      <c r="KCM52" s="539"/>
      <c r="KCN52" s="539"/>
      <c r="KCO52" s="539"/>
      <c r="KCP52" s="539"/>
      <c r="KCQ52" s="539"/>
      <c r="KCR52" s="539"/>
      <c r="KCS52" s="539"/>
      <c r="KCT52" s="539"/>
      <c r="KCU52" s="539"/>
      <c r="KCV52" s="539"/>
      <c r="KCW52" s="539"/>
      <c r="KCX52" s="539"/>
      <c r="KCY52" s="539"/>
      <c r="KCZ52" s="539"/>
      <c r="KDA52" s="539"/>
      <c r="KDB52" s="539"/>
      <c r="KDC52" s="539"/>
      <c r="KDD52" s="539"/>
      <c r="KDE52" s="539"/>
      <c r="KDF52" s="539"/>
      <c r="KDG52" s="539"/>
      <c r="KDH52" s="539"/>
      <c r="KDI52" s="539"/>
      <c r="KDJ52" s="539"/>
      <c r="KDK52" s="539"/>
      <c r="KDL52" s="539"/>
      <c r="KDM52" s="539"/>
      <c r="KDN52" s="539"/>
      <c r="KDO52" s="539"/>
      <c r="KDP52" s="539"/>
      <c r="KDQ52" s="539"/>
      <c r="KDR52" s="539"/>
      <c r="KDS52" s="539"/>
      <c r="KDT52" s="539"/>
      <c r="KDU52" s="539"/>
      <c r="KDV52" s="539"/>
      <c r="KDW52" s="539"/>
      <c r="KDX52" s="539"/>
      <c r="KDY52" s="539"/>
      <c r="KDZ52" s="539"/>
      <c r="KEA52" s="539"/>
      <c r="KEB52" s="539"/>
      <c r="KEC52" s="539"/>
      <c r="KED52" s="539"/>
      <c r="KEE52" s="539"/>
      <c r="KEF52" s="539"/>
      <c r="KEG52" s="539"/>
      <c r="KEH52" s="539"/>
      <c r="KEI52" s="539"/>
      <c r="KEJ52" s="539"/>
      <c r="KEK52" s="539"/>
      <c r="KEL52" s="539"/>
      <c r="KEM52" s="539"/>
      <c r="KEN52" s="539"/>
      <c r="KEO52" s="539"/>
      <c r="KEP52" s="539"/>
      <c r="KEQ52" s="539"/>
      <c r="KER52" s="539"/>
      <c r="KES52" s="539"/>
      <c r="KET52" s="539"/>
      <c r="KEU52" s="539"/>
      <c r="KEV52" s="539"/>
      <c r="KEW52" s="539"/>
      <c r="KEX52" s="539"/>
      <c r="KEY52" s="539"/>
      <c r="KEZ52" s="539"/>
      <c r="KFA52" s="539"/>
      <c r="KFB52" s="539"/>
      <c r="KFC52" s="539"/>
      <c r="KFD52" s="539"/>
      <c r="KFE52" s="539"/>
      <c r="KFF52" s="539"/>
      <c r="KFG52" s="539"/>
      <c r="KFH52" s="539"/>
      <c r="KFI52" s="539"/>
      <c r="KFJ52" s="539"/>
      <c r="KFK52" s="539"/>
      <c r="KFL52" s="539"/>
      <c r="KFM52" s="539"/>
      <c r="KFN52" s="539"/>
      <c r="KFO52" s="539"/>
      <c r="KFP52" s="539"/>
      <c r="KFQ52" s="539"/>
      <c r="KFR52" s="539"/>
      <c r="KFS52" s="539"/>
      <c r="KFT52" s="539"/>
      <c r="KFU52" s="539"/>
      <c r="KFV52" s="539"/>
      <c r="KFW52" s="539"/>
      <c r="KFX52" s="539"/>
      <c r="KFY52" s="539"/>
      <c r="KFZ52" s="539"/>
      <c r="KGA52" s="539"/>
      <c r="KGB52" s="539"/>
      <c r="KGC52" s="539"/>
      <c r="KGD52" s="539"/>
      <c r="KGE52" s="539"/>
      <c r="KGF52" s="539"/>
      <c r="KGG52" s="539"/>
      <c r="KGH52" s="539"/>
      <c r="KGI52" s="539"/>
      <c r="KGJ52" s="539"/>
      <c r="KGK52" s="539"/>
      <c r="KGL52" s="539"/>
      <c r="KGM52" s="539"/>
      <c r="KGN52" s="539"/>
      <c r="KGO52" s="539"/>
      <c r="KGP52" s="539"/>
      <c r="KGQ52" s="539"/>
      <c r="KGR52" s="539"/>
      <c r="KGS52" s="539"/>
      <c r="KGT52" s="539"/>
      <c r="KGU52" s="539"/>
      <c r="KGV52" s="539"/>
      <c r="KGW52" s="539"/>
      <c r="KGX52" s="539"/>
      <c r="KGY52" s="539"/>
      <c r="KGZ52" s="539"/>
      <c r="KHA52" s="539"/>
      <c r="KHB52" s="539"/>
      <c r="KHC52" s="539"/>
      <c r="KHD52" s="539"/>
      <c r="KHE52" s="539"/>
      <c r="KHF52" s="539"/>
      <c r="KHG52" s="539"/>
      <c r="KHH52" s="539"/>
      <c r="KHI52" s="539"/>
      <c r="KHJ52" s="539"/>
      <c r="KHK52" s="539"/>
      <c r="KHL52" s="539"/>
      <c r="KHM52" s="539"/>
      <c r="KHN52" s="539"/>
      <c r="KHO52" s="539"/>
      <c r="KHP52" s="539"/>
      <c r="KHQ52" s="539"/>
      <c r="KHR52" s="539"/>
      <c r="KHS52" s="539"/>
      <c r="KHT52" s="539"/>
      <c r="KHU52" s="539"/>
      <c r="KHV52" s="539"/>
      <c r="KHW52" s="539"/>
      <c r="KHX52" s="539"/>
      <c r="KHY52" s="539"/>
      <c r="KHZ52" s="539"/>
      <c r="KIA52" s="539"/>
      <c r="KIB52" s="539"/>
      <c r="KIC52" s="539"/>
      <c r="KID52" s="539"/>
      <c r="KIE52" s="539"/>
      <c r="KIF52" s="539"/>
      <c r="KIG52" s="539"/>
      <c r="KIH52" s="539"/>
      <c r="KII52" s="539"/>
      <c r="KIJ52" s="539"/>
      <c r="KIK52" s="539"/>
      <c r="KIL52" s="539"/>
      <c r="KIM52" s="539"/>
      <c r="KIN52" s="539"/>
      <c r="KIO52" s="539"/>
      <c r="KIP52" s="539"/>
      <c r="KIQ52" s="539"/>
      <c r="KIR52" s="539"/>
      <c r="KIS52" s="539"/>
      <c r="KIT52" s="539"/>
      <c r="KIU52" s="539"/>
      <c r="KIV52" s="539"/>
      <c r="KIW52" s="539"/>
      <c r="KIX52" s="539"/>
      <c r="KIY52" s="539"/>
      <c r="KIZ52" s="539"/>
      <c r="KJA52" s="539"/>
      <c r="KJB52" s="539"/>
      <c r="KJC52" s="539"/>
      <c r="KJD52" s="539"/>
      <c r="KJE52" s="539"/>
      <c r="KJF52" s="539"/>
      <c r="KJG52" s="539"/>
      <c r="KJH52" s="539"/>
      <c r="KJI52" s="539"/>
      <c r="KJJ52" s="539"/>
      <c r="KJK52" s="539"/>
      <c r="KJL52" s="539"/>
      <c r="KJM52" s="539"/>
      <c r="KJN52" s="539"/>
      <c r="KJO52" s="539"/>
      <c r="KJP52" s="539"/>
      <c r="KJQ52" s="539"/>
      <c r="KJR52" s="539"/>
      <c r="KJS52" s="539"/>
      <c r="KJT52" s="539"/>
      <c r="KJU52" s="539"/>
      <c r="KJV52" s="539"/>
      <c r="KJW52" s="539"/>
      <c r="KJX52" s="539"/>
      <c r="KJY52" s="539"/>
      <c r="KJZ52" s="539"/>
      <c r="KKA52" s="539"/>
      <c r="KKB52" s="539"/>
      <c r="KKC52" s="539"/>
      <c r="KKD52" s="539"/>
      <c r="KKE52" s="539"/>
      <c r="KKF52" s="539"/>
      <c r="KKG52" s="539"/>
      <c r="KKH52" s="539"/>
      <c r="KKI52" s="539"/>
      <c r="KKJ52" s="539"/>
      <c r="KKK52" s="539"/>
      <c r="KKL52" s="539"/>
      <c r="KKM52" s="539"/>
      <c r="KKN52" s="539"/>
      <c r="KKO52" s="539"/>
      <c r="KKP52" s="539"/>
      <c r="KKQ52" s="539"/>
      <c r="KKR52" s="539"/>
      <c r="KKS52" s="539"/>
      <c r="KKT52" s="539"/>
      <c r="KKU52" s="539"/>
      <c r="KKV52" s="539"/>
      <c r="KKW52" s="539"/>
      <c r="KKX52" s="539"/>
      <c r="KKY52" s="539"/>
      <c r="KKZ52" s="539"/>
      <c r="KLA52" s="539"/>
      <c r="KLB52" s="539"/>
      <c r="KLC52" s="539"/>
      <c r="KLD52" s="539"/>
      <c r="KLE52" s="539"/>
      <c r="KLF52" s="539"/>
      <c r="KLG52" s="539"/>
      <c r="KLH52" s="539"/>
      <c r="KLI52" s="539"/>
      <c r="KLJ52" s="539"/>
      <c r="KLK52" s="539"/>
      <c r="KLL52" s="539"/>
      <c r="KLM52" s="539"/>
      <c r="KLN52" s="539"/>
      <c r="KLO52" s="539"/>
      <c r="KLP52" s="539"/>
      <c r="KLQ52" s="539"/>
      <c r="KLR52" s="539"/>
      <c r="KLS52" s="539"/>
      <c r="KLT52" s="539"/>
      <c r="KLU52" s="539"/>
      <c r="KLV52" s="539"/>
      <c r="KLW52" s="539"/>
      <c r="KLX52" s="539"/>
      <c r="KLY52" s="539"/>
      <c r="KLZ52" s="539"/>
      <c r="KMA52" s="539"/>
      <c r="KMB52" s="539"/>
      <c r="KMC52" s="539"/>
      <c r="KMD52" s="539"/>
      <c r="KME52" s="539"/>
      <c r="KMF52" s="539"/>
      <c r="KMG52" s="539"/>
      <c r="KMH52" s="539"/>
      <c r="KMI52" s="539"/>
      <c r="KMJ52" s="539"/>
      <c r="KMK52" s="539"/>
      <c r="KML52" s="539"/>
      <c r="KMM52" s="539"/>
      <c r="KMN52" s="539"/>
      <c r="KMO52" s="539"/>
      <c r="KMP52" s="539"/>
      <c r="KMQ52" s="539"/>
      <c r="KMR52" s="539"/>
      <c r="KMS52" s="539"/>
      <c r="KMT52" s="539"/>
      <c r="KMU52" s="539"/>
      <c r="KMV52" s="539"/>
      <c r="KMW52" s="539"/>
      <c r="KMX52" s="539"/>
      <c r="KMY52" s="539"/>
      <c r="KMZ52" s="539"/>
      <c r="KNA52" s="539"/>
      <c r="KNB52" s="539"/>
      <c r="KNC52" s="539"/>
      <c r="KND52" s="539"/>
      <c r="KNE52" s="539"/>
      <c r="KNF52" s="539"/>
      <c r="KNG52" s="539"/>
      <c r="KNH52" s="539"/>
      <c r="KNI52" s="539"/>
      <c r="KNJ52" s="539"/>
      <c r="KNK52" s="539"/>
      <c r="KNL52" s="539"/>
      <c r="KNM52" s="539"/>
      <c r="KNN52" s="539"/>
      <c r="KNO52" s="539"/>
      <c r="KNP52" s="539"/>
      <c r="KNQ52" s="539"/>
      <c r="KNR52" s="539"/>
      <c r="KNS52" s="539"/>
      <c r="KNT52" s="539"/>
      <c r="KNU52" s="539"/>
      <c r="KNV52" s="539"/>
      <c r="KNW52" s="539"/>
      <c r="KNX52" s="539"/>
      <c r="KNY52" s="539"/>
      <c r="KNZ52" s="539"/>
      <c r="KOA52" s="539"/>
      <c r="KOB52" s="539"/>
      <c r="KOC52" s="539"/>
      <c r="KOD52" s="539"/>
      <c r="KOE52" s="539"/>
      <c r="KOF52" s="539"/>
      <c r="KOG52" s="539"/>
      <c r="KOH52" s="539"/>
      <c r="KOI52" s="539"/>
      <c r="KOJ52" s="539"/>
      <c r="KOK52" s="539"/>
      <c r="KOL52" s="539"/>
      <c r="KOM52" s="539"/>
      <c r="KON52" s="539"/>
      <c r="KOO52" s="539"/>
      <c r="KOP52" s="539"/>
      <c r="KOQ52" s="539"/>
      <c r="KOR52" s="539"/>
      <c r="KOS52" s="539"/>
      <c r="KOT52" s="539"/>
      <c r="KOU52" s="539"/>
      <c r="KOV52" s="539"/>
      <c r="KOW52" s="539"/>
      <c r="KOX52" s="539"/>
      <c r="KOY52" s="539"/>
      <c r="KOZ52" s="539"/>
      <c r="KPA52" s="539"/>
      <c r="KPB52" s="539"/>
      <c r="KPC52" s="539"/>
      <c r="KPD52" s="539"/>
      <c r="KPE52" s="539"/>
      <c r="KPF52" s="539"/>
      <c r="KPG52" s="539"/>
      <c r="KPH52" s="539"/>
      <c r="KPI52" s="539"/>
      <c r="KPJ52" s="539"/>
      <c r="KPK52" s="539"/>
      <c r="KPL52" s="539"/>
      <c r="KPM52" s="539"/>
      <c r="KPN52" s="539"/>
      <c r="KPO52" s="539"/>
      <c r="KPP52" s="539"/>
      <c r="KPQ52" s="539"/>
      <c r="KPR52" s="539"/>
      <c r="KPS52" s="539"/>
      <c r="KPT52" s="539"/>
      <c r="KPU52" s="539"/>
      <c r="KPV52" s="539"/>
      <c r="KPW52" s="539"/>
      <c r="KPX52" s="539"/>
      <c r="KPY52" s="539"/>
      <c r="KPZ52" s="539"/>
      <c r="KQA52" s="539"/>
      <c r="KQB52" s="539"/>
      <c r="KQC52" s="539"/>
      <c r="KQD52" s="539"/>
      <c r="KQE52" s="539"/>
      <c r="KQF52" s="539"/>
      <c r="KQG52" s="539"/>
      <c r="KQH52" s="539"/>
      <c r="KQI52" s="539"/>
      <c r="KQJ52" s="539"/>
      <c r="KQK52" s="539"/>
      <c r="KQL52" s="539"/>
      <c r="KQM52" s="539"/>
      <c r="KQN52" s="539"/>
      <c r="KQO52" s="539"/>
      <c r="KQP52" s="539"/>
      <c r="KQQ52" s="539"/>
      <c r="KQR52" s="539"/>
      <c r="KQS52" s="539"/>
      <c r="KQT52" s="539"/>
      <c r="KQU52" s="539"/>
      <c r="KQV52" s="539"/>
      <c r="KQW52" s="539"/>
      <c r="KQX52" s="539"/>
      <c r="KQY52" s="539"/>
      <c r="KQZ52" s="539"/>
      <c r="KRA52" s="539"/>
      <c r="KRB52" s="539"/>
      <c r="KRC52" s="539"/>
      <c r="KRD52" s="539"/>
      <c r="KRE52" s="539"/>
      <c r="KRF52" s="539"/>
      <c r="KRG52" s="539"/>
      <c r="KRH52" s="539"/>
      <c r="KRI52" s="539"/>
      <c r="KRJ52" s="539"/>
      <c r="KRK52" s="539"/>
      <c r="KRL52" s="539"/>
      <c r="KRM52" s="539"/>
      <c r="KRN52" s="539"/>
      <c r="KRO52" s="539"/>
      <c r="KRP52" s="539"/>
      <c r="KRQ52" s="539"/>
      <c r="KRR52" s="539"/>
      <c r="KRS52" s="539"/>
      <c r="KRT52" s="539"/>
      <c r="KRU52" s="539"/>
      <c r="KRV52" s="539"/>
      <c r="KRW52" s="539"/>
      <c r="KRX52" s="539"/>
      <c r="KRY52" s="539"/>
      <c r="KRZ52" s="539"/>
      <c r="KSA52" s="539"/>
      <c r="KSB52" s="539"/>
      <c r="KSC52" s="539"/>
      <c r="KSD52" s="539"/>
      <c r="KSE52" s="539"/>
      <c r="KSF52" s="539"/>
      <c r="KSG52" s="539"/>
      <c r="KSH52" s="539"/>
      <c r="KSI52" s="539"/>
      <c r="KSJ52" s="539"/>
      <c r="KSK52" s="539"/>
      <c r="KSL52" s="539"/>
      <c r="KSM52" s="539"/>
      <c r="KSN52" s="539"/>
      <c r="KSO52" s="539"/>
      <c r="KSP52" s="539"/>
      <c r="KSQ52" s="539"/>
      <c r="KSR52" s="539"/>
      <c r="KSS52" s="539"/>
      <c r="KST52" s="539"/>
      <c r="KSU52" s="539"/>
      <c r="KSV52" s="539"/>
      <c r="KSW52" s="539"/>
      <c r="KSX52" s="539"/>
      <c r="KSY52" s="539"/>
      <c r="KSZ52" s="539"/>
      <c r="KTA52" s="539"/>
      <c r="KTB52" s="539"/>
      <c r="KTC52" s="539"/>
      <c r="KTD52" s="539"/>
      <c r="KTE52" s="539"/>
      <c r="KTF52" s="539"/>
      <c r="KTG52" s="539"/>
      <c r="KTH52" s="539"/>
      <c r="KTI52" s="539"/>
      <c r="KTJ52" s="539"/>
      <c r="KTK52" s="539"/>
      <c r="KTL52" s="539"/>
      <c r="KTM52" s="539"/>
      <c r="KTN52" s="539"/>
      <c r="KTO52" s="539"/>
      <c r="KTP52" s="539"/>
      <c r="KTQ52" s="539"/>
      <c r="KTR52" s="539"/>
      <c r="KTS52" s="539"/>
      <c r="KTT52" s="539"/>
      <c r="KTU52" s="539"/>
      <c r="KTV52" s="539"/>
      <c r="KTW52" s="539"/>
      <c r="KTX52" s="539"/>
      <c r="KTY52" s="539"/>
      <c r="KTZ52" s="539"/>
      <c r="KUA52" s="539"/>
      <c r="KUB52" s="539"/>
      <c r="KUC52" s="539"/>
      <c r="KUD52" s="539"/>
      <c r="KUE52" s="539"/>
      <c r="KUF52" s="539"/>
      <c r="KUG52" s="539"/>
      <c r="KUH52" s="539"/>
      <c r="KUI52" s="539"/>
      <c r="KUJ52" s="539"/>
      <c r="KUK52" s="539"/>
      <c r="KUL52" s="539"/>
      <c r="KUM52" s="539"/>
      <c r="KUN52" s="539"/>
      <c r="KUO52" s="539"/>
      <c r="KUP52" s="539"/>
      <c r="KUQ52" s="539"/>
      <c r="KUR52" s="539"/>
      <c r="KUS52" s="539"/>
      <c r="KUT52" s="539"/>
      <c r="KUU52" s="539"/>
      <c r="KUV52" s="539"/>
      <c r="KUW52" s="539"/>
      <c r="KUX52" s="539"/>
      <c r="KUY52" s="539"/>
      <c r="KUZ52" s="539"/>
      <c r="KVA52" s="539"/>
      <c r="KVB52" s="539"/>
      <c r="KVC52" s="539"/>
      <c r="KVD52" s="539"/>
      <c r="KVE52" s="539"/>
      <c r="KVF52" s="539"/>
      <c r="KVG52" s="539"/>
      <c r="KVH52" s="539"/>
      <c r="KVI52" s="539"/>
      <c r="KVJ52" s="539"/>
      <c r="KVK52" s="539"/>
      <c r="KVL52" s="539"/>
      <c r="KVM52" s="539"/>
      <c r="KVN52" s="539"/>
      <c r="KVO52" s="539"/>
      <c r="KVP52" s="539"/>
      <c r="KVQ52" s="539"/>
      <c r="KVR52" s="539"/>
      <c r="KVS52" s="539"/>
      <c r="KVT52" s="539"/>
      <c r="KVU52" s="539"/>
      <c r="KVV52" s="539"/>
      <c r="KVW52" s="539"/>
      <c r="KVX52" s="539"/>
      <c r="KVY52" s="539"/>
      <c r="KVZ52" s="539"/>
      <c r="KWA52" s="539"/>
      <c r="KWB52" s="539"/>
      <c r="KWC52" s="539"/>
      <c r="KWD52" s="539"/>
      <c r="KWE52" s="539"/>
      <c r="KWF52" s="539"/>
      <c r="KWG52" s="539"/>
      <c r="KWH52" s="539"/>
      <c r="KWI52" s="539"/>
      <c r="KWJ52" s="539"/>
      <c r="KWK52" s="539"/>
      <c r="KWL52" s="539"/>
      <c r="KWM52" s="539"/>
      <c r="KWN52" s="539"/>
      <c r="KWO52" s="539"/>
      <c r="KWP52" s="539"/>
      <c r="KWQ52" s="539"/>
      <c r="KWR52" s="539"/>
      <c r="KWS52" s="539"/>
      <c r="KWT52" s="539"/>
      <c r="KWU52" s="539"/>
      <c r="KWV52" s="539"/>
      <c r="KWW52" s="539"/>
      <c r="KWX52" s="539"/>
      <c r="KWY52" s="539"/>
      <c r="KWZ52" s="539"/>
      <c r="KXA52" s="539"/>
      <c r="KXB52" s="539"/>
      <c r="KXC52" s="539"/>
      <c r="KXD52" s="539"/>
      <c r="KXE52" s="539"/>
      <c r="KXF52" s="539"/>
      <c r="KXG52" s="539"/>
      <c r="KXH52" s="539"/>
      <c r="KXI52" s="539"/>
      <c r="KXJ52" s="539"/>
      <c r="KXK52" s="539"/>
      <c r="KXL52" s="539"/>
      <c r="KXM52" s="539"/>
      <c r="KXN52" s="539"/>
      <c r="KXO52" s="539"/>
      <c r="KXP52" s="539"/>
      <c r="KXQ52" s="539"/>
      <c r="KXR52" s="539"/>
      <c r="KXS52" s="539"/>
      <c r="KXT52" s="539"/>
      <c r="KXU52" s="539"/>
      <c r="KXV52" s="539"/>
      <c r="KXW52" s="539"/>
      <c r="KXX52" s="539"/>
      <c r="KXY52" s="539"/>
      <c r="KXZ52" s="539"/>
      <c r="KYA52" s="539"/>
      <c r="KYB52" s="539"/>
      <c r="KYC52" s="539"/>
      <c r="KYD52" s="539"/>
      <c r="KYE52" s="539"/>
      <c r="KYF52" s="539"/>
      <c r="KYG52" s="539"/>
      <c r="KYH52" s="539"/>
      <c r="KYI52" s="539"/>
      <c r="KYJ52" s="539"/>
      <c r="KYK52" s="539"/>
      <c r="KYL52" s="539"/>
      <c r="KYM52" s="539"/>
      <c r="KYN52" s="539"/>
      <c r="KYO52" s="539"/>
      <c r="KYP52" s="539"/>
      <c r="KYQ52" s="539"/>
      <c r="KYR52" s="539"/>
      <c r="KYS52" s="539"/>
      <c r="KYT52" s="539"/>
      <c r="KYU52" s="539"/>
      <c r="KYV52" s="539"/>
      <c r="KYW52" s="539"/>
      <c r="KYX52" s="539"/>
      <c r="KYY52" s="539"/>
      <c r="KYZ52" s="539"/>
      <c r="KZA52" s="539"/>
      <c r="KZB52" s="539"/>
      <c r="KZC52" s="539"/>
      <c r="KZD52" s="539"/>
      <c r="KZE52" s="539"/>
      <c r="KZF52" s="539"/>
      <c r="KZG52" s="539"/>
      <c r="KZH52" s="539"/>
      <c r="KZI52" s="539"/>
      <c r="KZJ52" s="539"/>
      <c r="KZK52" s="539"/>
      <c r="KZL52" s="539"/>
      <c r="KZM52" s="539"/>
      <c r="KZN52" s="539"/>
      <c r="KZO52" s="539"/>
      <c r="KZP52" s="539"/>
      <c r="KZQ52" s="539"/>
      <c r="KZR52" s="539"/>
      <c r="KZS52" s="539"/>
      <c r="KZT52" s="539"/>
      <c r="KZU52" s="539"/>
      <c r="KZV52" s="539"/>
      <c r="KZW52" s="539"/>
      <c r="KZX52" s="539"/>
      <c r="KZY52" s="539"/>
      <c r="KZZ52" s="539"/>
      <c r="LAA52" s="539"/>
      <c r="LAB52" s="539"/>
      <c r="LAC52" s="539"/>
      <c r="LAD52" s="539"/>
      <c r="LAE52" s="539"/>
      <c r="LAF52" s="539"/>
      <c r="LAG52" s="539"/>
      <c r="LAH52" s="539"/>
      <c r="LAI52" s="539"/>
      <c r="LAJ52" s="539"/>
      <c r="LAK52" s="539"/>
      <c r="LAL52" s="539"/>
      <c r="LAM52" s="539"/>
      <c r="LAN52" s="539"/>
      <c r="LAO52" s="539"/>
      <c r="LAP52" s="539"/>
      <c r="LAQ52" s="539"/>
      <c r="LAR52" s="539"/>
      <c r="LAS52" s="539"/>
      <c r="LAT52" s="539"/>
      <c r="LAU52" s="539"/>
      <c r="LAV52" s="539"/>
      <c r="LAW52" s="539"/>
      <c r="LAX52" s="539"/>
      <c r="LAY52" s="539"/>
      <c r="LAZ52" s="539"/>
      <c r="LBA52" s="539"/>
      <c r="LBB52" s="539"/>
      <c r="LBC52" s="539"/>
      <c r="LBD52" s="539"/>
      <c r="LBE52" s="539"/>
      <c r="LBF52" s="539"/>
      <c r="LBG52" s="539"/>
      <c r="LBH52" s="539"/>
      <c r="LBI52" s="539"/>
      <c r="LBJ52" s="539"/>
      <c r="LBK52" s="539"/>
      <c r="LBL52" s="539"/>
      <c r="LBM52" s="539"/>
      <c r="LBN52" s="539"/>
      <c r="LBO52" s="539"/>
      <c r="LBP52" s="539"/>
      <c r="LBQ52" s="539"/>
      <c r="LBR52" s="539"/>
      <c r="LBS52" s="539"/>
      <c r="LBT52" s="539"/>
      <c r="LBU52" s="539"/>
      <c r="LBV52" s="539"/>
      <c r="LBW52" s="539"/>
      <c r="LBX52" s="539"/>
      <c r="LBY52" s="539"/>
      <c r="LBZ52" s="539"/>
      <c r="LCA52" s="539"/>
      <c r="LCB52" s="539"/>
      <c r="LCC52" s="539"/>
      <c r="LCD52" s="539"/>
      <c r="LCE52" s="539"/>
      <c r="LCF52" s="539"/>
      <c r="LCG52" s="539"/>
      <c r="LCH52" s="539"/>
      <c r="LCI52" s="539"/>
      <c r="LCJ52" s="539"/>
      <c r="LCK52" s="539"/>
      <c r="LCL52" s="539"/>
      <c r="LCM52" s="539"/>
      <c r="LCN52" s="539"/>
      <c r="LCO52" s="539"/>
      <c r="LCP52" s="539"/>
      <c r="LCQ52" s="539"/>
      <c r="LCR52" s="539"/>
      <c r="LCS52" s="539"/>
      <c r="LCT52" s="539"/>
      <c r="LCU52" s="539"/>
      <c r="LCV52" s="539"/>
      <c r="LCW52" s="539"/>
      <c r="LCX52" s="539"/>
      <c r="LCY52" s="539"/>
      <c r="LCZ52" s="539"/>
      <c r="LDA52" s="539"/>
      <c r="LDB52" s="539"/>
      <c r="LDC52" s="539"/>
      <c r="LDD52" s="539"/>
      <c r="LDE52" s="539"/>
      <c r="LDF52" s="539"/>
      <c r="LDG52" s="539"/>
      <c r="LDH52" s="539"/>
      <c r="LDI52" s="539"/>
      <c r="LDJ52" s="539"/>
      <c r="LDK52" s="539"/>
      <c r="LDL52" s="539"/>
      <c r="LDM52" s="539"/>
      <c r="LDN52" s="539"/>
      <c r="LDO52" s="539"/>
      <c r="LDP52" s="539"/>
      <c r="LDQ52" s="539"/>
      <c r="LDR52" s="539"/>
      <c r="LDS52" s="539"/>
      <c r="LDT52" s="539"/>
      <c r="LDU52" s="539"/>
      <c r="LDV52" s="539"/>
      <c r="LDW52" s="539"/>
      <c r="LDX52" s="539"/>
      <c r="LDY52" s="539"/>
      <c r="LDZ52" s="539"/>
      <c r="LEA52" s="539"/>
      <c r="LEB52" s="539"/>
      <c r="LEC52" s="539"/>
      <c r="LED52" s="539"/>
      <c r="LEE52" s="539"/>
      <c r="LEF52" s="539"/>
      <c r="LEG52" s="539"/>
      <c r="LEH52" s="539"/>
      <c r="LEI52" s="539"/>
      <c r="LEJ52" s="539"/>
      <c r="LEK52" s="539"/>
      <c r="LEL52" s="539"/>
      <c r="LEM52" s="539"/>
      <c r="LEN52" s="539"/>
      <c r="LEO52" s="539"/>
      <c r="LEP52" s="539"/>
      <c r="LEQ52" s="539"/>
      <c r="LER52" s="539"/>
      <c r="LES52" s="539"/>
      <c r="LET52" s="539"/>
      <c r="LEU52" s="539"/>
      <c r="LEV52" s="539"/>
      <c r="LEW52" s="539"/>
      <c r="LEX52" s="539"/>
      <c r="LEY52" s="539"/>
      <c r="LEZ52" s="539"/>
      <c r="LFA52" s="539"/>
      <c r="LFB52" s="539"/>
      <c r="LFC52" s="539"/>
      <c r="LFD52" s="539"/>
      <c r="LFE52" s="539"/>
      <c r="LFF52" s="539"/>
      <c r="LFG52" s="539"/>
      <c r="LFH52" s="539"/>
      <c r="LFI52" s="539"/>
      <c r="LFJ52" s="539"/>
      <c r="LFK52" s="539"/>
      <c r="LFL52" s="539"/>
      <c r="LFM52" s="539"/>
      <c r="LFN52" s="539"/>
      <c r="LFO52" s="539"/>
      <c r="LFP52" s="539"/>
      <c r="LFQ52" s="539"/>
      <c r="LFR52" s="539"/>
      <c r="LFS52" s="539"/>
      <c r="LFT52" s="539"/>
      <c r="LFU52" s="539"/>
      <c r="LFV52" s="539"/>
      <c r="LFW52" s="539"/>
      <c r="LFX52" s="539"/>
      <c r="LFY52" s="539"/>
      <c r="LFZ52" s="539"/>
      <c r="LGA52" s="539"/>
      <c r="LGB52" s="539"/>
      <c r="LGC52" s="539"/>
      <c r="LGD52" s="539"/>
      <c r="LGE52" s="539"/>
      <c r="LGF52" s="539"/>
      <c r="LGG52" s="539"/>
      <c r="LGH52" s="539"/>
      <c r="LGI52" s="539"/>
      <c r="LGJ52" s="539"/>
      <c r="LGK52" s="539"/>
      <c r="LGL52" s="539"/>
      <c r="LGM52" s="539"/>
      <c r="LGN52" s="539"/>
      <c r="LGO52" s="539"/>
      <c r="LGP52" s="539"/>
      <c r="LGQ52" s="539"/>
      <c r="LGR52" s="539"/>
      <c r="LGS52" s="539"/>
      <c r="LGT52" s="539"/>
      <c r="LGU52" s="539"/>
      <c r="LGV52" s="539"/>
      <c r="LGW52" s="539"/>
      <c r="LGX52" s="539"/>
      <c r="LGY52" s="539"/>
      <c r="LGZ52" s="539"/>
      <c r="LHA52" s="539"/>
      <c r="LHB52" s="539"/>
      <c r="LHC52" s="539"/>
      <c r="LHD52" s="539"/>
      <c r="LHE52" s="539"/>
      <c r="LHF52" s="539"/>
      <c r="LHG52" s="539"/>
      <c r="LHH52" s="539"/>
      <c r="LHI52" s="539"/>
      <c r="LHJ52" s="539"/>
      <c r="LHK52" s="539"/>
      <c r="LHL52" s="539"/>
      <c r="LHM52" s="539"/>
      <c r="LHN52" s="539"/>
      <c r="LHO52" s="539"/>
      <c r="LHP52" s="539"/>
      <c r="LHQ52" s="539"/>
      <c r="LHR52" s="539"/>
      <c r="LHS52" s="539"/>
      <c r="LHT52" s="539"/>
      <c r="LHU52" s="539"/>
      <c r="LHV52" s="539"/>
      <c r="LHW52" s="539"/>
      <c r="LHX52" s="539"/>
      <c r="LHY52" s="539"/>
      <c r="LHZ52" s="539"/>
      <c r="LIA52" s="539"/>
      <c r="LIB52" s="539"/>
      <c r="LIC52" s="539"/>
      <c r="LID52" s="539"/>
      <c r="LIE52" s="539"/>
      <c r="LIF52" s="539"/>
      <c r="LIG52" s="539"/>
      <c r="LIH52" s="539"/>
      <c r="LII52" s="539"/>
      <c r="LIJ52" s="539"/>
      <c r="LIK52" s="539"/>
      <c r="LIL52" s="539"/>
      <c r="LIM52" s="539"/>
      <c r="LIN52" s="539"/>
      <c r="LIO52" s="539"/>
      <c r="LIP52" s="539"/>
      <c r="LIQ52" s="539"/>
      <c r="LIR52" s="539"/>
      <c r="LIS52" s="539"/>
      <c r="LIT52" s="539"/>
      <c r="LIU52" s="539"/>
      <c r="LIV52" s="539"/>
      <c r="LIW52" s="539"/>
      <c r="LIX52" s="539"/>
      <c r="LIY52" s="539"/>
      <c r="LIZ52" s="539"/>
      <c r="LJA52" s="539"/>
      <c r="LJB52" s="539"/>
      <c r="LJC52" s="539"/>
      <c r="LJD52" s="539"/>
      <c r="LJE52" s="539"/>
      <c r="LJF52" s="539"/>
      <c r="LJG52" s="539"/>
      <c r="LJH52" s="539"/>
      <c r="LJI52" s="539"/>
      <c r="LJJ52" s="539"/>
      <c r="LJK52" s="539"/>
      <c r="LJL52" s="539"/>
      <c r="LJM52" s="539"/>
      <c r="LJN52" s="539"/>
      <c r="LJO52" s="539"/>
      <c r="LJP52" s="539"/>
      <c r="LJQ52" s="539"/>
      <c r="LJR52" s="539"/>
      <c r="LJS52" s="539"/>
      <c r="LJT52" s="539"/>
      <c r="LJU52" s="539"/>
      <c r="LJV52" s="539"/>
      <c r="LJW52" s="539"/>
      <c r="LJX52" s="539"/>
      <c r="LJY52" s="539"/>
      <c r="LJZ52" s="539"/>
      <c r="LKA52" s="539"/>
      <c r="LKB52" s="539"/>
      <c r="LKC52" s="539"/>
      <c r="LKD52" s="539"/>
      <c r="LKE52" s="539"/>
      <c r="LKF52" s="539"/>
      <c r="LKG52" s="539"/>
      <c r="LKH52" s="539"/>
      <c r="LKI52" s="539"/>
      <c r="LKJ52" s="539"/>
      <c r="LKK52" s="539"/>
      <c r="LKL52" s="539"/>
      <c r="LKM52" s="539"/>
      <c r="LKN52" s="539"/>
      <c r="LKO52" s="539"/>
      <c r="LKP52" s="539"/>
      <c r="LKQ52" s="539"/>
      <c r="LKR52" s="539"/>
      <c r="LKS52" s="539"/>
      <c r="LKT52" s="539"/>
      <c r="LKU52" s="539"/>
      <c r="LKV52" s="539"/>
      <c r="LKW52" s="539"/>
      <c r="LKX52" s="539"/>
      <c r="LKY52" s="539"/>
      <c r="LKZ52" s="539"/>
      <c r="LLA52" s="539"/>
      <c r="LLB52" s="539"/>
      <c r="LLC52" s="539"/>
      <c r="LLD52" s="539"/>
      <c r="LLE52" s="539"/>
      <c r="LLF52" s="539"/>
      <c r="LLG52" s="539"/>
      <c r="LLH52" s="539"/>
      <c r="LLI52" s="539"/>
      <c r="LLJ52" s="539"/>
      <c r="LLK52" s="539"/>
      <c r="LLL52" s="539"/>
      <c r="LLM52" s="539"/>
      <c r="LLN52" s="539"/>
      <c r="LLO52" s="539"/>
      <c r="LLP52" s="539"/>
      <c r="LLQ52" s="539"/>
      <c r="LLR52" s="539"/>
      <c r="LLS52" s="539"/>
      <c r="LLT52" s="539"/>
      <c r="LLU52" s="539"/>
      <c r="LLV52" s="539"/>
      <c r="LLW52" s="539"/>
      <c r="LLX52" s="539"/>
      <c r="LLY52" s="539"/>
      <c r="LLZ52" s="539"/>
      <c r="LMA52" s="539"/>
      <c r="LMB52" s="539"/>
      <c r="LMC52" s="539"/>
      <c r="LMD52" s="539"/>
      <c r="LME52" s="539"/>
      <c r="LMF52" s="539"/>
      <c r="LMG52" s="539"/>
      <c r="LMH52" s="539"/>
      <c r="LMI52" s="539"/>
      <c r="LMJ52" s="539"/>
      <c r="LMK52" s="539"/>
      <c r="LML52" s="539"/>
      <c r="LMM52" s="539"/>
      <c r="LMN52" s="539"/>
      <c r="LMO52" s="539"/>
      <c r="LMP52" s="539"/>
      <c r="LMQ52" s="539"/>
      <c r="LMR52" s="539"/>
      <c r="LMS52" s="539"/>
      <c r="LMT52" s="539"/>
      <c r="LMU52" s="539"/>
      <c r="LMV52" s="539"/>
      <c r="LMW52" s="539"/>
      <c r="LMX52" s="539"/>
      <c r="LMY52" s="539"/>
      <c r="LMZ52" s="539"/>
      <c r="LNA52" s="539"/>
      <c r="LNB52" s="539"/>
      <c r="LNC52" s="539"/>
      <c r="LND52" s="539"/>
      <c r="LNE52" s="539"/>
      <c r="LNF52" s="539"/>
      <c r="LNG52" s="539"/>
      <c r="LNH52" s="539"/>
      <c r="LNI52" s="539"/>
      <c r="LNJ52" s="539"/>
      <c r="LNK52" s="539"/>
      <c r="LNL52" s="539"/>
      <c r="LNM52" s="539"/>
      <c r="LNN52" s="539"/>
      <c r="LNO52" s="539"/>
      <c r="LNP52" s="539"/>
      <c r="LNQ52" s="539"/>
      <c r="LNR52" s="539"/>
      <c r="LNS52" s="539"/>
      <c r="LNT52" s="539"/>
      <c r="LNU52" s="539"/>
      <c r="LNV52" s="539"/>
      <c r="LNW52" s="539"/>
      <c r="LNX52" s="539"/>
      <c r="LNY52" s="539"/>
      <c r="LNZ52" s="539"/>
      <c r="LOA52" s="539"/>
      <c r="LOB52" s="539"/>
      <c r="LOC52" s="539"/>
      <c r="LOD52" s="539"/>
      <c r="LOE52" s="539"/>
      <c r="LOF52" s="539"/>
      <c r="LOG52" s="539"/>
      <c r="LOH52" s="539"/>
      <c r="LOI52" s="539"/>
      <c r="LOJ52" s="539"/>
      <c r="LOK52" s="539"/>
      <c r="LOL52" s="539"/>
      <c r="LOM52" s="539"/>
      <c r="LON52" s="539"/>
      <c r="LOO52" s="539"/>
      <c r="LOP52" s="539"/>
      <c r="LOQ52" s="539"/>
      <c r="LOR52" s="539"/>
      <c r="LOS52" s="539"/>
      <c r="LOT52" s="539"/>
      <c r="LOU52" s="539"/>
      <c r="LOV52" s="539"/>
      <c r="LOW52" s="539"/>
      <c r="LOX52" s="539"/>
      <c r="LOY52" s="539"/>
      <c r="LOZ52" s="539"/>
      <c r="LPA52" s="539"/>
      <c r="LPB52" s="539"/>
      <c r="LPC52" s="539"/>
      <c r="LPD52" s="539"/>
      <c r="LPE52" s="539"/>
      <c r="LPF52" s="539"/>
      <c r="LPG52" s="539"/>
      <c r="LPH52" s="539"/>
      <c r="LPI52" s="539"/>
      <c r="LPJ52" s="539"/>
      <c r="LPK52" s="539"/>
      <c r="LPL52" s="539"/>
      <c r="LPM52" s="539"/>
      <c r="LPN52" s="539"/>
      <c r="LPO52" s="539"/>
      <c r="LPP52" s="539"/>
      <c r="LPQ52" s="539"/>
      <c r="LPR52" s="539"/>
      <c r="LPS52" s="539"/>
      <c r="LPT52" s="539"/>
      <c r="LPU52" s="539"/>
      <c r="LPV52" s="539"/>
      <c r="LPW52" s="539"/>
      <c r="LPX52" s="539"/>
      <c r="LPY52" s="539"/>
      <c r="LPZ52" s="539"/>
      <c r="LQA52" s="539"/>
      <c r="LQB52" s="539"/>
      <c r="LQC52" s="539"/>
      <c r="LQD52" s="539"/>
      <c r="LQE52" s="539"/>
      <c r="LQF52" s="539"/>
      <c r="LQG52" s="539"/>
      <c r="LQH52" s="539"/>
      <c r="LQI52" s="539"/>
      <c r="LQJ52" s="539"/>
      <c r="LQK52" s="539"/>
      <c r="LQL52" s="539"/>
      <c r="LQM52" s="539"/>
      <c r="LQN52" s="539"/>
      <c r="LQO52" s="539"/>
      <c r="LQP52" s="539"/>
      <c r="LQQ52" s="539"/>
      <c r="LQR52" s="539"/>
      <c r="LQS52" s="539"/>
      <c r="LQT52" s="539"/>
      <c r="LQU52" s="539"/>
      <c r="LQV52" s="539"/>
      <c r="LQW52" s="539"/>
      <c r="LQX52" s="539"/>
      <c r="LQY52" s="539"/>
      <c r="LQZ52" s="539"/>
      <c r="LRA52" s="539"/>
      <c r="LRB52" s="539"/>
      <c r="LRC52" s="539"/>
      <c r="LRD52" s="539"/>
      <c r="LRE52" s="539"/>
      <c r="LRF52" s="539"/>
      <c r="LRG52" s="539"/>
      <c r="LRH52" s="539"/>
      <c r="LRI52" s="539"/>
      <c r="LRJ52" s="539"/>
      <c r="LRK52" s="539"/>
      <c r="LRL52" s="539"/>
      <c r="LRM52" s="539"/>
      <c r="LRN52" s="539"/>
      <c r="LRO52" s="539"/>
      <c r="LRP52" s="539"/>
      <c r="LRQ52" s="539"/>
      <c r="LRR52" s="539"/>
      <c r="LRS52" s="539"/>
      <c r="LRT52" s="539"/>
      <c r="LRU52" s="539"/>
      <c r="LRV52" s="539"/>
      <c r="LRW52" s="539"/>
      <c r="LRX52" s="539"/>
      <c r="LRY52" s="539"/>
      <c r="LRZ52" s="539"/>
      <c r="LSA52" s="539"/>
      <c r="LSB52" s="539"/>
      <c r="LSC52" s="539"/>
      <c r="LSD52" s="539"/>
      <c r="LSE52" s="539"/>
      <c r="LSF52" s="539"/>
      <c r="LSG52" s="539"/>
      <c r="LSH52" s="539"/>
      <c r="LSI52" s="539"/>
      <c r="LSJ52" s="539"/>
      <c r="LSK52" s="539"/>
      <c r="LSL52" s="539"/>
      <c r="LSM52" s="539"/>
      <c r="LSN52" s="539"/>
      <c r="LSO52" s="539"/>
      <c r="LSP52" s="539"/>
      <c r="LSQ52" s="539"/>
      <c r="LSR52" s="539"/>
      <c r="LSS52" s="539"/>
      <c r="LST52" s="539"/>
      <c r="LSU52" s="539"/>
      <c r="LSV52" s="539"/>
      <c r="LSW52" s="539"/>
      <c r="LSX52" s="539"/>
      <c r="LSY52" s="539"/>
      <c r="LSZ52" s="539"/>
      <c r="LTA52" s="539"/>
      <c r="LTB52" s="539"/>
      <c r="LTC52" s="539"/>
      <c r="LTD52" s="539"/>
      <c r="LTE52" s="539"/>
      <c r="LTF52" s="539"/>
      <c r="LTG52" s="539"/>
      <c r="LTH52" s="539"/>
      <c r="LTI52" s="539"/>
      <c r="LTJ52" s="539"/>
      <c r="LTK52" s="539"/>
      <c r="LTL52" s="539"/>
      <c r="LTM52" s="539"/>
      <c r="LTN52" s="539"/>
      <c r="LTO52" s="539"/>
      <c r="LTP52" s="539"/>
      <c r="LTQ52" s="539"/>
      <c r="LTR52" s="539"/>
      <c r="LTS52" s="539"/>
      <c r="LTT52" s="539"/>
      <c r="LTU52" s="539"/>
      <c r="LTV52" s="539"/>
      <c r="LTW52" s="539"/>
      <c r="LTX52" s="539"/>
      <c r="LTY52" s="539"/>
      <c r="LTZ52" s="539"/>
      <c r="LUA52" s="539"/>
      <c r="LUB52" s="539"/>
      <c r="LUC52" s="539"/>
      <c r="LUD52" s="539"/>
      <c r="LUE52" s="539"/>
      <c r="LUF52" s="539"/>
      <c r="LUG52" s="539"/>
      <c r="LUH52" s="539"/>
      <c r="LUI52" s="539"/>
      <c r="LUJ52" s="539"/>
      <c r="LUK52" s="539"/>
      <c r="LUL52" s="539"/>
      <c r="LUM52" s="539"/>
      <c r="LUN52" s="539"/>
      <c r="LUO52" s="539"/>
      <c r="LUP52" s="539"/>
      <c r="LUQ52" s="539"/>
      <c r="LUR52" s="539"/>
      <c r="LUS52" s="539"/>
      <c r="LUT52" s="539"/>
      <c r="LUU52" s="539"/>
      <c r="LUV52" s="539"/>
      <c r="LUW52" s="539"/>
      <c r="LUX52" s="539"/>
      <c r="LUY52" s="539"/>
      <c r="LUZ52" s="539"/>
      <c r="LVA52" s="539"/>
      <c r="LVB52" s="539"/>
      <c r="LVC52" s="539"/>
      <c r="LVD52" s="539"/>
      <c r="LVE52" s="539"/>
      <c r="LVF52" s="539"/>
      <c r="LVG52" s="539"/>
      <c r="LVH52" s="539"/>
      <c r="LVI52" s="539"/>
      <c r="LVJ52" s="539"/>
      <c r="LVK52" s="539"/>
      <c r="LVL52" s="539"/>
      <c r="LVM52" s="539"/>
      <c r="LVN52" s="539"/>
      <c r="LVO52" s="539"/>
      <c r="LVP52" s="539"/>
      <c r="LVQ52" s="539"/>
      <c r="LVR52" s="539"/>
      <c r="LVS52" s="539"/>
      <c r="LVT52" s="539"/>
      <c r="LVU52" s="539"/>
      <c r="LVV52" s="539"/>
      <c r="LVW52" s="539"/>
      <c r="LVX52" s="539"/>
      <c r="LVY52" s="539"/>
      <c r="LVZ52" s="539"/>
      <c r="LWA52" s="539"/>
      <c r="LWB52" s="539"/>
      <c r="LWC52" s="539"/>
      <c r="LWD52" s="539"/>
      <c r="LWE52" s="539"/>
      <c r="LWF52" s="539"/>
      <c r="LWG52" s="539"/>
      <c r="LWH52" s="539"/>
      <c r="LWI52" s="539"/>
      <c r="LWJ52" s="539"/>
      <c r="LWK52" s="539"/>
      <c r="LWL52" s="539"/>
      <c r="LWM52" s="539"/>
      <c r="LWN52" s="539"/>
      <c r="LWO52" s="539"/>
      <c r="LWP52" s="539"/>
      <c r="LWQ52" s="539"/>
      <c r="LWR52" s="539"/>
      <c r="LWS52" s="539"/>
      <c r="LWT52" s="539"/>
      <c r="LWU52" s="539"/>
      <c r="LWV52" s="539"/>
      <c r="LWW52" s="539"/>
      <c r="LWX52" s="539"/>
      <c r="LWY52" s="539"/>
      <c r="LWZ52" s="539"/>
      <c r="LXA52" s="539"/>
      <c r="LXB52" s="539"/>
      <c r="LXC52" s="539"/>
      <c r="LXD52" s="539"/>
      <c r="LXE52" s="539"/>
      <c r="LXF52" s="539"/>
      <c r="LXG52" s="539"/>
      <c r="LXH52" s="539"/>
      <c r="LXI52" s="539"/>
      <c r="LXJ52" s="539"/>
      <c r="LXK52" s="539"/>
      <c r="LXL52" s="539"/>
      <c r="LXM52" s="539"/>
      <c r="LXN52" s="539"/>
      <c r="LXO52" s="539"/>
      <c r="LXP52" s="539"/>
      <c r="LXQ52" s="539"/>
      <c r="LXR52" s="539"/>
      <c r="LXS52" s="539"/>
      <c r="LXT52" s="539"/>
      <c r="LXU52" s="539"/>
      <c r="LXV52" s="539"/>
      <c r="LXW52" s="539"/>
      <c r="LXX52" s="539"/>
      <c r="LXY52" s="539"/>
      <c r="LXZ52" s="539"/>
      <c r="LYA52" s="539"/>
      <c r="LYB52" s="539"/>
      <c r="LYC52" s="539"/>
      <c r="LYD52" s="539"/>
      <c r="LYE52" s="539"/>
      <c r="LYF52" s="539"/>
      <c r="LYG52" s="539"/>
      <c r="LYH52" s="539"/>
      <c r="LYI52" s="539"/>
      <c r="LYJ52" s="539"/>
      <c r="LYK52" s="539"/>
      <c r="LYL52" s="539"/>
      <c r="LYM52" s="539"/>
      <c r="LYN52" s="539"/>
      <c r="LYO52" s="539"/>
      <c r="LYP52" s="539"/>
      <c r="LYQ52" s="539"/>
      <c r="LYR52" s="539"/>
      <c r="LYS52" s="539"/>
      <c r="LYT52" s="539"/>
      <c r="LYU52" s="539"/>
      <c r="LYV52" s="539"/>
      <c r="LYW52" s="539"/>
      <c r="LYX52" s="539"/>
      <c r="LYY52" s="539"/>
      <c r="LYZ52" s="539"/>
      <c r="LZA52" s="539"/>
      <c r="LZB52" s="539"/>
      <c r="LZC52" s="539"/>
      <c r="LZD52" s="539"/>
      <c r="LZE52" s="539"/>
      <c r="LZF52" s="539"/>
      <c r="LZG52" s="539"/>
      <c r="LZH52" s="539"/>
      <c r="LZI52" s="539"/>
      <c r="LZJ52" s="539"/>
      <c r="LZK52" s="539"/>
      <c r="LZL52" s="539"/>
      <c r="LZM52" s="539"/>
      <c r="LZN52" s="539"/>
      <c r="LZO52" s="539"/>
      <c r="LZP52" s="539"/>
      <c r="LZQ52" s="539"/>
      <c r="LZR52" s="539"/>
      <c r="LZS52" s="539"/>
      <c r="LZT52" s="539"/>
      <c r="LZU52" s="539"/>
      <c r="LZV52" s="539"/>
      <c r="LZW52" s="539"/>
      <c r="LZX52" s="539"/>
      <c r="LZY52" s="539"/>
      <c r="LZZ52" s="539"/>
      <c r="MAA52" s="539"/>
      <c r="MAB52" s="539"/>
      <c r="MAC52" s="539"/>
      <c r="MAD52" s="539"/>
      <c r="MAE52" s="539"/>
      <c r="MAF52" s="539"/>
      <c r="MAG52" s="539"/>
      <c r="MAH52" s="539"/>
      <c r="MAI52" s="539"/>
      <c r="MAJ52" s="539"/>
      <c r="MAK52" s="539"/>
      <c r="MAL52" s="539"/>
      <c r="MAM52" s="539"/>
      <c r="MAN52" s="539"/>
      <c r="MAO52" s="539"/>
      <c r="MAP52" s="539"/>
      <c r="MAQ52" s="539"/>
      <c r="MAR52" s="539"/>
      <c r="MAS52" s="539"/>
      <c r="MAT52" s="539"/>
      <c r="MAU52" s="539"/>
      <c r="MAV52" s="539"/>
      <c r="MAW52" s="539"/>
      <c r="MAX52" s="539"/>
      <c r="MAY52" s="539"/>
      <c r="MAZ52" s="539"/>
      <c r="MBA52" s="539"/>
      <c r="MBB52" s="539"/>
      <c r="MBC52" s="539"/>
      <c r="MBD52" s="539"/>
      <c r="MBE52" s="539"/>
      <c r="MBF52" s="539"/>
      <c r="MBG52" s="539"/>
      <c r="MBH52" s="539"/>
      <c r="MBI52" s="539"/>
      <c r="MBJ52" s="539"/>
      <c r="MBK52" s="539"/>
      <c r="MBL52" s="539"/>
      <c r="MBM52" s="539"/>
      <c r="MBN52" s="539"/>
      <c r="MBO52" s="539"/>
      <c r="MBP52" s="539"/>
      <c r="MBQ52" s="539"/>
      <c r="MBR52" s="539"/>
      <c r="MBS52" s="539"/>
      <c r="MBT52" s="539"/>
      <c r="MBU52" s="539"/>
      <c r="MBV52" s="539"/>
      <c r="MBW52" s="539"/>
      <c r="MBX52" s="539"/>
      <c r="MBY52" s="539"/>
      <c r="MBZ52" s="539"/>
      <c r="MCA52" s="539"/>
      <c r="MCB52" s="539"/>
      <c r="MCC52" s="539"/>
      <c r="MCD52" s="539"/>
      <c r="MCE52" s="539"/>
      <c r="MCF52" s="539"/>
      <c r="MCG52" s="539"/>
      <c r="MCH52" s="539"/>
      <c r="MCI52" s="539"/>
      <c r="MCJ52" s="539"/>
      <c r="MCK52" s="539"/>
      <c r="MCL52" s="539"/>
      <c r="MCM52" s="539"/>
      <c r="MCN52" s="539"/>
      <c r="MCO52" s="539"/>
      <c r="MCP52" s="539"/>
      <c r="MCQ52" s="539"/>
      <c r="MCR52" s="539"/>
      <c r="MCS52" s="539"/>
      <c r="MCT52" s="539"/>
      <c r="MCU52" s="539"/>
      <c r="MCV52" s="539"/>
      <c r="MCW52" s="539"/>
      <c r="MCX52" s="539"/>
      <c r="MCY52" s="539"/>
      <c r="MCZ52" s="539"/>
      <c r="MDA52" s="539"/>
      <c r="MDB52" s="539"/>
      <c r="MDC52" s="539"/>
      <c r="MDD52" s="539"/>
      <c r="MDE52" s="539"/>
      <c r="MDF52" s="539"/>
      <c r="MDG52" s="539"/>
      <c r="MDH52" s="539"/>
      <c r="MDI52" s="539"/>
      <c r="MDJ52" s="539"/>
      <c r="MDK52" s="539"/>
      <c r="MDL52" s="539"/>
      <c r="MDM52" s="539"/>
      <c r="MDN52" s="539"/>
      <c r="MDO52" s="539"/>
      <c r="MDP52" s="539"/>
      <c r="MDQ52" s="539"/>
      <c r="MDR52" s="539"/>
      <c r="MDS52" s="539"/>
      <c r="MDT52" s="539"/>
      <c r="MDU52" s="539"/>
      <c r="MDV52" s="539"/>
      <c r="MDW52" s="539"/>
      <c r="MDX52" s="539"/>
      <c r="MDY52" s="539"/>
      <c r="MDZ52" s="539"/>
      <c r="MEA52" s="539"/>
      <c r="MEB52" s="539"/>
      <c r="MEC52" s="539"/>
      <c r="MED52" s="539"/>
      <c r="MEE52" s="539"/>
      <c r="MEF52" s="539"/>
      <c r="MEG52" s="539"/>
      <c r="MEH52" s="539"/>
      <c r="MEI52" s="539"/>
      <c r="MEJ52" s="539"/>
      <c r="MEK52" s="539"/>
      <c r="MEL52" s="539"/>
      <c r="MEM52" s="539"/>
      <c r="MEN52" s="539"/>
      <c r="MEO52" s="539"/>
      <c r="MEP52" s="539"/>
      <c r="MEQ52" s="539"/>
      <c r="MER52" s="539"/>
      <c r="MES52" s="539"/>
      <c r="MET52" s="539"/>
      <c r="MEU52" s="539"/>
      <c r="MEV52" s="539"/>
      <c r="MEW52" s="539"/>
      <c r="MEX52" s="539"/>
      <c r="MEY52" s="539"/>
      <c r="MEZ52" s="539"/>
      <c r="MFA52" s="539"/>
      <c r="MFB52" s="539"/>
      <c r="MFC52" s="539"/>
      <c r="MFD52" s="539"/>
      <c r="MFE52" s="539"/>
      <c r="MFF52" s="539"/>
      <c r="MFG52" s="539"/>
      <c r="MFH52" s="539"/>
      <c r="MFI52" s="539"/>
      <c r="MFJ52" s="539"/>
      <c r="MFK52" s="539"/>
      <c r="MFL52" s="539"/>
      <c r="MFM52" s="539"/>
      <c r="MFN52" s="539"/>
      <c r="MFO52" s="539"/>
      <c r="MFP52" s="539"/>
      <c r="MFQ52" s="539"/>
      <c r="MFR52" s="539"/>
      <c r="MFS52" s="539"/>
      <c r="MFT52" s="539"/>
      <c r="MFU52" s="539"/>
      <c r="MFV52" s="539"/>
      <c r="MFW52" s="539"/>
      <c r="MFX52" s="539"/>
      <c r="MFY52" s="539"/>
      <c r="MFZ52" s="539"/>
      <c r="MGA52" s="539"/>
      <c r="MGB52" s="539"/>
      <c r="MGC52" s="539"/>
      <c r="MGD52" s="539"/>
      <c r="MGE52" s="539"/>
      <c r="MGF52" s="539"/>
      <c r="MGG52" s="539"/>
      <c r="MGH52" s="539"/>
      <c r="MGI52" s="539"/>
      <c r="MGJ52" s="539"/>
      <c r="MGK52" s="539"/>
      <c r="MGL52" s="539"/>
      <c r="MGM52" s="539"/>
      <c r="MGN52" s="539"/>
      <c r="MGO52" s="539"/>
      <c r="MGP52" s="539"/>
      <c r="MGQ52" s="539"/>
      <c r="MGR52" s="539"/>
      <c r="MGS52" s="539"/>
      <c r="MGT52" s="539"/>
      <c r="MGU52" s="539"/>
      <c r="MGV52" s="539"/>
      <c r="MGW52" s="539"/>
      <c r="MGX52" s="539"/>
      <c r="MGY52" s="539"/>
      <c r="MGZ52" s="539"/>
      <c r="MHA52" s="539"/>
      <c r="MHB52" s="539"/>
      <c r="MHC52" s="539"/>
      <c r="MHD52" s="539"/>
      <c r="MHE52" s="539"/>
      <c r="MHF52" s="539"/>
      <c r="MHG52" s="539"/>
      <c r="MHH52" s="539"/>
      <c r="MHI52" s="539"/>
      <c r="MHJ52" s="539"/>
      <c r="MHK52" s="539"/>
      <c r="MHL52" s="539"/>
      <c r="MHM52" s="539"/>
      <c r="MHN52" s="539"/>
      <c r="MHO52" s="539"/>
      <c r="MHP52" s="539"/>
      <c r="MHQ52" s="539"/>
      <c r="MHR52" s="539"/>
      <c r="MHS52" s="539"/>
      <c r="MHT52" s="539"/>
      <c r="MHU52" s="539"/>
      <c r="MHV52" s="539"/>
      <c r="MHW52" s="539"/>
      <c r="MHX52" s="539"/>
      <c r="MHY52" s="539"/>
      <c r="MHZ52" s="539"/>
      <c r="MIA52" s="539"/>
      <c r="MIB52" s="539"/>
      <c r="MIC52" s="539"/>
      <c r="MID52" s="539"/>
      <c r="MIE52" s="539"/>
      <c r="MIF52" s="539"/>
      <c r="MIG52" s="539"/>
      <c r="MIH52" s="539"/>
      <c r="MII52" s="539"/>
      <c r="MIJ52" s="539"/>
      <c r="MIK52" s="539"/>
      <c r="MIL52" s="539"/>
      <c r="MIM52" s="539"/>
      <c r="MIN52" s="539"/>
      <c r="MIO52" s="539"/>
      <c r="MIP52" s="539"/>
      <c r="MIQ52" s="539"/>
      <c r="MIR52" s="539"/>
      <c r="MIS52" s="539"/>
      <c r="MIT52" s="539"/>
      <c r="MIU52" s="539"/>
      <c r="MIV52" s="539"/>
      <c r="MIW52" s="539"/>
      <c r="MIX52" s="539"/>
      <c r="MIY52" s="539"/>
      <c r="MIZ52" s="539"/>
      <c r="MJA52" s="539"/>
      <c r="MJB52" s="539"/>
      <c r="MJC52" s="539"/>
      <c r="MJD52" s="539"/>
      <c r="MJE52" s="539"/>
      <c r="MJF52" s="539"/>
      <c r="MJG52" s="539"/>
      <c r="MJH52" s="539"/>
      <c r="MJI52" s="539"/>
      <c r="MJJ52" s="539"/>
      <c r="MJK52" s="539"/>
      <c r="MJL52" s="539"/>
      <c r="MJM52" s="539"/>
      <c r="MJN52" s="539"/>
      <c r="MJO52" s="539"/>
      <c r="MJP52" s="539"/>
      <c r="MJQ52" s="539"/>
      <c r="MJR52" s="539"/>
      <c r="MJS52" s="539"/>
      <c r="MJT52" s="539"/>
      <c r="MJU52" s="539"/>
      <c r="MJV52" s="539"/>
      <c r="MJW52" s="539"/>
      <c r="MJX52" s="539"/>
      <c r="MJY52" s="539"/>
      <c r="MJZ52" s="539"/>
      <c r="MKA52" s="539"/>
      <c r="MKB52" s="539"/>
      <c r="MKC52" s="539"/>
      <c r="MKD52" s="539"/>
      <c r="MKE52" s="539"/>
      <c r="MKF52" s="539"/>
      <c r="MKG52" s="539"/>
      <c r="MKH52" s="539"/>
      <c r="MKI52" s="539"/>
      <c r="MKJ52" s="539"/>
      <c r="MKK52" s="539"/>
      <c r="MKL52" s="539"/>
      <c r="MKM52" s="539"/>
      <c r="MKN52" s="539"/>
      <c r="MKO52" s="539"/>
      <c r="MKP52" s="539"/>
      <c r="MKQ52" s="539"/>
      <c r="MKR52" s="539"/>
      <c r="MKS52" s="539"/>
      <c r="MKT52" s="539"/>
      <c r="MKU52" s="539"/>
      <c r="MKV52" s="539"/>
      <c r="MKW52" s="539"/>
      <c r="MKX52" s="539"/>
      <c r="MKY52" s="539"/>
      <c r="MKZ52" s="539"/>
      <c r="MLA52" s="539"/>
      <c r="MLB52" s="539"/>
      <c r="MLC52" s="539"/>
      <c r="MLD52" s="539"/>
      <c r="MLE52" s="539"/>
      <c r="MLF52" s="539"/>
      <c r="MLG52" s="539"/>
      <c r="MLH52" s="539"/>
      <c r="MLI52" s="539"/>
      <c r="MLJ52" s="539"/>
      <c r="MLK52" s="539"/>
      <c r="MLL52" s="539"/>
      <c r="MLM52" s="539"/>
      <c r="MLN52" s="539"/>
      <c r="MLO52" s="539"/>
      <c r="MLP52" s="539"/>
      <c r="MLQ52" s="539"/>
      <c r="MLR52" s="539"/>
      <c r="MLS52" s="539"/>
      <c r="MLT52" s="539"/>
      <c r="MLU52" s="539"/>
      <c r="MLV52" s="539"/>
      <c r="MLW52" s="539"/>
      <c r="MLX52" s="539"/>
      <c r="MLY52" s="539"/>
      <c r="MLZ52" s="539"/>
      <c r="MMA52" s="539"/>
      <c r="MMB52" s="539"/>
      <c r="MMC52" s="539"/>
      <c r="MMD52" s="539"/>
      <c r="MME52" s="539"/>
      <c r="MMF52" s="539"/>
      <c r="MMG52" s="539"/>
      <c r="MMH52" s="539"/>
      <c r="MMI52" s="539"/>
      <c r="MMJ52" s="539"/>
      <c r="MMK52" s="539"/>
      <c r="MML52" s="539"/>
      <c r="MMM52" s="539"/>
      <c r="MMN52" s="539"/>
      <c r="MMO52" s="539"/>
      <c r="MMP52" s="539"/>
      <c r="MMQ52" s="539"/>
      <c r="MMR52" s="539"/>
      <c r="MMS52" s="539"/>
      <c r="MMT52" s="539"/>
      <c r="MMU52" s="539"/>
      <c r="MMV52" s="539"/>
      <c r="MMW52" s="539"/>
      <c r="MMX52" s="539"/>
      <c r="MMY52" s="539"/>
      <c r="MMZ52" s="539"/>
      <c r="MNA52" s="539"/>
      <c r="MNB52" s="539"/>
      <c r="MNC52" s="539"/>
      <c r="MND52" s="539"/>
      <c r="MNE52" s="539"/>
      <c r="MNF52" s="539"/>
      <c r="MNG52" s="539"/>
      <c r="MNH52" s="539"/>
      <c r="MNI52" s="539"/>
      <c r="MNJ52" s="539"/>
      <c r="MNK52" s="539"/>
      <c r="MNL52" s="539"/>
      <c r="MNM52" s="539"/>
      <c r="MNN52" s="539"/>
      <c r="MNO52" s="539"/>
      <c r="MNP52" s="539"/>
      <c r="MNQ52" s="539"/>
      <c r="MNR52" s="539"/>
      <c r="MNS52" s="539"/>
      <c r="MNT52" s="539"/>
      <c r="MNU52" s="539"/>
      <c r="MNV52" s="539"/>
      <c r="MNW52" s="539"/>
      <c r="MNX52" s="539"/>
      <c r="MNY52" s="539"/>
      <c r="MNZ52" s="539"/>
      <c r="MOA52" s="539"/>
      <c r="MOB52" s="539"/>
      <c r="MOC52" s="539"/>
      <c r="MOD52" s="539"/>
      <c r="MOE52" s="539"/>
      <c r="MOF52" s="539"/>
      <c r="MOG52" s="539"/>
      <c r="MOH52" s="539"/>
      <c r="MOI52" s="539"/>
      <c r="MOJ52" s="539"/>
      <c r="MOK52" s="539"/>
      <c r="MOL52" s="539"/>
      <c r="MOM52" s="539"/>
      <c r="MON52" s="539"/>
      <c r="MOO52" s="539"/>
      <c r="MOP52" s="539"/>
      <c r="MOQ52" s="539"/>
      <c r="MOR52" s="539"/>
      <c r="MOS52" s="539"/>
      <c r="MOT52" s="539"/>
      <c r="MOU52" s="539"/>
      <c r="MOV52" s="539"/>
      <c r="MOW52" s="539"/>
      <c r="MOX52" s="539"/>
      <c r="MOY52" s="539"/>
      <c r="MOZ52" s="539"/>
      <c r="MPA52" s="539"/>
      <c r="MPB52" s="539"/>
      <c r="MPC52" s="539"/>
      <c r="MPD52" s="539"/>
      <c r="MPE52" s="539"/>
      <c r="MPF52" s="539"/>
      <c r="MPG52" s="539"/>
      <c r="MPH52" s="539"/>
      <c r="MPI52" s="539"/>
      <c r="MPJ52" s="539"/>
      <c r="MPK52" s="539"/>
      <c r="MPL52" s="539"/>
      <c r="MPM52" s="539"/>
      <c r="MPN52" s="539"/>
      <c r="MPO52" s="539"/>
      <c r="MPP52" s="539"/>
      <c r="MPQ52" s="539"/>
      <c r="MPR52" s="539"/>
      <c r="MPS52" s="539"/>
      <c r="MPT52" s="539"/>
      <c r="MPU52" s="539"/>
      <c r="MPV52" s="539"/>
      <c r="MPW52" s="539"/>
      <c r="MPX52" s="539"/>
      <c r="MPY52" s="539"/>
      <c r="MPZ52" s="539"/>
      <c r="MQA52" s="539"/>
      <c r="MQB52" s="539"/>
      <c r="MQC52" s="539"/>
      <c r="MQD52" s="539"/>
      <c r="MQE52" s="539"/>
      <c r="MQF52" s="539"/>
      <c r="MQG52" s="539"/>
      <c r="MQH52" s="539"/>
      <c r="MQI52" s="539"/>
      <c r="MQJ52" s="539"/>
      <c r="MQK52" s="539"/>
      <c r="MQL52" s="539"/>
      <c r="MQM52" s="539"/>
      <c r="MQN52" s="539"/>
      <c r="MQO52" s="539"/>
      <c r="MQP52" s="539"/>
      <c r="MQQ52" s="539"/>
      <c r="MQR52" s="539"/>
      <c r="MQS52" s="539"/>
      <c r="MQT52" s="539"/>
      <c r="MQU52" s="539"/>
      <c r="MQV52" s="539"/>
      <c r="MQW52" s="539"/>
      <c r="MQX52" s="539"/>
      <c r="MQY52" s="539"/>
      <c r="MQZ52" s="539"/>
      <c r="MRA52" s="539"/>
      <c r="MRB52" s="539"/>
      <c r="MRC52" s="539"/>
      <c r="MRD52" s="539"/>
      <c r="MRE52" s="539"/>
      <c r="MRF52" s="539"/>
      <c r="MRG52" s="539"/>
      <c r="MRH52" s="539"/>
      <c r="MRI52" s="539"/>
      <c r="MRJ52" s="539"/>
      <c r="MRK52" s="539"/>
      <c r="MRL52" s="539"/>
      <c r="MRM52" s="539"/>
      <c r="MRN52" s="539"/>
      <c r="MRO52" s="539"/>
      <c r="MRP52" s="539"/>
      <c r="MRQ52" s="539"/>
      <c r="MRR52" s="539"/>
      <c r="MRS52" s="539"/>
      <c r="MRT52" s="539"/>
      <c r="MRU52" s="539"/>
      <c r="MRV52" s="539"/>
      <c r="MRW52" s="539"/>
      <c r="MRX52" s="539"/>
      <c r="MRY52" s="539"/>
      <c r="MRZ52" s="539"/>
      <c r="MSA52" s="539"/>
      <c r="MSB52" s="539"/>
      <c r="MSC52" s="539"/>
      <c r="MSD52" s="539"/>
      <c r="MSE52" s="539"/>
      <c r="MSF52" s="539"/>
      <c r="MSG52" s="539"/>
      <c r="MSH52" s="539"/>
      <c r="MSI52" s="539"/>
      <c r="MSJ52" s="539"/>
      <c r="MSK52" s="539"/>
      <c r="MSL52" s="539"/>
      <c r="MSM52" s="539"/>
      <c r="MSN52" s="539"/>
      <c r="MSO52" s="539"/>
      <c r="MSP52" s="539"/>
      <c r="MSQ52" s="539"/>
      <c r="MSR52" s="539"/>
      <c r="MSS52" s="539"/>
      <c r="MST52" s="539"/>
      <c r="MSU52" s="539"/>
      <c r="MSV52" s="539"/>
      <c r="MSW52" s="539"/>
      <c r="MSX52" s="539"/>
      <c r="MSY52" s="539"/>
      <c r="MSZ52" s="539"/>
      <c r="MTA52" s="539"/>
      <c r="MTB52" s="539"/>
      <c r="MTC52" s="539"/>
      <c r="MTD52" s="539"/>
      <c r="MTE52" s="539"/>
      <c r="MTF52" s="539"/>
      <c r="MTG52" s="539"/>
      <c r="MTH52" s="539"/>
      <c r="MTI52" s="539"/>
      <c r="MTJ52" s="539"/>
      <c r="MTK52" s="539"/>
      <c r="MTL52" s="539"/>
      <c r="MTM52" s="539"/>
      <c r="MTN52" s="539"/>
      <c r="MTO52" s="539"/>
      <c r="MTP52" s="539"/>
      <c r="MTQ52" s="539"/>
      <c r="MTR52" s="539"/>
      <c r="MTS52" s="539"/>
      <c r="MTT52" s="539"/>
      <c r="MTU52" s="539"/>
      <c r="MTV52" s="539"/>
      <c r="MTW52" s="539"/>
      <c r="MTX52" s="539"/>
      <c r="MTY52" s="539"/>
      <c r="MTZ52" s="539"/>
      <c r="MUA52" s="539"/>
      <c r="MUB52" s="539"/>
      <c r="MUC52" s="539"/>
      <c r="MUD52" s="539"/>
      <c r="MUE52" s="539"/>
      <c r="MUF52" s="539"/>
      <c r="MUG52" s="539"/>
      <c r="MUH52" s="539"/>
      <c r="MUI52" s="539"/>
      <c r="MUJ52" s="539"/>
      <c r="MUK52" s="539"/>
      <c r="MUL52" s="539"/>
      <c r="MUM52" s="539"/>
      <c r="MUN52" s="539"/>
      <c r="MUO52" s="539"/>
      <c r="MUP52" s="539"/>
      <c r="MUQ52" s="539"/>
      <c r="MUR52" s="539"/>
      <c r="MUS52" s="539"/>
      <c r="MUT52" s="539"/>
      <c r="MUU52" s="539"/>
      <c r="MUV52" s="539"/>
      <c r="MUW52" s="539"/>
      <c r="MUX52" s="539"/>
      <c r="MUY52" s="539"/>
      <c r="MUZ52" s="539"/>
      <c r="MVA52" s="539"/>
      <c r="MVB52" s="539"/>
      <c r="MVC52" s="539"/>
      <c r="MVD52" s="539"/>
      <c r="MVE52" s="539"/>
      <c r="MVF52" s="539"/>
      <c r="MVG52" s="539"/>
      <c r="MVH52" s="539"/>
      <c r="MVI52" s="539"/>
      <c r="MVJ52" s="539"/>
      <c r="MVK52" s="539"/>
      <c r="MVL52" s="539"/>
      <c r="MVM52" s="539"/>
      <c r="MVN52" s="539"/>
      <c r="MVO52" s="539"/>
      <c r="MVP52" s="539"/>
      <c r="MVQ52" s="539"/>
      <c r="MVR52" s="539"/>
      <c r="MVS52" s="539"/>
      <c r="MVT52" s="539"/>
      <c r="MVU52" s="539"/>
      <c r="MVV52" s="539"/>
      <c r="MVW52" s="539"/>
      <c r="MVX52" s="539"/>
      <c r="MVY52" s="539"/>
      <c r="MVZ52" s="539"/>
      <c r="MWA52" s="539"/>
      <c r="MWB52" s="539"/>
      <c r="MWC52" s="539"/>
      <c r="MWD52" s="539"/>
      <c r="MWE52" s="539"/>
      <c r="MWF52" s="539"/>
      <c r="MWG52" s="539"/>
      <c r="MWH52" s="539"/>
      <c r="MWI52" s="539"/>
      <c r="MWJ52" s="539"/>
      <c r="MWK52" s="539"/>
      <c r="MWL52" s="539"/>
      <c r="MWM52" s="539"/>
      <c r="MWN52" s="539"/>
      <c r="MWO52" s="539"/>
      <c r="MWP52" s="539"/>
      <c r="MWQ52" s="539"/>
      <c r="MWR52" s="539"/>
      <c r="MWS52" s="539"/>
      <c r="MWT52" s="539"/>
      <c r="MWU52" s="539"/>
      <c r="MWV52" s="539"/>
      <c r="MWW52" s="539"/>
      <c r="MWX52" s="539"/>
      <c r="MWY52" s="539"/>
      <c r="MWZ52" s="539"/>
      <c r="MXA52" s="539"/>
      <c r="MXB52" s="539"/>
      <c r="MXC52" s="539"/>
      <c r="MXD52" s="539"/>
      <c r="MXE52" s="539"/>
      <c r="MXF52" s="539"/>
      <c r="MXG52" s="539"/>
      <c r="MXH52" s="539"/>
      <c r="MXI52" s="539"/>
      <c r="MXJ52" s="539"/>
      <c r="MXK52" s="539"/>
      <c r="MXL52" s="539"/>
      <c r="MXM52" s="539"/>
      <c r="MXN52" s="539"/>
      <c r="MXO52" s="539"/>
      <c r="MXP52" s="539"/>
      <c r="MXQ52" s="539"/>
      <c r="MXR52" s="539"/>
      <c r="MXS52" s="539"/>
      <c r="MXT52" s="539"/>
      <c r="MXU52" s="539"/>
      <c r="MXV52" s="539"/>
      <c r="MXW52" s="539"/>
      <c r="MXX52" s="539"/>
      <c r="MXY52" s="539"/>
      <c r="MXZ52" s="539"/>
      <c r="MYA52" s="539"/>
      <c r="MYB52" s="539"/>
      <c r="MYC52" s="539"/>
      <c r="MYD52" s="539"/>
      <c r="MYE52" s="539"/>
      <c r="MYF52" s="539"/>
      <c r="MYG52" s="539"/>
      <c r="MYH52" s="539"/>
      <c r="MYI52" s="539"/>
      <c r="MYJ52" s="539"/>
      <c r="MYK52" s="539"/>
      <c r="MYL52" s="539"/>
      <c r="MYM52" s="539"/>
      <c r="MYN52" s="539"/>
      <c r="MYO52" s="539"/>
      <c r="MYP52" s="539"/>
      <c r="MYQ52" s="539"/>
      <c r="MYR52" s="539"/>
      <c r="MYS52" s="539"/>
      <c r="MYT52" s="539"/>
      <c r="MYU52" s="539"/>
      <c r="MYV52" s="539"/>
      <c r="MYW52" s="539"/>
      <c r="MYX52" s="539"/>
      <c r="MYY52" s="539"/>
      <c r="MYZ52" s="539"/>
      <c r="MZA52" s="539"/>
      <c r="MZB52" s="539"/>
      <c r="MZC52" s="539"/>
      <c r="MZD52" s="539"/>
      <c r="MZE52" s="539"/>
      <c r="MZF52" s="539"/>
      <c r="MZG52" s="539"/>
      <c r="MZH52" s="539"/>
      <c r="MZI52" s="539"/>
      <c r="MZJ52" s="539"/>
      <c r="MZK52" s="539"/>
      <c r="MZL52" s="539"/>
      <c r="MZM52" s="539"/>
      <c r="MZN52" s="539"/>
      <c r="MZO52" s="539"/>
      <c r="MZP52" s="539"/>
      <c r="MZQ52" s="539"/>
      <c r="MZR52" s="539"/>
      <c r="MZS52" s="539"/>
      <c r="MZT52" s="539"/>
      <c r="MZU52" s="539"/>
      <c r="MZV52" s="539"/>
      <c r="MZW52" s="539"/>
      <c r="MZX52" s="539"/>
      <c r="MZY52" s="539"/>
      <c r="MZZ52" s="539"/>
      <c r="NAA52" s="539"/>
      <c r="NAB52" s="539"/>
      <c r="NAC52" s="539"/>
      <c r="NAD52" s="539"/>
      <c r="NAE52" s="539"/>
      <c r="NAF52" s="539"/>
      <c r="NAG52" s="539"/>
      <c r="NAH52" s="539"/>
      <c r="NAI52" s="539"/>
      <c r="NAJ52" s="539"/>
      <c r="NAK52" s="539"/>
      <c r="NAL52" s="539"/>
      <c r="NAM52" s="539"/>
      <c r="NAN52" s="539"/>
      <c r="NAO52" s="539"/>
      <c r="NAP52" s="539"/>
      <c r="NAQ52" s="539"/>
      <c r="NAR52" s="539"/>
      <c r="NAS52" s="539"/>
      <c r="NAT52" s="539"/>
      <c r="NAU52" s="539"/>
      <c r="NAV52" s="539"/>
      <c r="NAW52" s="539"/>
      <c r="NAX52" s="539"/>
      <c r="NAY52" s="539"/>
      <c r="NAZ52" s="539"/>
      <c r="NBA52" s="539"/>
      <c r="NBB52" s="539"/>
      <c r="NBC52" s="539"/>
      <c r="NBD52" s="539"/>
      <c r="NBE52" s="539"/>
      <c r="NBF52" s="539"/>
      <c r="NBG52" s="539"/>
      <c r="NBH52" s="539"/>
      <c r="NBI52" s="539"/>
      <c r="NBJ52" s="539"/>
      <c r="NBK52" s="539"/>
      <c r="NBL52" s="539"/>
      <c r="NBM52" s="539"/>
      <c r="NBN52" s="539"/>
      <c r="NBO52" s="539"/>
      <c r="NBP52" s="539"/>
      <c r="NBQ52" s="539"/>
      <c r="NBR52" s="539"/>
      <c r="NBS52" s="539"/>
      <c r="NBT52" s="539"/>
      <c r="NBU52" s="539"/>
      <c r="NBV52" s="539"/>
      <c r="NBW52" s="539"/>
      <c r="NBX52" s="539"/>
      <c r="NBY52" s="539"/>
      <c r="NBZ52" s="539"/>
      <c r="NCA52" s="539"/>
      <c r="NCB52" s="539"/>
      <c r="NCC52" s="539"/>
      <c r="NCD52" s="539"/>
      <c r="NCE52" s="539"/>
      <c r="NCF52" s="539"/>
      <c r="NCG52" s="539"/>
      <c r="NCH52" s="539"/>
      <c r="NCI52" s="539"/>
      <c r="NCJ52" s="539"/>
      <c r="NCK52" s="539"/>
      <c r="NCL52" s="539"/>
      <c r="NCM52" s="539"/>
      <c r="NCN52" s="539"/>
      <c r="NCO52" s="539"/>
      <c r="NCP52" s="539"/>
      <c r="NCQ52" s="539"/>
      <c r="NCR52" s="539"/>
      <c r="NCS52" s="539"/>
      <c r="NCT52" s="539"/>
      <c r="NCU52" s="539"/>
      <c r="NCV52" s="539"/>
      <c r="NCW52" s="539"/>
      <c r="NCX52" s="539"/>
      <c r="NCY52" s="539"/>
      <c r="NCZ52" s="539"/>
      <c r="NDA52" s="539"/>
      <c r="NDB52" s="539"/>
      <c r="NDC52" s="539"/>
      <c r="NDD52" s="539"/>
      <c r="NDE52" s="539"/>
      <c r="NDF52" s="539"/>
      <c r="NDG52" s="539"/>
      <c r="NDH52" s="539"/>
      <c r="NDI52" s="539"/>
      <c r="NDJ52" s="539"/>
      <c r="NDK52" s="539"/>
      <c r="NDL52" s="539"/>
      <c r="NDM52" s="539"/>
      <c r="NDN52" s="539"/>
      <c r="NDO52" s="539"/>
      <c r="NDP52" s="539"/>
      <c r="NDQ52" s="539"/>
      <c r="NDR52" s="539"/>
      <c r="NDS52" s="539"/>
      <c r="NDT52" s="539"/>
      <c r="NDU52" s="539"/>
      <c r="NDV52" s="539"/>
      <c r="NDW52" s="539"/>
      <c r="NDX52" s="539"/>
      <c r="NDY52" s="539"/>
      <c r="NDZ52" s="539"/>
      <c r="NEA52" s="539"/>
      <c r="NEB52" s="539"/>
      <c r="NEC52" s="539"/>
      <c r="NED52" s="539"/>
      <c r="NEE52" s="539"/>
      <c r="NEF52" s="539"/>
      <c r="NEG52" s="539"/>
      <c r="NEH52" s="539"/>
      <c r="NEI52" s="539"/>
      <c r="NEJ52" s="539"/>
      <c r="NEK52" s="539"/>
      <c r="NEL52" s="539"/>
      <c r="NEM52" s="539"/>
      <c r="NEN52" s="539"/>
      <c r="NEO52" s="539"/>
      <c r="NEP52" s="539"/>
      <c r="NEQ52" s="539"/>
      <c r="NER52" s="539"/>
      <c r="NES52" s="539"/>
      <c r="NET52" s="539"/>
      <c r="NEU52" s="539"/>
      <c r="NEV52" s="539"/>
      <c r="NEW52" s="539"/>
      <c r="NEX52" s="539"/>
      <c r="NEY52" s="539"/>
      <c r="NEZ52" s="539"/>
      <c r="NFA52" s="539"/>
      <c r="NFB52" s="539"/>
      <c r="NFC52" s="539"/>
      <c r="NFD52" s="539"/>
      <c r="NFE52" s="539"/>
      <c r="NFF52" s="539"/>
      <c r="NFG52" s="539"/>
      <c r="NFH52" s="539"/>
      <c r="NFI52" s="539"/>
      <c r="NFJ52" s="539"/>
      <c r="NFK52" s="539"/>
      <c r="NFL52" s="539"/>
      <c r="NFM52" s="539"/>
      <c r="NFN52" s="539"/>
      <c r="NFO52" s="539"/>
      <c r="NFP52" s="539"/>
      <c r="NFQ52" s="539"/>
      <c r="NFR52" s="539"/>
      <c r="NFS52" s="539"/>
      <c r="NFT52" s="539"/>
      <c r="NFU52" s="539"/>
      <c r="NFV52" s="539"/>
      <c r="NFW52" s="539"/>
      <c r="NFX52" s="539"/>
      <c r="NFY52" s="539"/>
      <c r="NFZ52" s="539"/>
      <c r="NGA52" s="539"/>
      <c r="NGB52" s="539"/>
      <c r="NGC52" s="539"/>
      <c r="NGD52" s="539"/>
      <c r="NGE52" s="539"/>
      <c r="NGF52" s="539"/>
      <c r="NGG52" s="539"/>
      <c r="NGH52" s="539"/>
      <c r="NGI52" s="539"/>
      <c r="NGJ52" s="539"/>
      <c r="NGK52" s="539"/>
      <c r="NGL52" s="539"/>
      <c r="NGM52" s="539"/>
      <c r="NGN52" s="539"/>
      <c r="NGO52" s="539"/>
      <c r="NGP52" s="539"/>
      <c r="NGQ52" s="539"/>
      <c r="NGR52" s="539"/>
      <c r="NGS52" s="539"/>
      <c r="NGT52" s="539"/>
      <c r="NGU52" s="539"/>
      <c r="NGV52" s="539"/>
      <c r="NGW52" s="539"/>
      <c r="NGX52" s="539"/>
      <c r="NGY52" s="539"/>
      <c r="NGZ52" s="539"/>
      <c r="NHA52" s="539"/>
      <c r="NHB52" s="539"/>
      <c r="NHC52" s="539"/>
      <c r="NHD52" s="539"/>
      <c r="NHE52" s="539"/>
      <c r="NHF52" s="539"/>
      <c r="NHG52" s="539"/>
      <c r="NHH52" s="539"/>
      <c r="NHI52" s="539"/>
      <c r="NHJ52" s="539"/>
      <c r="NHK52" s="539"/>
      <c r="NHL52" s="539"/>
      <c r="NHM52" s="539"/>
      <c r="NHN52" s="539"/>
      <c r="NHO52" s="539"/>
      <c r="NHP52" s="539"/>
      <c r="NHQ52" s="539"/>
      <c r="NHR52" s="539"/>
      <c r="NHS52" s="539"/>
      <c r="NHT52" s="539"/>
      <c r="NHU52" s="539"/>
      <c r="NHV52" s="539"/>
      <c r="NHW52" s="539"/>
      <c r="NHX52" s="539"/>
      <c r="NHY52" s="539"/>
      <c r="NHZ52" s="539"/>
      <c r="NIA52" s="539"/>
      <c r="NIB52" s="539"/>
      <c r="NIC52" s="539"/>
      <c r="NID52" s="539"/>
      <c r="NIE52" s="539"/>
      <c r="NIF52" s="539"/>
      <c r="NIG52" s="539"/>
      <c r="NIH52" s="539"/>
      <c r="NII52" s="539"/>
      <c r="NIJ52" s="539"/>
      <c r="NIK52" s="539"/>
      <c r="NIL52" s="539"/>
      <c r="NIM52" s="539"/>
      <c r="NIN52" s="539"/>
      <c r="NIO52" s="539"/>
      <c r="NIP52" s="539"/>
      <c r="NIQ52" s="539"/>
      <c r="NIR52" s="539"/>
      <c r="NIS52" s="539"/>
      <c r="NIT52" s="539"/>
      <c r="NIU52" s="539"/>
      <c r="NIV52" s="539"/>
      <c r="NIW52" s="539"/>
      <c r="NIX52" s="539"/>
      <c r="NIY52" s="539"/>
      <c r="NIZ52" s="539"/>
      <c r="NJA52" s="539"/>
      <c r="NJB52" s="539"/>
      <c r="NJC52" s="539"/>
      <c r="NJD52" s="539"/>
      <c r="NJE52" s="539"/>
      <c r="NJF52" s="539"/>
      <c r="NJG52" s="539"/>
      <c r="NJH52" s="539"/>
      <c r="NJI52" s="539"/>
      <c r="NJJ52" s="539"/>
      <c r="NJK52" s="539"/>
      <c r="NJL52" s="539"/>
      <c r="NJM52" s="539"/>
      <c r="NJN52" s="539"/>
      <c r="NJO52" s="539"/>
      <c r="NJP52" s="539"/>
      <c r="NJQ52" s="539"/>
      <c r="NJR52" s="539"/>
      <c r="NJS52" s="539"/>
      <c r="NJT52" s="539"/>
      <c r="NJU52" s="539"/>
      <c r="NJV52" s="539"/>
      <c r="NJW52" s="539"/>
      <c r="NJX52" s="539"/>
      <c r="NJY52" s="539"/>
      <c r="NJZ52" s="539"/>
      <c r="NKA52" s="539"/>
      <c r="NKB52" s="539"/>
      <c r="NKC52" s="539"/>
      <c r="NKD52" s="539"/>
      <c r="NKE52" s="539"/>
      <c r="NKF52" s="539"/>
      <c r="NKG52" s="539"/>
      <c r="NKH52" s="539"/>
      <c r="NKI52" s="539"/>
      <c r="NKJ52" s="539"/>
      <c r="NKK52" s="539"/>
      <c r="NKL52" s="539"/>
      <c r="NKM52" s="539"/>
      <c r="NKN52" s="539"/>
      <c r="NKO52" s="539"/>
      <c r="NKP52" s="539"/>
      <c r="NKQ52" s="539"/>
      <c r="NKR52" s="539"/>
      <c r="NKS52" s="539"/>
      <c r="NKT52" s="539"/>
      <c r="NKU52" s="539"/>
      <c r="NKV52" s="539"/>
      <c r="NKW52" s="539"/>
      <c r="NKX52" s="539"/>
      <c r="NKY52" s="539"/>
      <c r="NKZ52" s="539"/>
      <c r="NLA52" s="539"/>
      <c r="NLB52" s="539"/>
      <c r="NLC52" s="539"/>
      <c r="NLD52" s="539"/>
      <c r="NLE52" s="539"/>
      <c r="NLF52" s="539"/>
      <c r="NLG52" s="539"/>
      <c r="NLH52" s="539"/>
      <c r="NLI52" s="539"/>
      <c r="NLJ52" s="539"/>
      <c r="NLK52" s="539"/>
      <c r="NLL52" s="539"/>
      <c r="NLM52" s="539"/>
      <c r="NLN52" s="539"/>
      <c r="NLO52" s="539"/>
      <c r="NLP52" s="539"/>
      <c r="NLQ52" s="539"/>
      <c r="NLR52" s="539"/>
      <c r="NLS52" s="539"/>
      <c r="NLT52" s="539"/>
      <c r="NLU52" s="539"/>
      <c r="NLV52" s="539"/>
      <c r="NLW52" s="539"/>
      <c r="NLX52" s="539"/>
      <c r="NLY52" s="539"/>
      <c r="NLZ52" s="539"/>
      <c r="NMA52" s="539"/>
      <c r="NMB52" s="539"/>
      <c r="NMC52" s="539"/>
      <c r="NMD52" s="539"/>
      <c r="NME52" s="539"/>
      <c r="NMF52" s="539"/>
      <c r="NMG52" s="539"/>
      <c r="NMH52" s="539"/>
      <c r="NMI52" s="539"/>
      <c r="NMJ52" s="539"/>
      <c r="NMK52" s="539"/>
      <c r="NML52" s="539"/>
      <c r="NMM52" s="539"/>
      <c r="NMN52" s="539"/>
      <c r="NMO52" s="539"/>
      <c r="NMP52" s="539"/>
      <c r="NMQ52" s="539"/>
      <c r="NMR52" s="539"/>
      <c r="NMS52" s="539"/>
      <c r="NMT52" s="539"/>
      <c r="NMU52" s="539"/>
      <c r="NMV52" s="539"/>
      <c r="NMW52" s="539"/>
      <c r="NMX52" s="539"/>
      <c r="NMY52" s="539"/>
      <c r="NMZ52" s="539"/>
      <c r="NNA52" s="539"/>
      <c r="NNB52" s="539"/>
      <c r="NNC52" s="539"/>
      <c r="NND52" s="539"/>
      <c r="NNE52" s="539"/>
      <c r="NNF52" s="539"/>
      <c r="NNG52" s="539"/>
      <c r="NNH52" s="539"/>
      <c r="NNI52" s="539"/>
      <c r="NNJ52" s="539"/>
      <c r="NNK52" s="539"/>
      <c r="NNL52" s="539"/>
      <c r="NNM52" s="539"/>
      <c r="NNN52" s="539"/>
      <c r="NNO52" s="539"/>
      <c r="NNP52" s="539"/>
      <c r="NNQ52" s="539"/>
      <c r="NNR52" s="539"/>
      <c r="NNS52" s="539"/>
      <c r="NNT52" s="539"/>
      <c r="NNU52" s="539"/>
      <c r="NNV52" s="539"/>
      <c r="NNW52" s="539"/>
      <c r="NNX52" s="539"/>
      <c r="NNY52" s="539"/>
      <c r="NNZ52" s="539"/>
      <c r="NOA52" s="539"/>
      <c r="NOB52" s="539"/>
      <c r="NOC52" s="539"/>
      <c r="NOD52" s="539"/>
      <c r="NOE52" s="539"/>
      <c r="NOF52" s="539"/>
      <c r="NOG52" s="539"/>
      <c r="NOH52" s="539"/>
      <c r="NOI52" s="539"/>
      <c r="NOJ52" s="539"/>
      <c r="NOK52" s="539"/>
      <c r="NOL52" s="539"/>
      <c r="NOM52" s="539"/>
      <c r="NON52" s="539"/>
      <c r="NOO52" s="539"/>
      <c r="NOP52" s="539"/>
      <c r="NOQ52" s="539"/>
      <c r="NOR52" s="539"/>
      <c r="NOS52" s="539"/>
      <c r="NOT52" s="539"/>
      <c r="NOU52" s="539"/>
      <c r="NOV52" s="539"/>
      <c r="NOW52" s="539"/>
      <c r="NOX52" s="539"/>
      <c r="NOY52" s="539"/>
      <c r="NOZ52" s="539"/>
      <c r="NPA52" s="539"/>
      <c r="NPB52" s="539"/>
      <c r="NPC52" s="539"/>
      <c r="NPD52" s="539"/>
      <c r="NPE52" s="539"/>
      <c r="NPF52" s="539"/>
      <c r="NPG52" s="539"/>
      <c r="NPH52" s="539"/>
      <c r="NPI52" s="539"/>
      <c r="NPJ52" s="539"/>
      <c r="NPK52" s="539"/>
      <c r="NPL52" s="539"/>
      <c r="NPM52" s="539"/>
      <c r="NPN52" s="539"/>
      <c r="NPO52" s="539"/>
      <c r="NPP52" s="539"/>
      <c r="NPQ52" s="539"/>
      <c r="NPR52" s="539"/>
      <c r="NPS52" s="539"/>
      <c r="NPT52" s="539"/>
      <c r="NPU52" s="539"/>
      <c r="NPV52" s="539"/>
      <c r="NPW52" s="539"/>
      <c r="NPX52" s="539"/>
      <c r="NPY52" s="539"/>
      <c r="NPZ52" s="539"/>
      <c r="NQA52" s="539"/>
      <c r="NQB52" s="539"/>
      <c r="NQC52" s="539"/>
      <c r="NQD52" s="539"/>
      <c r="NQE52" s="539"/>
      <c r="NQF52" s="539"/>
      <c r="NQG52" s="539"/>
      <c r="NQH52" s="539"/>
      <c r="NQI52" s="539"/>
      <c r="NQJ52" s="539"/>
      <c r="NQK52" s="539"/>
      <c r="NQL52" s="539"/>
      <c r="NQM52" s="539"/>
      <c r="NQN52" s="539"/>
      <c r="NQO52" s="539"/>
      <c r="NQP52" s="539"/>
      <c r="NQQ52" s="539"/>
      <c r="NQR52" s="539"/>
      <c r="NQS52" s="539"/>
      <c r="NQT52" s="539"/>
      <c r="NQU52" s="539"/>
      <c r="NQV52" s="539"/>
      <c r="NQW52" s="539"/>
      <c r="NQX52" s="539"/>
      <c r="NQY52" s="539"/>
      <c r="NQZ52" s="539"/>
      <c r="NRA52" s="539"/>
      <c r="NRB52" s="539"/>
      <c r="NRC52" s="539"/>
      <c r="NRD52" s="539"/>
      <c r="NRE52" s="539"/>
      <c r="NRF52" s="539"/>
      <c r="NRG52" s="539"/>
      <c r="NRH52" s="539"/>
      <c r="NRI52" s="539"/>
      <c r="NRJ52" s="539"/>
      <c r="NRK52" s="539"/>
      <c r="NRL52" s="539"/>
      <c r="NRM52" s="539"/>
      <c r="NRN52" s="539"/>
      <c r="NRO52" s="539"/>
      <c r="NRP52" s="539"/>
      <c r="NRQ52" s="539"/>
      <c r="NRR52" s="539"/>
      <c r="NRS52" s="539"/>
      <c r="NRT52" s="539"/>
      <c r="NRU52" s="539"/>
      <c r="NRV52" s="539"/>
      <c r="NRW52" s="539"/>
      <c r="NRX52" s="539"/>
      <c r="NRY52" s="539"/>
      <c r="NRZ52" s="539"/>
      <c r="NSA52" s="539"/>
      <c r="NSB52" s="539"/>
      <c r="NSC52" s="539"/>
      <c r="NSD52" s="539"/>
      <c r="NSE52" s="539"/>
      <c r="NSF52" s="539"/>
      <c r="NSG52" s="539"/>
      <c r="NSH52" s="539"/>
      <c r="NSI52" s="539"/>
      <c r="NSJ52" s="539"/>
      <c r="NSK52" s="539"/>
      <c r="NSL52" s="539"/>
      <c r="NSM52" s="539"/>
      <c r="NSN52" s="539"/>
      <c r="NSO52" s="539"/>
      <c r="NSP52" s="539"/>
      <c r="NSQ52" s="539"/>
      <c r="NSR52" s="539"/>
      <c r="NSS52" s="539"/>
      <c r="NST52" s="539"/>
      <c r="NSU52" s="539"/>
      <c r="NSV52" s="539"/>
      <c r="NSW52" s="539"/>
      <c r="NSX52" s="539"/>
      <c r="NSY52" s="539"/>
      <c r="NSZ52" s="539"/>
      <c r="NTA52" s="539"/>
      <c r="NTB52" s="539"/>
      <c r="NTC52" s="539"/>
      <c r="NTD52" s="539"/>
      <c r="NTE52" s="539"/>
      <c r="NTF52" s="539"/>
      <c r="NTG52" s="539"/>
      <c r="NTH52" s="539"/>
      <c r="NTI52" s="539"/>
      <c r="NTJ52" s="539"/>
      <c r="NTK52" s="539"/>
      <c r="NTL52" s="539"/>
      <c r="NTM52" s="539"/>
      <c r="NTN52" s="539"/>
      <c r="NTO52" s="539"/>
      <c r="NTP52" s="539"/>
      <c r="NTQ52" s="539"/>
      <c r="NTR52" s="539"/>
      <c r="NTS52" s="539"/>
      <c r="NTT52" s="539"/>
      <c r="NTU52" s="539"/>
      <c r="NTV52" s="539"/>
      <c r="NTW52" s="539"/>
      <c r="NTX52" s="539"/>
      <c r="NTY52" s="539"/>
      <c r="NTZ52" s="539"/>
      <c r="NUA52" s="539"/>
      <c r="NUB52" s="539"/>
      <c r="NUC52" s="539"/>
      <c r="NUD52" s="539"/>
      <c r="NUE52" s="539"/>
      <c r="NUF52" s="539"/>
      <c r="NUG52" s="539"/>
      <c r="NUH52" s="539"/>
      <c r="NUI52" s="539"/>
      <c r="NUJ52" s="539"/>
      <c r="NUK52" s="539"/>
      <c r="NUL52" s="539"/>
      <c r="NUM52" s="539"/>
      <c r="NUN52" s="539"/>
      <c r="NUO52" s="539"/>
      <c r="NUP52" s="539"/>
      <c r="NUQ52" s="539"/>
      <c r="NUR52" s="539"/>
      <c r="NUS52" s="539"/>
      <c r="NUT52" s="539"/>
      <c r="NUU52" s="539"/>
      <c r="NUV52" s="539"/>
      <c r="NUW52" s="539"/>
      <c r="NUX52" s="539"/>
      <c r="NUY52" s="539"/>
      <c r="NUZ52" s="539"/>
      <c r="NVA52" s="539"/>
      <c r="NVB52" s="539"/>
      <c r="NVC52" s="539"/>
      <c r="NVD52" s="539"/>
      <c r="NVE52" s="539"/>
      <c r="NVF52" s="539"/>
      <c r="NVG52" s="539"/>
      <c r="NVH52" s="539"/>
      <c r="NVI52" s="539"/>
      <c r="NVJ52" s="539"/>
      <c r="NVK52" s="539"/>
      <c r="NVL52" s="539"/>
      <c r="NVM52" s="539"/>
      <c r="NVN52" s="539"/>
      <c r="NVO52" s="539"/>
      <c r="NVP52" s="539"/>
      <c r="NVQ52" s="539"/>
      <c r="NVR52" s="539"/>
      <c r="NVS52" s="539"/>
      <c r="NVT52" s="539"/>
      <c r="NVU52" s="539"/>
      <c r="NVV52" s="539"/>
      <c r="NVW52" s="539"/>
      <c r="NVX52" s="539"/>
      <c r="NVY52" s="539"/>
      <c r="NVZ52" s="539"/>
      <c r="NWA52" s="539"/>
      <c r="NWB52" s="539"/>
      <c r="NWC52" s="539"/>
      <c r="NWD52" s="539"/>
      <c r="NWE52" s="539"/>
      <c r="NWF52" s="539"/>
      <c r="NWG52" s="539"/>
      <c r="NWH52" s="539"/>
      <c r="NWI52" s="539"/>
      <c r="NWJ52" s="539"/>
      <c r="NWK52" s="539"/>
      <c r="NWL52" s="539"/>
      <c r="NWM52" s="539"/>
      <c r="NWN52" s="539"/>
      <c r="NWO52" s="539"/>
      <c r="NWP52" s="539"/>
      <c r="NWQ52" s="539"/>
      <c r="NWR52" s="539"/>
      <c r="NWS52" s="539"/>
      <c r="NWT52" s="539"/>
      <c r="NWU52" s="539"/>
      <c r="NWV52" s="539"/>
      <c r="NWW52" s="539"/>
      <c r="NWX52" s="539"/>
      <c r="NWY52" s="539"/>
      <c r="NWZ52" s="539"/>
      <c r="NXA52" s="539"/>
      <c r="NXB52" s="539"/>
      <c r="NXC52" s="539"/>
      <c r="NXD52" s="539"/>
      <c r="NXE52" s="539"/>
      <c r="NXF52" s="539"/>
      <c r="NXG52" s="539"/>
      <c r="NXH52" s="539"/>
      <c r="NXI52" s="539"/>
      <c r="NXJ52" s="539"/>
      <c r="NXK52" s="539"/>
      <c r="NXL52" s="539"/>
      <c r="NXM52" s="539"/>
      <c r="NXN52" s="539"/>
      <c r="NXO52" s="539"/>
      <c r="NXP52" s="539"/>
      <c r="NXQ52" s="539"/>
      <c r="NXR52" s="539"/>
      <c r="NXS52" s="539"/>
      <c r="NXT52" s="539"/>
      <c r="NXU52" s="539"/>
      <c r="NXV52" s="539"/>
      <c r="NXW52" s="539"/>
      <c r="NXX52" s="539"/>
      <c r="NXY52" s="539"/>
      <c r="NXZ52" s="539"/>
      <c r="NYA52" s="539"/>
      <c r="NYB52" s="539"/>
      <c r="NYC52" s="539"/>
      <c r="NYD52" s="539"/>
      <c r="NYE52" s="539"/>
      <c r="NYF52" s="539"/>
      <c r="NYG52" s="539"/>
      <c r="NYH52" s="539"/>
      <c r="NYI52" s="539"/>
      <c r="NYJ52" s="539"/>
      <c r="NYK52" s="539"/>
      <c r="NYL52" s="539"/>
      <c r="NYM52" s="539"/>
      <c r="NYN52" s="539"/>
      <c r="NYO52" s="539"/>
      <c r="NYP52" s="539"/>
      <c r="NYQ52" s="539"/>
      <c r="NYR52" s="539"/>
      <c r="NYS52" s="539"/>
      <c r="NYT52" s="539"/>
      <c r="NYU52" s="539"/>
      <c r="NYV52" s="539"/>
      <c r="NYW52" s="539"/>
      <c r="NYX52" s="539"/>
      <c r="NYY52" s="539"/>
      <c r="NYZ52" s="539"/>
      <c r="NZA52" s="539"/>
      <c r="NZB52" s="539"/>
      <c r="NZC52" s="539"/>
      <c r="NZD52" s="539"/>
      <c r="NZE52" s="539"/>
      <c r="NZF52" s="539"/>
      <c r="NZG52" s="539"/>
      <c r="NZH52" s="539"/>
      <c r="NZI52" s="539"/>
      <c r="NZJ52" s="539"/>
      <c r="NZK52" s="539"/>
      <c r="NZL52" s="539"/>
      <c r="NZM52" s="539"/>
      <c r="NZN52" s="539"/>
      <c r="NZO52" s="539"/>
      <c r="NZP52" s="539"/>
      <c r="NZQ52" s="539"/>
      <c r="NZR52" s="539"/>
      <c r="NZS52" s="539"/>
      <c r="NZT52" s="539"/>
      <c r="NZU52" s="539"/>
      <c r="NZV52" s="539"/>
      <c r="NZW52" s="539"/>
      <c r="NZX52" s="539"/>
      <c r="NZY52" s="539"/>
      <c r="NZZ52" s="539"/>
      <c r="OAA52" s="539"/>
      <c r="OAB52" s="539"/>
      <c r="OAC52" s="539"/>
      <c r="OAD52" s="539"/>
      <c r="OAE52" s="539"/>
      <c r="OAF52" s="539"/>
      <c r="OAG52" s="539"/>
      <c r="OAH52" s="539"/>
      <c r="OAI52" s="539"/>
      <c r="OAJ52" s="539"/>
      <c r="OAK52" s="539"/>
      <c r="OAL52" s="539"/>
      <c r="OAM52" s="539"/>
      <c r="OAN52" s="539"/>
      <c r="OAO52" s="539"/>
      <c r="OAP52" s="539"/>
      <c r="OAQ52" s="539"/>
      <c r="OAR52" s="539"/>
      <c r="OAS52" s="539"/>
      <c r="OAT52" s="539"/>
      <c r="OAU52" s="539"/>
      <c r="OAV52" s="539"/>
      <c r="OAW52" s="539"/>
      <c r="OAX52" s="539"/>
      <c r="OAY52" s="539"/>
      <c r="OAZ52" s="539"/>
      <c r="OBA52" s="539"/>
      <c r="OBB52" s="539"/>
      <c r="OBC52" s="539"/>
      <c r="OBD52" s="539"/>
      <c r="OBE52" s="539"/>
      <c r="OBF52" s="539"/>
      <c r="OBG52" s="539"/>
      <c r="OBH52" s="539"/>
      <c r="OBI52" s="539"/>
      <c r="OBJ52" s="539"/>
      <c r="OBK52" s="539"/>
      <c r="OBL52" s="539"/>
      <c r="OBM52" s="539"/>
      <c r="OBN52" s="539"/>
      <c r="OBO52" s="539"/>
      <c r="OBP52" s="539"/>
      <c r="OBQ52" s="539"/>
      <c r="OBR52" s="539"/>
      <c r="OBS52" s="539"/>
      <c r="OBT52" s="539"/>
      <c r="OBU52" s="539"/>
      <c r="OBV52" s="539"/>
      <c r="OBW52" s="539"/>
      <c r="OBX52" s="539"/>
      <c r="OBY52" s="539"/>
      <c r="OBZ52" s="539"/>
      <c r="OCA52" s="539"/>
      <c r="OCB52" s="539"/>
      <c r="OCC52" s="539"/>
      <c r="OCD52" s="539"/>
      <c r="OCE52" s="539"/>
      <c r="OCF52" s="539"/>
      <c r="OCG52" s="539"/>
      <c r="OCH52" s="539"/>
      <c r="OCI52" s="539"/>
      <c r="OCJ52" s="539"/>
      <c r="OCK52" s="539"/>
      <c r="OCL52" s="539"/>
      <c r="OCM52" s="539"/>
      <c r="OCN52" s="539"/>
      <c r="OCO52" s="539"/>
      <c r="OCP52" s="539"/>
      <c r="OCQ52" s="539"/>
      <c r="OCR52" s="539"/>
      <c r="OCS52" s="539"/>
      <c r="OCT52" s="539"/>
      <c r="OCU52" s="539"/>
      <c r="OCV52" s="539"/>
      <c r="OCW52" s="539"/>
      <c r="OCX52" s="539"/>
      <c r="OCY52" s="539"/>
      <c r="OCZ52" s="539"/>
      <c r="ODA52" s="539"/>
      <c r="ODB52" s="539"/>
      <c r="ODC52" s="539"/>
      <c r="ODD52" s="539"/>
      <c r="ODE52" s="539"/>
      <c r="ODF52" s="539"/>
      <c r="ODG52" s="539"/>
      <c r="ODH52" s="539"/>
      <c r="ODI52" s="539"/>
      <c r="ODJ52" s="539"/>
      <c r="ODK52" s="539"/>
      <c r="ODL52" s="539"/>
      <c r="ODM52" s="539"/>
      <c r="ODN52" s="539"/>
      <c r="ODO52" s="539"/>
      <c r="ODP52" s="539"/>
      <c r="ODQ52" s="539"/>
      <c r="ODR52" s="539"/>
      <c r="ODS52" s="539"/>
      <c r="ODT52" s="539"/>
      <c r="ODU52" s="539"/>
      <c r="ODV52" s="539"/>
      <c r="ODW52" s="539"/>
      <c r="ODX52" s="539"/>
      <c r="ODY52" s="539"/>
      <c r="ODZ52" s="539"/>
      <c r="OEA52" s="539"/>
      <c r="OEB52" s="539"/>
      <c r="OEC52" s="539"/>
      <c r="OED52" s="539"/>
      <c r="OEE52" s="539"/>
      <c r="OEF52" s="539"/>
      <c r="OEG52" s="539"/>
      <c r="OEH52" s="539"/>
      <c r="OEI52" s="539"/>
      <c r="OEJ52" s="539"/>
      <c r="OEK52" s="539"/>
      <c r="OEL52" s="539"/>
      <c r="OEM52" s="539"/>
      <c r="OEN52" s="539"/>
      <c r="OEO52" s="539"/>
      <c r="OEP52" s="539"/>
      <c r="OEQ52" s="539"/>
      <c r="OER52" s="539"/>
      <c r="OES52" s="539"/>
      <c r="OET52" s="539"/>
      <c r="OEU52" s="539"/>
      <c r="OEV52" s="539"/>
      <c r="OEW52" s="539"/>
      <c r="OEX52" s="539"/>
      <c r="OEY52" s="539"/>
      <c r="OEZ52" s="539"/>
      <c r="OFA52" s="539"/>
      <c r="OFB52" s="539"/>
      <c r="OFC52" s="539"/>
      <c r="OFD52" s="539"/>
      <c r="OFE52" s="539"/>
      <c r="OFF52" s="539"/>
      <c r="OFG52" s="539"/>
      <c r="OFH52" s="539"/>
      <c r="OFI52" s="539"/>
      <c r="OFJ52" s="539"/>
      <c r="OFK52" s="539"/>
      <c r="OFL52" s="539"/>
      <c r="OFM52" s="539"/>
      <c r="OFN52" s="539"/>
      <c r="OFO52" s="539"/>
      <c r="OFP52" s="539"/>
      <c r="OFQ52" s="539"/>
      <c r="OFR52" s="539"/>
      <c r="OFS52" s="539"/>
      <c r="OFT52" s="539"/>
      <c r="OFU52" s="539"/>
      <c r="OFV52" s="539"/>
      <c r="OFW52" s="539"/>
      <c r="OFX52" s="539"/>
      <c r="OFY52" s="539"/>
      <c r="OFZ52" s="539"/>
      <c r="OGA52" s="539"/>
      <c r="OGB52" s="539"/>
      <c r="OGC52" s="539"/>
      <c r="OGD52" s="539"/>
      <c r="OGE52" s="539"/>
      <c r="OGF52" s="539"/>
      <c r="OGG52" s="539"/>
      <c r="OGH52" s="539"/>
      <c r="OGI52" s="539"/>
      <c r="OGJ52" s="539"/>
      <c r="OGK52" s="539"/>
      <c r="OGL52" s="539"/>
      <c r="OGM52" s="539"/>
      <c r="OGN52" s="539"/>
      <c r="OGO52" s="539"/>
      <c r="OGP52" s="539"/>
      <c r="OGQ52" s="539"/>
      <c r="OGR52" s="539"/>
      <c r="OGS52" s="539"/>
      <c r="OGT52" s="539"/>
      <c r="OGU52" s="539"/>
      <c r="OGV52" s="539"/>
      <c r="OGW52" s="539"/>
      <c r="OGX52" s="539"/>
      <c r="OGY52" s="539"/>
      <c r="OGZ52" s="539"/>
      <c r="OHA52" s="539"/>
      <c r="OHB52" s="539"/>
      <c r="OHC52" s="539"/>
      <c r="OHD52" s="539"/>
      <c r="OHE52" s="539"/>
      <c r="OHF52" s="539"/>
      <c r="OHG52" s="539"/>
      <c r="OHH52" s="539"/>
      <c r="OHI52" s="539"/>
      <c r="OHJ52" s="539"/>
      <c r="OHK52" s="539"/>
      <c r="OHL52" s="539"/>
      <c r="OHM52" s="539"/>
      <c r="OHN52" s="539"/>
      <c r="OHO52" s="539"/>
      <c r="OHP52" s="539"/>
      <c r="OHQ52" s="539"/>
      <c r="OHR52" s="539"/>
      <c r="OHS52" s="539"/>
      <c r="OHT52" s="539"/>
      <c r="OHU52" s="539"/>
      <c r="OHV52" s="539"/>
      <c r="OHW52" s="539"/>
      <c r="OHX52" s="539"/>
      <c r="OHY52" s="539"/>
      <c r="OHZ52" s="539"/>
      <c r="OIA52" s="539"/>
      <c r="OIB52" s="539"/>
      <c r="OIC52" s="539"/>
      <c r="OID52" s="539"/>
      <c r="OIE52" s="539"/>
      <c r="OIF52" s="539"/>
      <c r="OIG52" s="539"/>
      <c r="OIH52" s="539"/>
      <c r="OII52" s="539"/>
      <c r="OIJ52" s="539"/>
      <c r="OIK52" s="539"/>
      <c r="OIL52" s="539"/>
      <c r="OIM52" s="539"/>
      <c r="OIN52" s="539"/>
      <c r="OIO52" s="539"/>
      <c r="OIP52" s="539"/>
      <c r="OIQ52" s="539"/>
      <c r="OIR52" s="539"/>
      <c r="OIS52" s="539"/>
      <c r="OIT52" s="539"/>
      <c r="OIU52" s="539"/>
      <c r="OIV52" s="539"/>
      <c r="OIW52" s="539"/>
      <c r="OIX52" s="539"/>
      <c r="OIY52" s="539"/>
      <c r="OIZ52" s="539"/>
      <c r="OJA52" s="539"/>
      <c r="OJB52" s="539"/>
      <c r="OJC52" s="539"/>
      <c r="OJD52" s="539"/>
      <c r="OJE52" s="539"/>
      <c r="OJF52" s="539"/>
      <c r="OJG52" s="539"/>
      <c r="OJH52" s="539"/>
      <c r="OJI52" s="539"/>
      <c r="OJJ52" s="539"/>
      <c r="OJK52" s="539"/>
      <c r="OJL52" s="539"/>
      <c r="OJM52" s="539"/>
      <c r="OJN52" s="539"/>
      <c r="OJO52" s="539"/>
      <c r="OJP52" s="539"/>
      <c r="OJQ52" s="539"/>
      <c r="OJR52" s="539"/>
      <c r="OJS52" s="539"/>
      <c r="OJT52" s="539"/>
      <c r="OJU52" s="539"/>
      <c r="OJV52" s="539"/>
      <c r="OJW52" s="539"/>
      <c r="OJX52" s="539"/>
      <c r="OJY52" s="539"/>
      <c r="OJZ52" s="539"/>
      <c r="OKA52" s="539"/>
      <c r="OKB52" s="539"/>
      <c r="OKC52" s="539"/>
      <c r="OKD52" s="539"/>
      <c r="OKE52" s="539"/>
      <c r="OKF52" s="539"/>
      <c r="OKG52" s="539"/>
      <c r="OKH52" s="539"/>
      <c r="OKI52" s="539"/>
      <c r="OKJ52" s="539"/>
      <c r="OKK52" s="539"/>
      <c r="OKL52" s="539"/>
      <c r="OKM52" s="539"/>
      <c r="OKN52" s="539"/>
      <c r="OKO52" s="539"/>
      <c r="OKP52" s="539"/>
      <c r="OKQ52" s="539"/>
      <c r="OKR52" s="539"/>
      <c r="OKS52" s="539"/>
      <c r="OKT52" s="539"/>
      <c r="OKU52" s="539"/>
      <c r="OKV52" s="539"/>
      <c r="OKW52" s="539"/>
      <c r="OKX52" s="539"/>
      <c r="OKY52" s="539"/>
      <c r="OKZ52" s="539"/>
      <c r="OLA52" s="539"/>
      <c r="OLB52" s="539"/>
      <c r="OLC52" s="539"/>
      <c r="OLD52" s="539"/>
      <c r="OLE52" s="539"/>
      <c r="OLF52" s="539"/>
      <c r="OLG52" s="539"/>
      <c r="OLH52" s="539"/>
      <c r="OLI52" s="539"/>
      <c r="OLJ52" s="539"/>
      <c r="OLK52" s="539"/>
      <c r="OLL52" s="539"/>
      <c r="OLM52" s="539"/>
      <c r="OLN52" s="539"/>
      <c r="OLO52" s="539"/>
      <c r="OLP52" s="539"/>
      <c r="OLQ52" s="539"/>
      <c r="OLR52" s="539"/>
      <c r="OLS52" s="539"/>
      <c r="OLT52" s="539"/>
      <c r="OLU52" s="539"/>
      <c r="OLV52" s="539"/>
      <c r="OLW52" s="539"/>
      <c r="OLX52" s="539"/>
      <c r="OLY52" s="539"/>
      <c r="OLZ52" s="539"/>
      <c r="OMA52" s="539"/>
      <c r="OMB52" s="539"/>
      <c r="OMC52" s="539"/>
      <c r="OMD52" s="539"/>
      <c r="OME52" s="539"/>
      <c r="OMF52" s="539"/>
      <c r="OMG52" s="539"/>
      <c r="OMH52" s="539"/>
      <c r="OMI52" s="539"/>
      <c r="OMJ52" s="539"/>
      <c r="OMK52" s="539"/>
      <c r="OML52" s="539"/>
      <c r="OMM52" s="539"/>
      <c r="OMN52" s="539"/>
      <c r="OMO52" s="539"/>
      <c r="OMP52" s="539"/>
      <c r="OMQ52" s="539"/>
      <c r="OMR52" s="539"/>
      <c r="OMS52" s="539"/>
      <c r="OMT52" s="539"/>
      <c r="OMU52" s="539"/>
      <c r="OMV52" s="539"/>
      <c r="OMW52" s="539"/>
      <c r="OMX52" s="539"/>
      <c r="OMY52" s="539"/>
      <c r="OMZ52" s="539"/>
      <c r="ONA52" s="539"/>
      <c r="ONB52" s="539"/>
      <c r="ONC52" s="539"/>
      <c r="OND52" s="539"/>
      <c r="ONE52" s="539"/>
      <c r="ONF52" s="539"/>
      <c r="ONG52" s="539"/>
      <c r="ONH52" s="539"/>
      <c r="ONI52" s="539"/>
      <c r="ONJ52" s="539"/>
      <c r="ONK52" s="539"/>
      <c r="ONL52" s="539"/>
      <c r="ONM52" s="539"/>
      <c r="ONN52" s="539"/>
      <c r="ONO52" s="539"/>
      <c r="ONP52" s="539"/>
      <c r="ONQ52" s="539"/>
      <c r="ONR52" s="539"/>
      <c r="ONS52" s="539"/>
      <c r="ONT52" s="539"/>
      <c r="ONU52" s="539"/>
      <c r="ONV52" s="539"/>
      <c r="ONW52" s="539"/>
      <c r="ONX52" s="539"/>
      <c r="ONY52" s="539"/>
      <c r="ONZ52" s="539"/>
      <c r="OOA52" s="539"/>
      <c r="OOB52" s="539"/>
      <c r="OOC52" s="539"/>
      <c r="OOD52" s="539"/>
      <c r="OOE52" s="539"/>
      <c r="OOF52" s="539"/>
      <c r="OOG52" s="539"/>
      <c r="OOH52" s="539"/>
      <c r="OOI52" s="539"/>
      <c r="OOJ52" s="539"/>
      <c r="OOK52" s="539"/>
      <c r="OOL52" s="539"/>
      <c r="OOM52" s="539"/>
      <c r="OON52" s="539"/>
      <c r="OOO52" s="539"/>
      <c r="OOP52" s="539"/>
      <c r="OOQ52" s="539"/>
      <c r="OOR52" s="539"/>
      <c r="OOS52" s="539"/>
      <c r="OOT52" s="539"/>
      <c r="OOU52" s="539"/>
      <c r="OOV52" s="539"/>
      <c r="OOW52" s="539"/>
      <c r="OOX52" s="539"/>
      <c r="OOY52" s="539"/>
      <c r="OOZ52" s="539"/>
      <c r="OPA52" s="539"/>
      <c r="OPB52" s="539"/>
      <c r="OPC52" s="539"/>
      <c r="OPD52" s="539"/>
      <c r="OPE52" s="539"/>
      <c r="OPF52" s="539"/>
      <c r="OPG52" s="539"/>
      <c r="OPH52" s="539"/>
      <c r="OPI52" s="539"/>
      <c r="OPJ52" s="539"/>
      <c r="OPK52" s="539"/>
      <c r="OPL52" s="539"/>
      <c r="OPM52" s="539"/>
      <c r="OPN52" s="539"/>
      <c r="OPO52" s="539"/>
      <c r="OPP52" s="539"/>
      <c r="OPQ52" s="539"/>
      <c r="OPR52" s="539"/>
      <c r="OPS52" s="539"/>
      <c r="OPT52" s="539"/>
      <c r="OPU52" s="539"/>
      <c r="OPV52" s="539"/>
      <c r="OPW52" s="539"/>
      <c r="OPX52" s="539"/>
      <c r="OPY52" s="539"/>
      <c r="OPZ52" s="539"/>
      <c r="OQA52" s="539"/>
      <c r="OQB52" s="539"/>
      <c r="OQC52" s="539"/>
      <c r="OQD52" s="539"/>
      <c r="OQE52" s="539"/>
      <c r="OQF52" s="539"/>
      <c r="OQG52" s="539"/>
      <c r="OQH52" s="539"/>
      <c r="OQI52" s="539"/>
      <c r="OQJ52" s="539"/>
      <c r="OQK52" s="539"/>
      <c r="OQL52" s="539"/>
      <c r="OQM52" s="539"/>
      <c r="OQN52" s="539"/>
      <c r="OQO52" s="539"/>
      <c r="OQP52" s="539"/>
      <c r="OQQ52" s="539"/>
      <c r="OQR52" s="539"/>
      <c r="OQS52" s="539"/>
      <c r="OQT52" s="539"/>
      <c r="OQU52" s="539"/>
      <c r="OQV52" s="539"/>
      <c r="OQW52" s="539"/>
      <c r="OQX52" s="539"/>
      <c r="OQY52" s="539"/>
      <c r="OQZ52" s="539"/>
      <c r="ORA52" s="539"/>
      <c r="ORB52" s="539"/>
      <c r="ORC52" s="539"/>
      <c r="ORD52" s="539"/>
      <c r="ORE52" s="539"/>
      <c r="ORF52" s="539"/>
      <c r="ORG52" s="539"/>
      <c r="ORH52" s="539"/>
      <c r="ORI52" s="539"/>
      <c r="ORJ52" s="539"/>
      <c r="ORK52" s="539"/>
      <c r="ORL52" s="539"/>
      <c r="ORM52" s="539"/>
      <c r="ORN52" s="539"/>
      <c r="ORO52" s="539"/>
      <c r="ORP52" s="539"/>
      <c r="ORQ52" s="539"/>
      <c r="ORR52" s="539"/>
      <c r="ORS52" s="539"/>
      <c r="ORT52" s="539"/>
      <c r="ORU52" s="539"/>
      <c r="ORV52" s="539"/>
      <c r="ORW52" s="539"/>
      <c r="ORX52" s="539"/>
      <c r="ORY52" s="539"/>
      <c r="ORZ52" s="539"/>
      <c r="OSA52" s="539"/>
      <c r="OSB52" s="539"/>
      <c r="OSC52" s="539"/>
      <c r="OSD52" s="539"/>
      <c r="OSE52" s="539"/>
      <c r="OSF52" s="539"/>
      <c r="OSG52" s="539"/>
      <c r="OSH52" s="539"/>
      <c r="OSI52" s="539"/>
      <c r="OSJ52" s="539"/>
      <c r="OSK52" s="539"/>
      <c r="OSL52" s="539"/>
      <c r="OSM52" s="539"/>
      <c r="OSN52" s="539"/>
      <c r="OSO52" s="539"/>
      <c r="OSP52" s="539"/>
      <c r="OSQ52" s="539"/>
      <c r="OSR52" s="539"/>
      <c r="OSS52" s="539"/>
      <c r="OST52" s="539"/>
      <c r="OSU52" s="539"/>
      <c r="OSV52" s="539"/>
      <c r="OSW52" s="539"/>
      <c r="OSX52" s="539"/>
      <c r="OSY52" s="539"/>
      <c r="OSZ52" s="539"/>
      <c r="OTA52" s="539"/>
      <c r="OTB52" s="539"/>
      <c r="OTC52" s="539"/>
      <c r="OTD52" s="539"/>
      <c r="OTE52" s="539"/>
      <c r="OTF52" s="539"/>
      <c r="OTG52" s="539"/>
      <c r="OTH52" s="539"/>
      <c r="OTI52" s="539"/>
      <c r="OTJ52" s="539"/>
      <c r="OTK52" s="539"/>
      <c r="OTL52" s="539"/>
      <c r="OTM52" s="539"/>
      <c r="OTN52" s="539"/>
      <c r="OTO52" s="539"/>
      <c r="OTP52" s="539"/>
      <c r="OTQ52" s="539"/>
      <c r="OTR52" s="539"/>
      <c r="OTS52" s="539"/>
      <c r="OTT52" s="539"/>
      <c r="OTU52" s="539"/>
      <c r="OTV52" s="539"/>
      <c r="OTW52" s="539"/>
      <c r="OTX52" s="539"/>
      <c r="OTY52" s="539"/>
      <c r="OTZ52" s="539"/>
      <c r="OUA52" s="539"/>
      <c r="OUB52" s="539"/>
      <c r="OUC52" s="539"/>
      <c r="OUD52" s="539"/>
      <c r="OUE52" s="539"/>
      <c r="OUF52" s="539"/>
      <c r="OUG52" s="539"/>
      <c r="OUH52" s="539"/>
      <c r="OUI52" s="539"/>
      <c r="OUJ52" s="539"/>
      <c r="OUK52" s="539"/>
      <c r="OUL52" s="539"/>
      <c r="OUM52" s="539"/>
      <c r="OUN52" s="539"/>
      <c r="OUO52" s="539"/>
      <c r="OUP52" s="539"/>
      <c r="OUQ52" s="539"/>
      <c r="OUR52" s="539"/>
      <c r="OUS52" s="539"/>
      <c r="OUT52" s="539"/>
      <c r="OUU52" s="539"/>
      <c r="OUV52" s="539"/>
      <c r="OUW52" s="539"/>
      <c r="OUX52" s="539"/>
      <c r="OUY52" s="539"/>
      <c r="OUZ52" s="539"/>
      <c r="OVA52" s="539"/>
      <c r="OVB52" s="539"/>
      <c r="OVC52" s="539"/>
      <c r="OVD52" s="539"/>
      <c r="OVE52" s="539"/>
      <c r="OVF52" s="539"/>
      <c r="OVG52" s="539"/>
      <c r="OVH52" s="539"/>
      <c r="OVI52" s="539"/>
      <c r="OVJ52" s="539"/>
      <c r="OVK52" s="539"/>
      <c r="OVL52" s="539"/>
      <c r="OVM52" s="539"/>
      <c r="OVN52" s="539"/>
      <c r="OVO52" s="539"/>
      <c r="OVP52" s="539"/>
      <c r="OVQ52" s="539"/>
      <c r="OVR52" s="539"/>
      <c r="OVS52" s="539"/>
      <c r="OVT52" s="539"/>
      <c r="OVU52" s="539"/>
      <c r="OVV52" s="539"/>
      <c r="OVW52" s="539"/>
      <c r="OVX52" s="539"/>
      <c r="OVY52" s="539"/>
      <c r="OVZ52" s="539"/>
      <c r="OWA52" s="539"/>
      <c r="OWB52" s="539"/>
      <c r="OWC52" s="539"/>
      <c r="OWD52" s="539"/>
      <c r="OWE52" s="539"/>
      <c r="OWF52" s="539"/>
      <c r="OWG52" s="539"/>
      <c r="OWH52" s="539"/>
      <c r="OWI52" s="539"/>
      <c r="OWJ52" s="539"/>
      <c r="OWK52" s="539"/>
      <c r="OWL52" s="539"/>
      <c r="OWM52" s="539"/>
      <c r="OWN52" s="539"/>
      <c r="OWO52" s="539"/>
      <c r="OWP52" s="539"/>
      <c r="OWQ52" s="539"/>
      <c r="OWR52" s="539"/>
      <c r="OWS52" s="539"/>
      <c r="OWT52" s="539"/>
      <c r="OWU52" s="539"/>
      <c r="OWV52" s="539"/>
      <c r="OWW52" s="539"/>
      <c r="OWX52" s="539"/>
      <c r="OWY52" s="539"/>
      <c r="OWZ52" s="539"/>
      <c r="OXA52" s="539"/>
      <c r="OXB52" s="539"/>
      <c r="OXC52" s="539"/>
      <c r="OXD52" s="539"/>
      <c r="OXE52" s="539"/>
      <c r="OXF52" s="539"/>
      <c r="OXG52" s="539"/>
      <c r="OXH52" s="539"/>
      <c r="OXI52" s="539"/>
      <c r="OXJ52" s="539"/>
      <c r="OXK52" s="539"/>
      <c r="OXL52" s="539"/>
      <c r="OXM52" s="539"/>
      <c r="OXN52" s="539"/>
      <c r="OXO52" s="539"/>
      <c r="OXP52" s="539"/>
      <c r="OXQ52" s="539"/>
      <c r="OXR52" s="539"/>
      <c r="OXS52" s="539"/>
      <c r="OXT52" s="539"/>
      <c r="OXU52" s="539"/>
      <c r="OXV52" s="539"/>
      <c r="OXW52" s="539"/>
      <c r="OXX52" s="539"/>
      <c r="OXY52" s="539"/>
      <c r="OXZ52" s="539"/>
      <c r="OYA52" s="539"/>
      <c r="OYB52" s="539"/>
      <c r="OYC52" s="539"/>
      <c r="OYD52" s="539"/>
      <c r="OYE52" s="539"/>
      <c r="OYF52" s="539"/>
      <c r="OYG52" s="539"/>
      <c r="OYH52" s="539"/>
      <c r="OYI52" s="539"/>
      <c r="OYJ52" s="539"/>
      <c r="OYK52" s="539"/>
      <c r="OYL52" s="539"/>
      <c r="OYM52" s="539"/>
      <c r="OYN52" s="539"/>
      <c r="OYO52" s="539"/>
      <c r="OYP52" s="539"/>
      <c r="OYQ52" s="539"/>
      <c r="OYR52" s="539"/>
      <c r="OYS52" s="539"/>
      <c r="OYT52" s="539"/>
      <c r="OYU52" s="539"/>
      <c r="OYV52" s="539"/>
      <c r="OYW52" s="539"/>
      <c r="OYX52" s="539"/>
      <c r="OYY52" s="539"/>
      <c r="OYZ52" s="539"/>
      <c r="OZA52" s="539"/>
      <c r="OZB52" s="539"/>
      <c r="OZC52" s="539"/>
      <c r="OZD52" s="539"/>
      <c r="OZE52" s="539"/>
      <c r="OZF52" s="539"/>
      <c r="OZG52" s="539"/>
      <c r="OZH52" s="539"/>
      <c r="OZI52" s="539"/>
      <c r="OZJ52" s="539"/>
      <c r="OZK52" s="539"/>
      <c r="OZL52" s="539"/>
      <c r="OZM52" s="539"/>
      <c r="OZN52" s="539"/>
      <c r="OZO52" s="539"/>
      <c r="OZP52" s="539"/>
      <c r="OZQ52" s="539"/>
      <c r="OZR52" s="539"/>
      <c r="OZS52" s="539"/>
      <c r="OZT52" s="539"/>
      <c r="OZU52" s="539"/>
      <c r="OZV52" s="539"/>
      <c r="OZW52" s="539"/>
      <c r="OZX52" s="539"/>
      <c r="OZY52" s="539"/>
      <c r="OZZ52" s="539"/>
      <c r="PAA52" s="539"/>
      <c r="PAB52" s="539"/>
      <c r="PAC52" s="539"/>
      <c r="PAD52" s="539"/>
      <c r="PAE52" s="539"/>
      <c r="PAF52" s="539"/>
      <c r="PAG52" s="539"/>
      <c r="PAH52" s="539"/>
      <c r="PAI52" s="539"/>
      <c r="PAJ52" s="539"/>
      <c r="PAK52" s="539"/>
      <c r="PAL52" s="539"/>
      <c r="PAM52" s="539"/>
      <c r="PAN52" s="539"/>
      <c r="PAO52" s="539"/>
      <c r="PAP52" s="539"/>
      <c r="PAQ52" s="539"/>
      <c r="PAR52" s="539"/>
      <c r="PAS52" s="539"/>
      <c r="PAT52" s="539"/>
      <c r="PAU52" s="539"/>
      <c r="PAV52" s="539"/>
      <c r="PAW52" s="539"/>
      <c r="PAX52" s="539"/>
      <c r="PAY52" s="539"/>
      <c r="PAZ52" s="539"/>
      <c r="PBA52" s="539"/>
      <c r="PBB52" s="539"/>
      <c r="PBC52" s="539"/>
      <c r="PBD52" s="539"/>
      <c r="PBE52" s="539"/>
      <c r="PBF52" s="539"/>
      <c r="PBG52" s="539"/>
      <c r="PBH52" s="539"/>
      <c r="PBI52" s="539"/>
      <c r="PBJ52" s="539"/>
      <c r="PBK52" s="539"/>
      <c r="PBL52" s="539"/>
      <c r="PBM52" s="539"/>
      <c r="PBN52" s="539"/>
      <c r="PBO52" s="539"/>
      <c r="PBP52" s="539"/>
      <c r="PBQ52" s="539"/>
      <c r="PBR52" s="539"/>
      <c r="PBS52" s="539"/>
      <c r="PBT52" s="539"/>
      <c r="PBU52" s="539"/>
      <c r="PBV52" s="539"/>
      <c r="PBW52" s="539"/>
      <c r="PBX52" s="539"/>
      <c r="PBY52" s="539"/>
      <c r="PBZ52" s="539"/>
      <c r="PCA52" s="539"/>
      <c r="PCB52" s="539"/>
      <c r="PCC52" s="539"/>
      <c r="PCD52" s="539"/>
      <c r="PCE52" s="539"/>
      <c r="PCF52" s="539"/>
      <c r="PCG52" s="539"/>
      <c r="PCH52" s="539"/>
      <c r="PCI52" s="539"/>
      <c r="PCJ52" s="539"/>
      <c r="PCK52" s="539"/>
      <c r="PCL52" s="539"/>
      <c r="PCM52" s="539"/>
      <c r="PCN52" s="539"/>
      <c r="PCO52" s="539"/>
      <c r="PCP52" s="539"/>
      <c r="PCQ52" s="539"/>
      <c r="PCR52" s="539"/>
      <c r="PCS52" s="539"/>
      <c r="PCT52" s="539"/>
      <c r="PCU52" s="539"/>
      <c r="PCV52" s="539"/>
      <c r="PCW52" s="539"/>
      <c r="PCX52" s="539"/>
      <c r="PCY52" s="539"/>
      <c r="PCZ52" s="539"/>
      <c r="PDA52" s="539"/>
      <c r="PDB52" s="539"/>
      <c r="PDC52" s="539"/>
      <c r="PDD52" s="539"/>
      <c r="PDE52" s="539"/>
      <c r="PDF52" s="539"/>
      <c r="PDG52" s="539"/>
      <c r="PDH52" s="539"/>
      <c r="PDI52" s="539"/>
      <c r="PDJ52" s="539"/>
      <c r="PDK52" s="539"/>
      <c r="PDL52" s="539"/>
      <c r="PDM52" s="539"/>
      <c r="PDN52" s="539"/>
      <c r="PDO52" s="539"/>
      <c r="PDP52" s="539"/>
      <c r="PDQ52" s="539"/>
      <c r="PDR52" s="539"/>
      <c r="PDS52" s="539"/>
      <c r="PDT52" s="539"/>
      <c r="PDU52" s="539"/>
      <c r="PDV52" s="539"/>
      <c r="PDW52" s="539"/>
      <c r="PDX52" s="539"/>
      <c r="PDY52" s="539"/>
      <c r="PDZ52" s="539"/>
      <c r="PEA52" s="539"/>
      <c r="PEB52" s="539"/>
      <c r="PEC52" s="539"/>
      <c r="PED52" s="539"/>
      <c r="PEE52" s="539"/>
      <c r="PEF52" s="539"/>
      <c r="PEG52" s="539"/>
      <c r="PEH52" s="539"/>
      <c r="PEI52" s="539"/>
      <c r="PEJ52" s="539"/>
      <c r="PEK52" s="539"/>
      <c r="PEL52" s="539"/>
      <c r="PEM52" s="539"/>
      <c r="PEN52" s="539"/>
      <c r="PEO52" s="539"/>
      <c r="PEP52" s="539"/>
      <c r="PEQ52" s="539"/>
      <c r="PER52" s="539"/>
      <c r="PES52" s="539"/>
      <c r="PET52" s="539"/>
      <c r="PEU52" s="539"/>
      <c r="PEV52" s="539"/>
      <c r="PEW52" s="539"/>
      <c r="PEX52" s="539"/>
      <c r="PEY52" s="539"/>
      <c r="PEZ52" s="539"/>
      <c r="PFA52" s="539"/>
      <c r="PFB52" s="539"/>
      <c r="PFC52" s="539"/>
      <c r="PFD52" s="539"/>
      <c r="PFE52" s="539"/>
      <c r="PFF52" s="539"/>
      <c r="PFG52" s="539"/>
      <c r="PFH52" s="539"/>
      <c r="PFI52" s="539"/>
      <c r="PFJ52" s="539"/>
      <c r="PFK52" s="539"/>
      <c r="PFL52" s="539"/>
      <c r="PFM52" s="539"/>
      <c r="PFN52" s="539"/>
      <c r="PFO52" s="539"/>
      <c r="PFP52" s="539"/>
      <c r="PFQ52" s="539"/>
      <c r="PFR52" s="539"/>
      <c r="PFS52" s="539"/>
      <c r="PFT52" s="539"/>
      <c r="PFU52" s="539"/>
      <c r="PFV52" s="539"/>
      <c r="PFW52" s="539"/>
      <c r="PFX52" s="539"/>
      <c r="PFY52" s="539"/>
      <c r="PFZ52" s="539"/>
      <c r="PGA52" s="539"/>
      <c r="PGB52" s="539"/>
      <c r="PGC52" s="539"/>
      <c r="PGD52" s="539"/>
      <c r="PGE52" s="539"/>
      <c r="PGF52" s="539"/>
      <c r="PGG52" s="539"/>
      <c r="PGH52" s="539"/>
      <c r="PGI52" s="539"/>
      <c r="PGJ52" s="539"/>
      <c r="PGK52" s="539"/>
      <c r="PGL52" s="539"/>
      <c r="PGM52" s="539"/>
      <c r="PGN52" s="539"/>
      <c r="PGO52" s="539"/>
      <c r="PGP52" s="539"/>
      <c r="PGQ52" s="539"/>
      <c r="PGR52" s="539"/>
      <c r="PGS52" s="539"/>
      <c r="PGT52" s="539"/>
      <c r="PGU52" s="539"/>
      <c r="PGV52" s="539"/>
      <c r="PGW52" s="539"/>
      <c r="PGX52" s="539"/>
      <c r="PGY52" s="539"/>
      <c r="PGZ52" s="539"/>
      <c r="PHA52" s="539"/>
      <c r="PHB52" s="539"/>
      <c r="PHC52" s="539"/>
      <c r="PHD52" s="539"/>
      <c r="PHE52" s="539"/>
      <c r="PHF52" s="539"/>
      <c r="PHG52" s="539"/>
      <c r="PHH52" s="539"/>
      <c r="PHI52" s="539"/>
      <c r="PHJ52" s="539"/>
      <c r="PHK52" s="539"/>
      <c r="PHL52" s="539"/>
      <c r="PHM52" s="539"/>
      <c r="PHN52" s="539"/>
      <c r="PHO52" s="539"/>
      <c r="PHP52" s="539"/>
      <c r="PHQ52" s="539"/>
      <c r="PHR52" s="539"/>
      <c r="PHS52" s="539"/>
      <c r="PHT52" s="539"/>
      <c r="PHU52" s="539"/>
      <c r="PHV52" s="539"/>
      <c r="PHW52" s="539"/>
      <c r="PHX52" s="539"/>
      <c r="PHY52" s="539"/>
      <c r="PHZ52" s="539"/>
      <c r="PIA52" s="539"/>
      <c r="PIB52" s="539"/>
      <c r="PIC52" s="539"/>
      <c r="PID52" s="539"/>
      <c r="PIE52" s="539"/>
      <c r="PIF52" s="539"/>
      <c r="PIG52" s="539"/>
      <c r="PIH52" s="539"/>
      <c r="PII52" s="539"/>
      <c r="PIJ52" s="539"/>
      <c r="PIK52" s="539"/>
      <c r="PIL52" s="539"/>
      <c r="PIM52" s="539"/>
      <c r="PIN52" s="539"/>
      <c r="PIO52" s="539"/>
      <c r="PIP52" s="539"/>
      <c r="PIQ52" s="539"/>
      <c r="PIR52" s="539"/>
      <c r="PIS52" s="539"/>
      <c r="PIT52" s="539"/>
      <c r="PIU52" s="539"/>
      <c r="PIV52" s="539"/>
      <c r="PIW52" s="539"/>
      <c r="PIX52" s="539"/>
      <c r="PIY52" s="539"/>
      <c r="PIZ52" s="539"/>
      <c r="PJA52" s="539"/>
      <c r="PJB52" s="539"/>
      <c r="PJC52" s="539"/>
      <c r="PJD52" s="539"/>
      <c r="PJE52" s="539"/>
      <c r="PJF52" s="539"/>
      <c r="PJG52" s="539"/>
      <c r="PJH52" s="539"/>
      <c r="PJI52" s="539"/>
      <c r="PJJ52" s="539"/>
      <c r="PJK52" s="539"/>
      <c r="PJL52" s="539"/>
      <c r="PJM52" s="539"/>
      <c r="PJN52" s="539"/>
      <c r="PJO52" s="539"/>
      <c r="PJP52" s="539"/>
      <c r="PJQ52" s="539"/>
      <c r="PJR52" s="539"/>
      <c r="PJS52" s="539"/>
      <c r="PJT52" s="539"/>
      <c r="PJU52" s="539"/>
      <c r="PJV52" s="539"/>
      <c r="PJW52" s="539"/>
      <c r="PJX52" s="539"/>
      <c r="PJY52" s="539"/>
      <c r="PJZ52" s="539"/>
      <c r="PKA52" s="539"/>
      <c r="PKB52" s="539"/>
      <c r="PKC52" s="539"/>
      <c r="PKD52" s="539"/>
      <c r="PKE52" s="539"/>
      <c r="PKF52" s="539"/>
      <c r="PKG52" s="539"/>
      <c r="PKH52" s="539"/>
      <c r="PKI52" s="539"/>
      <c r="PKJ52" s="539"/>
      <c r="PKK52" s="539"/>
      <c r="PKL52" s="539"/>
      <c r="PKM52" s="539"/>
      <c r="PKN52" s="539"/>
      <c r="PKO52" s="539"/>
      <c r="PKP52" s="539"/>
      <c r="PKQ52" s="539"/>
      <c r="PKR52" s="539"/>
      <c r="PKS52" s="539"/>
      <c r="PKT52" s="539"/>
      <c r="PKU52" s="539"/>
      <c r="PKV52" s="539"/>
      <c r="PKW52" s="539"/>
      <c r="PKX52" s="539"/>
      <c r="PKY52" s="539"/>
      <c r="PKZ52" s="539"/>
      <c r="PLA52" s="539"/>
      <c r="PLB52" s="539"/>
      <c r="PLC52" s="539"/>
      <c r="PLD52" s="539"/>
      <c r="PLE52" s="539"/>
      <c r="PLF52" s="539"/>
      <c r="PLG52" s="539"/>
      <c r="PLH52" s="539"/>
      <c r="PLI52" s="539"/>
      <c r="PLJ52" s="539"/>
      <c r="PLK52" s="539"/>
      <c r="PLL52" s="539"/>
      <c r="PLM52" s="539"/>
      <c r="PLN52" s="539"/>
      <c r="PLO52" s="539"/>
      <c r="PLP52" s="539"/>
      <c r="PLQ52" s="539"/>
      <c r="PLR52" s="539"/>
      <c r="PLS52" s="539"/>
      <c r="PLT52" s="539"/>
      <c r="PLU52" s="539"/>
      <c r="PLV52" s="539"/>
      <c r="PLW52" s="539"/>
      <c r="PLX52" s="539"/>
      <c r="PLY52" s="539"/>
      <c r="PLZ52" s="539"/>
      <c r="PMA52" s="539"/>
      <c r="PMB52" s="539"/>
      <c r="PMC52" s="539"/>
      <c r="PMD52" s="539"/>
      <c r="PME52" s="539"/>
      <c r="PMF52" s="539"/>
      <c r="PMG52" s="539"/>
      <c r="PMH52" s="539"/>
      <c r="PMI52" s="539"/>
      <c r="PMJ52" s="539"/>
      <c r="PMK52" s="539"/>
      <c r="PML52" s="539"/>
      <c r="PMM52" s="539"/>
      <c r="PMN52" s="539"/>
      <c r="PMO52" s="539"/>
      <c r="PMP52" s="539"/>
      <c r="PMQ52" s="539"/>
      <c r="PMR52" s="539"/>
      <c r="PMS52" s="539"/>
      <c r="PMT52" s="539"/>
      <c r="PMU52" s="539"/>
      <c r="PMV52" s="539"/>
      <c r="PMW52" s="539"/>
      <c r="PMX52" s="539"/>
      <c r="PMY52" s="539"/>
      <c r="PMZ52" s="539"/>
      <c r="PNA52" s="539"/>
      <c r="PNB52" s="539"/>
      <c r="PNC52" s="539"/>
      <c r="PND52" s="539"/>
      <c r="PNE52" s="539"/>
      <c r="PNF52" s="539"/>
      <c r="PNG52" s="539"/>
      <c r="PNH52" s="539"/>
      <c r="PNI52" s="539"/>
      <c r="PNJ52" s="539"/>
      <c r="PNK52" s="539"/>
      <c r="PNL52" s="539"/>
      <c r="PNM52" s="539"/>
      <c r="PNN52" s="539"/>
      <c r="PNO52" s="539"/>
      <c r="PNP52" s="539"/>
      <c r="PNQ52" s="539"/>
      <c r="PNR52" s="539"/>
      <c r="PNS52" s="539"/>
      <c r="PNT52" s="539"/>
      <c r="PNU52" s="539"/>
      <c r="PNV52" s="539"/>
      <c r="PNW52" s="539"/>
      <c r="PNX52" s="539"/>
      <c r="PNY52" s="539"/>
      <c r="PNZ52" s="539"/>
      <c r="POA52" s="539"/>
      <c r="POB52" s="539"/>
      <c r="POC52" s="539"/>
      <c r="POD52" s="539"/>
      <c r="POE52" s="539"/>
      <c r="POF52" s="539"/>
      <c r="POG52" s="539"/>
      <c r="POH52" s="539"/>
      <c r="POI52" s="539"/>
      <c r="POJ52" s="539"/>
      <c r="POK52" s="539"/>
      <c r="POL52" s="539"/>
      <c r="POM52" s="539"/>
      <c r="PON52" s="539"/>
      <c r="POO52" s="539"/>
      <c r="POP52" s="539"/>
      <c r="POQ52" s="539"/>
      <c r="POR52" s="539"/>
      <c r="POS52" s="539"/>
      <c r="POT52" s="539"/>
      <c r="POU52" s="539"/>
      <c r="POV52" s="539"/>
      <c r="POW52" s="539"/>
      <c r="POX52" s="539"/>
      <c r="POY52" s="539"/>
      <c r="POZ52" s="539"/>
      <c r="PPA52" s="539"/>
      <c r="PPB52" s="539"/>
      <c r="PPC52" s="539"/>
      <c r="PPD52" s="539"/>
      <c r="PPE52" s="539"/>
      <c r="PPF52" s="539"/>
      <c r="PPG52" s="539"/>
      <c r="PPH52" s="539"/>
      <c r="PPI52" s="539"/>
      <c r="PPJ52" s="539"/>
      <c r="PPK52" s="539"/>
      <c r="PPL52" s="539"/>
      <c r="PPM52" s="539"/>
      <c r="PPN52" s="539"/>
      <c r="PPO52" s="539"/>
      <c r="PPP52" s="539"/>
      <c r="PPQ52" s="539"/>
      <c r="PPR52" s="539"/>
      <c r="PPS52" s="539"/>
      <c r="PPT52" s="539"/>
      <c r="PPU52" s="539"/>
      <c r="PPV52" s="539"/>
      <c r="PPW52" s="539"/>
      <c r="PPX52" s="539"/>
      <c r="PPY52" s="539"/>
      <c r="PPZ52" s="539"/>
      <c r="PQA52" s="539"/>
      <c r="PQB52" s="539"/>
      <c r="PQC52" s="539"/>
      <c r="PQD52" s="539"/>
      <c r="PQE52" s="539"/>
      <c r="PQF52" s="539"/>
      <c r="PQG52" s="539"/>
      <c r="PQH52" s="539"/>
      <c r="PQI52" s="539"/>
      <c r="PQJ52" s="539"/>
      <c r="PQK52" s="539"/>
      <c r="PQL52" s="539"/>
      <c r="PQM52" s="539"/>
      <c r="PQN52" s="539"/>
      <c r="PQO52" s="539"/>
      <c r="PQP52" s="539"/>
      <c r="PQQ52" s="539"/>
      <c r="PQR52" s="539"/>
      <c r="PQS52" s="539"/>
      <c r="PQT52" s="539"/>
      <c r="PQU52" s="539"/>
      <c r="PQV52" s="539"/>
      <c r="PQW52" s="539"/>
      <c r="PQX52" s="539"/>
      <c r="PQY52" s="539"/>
      <c r="PQZ52" s="539"/>
      <c r="PRA52" s="539"/>
      <c r="PRB52" s="539"/>
      <c r="PRC52" s="539"/>
      <c r="PRD52" s="539"/>
      <c r="PRE52" s="539"/>
      <c r="PRF52" s="539"/>
      <c r="PRG52" s="539"/>
      <c r="PRH52" s="539"/>
      <c r="PRI52" s="539"/>
      <c r="PRJ52" s="539"/>
      <c r="PRK52" s="539"/>
      <c r="PRL52" s="539"/>
      <c r="PRM52" s="539"/>
      <c r="PRN52" s="539"/>
      <c r="PRO52" s="539"/>
      <c r="PRP52" s="539"/>
      <c r="PRQ52" s="539"/>
      <c r="PRR52" s="539"/>
      <c r="PRS52" s="539"/>
      <c r="PRT52" s="539"/>
      <c r="PRU52" s="539"/>
      <c r="PRV52" s="539"/>
      <c r="PRW52" s="539"/>
      <c r="PRX52" s="539"/>
      <c r="PRY52" s="539"/>
      <c r="PRZ52" s="539"/>
      <c r="PSA52" s="539"/>
      <c r="PSB52" s="539"/>
      <c r="PSC52" s="539"/>
      <c r="PSD52" s="539"/>
      <c r="PSE52" s="539"/>
      <c r="PSF52" s="539"/>
      <c r="PSG52" s="539"/>
      <c r="PSH52" s="539"/>
      <c r="PSI52" s="539"/>
      <c r="PSJ52" s="539"/>
      <c r="PSK52" s="539"/>
      <c r="PSL52" s="539"/>
      <c r="PSM52" s="539"/>
      <c r="PSN52" s="539"/>
      <c r="PSO52" s="539"/>
      <c r="PSP52" s="539"/>
      <c r="PSQ52" s="539"/>
      <c r="PSR52" s="539"/>
      <c r="PSS52" s="539"/>
      <c r="PST52" s="539"/>
      <c r="PSU52" s="539"/>
      <c r="PSV52" s="539"/>
      <c r="PSW52" s="539"/>
      <c r="PSX52" s="539"/>
      <c r="PSY52" s="539"/>
      <c r="PSZ52" s="539"/>
      <c r="PTA52" s="539"/>
      <c r="PTB52" s="539"/>
      <c r="PTC52" s="539"/>
      <c r="PTD52" s="539"/>
      <c r="PTE52" s="539"/>
      <c r="PTF52" s="539"/>
      <c r="PTG52" s="539"/>
      <c r="PTH52" s="539"/>
      <c r="PTI52" s="539"/>
      <c r="PTJ52" s="539"/>
      <c r="PTK52" s="539"/>
      <c r="PTL52" s="539"/>
      <c r="PTM52" s="539"/>
      <c r="PTN52" s="539"/>
      <c r="PTO52" s="539"/>
      <c r="PTP52" s="539"/>
      <c r="PTQ52" s="539"/>
      <c r="PTR52" s="539"/>
      <c r="PTS52" s="539"/>
      <c r="PTT52" s="539"/>
      <c r="PTU52" s="539"/>
      <c r="PTV52" s="539"/>
      <c r="PTW52" s="539"/>
      <c r="PTX52" s="539"/>
      <c r="PTY52" s="539"/>
      <c r="PTZ52" s="539"/>
      <c r="PUA52" s="539"/>
      <c r="PUB52" s="539"/>
      <c r="PUC52" s="539"/>
      <c r="PUD52" s="539"/>
      <c r="PUE52" s="539"/>
      <c r="PUF52" s="539"/>
      <c r="PUG52" s="539"/>
      <c r="PUH52" s="539"/>
      <c r="PUI52" s="539"/>
      <c r="PUJ52" s="539"/>
      <c r="PUK52" s="539"/>
      <c r="PUL52" s="539"/>
      <c r="PUM52" s="539"/>
      <c r="PUN52" s="539"/>
      <c r="PUO52" s="539"/>
      <c r="PUP52" s="539"/>
      <c r="PUQ52" s="539"/>
      <c r="PUR52" s="539"/>
      <c r="PUS52" s="539"/>
      <c r="PUT52" s="539"/>
      <c r="PUU52" s="539"/>
      <c r="PUV52" s="539"/>
      <c r="PUW52" s="539"/>
      <c r="PUX52" s="539"/>
      <c r="PUY52" s="539"/>
      <c r="PUZ52" s="539"/>
      <c r="PVA52" s="539"/>
      <c r="PVB52" s="539"/>
      <c r="PVC52" s="539"/>
      <c r="PVD52" s="539"/>
      <c r="PVE52" s="539"/>
      <c r="PVF52" s="539"/>
      <c r="PVG52" s="539"/>
      <c r="PVH52" s="539"/>
      <c r="PVI52" s="539"/>
      <c r="PVJ52" s="539"/>
      <c r="PVK52" s="539"/>
      <c r="PVL52" s="539"/>
      <c r="PVM52" s="539"/>
      <c r="PVN52" s="539"/>
      <c r="PVO52" s="539"/>
      <c r="PVP52" s="539"/>
      <c r="PVQ52" s="539"/>
      <c r="PVR52" s="539"/>
      <c r="PVS52" s="539"/>
      <c r="PVT52" s="539"/>
      <c r="PVU52" s="539"/>
      <c r="PVV52" s="539"/>
      <c r="PVW52" s="539"/>
      <c r="PVX52" s="539"/>
      <c r="PVY52" s="539"/>
      <c r="PVZ52" s="539"/>
      <c r="PWA52" s="539"/>
      <c r="PWB52" s="539"/>
      <c r="PWC52" s="539"/>
      <c r="PWD52" s="539"/>
      <c r="PWE52" s="539"/>
      <c r="PWF52" s="539"/>
      <c r="PWG52" s="539"/>
      <c r="PWH52" s="539"/>
      <c r="PWI52" s="539"/>
      <c r="PWJ52" s="539"/>
      <c r="PWK52" s="539"/>
      <c r="PWL52" s="539"/>
      <c r="PWM52" s="539"/>
      <c r="PWN52" s="539"/>
      <c r="PWO52" s="539"/>
      <c r="PWP52" s="539"/>
      <c r="PWQ52" s="539"/>
      <c r="PWR52" s="539"/>
      <c r="PWS52" s="539"/>
      <c r="PWT52" s="539"/>
      <c r="PWU52" s="539"/>
      <c r="PWV52" s="539"/>
      <c r="PWW52" s="539"/>
      <c r="PWX52" s="539"/>
      <c r="PWY52" s="539"/>
      <c r="PWZ52" s="539"/>
      <c r="PXA52" s="539"/>
      <c r="PXB52" s="539"/>
      <c r="PXC52" s="539"/>
      <c r="PXD52" s="539"/>
      <c r="PXE52" s="539"/>
      <c r="PXF52" s="539"/>
      <c r="PXG52" s="539"/>
      <c r="PXH52" s="539"/>
      <c r="PXI52" s="539"/>
      <c r="PXJ52" s="539"/>
      <c r="PXK52" s="539"/>
      <c r="PXL52" s="539"/>
      <c r="PXM52" s="539"/>
      <c r="PXN52" s="539"/>
      <c r="PXO52" s="539"/>
      <c r="PXP52" s="539"/>
      <c r="PXQ52" s="539"/>
      <c r="PXR52" s="539"/>
      <c r="PXS52" s="539"/>
      <c r="PXT52" s="539"/>
      <c r="PXU52" s="539"/>
      <c r="PXV52" s="539"/>
      <c r="PXW52" s="539"/>
      <c r="PXX52" s="539"/>
      <c r="PXY52" s="539"/>
      <c r="PXZ52" s="539"/>
      <c r="PYA52" s="539"/>
      <c r="PYB52" s="539"/>
      <c r="PYC52" s="539"/>
      <c r="PYD52" s="539"/>
      <c r="PYE52" s="539"/>
      <c r="PYF52" s="539"/>
      <c r="PYG52" s="539"/>
      <c r="PYH52" s="539"/>
      <c r="PYI52" s="539"/>
      <c r="PYJ52" s="539"/>
      <c r="PYK52" s="539"/>
      <c r="PYL52" s="539"/>
      <c r="PYM52" s="539"/>
      <c r="PYN52" s="539"/>
      <c r="PYO52" s="539"/>
      <c r="PYP52" s="539"/>
      <c r="PYQ52" s="539"/>
      <c r="PYR52" s="539"/>
      <c r="PYS52" s="539"/>
      <c r="PYT52" s="539"/>
      <c r="PYU52" s="539"/>
      <c r="PYV52" s="539"/>
      <c r="PYW52" s="539"/>
      <c r="PYX52" s="539"/>
      <c r="PYY52" s="539"/>
      <c r="PYZ52" s="539"/>
      <c r="PZA52" s="539"/>
      <c r="PZB52" s="539"/>
      <c r="PZC52" s="539"/>
      <c r="PZD52" s="539"/>
      <c r="PZE52" s="539"/>
      <c r="PZF52" s="539"/>
      <c r="PZG52" s="539"/>
      <c r="PZH52" s="539"/>
      <c r="PZI52" s="539"/>
      <c r="PZJ52" s="539"/>
      <c r="PZK52" s="539"/>
      <c r="PZL52" s="539"/>
      <c r="PZM52" s="539"/>
      <c r="PZN52" s="539"/>
      <c r="PZO52" s="539"/>
      <c r="PZP52" s="539"/>
      <c r="PZQ52" s="539"/>
      <c r="PZR52" s="539"/>
      <c r="PZS52" s="539"/>
      <c r="PZT52" s="539"/>
      <c r="PZU52" s="539"/>
      <c r="PZV52" s="539"/>
      <c r="PZW52" s="539"/>
      <c r="PZX52" s="539"/>
      <c r="PZY52" s="539"/>
      <c r="PZZ52" s="539"/>
      <c r="QAA52" s="539"/>
      <c r="QAB52" s="539"/>
      <c r="QAC52" s="539"/>
      <c r="QAD52" s="539"/>
      <c r="QAE52" s="539"/>
      <c r="QAF52" s="539"/>
      <c r="QAG52" s="539"/>
      <c r="QAH52" s="539"/>
      <c r="QAI52" s="539"/>
      <c r="QAJ52" s="539"/>
      <c r="QAK52" s="539"/>
      <c r="QAL52" s="539"/>
      <c r="QAM52" s="539"/>
      <c r="QAN52" s="539"/>
      <c r="QAO52" s="539"/>
      <c r="QAP52" s="539"/>
      <c r="QAQ52" s="539"/>
      <c r="QAR52" s="539"/>
      <c r="QAS52" s="539"/>
      <c r="QAT52" s="539"/>
      <c r="QAU52" s="539"/>
      <c r="QAV52" s="539"/>
      <c r="QAW52" s="539"/>
      <c r="QAX52" s="539"/>
      <c r="QAY52" s="539"/>
      <c r="QAZ52" s="539"/>
      <c r="QBA52" s="539"/>
      <c r="QBB52" s="539"/>
      <c r="QBC52" s="539"/>
      <c r="QBD52" s="539"/>
      <c r="QBE52" s="539"/>
      <c r="QBF52" s="539"/>
      <c r="QBG52" s="539"/>
      <c r="QBH52" s="539"/>
      <c r="QBI52" s="539"/>
      <c r="QBJ52" s="539"/>
      <c r="QBK52" s="539"/>
      <c r="QBL52" s="539"/>
      <c r="QBM52" s="539"/>
      <c r="QBN52" s="539"/>
      <c r="QBO52" s="539"/>
      <c r="QBP52" s="539"/>
      <c r="QBQ52" s="539"/>
      <c r="QBR52" s="539"/>
      <c r="QBS52" s="539"/>
      <c r="QBT52" s="539"/>
      <c r="QBU52" s="539"/>
      <c r="QBV52" s="539"/>
      <c r="QBW52" s="539"/>
      <c r="QBX52" s="539"/>
      <c r="QBY52" s="539"/>
      <c r="QBZ52" s="539"/>
      <c r="QCA52" s="539"/>
      <c r="QCB52" s="539"/>
      <c r="QCC52" s="539"/>
      <c r="QCD52" s="539"/>
      <c r="QCE52" s="539"/>
      <c r="QCF52" s="539"/>
      <c r="QCG52" s="539"/>
      <c r="QCH52" s="539"/>
      <c r="QCI52" s="539"/>
      <c r="QCJ52" s="539"/>
      <c r="QCK52" s="539"/>
      <c r="QCL52" s="539"/>
      <c r="QCM52" s="539"/>
      <c r="QCN52" s="539"/>
      <c r="QCO52" s="539"/>
      <c r="QCP52" s="539"/>
      <c r="QCQ52" s="539"/>
      <c r="QCR52" s="539"/>
      <c r="QCS52" s="539"/>
      <c r="QCT52" s="539"/>
      <c r="QCU52" s="539"/>
      <c r="QCV52" s="539"/>
      <c r="QCW52" s="539"/>
      <c r="QCX52" s="539"/>
      <c r="QCY52" s="539"/>
      <c r="QCZ52" s="539"/>
      <c r="QDA52" s="539"/>
      <c r="QDB52" s="539"/>
      <c r="QDC52" s="539"/>
      <c r="QDD52" s="539"/>
      <c r="QDE52" s="539"/>
      <c r="QDF52" s="539"/>
      <c r="QDG52" s="539"/>
      <c r="QDH52" s="539"/>
      <c r="QDI52" s="539"/>
      <c r="QDJ52" s="539"/>
      <c r="QDK52" s="539"/>
      <c r="QDL52" s="539"/>
      <c r="QDM52" s="539"/>
      <c r="QDN52" s="539"/>
      <c r="QDO52" s="539"/>
      <c r="QDP52" s="539"/>
      <c r="QDQ52" s="539"/>
      <c r="QDR52" s="539"/>
      <c r="QDS52" s="539"/>
      <c r="QDT52" s="539"/>
      <c r="QDU52" s="539"/>
      <c r="QDV52" s="539"/>
      <c r="QDW52" s="539"/>
      <c r="QDX52" s="539"/>
      <c r="QDY52" s="539"/>
      <c r="QDZ52" s="539"/>
      <c r="QEA52" s="539"/>
      <c r="QEB52" s="539"/>
      <c r="QEC52" s="539"/>
      <c r="QED52" s="539"/>
      <c r="QEE52" s="539"/>
      <c r="QEF52" s="539"/>
      <c r="QEG52" s="539"/>
      <c r="QEH52" s="539"/>
      <c r="QEI52" s="539"/>
      <c r="QEJ52" s="539"/>
      <c r="QEK52" s="539"/>
      <c r="QEL52" s="539"/>
      <c r="QEM52" s="539"/>
      <c r="QEN52" s="539"/>
      <c r="QEO52" s="539"/>
      <c r="QEP52" s="539"/>
      <c r="QEQ52" s="539"/>
      <c r="QER52" s="539"/>
      <c r="QES52" s="539"/>
      <c r="QET52" s="539"/>
      <c r="QEU52" s="539"/>
      <c r="QEV52" s="539"/>
      <c r="QEW52" s="539"/>
      <c r="QEX52" s="539"/>
      <c r="QEY52" s="539"/>
      <c r="QEZ52" s="539"/>
      <c r="QFA52" s="539"/>
      <c r="QFB52" s="539"/>
      <c r="QFC52" s="539"/>
      <c r="QFD52" s="539"/>
      <c r="QFE52" s="539"/>
      <c r="QFF52" s="539"/>
      <c r="QFG52" s="539"/>
      <c r="QFH52" s="539"/>
      <c r="QFI52" s="539"/>
      <c r="QFJ52" s="539"/>
      <c r="QFK52" s="539"/>
      <c r="QFL52" s="539"/>
      <c r="QFM52" s="539"/>
      <c r="QFN52" s="539"/>
      <c r="QFO52" s="539"/>
      <c r="QFP52" s="539"/>
      <c r="QFQ52" s="539"/>
      <c r="QFR52" s="539"/>
      <c r="QFS52" s="539"/>
      <c r="QFT52" s="539"/>
      <c r="QFU52" s="539"/>
      <c r="QFV52" s="539"/>
      <c r="QFW52" s="539"/>
      <c r="QFX52" s="539"/>
      <c r="QFY52" s="539"/>
      <c r="QFZ52" s="539"/>
      <c r="QGA52" s="539"/>
      <c r="QGB52" s="539"/>
      <c r="QGC52" s="539"/>
      <c r="QGD52" s="539"/>
      <c r="QGE52" s="539"/>
      <c r="QGF52" s="539"/>
      <c r="QGG52" s="539"/>
      <c r="QGH52" s="539"/>
      <c r="QGI52" s="539"/>
      <c r="QGJ52" s="539"/>
      <c r="QGK52" s="539"/>
      <c r="QGL52" s="539"/>
      <c r="QGM52" s="539"/>
      <c r="QGN52" s="539"/>
      <c r="QGO52" s="539"/>
      <c r="QGP52" s="539"/>
      <c r="QGQ52" s="539"/>
      <c r="QGR52" s="539"/>
      <c r="QGS52" s="539"/>
      <c r="QGT52" s="539"/>
      <c r="QGU52" s="539"/>
      <c r="QGV52" s="539"/>
      <c r="QGW52" s="539"/>
      <c r="QGX52" s="539"/>
      <c r="QGY52" s="539"/>
      <c r="QGZ52" s="539"/>
      <c r="QHA52" s="539"/>
      <c r="QHB52" s="539"/>
      <c r="QHC52" s="539"/>
      <c r="QHD52" s="539"/>
      <c r="QHE52" s="539"/>
      <c r="QHF52" s="539"/>
      <c r="QHG52" s="539"/>
      <c r="QHH52" s="539"/>
      <c r="QHI52" s="539"/>
      <c r="QHJ52" s="539"/>
      <c r="QHK52" s="539"/>
      <c r="QHL52" s="539"/>
      <c r="QHM52" s="539"/>
      <c r="QHN52" s="539"/>
      <c r="QHO52" s="539"/>
      <c r="QHP52" s="539"/>
      <c r="QHQ52" s="539"/>
      <c r="QHR52" s="539"/>
      <c r="QHS52" s="539"/>
      <c r="QHT52" s="539"/>
      <c r="QHU52" s="539"/>
      <c r="QHV52" s="539"/>
      <c r="QHW52" s="539"/>
      <c r="QHX52" s="539"/>
      <c r="QHY52" s="539"/>
      <c r="QHZ52" s="539"/>
      <c r="QIA52" s="539"/>
      <c r="QIB52" s="539"/>
      <c r="QIC52" s="539"/>
      <c r="QID52" s="539"/>
      <c r="QIE52" s="539"/>
      <c r="QIF52" s="539"/>
      <c r="QIG52" s="539"/>
      <c r="QIH52" s="539"/>
      <c r="QII52" s="539"/>
      <c r="QIJ52" s="539"/>
      <c r="QIK52" s="539"/>
      <c r="QIL52" s="539"/>
      <c r="QIM52" s="539"/>
      <c r="QIN52" s="539"/>
      <c r="QIO52" s="539"/>
      <c r="QIP52" s="539"/>
      <c r="QIQ52" s="539"/>
      <c r="QIR52" s="539"/>
      <c r="QIS52" s="539"/>
      <c r="QIT52" s="539"/>
      <c r="QIU52" s="539"/>
      <c r="QIV52" s="539"/>
      <c r="QIW52" s="539"/>
      <c r="QIX52" s="539"/>
      <c r="QIY52" s="539"/>
      <c r="QIZ52" s="539"/>
      <c r="QJA52" s="539"/>
      <c r="QJB52" s="539"/>
      <c r="QJC52" s="539"/>
      <c r="QJD52" s="539"/>
      <c r="QJE52" s="539"/>
      <c r="QJF52" s="539"/>
      <c r="QJG52" s="539"/>
      <c r="QJH52" s="539"/>
      <c r="QJI52" s="539"/>
      <c r="QJJ52" s="539"/>
      <c r="QJK52" s="539"/>
      <c r="QJL52" s="539"/>
      <c r="QJM52" s="539"/>
      <c r="QJN52" s="539"/>
      <c r="QJO52" s="539"/>
      <c r="QJP52" s="539"/>
      <c r="QJQ52" s="539"/>
      <c r="QJR52" s="539"/>
      <c r="QJS52" s="539"/>
      <c r="QJT52" s="539"/>
      <c r="QJU52" s="539"/>
      <c r="QJV52" s="539"/>
      <c r="QJW52" s="539"/>
      <c r="QJX52" s="539"/>
      <c r="QJY52" s="539"/>
      <c r="QJZ52" s="539"/>
      <c r="QKA52" s="539"/>
      <c r="QKB52" s="539"/>
      <c r="QKC52" s="539"/>
      <c r="QKD52" s="539"/>
      <c r="QKE52" s="539"/>
      <c r="QKF52" s="539"/>
      <c r="QKG52" s="539"/>
      <c r="QKH52" s="539"/>
      <c r="QKI52" s="539"/>
      <c r="QKJ52" s="539"/>
      <c r="QKK52" s="539"/>
      <c r="QKL52" s="539"/>
      <c r="QKM52" s="539"/>
      <c r="QKN52" s="539"/>
      <c r="QKO52" s="539"/>
      <c r="QKP52" s="539"/>
      <c r="QKQ52" s="539"/>
      <c r="QKR52" s="539"/>
      <c r="QKS52" s="539"/>
      <c r="QKT52" s="539"/>
      <c r="QKU52" s="539"/>
      <c r="QKV52" s="539"/>
      <c r="QKW52" s="539"/>
      <c r="QKX52" s="539"/>
      <c r="QKY52" s="539"/>
      <c r="QKZ52" s="539"/>
      <c r="QLA52" s="539"/>
      <c r="QLB52" s="539"/>
      <c r="QLC52" s="539"/>
      <c r="QLD52" s="539"/>
      <c r="QLE52" s="539"/>
      <c r="QLF52" s="539"/>
      <c r="QLG52" s="539"/>
      <c r="QLH52" s="539"/>
      <c r="QLI52" s="539"/>
      <c r="QLJ52" s="539"/>
      <c r="QLK52" s="539"/>
      <c r="QLL52" s="539"/>
      <c r="QLM52" s="539"/>
      <c r="QLN52" s="539"/>
      <c r="QLO52" s="539"/>
      <c r="QLP52" s="539"/>
      <c r="QLQ52" s="539"/>
      <c r="QLR52" s="539"/>
      <c r="QLS52" s="539"/>
      <c r="QLT52" s="539"/>
      <c r="QLU52" s="539"/>
      <c r="QLV52" s="539"/>
      <c r="QLW52" s="539"/>
      <c r="QLX52" s="539"/>
      <c r="QLY52" s="539"/>
      <c r="QLZ52" s="539"/>
      <c r="QMA52" s="539"/>
      <c r="QMB52" s="539"/>
      <c r="QMC52" s="539"/>
      <c r="QMD52" s="539"/>
      <c r="QME52" s="539"/>
      <c r="QMF52" s="539"/>
      <c r="QMG52" s="539"/>
      <c r="QMH52" s="539"/>
      <c r="QMI52" s="539"/>
      <c r="QMJ52" s="539"/>
      <c r="QMK52" s="539"/>
      <c r="QML52" s="539"/>
      <c r="QMM52" s="539"/>
      <c r="QMN52" s="539"/>
      <c r="QMO52" s="539"/>
      <c r="QMP52" s="539"/>
      <c r="QMQ52" s="539"/>
      <c r="QMR52" s="539"/>
      <c r="QMS52" s="539"/>
      <c r="QMT52" s="539"/>
      <c r="QMU52" s="539"/>
      <c r="QMV52" s="539"/>
      <c r="QMW52" s="539"/>
      <c r="QMX52" s="539"/>
      <c r="QMY52" s="539"/>
      <c r="QMZ52" s="539"/>
      <c r="QNA52" s="539"/>
      <c r="QNB52" s="539"/>
      <c r="QNC52" s="539"/>
      <c r="QND52" s="539"/>
      <c r="QNE52" s="539"/>
      <c r="QNF52" s="539"/>
      <c r="QNG52" s="539"/>
      <c r="QNH52" s="539"/>
      <c r="QNI52" s="539"/>
      <c r="QNJ52" s="539"/>
      <c r="QNK52" s="539"/>
      <c r="QNL52" s="539"/>
      <c r="QNM52" s="539"/>
      <c r="QNN52" s="539"/>
      <c r="QNO52" s="539"/>
      <c r="QNP52" s="539"/>
      <c r="QNQ52" s="539"/>
      <c r="QNR52" s="539"/>
      <c r="QNS52" s="539"/>
      <c r="QNT52" s="539"/>
      <c r="QNU52" s="539"/>
      <c r="QNV52" s="539"/>
      <c r="QNW52" s="539"/>
      <c r="QNX52" s="539"/>
      <c r="QNY52" s="539"/>
      <c r="QNZ52" s="539"/>
      <c r="QOA52" s="539"/>
      <c r="QOB52" s="539"/>
      <c r="QOC52" s="539"/>
      <c r="QOD52" s="539"/>
      <c r="QOE52" s="539"/>
      <c r="QOF52" s="539"/>
      <c r="QOG52" s="539"/>
      <c r="QOH52" s="539"/>
      <c r="QOI52" s="539"/>
      <c r="QOJ52" s="539"/>
      <c r="QOK52" s="539"/>
      <c r="QOL52" s="539"/>
      <c r="QOM52" s="539"/>
      <c r="QON52" s="539"/>
      <c r="QOO52" s="539"/>
      <c r="QOP52" s="539"/>
      <c r="QOQ52" s="539"/>
      <c r="QOR52" s="539"/>
      <c r="QOS52" s="539"/>
      <c r="QOT52" s="539"/>
      <c r="QOU52" s="539"/>
      <c r="QOV52" s="539"/>
      <c r="QOW52" s="539"/>
      <c r="QOX52" s="539"/>
      <c r="QOY52" s="539"/>
      <c r="QOZ52" s="539"/>
      <c r="QPA52" s="539"/>
      <c r="QPB52" s="539"/>
      <c r="QPC52" s="539"/>
      <c r="QPD52" s="539"/>
      <c r="QPE52" s="539"/>
      <c r="QPF52" s="539"/>
      <c r="QPG52" s="539"/>
      <c r="QPH52" s="539"/>
      <c r="QPI52" s="539"/>
      <c r="QPJ52" s="539"/>
      <c r="QPK52" s="539"/>
      <c r="QPL52" s="539"/>
      <c r="QPM52" s="539"/>
      <c r="QPN52" s="539"/>
      <c r="QPO52" s="539"/>
      <c r="QPP52" s="539"/>
      <c r="QPQ52" s="539"/>
      <c r="QPR52" s="539"/>
      <c r="QPS52" s="539"/>
      <c r="QPT52" s="539"/>
      <c r="QPU52" s="539"/>
      <c r="QPV52" s="539"/>
      <c r="QPW52" s="539"/>
      <c r="QPX52" s="539"/>
      <c r="QPY52" s="539"/>
      <c r="QPZ52" s="539"/>
      <c r="QQA52" s="539"/>
      <c r="QQB52" s="539"/>
      <c r="QQC52" s="539"/>
      <c r="QQD52" s="539"/>
      <c r="QQE52" s="539"/>
      <c r="QQF52" s="539"/>
      <c r="QQG52" s="539"/>
      <c r="QQH52" s="539"/>
      <c r="QQI52" s="539"/>
      <c r="QQJ52" s="539"/>
      <c r="QQK52" s="539"/>
      <c r="QQL52" s="539"/>
      <c r="QQM52" s="539"/>
      <c r="QQN52" s="539"/>
      <c r="QQO52" s="539"/>
      <c r="QQP52" s="539"/>
      <c r="QQQ52" s="539"/>
      <c r="QQR52" s="539"/>
      <c r="QQS52" s="539"/>
      <c r="QQT52" s="539"/>
      <c r="QQU52" s="539"/>
      <c r="QQV52" s="539"/>
      <c r="QQW52" s="539"/>
      <c r="QQX52" s="539"/>
      <c r="QQY52" s="539"/>
      <c r="QQZ52" s="539"/>
      <c r="QRA52" s="539"/>
      <c r="QRB52" s="539"/>
      <c r="QRC52" s="539"/>
      <c r="QRD52" s="539"/>
      <c r="QRE52" s="539"/>
      <c r="QRF52" s="539"/>
      <c r="QRG52" s="539"/>
      <c r="QRH52" s="539"/>
      <c r="QRI52" s="539"/>
      <c r="QRJ52" s="539"/>
      <c r="QRK52" s="539"/>
      <c r="QRL52" s="539"/>
      <c r="QRM52" s="539"/>
      <c r="QRN52" s="539"/>
      <c r="QRO52" s="539"/>
      <c r="QRP52" s="539"/>
      <c r="QRQ52" s="539"/>
      <c r="QRR52" s="539"/>
      <c r="QRS52" s="539"/>
      <c r="QRT52" s="539"/>
      <c r="QRU52" s="539"/>
      <c r="QRV52" s="539"/>
      <c r="QRW52" s="539"/>
      <c r="QRX52" s="539"/>
      <c r="QRY52" s="539"/>
      <c r="QRZ52" s="539"/>
      <c r="QSA52" s="539"/>
      <c r="QSB52" s="539"/>
      <c r="QSC52" s="539"/>
      <c r="QSD52" s="539"/>
      <c r="QSE52" s="539"/>
      <c r="QSF52" s="539"/>
      <c r="QSG52" s="539"/>
      <c r="QSH52" s="539"/>
      <c r="QSI52" s="539"/>
      <c r="QSJ52" s="539"/>
      <c r="QSK52" s="539"/>
      <c r="QSL52" s="539"/>
      <c r="QSM52" s="539"/>
      <c r="QSN52" s="539"/>
      <c r="QSO52" s="539"/>
      <c r="QSP52" s="539"/>
      <c r="QSQ52" s="539"/>
      <c r="QSR52" s="539"/>
      <c r="QSS52" s="539"/>
      <c r="QST52" s="539"/>
      <c r="QSU52" s="539"/>
      <c r="QSV52" s="539"/>
      <c r="QSW52" s="539"/>
      <c r="QSX52" s="539"/>
      <c r="QSY52" s="539"/>
      <c r="QSZ52" s="539"/>
      <c r="QTA52" s="539"/>
      <c r="QTB52" s="539"/>
      <c r="QTC52" s="539"/>
      <c r="QTD52" s="539"/>
      <c r="QTE52" s="539"/>
      <c r="QTF52" s="539"/>
      <c r="QTG52" s="539"/>
      <c r="QTH52" s="539"/>
      <c r="QTI52" s="539"/>
      <c r="QTJ52" s="539"/>
      <c r="QTK52" s="539"/>
      <c r="QTL52" s="539"/>
      <c r="QTM52" s="539"/>
      <c r="QTN52" s="539"/>
      <c r="QTO52" s="539"/>
      <c r="QTP52" s="539"/>
      <c r="QTQ52" s="539"/>
      <c r="QTR52" s="539"/>
      <c r="QTS52" s="539"/>
      <c r="QTT52" s="539"/>
      <c r="QTU52" s="539"/>
      <c r="QTV52" s="539"/>
      <c r="QTW52" s="539"/>
      <c r="QTX52" s="539"/>
      <c r="QTY52" s="539"/>
      <c r="QTZ52" s="539"/>
      <c r="QUA52" s="539"/>
      <c r="QUB52" s="539"/>
      <c r="QUC52" s="539"/>
      <c r="QUD52" s="539"/>
      <c r="QUE52" s="539"/>
      <c r="QUF52" s="539"/>
      <c r="QUG52" s="539"/>
      <c r="QUH52" s="539"/>
      <c r="QUI52" s="539"/>
      <c r="QUJ52" s="539"/>
      <c r="QUK52" s="539"/>
      <c r="QUL52" s="539"/>
      <c r="QUM52" s="539"/>
      <c r="QUN52" s="539"/>
      <c r="QUO52" s="539"/>
      <c r="QUP52" s="539"/>
      <c r="QUQ52" s="539"/>
      <c r="QUR52" s="539"/>
      <c r="QUS52" s="539"/>
      <c r="QUT52" s="539"/>
      <c r="QUU52" s="539"/>
      <c r="QUV52" s="539"/>
      <c r="QUW52" s="539"/>
      <c r="QUX52" s="539"/>
      <c r="QUY52" s="539"/>
      <c r="QUZ52" s="539"/>
      <c r="QVA52" s="539"/>
      <c r="QVB52" s="539"/>
      <c r="QVC52" s="539"/>
      <c r="QVD52" s="539"/>
      <c r="QVE52" s="539"/>
      <c r="QVF52" s="539"/>
      <c r="QVG52" s="539"/>
      <c r="QVH52" s="539"/>
      <c r="QVI52" s="539"/>
      <c r="QVJ52" s="539"/>
      <c r="QVK52" s="539"/>
      <c r="QVL52" s="539"/>
      <c r="QVM52" s="539"/>
      <c r="QVN52" s="539"/>
      <c r="QVO52" s="539"/>
      <c r="QVP52" s="539"/>
      <c r="QVQ52" s="539"/>
      <c r="QVR52" s="539"/>
      <c r="QVS52" s="539"/>
      <c r="QVT52" s="539"/>
      <c r="QVU52" s="539"/>
      <c r="QVV52" s="539"/>
      <c r="QVW52" s="539"/>
      <c r="QVX52" s="539"/>
      <c r="QVY52" s="539"/>
      <c r="QVZ52" s="539"/>
      <c r="QWA52" s="539"/>
      <c r="QWB52" s="539"/>
      <c r="QWC52" s="539"/>
      <c r="QWD52" s="539"/>
      <c r="QWE52" s="539"/>
      <c r="QWF52" s="539"/>
      <c r="QWG52" s="539"/>
      <c r="QWH52" s="539"/>
      <c r="QWI52" s="539"/>
      <c r="QWJ52" s="539"/>
      <c r="QWK52" s="539"/>
      <c r="QWL52" s="539"/>
      <c r="QWM52" s="539"/>
      <c r="QWN52" s="539"/>
      <c r="QWO52" s="539"/>
      <c r="QWP52" s="539"/>
      <c r="QWQ52" s="539"/>
      <c r="QWR52" s="539"/>
      <c r="QWS52" s="539"/>
      <c r="QWT52" s="539"/>
      <c r="QWU52" s="539"/>
      <c r="QWV52" s="539"/>
      <c r="QWW52" s="539"/>
      <c r="QWX52" s="539"/>
      <c r="QWY52" s="539"/>
      <c r="QWZ52" s="539"/>
      <c r="QXA52" s="539"/>
      <c r="QXB52" s="539"/>
      <c r="QXC52" s="539"/>
      <c r="QXD52" s="539"/>
      <c r="QXE52" s="539"/>
      <c r="QXF52" s="539"/>
      <c r="QXG52" s="539"/>
      <c r="QXH52" s="539"/>
      <c r="QXI52" s="539"/>
      <c r="QXJ52" s="539"/>
      <c r="QXK52" s="539"/>
      <c r="QXL52" s="539"/>
      <c r="QXM52" s="539"/>
      <c r="QXN52" s="539"/>
      <c r="QXO52" s="539"/>
      <c r="QXP52" s="539"/>
      <c r="QXQ52" s="539"/>
      <c r="QXR52" s="539"/>
      <c r="QXS52" s="539"/>
      <c r="QXT52" s="539"/>
      <c r="QXU52" s="539"/>
      <c r="QXV52" s="539"/>
      <c r="QXW52" s="539"/>
      <c r="QXX52" s="539"/>
      <c r="QXY52" s="539"/>
      <c r="QXZ52" s="539"/>
      <c r="QYA52" s="539"/>
      <c r="QYB52" s="539"/>
      <c r="QYC52" s="539"/>
      <c r="QYD52" s="539"/>
      <c r="QYE52" s="539"/>
      <c r="QYF52" s="539"/>
      <c r="QYG52" s="539"/>
      <c r="QYH52" s="539"/>
      <c r="QYI52" s="539"/>
      <c r="QYJ52" s="539"/>
      <c r="QYK52" s="539"/>
      <c r="QYL52" s="539"/>
      <c r="QYM52" s="539"/>
      <c r="QYN52" s="539"/>
      <c r="QYO52" s="539"/>
      <c r="QYP52" s="539"/>
      <c r="QYQ52" s="539"/>
      <c r="QYR52" s="539"/>
      <c r="QYS52" s="539"/>
      <c r="QYT52" s="539"/>
      <c r="QYU52" s="539"/>
      <c r="QYV52" s="539"/>
      <c r="QYW52" s="539"/>
      <c r="QYX52" s="539"/>
      <c r="QYY52" s="539"/>
      <c r="QYZ52" s="539"/>
      <c r="QZA52" s="539"/>
      <c r="QZB52" s="539"/>
      <c r="QZC52" s="539"/>
      <c r="QZD52" s="539"/>
      <c r="QZE52" s="539"/>
      <c r="QZF52" s="539"/>
      <c r="QZG52" s="539"/>
      <c r="QZH52" s="539"/>
      <c r="QZI52" s="539"/>
      <c r="QZJ52" s="539"/>
      <c r="QZK52" s="539"/>
      <c r="QZL52" s="539"/>
      <c r="QZM52" s="539"/>
      <c r="QZN52" s="539"/>
      <c r="QZO52" s="539"/>
      <c r="QZP52" s="539"/>
      <c r="QZQ52" s="539"/>
      <c r="QZR52" s="539"/>
      <c r="QZS52" s="539"/>
      <c r="QZT52" s="539"/>
      <c r="QZU52" s="539"/>
      <c r="QZV52" s="539"/>
      <c r="QZW52" s="539"/>
      <c r="QZX52" s="539"/>
      <c r="QZY52" s="539"/>
      <c r="QZZ52" s="539"/>
      <c r="RAA52" s="539"/>
      <c r="RAB52" s="539"/>
      <c r="RAC52" s="539"/>
      <c r="RAD52" s="539"/>
      <c r="RAE52" s="539"/>
      <c r="RAF52" s="539"/>
      <c r="RAG52" s="539"/>
      <c r="RAH52" s="539"/>
      <c r="RAI52" s="539"/>
      <c r="RAJ52" s="539"/>
      <c r="RAK52" s="539"/>
      <c r="RAL52" s="539"/>
      <c r="RAM52" s="539"/>
      <c r="RAN52" s="539"/>
      <c r="RAO52" s="539"/>
      <c r="RAP52" s="539"/>
      <c r="RAQ52" s="539"/>
      <c r="RAR52" s="539"/>
      <c r="RAS52" s="539"/>
      <c r="RAT52" s="539"/>
      <c r="RAU52" s="539"/>
      <c r="RAV52" s="539"/>
      <c r="RAW52" s="539"/>
      <c r="RAX52" s="539"/>
      <c r="RAY52" s="539"/>
      <c r="RAZ52" s="539"/>
      <c r="RBA52" s="539"/>
      <c r="RBB52" s="539"/>
      <c r="RBC52" s="539"/>
      <c r="RBD52" s="539"/>
      <c r="RBE52" s="539"/>
      <c r="RBF52" s="539"/>
      <c r="RBG52" s="539"/>
      <c r="RBH52" s="539"/>
      <c r="RBI52" s="539"/>
      <c r="RBJ52" s="539"/>
      <c r="RBK52" s="539"/>
      <c r="RBL52" s="539"/>
      <c r="RBM52" s="539"/>
      <c r="RBN52" s="539"/>
      <c r="RBO52" s="539"/>
      <c r="RBP52" s="539"/>
      <c r="RBQ52" s="539"/>
      <c r="RBR52" s="539"/>
      <c r="RBS52" s="539"/>
      <c r="RBT52" s="539"/>
      <c r="RBU52" s="539"/>
      <c r="RBV52" s="539"/>
      <c r="RBW52" s="539"/>
      <c r="RBX52" s="539"/>
      <c r="RBY52" s="539"/>
      <c r="RBZ52" s="539"/>
      <c r="RCA52" s="539"/>
      <c r="RCB52" s="539"/>
      <c r="RCC52" s="539"/>
      <c r="RCD52" s="539"/>
      <c r="RCE52" s="539"/>
      <c r="RCF52" s="539"/>
      <c r="RCG52" s="539"/>
      <c r="RCH52" s="539"/>
      <c r="RCI52" s="539"/>
      <c r="RCJ52" s="539"/>
      <c r="RCK52" s="539"/>
      <c r="RCL52" s="539"/>
      <c r="RCM52" s="539"/>
      <c r="RCN52" s="539"/>
      <c r="RCO52" s="539"/>
      <c r="RCP52" s="539"/>
      <c r="RCQ52" s="539"/>
      <c r="RCR52" s="539"/>
      <c r="RCS52" s="539"/>
      <c r="RCT52" s="539"/>
      <c r="RCU52" s="539"/>
      <c r="RCV52" s="539"/>
      <c r="RCW52" s="539"/>
      <c r="RCX52" s="539"/>
      <c r="RCY52" s="539"/>
      <c r="RCZ52" s="539"/>
      <c r="RDA52" s="539"/>
      <c r="RDB52" s="539"/>
      <c r="RDC52" s="539"/>
      <c r="RDD52" s="539"/>
      <c r="RDE52" s="539"/>
      <c r="RDF52" s="539"/>
      <c r="RDG52" s="539"/>
      <c r="RDH52" s="539"/>
      <c r="RDI52" s="539"/>
      <c r="RDJ52" s="539"/>
      <c r="RDK52" s="539"/>
      <c r="RDL52" s="539"/>
      <c r="RDM52" s="539"/>
      <c r="RDN52" s="539"/>
      <c r="RDO52" s="539"/>
      <c r="RDP52" s="539"/>
      <c r="RDQ52" s="539"/>
      <c r="RDR52" s="539"/>
      <c r="RDS52" s="539"/>
      <c r="RDT52" s="539"/>
      <c r="RDU52" s="539"/>
      <c r="RDV52" s="539"/>
      <c r="RDW52" s="539"/>
      <c r="RDX52" s="539"/>
      <c r="RDY52" s="539"/>
      <c r="RDZ52" s="539"/>
      <c r="REA52" s="539"/>
      <c r="REB52" s="539"/>
      <c r="REC52" s="539"/>
      <c r="RED52" s="539"/>
      <c r="REE52" s="539"/>
      <c r="REF52" s="539"/>
      <c r="REG52" s="539"/>
      <c r="REH52" s="539"/>
      <c r="REI52" s="539"/>
      <c r="REJ52" s="539"/>
      <c r="REK52" s="539"/>
      <c r="REL52" s="539"/>
      <c r="REM52" s="539"/>
      <c r="REN52" s="539"/>
      <c r="REO52" s="539"/>
      <c r="REP52" s="539"/>
      <c r="REQ52" s="539"/>
      <c r="RER52" s="539"/>
      <c r="RES52" s="539"/>
      <c r="RET52" s="539"/>
      <c r="REU52" s="539"/>
      <c r="REV52" s="539"/>
      <c r="REW52" s="539"/>
      <c r="REX52" s="539"/>
      <c r="REY52" s="539"/>
      <c r="REZ52" s="539"/>
      <c r="RFA52" s="539"/>
      <c r="RFB52" s="539"/>
      <c r="RFC52" s="539"/>
      <c r="RFD52" s="539"/>
      <c r="RFE52" s="539"/>
      <c r="RFF52" s="539"/>
      <c r="RFG52" s="539"/>
      <c r="RFH52" s="539"/>
      <c r="RFI52" s="539"/>
      <c r="RFJ52" s="539"/>
      <c r="RFK52" s="539"/>
      <c r="RFL52" s="539"/>
      <c r="RFM52" s="539"/>
      <c r="RFN52" s="539"/>
      <c r="RFO52" s="539"/>
      <c r="RFP52" s="539"/>
      <c r="RFQ52" s="539"/>
      <c r="RFR52" s="539"/>
      <c r="RFS52" s="539"/>
      <c r="RFT52" s="539"/>
      <c r="RFU52" s="539"/>
      <c r="RFV52" s="539"/>
      <c r="RFW52" s="539"/>
      <c r="RFX52" s="539"/>
      <c r="RFY52" s="539"/>
      <c r="RFZ52" s="539"/>
      <c r="RGA52" s="539"/>
      <c r="RGB52" s="539"/>
      <c r="RGC52" s="539"/>
      <c r="RGD52" s="539"/>
      <c r="RGE52" s="539"/>
      <c r="RGF52" s="539"/>
      <c r="RGG52" s="539"/>
      <c r="RGH52" s="539"/>
      <c r="RGI52" s="539"/>
      <c r="RGJ52" s="539"/>
      <c r="RGK52" s="539"/>
      <c r="RGL52" s="539"/>
      <c r="RGM52" s="539"/>
      <c r="RGN52" s="539"/>
      <c r="RGO52" s="539"/>
      <c r="RGP52" s="539"/>
      <c r="RGQ52" s="539"/>
      <c r="RGR52" s="539"/>
      <c r="RGS52" s="539"/>
      <c r="RGT52" s="539"/>
      <c r="RGU52" s="539"/>
      <c r="RGV52" s="539"/>
      <c r="RGW52" s="539"/>
      <c r="RGX52" s="539"/>
      <c r="RGY52" s="539"/>
      <c r="RGZ52" s="539"/>
      <c r="RHA52" s="539"/>
      <c r="RHB52" s="539"/>
      <c r="RHC52" s="539"/>
      <c r="RHD52" s="539"/>
      <c r="RHE52" s="539"/>
      <c r="RHF52" s="539"/>
      <c r="RHG52" s="539"/>
      <c r="RHH52" s="539"/>
      <c r="RHI52" s="539"/>
      <c r="RHJ52" s="539"/>
      <c r="RHK52" s="539"/>
      <c r="RHL52" s="539"/>
      <c r="RHM52" s="539"/>
      <c r="RHN52" s="539"/>
      <c r="RHO52" s="539"/>
      <c r="RHP52" s="539"/>
      <c r="RHQ52" s="539"/>
      <c r="RHR52" s="539"/>
      <c r="RHS52" s="539"/>
      <c r="RHT52" s="539"/>
      <c r="RHU52" s="539"/>
      <c r="RHV52" s="539"/>
      <c r="RHW52" s="539"/>
      <c r="RHX52" s="539"/>
      <c r="RHY52" s="539"/>
      <c r="RHZ52" s="539"/>
      <c r="RIA52" s="539"/>
      <c r="RIB52" s="539"/>
      <c r="RIC52" s="539"/>
      <c r="RID52" s="539"/>
      <c r="RIE52" s="539"/>
      <c r="RIF52" s="539"/>
      <c r="RIG52" s="539"/>
      <c r="RIH52" s="539"/>
      <c r="RII52" s="539"/>
      <c r="RIJ52" s="539"/>
      <c r="RIK52" s="539"/>
      <c r="RIL52" s="539"/>
      <c r="RIM52" s="539"/>
      <c r="RIN52" s="539"/>
      <c r="RIO52" s="539"/>
      <c r="RIP52" s="539"/>
      <c r="RIQ52" s="539"/>
      <c r="RIR52" s="539"/>
      <c r="RIS52" s="539"/>
      <c r="RIT52" s="539"/>
      <c r="RIU52" s="539"/>
      <c r="RIV52" s="539"/>
      <c r="RIW52" s="539"/>
      <c r="RIX52" s="539"/>
      <c r="RIY52" s="539"/>
      <c r="RIZ52" s="539"/>
      <c r="RJA52" s="539"/>
      <c r="RJB52" s="539"/>
      <c r="RJC52" s="539"/>
      <c r="RJD52" s="539"/>
      <c r="RJE52" s="539"/>
      <c r="RJF52" s="539"/>
      <c r="RJG52" s="539"/>
      <c r="RJH52" s="539"/>
      <c r="RJI52" s="539"/>
      <c r="RJJ52" s="539"/>
      <c r="RJK52" s="539"/>
      <c r="RJL52" s="539"/>
      <c r="RJM52" s="539"/>
      <c r="RJN52" s="539"/>
      <c r="RJO52" s="539"/>
      <c r="RJP52" s="539"/>
      <c r="RJQ52" s="539"/>
      <c r="RJR52" s="539"/>
      <c r="RJS52" s="539"/>
      <c r="RJT52" s="539"/>
      <c r="RJU52" s="539"/>
      <c r="RJV52" s="539"/>
      <c r="RJW52" s="539"/>
      <c r="RJX52" s="539"/>
      <c r="RJY52" s="539"/>
      <c r="RJZ52" s="539"/>
      <c r="RKA52" s="539"/>
      <c r="RKB52" s="539"/>
      <c r="RKC52" s="539"/>
      <c r="RKD52" s="539"/>
      <c r="RKE52" s="539"/>
      <c r="RKF52" s="539"/>
      <c r="RKG52" s="539"/>
      <c r="RKH52" s="539"/>
      <c r="RKI52" s="539"/>
      <c r="RKJ52" s="539"/>
      <c r="RKK52" s="539"/>
      <c r="RKL52" s="539"/>
      <c r="RKM52" s="539"/>
      <c r="RKN52" s="539"/>
      <c r="RKO52" s="539"/>
      <c r="RKP52" s="539"/>
      <c r="RKQ52" s="539"/>
      <c r="RKR52" s="539"/>
      <c r="RKS52" s="539"/>
      <c r="RKT52" s="539"/>
      <c r="RKU52" s="539"/>
      <c r="RKV52" s="539"/>
      <c r="RKW52" s="539"/>
      <c r="RKX52" s="539"/>
      <c r="RKY52" s="539"/>
      <c r="RKZ52" s="539"/>
      <c r="RLA52" s="539"/>
      <c r="RLB52" s="539"/>
      <c r="RLC52" s="539"/>
      <c r="RLD52" s="539"/>
      <c r="RLE52" s="539"/>
      <c r="RLF52" s="539"/>
      <c r="RLG52" s="539"/>
      <c r="RLH52" s="539"/>
      <c r="RLI52" s="539"/>
      <c r="RLJ52" s="539"/>
      <c r="RLK52" s="539"/>
      <c r="RLL52" s="539"/>
      <c r="RLM52" s="539"/>
      <c r="RLN52" s="539"/>
      <c r="RLO52" s="539"/>
      <c r="RLP52" s="539"/>
      <c r="RLQ52" s="539"/>
      <c r="RLR52" s="539"/>
      <c r="RLS52" s="539"/>
      <c r="RLT52" s="539"/>
      <c r="RLU52" s="539"/>
      <c r="RLV52" s="539"/>
      <c r="RLW52" s="539"/>
      <c r="RLX52" s="539"/>
      <c r="RLY52" s="539"/>
      <c r="RLZ52" s="539"/>
      <c r="RMA52" s="539"/>
      <c r="RMB52" s="539"/>
      <c r="RMC52" s="539"/>
      <c r="RMD52" s="539"/>
      <c r="RME52" s="539"/>
      <c r="RMF52" s="539"/>
      <c r="RMG52" s="539"/>
      <c r="RMH52" s="539"/>
      <c r="RMI52" s="539"/>
      <c r="RMJ52" s="539"/>
      <c r="RMK52" s="539"/>
      <c r="RML52" s="539"/>
      <c r="RMM52" s="539"/>
      <c r="RMN52" s="539"/>
      <c r="RMO52" s="539"/>
      <c r="RMP52" s="539"/>
      <c r="RMQ52" s="539"/>
      <c r="RMR52" s="539"/>
      <c r="RMS52" s="539"/>
      <c r="RMT52" s="539"/>
      <c r="RMU52" s="539"/>
      <c r="RMV52" s="539"/>
      <c r="RMW52" s="539"/>
      <c r="RMX52" s="539"/>
      <c r="RMY52" s="539"/>
      <c r="RMZ52" s="539"/>
      <c r="RNA52" s="539"/>
      <c r="RNB52" s="539"/>
      <c r="RNC52" s="539"/>
      <c r="RND52" s="539"/>
      <c r="RNE52" s="539"/>
      <c r="RNF52" s="539"/>
      <c r="RNG52" s="539"/>
      <c r="RNH52" s="539"/>
      <c r="RNI52" s="539"/>
      <c r="RNJ52" s="539"/>
      <c r="RNK52" s="539"/>
      <c r="RNL52" s="539"/>
      <c r="RNM52" s="539"/>
      <c r="RNN52" s="539"/>
      <c r="RNO52" s="539"/>
      <c r="RNP52" s="539"/>
      <c r="RNQ52" s="539"/>
      <c r="RNR52" s="539"/>
      <c r="RNS52" s="539"/>
      <c r="RNT52" s="539"/>
      <c r="RNU52" s="539"/>
      <c r="RNV52" s="539"/>
      <c r="RNW52" s="539"/>
      <c r="RNX52" s="539"/>
      <c r="RNY52" s="539"/>
      <c r="RNZ52" s="539"/>
      <c r="ROA52" s="539"/>
      <c r="ROB52" s="539"/>
      <c r="ROC52" s="539"/>
      <c r="ROD52" s="539"/>
      <c r="ROE52" s="539"/>
      <c r="ROF52" s="539"/>
      <c r="ROG52" s="539"/>
      <c r="ROH52" s="539"/>
      <c r="ROI52" s="539"/>
      <c r="ROJ52" s="539"/>
      <c r="ROK52" s="539"/>
      <c r="ROL52" s="539"/>
      <c r="ROM52" s="539"/>
      <c r="RON52" s="539"/>
      <c r="ROO52" s="539"/>
      <c r="ROP52" s="539"/>
      <c r="ROQ52" s="539"/>
      <c r="ROR52" s="539"/>
      <c r="ROS52" s="539"/>
      <c r="ROT52" s="539"/>
      <c r="ROU52" s="539"/>
      <c r="ROV52" s="539"/>
      <c r="ROW52" s="539"/>
      <c r="ROX52" s="539"/>
      <c r="ROY52" s="539"/>
      <c r="ROZ52" s="539"/>
      <c r="RPA52" s="539"/>
      <c r="RPB52" s="539"/>
      <c r="RPC52" s="539"/>
      <c r="RPD52" s="539"/>
      <c r="RPE52" s="539"/>
      <c r="RPF52" s="539"/>
      <c r="RPG52" s="539"/>
      <c r="RPH52" s="539"/>
      <c r="RPI52" s="539"/>
      <c r="RPJ52" s="539"/>
      <c r="RPK52" s="539"/>
      <c r="RPL52" s="539"/>
      <c r="RPM52" s="539"/>
      <c r="RPN52" s="539"/>
      <c r="RPO52" s="539"/>
      <c r="RPP52" s="539"/>
      <c r="RPQ52" s="539"/>
      <c r="RPR52" s="539"/>
      <c r="RPS52" s="539"/>
      <c r="RPT52" s="539"/>
      <c r="RPU52" s="539"/>
      <c r="RPV52" s="539"/>
      <c r="RPW52" s="539"/>
      <c r="RPX52" s="539"/>
      <c r="RPY52" s="539"/>
      <c r="RPZ52" s="539"/>
      <c r="RQA52" s="539"/>
      <c r="RQB52" s="539"/>
      <c r="RQC52" s="539"/>
      <c r="RQD52" s="539"/>
      <c r="RQE52" s="539"/>
      <c r="RQF52" s="539"/>
      <c r="RQG52" s="539"/>
      <c r="RQH52" s="539"/>
      <c r="RQI52" s="539"/>
      <c r="RQJ52" s="539"/>
      <c r="RQK52" s="539"/>
      <c r="RQL52" s="539"/>
      <c r="RQM52" s="539"/>
      <c r="RQN52" s="539"/>
      <c r="RQO52" s="539"/>
      <c r="RQP52" s="539"/>
      <c r="RQQ52" s="539"/>
      <c r="RQR52" s="539"/>
      <c r="RQS52" s="539"/>
      <c r="RQT52" s="539"/>
      <c r="RQU52" s="539"/>
      <c r="RQV52" s="539"/>
      <c r="RQW52" s="539"/>
      <c r="RQX52" s="539"/>
      <c r="RQY52" s="539"/>
      <c r="RQZ52" s="539"/>
      <c r="RRA52" s="539"/>
      <c r="RRB52" s="539"/>
      <c r="RRC52" s="539"/>
      <c r="RRD52" s="539"/>
      <c r="RRE52" s="539"/>
      <c r="RRF52" s="539"/>
      <c r="RRG52" s="539"/>
      <c r="RRH52" s="539"/>
      <c r="RRI52" s="539"/>
      <c r="RRJ52" s="539"/>
      <c r="RRK52" s="539"/>
      <c r="RRL52" s="539"/>
      <c r="RRM52" s="539"/>
      <c r="RRN52" s="539"/>
      <c r="RRO52" s="539"/>
      <c r="RRP52" s="539"/>
      <c r="RRQ52" s="539"/>
      <c r="RRR52" s="539"/>
      <c r="RRS52" s="539"/>
      <c r="RRT52" s="539"/>
      <c r="RRU52" s="539"/>
      <c r="RRV52" s="539"/>
      <c r="RRW52" s="539"/>
      <c r="RRX52" s="539"/>
      <c r="RRY52" s="539"/>
      <c r="RRZ52" s="539"/>
      <c r="RSA52" s="539"/>
      <c r="RSB52" s="539"/>
      <c r="RSC52" s="539"/>
      <c r="RSD52" s="539"/>
      <c r="RSE52" s="539"/>
      <c r="RSF52" s="539"/>
      <c r="RSG52" s="539"/>
      <c r="RSH52" s="539"/>
      <c r="RSI52" s="539"/>
      <c r="RSJ52" s="539"/>
      <c r="RSK52" s="539"/>
      <c r="RSL52" s="539"/>
      <c r="RSM52" s="539"/>
      <c r="RSN52" s="539"/>
      <c r="RSO52" s="539"/>
      <c r="RSP52" s="539"/>
      <c r="RSQ52" s="539"/>
      <c r="RSR52" s="539"/>
      <c r="RSS52" s="539"/>
      <c r="RST52" s="539"/>
      <c r="RSU52" s="539"/>
      <c r="RSV52" s="539"/>
      <c r="RSW52" s="539"/>
      <c r="RSX52" s="539"/>
      <c r="RSY52" s="539"/>
      <c r="RSZ52" s="539"/>
      <c r="RTA52" s="539"/>
      <c r="RTB52" s="539"/>
      <c r="RTC52" s="539"/>
      <c r="RTD52" s="539"/>
      <c r="RTE52" s="539"/>
      <c r="RTF52" s="539"/>
      <c r="RTG52" s="539"/>
      <c r="RTH52" s="539"/>
      <c r="RTI52" s="539"/>
      <c r="RTJ52" s="539"/>
      <c r="RTK52" s="539"/>
      <c r="RTL52" s="539"/>
      <c r="RTM52" s="539"/>
      <c r="RTN52" s="539"/>
      <c r="RTO52" s="539"/>
      <c r="RTP52" s="539"/>
      <c r="RTQ52" s="539"/>
      <c r="RTR52" s="539"/>
      <c r="RTS52" s="539"/>
      <c r="RTT52" s="539"/>
      <c r="RTU52" s="539"/>
      <c r="RTV52" s="539"/>
      <c r="RTW52" s="539"/>
      <c r="RTX52" s="539"/>
      <c r="RTY52" s="539"/>
      <c r="RTZ52" s="539"/>
      <c r="RUA52" s="539"/>
      <c r="RUB52" s="539"/>
      <c r="RUC52" s="539"/>
      <c r="RUD52" s="539"/>
      <c r="RUE52" s="539"/>
      <c r="RUF52" s="539"/>
      <c r="RUG52" s="539"/>
      <c r="RUH52" s="539"/>
      <c r="RUI52" s="539"/>
      <c r="RUJ52" s="539"/>
      <c r="RUK52" s="539"/>
      <c r="RUL52" s="539"/>
      <c r="RUM52" s="539"/>
      <c r="RUN52" s="539"/>
      <c r="RUO52" s="539"/>
      <c r="RUP52" s="539"/>
      <c r="RUQ52" s="539"/>
      <c r="RUR52" s="539"/>
      <c r="RUS52" s="539"/>
      <c r="RUT52" s="539"/>
      <c r="RUU52" s="539"/>
      <c r="RUV52" s="539"/>
      <c r="RUW52" s="539"/>
      <c r="RUX52" s="539"/>
      <c r="RUY52" s="539"/>
      <c r="RUZ52" s="539"/>
      <c r="RVA52" s="539"/>
      <c r="RVB52" s="539"/>
      <c r="RVC52" s="539"/>
      <c r="RVD52" s="539"/>
      <c r="RVE52" s="539"/>
      <c r="RVF52" s="539"/>
      <c r="RVG52" s="539"/>
      <c r="RVH52" s="539"/>
      <c r="RVI52" s="539"/>
      <c r="RVJ52" s="539"/>
      <c r="RVK52" s="539"/>
      <c r="RVL52" s="539"/>
      <c r="RVM52" s="539"/>
      <c r="RVN52" s="539"/>
      <c r="RVO52" s="539"/>
      <c r="RVP52" s="539"/>
      <c r="RVQ52" s="539"/>
      <c r="RVR52" s="539"/>
      <c r="RVS52" s="539"/>
      <c r="RVT52" s="539"/>
      <c r="RVU52" s="539"/>
      <c r="RVV52" s="539"/>
      <c r="RVW52" s="539"/>
      <c r="RVX52" s="539"/>
      <c r="RVY52" s="539"/>
      <c r="RVZ52" s="539"/>
      <c r="RWA52" s="539"/>
      <c r="RWB52" s="539"/>
      <c r="RWC52" s="539"/>
      <c r="RWD52" s="539"/>
      <c r="RWE52" s="539"/>
      <c r="RWF52" s="539"/>
      <c r="RWG52" s="539"/>
      <c r="RWH52" s="539"/>
      <c r="RWI52" s="539"/>
      <c r="RWJ52" s="539"/>
      <c r="RWK52" s="539"/>
      <c r="RWL52" s="539"/>
      <c r="RWM52" s="539"/>
      <c r="RWN52" s="539"/>
      <c r="RWO52" s="539"/>
      <c r="RWP52" s="539"/>
      <c r="RWQ52" s="539"/>
      <c r="RWR52" s="539"/>
      <c r="RWS52" s="539"/>
      <c r="RWT52" s="539"/>
      <c r="RWU52" s="539"/>
      <c r="RWV52" s="539"/>
      <c r="RWW52" s="539"/>
      <c r="RWX52" s="539"/>
      <c r="RWY52" s="539"/>
      <c r="RWZ52" s="539"/>
      <c r="RXA52" s="539"/>
      <c r="RXB52" s="539"/>
      <c r="RXC52" s="539"/>
      <c r="RXD52" s="539"/>
      <c r="RXE52" s="539"/>
      <c r="RXF52" s="539"/>
      <c r="RXG52" s="539"/>
      <c r="RXH52" s="539"/>
      <c r="RXI52" s="539"/>
      <c r="RXJ52" s="539"/>
      <c r="RXK52" s="539"/>
      <c r="RXL52" s="539"/>
      <c r="RXM52" s="539"/>
      <c r="RXN52" s="539"/>
      <c r="RXO52" s="539"/>
      <c r="RXP52" s="539"/>
      <c r="RXQ52" s="539"/>
      <c r="RXR52" s="539"/>
      <c r="RXS52" s="539"/>
      <c r="RXT52" s="539"/>
      <c r="RXU52" s="539"/>
      <c r="RXV52" s="539"/>
      <c r="RXW52" s="539"/>
      <c r="RXX52" s="539"/>
      <c r="RXY52" s="539"/>
      <c r="RXZ52" s="539"/>
      <c r="RYA52" s="539"/>
      <c r="RYB52" s="539"/>
      <c r="RYC52" s="539"/>
      <c r="RYD52" s="539"/>
      <c r="RYE52" s="539"/>
      <c r="RYF52" s="539"/>
      <c r="RYG52" s="539"/>
      <c r="RYH52" s="539"/>
      <c r="RYI52" s="539"/>
      <c r="RYJ52" s="539"/>
      <c r="RYK52" s="539"/>
      <c r="RYL52" s="539"/>
      <c r="RYM52" s="539"/>
      <c r="RYN52" s="539"/>
      <c r="RYO52" s="539"/>
      <c r="RYP52" s="539"/>
      <c r="RYQ52" s="539"/>
      <c r="RYR52" s="539"/>
      <c r="RYS52" s="539"/>
      <c r="RYT52" s="539"/>
      <c r="RYU52" s="539"/>
      <c r="RYV52" s="539"/>
      <c r="RYW52" s="539"/>
      <c r="RYX52" s="539"/>
      <c r="RYY52" s="539"/>
      <c r="RYZ52" s="539"/>
      <c r="RZA52" s="539"/>
      <c r="RZB52" s="539"/>
      <c r="RZC52" s="539"/>
      <c r="RZD52" s="539"/>
      <c r="RZE52" s="539"/>
      <c r="RZF52" s="539"/>
      <c r="RZG52" s="539"/>
      <c r="RZH52" s="539"/>
      <c r="RZI52" s="539"/>
      <c r="RZJ52" s="539"/>
      <c r="RZK52" s="539"/>
      <c r="RZL52" s="539"/>
      <c r="RZM52" s="539"/>
      <c r="RZN52" s="539"/>
      <c r="RZO52" s="539"/>
      <c r="RZP52" s="539"/>
      <c r="RZQ52" s="539"/>
      <c r="RZR52" s="539"/>
      <c r="RZS52" s="539"/>
      <c r="RZT52" s="539"/>
      <c r="RZU52" s="539"/>
      <c r="RZV52" s="539"/>
      <c r="RZW52" s="539"/>
      <c r="RZX52" s="539"/>
      <c r="RZY52" s="539"/>
      <c r="RZZ52" s="539"/>
      <c r="SAA52" s="539"/>
      <c r="SAB52" s="539"/>
      <c r="SAC52" s="539"/>
      <c r="SAD52" s="539"/>
      <c r="SAE52" s="539"/>
      <c r="SAF52" s="539"/>
      <c r="SAG52" s="539"/>
      <c r="SAH52" s="539"/>
      <c r="SAI52" s="539"/>
      <c r="SAJ52" s="539"/>
      <c r="SAK52" s="539"/>
      <c r="SAL52" s="539"/>
      <c r="SAM52" s="539"/>
      <c r="SAN52" s="539"/>
      <c r="SAO52" s="539"/>
      <c r="SAP52" s="539"/>
      <c r="SAQ52" s="539"/>
      <c r="SAR52" s="539"/>
      <c r="SAS52" s="539"/>
      <c r="SAT52" s="539"/>
      <c r="SAU52" s="539"/>
      <c r="SAV52" s="539"/>
      <c r="SAW52" s="539"/>
      <c r="SAX52" s="539"/>
      <c r="SAY52" s="539"/>
      <c r="SAZ52" s="539"/>
      <c r="SBA52" s="539"/>
      <c r="SBB52" s="539"/>
      <c r="SBC52" s="539"/>
      <c r="SBD52" s="539"/>
      <c r="SBE52" s="539"/>
      <c r="SBF52" s="539"/>
      <c r="SBG52" s="539"/>
      <c r="SBH52" s="539"/>
      <c r="SBI52" s="539"/>
      <c r="SBJ52" s="539"/>
      <c r="SBK52" s="539"/>
      <c r="SBL52" s="539"/>
      <c r="SBM52" s="539"/>
      <c r="SBN52" s="539"/>
      <c r="SBO52" s="539"/>
      <c r="SBP52" s="539"/>
      <c r="SBQ52" s="539"/>
      <c r="SBR52" s="539"/>
      <c r="SBS52" s="539"/>
      <c r="SBT52" s="539"/>
      <c r="SBU52" s="539"/>
      <c r="SBV52" s="539"/>
      <c r="SBW52" s="539"/>
      <c r="SBX52" s="539"/>
      <c r="SBY52" s="539"/>
      <c r="SBZ52" s="539"/>
      <c r="SCA52" s="539"/>
      <c r="SCB52" s="539"/>
      <c r="SCC52" s="539"/>
      <c r="SCD52" s="539"/>
      <c r="SCE52" s="539"/>
      <c r="SCF52" s="539"/>
      <c r="SCG52" s="539"/>
      <c r="SCH52" s="539"/>
      <c r="SCI52" s="539"/>
      <c r="SCJ52" s="539"/>
      <c r="SCK52" s="539"/>
      <c r="SCL52" s="539"/>
      <c r="SCM52" s="539"/>
      <c r="SCN52" s="539"/>
      <c r="SCO52" s="539"/>
      <c r="SCP52" s="539"/>
      <c r="SCQ52" s="539"/>
      <c r="SCR52" s="539"/>
      <c r="SCS52" s="539"/>
      <c r="SCT52" s="539"/>
      <c r="SCU52" s="539"/>
      <c r="SCV52" s="539"/>
      <c r="SCW52" s="539"/>
      <c r="SCX52" s="539"/>
      <c r="SCY52" s="539"/>
      <c r="SCZ52" s="539"/>
      <c r="SDA52" s="539"/>
      <c r="SDB52" s="539"/>
      <c r="SDC52" s="539"/>
      <c r="SDD52" s="539"/>
      <c r="SDE52" s="539"/>
      <c r="SDF52" s="539"/>
      <c r="SDG52" s="539"/>
      <c r="SDH52" s="539"/>
      <c r="SDI52" s="539"/>
      <c r="SDJ52" s="539"/>
      <c r="SDK52" s="539"/>
      <c r="SDL52" s="539"/>
      <c r="SDM52" s="539"/>
      <c r="SDN52" s="539"/>
      <c r="SDO52" s="539"/>
      <c r="SDP52" s="539"/>
      <c r="SDQ52" s="539"/>
      <c r="SDR52" s="539"/>
      <c r="SDS52" s="539"/>
      <c r="SDT52" s="539"/>
      <c r="SDU52" s="539"/>
      <c r="SDV52" s="539"/>
      <c r="SDW52" s="539"/>
      <c r="SDX52" s="539"/>
      <c r="SDY52" s="539"/>
      <c r="SDZ52" s="539"/>
      <c r="SEA52" s="539"/>
      <c r="SEB52" s="539"/>
      <c r="SEC52" s="539"/>
      <c r="SED52" s="539"/>
      <c r="SEE52" s="539"/>
      <c r="SEF52" s="539"/>
      <c r="SEG52" s="539"/>
      <c r="SEH52" s="539"/>
      <c r="SEI52" s="539"/>
      <c r="SEJ52" s="539"/>
      <c r="SEK52" s="539"/>
      <c r="SEL52" s="539"/>
      <c r="SEM52" s="539"/>
      <c r="SEN52" s="539"/>
      <c r="SEO52" s="539"/>
      <c r="SEP52" s="539"/>
      <c r="SEQ52" s="539"/>
      <c r="SER52" s="539"/>
      <c r="SES52" s="539"/>
      <c r="SET52" s="539"/>
      <c r="SEU52" s="539"/>
      <c r="SEV52" s="539"/>
      <c r="SEW52" s="539"/>
      <c r="SEX52" s="539"/>
      <c r="SEY52" s="539"/>
      <c r="SEZ52" s="539"/>
      <c r="SFA52" s="539"/>
      <c r="SFB52" s="539"/>
      <c r="SFC52" s="539"/>
      <c r="SFD52" s="539"/>
      <c r="SFE52" s="539"/>
      <c r="SFF52" s="539"/>
      <c r="SFG52" s="539"/>
      <c r="SFH52" s="539"/>
      <c r="SFI52" s="539"/>
      <c r="SFJ52" s="539"/>
      <c r="SFK52" s="539"/>
      <c r="SFL52" s="539"/>
      <c r="SFM52" s="539"/>
      <c r="SFN52" s="539"/>
      <c r="SFO52" s="539"/>
      <c r="SFP52" s="539"/>
      <c r="SFQ52" s="539"/>
      <c r="SFR52" s="539"/>
      <c r="SFS52" s="539"/>
      <c r="SFT52" s="539"/>
      <c r="SFU52" s="539"/>
      <c r="SFV52" s="539"/>
      <c r="SFW52" s="539"/>
      <c r="SFX52" s="539"/>
      <c r="SFY52" s="539"/>
      <c r="SFZ52" s="539"/>
      <c r="SGA52" s="539"/>
      <c r="SGB52" s="539"/>
      <c r="SGC52" s="539"/>
      <c r="SGD52" s="539"/>
      <c r="SGE52" s="539"/>
      <c r="SGF52" s="539"/>
      <c r="SGG52" s="539"/>
      <c r="SGH52" s="539"/>
      <c r="SGI52" s="539"/>
      <c r="SGJ52" s="539"/>
      <c r="SGK52" s="539"/>
      <c r="SGL52" s="539"/>
      <c r="SGM52" s="539"/>
      <c r="SGN52" s="539"/>
      <c r="SGO52" s="539"/>
      <c r="SGP52" s="539"/>
      <c r="SGQ52" s="539"/>
      <c r="SGR52" s="539"/>
      <c r="SGS52" s="539"/>
      <c r="SGT52" s="539"/>
      <c r="SGU52" s="539"/>
      <c r="SGV52" s="539"/>
      <c r="SGW52" s="539"/>
      <c r="SGX52" s="539"/>
      <c r="SGY52" s="539"/>
      <c r="SGZ52" s="539"/>
      <c r="SHA52" s="539"/>
      <c r="SHB52" s="539"/>
      <c r="SHC52" s="539"/>
      <c r="SHD52" s="539"/>
      <c r="SHE52" s="539"/>
      <c r="SHF52" s="539"/>
      <c r="SHG52" s="539"/>
      <c r="SHH52" s="539"/>
      <c r="SHI52" s="539"/>
      <c r="SHJ52" s="539"/>
      <c r="SHK52" s="539"/>
      <c r="SHL52" s="539"/>
      <c r="SHM52" s="539"/>
      <c r="SHN52" s="539"/>
      <c r="SHO52" s="539"/>
      <c r="SHP52" s="539"/>
      <c r="SHQ52" s="539"/>
      <c r="SHR52" s="539"/>
      <c r="SHS52" s="539"/>
      <c r="SHT52" s="539"/>
      <c r="SHU52" s="539"/>
      <c r="SHV52" s="539"/>
      <c r="SHW52" s="539"/>
      <c r="SHX52" s="539"/>
      <c r="SHY52" s="539"/>
      <c r="SHZ52" s="539"/>
      <c r="SIA52" s="539"/>
      <c r="SIB52" s="539"/>
      <c r="SIC52" s="539"/>
      <c r="SID52" s="539"/>
      <c r="SIE52" s="539"/>
      <c r="SIF52" s="539"/>
      <c r="SIG52" s="539"/>
      <c r="SIH52" s="539"/>
      <c r="SII52" s="539"/>
      <c r="SIJ52" s="539"/>
      <c r="SIK52" s="539"/>
      <c r="SIL52" s="539"/>
      <c r="SIM52" s="539"/>
      <c r="SIN52" s="539"/>
      <c r="SIO52" s="539"/>
      <c r="SIP52" s="539"/>
      <c r="SIQ52" s="539"/>
      <c r="SIR52" s="539"/>
      <c r="SIS52" s="539"/>
      <c r="SIT52" s="539"/>
      <c r="SIU52" s="539"/>
      <c r="SIV52" s="539"/>
      <c r="SIW52" s="539"/>
      <c r="SIX52" s="539"/>
      <c r="SIY52" s="539"/>
      <c r="SIZ52" s="539"/>
      <c r="SJA52" s="539"/>
      <c r="SJB52" s="539"/>
      <c r="SJC52" s="539"/>
      <c r="SJD52" s="539"/>
      <c r="SJE52" s="539"/>
      <c r="SJF52" s="539"/>
      <c r="SJG52" s="539"/>
      <c r="SJH52" s="539"/>
      <c r="SJI52" s="539"/>
      <c r="SJJ52" s="539"/>
      <c r="SJK52" s="539"/>
      <c r="SJL52" s="539"/>
      <c r="SJM52" s="539"/>
      <c r="SJN52" s="539"/>
      <c r="SJO52" s="539"/>
      <c r="SJP52" s="539"/>
      <c r="SJQ52" s="539"/>
      <c r="SJR52" s="539"/>
      <c r="SJS52" s="539"/>
      <c r="SJT52" s="539"/>
      <c r="SJU52" s="539"/>
      <c r="SJV52" s="539"/>
      <c r="SJW52" s="539"/>
      <c r="SJX52" s="539"/>
      <c r="SJY52" s="539"/>
      <c r="SJZ52" s="539"/>
      <c r="SKA52" s="539"/>
      <c r="SKB52" s="539"/>
      <c r="SKC52" s="539"/>
      <c r="SKD52" s="539"/>
      <c r="SKE52" s="539"/>
      <c r="SKF52" s="539"/>
      <c r="SKG52" s="539"/>
      <c r="SKH52" s="539"/>
      <c r="SKI52" s="539"/>
      <c r="SKJ52" s="539"/>
      <c r="SKK52" s="539"/>
      <c r="SKL52" s="539"/>
      <c r="SKM52" s="539"/>
      <c r="SKN52" s="539"/>
      <c r="SKO52" s="539"/>
      <c r="SKP52" s="539"/>
      <c r="SKQ52" s="539"/>
      <c r="SKR52" s="539"/>
      <c r="SKS52" s="539"/>
      <c r="SKT52" s="539"/>
      <c r="SKU52" s="539"/>
      <c r="SKV52" s="539"/>
      <c r="SKW52" s="539"/>
      <c r="SKX52" s="539"/>
      <c r="SKY52" s="539"/>
      <c r="SKZ52" s="539"/>
      <c r="SLA52" s="539"/>
      <c r="SLB52" s="539"/>
      <c r="SLC52" s="539"/>
      <c r="SLD52" s="539"/>
      <c r="SLE52" s="539"/>
      <c r="SLF52" s="539"/>
      <c r="SLG52" s="539"/>
      <c r="SLH52" s="539"/>
      <c r="SLI52" s="539"/>
      <c r="SLJ52" s="539"/>
      <c r="SLK52" s="539"/>
      <c r="SLL52" s="539"/>
      <c r="SLM52" s="539"/>
      <c r="SLN52" s="539"/>
      <c r="SLO52" s="539"/>
      <c r="SLP52" s="539"/>
      <c r="SLQ52" s="539"/>
      <c r="SLR52" s="539"/>
      <c r="SLS52" s="539"/>
      <c r="SLT52" s="539"/>
      <c r="SLU52" s="539"/>
      <c r="SLV52" s="539"/>
      <c r="SLW52" s="539"/>
      <c r="SLX52" s="539"/>
      <c r="SLY52" s="539"/>
      <c r="SLZ52" s="539"/>
      <c r="SMA52" s="539"/>
      <c r="SMB52" s="539"/>
      <c r="SMC52" s="539"/>
      <c r="SMD52" s="539"/>
      <c r="SME52" s="539"/>
      <c r="SMF52" s="539"/>
      <c r="SMG52" s="539"/>
      <c r="SMH52" s="539"/>
      <c r="SMI52" s="539"/>
      <c r="SMJ52" s="539"/>
      <c r="SMK52" s="539"/>
      <c r="SML52" s="539"/>
      <c r="SMM52" s="539"/>
      <c r="SMN52" s="539"/>
      <c r="SMO52" s="539"/>
      <c r="SMP52" s="539"/>
      <c r="SMQ52" s="539"/>
      <c r="SMR52" s="539"/>
      <c r="SMS52" s="539"/>
      <c r="SMT52" s="539"/>
      <c r="SMU52" s="539"/>
      <c r="SMV52" s="539"/>
      <c r="SMW52" s="539"/>
      <c r="SMX52" s="539"/>
      <c r="SMY52" s="539"/>
      <c r="SMZ52" s="539"/>
      <c r="SNA52" s="539"/>
      <c r="SNB52" s="539"/>
      <c r="SNC52" s="539"/>
      <c r="SND52" s="539"/>
      <c r="SNE52" s="539"/>
      <c r="SNF52" s="539"/>
      <c r="SNG52" s="539"/>
      <c r="SNH52" s="539"/>
      <c r="SNI52" s="539"/>
      <c r="SNJ52" s="539"/>
      <c r="SNK52" s="539"/>
      <c r="SNL52" s="539"/>
      <c r="SNM52" s="539"/>
      <c r="SNN52" s="539"/>
      <c r="SNO52" s="539"/>
      <c r="SNP52" s="539"/>
      <c r="SNQ52" s="539"/>
      <c r="SNR52" s="539"/>
      <c r="SNS52" s="539"/>
      <c r="SNT52" s="539"/>
      <c r="SNU52" s="539"/>
      <c r="SNV52" s="539"/>
      <c r="SNW52" s="539"/>
      <c r="SNX52" s="539"/>
      <c r="SNY52" s="539"/>
      <c r="SNZ52" s="539"/>
      <c r="SOA52" s="539"/>
      <c r="SOB52" s="539"/>
      <c r="SOC52" s="539"/>
      <c r="SOD52" s="539"/>
      <c r="SOE52" s="539"/>
      <c r="SOF52" s="539"/>
      <c r="SOG52" s="539"/>
      <c r="SOH52" s="539"/>
      <c r="SOI52" s="539"/>
      <c r="SOJ52" s="539"/>
      <c r="SOK52" s="539"/>
      <c r="SOL52" s="539"/>
      <c r="SOM52" s="539"/>
      <c r="SON52" s="539"/>
      <c r="SOO52" s="539"/>
      <c r="SOP52" s="539"/>
      <c r="SOQ52" s="539"/>
      <c r="SOR52" s="539"/>
      <c r="SOS52" s="539"/>
      <c r="SOT52" s="539"/>
      <c r="SOU52" s="539"/>
      <c r="SOV52" s="539"/>
      <c r="SOW52" s="539"/>
      <c r="SOX52" s="539"/>
      <c r="SOY52" s="539"/>
      <c r="SOZ52" s="539"/>
      <c r="SPA52" s="539"/>
      <c r="SPB52" s="539"/>
      <c r="SPC52" s="539"/>
      <c r="SPD52" s="539"/>
      <c r="SPE52" s="539"/>
      <c r="SPF52" s="539"/>
      <c r="SPG52" s="539"/>
      <c r="SPH52" s="539"/>
      <c r="SPI52" s="539"/>
      <c r="SPJ52" s="539"/>
      <c r="SPK52" s="539"/>
      <c r="SPL52" s="539"/>
      <c r="SPM52" s="539"/>
      <c r="SPN52" s="539"/>
      <c r="SPO52" s="539"/>
      <c r="SPP52" s="539"/>
      <c r="SPQ52" s="539"/>
      <c r="SPR52" s="539"/>
      <c r="SPS52" s="539"/>
      <c r="SPT52" s="539"/>
      <c r="SPU52" s="539"/>
      <c r="SPV52" s="539"/>
      <c r="SPW52" s="539"/>
      <c r="SPX52" s="539"/>
      <c r="SPY52" s="539"/>
      <c r="SPZ52" s="539"/>
      <c r="SQA52" s="539"/>
      <c r="SQB52" s="539"/>
      <c r="SQC52" s="539"/>
      <c r="SQD52" s="539"/>
      <c r="SQE52" s="539"/>
      <c r="SQF52" s="539"/>
      <c r="SQG52" s="539"/>
      <c r="SQH52" s="539"/>
      <c r="SQI52" s="539"/>
      <c r="SQJ52" s="539"/>
      <c r="SQK52" s="539"/>
      <c r="SQL52" s="539"/>
      <c r="SQM52" s="539"/>
      <c r="SQN52" s="539"/>
      <c r="SQO52" s="539"/>
      <c r="SQP52" s="539"/>
      <c r="SQQ52" s="539"/>
      <c r="SQR52" s="539"/>
      <c r="SQS52" s="539"/>
      <c r="SQT52" s="539"/>
      <c r="SQU52" s="539"/>
      <c r="SQV52" s="539"/>
      <c r="SQW52" s="539"/>
      <c r="SQX52" s="539"/>
      <c r="SQY52" s="539"/>
      <c r="SQZ52" s="539"/>
      <c r="SRA52" s="539"/>
      <c r="SRB52" s="539"/>
      <c r="SRC52" s="539"/>
      <c r="SRD52" s="539"/>
      <c r="SRE52" s="539"/>
      <c r="SRF52" s="539"/>
      <c r="SRG52" s="539"/>
      <c r="SRH52" s="539"/>
      <c r="SRI52" s="539"/>
      <c r="SRJ52" s="539"/>
      <c r="SRK52" s="539"/>
      <c r="SRL52" s="539"/>
      <c r="SRM52" s="539"/>
      <c r="SRN52" s="539"/>
      <c r="SRO52" s="539"/>
      <c r="SRP52" s="539"/>
      <c r="SRQ52" s="539"/>
      <c r="SRR52" s="539"/>
      <c r="SRS52" s="539"/>
      <c r="SRT52" s="539"/>
      <c r="SRU52" s="539"/>
      <c r="SRV52" s="539"/>
      <c r="SRW52" s="539"/>
      <c r="SRX52" s="539"/>
      <c r="SRY52" s="539"/>
      <c r="SRZ52" s="539"/>
      <c r="SSA52" s="539"/>
      <c r="SSB52" s="539"/>
      <c r="SSC52" s="539"/>
      <c r="SSD52" s="539"/>
      <c r="SSE52" s="539"/>
      <c r="SSF52" s="539"/>
      <c r="SSG52" s="539"/>
      <c r="SSH52" s="539"/>
      <c r="SSI52" s="539"/>
      <c r="SSJ52" s="539"/>
      <c r="SSK52" s="539"/>
      <c r="SSL52" s="539"/>
      <c r="SSM52" s="539"/>
      <c r="SSN52" s="539"/>
      <c r="SSO52" s="539"/>
      <c r="SSP52" s="539"/>
      <c r="SSQ52" s="539"/>
      <c r="SSR52" s="539"/>
      <c r="SSS52" s="539"/>
      <c r="SST52" s="539"/>
      <c r="SSU52" s="539"/>
      <c r="SSV52" s="539"/>
      <c r="SSW52" s="539"/>
      <c r="SSX52" s="539"/>
      <c r="SSY52" s="539"/>
      <c r="SSZ52" s="539"/>
      <c r="STA52" s="539"/>
      <c r="STB52" s="539"/>
      <c r="STC52" s="539"/>
      <c r="STD52" s="539"/>
      <c r="STE52" s="539"/>
      <c r="STF52" s="539"/>
      <c r="STG52" s="539"/>
      <c r="STH52" s="539"/>
      <c r="STI52" s="539"/>
      <c r="STJ52" s="539"/>
      <c r="STK52" s="539"/>
      <c r="STL52" s="539"/>
      <c r="STM52" s="539"/>
      <c r="STN52" s="539"/>
      <c r="STO52" s="539"/>
      <c r="STP52" s="539"/>
      <c r="STQ52" s="539"/>
      <c r="STR52" s="539"/>
      <c r="STS52" s="539"/>
      <c r="STT52" s="539"/>
      <c r="STU52" s="539"/>
      <c r="STV52" s="539"/>
      <c r="STW52" s="539"/>
      <c r="STX52" s="539"/>
      <c r="STY52" s="539"/>
      <c r="STZ52" s="539"/>
      <c r="SUA52" s="539"/>
      <c r="SUB52" s="539"/>
      <c r="SUC52" s="539"/>
      <c r="SUD52" s="539"/>
      <c r="SUE52" s="539"/>
      <c r="SUF52" s="539"/>
      <c r="SUG52" s="539"/>
      <c r="SUH52" s="539"/>
      <c r="SUI52" s="539"/>
      <c r="SUJ52" s="539"/>
      <c r="SUK52" s="539"/>
      <c r="SUL52" s="539"/>
      <c r="SUM52" s="539"/>
      <c r="SUN52" s="539"/>
      <c r="SUO52" s="539"/>
      <c r="SUP52" s="539"/>
      <c r="SUQ52" s="539"/>
      <c r="SUR52" s="539"/>
      <c r="SUS52" s="539"/>
      <c r="SUT52" s="539"/>
      <c r="SUU52" s="539"/>
      <c r="SUV52" s="539"/>
      <c r="SUW52" s="539"/>
      <c r="SUX52" s="539"/>
      <c r="SUY52" s="539"/>
      <c r="SUZ52" s="539"/>
      <c r="SVA52" s="539"/>
      <c r="SVB52" s="539"/>
      <c r="SVC52" s="539"/>
      <c r="SVD52" s="539"/>
      <c r="SVE52" s="539"/>
      <c r="SVF52" s="539"/>
      <c r="SVG52" s="539"/>
      <c r="SVH52" s="539"/>
      <c r="SVI52" s="539"/>
      <c r="SVJ52" s="539"/>
      <c r="SVK52" s="539"/>
      <c r="SVL52" s="539"/>
      <c r="SVM52" s="539"/>
      <c r="SVN52" s="539"/>
      <c r="SVO52" s="539"/>
      <c r="SVP52" s="539"/>
      <c r="SVQ52" s="539"/>
      <c r="SVR52" s="539"/>
      <c r="SVS52" s="539"/>
      <c r="SVT52" s="539"/>
      <c r="SVU52" s="539"/>
      <c r="SVV52" s="539"/>
      <c r="SVW52" s="539"/>
      <c r="SVX52" s="539"/>
      <c r="SVY52" s="539"/>
      <c r="SVZ52" s="539"/>
      <c r="SWA52" s="539"/>
      <c r="SWB52" s="539"/>
      <c r="SWC52" s="539"/>
      <c r="SWD52" s="539"/>
      <c r="SWE52" s="539"/>
      <c r="SWF52" s="539"/>
      <c r="SWG52" s="539"/>
      <c r="SWH52" s="539"/>
      <c r="SWI52" s="539"/>
      <c r="SWJ52" s="539"/>
      <c r="SWK52" s="539"/>
      <c r="SWL52" s="539"/>
      <c r="SWM52" s="539"/>
      <c r="SWN52" s="539"/>
      <c r="SWO52" s="539"/>
      <c r="SWP52" s="539"/>
      <c r="SWQ52" s="539"/>
      <c r="SWR52" s="539"/>
      <c r="SWS52" s="539"/>
      <c r="SWT52" s="539"/>
      <c r="SWU52" s="539"/>
      <c r="SWV52" s="539"/>
      <c r="SWW52" s="539"/>
      <c r="SWX52" s="539"/>
      <c r="SWY52" s="539"/>
      <c r="SWZ52" s="539"/>
      <c r="SXA52" s="539"/>
      <c r="SXB52" s="539"/>
      <c r="SXC52" s="539"/>
      <c r="SXD52" s="539"/>
      <c r="SXE52" s="539"/>
      <c r="SXF52" s="539"/>
      <c r="SXG52" s="539"/>
      <c r="SXH52" s="539"/>
      <c r="SXI52" s="539"/>
      <c r="SXJ52" s="539"/>
      <c r="SXK52" s="539"/>
      <c r="SXL52" s="539"/>
      <c r="SXM52" s="539"/>
      <c r="SXN52" s="539"/>
      <c r="SXO52" s="539"/>
      <c r="SXP52" s="539"/>
      <c r="SXQ52" s="539"/>
      <c r="SXR52" s="539"/>
      <c r="SXS52" s="539"/>
      <c r="SXT52" s="539"/>
      <c r="SXU52" s="539"/>
      <c r="SXV52" s="539"/>
      <c r="SXW52" s="539"/>
      <c r="SXX52" s="539"/>
      <c r="SXY52" s="539"/>
      <c r="SXZ52" s="539"/>
      <c r="SYA52" s="539"/>
      <c r="SYB52" s="539"/>
      <c r="SYC52" s="539"/>
      <c r="SYD52" s="539"/>
      <c r="SYE52" s="539"/>
      <c r="SYF52" s="539"/>
      <c r="SYG52" s="539"/>
      <c r="SYH52" s="539"/>
      <c r="SYI52" s="539"/>
      <c r="SYJ52" s="539"/>
      <c r="SYK52" s="539"/>
      <c r="SYL52" s="539"/>
      <c r="SYM52" s="539"/>
      <c r="SYN52" s="539"/>
      <c r="SYO52" s="539"/>
      <c r="SYP52" s="539"/>
      <c r="SYQ52" s="539"/>
      <c r="SYR52" s="539"/>
      <c r="SYS52" s="539"/>
      <c r="SYT52" s="539"/>
      <c r="SYU52" s="539"/>
      <c r="SYV52" s="539"/>
      <c r="SYW52" s="539"/>
      <c r="SYX52" s="539"/>
      <c r="SYY52" s="539"/>
      <c r="SYZ52" s="539"/>
      <c r="SZA52" s="539"/>
      <c r="SZB52" s="539"/>
      <c r="SZC52" s="539"/>
      <c r="SZD52" s="539"/>
      <c r="SZE52" s="539"/>
      <c r="SZF52" s="539"/>
      <c r="SZG52" s="539"/>
      <c r="SZH52" s="539"/>
      <c r="SZI52" s="539"/>
      <c r="SZJ52" s="539"/>
      <c r="SZK52" s="539"/>
      <c r="SZL52" s="539"/>
      <c r="SZM52" s="539"/>
      <c r="SZN52" s="539"/>
      <c r="SZO52" s="539"/>
      <c r="SZP52" s="539"/>
      <c r="SZQ52" s="539"/>
      <c r="SZR52" s="539"/>
      <c r="SZS52" s="539"/>
      <c r="SZT52" s="539"/>
      <c r="SZU52" s="539"/>
      <c r="SZV52" s="539"/>
      <c r="SZW52" s="539"/>
      <c r="SZX52" s="539"/>
      <c r="SZY52" s="539"/>
      <c r="SZZ52" s="539"/>
      <c r="TAA52" s="539"/>
      <c r="TAB52" s="539"/>
      <c r="TAC52" s="539"/>
      <c r="TAD52" s="539"/>
      <c r="TAE52" s="539"/>
      <c r="TAF52" s="539"/>
      <c r="TAG52" s="539"/>
      <c r="TAH52" s="539"/>
      <c r="TAI52" s="539"/>
      <c r="TAJ52" s="539"/>
      <c r="TAK52" s="539"/>
      <c r="TAL52" s="539"/>
      <c r="TAM52" s="539"/>
      <c r="TAN52" s="539"/>
      <c r="TAO52" s="539"/>
      <c r="TAP52" s="539"/>
      <c r="TAQ52" s="539"/>
      <c r="TAR52" s="539"/>
      <c r="TAS52" s="539"/>
      <c r="TAT52" s="539"/>
      <c r="TAU52" s="539"/>
      <c r="TAV52" s="539"/>
      <c r="TAW52" s="539"/>
      <c r="TAX52" s="539"/>
      <c r="TAY52" s="539"/>
      <c r="TAZ52" s="539"/>
      <c r="TBA52" s="539"/>
      <c r="TBB52" s="539"/>
      <c r="TBC52" s="539"/>
      <c r="TBD52" s="539"/>
      <c r="TBE52" s="539"/>
      <c r="TBF52" s="539"/>
      <c r="TBG52" s="539"/>
      <c r="TBH52" s="539"/>
      <c r="TBI52" s="539"/>
      <c r="TBJ52" s="539"/>
      <c r="TBK52" s="539"/>
      <c r="TBL52" s="539"/>
      <c r="TBM52" s="539"/>
      <c r="TBN52" s="539"/>
      <c r="TBO52" s="539"/>
      <c r="TBP52" s="539"/>
      <c r="TBQ52" s="539"/>
      <c r="TBR52" s="539"/>
      <c r="TBS52" s="539"/>
      <c r="TBT52" s="539"/>
      <c r="TBU52" s="539"/>
      <c r="TBV52" s="539"/>
      <c r="TBW52" s="539"/>
      <c r="TBX52" s="539"/>
      <c r="TBY52" s="539"/>
      <c r="TBZ52" s="539"/>
      <c r="TCA52" s="539"/>
      <c r="TCB52" s="539"/>
      <c r="TCC52" s="539"/>
      <c r="TCD52" s="539"/>
      <c r="TCE52" s="539"/>
      <c r="TCF52" s="539"/>
      <c r="TCG52" s="539"/>
      <c r="TCH52" s="539"/>
      <c r="TCI52" s="539"/>
      <c r="TCJ52" s="539"/>
      <c r="TCK52" s="539"/>
      <c r="TCL52" s="539"/>
      <c r="TCM52" s="539"/>
      <c r="TCN52" s="539"/>
      <c r="TCO52" s="539"/>
      <c r="TCP52" s="539"/>
      <c r="TCQ52" s="539"/>
      <c r="TCR52" s="539"/>
      <c r="TCS52" s="539"/>
      <c r="TCT52" s="539"/>
      <c r="TCU52" s="539"/>
      <c r="TCV52" s="539"/>
      <c r="TCW52" s="539"/>
      <c r="TCX52" s="539"/>
      <c r="TCY52" s="539"/>
      <c r="TCZ52" s="539"/>
      <c r="TDA52" s="539"/>
      <c r="TDB52" s="539"/>
      <c r="TDC52" s="539"/>
      <c r="TDD52" s="539"/>
      <c r="TDE52" s="539"/>
      <c r="TDF52" s="539"/>
      <c r="TDG52" s="539"/>
      <c r="TDH52" s="539"/>
      <c r="TDI52" s="539"/>
      <c r="TDJ52" s="539"/>
      <c r="TDK52" s="539"/>
      <c r="TDL52" s="539"/>
      <c r="TDM52" s="539"/>
      <c r="TDN52" s="539"/>
      <c r="TDO52" s="539"/>
      <c r="TDP52" s="539"/>
      <c r="TDQ52" s="539"/>
      <c r="TDR52" s="539"/>
      <c r="TDS52" s="539"/>
      <c r="TDT52" s="539"/>
      <c r="TDU52" s="539"/>
      <c r="TDV52" s="539"/>
      <c r="TDW52" s="539"/>
      <c r="TDX52" s="539"/>
      <c r="TDY52" s="539"/>
      <c r="TDZ52" s="539"/>
      <c r="TEA52" s="539"/>
      <c r="TEB52" s="539"/>
      <c r="TEC52" s="539"/>
      <c r="TED52" s="539"/>
      <c r="TEE52" s="539"/>
      <c r="TEF52" s="539"/>
      <c r="TEG52" s="539"/>
      <c r="TEH52" s="539"/>
      <c r="TEI52" s="539"/>
      <c r="TEJ52" s="539"/>
      <c r="TEK52" s="539"/>
      <c r="TEL52" s="539"/>
      <c r="TEM52" s="539"/>
      <c r="TEN52" s="539"/>
      <c r="TEO52" s="539"/>
      <c r="TEP52" s="539"/>
      <c r="TEQ52" s="539"/>
      <c r="TER52" s="539"/>
      <c r="TES52" s="539"/>
      <c r="TET52" s="539"/>
      <c r="TEU52" s="539"/>
      <c r="TEV52" s="539"/>
      <c r="TEW52" s="539"/>
      <c r="TEX52" s="539"/>
      <c r="TEY52" s="539"/>
      <c r="TEZ52" s="539"/>
      <c r="TFA52" s="539"/>
      <c r="TFB52" s="539"/>
      <c r="TFC52" s="539"/>
      <c r="TFD52" s="539"/>
      <c r="TFE52" s="539"/>
      <c r="TFF52" s="539"/>
      <c r="TFG52" s="539"/>
      <c r="TFH52" s="539"/>
      <c r="TFI52" s="539"/>
      <c r="TFJ52" s="539"/>
      <c r="TFK52" s="539"/>
      <c r="TFL52" s="539"/>
      <c r="TFM52" s="539"/>
      <c r="TFN52" s="539"/>
      <c r="TFO52" s="539"/>
      <c r="TFP52" s="539"/>
      <c r="TFQ52" s="539"/>
      <c r="TFR52" s="539"/>
      <c r="TFS52" s="539"/>
      <c r="TFT52" s="539"/>
      <c r="TFU52" s="539"/>
      <c r="TFV52" s="539"/>
      <c r="TFW52" s="539"/>
      <c r="TFX52" s="539"/>
      <c r="TFY52" s="539"/>
      <c r="TFZ52" s="539"/>
      <c r="TGA52" s="539"/>
      <c r="TGB52" s="539"/>
      <c r="TGC52" s="539"/>
      <c r="TGD52" s="539"/>
      <c r="TGE52" s="539"/>
      <c r="TGF52" s="539"/>
      <c r="TGG52" s="539"/>
      <c r="TGH52" s="539"/>
      <c r="TGI52" s="539"/>
      <c r="TGJ52" s="539"/>
      <c r="TGK52" s="539"/>
      <c r="TGL52" s="539"/>
      <c r="TGM52" s="539"/>
      <c r="TGN52" s="539"/>
      <c r="TGO52" s="539"/>
      <c r="TGP52" s="539"/>
      <c r="TGQ52" s="539"/>
      <c r="TGR52" s="539"/>
      <c r="TGS52" s="539"/>
      <c r="TGT52" s="539"/>
      <c r="TGU52" s="539"/>
      <c r="TGV52" s="539"/>
      <c r="TGW52" s="539"/>
      <c r="TGX52" s="539"/>
      <c r="TGY52" s="539"/>
      <c r="TGZ52" s="539"/>
      <c r="THA52" s="539"/>
      <c r="THB52" s="539"/>
      <c r="THC52" s="539"/>
      <c r="THD52" s="539"/>
      <c r="THE52" s="539"/>
      <c r="THF52" s="539"/>
      <c r="THG52" s="539"/>
      <c r="THH52" s="539"/>
      <c r="THI52" s="539"/>
      <c r="THJ52" s="539"/>
      <c r="THK52" s="539"/>
      <c r="THL52" s="539"/>
      <c r="THM52" s="539"/>
      <c r="THN52" s="539"/>
      <c r="THO52" s="539"/>
      <c r="THP52" s="539"/>
      <c r="THQ52" s="539"/>
      <c r="THR52" s="539"/>
      <c r="THS52" s="539"/>
      <c r="THT52" s="539"/>
      <c r="THU52" s="539"/>
      <c r="THV52" s="539"/>
      <c r="THW52" s="539"/>
      <c r="THX52" s="539"/>
      <c r="THY52" s="539"/>
      <c r="THZ52" s="539"/>
      <c r="TIA52" s="539"/>
      <c r="TIB52" s="539"/>
      <c r="TIC52" s="539"/>
      <c r="TID52" s="539"/>
      <c r="TIE52" s="539"/>
      <c r="TIF52" s="539"/>
      <c r="TIG52" s="539"/>
      <c r="TIH52" s="539"/>
      <c r="TII52" s="539"/>
      <c r="TIJ52" s="539"/>
      <c r="TIK52" s="539"/>
      <c r="TIL52" s="539"/>
      <c r="TIM52" s="539"/>
      <c r="TIN52" s="539"/>
      <c r="TIO52" s="539"/>
      <c r="TIP52" s="539"/>
      <c r="TIQ52" s="539"/>
      <c r="TIR52" s="539"/>
      <c r="TIS52" s="539"/>
      <c r="TIT52" s="539"/>
      <c r="TIU52" s="539"/>
      <c r="TIV52" s="539"/>
      <c r="TIW52" s="539"/>
      <c r="TIX52" s="539"/>
      <c r="TIY52" s="539"/>
      <c r="TIZ52" s="539"/>
      <c r="TJA52" s="539"/>
      <c r="TJB52" s="539"/>
      <c r="TJC52" s="539"/>
      <c r="TJD52" s="539"/>
      <c r="TJE52" s="539"/>
      <c r="TJF52" s="539"/>
      <c r="TJG52" s="539"/>
      <c r="TJH52" s="539"/>
      <c r="TJI52" s="539"/>
      <c r="TJJ52" s="539"/>
      <c r="TJK52" s="539"/>
      <c r="TJL52" s="539"/>
      <c r="TJM52" s="539"/>
      <c r="TJN52" s="539"/>
      <c r="TJO52" s="539"/>
      <c r="TJP52" s="539"/>
      <c r="TJQ52" s="539"/>
      <c r="TJR52" s="539"/>
      <c r="TJS52" s="539"/>
      <c r="TJT52" s="539"/>
      <c r="TJU52" s="539"/>
      <c r="TJV52" s="539"/>
      <c r="TJW52" s="539"/>
      <c r="TJX52" s="539"/>
      <c r="TJY52" s="539"/>
      <c r="TJZ52" s="539"/>
      <c r="TKA52" s="539"/>
      <c r="TKB52" s="539"/>
      <c r="TKC52" s="539"/>
      <c r="TKD52" s="539"/>
      <c r="TKE52" s="539"/>
      <c r="TKF52" s="539"/>
      <c r="TKG52" s="539"/>
      <c r="TKH52" s="539"/>
      <c r="TKI52" s="539"/>
      <c r="TKJ52" s="539"/>
      <c r="TKK52" s="539"/>
      <c r="TKL52" s="539"/>
      <c r="TKM52" s="539"/>
      <c r="TKN52" s="539"/>
      <c r="TKO52" s="539"/>
      <c r="TKP52" s="539"/>
      <c r="TKQ52" s="539"/>
      <c r="TKR52" s="539"/>
      <c r="TKS52" s="539"/>
      <c r="TKT52" s="539"/>
      <c r="TKU52" s="539"/>
      <c r="TKV52" s="539"/>
      <c r="TKW52" s="539"/>
      <c r="TKX52" s="539"/>
      <c r="TKY52" s="539"/>
      <c r="TKZ52" s="539"/>
      <c r="TLA52" s="539"/>
      <c r="TLB52" s="539"/>
      <c r="TLC52" s="539"/>
      <c r="TLD52" s="539"/>
      <c r="TLE52" s="539"/>
      <c r="TLF52" s="539"/>
      <c r="TLG52" s="539"/>
      <c r="TLH52" s="539"/>
      <c r="TLI52" s="539"/>
      <c r="TLJ52" s="539"/>
      <c r="TLK52" s="539"/>
      <c r="TLL52" s="539"/>
      <c r="TLM52" s="539"/>
      <c r="TLN52" s="539"/>
      <c r="TLO52" s="539"/>
      <c r="TLP52" s="539"/>
      <c r="TLQ52" s="539"/>
      <c r="TLR52" s="539"/>
      <c r="TLS52" s="539"/>
      <c r="TLT52" s="539"/>
      <c r="TLU52" s="539"/>
      <c r="TLV52" s="539"/>
      <c r="TLW52" s="539"/>
      <c r="TLX52" s="539"/>
      <c r="TLY52" s="539"/>
      <c r="TLZ52" s="539"/>
      <c r="TMA52" s="539"/>
      <c r="TMB52" s="539"/>
      <c r="TMC52" s="539"/>
      <c r="TMD52" s="539"/>
      <c r="TME52" s="539"/>
      <c r="TMF52" s="539"/>
      <c r="TMG52" s="539"/>
      <c r="TMH52" s="539"/>
      <c r="TMI52" s="539"/>
      <c r="TMJ52" s="539"/>
      <c r="TMK52" s="539"/>
      <c r="TML52" s="539"/>
      <c r="TMM52" s="539"/>
      <c r="TMN52" s="539"/>
      <c r="TMO52" s="539"/>
      <c r="TMP52" s="539"/>
      <c r="TMQ52" s="539"/>
      <c r="TMR52" s="539"/>
      <c r="TMS52" s="539"/>
      <c r="TMT52" s="539"/>
      <c r="TMU52" s="539"/>
      <c r="TMV52" s="539"/>
      <c r="TMW52" s="539"/>
      <c r="TMX52" s="539"/>
      <c r="TMY52" s="539"/>
      <c r="TMZ52" s="539"/>
      <c r="TNA52" s="539"/>
      <c r="TNB52" s="539"/>
      <c r="TNC52" s="539"/>
      <c r="TND52" s="539"/>
      <c r="TNE52" s="539"/>
      <c r="TNF52" s="539"/>
      <c r="TNG52" s="539"/>
      <c r="TNH52" s="539"/>
      <c r="TNI52" s="539"/>
      <c r="TNJ52" s="539"/>
      <c r="TNK52" s="539"/>
      <c r="TNL52" s="539"/>
      <c r="TNM52" s="539"/>
      <c r="TNN52" s="539"/>
      <c r="TNO52" s="539"/>
      <c r="TNP52" s="539"/>
      <c r="TNQ52" s="539"/>
      <c r="TNR52" s="539"/>
      <c r="TNS52" s="539"/>
      <c r="TNT52" s="539"/>
      <c r="TNU52" s="539"/>
      <c r="TNV52" s="539"/>
      <c r="TNW52" s="539"/>
      <c r="TNX52" s="539"/>
      <c r="TNY52" s="539"/>
      <c r="TNZ52" s="539"/>
      <c r="TOA52" s="539"/>
      <c r="TOB52" s="539"/>
      <c r="TOC52" s="539"/>
      <c r="TOD52" s="539"/>
      <c r="TOE52" s="539"/>
      <c r="TOF52" s="539"/>
      <c r="TOG52" s="539"/>
      <c r="TOH52" s="539"/>
      <c r="TOI52" s="539"/>
      <c r="TOJ52" s="539"/>
      <c r="TOK52" s="539"/>
      <c r="TOL52" s="539"/>
      <c r="TOM52" s="539"/>
      <c r="TON52" s="539"/>
      <c r="TOO52" s="539"/>
      <c r="TOP52" s="539"/>
      <c r="TOQ52" s="539"/>
      <c r="TOR52" s="539"/>
      <c r="TOS52" s="539"/>
      <c r="TOT52" s="539"/>
      <c r="TOU52" s="539"/>
      <c r="TOV52" s="539"/>
      <c r="TOW52" s="539"/>
      <c r="TOX52" s="539"/>
      <c r="TOY52" s="539"/>
      <c r="TOZ52" s="539"/>
      <c r="TPA52" s="539"/>
      <c r="TPB52" s="539"/>
      <c r="TPC52" s="539"/>
      <c r="TPD52" s="539"/>
      <c r="TPE52" s="539"/>
      <c r="TPF52" s="539"/>
      <c r="TPG52" s="539"/>
      <c r="TPH52" s="539"/>
      <c r="TPI52" s="539"/>
      <c r="TPJ52" s="539"/>
      <c r="TPK52" s="539"/>
      <c r="TPL52" s="539"/>
      <c r="TPM52" s="539"/>
      <c r="TPN52" s="539"/>
      <c r="TPO52" s="539"/>
      <c r="TPP52" s="539"/>
      <c r="TPQ52" s="539"/>
      <c r="TPR52" s="539"/>
      <c r="TPS52" s="539"/>
      <c r="TPT52" s="539"/>
      <c r="TPU52" s="539"/>
      <c r="TPV52" s="539"/>
      <c r="TPW52" s="539"/>
      <c r="TPX52" s="539"/>
      <c r="TPY52" s="539"/>
      <c r="TPZ52" s="539"/>
      <c r="TQA52" s="539"/>
      <c r="TQB52" s="539"/>
      <c r="TQC52" s="539"/>
      <c r="TQD52" s="539"/>
      <c r="TQE52" s="539"/>
      <c r="TQF52" s="539"/>
      <c r="TQG52" s="539"/>
      <c r="TQH52" s="539"/>
      <c r="TQI52" s="539"/>
      <c r="TQJ52" s="539"/>
      <c r="TQK52" s="539"/>
      <c r="TQL52" s="539"/>
      <c r="TQM52" s="539"/>
      <c r="TQN52" s="539"/>
      <c r="TQO52" s="539"/>
      <c r="TQP52" s="539"/>
      <c r="TQQ52" s="539"/>
      <c r="TQR52" s="539"/>
      <c r="TQS52" s="539"/>
      <c r="TQT52" s="539"/>
      <c r="TQU52" s="539"/>
      <c r="TQV52" s="539"/>
      <c r="TQW52" s="539"/>
      <c r="TQX52" s="539"/>
      <c r="TQY52" s="539"/>
      <c r="TQZ52" s="539"/>
      <c r="TRA52" s="539"/>
      <c r="TRB52" s="539"/>
      <c r="TRC52" s="539"/>
      <c r="TRD52" s="539"/>
      <c r="TRE52" s="539"/>
      <c r="TRF52" s="539"/>
      <c r="TRG52" s="539"/>
      <c r="TRH52" s="539"/>
      <c r="TRI52" s="539"/>
      <c r="TRJ52" s="539"/>
      <c r="TRK52" s="539"/>
      <c r="TRL52" s="539"/>
      <c r="TRM52" s="539"/>
      <c r="TRN52" s="539"/>
      <c r="TRO52" s="539"/>
      <c r="TRP52" s="539"/>
      <c r="TRQ52" s="539"/>
      <c r="TRR52" s="539"/>
      <c r="TRS52" s="539"/>
      <c r="TRT52" s="539"/>
      <c r="TRU52" s="539"/>
      <c r="TRV52" s="539"/>
      <c r="TRW52" s="539"/>
      <c r="TRX52" s="539"/>
      <c r="TRY52" s="539"/>
      <c r="TRZ52" s="539"/>
      <c r="TSA52" s="539"/>
      <c r="TSB52" s="539"/>
      <c r="TSC52" s="539"/>
      <c r="TSD52" s="539"/>
      <c r="TSE52" s="539"/>
      <c r="TSF52" s="539"/>
      <c r="TSG52" s="539"/>
      <c r="TSH52" s="539"/>
      <c r="TSI52" s="539"/>
      <c r="TSJ52" s="539"/>
      <c r="TSK52" s="539"/>
      <c r="TSL52" s="539"/>
      <c r="TSM52" s="539"/>
      <c r="TSN52" s="539"/>
      <c r="TSO52" s="539"/>
      <c r="TSP52" s="539"/>
      <c r="TSQ52" s="539"/>
      <c r="TSR52" s="539"/>
      <c r="TSS52" s="539"/>
      <c r="TST52" s="539"/>
      <c r="TSU52" s="539"/>
      <c r="TSV52" s="539"/>
      <c r="TSW52" s="539"/>
      <c r="TSX52" s="539"/>
      <c r="TSY52" s="539"/>
      <c r="TSZ52" s="539"/>
      <c r="TTA52" s="539"/>
      <c r="TTB52" s="539"/>
      <c r="TTC52" s="539"/>
      <c r="TTD52" s="539"/>
      <c r="TTE52" s="539"/>
      <c r="TTF52" s="539"/>
      <c r="TTG52" s="539"/>
      <c r="TTH52" s="539"/>
      <c r="TTI52" s="539"/>
      <c r="TTJ52" s="539"/>
      <c r="TTK52" s="539"/>
      <c r="TTL52" s="539"/>
      <c r="TTM52" s="539"/>
      <c r="TTN52" s="539"/>
      <c r="TTO52" s="539"/>
      <c r="TTP52" s="539"/>
      <c r="TTQ52" s="539"/>
      <c r="TTR52" s="539"/>
      <c r="TTS52" s="539"/>
      <c r="TTT52" s="539"/>
      <c r="TTU52" s="539"/>
      <c r="TTV52" s="539"/>
      <c r="TTW52" s="539"/>
      <c r="TTX52" s="539"/>
      <c r="TTY52" s="539"/>
      <c r="TTZ52" s="539"/>
      <c r="TUA52" s="539"/>
      <c r="TUB52" s="539"/>
      <c r="TUC52" s="539"/>
      <c r="TUD52" s="539"/>
      <c r="TUE52" s="539"/>
      <c r="TUF52" s="539"/>
      <c r="TUG52" s="539"/>
      <c r="TUH52" s="539"/>
      <c r="TUI52" s="539"/>
      <c r="TUJ52" s="539"/>
      <c r="TUK52" s="539"/>
      <c r="TUL52" s="539"/>
      <c r="TUM52" s="539"/>
      <c r="TUN52" s="539"/>
      <c r="TUO52" s="539"/>
      <c r="TUP52" s="539"/>
      <c r="TUQ52" s="539"/>
      <c r="TUR52" s="539"/>
      <c r="TUS52" s="539"/>
      <c r="TUT52" s="539"/>
      <c r="TUU52" s="539"/>
      <c r="TUV52" s="539"/>
      <c r="TUW52" s="539"/>
      <c r="TUX52" s="539"/>
      <c r="TUY52" s="539"/>
      <c r="TUZ52" s="539"/>
      <c r="TVA52" s="539"/>
      <c r="TVB52" s="539"/>
      <c r="TVC52" s="539"/>
      <c r="TVD52" s="539"/>
      <c r="TVE52" s="539"/>
      <c r="TVF52" s="539"/>
      <c r="TVG52" s="539"/>
      <c r="TVH52" s="539"/>
      <c r="TVI52" s="539"/>
      <c r="TVJ52" s="539"/>
      <c r="TVK52" s="539"/>
      <c r="TVL52" s="539"/>
      <c r="TVM52" s="539"/>
      <c r="TVN52" s="539"/>
      <c r="TVO52" s="539"/>
      <c r="TVP52" s="539"/>
      <c r="TVQ52" s="539"/>
      <c r="TVR52" s="539"/>
      <c r="TVS52" s="539"/>
      <c r="TVT52" s="539"/>
      <c r="TVU52" s="539"/>
      <c r="TVV52" s="539"/>
      <c r="TVW52" s="539"/>
      <c r="TVX52" s="539"/>
      <c r="TVY52" s="539"/>
      <c r="TVZ52" s="539"/>
      <c r="TWA52" s="539"/>
      <c r="TWB52" s="539"/>
      <c r="TWC52" s="539"/>
      <c r="TWD52" s="539"/>
      <c r="TWE52" s="539"/>
      <c r="TWF52" s="539"/>
      <c r="TWG52" s="539"/>
      <c r="TWH52" s="539"/>
      <c r="TWI52" s="539"/>
      <c r="TWJ52" s="539"/>
      <c r="TWK52" s="539"/>
      <c r="TWL52" s="539"/>
      <c r="TWM52" s="539"/>
      <c r="TWN52" s="539"/>
      <c r="TWO52" s="539"/>
      <c r="TWP52" s="539"/>
      <c r="TWQ52" s="539"/>
      <c r="TWR52" s="539"/>
      <c r="TWS52" s="539"/>
      <c r="TWT52" s="539"/>
      <c r="TWU52" s="539"/>
      <c r="TWV52" s="539"/>
      <c r="TWW52" s="539"/>
      <c r="TWX52" s="539"/>
      <c r="TWY52" s="539"/>
      <c r="TWZ52" s="539"/>
      <c r="TXA52" s="539"/>
      <c r="TXB52" s="539"/>
      <c r="TXC52" s="539"/>
      <c r="TXD52" s="539"/>
      <c r="TXE52" s="539"/>
      <c r="TXF52" s="539"/>
      <c r="TXG52" s="539"/>
      <c r="TXH52" s="539"/>
      <c r="TXI52" s="539"/>
      <c r="TXJ52" s="539"/>
      <c r="TXK52" s="539"/>
      <c r="TXL52" s="539"/>
      <c r="TXM52" s="539"/>
      <c r="TXN52" s="539"/>
      <c r="TXO52" s="539"/>
      <c r="TXP52" s="539"/>
      <c r="TXQ52" s="539"/>
      <c r="TXR52" s="539"/>
      <c r="TXS52" s="539"/>
      <c r="TXT52" s="539"/>
      <c r="TXU52" s="539"/>
      <c r="TXV52" s="539"/>
      <c r="TXW52" s="539"/>
      <c r="TXX52" s="539"/>
      <c r="TXY52" s="539"/>
      <c r="TXZ52" s="539"/>
      <c r="TYA52" s="539"/>
      <c r="TYB52" s="539"/>
      <c r="TYC52" s="539"/>
      <c r="TYD52" s="539"/>
      <c r="TYE52" s="539"/>
      <c r="TYF52" s="539"/>
      <c r="TYG52" s="539"/>
      <c r="TYH52" s="539"/>
      <c r="TYI52" s="539"/>
      <c r="TYJ52" s="539"/>
      <c r="TYK52" s="539"/>
      <c r="TYL52" s="539"/>
      <c r="TYM52" s="539"/>
      <c r="TYN52" s="539"/>
      <c r="TYO52" s="539"/>
      <c r="TYP52" s="539"/>
      <c r="TYQ52" s="539"/>
      <c r="TYR52" s="539"/>
      <c r="TYS52" s="539"/>
      <c r="TYT52" s="539"/>
      <c r="TYU52" s="539"/>
      <c r="TYV52" s="539"/>
      <c r="TYW52" s="539"/>
      <c r="TYX52" s="539"/>
      <c r="TYY52" s="539"/>
      <c r="TYZ52" s="539"/>
      <c r="TZA52" s="539"/>
      <c r="TZB52" s="539"/>
      <c r="TZC52" s="539"/>
      <c r="TZD52" s="539"/>
      <c r="TZE52" s="539"/>
      <c r="TZF52" s="539"/>
      <c r="TZG52" s="539"/>
      <c r="TZH52" s="539"/>
      <c r="TZI52" s="539"/>
      <c r="TZJ52" s="539"/>
      <c r="TZK52" s="539"/>
      <c r="TZL52" s="539"/>
      <c r="TZM52" s="539"/>
      <c r="TZN52" s="539"/>
      <c r="TZO52" s="539"/>
      <c r="TZP52" s="539"/>
      <c r="TZQ52" s="539"/>
      <c r="TZR52" s="539"/>
      <c r="TZS52" s="539"/>
      <c r="TZT52" s="539"/>
      <c r="TZU52" s="539"/>
      <c r="TZV52" s="539"/>
      <c r="TZW52" s="539"/>
      <c r="TZX52" s="539"/>
      <c r="TZY52" s="539"/>
      <c r="TZZ52" s="539"/>
      <c r="UAA52" s="539"/>
      <c r="UAB52" s="539"/>
      <c r="UAC52" s="539"/>
      <c r="UAD52" s="539"/>
      <c r="UAE52" s="539"/>
      <c r="UAF52" s="539"/>
      <c r="UAG52" s="539"/>
      <c r="UAH52" s="539"/>
      <c r="UAI52" s="539"/>
      <c r="UAJ52" s="539"/>
      <c r="UAK52" s="539"/>
      <c r="UAL52" s="539"/>
      <c r="UAM52" s="539"/>
      <c r="UAN52" s="539"/>
      <c r="UAO52" s="539"/>
      <c r="UAP52" s="539"/>
      <c r="UAQ52" s="539"/>
      <c r="UAR52" s="539"/>
      <c r="UAS52" s="539"/>
      <c r="UAT52" s="539"/>
      <c r="UAU52" s="539"/>
      <c r="UAV52" s="539"/>
      <c r="UAW52" s="539"/>
      <c r="UAX52" s="539"/>
      <c r="UAY52" s="539"/>
      <c r="UAZ52" s="539"/>
      <c r="UBA52" s="539"/>
      <c r="UBB52" s="539"/>
      <c r="UBC52" s="539"/>
      <c r="UBD52" s="539"/>
      <c r="UBE52" s="539"/>
      <c r="UBF52" s="539"/>
      <c r="UBG52" s="539"/>
      <c r="UBH52" s="539"/>
      <c r="UBI52" s="539"/>
      <c r="UBJ52" s="539"/>
      <c r="UBK52" s="539"/>
      <c r="UBL52" s="539"/>
      <c r="UBM52" s="539"/>
      <c r="UBN52" s="539"/>
      <c r="UBO52" s="539"/>
      <c r="UBP52" s="539"/>
      <c r="UBQ52" s="539"/>
      <c r="UBR52" s="539"/>
      <c r="UBS52" s="539"/>
      <c r="UBT52" s="539"/>
      <c r="UBU52" s="539"/>
      <c r="UBV52" s="539"/>
      <c r="UBW52" s="539"/>
      <c r="UBX52" s="539"/>
      <c r="UBY52" s="539"/>
      <c r="UBZ52" s="539"/>
      <c r="UCA52" s="539"/>
      <c r="UCB52" s="539"/>
      <c r="UCC52" s="539"/>
      <c r="UCD52" s="539"/>
      <c r="UCE52" s="539"/>
      <c r="UCF52" s="539"/>
      <c r="UCG52" s="539"/>
      <c r="UCH52" s="539"/>
      <c r="UCI52" s="539"/>
      <c r="UCJ52" s="539"/>
      <c r="UCK52" s="539"/>
      <c r="UCL52" s="539"/>
      <c r="UCM52" s="539"/>
      <c r="UCN52" s="539"/>
      <c r="UCO52" s="539"/>
      <c r="UCP52" s="539"/>
      <c r="UCQ52" s="539"/>
      <c r="UCR52" s="539"/>
      <c r="UCS52" s="539"/>
      <c r="UCT52" s="539"/>
      <c r="UCU52" s="539"/>
      <c r="UCV52" s="539"/>
      <c r="UCW52" s="539"/>
      <c r="UCX52" s="539"/>
      <c r="UCY52" s="539"/>
      <c r="UCZ52" s="539"/>
      <c r="UDA52" s="539"/>
      <c r="UDB52" s="539"/>
      <c r="UDC52" s="539"/>
      <c r="UDD52" s="539"/>
      <c r="UDE52" s="539"/>
      <c r="UDF52" s="539"/>
      <c r="UDG52" s="539"/>
      <c r="UDH52" s="539"/>
      <c r="UDI52" s="539"/>
      <c r="UDJ52" s="539"/>
      <c r="UDK52" s="539"/>
      <c r="UDL52" s="539"/>
      <c r="UDM52" s="539"/>
      <c r="UDN52" s="539"/>
      <c r="UDO52" s="539"/>
      <c r="UDP52" s="539"/>
      <c r="UDQ52" s="539"/>
      <c r="UDR52" s="539"/>
      <c r="UDS52" s="539"/>
      <c r="UDT52" s="539"/>
      <c r="UDU52" s="539"/>
      <c r="UDV52" s="539"/>
      <c r="UDW52" s="539"/>
      <c r="UDX52" s="539"/>
      <c r="UDY52" s="539"/>
      <c r="UDZ52" s="539"/>
      <c r="UEA52" s="539"/>
      <c r="UEB52" s="539"/>
      <c r="UEC52" s="539"/>
      <c r="UED52" s="539"/>
      <c r="UEE52" s="539"/>
      <c r="UEF52" s="539"/>
      <c r="UEG52" s="539"/>
      <c r="UEH52" s="539"/>
      <c r="UEI52" s="539"/>
      <c r="UEJ52" s="539"/>
      <c r="UEK52" s="539"/>
      <c r="UEL52" s="539"/>
      <c r="UEM52" s="539"/>
      <c r="UEN52" s="539"/>
      <c r="UEO52" s="539"/>
      <c r="UEP52" s="539"/>
      <c r="UEQ52" s="539"/>
      <c r="UER52" s="539"/>
      <c r="UES52" s="539"/>
      <c r="UET52" s="539"/>
      <c r="UEU52" s="539"/>
      <c r="UEV52" s="539"/>
      <c r="UEW52" s="539"/>
      <c r="UEX52" s="539"/>
      <c r="UEY52" s="539"/>
      <c r="UEZ52" s="539"/>
      <c r="UFA52" s="539"/>
      <c r="UFB52" s="539"/>
      <c r="UFC52" s="539"/>
      <c r="UFD52" s="539"/>
      <c r="UFE52" s="539"/>
      <c r="UFF52" s="539"/>
      <c r="UFG52" s="539"/>
      <c r="UFH52" s="539"/>
      <c r="UFI52" s="539"/>
      <c r="UFJ52" s="539"/>
      <c r="UFK52" s="539"/>
      <c r="UFL52" s="539"/>
      <c r="UFM52" s="539"/>
      <c r="UFN52" s="539"/>
      <c r="UFO52" s="539"/>
      <c r="UFP52" s="539"/>
      <c r="UFQ52" s="539"/>
      <c r="UFR52" s="539"/>
      <c r="UFS52" s="539"/>
      <c r="UFT52" s="539"/>
      <c r="UFU52" s="539"/>
      <c r="UFV52" s="539"/>
      <c r="UFW52" s="539"/>
      <c r="UFX52" s="539"/>
      <c r="UFY52" s="539"/>
      <c r="UFZ52" s="539"/>
      <c r="UGA52" s="539"/>
      <c r="UGB52" s="539"/>
      <c r="UGC52" s="539"/>
      <c r="UGD52" s="539"/>
      <c r="UGE52" s="539"/>
      <c r="UGF52" s="539"/>
      <c r="UGG52" s="539"/>
      <c r="UGH52" s="539"/>
      <c r="UGI52" s="539"/>
      <c r="UGJ52" s="539"/>
      <c r="UGK52" s="539"/>
      <c r="UGL52" s="539"/>
      <c r="UGM52" s="539"/>
      <c r="UGN52" s="539"/>
      <c r="UGO52" s="539"/>
      <c r="UGP52" s="539"/>
      <c r="UGQ52" s="539"/>
      <c r="UGR52" s="539"/>
      <c r="UGS52" s="539"/>
      <c r="UGT52" s="539"/>
      <c r="UGU52" s="539"/>
      <c r="UGV52" s="539"/>
      <c r="UGW52" s="539"/>
      <c r="UGX52" s="539"/>
      <c r="UGY52" s="539"/>
      <c r="UGZ52" s="539"/>
      <c r="UHA52" s="539"/>
      <c r="UHB52" s="539"/>
      <c r="UHC52" s="539"/>
      <c r="UHD52" s="539"/>
      <c r="UHE52" s="539"/>
      <c r="UHF52" s="539"/>
      <c r="UHG52" s="539"/>
      <c r="UHH52" s="539"/>
      <c r="UHI52" s="539"/>
      <c r="UHJ52" s="539"/>
      <c r="UHK52" s="539"/>
      <c r="UHL52" s="539"/>
      <c r="UHM52" s="539"/>
      <c r="UHN52" s="539"/>
      <c r="UHO52" s="539"/>
      <c r="UHP52" s="539"/>
      <c r="UHQ52" s="539"/>
      <c r="UHR52" s="539"/>
      <c r="UHS52" s="539"/>
      <c r="UHT52" s="539"/>
      <c r="UHU52" s="539"/>
      <c r="UHV52" s="539"/>
      <c r="UHW52" s="539"/>
      <c r="UHX52" s="539"/>
      <c r="UHY52" s="539"/>
      <c r="UHZ52" s="539"/>
      <c r="UIA52" s="539"/>
      <c r="UIB52" s="539"/>
      <c r="UIC52" s="539"/>
      <c r="UID52" s="539"/>
      <c r="UIE52" s="539"/>
      <c r="UIF52" s="539"/>
      <c r="UIG52" s="539"/>
      <c r="UIH52" s="539"/>
      <c r="UII52" s="539"/>
      <c r="UIJ52" s="539"/>
      <c r="UIK52" s="539"/>
      <c r="UIL52" s="539"/>
      <c r="UIM52" s="539"/>
      <c r="UIN52" s="539"/>
      <c r="UIO52" s="539"/>
      <c r="UIP52" s="539"/>
      <c r="UIQ52" s="539"/>
      <c r="UIR52" s="539"/>
      <c r="UIS52" s="539"/>
      <c r="UIT52" s="539"/>
      <c r="UIU52" s="539"/>
      <c r="UIV52" s="539"/>
      <c r="UIW52" s="539"/>
      <c r="UIX52" s="539"/>
      <c r="UIY52" s="539"/>
      <c r="UIZ52" s="539"/>
      <c r="UJA52" s="539"/>
      <c r="UJB52" s="539"/>
      <c r="UJC52" s="539"/>
      <c r="UJD52" s="539"/>
      <c r="UJE52" s="539"/>
      <c r="UJF52" s="539"/>
      <c r="UJG52" s="539"/>
      <c r="UJH52" s="539"/>
      <c r="UJI52" s="539"/>
      <c r="UJJ52" s="539"/>
      <c r="UJK52" s="539"/>
      <c r="UJL52" s="539"/>
      <c r="UJM52" s="539"/>
      <c r="UJN52" s="539"/>
      <c r="UJO52" s="539"/>
      <c r="UJP52" s="539"/>
      <c r="UJQ52" s="539"/>
      <c r="UJR52" s="539"/>
      <c r="UJS52" s="539"/>
      <c r="UJT52" s="539"/>
      <c r="UJU52" s="539"/>
      <c r="UJV52" s="539"/>
      <c r="UJW52" s="539"/>
      <c r="UJX52" s="539"/>
      <c r="UJY52" s="539"/>
      <c r="UJZ52" s="539"/>
      <c r="UKA52" s="539"/>
      <c r="UKB52" s="539"/>
      <c r="UKC52" s="539"/>
      <c r="UKD52" s="539"/>
      <c r="UKE52" s="539"/>
      <c r="UKF52" s="539"/>
      <c r="UKG52" s="539"/>
      <c r="UKH52" s="539"/>
      <c r="UKI52" s="539"/>
      <c r="UKJ52" s="539"/>
      <c r="UKK52" s="539"/>
      <c r="UKL52" s="539"/>
      <c r="UKM52" s="539"/>
      <c r="UKN52" s="539"/>
      <c r="UKO52" s="539"/>
      <c r="UKP52" s="539"/>
      <c r="UKQ52" s="539"/>
      <c r="UKR52" s="539"/>
      <c r="UKS52" s="539"/>
      <c r="UKT52" s="539"/>
      <c r="UKU52" s="539"/>
      <c r="UKV52" s="539"/>
      <c r="UKW52" s="539"/>
      <c r="UKX52" s="539"/>
      <c r="UKY52" s="539"/>
      <c r="UKZ52" s="539"/>
      <c r="ULA52" s="539"/>
      <c r="ULB52" s="539"/>
      <c r="ULC52" s="539"/>
      <c r="ULD52" s="539"/>
      <c r="ULE52" s="539"/>
      <c r="ULF52" s="539"/>
      <c r="ULG52" s="539"/>
      <c r="ULH52" s="539"/>
      <c r="ULI52" s="539"/>
      <c r="ULJ52" s="539"/>
      <c r="ULK52" s="539"/>
      <c r="ULL52" s="539"/>
      <c r="ULM52" s="539"/>
      <c r="ULN52" s="539"/>
      <c r="ULO52" s="539"/>
      <c r="ULP52" s="539"/>
      <c r="ULQ52" s="539"/>
      <c r="ULR52" s="539"/>
      <c r="ULS52" s="539"/>
      <c r="ULT52" s="539"/>
      <c r="ULU52" s="539"/>
      <c r="ULV52" s="539"/>
      <c r="ULW52" s="539"/>
      <c r="ULX52" s="539"/>
      <c r="ULY52" s="539"/>
      <c r="ULZ52" s="539"/>
      <c r="UMA52" s="539"/>
      <c r="UMB52" s="539"/>
      <c r="UMC52" s="539"/>
      <c r="UMD52" s="539"/>
      <c r="UME52" s="539"/>
      <c r="UMF52" s="539"/>
      <c r="UMG52" s="539"/>
      <c r="UMH52" s="539"/>
      <c r="UMI52" s="539"/>
      <c r="UMJ52" s="539"/>
      <c r="UMK52" s="539"/>
      <c r="UML52" s="539"/>
      <c r="UMM52" s="539"/>
      <c r="UMN52" s="539"/>
      <c r="UMO52" s="539"/>
      <c r="UMP52" s="539"/>
      <c r="UMQ52" s="539"/>
      <c r="UMR52" s="539"/>
      <c r="UMS52" s="539"/>
      <c r="UMT52" s="539"/>
      <c r="UMU52" s="539"/>
      <c r="UMV52" s="539"/>
      <c r="UMW52" s="539"/>
      <c r="UMX52" s="539"/>
      <c r="UMY52" s="539"/>
      <c r="UMZ52" s="539"/>
      <c r="UNA52" s="539"/>
      <c r="UNB52" s="539"/>
      <c r="UNC52" s="539"/>
      <c r="UND52" s="539"/>
      <c r="UNE52" s="539"/>
      <c r="UNF52" s="539"/>
      <c r="UNG52" s="539"/>
      <c r="UNH52" s="539"/>
      <c r="UNI52" s="539"/>
      <c r="UNJ52" s="539"/>
      <c r="UNK52" s="539"/>
      <c r="UNL52" s="539"/>
      <c r="UNM52" s="539"/>
      <c r="UNN52" s="539"/>
      <c r="UNO52" s="539"/>
      <c r="UNP52" s="539"/>
      <c r="UNQ52" s="539"/>
      <c r="UNR52" s="539"/>
      <c r="UNS52" s="539"/>
      <c r="UNT52" s="539"/>
      <c r="UNU52" s="539"/>
      <c r="UNV52" s="539"/>
      <c r="UNW52" s="539"/>
      <c r="UNX52" s="539"/>
      <c r="UNY52" s="539"/>
      <c r="UNZ52" s="539"/>
      <c r="UOA52" s="539"/>
      <c r="UOB52" s="539"/>
      <c r="UOC52" s="539"/>
      <c r="UOD52" s="539"/>
      <c r="UOE52" s="539"/>
      <c r="UOF52" s="539"/>
      <c r="UOG52" s="539"/>
      <c r="UOH52" s="539"/>
      <c r="UOI52" s="539"/>
      <c r="UOJ52" s="539"/>
      <c r="UOK52" s="539"/>
      <c r="UOL52" s="539"/>
      <c r="UOM52" s="539"/>
      <c r="UON52" s="539"/>
      <c r="UOO52" s="539"/>
      <c r="UOP52" s="539"/>
      <c r="UOQ52" s="539"/>
      <c r="UOR52" s="539"/>
      <c r="UOS52" s="539"/>
      <c r="UOT52" s="539"/>
      <c r="UOU52" s="539"/>
      <c r="UOV52" s="539"/>
      <c r="UOW52" s="539"/>
      <c r="UOX52" s="539"/>
      <c r="UOY52" s="539"/>
      <c r="UOZ52" s="539"/>
      <c r="UPA52" s="539"/>
      <c r="UPB52" s="539"/>
      <c r="UPC52" s="539"/>
      <c r="UPD52" s="539"/>
      <c r="UPE52" s="539"/>
      <c r="UPF52" s="539"/>
      <c r="UPG52" s="539"/>
      <c r="UPH52" s="539"/>
      <c r="UPI52" s="539"/>
      <c r="UPJ52" s="539"/>
      <c r="UPK52" s="539"/>
      <c r="UPL52" s="539"/>
      <c r="UPM52" s="539"/>
      <c r="UPN52" s="539"/>
      <c r="UPO52" s="539"/>
      <c r="UPP52" s="539"/>
      <c r="UPQ52" s="539"/>
      <c r="UPR52" s="539"/>
      <c r="UPS52" s="539"/>
      <c r="UPT52" s="539"/>
      <c r="UPU52" s="539"/>
      <c r="UPV52" s="539"/>
      <c r="UPW52" s="539"/>
      <c r="UPX52" s="539"/>
      <c r="UPY52" s="539"/>
      <c r="UPZ52" s="539"/>
      <c r="UQA52" s="539"/>
      <c r="UQB52" s="539"/>
      <c r="UQC52" s="539"/>
      <c r="UQD52" s="539"/>
      <c r="UQE52" s="539"/>
      <c r="UQF52" s="539"/>
      <c r="UQG52" s="539"/>
      <c r="UQH52" s="539"/>
      <c r="UQI52" s="539"/>
      <c r="UQJ52" s="539"/>
      <c r="UQK52" s="539"/>
      <c r="UQL52" s="539"/>
      <c r="UQM52" s="539"/>
      <c r="UQN52" s="539"/>
      <c r="UQO52" s="539"/>
      <c r="UQP52" s="539"/>
      <c r="UQQ52" s="539"/>
      <c r="UQR52" s="539"/>
      <c r="UQS52" s="539"/>
      <c r="UQT52" s="539"/>
      <c r="UQU52" s="539"/>
      <c r="UQV52" s="539"/>
      <c r="UQW52" s="539"/>
      <c r="UQX52" s="539"/>
      <c r="UQY52" s="539"/>
      <c r="UQZ52" s="539"/>
      <c r="URA52" s="539"/>
      <c r="URB52" s="539"/>
      <c r="URC52" s="539"/>
      <c r="URD52" s="539"/>
      <c r="URE52" s="539"/>
      <c r="URF52" s="539"/>
      <c r="URG52" s="539"/>
      <c r="URH52" s="539"/>
      <c r="URI52" s="539"/>
      <c r="URJ52" s="539"/>
      <c r="URK52" s="539"/>
      <c r="URL52" s="539"/>
      <c r="URM52" s="539"/>
      <c r="URN52" s="539"/>
      <c r="URO52" s="539"/>
      <c r="URP52" s="539"/>
      <c r="URQ52" s="539"/>
      <c r="URR52" s="539"/>
      <c r="URS52" s="539"/>
      <c r="URT52" s="539"/>
      <c r="URU52" s="539"/>
      <c r="URV52" s="539"/>
      <c r="URW52" s="539"/>
      <c r="URX52" s="539"/>
      <c r="URY52" s="539"/>
      <c r="URZ52" s="539"/>
      <c r="USA52" s="539"/>
      <c r="USB52" s="539"/>
      <c r="USC52" s="539"/>
      <c r="USD52" s="539"/>
      <c r="USE52" s="539"/>
      <c r="USF52" s="539"/>
      <c r="USG52" s="539"/>
      <c r="USH52" s="539"/>
      <c r="USI52" s="539"/>
      <c r="USJ52" s="539"/>
      <c r="USK52" s="539"/>
      <c r="USL52" s="539"/>
      <c r="USM52" s="539"/>
      <c r="USN52" s="539"/>
      <c r="USO52" s="539"/>
      <c r="USP52" s="539"/>
      <c r="USQ52" s="539"/>
      <c r="USR52" s="539"/>
      <c r="USS52" s="539"/>
      <c r="UST52" s="539"/>
      <c r="USU52" s="539"/>
      <c r="USV52" s="539"/>
      <c r="USW52" s="539"/>
      <c r="USX52" s="539"/>
      <c r="USY52" s="539"/>
      <c r="USZ52" s="539"/>
      <c r="UTA52" s="539"/>
      <c r="UTB52" s="539"/>
      <c r="UTC52" s="539"/>
      <c r="UTD52" s="539"/>
      <c r="UTE52" s="539"/>
      <c r="UTF52" s="539"/>
      <c r="UTG52" s="539"/>
      <c r="UTH52" s="539"/>
      <c r="UTI52" s="539"/>
      <c r="UTJ52" s="539"/>
      <c r="UTK52" s="539"/>
      <c r="UTL52" s="539"/>
      <c r="UTM52" s="539"/>
      <c r="UTN52" s="539"/>
      <c r="UTO52" s="539"/>
      <c r="UTP52" s="539"/>
      <c r="UTQ52" s="539"/>
      <c r="UTR52" s="539"/>
      <c r="UTS52" s="539"/>
      <c r="UTT52" s="539"/>
      <c r="UTU52" s="539"/>
      <c r="UTV52" s="539"/>
      <c r="UTW52" s="539"/>
      <c r="UTX52" s="539"/>
      <c r="UTY52" s="539"/>
      <c r="UTZ52" s="539"/>
      <c r="UUA52" s="539"/>
      <c r="UUB52" s="539"/>
      <c r="UUC52" s="539"/>
      <c r="UUD52" s="539"/>
      <c r="UUE52" s="539"/>
      <c r="UUF52" s="539"/>
      <c r="UUG52" s="539"/>
      <c r="UUH52" s="539"/>
      <c r="UUI52" s="539"/>
      <c r="UUJ52" s="539"/>
      <c r="UUK52" s="539"/>
      <c r="UUL52" s="539"/>
      <c r="UUM52" s="539"/>
      <c r="UUN52" s="539"/>
      <c r="UUO52" s="539"/>
      <c r="UUP52" s="539"/>
      <c r="UUQ52" s="539"/>
      <c r="UUR52" s="539"/>
      <c r="UUS52" s="539"/>
      <c r="UUT52" s="539"/>
      <c r="UUU52" s="539"/>
      <c r="UUV52" s="539"/>
      <c r="UUW52" s="539"/>
      <c r="UUX52" s="539"/>
      <c r="UUY52" s="539"/>
      <c r="UUZ52" s="539"/>
      <c r="UVA52" s="539"/>
      <c r="UVB52" s="539"/>
      <c r="UVC52" s="539"/>
      <c r="UVD52" s="539"/>
      <c r="UVE52" s="539"/>
      <c r="UVF52" s="539"/>
      <c r="UVG52" s="539"/>
      <c r="UVH52" s="539"/>
      <c r="UVI52" s="539"/>
      <c r="UVJ52" s="539"/>
      <c r="UVK52" s="539"/>
      <c r="UVL52" s="539"/>
      <c r="UVM52" s="539"/>
      <c r="UVN52" s="539"/>
      <c r="UVO52" s="539"/>
      <c r="UVP52" s="539"/>
      <c r="UVQ52" s="539"/>
      <c r="UVR52" s="539"/>
      <c r="UVS52" s="539"/>
      <c r="UVT52" s="539"/>
      <c r="UVU52" s="539"/>
      <c r="UVV52" s="539"/>
      <c r="UVW52" s="539"/>
      <c r="UVX52" s="539"/>
      <c r="UVY52" s="539"/>
      <c r="UVZ52" s="539"/>
      <c r="UWA52" s="539"/>
      <c r="UWB52" s="539"/>
      <c r="UWC52" s="539"/>
      <c r="UWD52" s="539"/>
      <c r="UWE52" s="539"/>
      <c r="UWF52" s="539"/>
      <c r="UWG52" s="539"/>
      <c r="UWH52" s="539"/>
      <c r="UWI52" s="539"/>
      <c r="UWJ52" s="539"/>
      <c r="UWK52" s="539"/>
      <c r="UWL52" s="539"/>
      <c r="UWM52" s="539"/>
      <c r="UWN52" s="539"/>
      <c r="UWO52" s="539"/>
      <c r="UWP52" s="539"/>
      <c r="UWQ52" s="539"/>
      <c r="UWR52" s="539"/>
      <c r="UWS52" s="539"/>
      <c r="UWT52" s="539"/>
      <c r="UWU52" s="539"/>
      <c r="UWV52" s="539"/>
      <c r="UWW52" s="539"/>
      <c r="UWX52" s="539"/>
      <c r="UWY52" s="539"/>
      <c r="UWZ52" s="539"/>
      <c r="UXA52" s="539"/>
      <c r="UXB52" s="539"/>
      <c r="UXC52" s="539"/>
      <c r="UXD52" s="539"/>
      <c r="UXE52" s="539"/>
      <c r="UXF52" s="539"/>
      <c r="UXG52" s="539"/>
      <c r="UXH52" s="539"/>
      <c r="UXI52" s="539"/>
      <c r="UXJ52" s="539"/>
      <c r="UXK52" s="539"/>
      <c r="UXL52" s="539"/>
      <c r="UXM52" s="539"/>
      <c r="UXN52" s="539"/>
      <c r="UXO52" s="539"/>
      <c r="UXP52" s="539"/>
      <c r="UXQ52" s="539"/>
      <c r="UXR52" s="539"/>
      <c r="UXS52" s="539"/>
      <c r="UXT52" s="539"/>
      <c r="UXU52" s="539"/>
      <c r="UXV52" s="539"/>
      <c r="UXW52" s="539"/>
      <c r="UXX52" s="539"/>
      <c r="UXY52" s="539"/>
      <c r="UXZ52" s="539"/>
      <c r="UYA52" s="539"/>
      <c r="UYB52" s="539"/>
      <c r="UYC52" s="539"/>
      <c r="UYD52" s="539"/>
      <c r="UYE52" s="539"/>
      <c r="UYF52" s="539"/>
      <c r="UYG52" s="539"/>
      <c r="UYH52" s="539"/>
      <c r="UYI52" s="539"/>
      <c r="UYJ52" s="539"/>
      <c r="UYK52" s="539"/>
      <c r="UYL52" s="539"/>
      <c r="UYM52" s="539"/>
      <c r="UYN52" s="539"/>
      <c r="UYO52" s="539"/>
      <c r="UYP52" s="539"/>
      <c r="UYQ52" s="539"/>
      <c r="UYR52" s="539"/>
      <c r="UYS52" s="539"/>
      <c r="UYT52" s="539"/>
      <c r="UYU52" s="539"/>
      <c r="UYV52" s="539"/>
      <c r="UYW52" s="539"/>
      <c r="UYX52" s="539"/>
      <c r="UYY52" s="539"/>
      <c r="UYZ52" s="539"/>
      <c r="UZA52" s="539"/>
      <c r="UZB52" s="539"/>
      <c r="UZC52" s="539"/>
      <c r="UZD52" s="539"/>
      <c r="UZE52" s="539"/>
      <c r="UZF52" s="539"/>
      <c r="UZG52" s="539"/>
      <c r="UZH52" s="539"/>
      <c r="UZI52" s="539"/>
      <c r="UZJ52" s="539"/>
      <c r="UZK52" s="539"/>
      <c r="UZL52" s="539"/>
      <c r="UZM52" s="539"/>
      <c r="UZN52" s="539"/>
      <c r="UZO52" s="539"/>
      <c r="UZP52" s="539"/>
      <c r="UZQ52" s="539"/>
      <c r="UZR52" s="539"/>
      <c r="UZS52" s="539"/>
      <c r="UZT52" s="539"/>
      <c r="UZU52" s="539"/>
      <c r="UZV52" s="539"/>
      <c r="UZW52" s="539"/>
      <c r="UZX52" s="539"/>
      <c r="UZY52" s="539"/>
      <c r="UZZ52" s="539"/>
      <c r="VAA52" s="539"/>
      <c r="VAB52" s="539"/>
      <c r="VAC52" s="539"/>
      <c r="VAD52" s="539"/>
      <c r="VAE52" s="539"/>
      <c r="VAF52" s="539"/>
      <c r="VAG52" s="539"/>
      <c r="VAH52" s="539"/>
      <c r="VAI52" s="539"/>
      <c r="VAJ52" s="539"/>
      <c r="VAK52" s="539"/>
      <c r="VAL52" s="539"/>
      <c r="VAM52" s="539"/>
      <c r="VAN52" s="539"/>
      <c r="VAO52" s="539"/>
      <c r="VAP52" s="539"/>
      <c r="VAQ52" s="539"/>
      <c r="VAR52" s="539"/>
      <c r="VAS52" s="539"/>
      <c r="VAT52" s="539"/>
      <c r="VAU52" s="539"/>
      <c r="VAV52" s="539"/>
      <c r="VAW52" s="539"/>
      <c r="VAX52" s="539"/>
      <c r="VAY52" s="539"/>
      <c r="VAZ52" s="539"/>
      <c r="VBA52" s="539"/>
      <c r="VBB52" s="539"/>
      <c r="VBC52" s="539"/>
      <c r="VBD52" s="539"/>
      <c r="VBE52" s="539"/>
      <c r="VBF52" s="539"/>
      <c r="VBG52" s="539"/>
      <c r="VBH52" s="539"/>
      <c r="VBI52" s="539"/>
      <c r="VBJ52" s="539"/>
      <c r="VBK52" s="539"/>
      <c r="VBL52" s="539"/>
      <c r="VBM52" s="539"/>
      <c r="VBN52" s="539"/>
      <c r="VBO52" s="539"/>
      <c r="VBP52" s="539"/>
      <c r="VBQ52" s="539"/>
      <c r="VBR52" s="539"/>
      <c r="VBS52" s="539"/>
      <c r="VBT52" s="539"/>
      <c r="VBU52" s="539"/>
      <c r="VBV52" s="539"/>
      <c r="VBW52" s="539"/>
      <c r="VBX52" s="539"/>
      <c r="VBY52" s="539"/>
      <c r="VBZ52" s="539"/>
      <c r="VCA52" s="539"/>
      <c r="VCB52" s="539"/>
      <c r="VCC52" s="539"/>
      <c r="VCD52" s="539"/>
      <c r="VCE52" s="539"/>
      <c r="VCF52" s="539"/>
      <c r="VCG52" s="539"/>
      <c r="VCH52" s="539"/>
      <c r="VCI52" s="539"/>
      <c r="VCJ52" s="539"/>
      <c r="VCK52" s="539"/>
      <c r="VCL52" s="539"/>
      <c r="VCM52" s="539"/>
      <c r="VCN52" s="539"/>
      <c r="VCO52" s="539"/>
      <c r="VCP52" s="539"/>
      <c r="VCQ52" s="539"/>
      <c r="VCR52" s="539"/>
      <c r="VCS52" s="539"/>
      <c r="VCT52" s="539"/>
      <c r="VCU52" s="539"/>
      <c r="VCV52" s="539"/>
      <c r="VCW52" s="539"/>
      <c r="VCX52" s="539"/>
      <c r="VCY52" s="539"/>
      <c r="VCZ52" s="539"/>
      <c r="VDA52" s="539"/>
      <c r="VDB52" s="539"/>
      <c r="VDC52" s="539"/>
      <c r="VDD52" s="539"/>
      <c r="VDE52" s="539"/>
      <c r="VDF52" s="539"/>
      <c r="VDG52" s="539"/>
      <c r="VDH52" s="539"/>
      <c r="VDI52" s="539"/>
      <c r="VDJ52" s="539"/>
      <c r="VDK52" s="539"/>
      <c r="VDL52" s="539"/>
      <c r="VDM52" s="539"/>
      <c r="VDN52" s="539"/>
      <c r="VDO52" s="539"/>
      <c r="VDP52" s="539"/>
      <c r="VDQ52" s="539"/>
      <c r="VDR52" s="539"/>
      <c r="VDS52" s="539"/>
      <c r="VDT52" s="539"/>
      <c r="VDU52" s="539"/>
      <c r="VDV52" s="539"/>
      <c r="VDW52" s="539"/>
      <c r="VDX52" s="539"/>
      <c r="VDY52" s="539"/>
      <c r="VDZ52" s="539"/>
      <c r="VEA52" s="539"/>
      <c r="VEB52" s="539"/>
      <c r="VEC52" s="539"/>
      <c r="VED52" s="539"/>
      <c r="VEE52" s="539"/>
      <c r="VEF52" s="539"/>
      <c r="VEG52" s="539"/>
      <c r="VEH52" s="539"/>
      <c r="VEI52" s="539"/>
      <c r="VEJ52" s="539"/>
      <c r="VEK52" s="539"/>
      <c r="VEL52" s="539"/>
      <c r="VEM52" s="539"/>
      <c r="VEN52" s="539"/>
      <c r="VEO52" s="539"/>
      <c r="VEP52" s="539"/>
      <c r="VEQ52" s="539"/>
      <c r="VER52" s="539"/>
      <c r="VES52" s="539"/>
      <c r="VET52" s="539"/>
      <c r="VEU52" s="539"/>
      <c r="VEV52" s="539"/>
      <c r="VEW52" s="539"/>
      <c r="VEX52" s="539"/>
      <c r="VEY52" s="539"/>
      <c r="VEZ52" s="539"/>
      <c r="VFA52" s="539"/>
      <c r="VFB52" s="539"/>
      <c r="VFC52" s="539"/>
      <c r="VFD52" s="539"/>
      <c r="VFE52" s="539"/>
      <c r="VFF52" s="539"/>
      <c r="VFG52" s="539"/>
      <c r="VFH52" s="539"/>
      <c r="VFI52" s="539"/>
      <c r="VFJ52" s="539"/>
      <c r="VFK52" s="539"/>
      <c r="VFL52" s="539"/>
      <c r="VFM52" s="539"/>
      <c r="VFN52" s="539"/>
      <c r="VFO52" s="539"/>
      <c r="VFP52" s="539"/>
      <c r="VFQ52" s="539"/>
      <c r="VFR52" s="539"/>
      <c r="VFS52" s="539"/>
      <c r="VFT52" s="539"/>
      <c r="VFU52" s="539"/>
      <c r="VFV52" s="539"/>
      <c r="VFW52" s="539"/>
      <c r="VFX52" s="539"/>
      <c r="VFY52" s="539"/>
      <c r="VFZ52" s="539"/>
      <c r="VGA52" s="539"/>
      <c r="VGB52" s="539"/>
      <c r="VGC52" s="539"/>
      <c r="VGD52" s="539"/>
      <c r="VGE52" s="539"/>
      <c r="VGF52" s="539"/>
      <c r="VGG52" s="539"/>
      <c r="VGH52" s="539"/>
      <c r="VGI52" s="539"/>
      <c r="VGJ52" s="539"/>
      <c r="VGK52" s="539"/>
      <c r="VGL52" s="539"/>
      <c r="VGM52" s="539"/>
      <c r="VGN52" s="539"/>
      <c r="VGO52" s="539"/>
      <c r="VGP52" s="539"/>
      <c r="VGQ52" s="539"/>
      <c r="VGR52" s="539"/>
      <c r="VGS52" s="539"/>
      <c r="VGT52" s="539"/>
      <c r="VGU52" s="539"/>
      <c r="VGV52" s="539"/>
      <c r="VGW52" s="539"/>
      <c r="VGX52" s="539"/>
      <c r="VGY52" s="539"/>
      <c r="VGZ52" s="539"/>
      <c r="VHA52" s="539"/>
      <c r="VHB52" s="539"/>
      <c r="VHC52" s="539"/>
      <c r="VHD52" s="539"/>
      <c r="VHE52" s="539"/>
      <c r="VHF52" s="539"/>
      <c r="VHG52" s="539"/>
      <c r="VHH52" s="539"/>
      <c r="VHI52" s="539"/>
      <c r="VHJ52" s="539"/>
      <c r="VHK52" s="539"/>
      <c r="VHL52" s="539"/>
      <c r="VHM52" s="539"/>
      <c r="VHN52" s="539"/>
      <c r="VHO52" s="539"/>
      <c r="VHP52" s="539"/>
      <c r="VHQ52" s="539"/>
      <c r="VHR52" s="539"/>
      <c r="VHS52" s="539"/>
      <c r="VHT52" s="539"/>
      <c r="VHU52" s="539"/>
      <c r="VHV52" s="539"/>
      <c r="VHW52" s="539"/>
      <c r="VHX52" s="539"/>
      <c r="VHY52" s="539"/>
      <c r="VHZ52" s="539"/>
      <c r="VIA52" s="539"/>
      <c r="VIB52" s="539"/>
      <c r="VIC52" s="539"/>
      <c r="VID52" s="539"/>
      <c r="VIE52" s="539"/>
      <c r="VIF52" s="539"/>
      <c r="VIG52" s="539"/>
      <c r="VIH52" s="539"/>
      <c r="VII52" s="539"/>
      <c r="VIJ52" s="539"/>
      <c r="VIK52" s="539"/>
      <c r="VIL52" s="539"/>
      <c r="VIM52" s="539"/>
      <c r="VIN52" s="539"/>
      <c r="VIO52" s="539"/>
      <c r="VIP52" s="539"/>
      <c r="VIQ52" s="539"/>
      <c r="VIR52" s="539"/>
      <c r="VIS52" s="539"/>
      <c r="VIT52" s="539"/>
      <c r="VIU52" s="539"/>
      <c r="VIV52" s="539"/>
      <c r="VIW52" s="539"/>
      <c r="VIX52" s="539"/>
      <c r="VIY52" s="539"/>
      <c r="VIZ52" s="539"/>
      <c r="VJA52" s="539"/>
      <c r="VJB52" s="539"/>
      <c r="VJC52" s="539"/>
      <c r="VJD52" s="539"/>
      <c r="VJE52" s="539"/>
      <c r="VJF52" s="539"/>
      <c r="VJG52" s="539"/>
      <c r="VJH52" s="539"/>
      <c r="VJI52" s="539"/>
      <c r="VJJ52" s="539"/>
      <c r="VJK52" s="539"/>
      <c r="VJL52" s="539"/>
      <c r="VJM52" s="539"/>
      <c r="VJN52" s="539"/>
      <c r="VJO52" s="539"/>
      <c r="VJP52" s="539"/>
      <c r="VJQ52" s="539"/>
      <c r="VJR52" s="539"/>
      <c r="VJS52" s="539"/>
      <c r="VJT52" s="539"/>
      <c r="VJU52" s="539"/>
      <c r="VJV52" s="539"/>
      <c r="VJW52" s="539"/>
      <c r="VJX52" s="539"/>
      <c r="VJY52" s="539"/>
      <c r="VJZ52" s="539"/>
      <c r="VKA52" s="539"/>
      <c r="VKB52" s="539"/>
      <c r="VKC52" s="539"/>
      <c r="VKD52" s="539"/>
      <c r="VKE52" s="539"/>
      <c r="VKF52" s="539"/>
      <c r="VKG52" s="539"/>
      <c r="VKH52" s="539"/>
      <c r="VKI52" s="539"/>
      <c r="VKJ52" s="539"/>
      <c r="VKK52" s="539"/>
      <c r="VKL52" s="539"/>
      <c r="VKM52" s="539"/>
      <c r="VKN52" s="539"/>
      <c r="VKO52" s="539"/>
      <c r="VKP52" s="539"/>
      <c r="VKQ52" s="539"/>
      <c r="VKR52" s="539"/>
      <c r="VKS52" s="539"/>
      <c r="VKT52" s="539"/>
      <c r="VKU52" s="539"/>
      <c r="VKV52" s="539"/>
      <c r="VKW52" s="539"/>
      <c r="VKX52" s="539"/>
      <c r="VKY52" s="539"/>
      <c r="VKZ52" s="539"/>
      <c r="VLA52" s="539"/>
      <c r="VLB52" s="539"/>
      <c r="VLC52" s="539"/>
      <c r="VLD52" s="539"/>
      <c r="VLE52" s="539"/>
      <c r="VLF52" s="539"/>
      <c r="VLG52" s="539"/>
      <c r="VLH52" s="539"/>
      <c r="VLI52" s="539"/>
      <c r="VLJ52" s="539"/>
      <c r="VLK52" s="539"/>
      <c r="VLL52" s="539"/>
      <c r="VLM52" s="539"/>
      <c r="VLN52" s="539"/>
      <c r="VLO52" s="539"/>
      <c r="VLP52" s="539"/>
      <c r="VLQ52" s="539"/>
      <c r="VLR52" s="539"/>
      <c r="VLS52" s="539"/>
      <c r="VLT52" s="539"/>
      <c r="VLU52" s="539"/>
      <c r="VLV52" s="539"/>
      <c r="VLW52" s="539"/>
      <c r="VLX52" s="539"/>
      <c r="VLY52" s="539"/>
      <c r="VLZ52" s="539"/>
      <c r="VMA52" s="539"/>
      <c r="VMB52" s="539"/>
      <c r="VMC52" s="539"/>
      <c r="VMD52" s="539"/>
      <c r="VME52" s="539"/>
      <c r="VMF52" s="539"/>
      <c r="VMG52" s="539"/>
      <c r="VMH52" s="539"/>
      <c r="VMI52" s="539"/>
      <c r="VMJ52" s="539"/>
      <c r="VMK52" s="539"/>
      <c r="VML52" s="539"/>
      <c r="VMM52" s="539"/>
      <c r="VMN52" s="539"/>
      <c r="VMO52" s="539"/>
      <c r="VMP52" s="539"/>
      <c r="VMQ52" s="539"/>
      <c r="VMR52" s="539"/>
      <c r="VMS52" s="539"/>
      <c r="VMT52" s="539"/>
      <c r="VMU52" s="539"/>
      <c r="VMV52" s="539"/>
      <c r="VMW52" s="539"/>
      <c r="VMX52" s="539"/>
      <c r="VMY52" s="539"/>
      <c r="VMZ52" s="539"/>
      <c r="VNA52" s="539"/>
      <c r="VNB52" s="539"/>
      <c r="VNC52" s="539"/>
      <c r="VND52" s="539"/>
      <c r="VNE52" s="539"/>
      <c r="VNF52" s="539"/>
      <c r="VNG52" s="539"/>
      <c r="VNH52" s="539"/>
      <c r="VNI52" s="539"/>
      <c r="VNJ52" s="539"/>
      <c r="VNK52" s="539"/>
      <c r="VNL52" s="539"/>
      <c r="VNM52" s="539"/>
      <c r="VNN52" s="539"/>
      <c r="VNO52" s="539"/>
      <c r="VNP52" s="539"/>
      <c r="VNQ52" s="539"/>
      <c r="VNR52" s="539"/>
      <c r="VNS52" s="539"/>
      <c r="VNT52" s="539"/>
      <c r="VNU52" s="539"/>
      <c r="VNV52" s="539"/>
      <c r="VNW52" s="539"/>
      <c r="VNX52" s="539"/>
      <c r="VNY52" s="539"/>
      <c r="VNZ52" s="539"/>
      <c r="VOA52" s="539"/>
      <c r="VOB52" s="539"/>
      <c r="VOC52" s="539"/>
      <c r="VOD52" s="539"/>
      <c r="VOE52" s="539"/>
      <c r="VOF52" s="539"/>
      <c r="VOG52" s="539"/>
      <c r="VOH52" s="539"/>
      <c r="VOI52" s="539"/>
      <c r="VOJ52" s="539"/>
      <c r="VOK52" s="539"/>
      <c r="VOL52" s="539"/>
      <c r="VOM52" s="539"/>
      <c r="VON52" s="539"/>
      <c r="VOO52" s="539"/>
      <c r="VOP52" s="539"/>
      <c r="VOQ52" s="539"/>
      <c r="VOR52" s="539"/>
      <c r="VOS52" s="539"/>
      <c r="VOT52" s="539"/>
      <c r="VOU52" s="539"/>
      <c r="VOV52" s="539"/>
      <c r="VOW52" s="539"/>
      <c r="VOX52" s="539"/>
      <c r="VOY52" s="539"/>
      <c r="VOZ52" s="539"/>
      <c r="VPA52" s="539"/>
      <c r="VPB52" s="539"/>
      <c r="VPC52" s="539"/>
      <c r="VPD52" s="539"/>
      <c r="VPE52" s="539"/>
      <c r="VPF52" s="539"/>
      <c r="VPG52" s="539"/>
      <c r="VPH52" s="539"/>
      <c r="VPI52" s="539"/>
      <c r="VPJ52" s="539"/>
      <c r="VPK52" s="539"/>
      <c r="VPL52" s="539"/>
      <c r="VPM52" s="539"/>
      <c r="VPN52" s="539"/>
      <c r="VPO52" s="539"/>
      <c r="VPP52" s="539"/>
      <c r="VPQ52" s="539"/>
      <c r="VPR52" s="539"/>
      <c r="VPS52" s="539"/>
      <c r="VPT52" s="539"/>
      <c r="VPU52" s="539"/>
      <c r="VPV52" s="539"/>
      <c r="VPW52" s="539"/>
      <c r="VPX52" s="539"/>
      <c r="VPY52" s="539"/>
      <c r="VPZ52" s="539"/>
      <c r="VQA52" s="539"/>
      <c r="VQB52" s="539"/>
      <c r="VQC52" s="539"/>
      <c r="VQD52" s="539"/>
      <c r="VQE52" s="539"/>
      <c r="VQF52" s="539"/>
      <c r="VQG52" s="539"/>
      <c r="VQH52" s="539"/>
      <c r="VQI52" s="539"/>
      <c r="VQJ52" s="539"/>
      <c r="VQK52" s="539"/>
      <c r="VQL52" s="539"/>
      <c r="VQM52" s="539"/>
      <c r="VQN52" s="539"/>
      <c r="VQO52" s="539"/>
      <c r="VQP52" s="539"/>
      <c r="VQQ52" s="539"/>
      <c r="VQR52" s="539"/>
      <c r="VQS52" s="539"/>
      <c r="VQT52" s="539"/>
      <c r="VQU52" s="539"/>
      <c r="VQV52" s="539"/>
      <c r="VQW52" s="539"/>
      <c r="VQX52" s="539"/>
      <c r="VQY52" s="539"/>
      <c r="VQZ52" s="539"/>
      <c r="VRA52" s="539"/>
      <c r="VRB52" s="539"/>
      <c r="VRC52" s="539"/>
      <c r="VRD52" s="539"/>
      <c r="VRE52" s="539"/>
      <c r="VRF52" s="539"/>
      <c r="VRG52" s="539"/>
      <c r="VRH52" s="539"/>
      <c r="VRI52" s="539"/>
      <c r="VRJ52" s="539"/>
      <c r="VRK52" s="539"/>
      <c r="VRL52" s="539"/>
      <c r="VRM52" s="539"/>
      <c r="VRN52" s="539"/>
      <c r="VRO52" s="539"/>
      <c r="VRP52" s="539"/>
      <c r="VRQ52" s="539"/>
      <c r="VRR52" s="539"/>
      <c r="VRS52" s="539"/>
      <c r="VRT52" s="539"/>
      <c r="VRU52" s="539"/>
      <c r="VRV52" s="539"/>
      <c r="VRW52" s="539"/>
      <c r="VRX52" s="539"/>
      <c r="VRY52" s="539"/>
      <c r="VRZ52" s="539"/>
      <c r="VSA52" s="539"/>
      <c r="VSB52" s="539"/>
      <c r="VSC52" s="539"/>
      <c r="VSD52" s="539"/>
      <c r="VSE52" s="539"/>
      <c r="VSF52" s="539"/>
      <c r="VSG52" s="539"/>
      <c r="VSH52" s="539"/>
      <c r="VSI52" s="539"/>
      <c r="VSJ52" s="539"/>
      <c r="VSK52" s="539"/>
      <c r="VSL52" s="539"/>
      <c r="VSM52" s="539"/>
      <c r="VSN52" s="539"/>
      <c r="VSO52" s="539"/>
      <c r="VSP52" s="539"/>
      <c r="VSQ52" s="539"/>
      <c r="VSR52" s="539"/>
      <c r="VSS52" s="539"/>
      <c r="VST52" s="539"/>
      <c r="VSU52" s="539"/>
      <c r="VSV52" s="539"/>
      <c r="VSW52" s="539"/>
      <c r="VSX52" s="539"/>
      <c r="VSY52" s="539"/>
      <c r="VSZ52" s="539"/>
      <c r="VTA52" s="539"/>
      <c r="VTB52" s="539"/>
      <c r="VTC52" s="539"/>
      <c r="VTD52" s="539"/>
      <c r="VTE52" s="539"/>
      <c r="VTF52" s="539"/>
      <c r="VTG52" s="539"/>
      <c r="VTH52" s="539"/>
      <c r="VTI52" s="539"/>
      <c r="VTJ52" s="539"/>
      <c r="VTK52" s="539"/>
      <c r="VTL52" s="539"/>
      <c r="VTM52" s="539"/>
      <c r="VTN52" s="539"/>
      <c r="VTO52" s="539"/>
      <c r="VTP52" s="539"/>
      <c r="VTQ52" s="539"/>
      <c r="VTR52" s="539"/>
      <c r="VTS52" s="539"/>
      <c r="VTT52" s="539"/>
      <c r="VTU52" s="539"/>
      <c r="VTV52" s="539"/>
      <c r="VTW52" s="539"/>
      <c r="VTX52" s="539"/>
      <c r="VTY52" s="539"/>
      <c r="VTZ52" s="539"/>
      <c r="VUA52" s="539"/>
      <c r="VUB52" s="539"/>
      <c r="VUC52" s="539"/>
      <c r="VUD52" s="539"/>
      <c r="VUE52" s="539"/>
      <c r="VUF52" s="539"/>
      <c r="VUG52" s="539"/>
      <c r="VUH52" s="539"/>
      <c r="VUI52" s="539"/>
      <c r="VUJ52" s="539"/>
      <c r="VUK52" s="539"/>
      <c r="VUL52" s="539"/>
      <c r="VUM52" s="539"/>
      <c r="VUN52" s="539"/>
      <c r="VUO52" s="539"/>
      <c r="VUP52" s="539"/>
      <c r="VUQ52" s="539"/>
      <c r="VUR52" s="539"/>
      <c r="VUS52" s="539"/>
      <c r="VUT52" s="539"/>
      <c r="VUU52" s="539"/>
      <c r="VUV52" s="539"/>
      <c r="VUW52" s="539"/>
      <c r="VUX52" s="539"/>
      <c r="VUY52" s="539"/>
      <c r="VUZ52" s="539"/>
      <c r="VVA52" s="539"/>
      <c r="VVB52" s="539"/>
      <c r="VVC52" s="539"/>
      <c r="VVD52" s="539"/>
      <c r="VVE52" s="539"/>
      <c r="VVF52" s="539"/>
      <c r="VVG52" s="539"/>
      <c r="VVH52" s="539"/>
      <c r="VVI52" s="539"/>
      <c r="VVJ52" s="539"/>
      <c r="VVK52" s="539"/>
      <c r="VVL52" s="539"/>
      <c r="VVM52" s="539"/>
      <c r="VVN52" s="539"/>
      <c r="VVO52" s="539"/>
      <c r="VVP52" s="539"/>
      <c r="VVQ52" s="539"/>
      <c r="VVR52" s="539"/>
      <c r="VVS52" s="539"/>
      <c r="VVT52" s="539"/>
      <c r="VVU52" s="539"/>
      <c r="VVV52" s="539"/>
      <c r="VVW52" s="539"/>
      <c r="VVX52" s="539"/>
      <c r="VVY52" s="539"/>
      <c r="VVZ52" s="539"/>
      <c r="VWA52" s="539"/>
      <c r="VWB52" s="539"/>
      <c r="VWC52" s="539"/>
      <c r="VWD52" s="539"/>
      <c r="VWE52" s="539"/>
      <c r="VWF52" s="539"/>
      <c r="VWG52" s="539"/>
      <c r="VWH52" s="539"/>
      <c r="VWI52" s="539"/>
      <c r="VWJ52" s="539"/>
      <c r="VWK52" s="539"/>
      <c r="VWL52" s="539"/>
      <c r="VWM52" s="539"/>
      <c r="VWN52" s="539"/>
      <c r="VWO52" s="539"/>
      <c r="VWP52" s="539"/>
      <c r="VWQ52" s="539"/>
      <c r="VWR52" s="539"/>
      <c r="VWS52" s="539"/>
      <c r="VWT52" s="539"/>
      <c r="VWU52" s="539"/>
      <c r="VWV52" s="539"/>
      <c r="VWW52" s="539"/>
      <c r="VWX52" s="539"/>
      <c r="VWY52" s="539"/>
      <c r="VWZ52" s="539"/>
      <c r="VXA52" s="539"/>
      <c r="VXB52" s="539"/>
      <c r="VXC52" s="539"/>
      <c r="VXD52" s="539"/>
      <c r="VXE52" s="539"/>
      <c r="VXF52" s="539"/>
      <c r="VXG52" s="539"/>
      <c r="VXH52" s="539"/>
      <c r="VXI52" s="539"/>
      <c r="VXJ52" s="539"/>
      <c r="VXK52" s="539"/>
      <c r="VXL52" s="539"/>
      <c r="VXM52" s="539"/>
      <c r="VXN52" s="539"/>
      <c r="VXO52" s="539"/>
      <c r="VXP52" s="539"/>
      <c r="VXQ52" s="539"/>
      <c r="VXR52" s="539"/>
      <c r="VXS52" s="539"/>
      <c r="VXT52" s="539"/>
      <c r="VXU52" s="539"/>
      <c r="VXV52" s="539"/>
      <c r="VXW52" s="539"/>
      <c r="VXX52" s="539"/>
      <c r="VXY52" s="539"/>
      <c r="VXZ52" s="539"/>
      <c r="VYA52" s="539"/>
      <c r="VYB52" s="539"/>
      <c r="VYC52" s="539"/>
      <c r="VYD52" s="539"/>
      <c r="VYE52" s="539"/>
      <c r="VYF52" s="539"/>
      <c r="VYG52" s="539"/>
      <c r="VYH52" s="539"/>
      <c r="VYI52" s="539"/>
      <c r="VYJ52" s="539"/>
      <c r="VYK52" s="539"/>
      <c r="VYL52" s="539"/>
      <c r="VYM52" s="539"/>
      <c r="VYN52" s="539"/>
      <c r="VYO52" s="539"/>
      <c r="VYP52" s="539"/>
      <c r="VYQ52" s="539"/>
      <c r="VYR52" s="539"/>
      <c r="VYS52" s="539"/>
      <c r="VYT52" s="539"/>
      <c r="VYU52" s="539"/>
      <c r="VYV52" s="539"/>
      <c r="VYW52" s="539"/>
      <c r="VYX52" s="539"/>
      <c r="VYY52" s="539"/>
      <c r="VYZ52" s="539"/>
      <c r="VZA52" s="539"/>
      <c r="VZB52" s="539"/>
      <c r="VZC52" s="539"/>
      <c r="VZD52" s="539"/>
      <c r="VZE52" s="539"/>
      <c r="VZF52" s="539"/>
      <c r="VZG52" s="539"/>
      <c r="VZH52" s="539"/>
      <c r="VZI52" s="539"/>
      <c r="VZJ52" s="539"/>
      <c r="VZK52" s="539"/>
      <c r="VZL52" s="539"/>
      <c r="VZM52" s="539"/>
      <c r="VZN52" s="539"/>
      <c r="VZO52" s="539"/>
      <c r="VZP52" s="539"/>
      <c r="VZQ52" s="539"/>
      <c r="VZR52" s="539"/>
      <c r="VZS52" s="539"/>
      <c r="VZT52" s="539"/>
      <c r="VZU52" s="539"/>
      <c r="VZV52" s="539"/>
      <c r="VZW52" s="539"/>
      <c r="VZX52" s="539"/>
      <c r="VZY52" s="539"/>
      <c r="VZZ52" s="539"/>
      <c r="WAA52" s="539"/>
      <c r="WAB52" s="539"/>
      <c r="WAC52" s="539"/>
      <c r="WAD52" s="539"/>
      <c r="WAE52" s="539"/>
      <c r="WAF52" s="539"/>
      <c r="WAG52" s="539"/>
      <c r="WAH52" s="539"/>
      <c r="WAI52" s="539"/>
      <c r="WAJ52" s="539"/>
      <c r="WAK52" s="539"/>
      <c r="WAL52" s="539"/>
      <c r="WAM52" s="539"/>
      <c r="WAN52" s="539"/>
      <c r="WAO52" s="539"/>
      <c r="WAP52" s="539"/>
      <c r="WAQ52" s="539"/>
      <c r="WAR52" s="539"/>
      <c r="WAS52" s="539"/>
      <c r="WAT52" s="539"/>
      <c r="WAU52" s="539"/>
      <c r="WAV52" s="539"/>
      <c r="WAW52" s="539"/>
      <c r="WAX52" s="539"/>
      <c r="WAY52" s="539"/>
      <c r="WAZ52" s="539"/>
      <c r="WBA52" s="539"/>
      <c r="WBB52" s="539"/>
      <c r="WBC52" s="539"/>
      <c r="WBD52" s="539"/>
      <c r="WBE52" s="539"/>
      <c r="WBF52" s="539"/>
      <c r="WBG52" s="539"/>
      <c r="WBH52" s="539"/>
      <c r="WBI52" s="539"/>
      <c r="WBJ52" s="539"/>
      <c r="WBK52" s="539"/>
      <c r="WBL52" s="539"/>
      <c r="WBM52" s="539"/>
      <c r="WBN52" s="539"/>
      <c r="WBO52" s="539"/>
      <c r="WBP52" s="539"/>
      <c r="WBQ52" s="539"/>
      <c r="WBR52" s="539"/>
      <c r="WBS52" s="539"/>
      <c r="WBT52" s="539"/>
      <c r="WBU52" s="539"/>
      <c r="WBV52" s="539"/>
      <c r="WBW52" s="539"/>
      <c r="WBX52" s="539"/>
      <c r="WBY52" s="539"/>
      <c r="WBZ52" s="539"/>
      <c r="WCA52" s="539"/>
      <c r="WCB52" s="539"/>
      <c r="WCC52" s="539"/>
      <c r="WCD52" s="539"/>
      <c r="WCE52" s="539"/>
      <c r="WCF52" s="539"/>
      <c r="WCG52" s="539"/>
      <c r="WCH52" s="539"/>
      <c r="WCI52" s="539"/>
      <c r="WCJ52" s="539"/>
      <c r="WCK52" s="539"/>
      <c r="WCL52" s="539"/>
      <c r="WCM52" s="539"/>
      <c r="WCN52" s="539"/>
      <c r="WCO52" s="539"/>
      <c r="WCP52" s="539"/>
      <c r="WCQ52" s="539"/>
      <c r="WCR52" s="539"/>
      <c r="WCS52" s="539"/>
      <c r="WCT52" s="539"/>
      <c r="WCU52" s="539"/>
      <c r="WCV52" s="539"/>
      <c r="WCW52" s="539"/>
      <c r="WCX52" s="539"/>
      <c r="WCY52" s="539"/>
      <c r="WCZ52" s="539"/>
      <c r="WDA52" s="539"/>
      <c r="WDB52" s="539"/>
      <c r="WDC52" s="539"/>
      <c r="WDD52" s="539"/>
      <c r="WDE52" s="539"/>
      <c r="WDF52" s="539"/>
      <c r="WDG52" s="539"/>
      <c r="WDH52" s="539"/>
      <c r="WDI52" s="539"/>
      <c r="WDJ52" s="539"/>
      <c r="WDK52" s="539"/>
      <c r="WDL52" s="539"/>
      <c r="WDM52" s="539"/>
      <c r="WDN52" s="539"/>
      <c r="WDO52" s="539"/>
      <c r="WDP52" s="539"/>
      <c r="WDQ52" s="539"/>
      <c r="WDR52" s="539"/>
      <c r="WDS52" s="539"/>
      <c r="WDT52" s="539"/>
      <c r="WDU52" s="539"/>
      <c r="WDV52" s="539"/>
      <c r="WDW52" s="539"/>
      <c r="WDX52" s="539"/>
      <c r="WDY52" s="539"/>
      <c r="WDZ52" s="539"/>
      <c r="WEA52" s="539"/>
      <c r="WEB52" s="539"/>
      <c r="WEC52" s="539"/>
      <c r="WED52" s="539"/>
      <c r="WEE52" s="539"/>
      <c r="WEF52" s="539"/>
      <c r="WEG52" s="539"/>
      <c r="WEH52" s="539"/>
      <c r="WEI52" s="539"/>
      <c r="WEJ52" s="539"/>
      <c r="WEK52" s="539"/>
      <c r="WEL52" s="539"/>
      <c r="WEM52" s="539"/>
      <c r="WEN52" s="539"/>
      <c r="WEO52" s="539"/>
      <c r="WEP52" s="539"/>
      <c r="WEQ52" s="539"/>
      <c r="WER52" s="539"/>
      <c r="WES52" s="539"/>
      <c r="WET52" s="539"/>
      <c r="WEU52" s="539"/>
      <c r="WEV52" s="539"/>
      <c r="WEW52" s="539"/>
      <c r="WEX52" s="539"/>
      <c r="WEY52" s="539"/>
      <c r="WEZ52" s="539"/>
      <c r="WFA52" s="539"/>
      <c r="WFB52" s="539"/>
      <c r="WFC52" s="539"/>
      <c r="WFD52" s="539"/>
      <c r="WFE52" s="539"/>
      <c r="WFF52" s="539"/>
      <c r="WFG52" s="539"/>
      <c r="WFH52" s="539"/>
      <c r="WFI52" s="539"/>
      <c r="WFJ52" s="539"/>
      <c r="WFK52" s="539"/>
      <c r="WFL52" s="539"/>
      <c r="WFM52" s="539"/>
      <c r="WFN52" s="539"/>
      <c r="WFO52" s="539"/>
      <c r="WFP52" s="539"/>
      <c r="WFQ52" s="539"/>
      <c r="WFR52" s="539"/>
      <c r="WFS52" s="539"/>
      <c r="WFT52" s="539"/>
      <c r="WFU52" s="539"/>
      <c r="WFV52" s="539"/>
      <c r="WFW52" s="539"/>
      <c r="WFX52" s="539"/>
      <c r="WFY52" s="539"/>
      <c r="WFZ52" s="539"/>
      <c r="WGA52" s="539"/>
      <c r="WGB52" s="539"/>
      <c r="WGC52" s="539"/>
      <c r="WGD52" s="539"/>
      <c r="WGE52" s="539"/>
      <c r="WGF52" s="539"/>
      <c r="WGG52" s="539"/>
      <c r="WGH52" s="539"/>
      <c r="WGI52" s="539"/>
      <c r="WGJ52" s="539"/>
      <c r="WGK52" s="539"/>
      <c r="WGL52" s="539"/>
      <c r="WGM52" s="539"/>
      <c r="WGN52" s="539"/>
      <c r="WGO52" s="539"/>
      <c r="WGP52" s="539"/>
      <c r="WGQ52" s="539"/>
      <c r="WGR52" s="539"/>
      <c r="WGS52" s="539"/>
      <c r="WGT52" s="539"/>
      <c r="WGU52" s="539"/>
      <c r="WGV52" s="539"/>
      <c r="WGW52" s="539"/>
      <c r="WGX52" s="539"/>
      <c r="WGY52" s="539"/>
      <c r="WGZ52" s="539"/>
      <c r="WHA52" s="539"/>
      <c r="WHB52" s="539"/>
      <c r="WHC52" s="539"/>
      <c r="WHD52" s="539"/>
      <c r="WHE52" s="539"/>
      <c r="WHF52" s="539"/>
      <c r="WHG52" s="539"/>
      <c r="WHH52" s="539"/>
      <c r="WHI52" s="539"/>
      <c r="WHJ52" s="539"/>
      <c r="WHK52" s="539"/>
      <c r="WHL52" s="539"/>
      <c r="WHM52" s="539"/>
      <c r="WHN52" s="539"/>
      <c r="WHO52" s="539"/>
      <c r="WHP52" s="539"/>
      <c r="WHQ52" s="539"/>
      <c r="WHR52" s="539"/>
      <c r="WHS52" s="539"/>
      <c r="WHT52" s="539"/>
      <c r="WHU52" s="539"/>
      <c r="WHV52" s="539"/>
      <c r="WHW52" s="539"/>
      <c r="WHX52" s="539"/>
      <c r="WHY52" s="539"/>
      <c r="WHZ52" s="539"/>
      <c r="WIA52" s="539"/>
      <c r="WIB52" s="539"/>
      <c r="WIC52" s="539"/>
      <c r="WID52" s="539"/>
      <c r="WIE52" s="539"/>
      <c r="WIF52" s="539"/>
      <c r="WIG52" s="539"/>
      <c r="WIH52" s="539"/>
      <c r="WII52" s="539"/>
      <c r="WIJ52" s="539"/>
      <c r="WIK52" s="539"/>
      <c r="WIL52" s="539"/>
      <c r="WIM52" s="539"/>
      <c r="WIN52" s="539"/>
      <c r="WIO52" s="539"/>
      <c r="WIP52" s="539"/>
      <c r="WIQ52" s="539"/>
      <c r="WIR52" s="539"/>
      <c r="WIS52" s="539"/>
      <c r="WIT52" s="539"/>
      <c r="WIU52" s="539"/>
      <c r="WIV52" s="539"/>
      <c r="WIW52" s="539"/>
      <c r="WIX52" s="539"/>
      <c r="WIY52" s="539"/>
      <c r="WIZ52" s="539"/>
      <c r="WJA52" s="539"/>
      <c r="WJB52" s="539"/>
      <c r="WJC52" s="539"/>
      <c r="WJD52" s="539"/>
      <c r="WJE52" s="539"/>
      <c r="WJF52" s="539"/>
      <c r="WJG52" s="539"/>
      <c r="WJH52" s="539"/>
      <c r="WJI52" s="539"/>
      <c r="WJJ52" s="539"/>
      <c r="WJK52" s="539"/>
      <c r="WJL52" s="539"/>
      <c r="WJM52" s="539"/>
      <c r="WJN52" s="539"/>
      <c r="WJO52" s="539"/>
      <c r="WJP52" s="539"/>
      <c r="WJQ52" s="539"/>
      <c r="WJR52" s="539"/>
      <c r="WJS52" s="539"/>
      <c r="WJT52" s="539"/>
      <c r="WJU52" s="539"/>
      <c r="WJV52" s="539"/>
      <c r="WJW52" s="539"/>
      <c r="WJX52" s="539"/>
      <c r="WJY52" s="539"/>
      <c r="WJZ52" s="539"/>
      <c r="WKA52" s="539"/>
      <c r="WKB52" s="539"/>
      <c r="WKC52" s="539"/>
      <c r="WKD52" s="539"/>
      <c r="WKE52" s="539"/>
      <c r="WKF52" s="539"/>
      <c r="WKG52" s="539"/>
      <c r="WKH52" s="539"/>
      <c r="WKI52" s="539"/>
      <c r="WKJ52" s="539"/>
      <c r="WKK52" s="539"/>
      <c r="WKL52" s="539"/>
      <c r="WKM52" s="539"/>
      <c r="WKN52" s="539"/>
      <c r="WKO52" s="539"/>
      <c r="WKP52" s="539"/>
      <c r="WKQ52" s="539"/>
      <c r="WKR52" s="539"/>
      <c r="WKS52" s="539"/>
      <c r="WKT52" s="539"/>
      <c r="WKU52" s="539"/>
      <c r="WKV52" s="539"/>
      <c r="WKW52" s="539"/>
      <c r="WKX52" s="539"/>
      <c r="WKY52" s="539"/>
      <c r="WKZ52" s="539"/>
      <c r="WLA52" s="539"/>
      <c r="WLB52" s="539"/>
      <c r="WLC52" s="539"/>
      <c r="WLD52" s="539"/>
      <c r="WLE52" s="539"/>
      <c r="WLF52" s="539"/>
      <c r="WLG52" s="539"/>
      <c r="WLH52" s="539"/>
      <c r="WLI52" s="539"/>
      <c r="WLJ52" s="539"/>
      <c r="WLK52" s="539"/>
      <c r="WLL52" s="539"/>
      <c r="WLM52" s="539"/>
      <c r="WLN52" s="539"/>
      <c r="WLO52" s="539"/>
      <c r="WLP52" s="539"/>
      <c r="WLQ52" s="539"/>
      <c r="WLR52" s="539"/>
      <c r="WLS52" s="539"/>
      <c r="WLT52" s="539"/>
      <c r="WLU52" s="539"/>
      <c r="WLV52" s="539"/>
      <c r="WLW52" s="539"/>
      <c r="WLX52" s="539"/>
      <c r="WLY52" s="539"/>
      <c r="WLZ52" s="539"/>
      <c r="WMA52" s="539"/>
      <c r="WMB52" s="539"/>
      <c r="WMC52" s="539"/>
      <c r="WMD52" s="539"/>
      <c r="WME52" s="539"/>
      <c r="WMF52" s="539"/>
      <c r="WMG52" s="539"/>
      <c r="WMH52" s="539"/>
      <c r="WMI52" s="539"/>
      <c r="WMJ52" s="539"/>
      <c r="WMK52" s="539"/>
      <c r="WML52" s="539"/>
      <c r="WMM52" s="539"/>
      <c r="WMN52" s="539"/>
      <c r="WMO52" s="539"/>
      <c r="WMP52" s="539"/>
      <c r="WMQ52" s="539"/>
      <c r="WMR52" s="539"/>
      <c r="WMS52" s="539"/>
      <c r="WMT52" s="539"/>
      <c r="WMU52" s="539"/>
      <c r="WMV52" s="539"/>
      <c r="WMW52" s="539"/>
      <c r="WMX52" s="539"/>
      <c r="WMY52" s="539"/>
      <c r="WMZ52" s="539"/>
      <c r="WNA52" s="539"/>
      <c r="WNB52" s="539"/>
      <c r="WNC52" s="539"/>
      <c r="WND52" s="539"/>
      <c r="WNE52" s="539"/>
      <c r="WNF52" s="539"/>
      <c r="WNG52" s="539"/>
      <c r="WNH52" s="539"/>
      <c r="WNI52" s="539"/>
      <c r="WNJ52" s="539"/>
      <c r="WNK52" s="539"/>
      <c r="WNL52" s="539"/>
      <c r="WNM52" s="539"/>
      <c r="WNN52" s="539"/>
      <c r="WNO52" s="539"/>
      <c r="WNP52" s="539"/>
      <c r="WNQ52" s="539"/>
      <c r="WNR52" s="539"/>
      <c r="WNS52" s="539"/>
      <c r="WNT52" s="539"/>
      <c r="WNU52" s="539"/>
      <c r="WNV52" s="539"/>
      <c r="WNW52" s="539"/>
      <c r="WNX52" s="539"/>
      <c r="WNY52" s="539"/>
      <c r="WNZ52" s="539"/>
      <c r="WOA52" s="539"/>
      <c r="WOB52" s="539"/>
      <c r="WOC52" s="539"/>
      <c r="WOD52" s="539"/>
      <c r="WOE52" s="539"/>
      <c r="WOF52" s="539"/>
      <c r="WOG52" s="539"/>
      <c r="WOH52" s="539"/>
      <c r="WOI52" s="539"/>
      <c r="WOJ52" s="539"/>
      <c r="WOK52" s="539"/>
      <c r="WOL52" s="539"/>
      <c r="WOM52" s="539"/>
      <c r="WON52" s="539"/>
      <c r="WOO52" s="539"/>
      <c r="WOP52" s="539"/>
      <c r="WOQ52" s="539"/>
      <c r="WOR52" s="539"/>
      <c r="WOS52" s="539"/>
      <c r="WOT52" s="539"/>
      <c r="WOU52" s="539"/>
      <c r="WOV52" s="539"/>
      <c r="WOW52" s="539"/>
      <c r="WOX52" s="539"/>
      <c r="WOY52" s="539"/>
      <c r="WOZ52" s="539"/>
      <c r="WPA52" s="539"/>
      <c r="WPB52" s="539"/>
      <c r="WPC52" s="539"/>
      <c r="WPD52" s="539"/>
      <c r="WPE52" s="539"/>
      <c r="WPF52" s="539"/>
      <c r="WPG52" s="539"/>
      <c r="WPH52" s="539"/>
      <c r="WPI52" s="539"/>
      <c r="WPJ52" s="539"/>
      <c r="WPK52" s="539"/>
      <c r="WPL52" s="539"/>
      <c r="WPM52" s="539"/>
      <c r="WPN52" s="539"/>
      <c r="WPO52" s="539"/>
      <c r="WPP52" s="539"/>
      <c r="WPQ52" s="539"/>
      <c r="WPR52" s="539"/>
      <c r="WPS52" s="539"/>
      <c r="WPT52" s="539"/>
      <c r="WPU52" s="539"/>
      <c r="WPV52" s="539"/>
      <c r="WPW52" s="539"/>
      <c r="WPX52" s="539"/>
      <c r="WPY52" s="539"/>
      <c r="WPZ52" s="539"/>
      <c r="WQA52" s="539"/>
      <c r="WQB52" s="539"/>
      <c r="WQC52" s="539"/>
      <c r="WQD52" s="539"/>
      <c r="WQE52" s="539"/>
      <c r="WQF52" s="539"/>
      <c r="WQG52" s="539"/>
      <c r="WQH52" s="539"/>
      <c r="WQI52" s="539"/>
      <c r="WQJ52" s="539"/>
      <c r="WQK52" s="539"/>
      <c r="WQL52" s="539"/>
      <c r="WQM52" s="539"/>
      <c r="WQN52" s="539"/>
      <c r="WQO52" s="539"/>
      <c r="WQP52" s="539"/>
      <c r="WQQ52" s="539"/>
      <c r="WQR52" s="539"/>
      <c r="WQS52" s="539"/>
      <c r="WQT52" s="539"/>
      <c r="WQU52" s="539"/>
      <c r="WQV52" s="539"/>
      <c r="WQW52" s="539"/>
      <c r="WQX52" s="539"/>
      <c r="WQY52" s="539"/>
      <c r="WQZ52" s="539"/>
      <c r="WRA52" s="539"/>
      <c r="WRB52" s="539"/>
      <c r="WRC52" s="539"/>
      <c r="WRD52" s="539"/>
      <c r="WRE52" s="539"/>
      <c r="WRF52" s="539"/>
      <c r="WRG52" s="539"/>
      <c r="WRH52" s="539"/>
      <c r="WRI52" s="539"/>
      <c r="WRJ52" s="539"/>
      <c r="WRK52" s="539"/>
      <c r="WRL52" s="539"/>
      <c r="WRM52" s="539"/>
      <c r="WRN52" s="539"/>
      <c r="WRO52" s="539"/>
      <c r="WRP52" s="539"/>
      <c r="WRQ52" s="539"/>
      <c r="WRR52" s="539"/>
      <c r="WRS52" s="539"/>
      <c r="WRT52" s="539"/>
      <c r="WRU52" s="539"/>
      <c r="WRV52" s="539"/>
      <c r="WRW52" s="539"/>
      <c r="WRX52" s="539"/>
      <c r="WRY52" s="539"/>
      <c r="WRZ52" s="539"/>
      <c r="WSA52" s="539"/>
      <c r="WSB52" s="539"/>
      <c r="WSC52" s="539"/>
      <c r="WSD52" s="539"/>
      <c r="WSE52" s="539"/>
      <c r="WSF52" s="539"/>
      <c r="WSG52" s="539"/>
      <c r="WSH52" s="539"/>
      <c r="WSI52" s="539"/>
      <c r="WSJ52" s="539"/>
      <c r="WSK52" s="539"/>
      <c r="WSL52" s="539"/>
      <c r="WSM52" s="539"/>
      <c r="WSN52" s="539"/>
      <c r="WSO52" s="539"/>
      <c r="WSP52" s="539"/>
      <c r="WSQ52" s="539"/>
      <c r="WSR52" s="539"/>
      <c r="WSS52" s="539"/>
      <c r="WST52" s="539"/>
      <c r="WSU52" s="539"/>
      <c r="WSV52" s="539"/>
      <c r="WSW52" s="539"/>
      <c r="WSX52" s="539"/>
      <c r="WSY52" s="539"/>
      <c r="WSZ52" s="539"/>
      <c r="WTA52" s="539"/>
      <c r="WTB52" s="539"/>
      <c r="WTC52" s="539"/>
      <c r="WTD52" s="539"/>
      <c r="WTE52" s="539"/>
      <c r="WTF52" s="539"/>
      <c r="WTG52" s="539"/>
      <c r="WTH52" s="539"/>
      <c r="WTI52" s="539"/>
      <c r="WTJ52" s="539"/>
      <c r="WTK52" s="539"/>
      <c r="WTL52" s="539"/>
      <c r="WTM52" s="539"/>
      <c r="WTN52" s="539"/>
      <c r="WTO52" s="539"/>
      <c r="WTP52" s="539"/>
      <c r="WTQ52" s="539"/>
      <c r="WTR52" s="539"/>
      <c r="WTS52" s="539"/>
      <c r="WTT52" s="539"/>
      <c r="WTU52" s="539"/>
      <c r="WTV52" s="539"/>
      <c r="WTW52" s="539"/>
      <c r="WTX52" s="539"/>
      <c r="WTY52" s="539"/>
      <c r="WTZ52" s="539"/>
      <c r="WUA52" s="539"/>
      <c r="WUB52" s="539"/>
      <c r="WUC52" s="539"/>
      <c r="WUD52" s="539"/>
      <c r="WUE52" s="539"/>
      <c r="WUF52" s="539"/>
      <c r="WUG52" s="539"/>
      <c r="WUH52" s="539"/>
      <c r="WUI52" s="539"/>
      <c r="WUJ52" s="539"/>
      <c r="WUK52" s="539"/>
      <c r="WUL52" s="539"/>
      <c r="WUM52" s="539"/>
      <c r="WUN52" s="539"/>
      <c r="WUO52" s="539"/>
      <c r="WUP52" s="539"/>
      <c r="WUQ52" s="539"/>
      <c r="WUR52" s="539"/>
      <c r="WUS52" s="539"/>
      <c r="WUT52" s="539"/>
      <c r="WUU52" s="539"/>
      <c r="WUV52" s="539"/>
      <c r="WUW52" s="539"/>
      <c r="WUX52" s="539"/>
      <c r="WUY52" s="539"/>
      <c r="WUZ52" s="539"/>
      <c r="WVA52" s="539"/>
      <c r="WVB52" s="539"/>
      <c r="WVC52" s="539"/>
      <c r="WVD52" s="539"/>
      <c r="WVE52" s="539"/>
      <c r="WVF52" s="539"/>
      <c r="WVG52" s="539"/>
      <c r="WVH52" s="539"/>
      <c r="WVI52" s="539"/>
      <c r="WVJ52" s="539"/>
      <c r="WVK52" s="539"/>
      <c r="WVL52" s="539"/>
      <c r="WVM52" s="539"/>
      <c r="WVN52" s="539"/>
      <c r="WVO52" s="539"/>
      <c r="WVP52" s="539"/>
      <c r="WVQ52" s="539"/>
      <c r="WVR52" s="539"/>
      <c r="WVS52" s="539"/>
      <c r="WVT52" s="539"/>
      <c r="WVU52" s="539"/>
      <c r="WVV52" s="539"/>
      <c r="WVW52" s="539"/>
      <c r="WVX52" s="539"/>
      <c r="WVY52" s="539"/>
      <c r="WVZ52" s="539"/>
      <c r="WWA52" s="539"/>
      <c r="WWB52" s="539"/>
      <c r="WWC52" s="539"/>
      <c r="WWD52" s="539"/>
      <c r="WWE52" s="539"/>
      <c r="WWF52" s="539"/>
      <c r="WWG52" s="539"/>
      <c r="WWH52" s="539"/>
      <c r="WWI52" s="539"/>
      <c r="WWJ52" s="539"/>
      <c r="WWK52" s="539"/>
      <c r="WWL52" s="539"/>
      <c r="WWM52" s="539"/>
      <c r="WWN52" s="539"/>
      <c r="WWO52" s="539"/>
      <c r="WWP52" s="539"/>
      <c r="WWQ52" s="539"/>
      <c r="WWR52" s="539"/>
      <c r="WWS52" s="539"/>
      <c r="WWT52" s="539"/>
      <c r="WWU52" s="539"/>
      <c r="WWV52" s="539"/>
      <c r="WWW52" s="539"/>
      <c r="WWX52" s="539"/>
      <c r="WWY52" s="539"/>
      <c r="WWZ52" s="539"/>
      <c r="WXA52" s="539"/>
      <c r="WXB52" s="539"/>
      <c r="WXC52" s="539"/>
      <c r="WXD52" s="539"/>
      <c r="WXE52" s="539"/>
      <c r="WXF52" s="539"/>
      <c r="WXG52" s="539"/>
      <c r="WXH52" s="539"/>
      <c r="WXI52" s="539"/>
      <c r="WXJ52" s="539"/>
      <c r="WXK52" s="539"/>
      <c r="WXL52" s="539"/>
      <c r="WXM52" s="539"/>
      <c r="WXN52" s="539"/>
      <c r="WXO52" s="539"/>
      <c r="WXP52" s="539"/>
      <c r="WXQ52" s="539"/>
      <c r="WXR52" s="539"/>
      <c r="WXS52" s="539"/>
      <c r="WXT52" s="539"/>
      <c r="WXU52" s="539"/>
      <c r="WXV52" s="539"/>
      <c r="WXW52" s="539"/>
      <c r="WXX52" s="539"/>
      <c r="WXY52" s="539"/>
      <c r="WXZ52" s="539"/>
      <c r="WYA52" s="539"/>
      <c r="WYB52" s="539"/>
      <c r="WYC52" s="539"/>
      <c r="WYD52" s="539"/>
      <c r="WYE52" s="539"/>
      <c r="WYF52" s="539"/>
      <c r="WYG52" s="539"/>
      <c r="WYH52" s="539"/>
      <c r="WYI52" s="539"/>
      <c r="WYJ52" s="539"/>
      <c r="WYK52" s="539"/>
      <c r="WYL52" s="539"/>
      <c r="WYM52" s="539"/>
      <c r="WYN52" s="539"/>
      <c r="WYO52" s="539"/>
      <c r="WYP52" s="539"/>
      <c r="WYQ52" s="539"/>
      <c r="WYR52" s="539"/>
      <c r="WYS52" s="539"/>
      <c r="WYT52" s="539"/>
      <c r="WYU52" s="539"/>
      <c r="WYV52" s="539"/>
      <c r="WYW52" s="539"/>
      <c r="WYX52" s="539"/>
      <c r="WYY52" s="539"/>
      <c r="WYZ52" s="539"/>
      <c r="WZA52" s="539"/>
      <c r="WZB52" s="539"/>
      <c r="WZC52" s="539"/>
      <c r="WZD52" s="539"/>
      <c r="WZE52" s="539"/>
      <c r="WZF52" s="539"/>
      <c r="WZG52" s="539"/>
      <c r="WZH52" s="539"/>
      <c r="WZI52" s="539"/>
      <c r="WZJ52" s="539"/>
      <c r="WZK52" s="539"/>
      <c r="WZL52" s="539"/>
      <c r="WZM52" s="539"/>
      <c r="WZN52" s="539"/>
      <c r="WZO52" s="539"/>
      <c r="WZP52" s="539"/>
      <c r="WZQ52" s="539"/>
      <c r="WZR52" s="539"/>
      <c r="WZS52" s="539"/>
      <c r="WZT52" s="539"/>
      <c r="WZU52" s="539"/>
      <c r="WZV52" s="539"/>
      <c r="WZW52" s="539"/>
      <c r="WZX52" s="539"/>
      <c r="WZY52" s="539"/>
      <c r="WZZ52" s="539"/>
      <c r="XAA52" s="539"/>
      <c r="XAB52" s="539"/>
      <c r="XAC52" s="539"/>
      <c r="XAD52" s="539"/>
      <c r="XAE52" s="539"/>
      <c r="XAF52" s="539"/>
      <c r="XAG52" s="539"/>
      <c r="XAH52" s="539"/>
      <c r="XAI52" s="539"/>
      <c r="XAJ52" s="539"/>
      <c r="XAK52" s="539"/>
      <c r="XAL52" s="539"/>
      <c r="XAM52" s="539"/>
      <c r="XAN52" s="539"/>
      <c r="XAO52" s="539"/>
      <c r="XAP52" s="539"/>
      <c r="XAQ52" s="539"/>
      <c r="XAR52" s="539"/>
      <c r="XAS52" s="539"/>
      <c r="XAT52" s="539"/>
      <c r="XAU52" s="539"/>
      <c r="XAV52" s="539"/>
      <c r="XAW52" s="539"/>
      <c r="XAX52" s="539"/>
      <c r="XAY52" s="539"/>
      <c r="XAZ52" s="539"/>
      <c r="XBA52" s="539"/>
      <c r="XBB52" s="539"/>
      <c r="XBC52" s="539"/>
      <c r="XBD52" s="539"/>
      <c r="XBE52" s="539"/>
      <c r="XBF52" s="539"/>
      <c r="XBG52" s="539"/>
      <c r="XBH52" s="539"/>
      <c r="XBI52" s="539"/>
      <c r="XBJ52" s="539"/>
      <c r="XBK52" s="539"/>
      <c r="XBL52" s="539"/>
      <c r="XBM52" s="539"/>
      <c r="XBN52" s="539"/>
      <c r="XBO52" s="539"/>
      <c r="XBP52" s="539"/>
      <c r="XBQ52" s="539"/>
      <c r="XBR52" s="539"/>
      <c r="XBS52" s="539"/>
      <c r="XBT52" s="539"/>
      <c r="XBU52" s="539"/>
      <c r="XBV52" s="539"/>
      <c r="XBW52" s="539"/>
      <c r="XBX52" s="539"/>
      <c r="XBY52" s="539"/>
      <c r="XBZ52" s="539"/>
      <c r="XCA52" s="539"/>
      <c r="XCB52" s="539"/>
      <c r="XCC52" s="539"/>
      <c r="XCD52" s="539"/>
      <c r="XCE52" s="539"/>
      <c r="XCF52" s="539"/>
      <c r="XCG52" s="539"/>
      <c r="XCH52" s="539"/>
      <c r="XCI52" s="539"/>
      <c r="XCJ52" s="539"/>
      <c r="XCK52" s="539"/>
      <c r="XCL52" s="539"/>
      <c r="XCM52" s="539"/>
      <c r="XCN52" s="539"/>
      <c r="XCO52" s="539"/>
      <c r="XCP52" s="539"/>
      <c r="XCQ52" s="539"/>
      <c r="XCR52" s="539"/>
      <c r="XCS52" s="539"/>
      <c r="XCT52" s="539"/>
      <c r="XCU52" s="539"/>
      <c r="XCV52" s="539"/>
      <c r="XCW52" s="539"/>
      <c r="XCX52" s="539"/>
      <c r="XCY52" s="539"/>
      <c r="XCZ52" s="539"/>
      <c r="XDA52" s="539"/>
      <c r="XDB52" s="539"/>
      <c r="XDC52" s="539"/>
      <c r="XDD52" s="539"/>
      <c r="XDE52" s="539"/>
      <c r="XDF52" s="539"/>
      <c r="XDG52" s="539"/>
      <c r="XDH52" s="539"/>
      <c r="XDI52" s="539"/>
      <c r="XDJ52" s="539"/>
      <c r="XDK52" s="539"/>
      <c r="XDL52" s="539"/>
      <c r="XDM52" s="539"/>
      <c r="XDN52" s="539"/>
      <c r="XDO52" s="539"/>
      <c r="XDP52" s="539"/>
      <c r="XDQ52" s="539"/>
      <c r="XDR52" s="539"/>
      <c r="XDS52" s="539"/>
      <c r="XDT52" s="539"/>
      <c r="XDU52" s="539"/>
      <c r="XDV52" s="539"/>
      <c r="XDW52" s="539"/>
      <c r="XDX52" s="539"/>
      <c r="XDY52" s="539"/>
      <c r="XDZ52" s="539"/>
      <c r="XEA52" s="539"/>
      <c r="XEB52" s="539"/>
      <c r="XEC52" s="539"/>
      <c r="XED52" s="539"/>
      <c r="XEE52" s="539"/>
      <c r="XEF52" s="539"/>
      <c r="XEG52" s="539"/>
      <c r="XEH52" s="539"/>
      <c r="XEI52" s="539"/>
      <c r="XEJ52" s="539"/>
      <c r="XEK52" s="539"/>
      <c r="XEL52" s="539"/>
      <c r="XEM52" s="539"/>
      <c r="XEN52" s="539"/>
      <c r="XEO52" s="539"/>
      <c r="XEP52" s="539"/>
      <c r="XEQ52" s="539"/>
      <c r="XER52" s="539"/>
      <c r="XES52" s="539"/>
      <c r="XET52" s="539"/>
      <c r="XEU52" s="539"/>
      <c r="XEV52" s="539"/>
      <c r="XEW52" s="539"/>
    </row>
    <row r="53" spans="1:16377">
      <c r="A53" s="530" t="s">
        <v>10834</v>
      </c>
      <c r="B53" s="389" t="s">
        <v>1925</v>
      </c>
      <c r="C53" s="680" t="s">
        <v>1520</v>
      </c>
      <c r="D53" s="684">
        <v>61</v>
      </c>
      <c r="E53" s="695">
        <v>30212203</v>
      </c>
      <c r="F53" s="695">
        <v>995029119</v>
      </c>
      <c r="G53" s="390">
        <v>702726</v>
      </c>
      <c r="H53" s="391" t="s">
        <v>1926</v>
      </c>
      <c r="I53" s="391"/>
      <c r="J53" s="531" t="s">
        <v>10735</v>
      </c>
      <c r="K53" s="392"/>
      <c r="L53" s="392"/>
      <c r="M53" s="690">
        <v>702726</v>
      </c>
      <c r="N53" s="393" t="s">
        <v>1519</v>
      </c>
    </row>
    <row r="54" spans="1:16377">
      <c r="A54" s="530" t="s">
        <v>10835</v>
      </c>
      <c r="B54" s="389" t="s">
        <v>928</v>
      </c>
      <c r="C54" s="680" t="s">
        <v>887</v>
      </c>
      <c r="D54" s="684">
        <v>61</v>
      </c>
      <c r="E54" s="695">
        <v>30224010</v>
      </c>
      <c r="F54" s="695">
        <v>992150423</v>
      </c>
      <c r="G54" s="390"/>
      <c r="H54" s="391"/>
      <c r="I54" s="391"/>
      <c r="J54" s="531" t="s">
        <v>10735</v>
      </c>
      <c r="K54" s="392"/>
      <c r="L54" s="392"/>
      <c r="M54" s="690"/>
      <c r="N54" s="393" t="s">
        <v>886</v>
      </c>
    </row>
    <row r="55" spans="1:16377">
      <c r="A55" s="530" t="s">
        <v>10836</v>
      </c>
      <c r="B55" s="389" t="s">
        <v>715</v>
      </c>
      <c r="C55" s="680" t="s">
        <v>679</v>
      </c>
      <c r="D55" s="684">
        <v>61</v>
      </c>
      <c r="E55" s="695">
        <v>32733620</v>
      </c>
      <c r="F55" s="695"/>
      <c r="G55" s="390">
        <v>51</v>
      </c>
      <c r="H55" s="391" t="s">
        <v>1927</v>
      </c>
      <c r="I55" s="391" t="s">
        <v>2320</v>
      </c>
      <c r="J55" s="531" t="s">
        <v>3043</v>
      </c>
      <c r="K55" s="392" t="s">
        <v>2327</v>
      </c>
      <c r="L55" s="392" t="s">
        <v>2328</v>
      </c>
      <c r="M55" s="690">
        <v>51</v>
      </c>
      <c r="N55" s="393" t="s">
        <v>591</v>
      </c>
    </row>
    <row r="56" spans="1:16377">
      <c r="A56" s="530" t="s">
        <v>10837</v>
      </c>
      <c r="B56" s="389" t="s">
        <v>10838</v>
      </c>
      <c r="C56" s="680" t="s">
        <v>10839</v>
      </c>
      <c r="D56" s="684">
        <v>21</v>
      </c>
      <c r="E56" s="695">
        <v>35639401</v>
      </c>
      <c r="F56" s="695"/>
      <c r="G56" s="390"/>
      <c r="H56" s="391" t="s">
        <v>10840</v>
      </c>
      <c r="I56" s="391" t="s">
        <v>2320</v>
      </c>
      <c r="J56" s="531" t="s">
        <v>3043</v>
      </c>
      <c r="K56" s="392" t="s">
        <v>10841</v>
      </c>
      <c r="L56" s="392" t="s">
        <v>10842</v>
      </c>
      <c r="M56" s="690"/>
      <c r="N56" s="393" t="s">
        <v>10843</v>
      </c>
    </row>
    <row r="57" spans="1:16377">
      <c r="A57" s="530" t="s">
        <v>10844</v>
      </c>
      <c r="B57" s="389" t="s">
        <v>1928</v>
      </c>
      <c r="C57" s="680" t="s">
        <v>904</v>
      </c>
      <c r="D57" s="684">
        <v>61</v>
      </c>
      <c r="E57" s="695"/>
      <c r="F57" s="695">
        <v>985507952</v>
      </c>
      <c r="G57" s="390">
        <v>700739</v>
      </c>
      <c r="H57" s="391" t="s">
        <v>1929</v>
      </c>
      <c r="I57" s="391"/>
      <c r="J57" s="531" t="s">
        <v>10735</v>
      </c>
      <c r="K57" s="392"/>
      <c r="L57" s="392"/>
      <c r="M57" s="690">
        <v>700739</v>
      </c>
      <c r="N57" s="393" t="s">
        <v>903</v>
      </c>
    </row>
    <row r="58" spans="1:16377">
      <c r="A58" s="530" t="s">
        <v>10845</v>
      </c>
      <c r="B58" s="389" t="s">
        <v>10846</v>
      </c>
      <c r="C58" s="680" t="s">
        <v>10847</v>
      </c>
      <c r="D58" s="684">
        <v>61</v>
      </c>
      <c r="E58" s="695">
        <v>35435620</v>
      </c>
      <c r="F58" s="695"/>
      <c r="G58" s="390">
        <v>703713</v>
      </c>
      <c r="H58" s="391" t="s">
        <v>10848</v>
      </c>
      <c r="I58" s="391" t="s">
        <v>2333</v>
      </c>
      <c r="J58" s="531" t="s">
        <v>3052</v>
      </c>
      <c r="K58" s="392" t="s">
        <v>10849</v>
      </c>
      <c r="L58" s="392" t="s">
        <v>10850</v>
      </c>
      <c r="M58" s="690">
        <v>703713</v>
      </c>
      <c r="N58" s="393" t="s">
        <v>8414</v>
      </c>
      <c r="P58" s="394" t="s">
        <v>10851</v>
      </c>
    </row>
    <row r="59" spans="1:16377">
      <c r="A59" s="530" t="s">
        <v>10852</v>
      </c>
      <c r="B59" s="389" t="s">
        <v>1931</v>
      </c>
      <c r="C59" s="680"/>
      <c r="D59" s="684" t="s">
        <v>5888</v>
      </c>
      <c r="E59" s="695"/>
      <c r="F59" s="695"/>
      <c r="G59" s="390">
        <v>700800</v>
      </c>
      <c r="H59" s="391" t="s">
        <v>1932</v>
      </c>
      <c r="I59" s="391" t="s">
        <v>2335</v>
      </c>
      <c r="J59" s="531">
        <v>341</v>
      </c>
      <c r="K59" s="392" t="s">
        <v>2994</v>
      </c>
      <c r="L59" s="392" t="s">
        <v>3406</v>
      </c>
      <c r="M59" s="690">
        <v>700800</v>
      </c>
      <c r="N59" s="393" t="s">
        <v>1930</v>
      </c>
    </row>
    <row r="60" spans="1:16377">
      <c r="A60" s="530" t="s">
        <v>10853</v>
      </c>
      <c r="B60" s="389" t="s">
        <v>1933</v>
      </c>
      <c r="C60" s="680" t="s">
        <v>1606</v>
      </c>
      <c r="D60" s="684">
        <v>61</v>
      </c>
      <c r="E60" s="695">
        <v>33545882</v>
      </c>
      <c r="F60" s="695">
        <v>996588778</v>
      </c>
      <c r="G60" s="390">
        <v>702829</v>
      </c>
      <c r="H60" s="391" t="s">
        <v>1934</v>
      </c>
      <c r="I60" s="391" t="s">
        <v>2350</v>
      </c>
      <c r="J60" s="531">
        <v>237</v>
      </c>
      <c r="K60" s="392" t="s">
        <v>2478</v>
      </c>
      <c r="L60" s="392" t="s">
        <v>2479</v>
      </c>
      <c r="M60" s="690">
        <v>702829</v>
      </c>
      <c r="N60" s="393" t="s">
        <v>1527</v>
      </c>
    </row>
    <row r="61" spans="1:16377">
      <c r="A61" s="530" t="s">
        <v>11529</v>
      </c>
      <c r="B61" s="389" t="s">
        <v>1570</v>
      </c>
      <c r="C61" s="680" t="s">
        <v>2855</v>
      </c>
      <c r="D61" s="684">
        <v>61</v>
      </c>
      <c r="E61" s="695">
        <v>21043444</v>
      </c>
      <c r="F61" s="695"/>
      <c r="G61" s="390">
        <v>6509</v>
      </c>
      <c r="H61" s="391" t="s">
        <v>1935</v>
      </c>
      <c r="I61" s="391" t="s">
        <v>2320</v>
      </c>
      <c r="J61" s="531" t="s">
        <v>3043</v>
      </c>
      <c r="K61" s="392" t="s">
        <v>2397</v>
      </c>
      <c r="L61" s="392" t="s">
        <v>2398</v>
      </c>
      <c r="M61" s="690">
        <v>6509</v>
      </c>
      <c r="N61" s="393" t="s">
        <v>11530</v>
      </c>
    </row>
    <row r="62" spans="1:16377">
      <c r="A62" s="530" t="s">
        <v>10854</v>
      </c>
      <c r="B62" s="540" t="s">
        <v>716</v>
      </c>
      <c r="C62" s="680" t="s">
        <v>680</v>
      </c>
      <c r="D62" s="684">
        <v>61</v>
      </c>
      <c r="E62" s="695">
        <v>33818106</v>
      </c>
      <c r="F62" s="695">
        <v>999898984</v>
      </c>
      <c r="G62" s="390">
        <v>3958</v>
      </c>
      <c r="H62" s="541" t="s">
        <v>1936</v>
      </c>
      <c r="I62" s="541" t="s">
        <v>2321</v>
      </c>
      <c r="J62" s="531" t="s">
        <v>3050</v>
      </c>
      <c r="K62" s="542" t="s">
        <v>2412</v>
      </c>
      <c r="L62" s="542" t="s">
        <v>2413</v>
      </c>
      <c r="M62" s="690">
        <v>3958</v>
      </c>
      <c r="N62" s="543" t="s">
        <v>760</v>
      </c>
    </row>
    <row r="63" spans="1:16377" s="544" customFormat="1">
      <c r="A63" s="530" t="s">
        <v>10855</v>
      </c>
      <c r="B63" s="389" t="s">
        <v>1937</v>
      </c>
      <c r="C63" s="680" t="s">
        <v>1327</v>
      </c>
      <c r="D63" s="684">
        <v>62</v>
      </c>
      <c r="E63" s="695">
        <v>41071010</v>
      </c>
      <c r="F63" s="695"/>
      <c r="G63" s="390">
        <v>702743</v>
      </c>
      <c r="H63" s="391" t="s">
        <v>1938</v>
      </c>
      <c r="I63" s="391"/>
      <c r="J63" s="531" t="s">
        <v>10735</v>
      </c>
      <c r="K63" s="392"/>
      <c r="L63" s="392"/>
      <c r="M63" s="690">
        <v>702743</v>
      </c>
      <c r="N63" s="393" t="s">
        <v>1450</v>
      </c>
      <c r="AH63" s="394"/>
    </row>
    <row r="64" spans="1:16377">
      <c r="A64" s="530" t="s">
        <v>10856</v>
      </c>
      <c r="B64" s="389" t="s">
        <v>1939</v>
      </c>
      <c r="C64" s="680" t="s">
        <v>1191</v>
      </c>
      <c r="D64" s="684">
        <v>62</v>
      </c>
      <c r="E64" s="695">
        <v>30911041</v>
      </c>
      <c r="F64" s="695"/>
      <c r="G64" s="390">
        <v>701484</v>
      </c>
      <c r="H64" s="391" t="s">
        <v>1940</v>
      </c>
      <c r="I64" s="391" t="s">
        <v>2320</v>
      </c>
      <c r="J64" s="531" t="s">
        <v>3043</v>
      </c>
      <c r="K64" s="392" t="s">
        <v>2436</v>
      </c>
      <c r="L64" s="392" t="s">
        <v>2437</v>
      </c>
      <c r="M64" s="690">
        <v>701484</v>
      </c>
      <c r="N64" s="393" t="s">
        <v>1190</v>
      </c>
    </row>
    <row r="65" spans="1:16">
      <c r="A65" s="530" t="s">
        <v>10857</v>
      </c>
      <c r="B65" s="389" t="s">
        <v>1941</v>
      </c>
      <c r="C65" s="680" t="s">
        <v>1705</v>
      </c>
      <c r="D65" s="684">
        <v>31</v>
      </c>
      <c r="E65" s="695">
        <v>34212658</v>
      </c>
      <c r="F65" s="695"/>
      <c r="G65" s="390">
        <v>3055</v>
      </c>
      <c r="H65" s="391" t="s">
        <v>1942</v>
      </c>
      <c r="I65" s="391" t="s">
        <v>2320</v>
      </c>
      <c r="J65" s="531" t="s">
        <v>3043</v>
      </c>
      <c r="K65" s="392" t="s">
        <v>2521</v>
      </c>
      <c r="L65" s="392" t="s">
        <v>2522</v>
      </c>
      <c r="M65" s="690">
        <v>3055</v>
      </c>
      <c r="N65" s="393" t="s">
        <v>1704</v>
      </c>
    </row>
    <row r="66" spans="1:16">
      <c r="A66" s="530" t="s">
        <v>10858</v>
      </c>
      <c r="B66" s="389" t="s">
        <v>1943</v>
      </c>
      <c r="C66" s="680" t="s">
        <v>1295</v>
      </c>
      <c r="D66" s="684">
        <v>61</v>
      </c>
      <c r="F66" s="695">
        <v>981037393</v>
      </c>
      <c r="G66" s="390">
        <v>702584</v>
      </c>
      <c r="H66" s="391" t="s">
        <v>1944</v>
      </c>
      <c r="I66" s="391" t="s">
        <v>2335</v>
      </c>
      <c r="J66" s="531">
        <v>341</v>
      </c>
      <c r="K66" s="392" t="s">
        <v>2994</v>
      </c>
      <c r="L66" s="392" t="s">
        <v>3668</v>
      </c>
      <c r="M66" s="690">
        <v>702584</v>
      </c>
      <c r="N66" s="393" t="s">
        <v>1294</v>
      </c>
    </row>
    <row r="67" spans="1:16">
      <c r="A67" s="530" t="s">
        <v>10859</v>
      </c>
      <c r="B67" s="389" t="s">
        <v>3964</v>
      </c>
      <c r="C67" s="680" t="s">
        <v>3965</v>
      </c>
      <c r="D67" s="684">
        <v>11</v>
      </c>
      <c r="E67" s="695">
        <v>23484444</v>
      </c>
      <c r="F67" s="695"/>
      <c r="G67" s="390">
        <v>703358</v>
      </c>
      <c r="H67" s="391" t="s">
        <v>3966</v>
      </c>
      <c r="I67" s="391" t="s">
        <v>2335</v>
      </c>
      <c r="J67" s="531">
        <v>341</v>
      </c>
      <c r="K67" s="392" t="s">
        <v>3967</v>
      </c>
      <c r="L67" s="392" t="s">
        <v>3968</v>
      </c>
      <c r="M67" s="690">
        <v>703358</v>
      </c>
      <c r="N67" s="393" t="s">
        <v>3969</v>
      </c>
    </row>
    <row r="68" spans="1:16">
      <c r="A68" s="530" t="s">
        <v>8849</v>
      </c>
      <c r="B68" s="389" t="s">
        <v>7583</v>
      </c>
      <c r="C68" s="680" t="s">
        <v>7584</v>
      </c>
      <c r="D68" s="684">
        <v>61</v>
      </c>
      <c r="E68" s="695">
        <v>33460348</v>
      </c>
      <c r="F68" s="695">
        <v>62981993946</v>
      </c>
      <c r="G68" s="390">
        <v>703518</v>
      </c>
      <c r="H68" s="391" t="s">
        <v>7585</v>
      </c>
      <c r="I68" s="391" t="s">
        <v>2492</v>
      </c>
      <c r="J68" s="531">
        <v>756</v>
      </c>
      <c r="K68" s="392" t="s">
        <v>7586</v>
      </c>
      <c r="L68" s="392" t="s">
        <v>7587</v>
      </c>
      <c r="M68" s="690">
        <v>703518</v>
      </c>
      <c r="N68" s="393" t="s">
        <v>7588</v>
      </c>
      <c r="P68" s="394" t="s">
        <v>10860</v>
      </c>
    </row>
    <row r="69" spans="1:16">
      <c r="A69" s="530" t="s">
        <v>10861</v>
      </c>
      <c r="B69" s="389" t="s">
        <v>10862</v>
      </c>
      <c r="C69" s="680" t="s">
        <v>10863</v>
      </c>
      <c r="D69" s="684">
        <v>24</v>
      </c>
      <c r="E69" s="695">
        <v>22229900</v>
      </c>
      <c r="F69" s="695">
        <v>62985988983</v>
      </c>
      <c r="G69" s="390">
        <v>704124</v>
      </c>
      <c r="H69" s="391" t="s">
        <v>10864</v>
      </c>
      <c r="I69" s="391"/>
      <c r="J69" s="531" t="s">
        <v>10735</v>
      </c>
      <c r="K69" s="392"/>
      <c r="L69" s="392"/>
      <c r="M69" s="690">
        <v>704124</v>
      </c>
      <c r="N69" s="393" t="s">
        <v>10865</v>
      </c>
    </row>
    <row r="70" spans="1:16">
      <c r="A70" s="530" t="s">
        <v>10866</v>
      </c>
      <c r="B70" s="389" t="s">
        <v>4332</v>
      </c>
      <c r="C70" s="680" t="s">
        <v>4333</v>
      </c>
      <c r="D70" s="684">
        <v>61</v>
      </c>
      <c r="E70" s="695">
        <v>33998013</v>
      </c>
      <c r="F70" s="695"/>
      <c r="G70" s="390">
        <v>1195</v>
      </c>
      <c r="H70" s="391" t="s">
        <v>4334</v>
      </c>
      <c r="I70" s="391"/>
      <c r="J70" s="531" t="s">
        <v>10735</v>
      </c>
      <c r="K70" s="392"/>
      <c r="L70" s="392"/>
      <c r="M70" s="690">
        <v>1195</v>
      </c>
      <c r="N70" s="393" t="s">
        <v>4347</v>
      </c>
    </row>
    <row r="71" spans="1:16">
      <c r="A71" s="530" t="s">
        <v>10867</v>
      </c>
      <c r="B71" s="389" t="s">
        <v>1945</v>
      </c>
      <c r="C71" s="680" t="s">
        <v>812</v>
      </c>
      <c r="D71" s="684">
        <v>61</v>
      </c>
      <c r="E71" s="695">
        <v>33549200</v>
      </c>
      <c r="F71" s="695"/>
      <c r="G71" s="390">
        <v>700119</v>
      </c>
      <c r="H71" s="391" t="s">
        <v>1946</v>
      </c>
      <c r="I71" s="391" t="s">
        <v>2320</v>
      </c>
      <c r="J71" s="531" t="s">
        <v>3043</v>
      </c>
      <c r="K71" s="392" t="s">
        <v>2374</v>
      </c>
      <c r="L71" s="392" t="s">
        <v>2399</v>
      </c>
      <c r="M71" s="690">
        <v>700119</v>
      </c>
      <c r="N71" s="393" t="s">
        <v>811</v>
      </c>
    </row>
    <row r="72" spans="1:16">
      <c r="A72" s="530" t="s">
        <v>10868</v>
      </c>
      <c r="B72" s="389" t="s">
        <v>1947</v>
      </c>
      <c r="C72" s="680" t="s">
        <v>1510</v>
      </c>
      <c r="D72" s="684">
        <v>61</v>
      </c>
      <c r="E72" s="695">
        <v>35622129</v>
      </c>
      <c r="F72" s="695">
        <v>993828892</v>
      </c>
      <c r="G72" s="390">
        <v>700559</v>
      </c>
      <c r="H72" s="391" t="s">
        <v>1948</v>
      </c>
      <c r="I72" s="391"/>
      <c r="J72" s="531" t="s">
        <v>10735</v>
      </c>
      <c r="K72" s="392"/>
      <c r="L72" s="392"/>
      <c r="M72" s="690">
        <v>700559</v>
      </c>
      <c r="N72" s="393" t="s">
        <v>1509</v>
      </c>
    </row>
    <row r="73" spans="1:16">
      <c r="A73" s="530" t="s">
        <v>10869</v>
      </c>
      <c r="B73" s="389" t="s">
        <v>8365</v>
      </c>
      <c r="C73" s="680"/>
      <c r="D73" s="684" t="s">
        <v>5888</v>
      </c>
      <c r="E73" s="695"/>
      <c r="F73" s="695"/>
      <c r="G73" s="390"/>
      <c r="H73" s="391"/>
      <c r="I73" s="391"/>
      <c r="J73" s="531" t="s">
        <v>10735</v>
      </c>
      <c r="K73" s="392"/>
      <c r="L73" s="392"/>
      <c r="M73" s="690"/>
      <c r="N73" s="393" t="s">
        <v>8364</v>
      </c>
    </row>
    <row r="74" spans="1:16">
      <c r="A74" s="530" t="s">
        <v>10870</v>
      </c>
      <c r="B74" s="389" t="s">
        <v>10871</v>
      </c>
      <c r="C74" s="680" t="s">
        <v>10872</v>
      </c>
      <c r="D74" s="684">
        <v>61</v>
      </c>
      <c r="E74" s="695">
        <v>32070249</v>
      </c>
      <c r="F74" s="695"/>
      <c r="G74" s="390">
        <v>703825</v>
      </c>
      <c r="H74" s="391" t="s">
        <v>9469</v>
      </c>
      <c r="I74" s="391" t="s">
        <v>2350</v>
      </c>
      <c r="J74" s="531">
        <v>237</v>
      </c>
      <c r="K74" s="392" t="s">
        <v>9470</v>
      </c>
      <c r="L74" s="392" t="s">
        <v>9658</v>
      </c>
      <c r="M74" s="690">
        <v>703825</v>
      </c>
      <c r="N74" s="393" t="s">
        <v>10333</v>
      </c>
    </row>
    <row r="75" spans="1:16">
      <c r="A75" s="530" t="s">
        <v>10873</v>
      </c>
      <c r="B75" s="389" t="s">
        <v>1949</v>
      </c>
      <c r="C75" s="680" t="s">
        <v>1455</v>
      </c>
      <c r="D75" s="684">
        <v>61</v>
      </c>
      <c r="E75" s="695">
        <v>32555000</v>
      </c>
      <c r="F75" s="695"/>
      <c r="G75" s="390">
        <v>700380</v>
      </c>
      <c r="H75" s="391" t="s">
        <v>1950</v>
      </c>
      <c r="I75" s="391" t="s">
        <v>2320</v>
      </c>
      <c r="J75" s="531" t="s">
        <v>3043</v>
      </c>
      <c r="K75" s="392" t="s">
        <v>2397</v>
      </c>
      <c r="L75" s="392" t="s">
        <v>2518</v>
      </c>
      <c r="M75" s="690">
        <v>700380</v>
      </c>
      <c r="N75" s="393" t="s">
        <v>1454</v>
      </c>
      <c r="P75" s="394" t="s">
        <v>1454</v>
      </c>
    </row>
    <row r="76" spans="1:16">
      <c r="A76" s="530" t="s">
        <v>10874</v>
      </c>
      <c r="B76" s="389" t="s">
        <v>1132</v>
      </c>
      <c r="C76" s="680" t="s">
        <v>1133</v>
      </c>
      <c r="D76" s="684">
        <v>62</v>
      </c>
      <c r="E76" s="695">
        <v>40122222</v>
      </c>
      <c r="F76" s="695"/>
      <c r="G76" s="390"/>
      <c r="H76" s="391"/>
      <c r="I76" s="391"/>
      <c r="J76" s="531" t="s">
        <v>10735</v>
      </c>
      <c r="K76" s="392"/>
      <c r="L76" s="392"/>
      <c r="M76" s="690"/>
      <c r="N76" s="393" t="s">
        <v>1131</v>
      </c>
    </row>
    <row r="77" spans="1:16">
      <c r="A77" s="530" t="s">
        <v>7458</v>
      </c>
      <c r="B77" s="389" t="s">
        <v>1951</v>
      </c>
      <c r="C77" s="680" t="s">
        <v>1482</v>
      </c>
      <c r="D77" s="684">
        <v>21</v>
      </c>
      <c r="E77" s="695">
        <v>35259450</v>
      </c>
      <c r="F77" s="695">
        <v>991449126</v>
      </c>
      <c r="G77" s="390">
        <v>4067</v>
      </c>
      <c r="H77" s="391" t="s">
        <v>1952</v>
      </c>
      <c r="I77" s="391" t="s">
        <v>2320</v>
      </c>
      <c r="J77" s="531" t="s">
        <v>3043</v>
      </c>
      <c r="K77" s="392" t="s">
        <v>2519</v>
      </c>
      <c r="L77" s="392" t="s">
        <v>2520</v>
      </c>
      <c r="M77" s="690">
        <v>4067</v>
      </c>
      <c r="N77" s="393" t="s">
        <v>1461</v>
      </c>
    </row>
    <row r="78" spans="1:16">
      <c r="A78" s="530" t="s">
        <v>10875</v>
      </c>
      <c r="B78" s="389" t="s">
        <v>3089</v>
      </c>
      <c r="C78" s="680" t="s">
        <v>3090</v>
      </c>
      <c r="D78" s="684">
        <v>61</v>
      </c>
      <c r="E78" s="695">
        <v>39642095</v>
      </c>
      <c r="F78" s="695"/>
      <c r="G78" s="390">
        <v>3579</v>
      </c>
      <c r="H78" s="391" t="s">
        <v>3091</v>
      </c>
      <c r="I78" s="391" t="s">
        <v>2404</v>
      </c>
      <c r="J78" s="531" t="s">
        <v>3043</v>
      </c>
      <c r="K78" s="392" t="s">
        <v>3376</v>
      </c>
      <c r="L78" s="392" t="s">
        <v>3377</v>
      </c>
      <c r="M78" s="690">
        <v>3579</v>
      </c>
      <c r="N78" s="393" t="s">
        <v>3092</v>
      </c>
    </row>
    <row r="79" spans="1:16">
      <c r="A79" s="530" t="s">
        <v>10876</v>
      </c>
      <c r="B79" s="389" t="s">
        <v>10877</v>
      </c>
      <c r="C79" s="680" t="s">
        <v>10878</v>
      </c>
      <c r="D79" s="684">
        <v>61</v>
      </c>
      <c r="E79" s="695"/>
      <c r="F79" s="695">
        <v>992109236</v>
      </c>
      <c r="G79" s="390">
        <v>704036</v>
      </c>
      <c r="H79" s="391" t="s">
        <v>10879</v>
      </c>
      <c r="I79" s="391" t="s">
        <v>2404</v>
      </c>
      <c r="J79" s="531" t="s">
        <v>3043</v>
      </c>
      <c r="K79" s="392" t="s">
        <v>10880</v>
      </c>
      <c r="L79" s="392" t="s">
        <v>10881</v>
      </c>
      <c r="M79" s="690">
        <v>704036</v>
      </c>
      <c r="N79" s="393" t="s">
        <v>10882</v>
      </c>
      <c r="P79" s="394" t="s">
        <v>10883</v>
      </c>
    </row>
    <row r="80" spans="1:16" ht="15">
      <c r="A80" s="530" t="s">
        <v>10884</v>
      </c>
      <c r="B80" s="389" t="s">
        <v>1953</v>
      </c>
      <c r="C80" s="680" t="s">
        <v>1130</v>
      </c>
      <c r="D80" s="684">
        <v>67</v>
      </c>
      <c r="E80" s="695">
        <v>30422565</v>
      </c>
      <c r="F80" s="695">
        <v>996157892</v>
      </c>
      <c r="G80" s="390">
        <v>700502</v>
      </c>
      <c r="H80" s="391" t="s">
        <v>1954</v>
      </c>
      <c r="I80" s="391"/>
      <c r="J80" s="531" t="s">
        <v>10735</v>
      </c>
      <c r="K80" s="392"/>
      <c r="L80" s="392"/>
      <c r="M80" s="690">
        <v>700502</v>
      </c>
      <c r="N80" s="393" t="s">
        <v>10885</v>
      </c>
      <c r="P80" s="545" t="s">
        <v>10886</v>
      </c>
    </row>
    <row r="81" spans="1:34" ht="15">
      <c r="A81" s="530" t="s">
        <v>7098</v>
      </c>
      <c r="B81" s="389" t="s">
        <v>7093</v>
      </c>
      <c r="C81" s="680" t="s">
        <v>7094</v>
      </c>
      <c r="D81" s="684">
        <v>11</v>
      </c>
      <c r="E81" s="695">
        <v>35248383</v>
      </c>
      <c r="F81" s="695">
        <v>989535688</v>
      </c>
      <c r="G81" s="391">
        <v>703752</v>
      </c>
      <c r="H81" s="391" t="s">
        <v>7095</v>
      </c>
      <c r="I81" s="391" t="s">
        <v>2320</v>
      </c>
      <c r="J81" s="531" t="s">
        <v>3043</v>
      </c>
      <c r="K81" s="392" t="s">
        <v>7466</v>
      </c>
      <c r="L81" s="392" t="s">
        <v>7467</v>
      </c>
      <c r="M81" s="690">
        <v>703752</v>
      </c>
      <c r="N81" s="393" t="s">
        <v>7002</v>
      </c>
      <c r="P81" s="546"/>
    </row>
    <row r="82" spans="1:34" ht="15">
      <c r="A82" s="530" t="s">
        <v>10887</v>
      </c>
      <c r="B82" s="389" t="s">
        <v>4459</v>
      </c>
      <c r="C82" s="680" t="s">
        <v>4460</v>
      </c>
      <c r="D82" s="684">
        <v>61</v>
      </c>
      <c r="E82" s="695">
        <v>41419955</v>
      </c>
      <c r="F82" s="695">
        <v>983513041</v>
      </c>
      <c r="G82" s="390">
        <v>703591</v>
      </c>
      <c r="H82" s="391" t="s">
        <v>4461</v>
      </c>
      <c r="I82" s="391" t="s">
        <v>2335</v>
      </c>
      <c r="J82" s="531">
        <v>341</v>
      </c>
      <c r="K82" s="392" t="s">
        <v>4462</v>
      </c>
      <c r="L82" s="392" t="s">
        <v>4463</v>
      </c>
      <c r="M82" s="690">
        <v>703591</v>
      </c>
      <c r="N82" s="393" t="s">
        <v>4464</v>
      </c>
      <c r="P82" s="546"/>
    </row>
    <row r="83" spans="1:34" s="482" customFormat="1" ht="15" customHeight="1">
      <c r="A83" s="530" t="s">
        <v>10888</v>
      </c>
      <c r="B83" s="389" t="s">
        <v>10680</v>
      </c>
      <c r="C83" s="680" t="s">
        <v>10683</v>
      </c>
      <c r="D83" s="684">
        <v>61</v>
      </c>
      <c r="E83" s="695">
        <v>34356750</v>
      </c>
      <c r="F83" s="695"/>
      <c r="G83" s="390">
        <v>704044</v>
      </c>
      <c r="H83" s="391" t="s">
        <v>10681</v>
      </c>
      <c r="I83" s="391" t="s">
        <v>2335</v>
      </c>
      <c r="J83" s="531">
        <v>341</v>
      </c>
      <c r="K83" s="392" t="s">
        <v>2994</v>
      </c>
      <c r="L83" s="392" t="s">
        <v>10682</v>
      </c>
      <c r="M83" s="690">
        <v>704044</v>
      </c>
      <c r="N83" s="393" t="s">
        <v>10684</v>
      </c>
      <c r="P83" s="482" t="s">
        <v>10684</v>
      </c>
      <c r="AH83" s="394"/>
    </row>
    <row r="84" spans="1:34" s="482" customFormat="1" ht="15" customHeight="1">
      <c r="A84" s="530" t="s">
        <v>7051</v>
      </c>
      <c r="B84" s="389" t="s">
        <v>6934</v>
      </c>
      <c r="C84" s="680" t="s">
        <v>6935</v>
      </c>
      <c r="D84" s="684">
        <v>61</v>
      </c>
      <c r="E84" s="695">
        <v>33872808</v>
      </c>
      <c r="F84" s="695"/>
      <c r="G84" s="390">
        <v>703699</v>
      </c>
      <c r="H84" s="391" t="s">
        <v>6936</v>
      </c>
      <c r="I84" s="391" t="s">
        <v>2404</v>
      </c>
      <c r="J84" s="531" t="s">
        <v>3043</v>
      </c>
      <c r="K84" s="392" t="s">
        <v>10889</v>
      </c>
      <c r="L84" s="392" t="s">
        <v>10890</v>
      </c>
      <c r="M84" s="690">
        <v>703699</v>
      </c>
      <c r="N84" s="393" t="s">
        <v>6883</v>
      </c>
      <c r="P84" s="482" t="s">
        <v>10891</v>
      </c>
      <c r="AH84" s="394"/>
    </row>
    <row r="85" spans="1:34">
      <c r="A85" s="530" t="s">
        <v>10892</v>
      </c>
      <c r="B85" s="389" t="s">
        <v>4122</v>
      </c>
      <c r="C85" s="680" t="s">
        <v>4123</v>
      </c>
      <c r="D85" s="684">
        <v>61</v>
      </c>
      <c r="E85" s="695">
        <v>32541147</v>
      </c>
      <c r="F85" s="695"/>
      <c r="G85" s="390"/>
      <c r="H85" s="391" t="s">
        <v>4124</v>
      </c>
      <c r="I85" s="391" t="s">
        <v>3044</v>
      </c>
      <c r="J85" s="531">
        <v>341</v>
      </c>
      <c r="K85" s="392" t="s">
        <v>2994</v>
      </c>
      <c r="L85" s="392" t="s">
        <v>4125</v>
      </c>
      <c r="M85" s="690">
        <v>703462</v>
      </c>
      <c r="N85" s="393" t="s">
        <v>4126</v>
      </c>
    </row>
    <row r="86" spans="1:34">
      <c r="A86" s="530" t="s">
        <v>2989</v>
      </c>
      <c r="B86" s="389" t="s">
        <v>1955</v>
      </c>
      <c r="C86" s="680" t="s">
        <v>7068</v>
      </c>
      <c r="D86" s="684">
        <v>62</v>
      </c>
      <c r="E86" s="695">
        <v>30889700</v>
      </c>
      <c r="F86" s="695"/>
      <c r="G86" s="390">
        <v>700617</v>
      </c>
      <c r="H86" s="391" t="s">
        <v>1956</v>
      </c>
      <c r="I86" s="391" t="s">
        <v>2320</v>
      </c>
      <c r="J86" s="531" t="s">
        <v>3043</v>
      </c>
      <c r="K86" s="392" t="s">
        <v>3034</v>
      </c>
      <c r="L86" s="392" t="s">
        <v>2420</v>
      </c>
      <c r="M86" s="690">
        <v>700617</v>
      </c>
      <c r="N86" s="393" t="s">
        <v>919</v>
      </c>
      <c r="P86" s="394" t="s">
        <v>10893</v>
      </c>
    </row>
    <row r="87" spans="1:34">
      <c r="A87" s="530" t="s">
        <v>8556</v>
      </c>
      <c r="B87" s="389" t="s">
        <v>1957</v>
      </c>
      <c r="C87" s="680" t="s">
        <v>9483</v>
      </c>
      <c r="D87" s="684">
        <v>62</v>
      </c>
      <c r="E87" s="695">
        <v>33294300</v>
      </c>
      <c r="F87" s="695">
        <v>91449126</v>
      </c>
      <c r="G87" s="390">
        <v>702125</v>
      </c>
      <c r="H87" s="391" t="s">
        <v>1958</v>
      </c>
      <c r="I87" s="391" t="s">
        <v>2320</v>
      </c>
      <c r="J87" s="531" t="s">
        <v>3043</v>
      </c>
      <c r="K87" s="392" t="s">
        <v>2389</v>
      </c>
      <c r="L87" s="392" t="s">
        <v>2390</v>
      </c>
      <c r="M87" s="690">
        <v>702125</v>
      </c>
      <c r="N87" s="393" t="s">
        <v>1639</v>
      </c>
      <c r="P87" s="394" t="s">
        <v>10894</v>
      </c>
    </row>
    <row r="88" spans="1:34">
      <c r="A88" s="530" t="s">
        <v>10895</v>
      </c>
      <c r="B88" s="389" t="s">
        <v>1959</v>
      </c>
      <c r="C88" s="597" t="s">
        <v>1594</v>
      </c>
      <c r="D88" s="684">
        <v>62</v>
      </c>
      <c r="E88" s="695">
        <v>32848732</v>
      </c>
      <c r="F88" s="695"/>
      <c r="G88" s="390">
        <v>702916</v>
      </c>
      <c r="H88" s="391" t="s">
        <v>1960</v>
      </c>
      <c r="I88" s="391" t="s">
        <v>2350</v>
      </c>
      <c r="J88" s="531">
        <v>237</v>
      </c>
      <c r="K88" s="392" t="s">
        <v>2363</v>
      </c>
      <c r="L88" s="392" t="s">
        <v>2499</v>
      </c>
      <c r="M88" s="691">
        <v>702916</v>
      </c>
      <c r="N88" s="393" t="s">
        <v>1593</v>
      </c>
    </row>
    <row r="89" spans="1:34">
      <c r="A89" s="530" t="s">
        <v>3663</v>
      </c>
      <c r="B89" s="389" t="s">
        <v>1961</v>
      </c>
      <c r="C89" s="680" t="s">
        <v>3961</v>
      </c>
      <c r="D89" s="684">
        <v>61</v>
      </c>
      <c r="E89" s="695">
        <v>30265140</v>
      </c>
      <c r="F89" s="695">
        <v>999373652</v>
      </c>
      <c r="G89" s="390">
        <v>3510</v>
      </c>
      <c r="H89" s="391" t="s">
        <v>1962</v>
      </c>
      <c r="I89" s="391" t="s">
        <v>2320</v>
      </c>
      <c r="J89" s="531" t="s">
        <v>3043</v>
      </c>
      <c r="K89" s="392" t="s">
        <v>2530</v>
      </c>
      <c r="L89" s="392" t="s">
        <v>2531</v>
      </c>
      <c r="M89" s="690">
        <v>3510</v>
      </c>
      <c r="N89" s="393" t="s">
        <v>2547</v>
      </c>
      <c r="P89" s="394" t="s">
        <v>10896</v>
      </c>
    </row>
    <row r="90" spans="1:34">
      <c r="A90" s="530" t="s">
        <v>8694</v>
      </c>
      <c r="B90" s="389" t="s">
        <v>2782</v>
      </c>
      <c r="C90" s="680" t="s">
        <v>2783</v>
      </c>
      <c r="D90" s="684">
        <v>16</v>
      </c>
      <c r="E90" s="695">
        <v>39632829</v>
      </c>
      <c r="F90" s="695">
        <v>993643235</v>
      </c>
      <c r="G90" s="390">
        <v>702755</v>
      </c>
      <c r="H90" s="391" t="s">
        <v>2845</v>
      </c>
      <c r="I90" s="391" t="s">
        <v>2320</v>
      </c>
      <c r="J90" s="531" t="s">
        <v>3043</v>
      </c>
      <c r="K90" s="392" t="s">
        <v>2846</v>
      </c>
      <c r="L90" s="392" t="s">
        <v>2847</v>
      </c>
      <c r="M90" s="690">
        <v>702755</v>
      </c>
      <c r="N90" s="393" t="s">
        <v>2782</v>
      </c>
      <c r="P90" s="394" t="s">
        <v>10897</v>
      </c>
    </row>
    <row r="91" spans="1:34">
      <c r="A91" s="530" t="s">
        <v>10898</v>
      </c>
      <c r="B91" s="389" t="s">
        <v>9187</v>
      </c>
      <c r="C91" s="680" t="s">
        <v>9188</v>
      </c>
      <c r="D91" s="684">
        <v>61</v>
      </c>
      <c r="F91" s="695">
        <v>991215443</v>
      </c>
      <c r="G91" s="390">
        <v>703865</v>
      </c>
      <c r="H91" s="391" t="s">
        <v>9189</v>
      </c>
      <c r="I91" s="391" t="s">
        <v>2350</v>
      </c>
      <c r="J91" s="531">
        <v>237</v>
      </c>
      <c r="K91" s="392" t="s">
        <v>10899</v>
      </c>
      <c r="L91" s="392" t="s">
        <v>10900</v>
      </c>
      <c r="M91" s="690">
        <v>703865</v>
      </c>
      <c r="N91" s="393" t="s">
        <v>10901</v>
      </c>
    </row>
    <row r="92" spans="1:34">
      <c r="A92" s="530" t="s">
        <v>5754</v>
      </c>
      <c r="B92" s="389" t="s">
        <v>1714</v>
      </c>
      <c r="C92" s="680" t="s">
        <v>1715</v>
      </c>
      <c r="D92" s="684">
        <v>31</v>
      </c>
      <c r="E92" s="695">
        <v>31156000</v>
      </c>
      <c r="F92" s="695"/>
      <c r="G92" s="390">
        <v>701352</v>
      </c>
      <c r="H92" s="391" t="s">
        <v>3922</v>
      </c>
      <c r="I92" s="391" t="s">
        <v>2335</v>
      </c>
      <c r="J92" s="531">
        <v>341</v>
      </c>
      <c r="K92" s="392" t="s">
        <v>4188</v>
      </c>
      <c r="L92" s="392" t="s">
        <v>4189</v>
      </c>
      <c r="M92" s="690">
        <v>701352</v>
      </c>
      <c r="N92" s="393" t="s">
        <v>1713</v>
      </c>
    </row>
    <row r="93" spans="1:34">
      <c r="A93" s="530" t="s">
        <v>10902</v>
      </c>
      <c r="B93" s="389" t="s">
        <v>1748</v>
      </c>
      <c r="C93" s="680" t="s">
        <v>692</v>
      </c>
      <c r="D93" s="684">
        <v>61</v>
      </c>
      <c r="E93" s="695">
        <v>30363309</v>
      </c>
      <c r="F93" s="695"/>
      <c r="G93" s="390"/>
      <c r="H93" s="391"/>
      <c r="I93" s="391"/>
      <c r="J93" s="531" t="s">
        <v>10735</v>
      </c>
      <c r="K93" s="392"/>
      <c r="L93" s="392"/>
      <c r="M93" s="690"/>
      <c r="N93" s="393" t="s">
        <v>1305</v>
      </c>
    </row>
    <row r="94" spans="1:34">
      <c r="A94" s="530" t="s">
        <v>10903</v>
      </c>
      <c r="B94" s="389" t="s">
        <v>3023</v>
      </c>
      <c r="C94" s="680" t="s">
        <v>6832</v>
      </c>
      <c r="D94" s="684">
        <v>62</v>
      </c>
      <c r="E94" s="695">
        <v>39427141</v>
      </c>
      <c r="F94" s="695">
        <v>992948047</v>
      </c>
      <c r="G94" s="390">
        <v>702562</v>
      </c>
      <c r="H94" s="391" t="s">
        <v>3024</v>
      </c>
      <c r="I94" s="391" t="s">
        <v>2320</v>
      </c>
      <c r="J94" s="531" t="s">
        <v>3043</v>
      </c>
      <c r="K94" s="392" t="s">
        <v>3025</v>
      </c>
      <c r="L94" s="392" t="s">
        <v>3026</v>
      </c>
      <c r="M94" s="690">
        <v>702562</v>
      </c>
      <c r="N94" s="393" t="s">
        <v>3027</v>
      </c>
    </row>
    <row r="95" spans="1:34">
      <c r="A95" s="530" t="s">
        <v>10904</v>
      </c>
      <c r="B95" s="389" t="s">
        <v>8862</v>
      </c>
      <c r="C95" s="680" t="s">
        <v>8865</v>
      </c>
      <c r="D95" s="684">
        <v>61</v>
      </c>
      <c r="E95" s="695"/>
      <c r="F95" s="695">
        <v>993006091</v>
      </c>
      <c r="G95" s="390">
        <v>700777</v>
      </c>
      <c r="H95" s="391" t="s">
        <v>8863</v>
      </c>
      <c r="I95" s="391"/>
      <c r="J95" s="531" t="s">
        <v>10735</v>
      </c>
      <c r="K95" s="392"/>
      <c r="L95" s="392"/>
      <c r="M95" s="690">
        <v>700777</v>
      </c>
      <c r="N95" s="393" t="s">
        <v>8864</v>
      </c>
    </row>
    <row r="96" spans="1:34">
      <c r="A96" s="530" t="s">
        <v>10905</v>
      </c>
      <c r="B96" s="389" t="s">
        <v>10906</v>
      </c>
      <c r="C96" s="680" t="s">
        <v>10907</v>
      </c>
      <c r="D96" s="684">
        <v>61</v>
      </c>
      <c r="E96" s="695">
        <v>39635393</v>
      </c>
      <c r="F96" s="695">
        <v>993039631</v>
      </c>
      <c r="G96" s="390">
        <v>704160</v>
      </c>
      <c r="H96" s="391" t="s">
        <v>10908</v>
      </c>
      <c r="I96" s="391" t="s">
        <v>2335</v>
      </c>
      <c r="J96" s="531">
        <v>341</v>
      </c>
      <c r="K96" s="392" t="s">
        <v>2392</v>
      </c>
      <c r="L96" s="392" t="s">
        <v>10909</v>
      </c>
      <c r="M96" s="690">
        <v>704160</v>
      </c>
      <c r="N96" s="393" t="s">
        <v>10910</v>
      </c>
    </row>
    <row r="97" spans="1:16">
      <c r="A97" s="530" t="s">
        <v>10911</v>
      </c>
      <c r="B97" s="389" t="s">
        <v>1963</v>
      </c>
      <c r="C97" s="680" t="s">
        <v>692</v>
      </c>
      <c r="D97" s="684">
        <v>61</v>
      </c>
      <c r="E97" s="695">
        <v>34912062</v>
      </c>
      <c r="F97" s="695"/>
      <c r="G97" s="390">
        <v>700777</v>
      </c>
      <c r="H97" s="391" t="s">
        <v>1964</v>
      </c>
      <c r="I97" s="391" t="s">
        <v>2321</v>
      </c>
      <c r="J97" s="531" t="s">
        <v>3050</v>
      </c>
      <c r="K97" s="392" t="s">
        <v>2346</v>
      </c>
      <c r="L97" s="392" t="s">
        <v>2394</v>
      </c>
      <c r="M97" s="690">
        <v>700777</v>
      </c>
      <c r="N97" s="393" t="s">
        <v>762</v>
      </c>
    </row>
    <row r="98" spans="1:16">
      <c r="A98" s="530" t="s">
        <v>10912</v>
      </c>
      <c r="B98" s="389" t="s">
        <v>1966</v>
      </c>
      <c r="C98" s="680" t="s">
        <v>692</v>
      </c>
      <c r="D98" s="684">
        <v>61</v>
      </c>
      <c r="E98" s="695">
        <v>30472094</v>
      </c>
      <c r="F98" s="695"/>
      <c r="G98" s="390">
        <v>702481</v>
      </c>
      <c r="H98" s="391" t="s">
        <v>1967</v>
      </c>
      <c r="I98" s="391"/>
      <c r="J98" s="531" t="s">
        <v>10735</v>
      </c>
      <c r="K98" s="392"/>
      <c r="L98" s="392"/>
      <c r="M98" s="690">
        <v>702481</v>
      </c>
      <c r="N98" s="393" t="s">
        <v>1965</v>
      </c>
    </row>
    <row r="99" spans="1:16">
      <c r="A99" s="530" t="s">
        <v>10913</v>
      </c>
      <c r="B99" s="389" t="s">
        <v>1968</v>
      </c>
      <c r="C99" s="680" t="s">
        <v>1500</v>
      </c>
      <c r="D99" s="684">
        <v>61</v>
      </c>
      <c r="E99" s="695">
        <v>32456892</v>
      </c>
      <c r="F99" s="695"/>
      <c r="G99" s="390">
        <v>3543</v>
      </c>
      <c r="H99" s="391" t="s">
        <v>1969</v>
      </c>
      <c r="I99" s="391" t="s">
        <v>2321</v>
      </c>
      <c r="J99" s="531" t="s">
        <v>3050</v>
      </c>
      <c r="K99" s="392" t="s">
        <v>2378</v>
      </c>
      <c r="L99" s="392" t="s">
        <v>2379</v>
      </c>
      <c r="M99" s="690">
        <v>3543</v>
      </c>
      <c r="N99" s="393" t="s">
        <v>1217</v>
      </c>
    </row>
    <row r="100" spans="1:16">
      <c r="A100" s="530" t="s">
        <v>10914</v>
      </c>
      <c r="B100" s="389" t="s">
        <v>1970</v>
      </c>
      <c r="C100" s="680" t="s">
        <v>704</v>
      </c>
      <c r="D100" s="684">
        <v>61</v>
      </c>
      <c r="E100" s="695">
        <v>30340909</v>
      </c>
      <c r="F100" s="695"/>
      <c r="G100" s="390">
        <v>700787</v>
      </c>
      <c r="H100" s="391" t="s">
        <v>1971</v>
      </c>
      <c r="I100" s="391"/>
      <c r="J100" s="531" t="s">
        <v>10735</v>
      </c>
      <c r="K100" s="392"/>
      <c r="L100" s="392"/>
      <c r="M100" s="690">
        <v>700787</v>
      </c>
      <c r="N100" s="393" t="s">
        <v>761</v>
      </c>
    </row>
    <row r="101" spans="1:16">
      <c r="A101" s="530" t="s">
        <v>9344</v>
      </c>
      <c r="B101" s="389" t="s">
        <v>9634</v>
      </c>
      <c r="C101" s="680" t="s">
        <v>9340</v>
      </c>
      <c r="D101" s="684">
        <v>11</v>
      </c>
      <c r="E101" s="703"/>
      <c r="F101" s="695">
        <v>999979555</v>
      </c>
      <c r="G101" s="390"/>
      <c r="H101" s="391" t="s">
        <v>9339</v>
      </c>
      <c r="I101" s="391" t="s">
        <v>9341</v>
      </c>
      <c r="J101" s="531" t="s">
        <v>10735</v>
      </c>
      <c r="K101" s="392" t="s">
        <v>9342</v>
      </c>
      <c r="L101" s="392" t="s">
        <v>9343</v>
      </c>
      <c r="M101" s="690">
        <v>703936</v>
      </c>
      <c r="N101" s="393" t="s">
        <v>9211</v>
      </c>
    </row>
    <row r="102" spans="1:16">
      <c r="A102" s="530" t="s">
        <v>10915</v>
      </c>
      <c r="B102" s="389" t="s">
        <v>4051</v>
      </c>
      <c r="C102" s="680" t="s">
        <v>821</v>
      </c>
      <c r="D102" s="684" t="s">
        <v>5888</v>
      </c>
      <c r="E102" s="695"/>
      <c r="F102" s="695"/>
      <c r="G102" s="390">
        <v>700905</v>
      </c>
      <c r="H102" s="391" t="s">
        <v>4052</v>
      </c>
      <c r="I102" s="391"/>
      <c r="J102" s="531" t="s">
        <v>10735</v>
      </c>
      <c r="K102" s="392"/>
      <c r="L102" s="392"/>
      <c r="M102" s="690">
        <v>700905</v>
      </c>
      <c r="N102" s="393" t="s">
        <v>4051</v>
      </c>
      <c r="P102" s="394" t="s">
        <v>10916</v>
      </c>
    </row>
    <row r="103" spans="1:16">
      <c r="A103" s="530" t="s">
        <v>10917</v>
      </c>
      <c r="B103" s="389" t="s">
        <v>1972</v>
      </c>
      <c r="C103" s="680" t="s">
        <v>706</v>
      </c>
      <c r="D103" s="684">
        <v>61</v>
      </c>
      <c r="E103" s="695"/>
      <c r="F103" s="695">
        <v>985459766</v>
      </c>
      <c r="G103" s="390">
        <v>701796</v>
      </c>
      <c r="H103" s="391" t="s">
        <v>1973</v>
      </c>
      <c r="I103" s="391" t="s">
        <v>2329</v>
      </c>
      <c r="J103" s="531">
        <v>104</v>
      </c>
      <c r="K103" s="392" t="s">
        <v>2454</v>
      </c>
      <c r="L103" s="392" t="s">
        <v>2459</v>
      </c>
      <c r="M103" s="690">
        <v>701796</v>
      </c>
      <c r="N103" s="393" t="s">
        <v>756</v>
      </c>
    </row>
    <row r="104" spans="1:16">
      <c r="A104" s="530" t="s">
        <v>10918</v>
      </c>
      <c r="B104" s="389" t="s">
        <v>10919</v>
      </c>
      <c r="C104" s="680" t="s">
        <v>2862</v>
      </c>
      <c r="D104" s="684">
        <v>61</v>
      </c>
      <c r="E104" s="695"/>
      <c r="F104" s="695">
        <v>995980480</v>
      </c>
      <c r="G104" s="390"/>
      <c r="H104" s="391" t="s">
        <v>2863</v>
      </c>
      <c r="I104" s="391"/>
      <c r="J104" s="531" t="s">
        <v>10735</v>
      </c>
      <c r="K104" s="392"/>
      <c r="L104" s="392"/>
      <c r="M104" s="690"/>
      <c r="N104" s="393" t="s">
        <v>2861</v>
      </c>
    </row>
    <row r="105" spans="1:16">
      <c r="A105" s="530" t="s">
        <v>10920</v>
      </c>
      <c r="B105" s="389" t="s">
        <v>10921</v>
      </c>
      <c r="C105" s="680"/>
      <c r="D105" s="684">
        <v>61</v>
      </c>
      <c r="E105" s="695">
        <v>32725564</v>
      </c>
      <c r="F105" s="695">
        <v>991215443</v>
      </c>
      <c r="G105" s="390"/>
      <c r="H105" s="391"/>
      <c r="I105" s="391"/>
      <c r="J105" s="531" t="s">
        <v>10735</v>
      </c>
      <c r="K105" s="392"/>
      <c r="L105" s="392"/>
      <c r="M105" s="690"/>
      <c r="N105" s="393" t="s">
        <v>10922</v>
      </c>
    </row>
    <row r="106" spans="1:16">
      <c r="A106" s="530" t="s">
        <v>4401</v>
      </c>
      <c r="B106" s="389" t="s">
        <v>1975</v>
      </c>
      <c r="C106" s="680" t="s">
        <v>9482</v>
      </c>
      <c r="D106" s="684">
        <v>61</v>
      </c>
      <c r="E106" s="695">
        <v>38639512</v>
      </c>
      <c r="F106" s="695">
        <v>982567292</v>
      </c>
      <c r="G106" s="390">
        <v>114</v>
      </c>
      <c r="H106" s="391" t="s">
        <v>1976</v>
      </c>
      <c r="I106" s="391" t="s">
        <v>2320</v>
      </c>
      <c r="J106" s="531" t="s">
        <v>3043</v>
      </c>
      <c r="K106" s="392" t="s">
        <v>2523</v>
      </c>
      <c r="L106" s="392" t="s">
        <v>2524</v>
      </c>
      <c r="M106" s="690">
        <v>114</v>
      </c>
      <c r="N106" s="393" t="s">
        <v>1974</v>
      </c>
      <c r="P106" s="394" t="s">
        <v>10923</v>
      </c>
    </row>
    <row r="107" spans="1:16">
      <c r="A107" s="530" t="s">
        <v>10924</v>
      </c>
      <c r="B107" s="389" t="s">
        <v>8369</v>
      </c>
      <c r="C107" s="680" t="s">
        <v>8370</v>
      </c>
      <c r="D107" s="684">
        <v>61</v>
      </c>
      <c r="E107" s="695">
        <v>32346028</v>
      </c>
      <c r="F107" s="695">
        <v>999492824</v>
      </c>
      <c r="G107" s="390">
        <v>703877</v>
      </c>
      <c r="H107" s="391" t="s">
        <v>8371</v>
      </c>
      <c r="I107" s="391" t="s">
        <v>2321</v>
      </c>
      <c r="J107" s="531" t="s">
        <v>3050</v>
      </c>
      <c r="K107" s="392" t="s">
        <v>8372</v>
      </c>
      <c r="L107" s="392" t="s">
        <v>8373</v>
      </c>
      <c r="M107" s="690">
        <v>703877</v>
      </c>
      <c r="N107" s="393" t="s">
        <v>10925</v>
      </c>
    </row>
    <row r="108" spans="1:16">
      <c r="A108" s="530" t="s">
        <v>10926</v>
      </c>
      <c r="B108" s="389" t="s">
        <v>10927</v>
      </c>
      <c r="C108" s="680"/>
      <c r="D108" s="684">
        <v>11</v>
      </c>
      <c r="E108" s="695">
        <v>50932527</v>
      </c>
      <c r="F108" s="695"/>
      <c r="G108" s="390">
        <v>703464</v>
      </c>
      <c r="H108" s="391" t="s">
        <v>5879</v>
      </c>
      <c r="I108" s="391" t="s">
        <v>2335</v>
      </c>
      <c r="J108" s="531">
        <v>341</v>
      </c>
      <c r="K108" s="392" t="s">
        <v>5880</v>
      </c>
      <c r="L108" s="392" t="s">
        <v>5881</v>
      </c>
      <c r="M108" s="690">
        <v>703464</v>
      </c>
      <c r="N108" s="393" t="s">
        <v>5882</v>
      </c>
    </row>
    <row r="109" spans="1:16">
      <c r="A109" s="530" t="s">
        <v>10928</v>
      </c>
      <c r="B109" s="389" t="s">
        <v>1977</v>
      </c>
      <c r="C109" s="680" t="s">
        <v>817</v>
      </c>
      <c r="D109" s="684">
        <v>61</v>
      </c>
      <c r="E109" s="695">
        <v>33146256</v>
      </c>
      <c r="F109" s="695"/>
      <c r="G109" s="390">
        <v>2046</v>
      </c>
      <c r="H109" s="391" t="s">
        <v>1978</v>
      </c>
      <c r="I109" s="391"/>
      <c r="J109" s="531" t="s">
        <v>10735</v>
      </c>
      <c r="K109" s="392"/>
      <c r="L109" s="392"/>
      <c r="M109" s="690">
        <v>2046</v>
      </c>
      <c r="N109" s="393" t="s">
        <v>10929</v>
      </c>
    </row>
    <row r="110" spans="1:16">
      <c r="A110" s="530" t="s">
        <v>10930</v>
      </c>
      <c r="B110" s="389" t="s">
        <v>3470</v>
      </c>
      <c r="C110" s="680" t="s">
        <v>692</v>
      </c>
      <c r="D110" s="684">
        <v>61</v>
      </c>
      <c r="E110" s="695">
        <v>32579943</v>
      </c>
      <c r="F110" s="695"/>
      <c r="G110" s="390">
        <v>703292</v>
      </c>
      <c r="H110" s="391" t="s">
        <v>6677</v>
      </c>
      <c r="I110" s="391"/>
      <c r="J110" s="531" t="s">
        <v>10735</v>
      </c>
      <c r="K110" s="392"/>
      <c r="L110" s="392"/>
      <c r="M110" s="690">
        <v>703292</v>
      </c>
      <c r="N110" s="393" t="s">
        <v>3471</v>
      </c>
    </row>
    <row r="111" spans="1:16">
      <c r="A111" s="530" t="s">
        <v>10931</v>
      </c>
      <c r="B111" s="389" t="s">
        <v>1979</v>
      </c>
      <c r="C111" s="680" t="s">
        <v>869</v>
      </c>
      <c r="D111" s="684">
        <v>61</v>
      </c>
      <c r="E111" s="695">
        <v>30381011</v>
      </c>
      <c r="F111" s="695">
        <v>981900176</v>
      </c>
      <c r="G111" s="390">
        <v>700796</v>
      </c>
      <c r="H111" s="391" t="s">
        <v>1980</v>
      </c>
      <c r="I111" s="391" t="s">
        <v>2431</v>
      </c>
      <c r="J111" s="531">
        <v>237</v>
      </c>
      <c r="K111" s="392" t="s">
        <v>2432</v>
      </c>
      <c r="L111" s="392" t="s">
        <v>2433</v>
      </c>
      <c r="M111" s="690">
        <v>700796</v>
      </c>
      <c r="N111" s="393" t="s">
        <v>823</v>
      </c>
    </row>
    <row r="112" spans="1:16">
      <c r="A112" s="530" t="s">
        <v>10932</v>
      </c>
      <c r="B112" s="389" t="s">
        <v>1981</v>
      </c>
      <c r="C112" s="680" t="s">
        <v>1569</v>
      </c>
      <c r="D112" s="684">
        <v>62</v>
      </c>
      <c r="F112" s="695">
        <v>982270006</v>
      </c>
      <c r="G112" s="390">
        <v>702700</v>
      </c>
      <c r="H112" s="391" t="s">
        <v>1982</v>
      </c>
      <c r="I112" s="391"/>
      <c r="J112" s="531" t="s">
        <v>10735</v>
      </c>
      <c r="K112" s="392"/>
      <c r="L112" s="392"/>
      <c r="M112" s="690">
        <v>702700</v>
      </c>
      <c r="N112" s="393" t="s">
        <v>1568</v>
      </c>
    </row>
    <row r="113" spans="1:16">
      <c r="A113" s="530" t="s">
        <v>10411</v>
      </c>
      <c r="B113" s="389" t="s">
        <v>9362</v>
      </c>
      <c r="C113" s="680" t="s">
        <v>9363</v>
      </c>
      <c r="D113" s="684">
        <v>62</v>
      </c>
      <c r="F113" s="695">
        <v>992036841</v>
      </c>
      <c r="G113" s="390">
        <v>703930</v>
      </c>
      <c r="H113" s="391" t="s">
        <v>9364</v>
      </c>
      <c r="I113" s="391" t="s">
        <v>2333</v>
      </c>
      <c r="J113" s="531" t="s">
        <v>3052</v>
      </c>
      <c r="K113" s="392" t="s">
        <v>10933</v>
      </c>
      <c r="L113" s="392" t="s">
        <v>10934</v>
      </c>
      <c r="M113" s="690">
        <v>703930</v>
      </c>
      <c r="N113" s="393" t="s">
        <v>9365</v>
      </c>
    </row>
    <row r="114" spans="1:16">
      <c r="A114" s="530" t="s">
        <v>8897</v>
      </c>
      <c r="B114" s="389" t="s">
        <v>8367</v>
      </c>
      <c r="C114" s="680" t="s">
        <v>8898</v>
      </c>
      <c r="D114" s="684">
        <v>61</v>
      </c>
      <c r="E114" s="695">
        <v>33891411</v>
      </c>
      <c r="F114" s="695">
        <v>85759685</v>
      </c>
      <c r="G114" s="390"/>
      <c r="H114" s="391" t="s">
        <v>10935</v>
      </c>
      <c r="I114" s="391" t="s">
        <v>2321</v>
      </c>
      <c r="J114" s="531" t="s">
        <v>3050</v>
      </c>
      <c r="K114" s="392" t="s">
        <v>9417</v>
      </c>
      <c r="L114" s="392" t="s">
        <v>9418</v>
      </c>
      <c r="M114" s="690"/>
      <c r="N114" s="393" t="s">
        <v>8275</v>
      </c>
    </row>
    <row r="115" spans="1:16">
      <c r="A115" s="530" t="s">
        <v>10936</v>
      </c>
      <c r="B115" s="547" t="s">
        <v>1983</v>
      </c>
      <c r="C115" s="680" t="s">
        <v>1054</v>
      </c>
      <c r="D115" s="684">
        <v>11</v>
      </c>
      <c r="E115" s="695">
        <v>29778266</v>
      </c>
      <c r="F115" s="695"/>
      <c r="G115" s="390">
        <v>701963</v>
      </c>
      <c r="H115" s="391" t="s">
        <v>1984</v>
      </c>
      <c r="I115" s="391"/>
      <c r="J115" s="531" t="s">
        <v>10735</v>
      </c>
      <c r="K115" s="392"/>
      <c r="L115" s="392"/>
      <c r="M115" s="690">
        <v>701963</v>
      </c>
      <c r="N115" s="393" t="s">
        <v>1053</v>
      </c>
    </row>
    <row r="116" spans="1:16">
      <c r="A116" s="530" t="s">
        <v>10937</v>
      </c>
      <c r="B116" s="389" t="s">
        <v>1985</v>
      </c>
      <c r="C116" s="680" t="s">
        <v>1435</v>
      </c>
      <c r="D116" s="684">
        <v>62</v>
      </c>
      <c r="E116" s="695">
        <v>39984950</v>
      </c>
      <c r="F116" s="695"/>
      <c r="G116" s="390">
        <v>702207</v>
      </c>
      <c r="H116" s="391" t="s">
        <v>1986</v>
      </c>
      <c r="I116" s="391" t="s">
        <v>2320</v>
      </c>
      <c r="J116" s="531" t="s">
        <v>3043</v>
      </c>
      <c r="K116" s="392" t="s">
        <v>2434</v>
      </c>
      <c r="L116" s="392" t="s">
        <v>2435</v>
      </c>
      <c r="M116" s="690">
        <v>702207</v>
      </c>
      <c r="N116" s="393" t="s">
        <v>1155</v>
      </c>
    </row>
    <row r="117" spans="1:16">
      <c r="A117" s="530" t="s">
        <v>10938</v>
      </c>
      <c r="B117" s="389" t="s">
        <v>4443</v>
      </c>
      <c r="C117" s="680" t="s">
        <v>4444</v>
      </c>
      <c r="D117" s="684">
        <v>16</v>
      </c>
      <c r="E117" s="695">
        <v>40045454</v>
      </c>
      <c r="F117" s="695">
        <v>981016794</v>
      </c>
      <c r="G117" s="390">
        <v>703599</v>
      </c>
      <c r="H117" s="391" t="s">
        <v>4445</v>
      </c>
      <c r="I117" s="391" t="s">
        <v>2320</v>
      </c>
      <c r="J117" s="531" t="s">
        <v>3043</v>
      </c>
      <c r="K117" s="392" t="s">
        <v>2846</v>
      </c>
      <c r="L117" s="392" t="s">
        <v>4446</v>
      </c>
      <c r="M117" s="690">
        <v>703599</v>
      </c>
      <c r="N117" s="393" t="s">
        <v>4447</v>
      </c>
    </row>
    <row r="118" spans="1:16" ht="12" customHeight="1">
      <c r="A118" s="530" t="s">
        <v>10939</v>
      </c>
      <c r="B118" s="389" t="s">
        <v>2790</v>
      </c>
      <c r="C118" s="680" t="s">
        <v>2791</v>
      </c>
      <c r="D118" s="684">
        <v>61</v>
      </c>
      <c r="E118" s="695">
        <v>39679186</v>
      </c>
      <c r="F118" s="695"/>
      <c r="G118" s="390">
        <v>703098</v>
      </c>
      <c r="H118" s="391" t="s">
        <v>2792</v>
      </c>
      <c r="I118" s="391" t="s">
        <v>2350</v>
      </c>
      <c r="J118" s="531">
        <v>237</v>
      </c>
      <c r="K118" s="392" t="s">
        <v>2793</v>
      </c>
      <c r="L118" s="392" t="s">
        <v>2811</v>
      </c>
      <c r="M118" s="690">
        <v>703098</v>
      </c>
      <c r="N118" s="393" t="s">
        <v>2751</v>
      </c>
    </row>
    <row r="119" spans="1:16">
      <c r="A119" s="530" t="s">
        <v>10940</v>
      </c>
      <c r="B119" s="389" t="s">
        <v>1987</v>
      </c>
      <c r="C119" s="680" t="s">
        <v>975</v>
      </c>
      <c r="D119" s="684">
        <v>61</v>
      </c>
      <c r="E119" s="695">
        <v>30373772</v>
      </c>
      <c r="F119" s="695"/>
      <c r="G119" s="390">
        <v>701032</v>
      </c>
      <c r="H119" s="391" t="s">
        <v>1988</v>
      </c>
      <c r="I119" s="391"/>
      <c r="J119" s="531" t="s">
        <v>10735</v>
      </c>
      <c r="K119" s="392"/>
      <c r="L119" s="392"/>
      <c r="M119" s="690">
        <v>701032</v>
      </c>
      <c r="N119" s="393" t="s">
        <v>974</v>
      </c>
    </row>
    <row r="120" spans="1:16">
      <c r="A120" s="530" t="s">
        <v>8924</v>
      </c>
      <c r="B120" s="389" t="s">
        <v>9421</v>
      </c>
      <c r="C120" s="680" t="s">
        <v>6859</v>
      </c>
      <c r="D120" s="684">
        <v>61</v>
      </c>
      <c r="E120" s="695">
        <v>81994595</v>
      </c>
      <c r="F120" s="695"/>
      <c r="G120" s="390">
        <v>703689</v>
      </c>
      <c r="H120" s="391" t="s">
        <v>6860</v>
      </c>
      <c r="I120" s="391" t="s">
        <v>2350</v>
      </c>
      <c r="J120" s="531">
        <v>237</v>
      </c>
      <c r="K120" s="392" t="s">
        <v>6846</v>
      </c>
      <c r="L120" s="392" t="s">
        <v>10941</v>
      </c>
      <c r="M120" s="690">
        <v>703689</v>
      </c>
      <c r="N120" s="393" t="s">
        <v>6761</v>
      </c>
    </row>
    <row r="121" spans="1:16">
      <c r="A121" s="530" t="s">
        <v>10942</v>
      </c>
      <c r="B121" s="389" t="s">
        <v>1989</v>
      </c>
      <c r="C121" s="680" t="s">
        <v>1543</v>
      </c>
      <c r="D121" s="684">
        <v>61</v>
      </c>
      <c r="E121" s="695">
        <v>30472222</v>
      </c>
      <c r="F121" s="695"/>
      <c r="G121" s="390">
        <v>701027</v>
      </c>
      <c r="H121" s="391" t="s">
        <v>1990</v>
      </c>
      <c r="I121" s="391" t="s">
        <v>2320</v>
      </c>
      <c r="J121" s="531" t="s">
        <v>3043</v>
      </c>
      <c r="K121" s="392" t="s">
        <v>3667</v>
      </c>
      <c r="L121" s="392" t="s">
        <v>2462</v>
      </c>
      <c r="M121" s="690">
        <v>701027</v>
      </c>
      <c r="N121" s="393" t="s">
        <v>1310</v>
      </c>
    </row>
    <row r="122" spans="1:16">
      <c r="A122" s="530" t="s">
        <v>10943</v>
      </c>
      <c r="B122" s="389" t="s">
        <v>1991</v>
      </c>
      <c r="C122" s="680" t="s">
        <v>1135</v>
      </c>
      <c r="D122" s="684">
        <v>61</v>
      </c>
      <c r="E122" s="695">
        <v>33813661</v>
      </c>
      <c r="F122" s="695"/>
      <c r="G122" s="390">
        <v>1858</v>
      </c>
      <c r="H122" s="391" t="s">
        <v>1992</v>
      </c>
      <c r="I122" s="391"/>
      <c r="J122" s="531" t="s">
        <v>10735</v>
      </c>
      <c r="K122" s="392"/>
      <c r="L122" s="392"/>
      <c r="M122" s="690">
        <v>1858</v>
      </c>
      <c r="N122" s="393" t="s">
        <v>1134</v>
      </c>
    </row>
    <row r="123" spans="1:16">
      <c r="A123" s="530" t="s">
        <v>10944</v>
      </c>
      <c r="B123" s="389" t="s">
        <v>8567</v>
      </c>
      <c r="C123" s="680" t="s">
        <v>8568</v>
      </c>
      <c r="D123" s="684">
        <v>11</v>
      </c>
      <c r="E123" s="695">
        <v>36436977</v>
      </c>
      <c r="F123" s="695"/>
      <c r="G123" s="390">
        <v>703898</v>
      </c>
      <c r="H123" s="391" t="s">
        <v>8569</v>
      </c>
      <c r="I123" s="391"/>
      <c r="J123" s="531" t="s">
        <v>10735</v>
      </c>
      <c r="K123" s="392"/>
      <c r="L123" s="392"/>
      <c r="M123" s="690">
        <v>703898</v>
      </c>
      <c r="N123" s="393" t="s">
        <v>8570</v>
      </c>
    </row>
    <row r="124" spans="1:16">
      <c r="A124" s="530" t="s">
        <v>10945</v>
      </c>
      <c r="B124" s="389" t="s">
        <v>3604</v>
      </c>
      <c r="C124" s="680" t="s">
        <v>4053</v>
      </c>
      <c r="D124" s="684" t="s">
        <v>5888</v>
      </c>
      <c r="E124" s="695"/>
      <c r="F124" s="695"/>
      <c r="G124" s="390">
        <v>703322</v>
      </c>
      <c r="H124" s="391" t="s">
        <v>3605</v>
      </c>
      <c r="I124" s="391"/>
      <c r="J124" s="531" t="s">
        <v>10735</v>
      </c>
      <c r="K124" s="392"/>
      <c r="L124" s="392"/>
      <c r="M124" s="690">
        <v>703322</v>
      </c>
      <c r="N124" s="393" t="s">
        <v>3606</v>
      </c>
    </row>
    <row r="125" spans="1:16">
      <c r="A125" s="530" t="s">
        <v>10946</v>
      </c>
      <c r="B125" s="389" t="s">
        <v>1993</v>
      </c>
      <c r="C125" s="680" t="s">
        <v>1815</v>
      </c>
      <c r="D125" s="684">
        <v>62</v>
      </c>
      <c r="E125" s="695">
        <v>39324611</v>
      </c>
      <c r="F125" s="695"/>
      <c r="G125" s="390">
        <v>700858</v>
      </c>
      <c r="H125" s="391" t="s">
        <v>1994</v>
      </c>
      <c r="I125" s="391" t="s">
        <v>2320</v>
      </c>
      <c r="J125" s="531" t="s">
        <v>3043</v>
      </c>
      <c r="K125" s="392" t="s">
        <v>2460</v>
      </c>
      <c r="L125" s="392" t="s">
        <v>2461</v>
      </c>
      <c r="M125" s="690">
        <v>700858</v>
      </c>
      <c r="N125" s="393" t="s">
        <v>1449</v>
      </c>
    </row>
    <row r="126" spans="1:16">
      <c r="A126" s="530" t="s">
        <v>9981</v>
      </c>
      <c r="B126" s="389" t="s">
        <v>1995</v>
      </c>
      <c r="C126" s="680" t="s">
        <v>8203</v>
      </c>
      <c r="D126" s="684">
        <v>62</v>
      </c>
      <c r="E126" s="695">
        <v>35651600</v>
      </c>
      <c r="F126" s="695">
        <v>991476733</v>
      </c>
      <c r="G126" s="390">
        <v>701810</v>
      </c>
      <c r="H126" s="391" t="s">
        <v>1996</v>
      </c>
      <c r="I126" s="391" t="s">
        <v>2320</v>
      </c>
      <c r="J126" s="531" t="s">
        <v>3043</v>
      </c>
      <c r="K126" s="392" t="s">
        <v>2410</v>
      </c>
      <c r="L126" s="392" t="s">
        <v>10191</v>
      </c>
      <c r="M126" s="690">
        <v>701810</v>
      </c>
      <c r="N126" s="393" t="s">
        <v>1118</v>
      </c>
      <c r="P126" s="394" t="s">
        <v>10947</v>
      </c>
    </row>
    <row r="127" spans="1:16">
      <c r="A127" s="530" t="s">
        <v>10948</v>
      </c>
      <c r="B127" s="389" t="s">
        <v>2950</v>
      </c>
      <c r="C127" s="680" t="s">
        <v>2951</v>
      </c>
      <c r="D127" s="684">
        <v>62</v>
      </c>
      <c r="E127" s="695">
        <v>31421952</v>
      </c>
      <c r="F127" s="695">
        <v>981541095</v>
      </c>
      <c r="G127" s="391"/>
      <c r="H127" s="391"/>
      <c r="I127" s="391"/>
      <c r="J127" s="531" t="s">
        <v>10735</v>
      </c>
      <c r="K127" s="392"/>
      <c r="L127" s="392"/>
      <c r="M127" s="690"/>
      <c r="N127" s="393" t="s">
        <v>2949</v>
      </c>
    </row>
    <row r="128" spans="1:16">
      <c r="A128" s="530" t="s">
        <v>10949</v>
      </c>
      <c r="B128" s="389" t="s">
        <v>1997</v>
      </c>
      <c r="C128" s="680" t="s">
        <v>10950</v>
      </c>
      <c r="D128" s="684">
        <v>61</v>
      </c>
      <c r="E128" s="695">
        <v>33407744</v>
      </c>
      <c r="F128" s="695">
        <v>996994908</v>
      </c>
      <c r="G128" s="390">
        <v>3149</v>
      </c>
      <c r="H128" s="391" t="s">
        <v>1998</v>
      </c>
      <c r="I128" s="391" t="s">
        <v>2320</v>
      </c>
      <c r="J128" s="531" t="s">
        <v>3043</v>
      </c>
      <c r="K128" s="392" t="s">
        <v>3610</v>
      </c>
      <c r="L128" s="392" t="s">
        <v>2803</v>
      </c>
      <c r="M128" s="690">
        <v>3149</v>
      </c>
      <c r="N128" s="393" t="s">
        <v>752</v>
      </c>
    </row>
    <row r="129" spans="1:16">
      <c r="A129" s="530" t="s">
        <v>7984</v>
      </c>
      <c r="B129" s="389" t="s">
        <v>1999</v>
      </c>
      <c r="C129" s="680" t="s">
        <v>2822</v>
      </c>
      <c r="D129" s="684">
        <v>61</v>
      </c>
      <c r="E129" s="695">
        <v>30487650</v>
      </c>
      <c r="F129" s="695"/>
      <c r="G129" s="390">
        <v>2073</v>
      </c>
      <c r="H129" s="391" t="s">
        <v>2000</v>
      </c>
      <c r="I129" s="391" t="s">
        <v>2333</v>
      </c>
      <c r="J129" s="531" t="s">
        <v>3052</v>
      </c>
      <c r="K129" s="392">
        <v>4391</v>
      </c>
      <c r="L129" s="392" t="s">
        <v>2512</v>
      </c>
      <c r="M129" s="690">
        <v>2073</v>
      </c>
      <c r="N129" s="393" t="s">
        <v>577</v>
      </c>
    </row>
    <row r="130" spans="1:16">
      <c r="A130" s="530" t="s">
        <v>10951</v>
      </c>
      <c r="B130" s="389" t="s">
        <v>6861</v>
      </c>
      <c r="C130" s="680" t="s">
        <v>1488</v>
      </c>
      <c r="D130" s="684">
        <v>11</v>
      </c>
      <c r="E130" s="695">
        <v>56412445</v>
      </c>
      <c r="F130" s="695"/>
      <c r="G130" s="390">
        <v>703241</v>
      </c>
      <c r="H130" s="391" t="s">
        <v>6862</v>
      </c>
      <c r="I130" s="391" t="s">
        <v>2350</v>
      </c>
      <c r="J130" s="531">
        <v>237</v>
      </c>
      <c r="K130" s="392" t="s">
        <v>6863</v>
      </c>
      <c r="L130" s="392" t="s">
        <v>6864</v>
      </c>
      <c r="M130" s="690">
        <v>703241</v>
      </c>
      <c r="N130" s="393" t="s">
        <v>6865</v>
      </c>
    </row>
    <row r="131" spans="1:16">
      <c r="A131" s="530" t="s">
        <v>10952</v>
      </c>
      <c r="B131" s="389" t="s">
        <v>4335</v>
      </c>
      <c r="C131" s="680" t="s">
        <v>4336</v>
      </c>
      <c r="D131" s="684">
        <v>61</v>
      </c>
      <c r="E131" s="695">
        <v>992125758</v>
      </c>
      <c r="F131" s="695"/>
      <c r="G131" s="390">
        <v>703509</v>
      </c>
      <c r="H131" s="391" t="s">
        <v>4337</v>
      </c>
      <c r="I131" s="391" t="s">
        <v>2404</v>
      </c>
      <c r="J131" s="531" t="s">
        <v>3043</v>
      </c>
      <c r="K131" s="392" t="s">
        <v>4338</v>
      </c>
      <c r="L131" s="392" t="s">
        <v>4339</v>
      </c>
      <c r="M131" s="691">
        <v>703509</v>
      </c>
      <c r="N131" s="393" t="s">
        <v>4340</v>
      </c>
    </row>
    <row r="132" spans="1:16">
      <c r="A132" s="530" t="s">
        <v>10953</v>
      </c>
      <c r="B132" s="389" t="s">
        <v>10954</v>
      </c>
      <c r="C132" s="680" t="s">
        <v>10955</v>
      </c>
      <c r="D132" s="684">
        <v>61</v>
      </c>
      <c r="E132" s="695">
        <v>991215443</v>
      </c>
      <c r="F132" s="695"/>
      <c r="G132" s="390">
        <v>704194</v>
      </c>
      <c r="H132" s="391" t="s">
        <v>10956</v>
      </c>
      <c r="I132" s="391" t="s">
        <v>2404</v>
      </c>
      <c r="J132" s="531" t="s">
        <v>3043</v>
      </c>
      <c r="K132" s="392" t="s">
        <v>2324</v>
      </c>
      <c r="L132" s="392" t="s">
        <v>10957</v>
      </c>
      <c r="M132" s="690">
        <v>704194</v>
      </c>
      <c r="N132" s="393" t="s">
        <v>10958</v>
      </c>
      <c r="O132" s="394" t="s">
        <v>10959</v>
      </c>
      <c r="P132" s="394" t="s">
        <v>10960</v>
      </c>
    </row>
    <row r="133" spans="1:16">
      <c r="A133" s="530" t="s">
        <v>10961</v>
      </c>
      <c r="B133" s="389" t="s">
        <v>8620</v>
      </c>
      <c r="C133" s="680"/>
      <c r="D133" s="684" t="s">
        <v>5888</v>
      </c>
      <c r="E133" s="695"/>
      <c r="F133" s="695"/>
      <c r="G133" s="390"/>
      <c r="H133" s="391" t="s">
        <v>8621</v>
      </c>
      <c r="I133" s="391"/>
      <c r="J133" s="531" t="s">
        <v>10735</v>
      </c>
      <c r="K133" s="392"/>
      <c r="L133" s="392"/>
      <c r="M133" s="690"/>
      <c r="N133" s="393" t="s">
        <v>8622</v>
      </c>
    </row>
    <row r="134" spans="1:16">
      <c r="A134" s="530" t="s">
        <v>4433</v>
      </c>
      <c r="B134" s="389" t="s">
        <v>2001</v>
      </c>
      <c r="C134" s="597" t="s">
        <v>1642</v>
      </c>
      <c r="D134" s="684">
        <v>61</v>
      </c>
      <c r="E134" s="696"/>
      <c r="F134" s="696">
        <v>996442463</v>
      </c>
      <c r="G134" s="390">
        <v>702905</v>
      </c>
      <c r="H134" s="391" t="s">
        <v>2002</v>
      </c>
      <c r="I134" s="391" t="s">
        <v>2335</v>
      </c>
      <c r="J134" s="531">
        <v>341</v>
      </c>
      <c r="K134" s="392">
        <v>4395</v>
      </c>
      <c r="L134" s="392" t="s">
        <v>2491</v>
      </c>
      <c r="M134" s="691">
        <v>702905</v>
      </c>
      <c r="N134" s="393" t="s">
        <v>1641</v>
      </c>
      <c r="P134" s="394" t="s">
        <v>10962</v>
      </c>
    </row>
    <row r="135" spans="1:16">
      <c r="A135" s="530" t="s">
        <v>10963</v>
      </c>
      <c r="B135" s="389" t="s">
        <v>2003</v>
      </c>
      <c r="C135" s="597" t="s">
        <v>1329</v>
      </c>
      <c r="D135" s="684">
        <v>62</v>
      </c>
      <c r="E135" s="696">
        <v>32895959</v>
      </c>
      <c r="F135" s="696"/>
      <c r="G135" s="390">
        <v>701944</v>
      </c>
      <c r="H135" s="391" t="s">
        <v>2004</v>
      </c>
      <c r="I135" s="391" t="s">
        <v>2321</v>
      </c>
      <c r="J135" s="531" t="s">
        <v>3050</v>
      </c>
      <c r="K135" s="392" t="s">
        <v>2483</v>
      </c>
      <c r="L135" s="392" t="s">
        <v>2484</v>
      </c>
      <c r="M135" s="691">
        <v>701944</v>
      </c>
      <c r="N135" s="393" t="s">
        <v>983</v>
      </c>
    </row>
    <row r="136" spans="1:16">
      <c r="A136" s="530" t="s">
        <v>10964</v>
      </c>
      <c r="B136" s="389" t="s">
        <v>10965</v>
      </c>
      <c r="C136" s="680" t="s">
        <v>10966</v>
      </c>
      <c r="D136" s="684">
        <v>61</v>
      </c>
      <c r="F136" s="695">
        <v>998762020</v>
      </c>
      <c r="G136" s="390">
        <v>704134</v>
      </c>
      <c r="H136" s="391" t="s">
        <v>10967</v>
      </c>
      <c r="I136" s="391" t="s">
        <v>2320</v>
      </c>
      <c r="J136" s="531" t="s">
        <v>3043</v>
      </c>
      <c r="K136" s="392" t="s">
        <v>2359</v>
      </c>
      <c r="L136" s="392" t="s">
        <v>10968</v>
      </c>
      <c r="M136" s="691">
        <v>704134</v>
      </c>
      <c r="N136" s="393" t="s">
        <v>10969</v>
      </c>
    </row>
    <row r="137" spans="1:16">
      <c r="A137" s="530" t="s">
        <v>10970</v>
      </c>
      <c r="B137" s="389" t="s">
        <v>10971</v>
      </c>
      <c r="C137" s="680" t="s">
        <v>10972</v>
      </c>
      <c r="D137" s="684">
        <v>61</v>
      </c>
      <c r="F137" s="695">
        <v>998601572</v>
      </c>
      <c r="G137" s="390"/>
      <c r="H137" s="391" t="s">
        <v>10973</v>
      </c>
      <c r="I137" s="391" t="s">
        <v>10974</v>
      </c>
      <c r="J137" s="531" t="s">
        <v>10735</v>
      </c>
      <c r="K137" s="392" t="s">
        <v>9342</v>
      </c>
      <c r="L137" s="392" t="s">
        <v>10975</v>
      </c>
      <c r="M137" s="690"/>
      <c r="N137" s="393" t="s">
        <v>10976</v>
      </c>
    </row>
    <row r="138" spans="1:16">
      <c r="A138" s="530" t="s">
        <v>10977</v>
      </c>
      <c r="B138" s="389" t="s">
        <v>8366</v>
      </c>
      <c r="C138" s="680"/>
      <c r="D138" s="684" t="s">
        <v>5888</v>
      </c>
      <c r="E138" s="695"/>
      <c r="F138" s="695"/>
      <c r="G138" s="390"/>
      <c r="H138" s="391"/>
      <c r="I138" s="391"/>
      <c r="J138" s="531" t="s">
        <v>10735</v>
      </c>
      <c r="K138" s="392"/>
      <c r="L138" s="392"/>
      <c r="M138" s="690"/>
      <c r="N138" s="393" t="s">
        <v>8861</v>
      </c>
    </row>
    <row r="139" spans="1:16">
      <c r="A139" s="530" t="s">
        <v>9471</v>
      </c>
      <c r="B139" s="389" t="s">
        <v>2006</v>
      </c>
      <c r="C139" s="680" t="s">
        <v>9780</v>
      </c>
      <c r="D139" s="684">
        <v>21</v>
      </c>
      <c r="E139" s="695">
        <v>25581960</v>
      </c>
      <c r="F139" s="695"/>
      <c r="G139" s="390">
        <v>701313</v>
      </c>
      <c r="H139" s="391" t="s">
        <v>2007</v>
      </c>
      <c r="I139" s="391" t="s">
        <v>2404</v>
      </c>
      <c r="J139" s="531" t="s">
        <v>3043</v>
      </c>
      <c r="K139" s="392" t="s">
        <v>3042</v>
      </c>
      <c r="L139" s="392" t="s">
        <v>2503</v>
      </c>
      <c r="M139" s="690">
        <v>701313</v>
      </c>
      <c r="N139" s="393" t="s">
        <v>2005</v>
      </c>
    </row>
    <row r="140" spans="1:16">
      <c r="A140" s="530" t="s">
        <v>3407</v>
      </c>
      <c r="B140" s="389" t="s">
        <v>2008</v>
      </c>
      <c r="C140" s="680" t="s">
        <v>1362</v>
      </c>
      <c r="D140" s="684">
        <v>61</v>
      </c>
      <c r="E140" s="695"/>
      <c r="F140" s="695">
        <v>981544326</v>
      </c>
      <c r="G140" s="390">
        <v>701495</v>
      </c>
      <c r="H140" s="391" t="s">
        <v>2009</v>
      </c>
      <c r="I140" s="391" t="s">
        <v>2404</v>
      </c>
      <c r="J140" s="531" t="s">
        <v>3043</v>
      </c>
      <c r="K140" s="392" t="s">
        <v>2374</v>
      </c>
      <c r="L140" s="392" t="s">
        <v>2482</v>
      </c>
      <c r="M140" s="690">
        <v>701495</v>
      </c>
      <c r="N140" s="393" t="s">
        <v>1361</v>
      </c>
    </row>
    <row r="141" spans="1:16">
      <c r="A141" s="530" t="s">
        <v>10978</v>
      </c>
      <c r="B141" s="389" t="s">
        <v>2011</v>
      </c>
      <c r="C141" s="680" t="s">
        <v>702</v>
      </c>
      <c r="D141" s="684">
        <v>61</v>
      </c>
      <c r="E141" s="695">
        <v>36211160</v>
      </c>
      <c r="F141" s="695"/>
      <c r="G141" s="390">
        <v>701959</v>
      </c>
      <c r="H141" s="391" t="s">
        <v>2012</v>
      </c>
      <c r="I141" s="391" t="s">
        <v>2404</v>
      </c>
      <c r="J141" s="531" t="s">
        <v>3043</v>
      </c>
      <c r="K141" s="392" t="s">
        <v>2440</v>
      </c>
      <c r="L141" s="392" t="s">
        <v>2441</v>
      </c>
      <c r="M141" s="690">
        <v>701959</v>
      </c>
      <c r="N141" s="393" t="s">
        <v>632</v>
      </c>
    </row>
    <row r="142" spans="1:16">
      <c r="A142" s="530" t="s">
        <v>10979</v>
      </c>
      <c r="B142" s="389" t="s">
        <v>2013</v>
      </c>
      <c r="C142" s="680" t="s">
        <v>999</v>
      </c>
      <c r="D142" s="684">
        <v>61</v>
      </c>
      <c r="E142" s="695">
        <v>34347004</v>
      </c>
      <c r="F142" s="695"/>
      <c r="G142" s="390">
        <v>702334</v>
      </c>
      <c r="H142" s="391" t="s">
        <v>2014</v>
      </c>
      <c r="I142" s="391"/>
      <c r="J142" s="531" t="s">
        <v>10735</v>
      </c>
      <c r="K142" s="392"/>
      <c r="L142" s="392"/>
      <c r="M142" s="690">
        <v>702334</v>
      </c>
      <c r="N142" s="393" t="s">
        <v>998</v>
      </c>
    </row>
    <row r="143" spans="1:16">
      <c r="A143" s="530" t="s">
        <v>8566</v>
      </c>
      <c r="B143" s="389" t="s">
        <v>2979</v>
      </c>
      <c r="C143" s="680" t="s">
        <v>2980</v>
      </c>
      <c r="D143" s="684">
        <v>61</v>
      </c>
      <c r="E143" s="695">
        <v>30337772</v>
      </c>
      <c r="F143" s="695"/>
      <c r="G143" s="390">
        <v>702896</v>
      </c>
      <c r="H143" s="391" t="s">
        <v>2981</v>
      </c>
      <c r="I143" s="391" t="s">
        <v>2404</v>
      </c>
      <c r="J143" s="531" t="s">
        <v>3043</v>
      </c>
      <c r="K143" s="392" t="s">
        <v>4055</v>
      </c>
      <c r="L143" s="392" t="s">
        <v>4056</v>
      </c>
      <c r="M143" s="690">
        <v>702896</v>
      </c>
      <c r="N143" s="393" t="s">
        <v>2982</v>
      </c>
    </row>
    <row r="144" spans="1:16">
      <c r="A144" s="530" t="s">
        <v>8395</v>
      </c>
      <c r="B144" s="389" t="s">
        <v>3390</v>
      </c>
      <c r="C144" s="680" t="s">
        <v>6666</v>
      </c>
      <c r="D144" s="684">
        <v>61</v>
      </c>
      <c r="E144" s="695">
        <v>33842677</v>
      </c>
      <c r="F144" s="695"/>
      <c r="G144" s="390">
        <v>701099</v>
      </c>
      <c r="H144" s="391" t="s">
        <v>3391</v>
      </c>
      <c r="I144" s="391" t="s">
        <v>2320</v>
      </c>
      <c r="J144" s="531" t="s">
        <v>3043</v>
      </c>
      <c r="K144" s="392" t="s">
        <v>2342</v>
      </c>
      <c r="L144" s="392" t="s">
        <v>5820</v>
      </c>
      <c r="M144" s="690">
        <v>701099</v>
      </c>
      <c r="N144" s="393" t="s">
        <v>3392</v>
      </c>
    </row>
    <row r="145" spans="1:34" s="538" customFormat="1">
      <c r="A145" s="530" t="s">
        <v>10980</v>
      </c>
      <c r="B145" s="389" t="s">
        <v>2015</v>
      </c>
      <c r="C145" s="680" t="s">
        <v>707</v>
      </c>
      <c r="D145" s="684">
        <v>11</v>
      </c>
      <c r="E145" s="695">
        <v>39596875</v>
      </c>
      <c r="F145" s="695"/>
      <c r="G145" s="390">
        <v>2118</v>
      </c>
      <c r="H145" s="391" t="s">
        <v>2016</v>
      </c>
      <c r="I145" s="391" t="s">
        <v>2320</v>
      </c>
      <c r="J145" s="531" t="s">
        <v>3043</v>
      </c>
      <c r="K145" s="392" t="s">
        <v>2532</v>
      </c>
      <c r="L145" s="392" t="s">
        <v>2533</v>
      </c>
      <c r="M145" s="690">
        <v>2118</v>
      </c>
      <c r="N145" s="393" t="s">
        <v>741</v>
      </c>
      <c r="AH145" s="394"/>
    </row>
    <row r="146" spans="1:34" s="482" customFormat="1" ht="15">
      <c r="A146" s="530" t="s">
        <v>7860</v>
      </c>
      <c r="B146" s="389" t="s">
        <v>1187</v>
      </c>
      <c r="C146" s="680" t="s">
        <v>1188</v>
      </c>
      <c r="D146" s="684">
        <v>61</v>
      </c>
      <c r="E146" s="695">
        <v>33461443</v>
      </c>
      <c r="F146" s="695">
        <v>993607019</v>
      </c>
      <c r="G146" s="390">
        <v>162</v>
      </c>
      <c r="H146" s="391" t="s">
        <v>2017</v>
      </c>
      <c r="I146" s="391" t="s">
        <v>2320</v>
      </c>
      <c r="J146" s="531" t="s">
        <v>3043</v>
      </c>
      <c r="K146" s="392" t="s">
        <v>2324</v>
      </c>
      <c r="L146" s="392" t="s">
        <v>2325</v>
      </c>
      <c r="M146" s="690">
        <v>162</v>
      </c>
      <c r="N146" s="393" t="s">
        <v>1186</v>
      </c>
      <c r="AH146" s="394"/>
    </row>
    <row r="147" spans="1:34">
      <c r="A147" s="530" t="s">
        <v>10981</v>
      </c>
      <c r="B147" s="389" t="s">
        <v>4253</v>
      </c>
      <c r="C147" s="680" t="s">
        <v>4254</v>
      </c>
      <c r="D147" s="684">
        <v>62</v>
      </c>
      <c r="E147" s="695">
        <v>35653354</v>
      </c>
      <c r="F147" s="695"/>
      <c r="G147" s="390">
        <v>702153</v>
      </c>
      <c r="H147" s="391" t="s">
        <v>4255</v>
      </c>
      <c r="I147" s="391" t="s">
        <v>2320</v>
      </c>
      <c r="J147" s="531" t="s">
        <v>3043</v>
      </c>
      <c r="K147" s="392" t="s">
        <v>2489</v>
      </c>
      <c r="L147" s="392" t="s">
        <v>4256</v>
      </c>
      <c r="M147" s="690">
        <v>702153</v>
      </c>
      <c r="N147" s="393" t="s">
        <v>4257</v>
      </c>
    </row>
    <row r="148" spans="1:34">
      <c r="A148" s="530" t="s">
        <v>10982</v>
      </c>
      <c r="B148" s="389" t="s">
        <v>3348</v>
      </c>
      <c r="C148" s="680" t="s">
        <v>3349</v>
      </c>
      <c r="D148" s="684">
        <v>61</v>
      </c>
      <c r="E148" s="695">
        <v>30345026</v>
      </c>
      <c r="F148" s="695" t="s">
        <v>11525</v>
      </c>
      <c r="G148" s="390">
        <v>700674</v>
      </c>
      <c r="H148" s="391" t="s">
        <v>3350</v>
      </c>
      <c r="I148" s="391" t="s">
        <v>2404</v>
      </c>
      <c r="J148" s="531" t="s">
        <v>3043</v>
      </c>
      <c r="K148" s="392" t="s">
        <v>3351</v>
      </c>
      <c r="L148" s="392" t="s">
        <v>3352</v>
      </c>
      <c r="M148" s="690">
        <v>700674</v>
      </c>
      <c r="N148" s="393" t="s">
        <v>3353</v>
      </c>
    </row>
    <row r="149" spans="1:34">
      <c r="A149" s="530" t="s">
        <v>10983</v>
      </c>
      <c r="B149" s="389" t="s">
        <v>2018</v>
      </c>
      <c r="C149" s="680" t="s">
        <v>872</v>
      </c>
      <c r="D149" s="684">
        <v>61</v>
      </c>
      <c r="E149" s="695">
        <v>33566039</v>
      </c>
      <c r="F149" s="695"/>
      <c r="G149" s="390">
        <v>701187</v>
      </c>
      <c r="H149" s="391" t="s">
        <v>2019</v>
      </c>
      <c r="I149" s="391"/>
      <c r="J149" s="531" t="s">
        <v>10735</v>
      </c>
      <c r="K149" s="392"/>
      <c r="L149" s="392"/>
      <c r="M149" s="690">
        <v>701187</v>
      </c>
      <c r="N149" s="393" t="s">
        <v>871</v>
      </c>
    </row>
    <row r="150" spans="1:34">
      <c r="A150" s="530" t="s">
        <v>10984</v>
      </c>
      <c r="B150" s="389" t="s">
        <v>2020</v>
      </c>
      <c r="C150" s="680" t="s">
        <v>821</v>
      </c>
      <c r="D150" s="684">
        <v>61</v>
      </c>
      <c r="E150" s="695">
        <v>32344395</v>
      </c>
      <c r="F150" s="695">
        <v>984221598</v>
      </c>
      <c r="G150" s="390">
        <v>3147</v>
      </c>
      <c r="H150" s="391" t="s">
        <v>2021</v>
      </c>
      <c r="I150" s="391"/>
      <c r="J150" s="531" t="s">
        <v>10735</v>
      </c>
      <c r="K150" s="392"/>
      <c r="L150" s="392"/>
      <c r="M150" s="690">
        <v>3147</v>
      </c>
      <c r="N150" s="393" t="s">
        <v>1312</v>
      </c>
    </row>
    <row r="151" spans="1:34">
      <c r="A151" s="530" t="s">
        <v>10985</v>
      </c>
      <c r="B151" s="389" t="s">
        <v>3461</v>
      </c>
      <c r="C151" s="680" t="s">
        <v>3462</v>
      </c>
      <c r="D151" s="684">
        <v>61</v>
      </c>
      <c r="E151" s="695">
        <v>33222121</v>
      </c>
      <c r="F151" s="695"/>
      <c r="G151" s="390">
        <v>3793</v>
      </c>
      <c r="H151" s="391" t="s">
        <v>3463</v>
      </c>
      <c r="I151" s="391" t="s">
        <v>2404</v>
      </c>
      <c r="J151" s="531" t="s">
        <v>3043</v>
      </c>
      <c r="K151" s="392" t="s">
        <v>2969</v>
      </c>
      <c r="L151" s="392" t="s">
        <v>3464</v>
      </c>
      <c r="M151" s="690">
        <v>3793</v>
      </c>
      <c r="N151" s="393" t="s">
        <v>3465</v>
      </c>
    </row>
    <row r="152" spans="1:34">
      <c r="A152" s="530" t="s">
        <v>7335</v>
      </c>
      <c r="B152" s="389" t="s">
        <v>7249</v>
      </c>
      <c r="C152" s="680" t="s">
        <v>7253</v>
      </c>
      <c r="D152" s="684">
        <v>27</v>
      </c>
      <c r="E152" s="695">
        <v>30301134</v>
      </c>
      <c r="F152" s="695"/>
      <c r="G152" s="390">
        <v>703683</v>
      </c>
      <c r="H152" s="391" t="s">
        <v>7250</v>
      </c>
      <c r="I152" s="391" t="s">
        <v>2404</v>
      </c>
      <c r="J152" s="531" t="s">
        <v>3043</v>
      </c>
      <c r="K152" s="392" t="s">
        <v>7251</v>
      </c>
      <c r="L152" s="392" t="s">
        <v>7252</v>
      </c>
      <c r="M152" s="690">
        <v>703683</v>
      </c>
      <c r="N152" s="393" t="s">
        <v>7074</v>
      </c>
    </row>
    <row r="153" spans="1:34">
      <c r="A153" s="530" t="s">
        <v>10986</v>
      </c>
      <c r="B153" s="389" t="s">
        <v>10987</v>
      </c>
      <c r="C153" s="680" t="s">
        <v>882</v>
      </c>
      <c r="D153" s="684">
        <v>54</v>
      </c>
      <c r="E153" s="695">
        <v>35353836</v>
      </c>
      <c r="F153" s="695">
        <v>981016794</v>
      </c>
      <c r="G153" s="390">
        <v>703076</v>
      </c>
      <c r="H153" s="391" t="s">
        <v>10988</v>
      </c>
      <c r="I153" s="391" t="s">
        <v>2320</v>
      </c>
      <c r="J153" s="531" t="s">
        <v>3043</v>
      </c>
      <c r="K153" s="392" t="s">
        <v>10989</v>
      </c>
      <c r="L153" s="392" t="s">
        <v>10990</v>
      </c>
      <c r="M153" s="690">
        <v>703076</v>
      </c>
      <c r="N153" s="393" t="s">
        <v>10991</v>
      </c>
      <c r="P153" s="394" t="s">
        <v>10992</v>
      </c>
    </row>
    <row r="154" spans="1:34">
      <c r="A154" s="530" t="s">
        <v>3530</v>
      </c>
      <c r="B154" s="389" t="s">
        <v>3528</v>
      </c>
      <c r="C154" s="680" t="s">
        <v>3413</v>
      </c>
      <c r="D154" s="684">
        <v>62</v>
      </c>
      <c r="E154" s="695">
        <v>32263263</v>
      </c>
      <c r="F154" s="695"/>
      <c r="G154" s="390">
        <v>703252</v>
      </c>
      <c r="H154" s="391" t="s">
        <v>3414</v>
      </c>
      <c r="I154" s="391" t="s">
        <v>2431</v>
      </c>
      <c r="J154" s="531">
        <v>237</v>
      </c>
      <c r="K154" s="392" t="s">
        <v>7556</v>
      </c>
      <c r="L154" s="392" t="s">
        <v>7557</v>
      </c>
      <c r="M154" s="690">
        <v>703252</v>
      </c>
      <c r="N154" s="393" t="s">
        <v>3529</v>
      </c>
      <c r="P154" s="394" t="s">
        <v>10993</v>
      </c>
    </row>
    <row r="155" spans="1:34">
      <c r="A155" s="530" t="s">
        <v>10994</v>
      </c>
      <c r="B155" s="533" t="s">
        <v>1507</v>
      </c>
      <c r="C155" s="597" t="s">
        <v>1508</v>
      </c>
      <c r="D155" s="684">
        <v>61</v>
      </c>
      <c r="E155" s="696">
        <v>34652210</v>
      </c>
      <c r="F155" s="696">
        <v>981251406</v>
      </c>
      <c r="G155" s="534"/>
      <c r="H155" s="535"/>
      <c r="I155" s="535"/>
      <c r="J155" s="531" t="s">
        <v>10735</v>
      </c>
      <c r="K155" s="536"/>
      <c r="L155" s="536"/>
      <c r="M155" s="692"/>
      <c r="N155" s="537" t="s">
        <v>1506</v>
      </c>
    </row>
    <row r="156" spans="1:34">
      <c r="A156" s="530" t="s">
        <v>9183</v>
      </c>
      <c r="B156" s="389" t="s">
        <v>9184</v>
      </c>
      <c r="C156" s="680" t="s">
        <v>10732</v>
      </c>
      <c r="D156" s="684">
        <v>11</v>
      </c>
      <c r="E156" s="695">
        <v>22816222</v>
      </c>
      <c r="F156" s="695">
        <v>983263737</v>
      </c>
      <c r="G156" s="390">
        <v>703762</v>
      </c>
      <c r="H156" s="391" t="s">
        <v>9185</v>
      </c>
      <c r="I156" s="391" t="s">
        <v>2320</v>
      </c>
      <c r="J156" s="531" t="s">
        <v>3043</v>
      </c>
      <c r="K156" s="392" t="s">
        <v>9547</v>
      </c>
      <c r="L156" s="392" t="s">
        <v>9548</v>
      </c>
      <c r="M156" s="690">
        <v>703762</v>
      </c>
      <c r="N156" s="393" t="s">
        <v>9186</v>
      </c>
    </row>
    <row r="157" spans="1:34">
      <c r="A157" s="530" t="s">
        <v>10995</v>
      </c>
      <c r="B157" s="389" t="s">
        <v>2022</v>
      </c>
      <c r="C157" s="680" t="s">
        <v>942</v>
      </c>
      <c r="D157" s="684">
        <v>81</v>
      </c>
      <c r="E157" s="695">
        <v>34237344</v>
      </c>
      <c r="F157" s="695"/>
      <c r="G157" s="390">
        <v>2057</v>
      </c>
      <c r="H157" s="391" t="s">
        <v>2023</v>
      </c>
      <c r="I157" s="391"/>
      <c r="J157" s="531" t="s">
        <v>10735</v>
      </c>
      <c r="K157" s="392"/>
      <c r="L157" s="392"/>
      <c r="M157" s="690">
        <v>2057</v>
      </c>
      <c r="N157" s="393" t="s">
        <v>1564</v>
      </c>
    </row>
    <row r="158" spans="1:34">
      <c r="A158" s="530" t="s">
        <v>10996</v>
      </c>
      <c r="B158" s="389" t="s">
        <v>2024</v>
      </c>
      <c r="C158" s="680" t="s">
        <v>935</v>
      </c>
      <c r="D158" s="684">
        <v>62</v>
      </c>
      <c r="E158" s="695">
        <v>39422225</v>
      </c>
      <c r="F158" s="695"/>
      <c r="G158" s="390">
        <v>3941</v>
      </c>
      <c r="H158" s="391" t="s">
        <v>2025</v>
      </c>
      <c r="I158" s="391"/>
      <c r="J158" s="531" t="s">
        <v>10735</v>
      </c>
      <c r="K158" s="392"/>
      <c r="L158" s="392"/>
      <c r="M158" s="690">
        <v>3941</v>
      </c>
      <c r="N158" s="393" t="s">
        <v>763</v>
      </c>
    </row>
    <row r="159" spans="1:34">
      <c r="A159" s="530" t="s">
        <v>10997</v>
      </c>
      <c r="B159" s="389" t="s">
        <v>9171</v>
      </c>
      <c r="C159" s="680" t="s">
        <v>9172</v>
      </c>
      <c r="D159" s="684">
        <v>11</v>
      </c>
      <c r="E159" s="695">
        <v>22892738</v>
      </c>
      <c r="F159" s="695">
        <v>947132790</v>
      </c>
      <c r="G159" s="390">
        <v>703060</v>
      </c>
      <c r="H159" s="391" t="s">
        <v>9173</v>
      </c>
      <c r="I159" s="391" t="s">
        <v>2333</v>
      </c>
      <c r="J159" s="531" t="s">
        <v>3052</v>
      </c>
      <c r="K159" s="392" t="s">
        <v>10998</v>
      </c>
      <c r="L159" s="392" t="s">
        <v>10999</v>
      </c>
      <c r="M159" s="690">
        <v>703060</v>
      </c>
      <c r="N159" s="393" t="s">
        <v>11000</v>
      </c>
    </row>
    <row r="160" spans="1:34">
      <c r="A160" s="530" t="s">
        <v>11001</v>
      </c>
      <c r="B160" s="389" t="s">
        <v>782</v>
      </c>
      <c r="C160" s="680" t="s">
        <v>681</v>
      </c>
      <c r="D160" s="684">
        <v>61</v>
      </c>
      <c r="E160" s="695">
        <v>33566107</v>
      </c>
      <c r="F160" s="695"/>
      <c r="G160" s="686"/>
      <c r="H160" s="391"/>
      <c r="I160" s="391"/>
      <c r="J160" s="531" t="s">
        <v>10735</v>
      </c>
      <c r="K160" s="392"/>
      <c r="L160" s="392"/>
      <c r="M160" s="691"/>
      <c r="N160" s="393" t="s">
        <v>759</v>
      </c>
    </row>
    <row r="161" spans="1:16">
      <c r="A161" s="530" t="s">
        <v>11002</v>
      </c>
      <c r="B161" s="389" t="s">
        <v>2026</v>
      </c>
      <c r="C161" s="680" t="s">
        <v>1574</v>
      </c>
      <c r="D161" s="684">
        <v>88</v>
      </c>
      <c r="E161" s="695">
        <v>35327000</v>
      </c>
      <c r="F161" s="695"/>
      <c r="G161" s="390">
        <v>1842</v>
      </c>
      <c r="H161" s="391" t="s">
        <v>2027</v>
      </c>
      <c r="I161" s="391"/>
      <c r="J161" s="531" t="s">
        <v>10735</v>
      </c>
      <c r="K161" s="392"/>
      <c r="L161" s="392"/>
      <c r="M161" s="690">
        <v>1842</v>
      </c>
      <c r="N161" s="393" t="s">
        <v>1573</v>
      </c>
    </row>
    <row r="162" spans="1:16">
      <c r="A162" s="530" t="s">
        <v>11003</v>
      </c>
      <c r="B162" s="389" t="s">
        <v>11004</v>
      </c>
      <c r="C162" s="680" t="s">
        <v>11005</v>
      </c>
      <c r="D162" s="684">
        <v>61</v>
      </c>
      <c r="E162" s="695">
        <v>36213661</v>
      </c>
      <c r="F162" s="695"/>
      <c r="G162" s="390">
        <v>704190</v>
      </c>
      <c r="H162" s="391" t="s">
        <v>11006</v>
      </c>
      <c r="I162" s="391"/>
      <c r="J162" s="531" t="s">
        <v>10735</v>
      </c>
      <c r="K162" s="392"/>
      <c r="L162" s="392"/>
      <c r="M162" s="690">
        <v>704190</v>
      </c>
      <c r="N162" s="393" t="s">
        <v>11007</v>
      </c>
    </row>
    <row r="163" spans="1:16">
      <c r="A163" s="530" t="s">
        <v>11008</v>
      </c>
      <c r="B163" s="389" t="s">
        <v>678</v>
      </c>
      <c r="C163" s="680" t="s">
        <v>1436</v>
      </c>
      <c r="D163" s="684">
        <v>31</v>
      </c>
      <c r="E163" s="695">
        <v>21117575</v>
      </c>
      <c r="F163" s="695"/>
      <c r="G163" s="390">
        <v>3089</v>
      </c>
      <c r="H163" s="391" t="s">
        <v>2028</v>
      </c>
      <c r="I163" s="391" t="s">
        <v>2320</v>
      </c>
      <c r="J163" s="531" t="s">
        <v>3043</v>
      </c>
      <c r="K163" s="392" t="s">
        <v>2376</v>
      </c>
      <c r="L163" s="392" t="s">
        <v>2377</v>
      </c>
      <c r="M163" s="690">
        <v>3089</v>
      </c>
      <c r="N163" s="393" t="s">
        <v>589</v>
      </c>
    </row>
    <row r="164" spans="1:16">
      <c r="A164" s="530" t="s">
        <v>11009</v>
      </c>
      <c r="B164" s="389" t="s">
        <v>1123</v>
      </c>
      <c r="C164" s="680" t="s">
        <v>1124</v>
      </c>
      <c r="D164" s="684">
        <v>61</v>
      </c>
      <c r="E164" s="695">
        <v>34430581</v>
      </c>
      <c r="F164" s="695"/>
      <c r="G164" s="390"/>
      <c r="H164" s="391"/>
      <c r="I164" s="391"/>
      <c r="J164" s="531" t="s">
        <v>10735</v>
      </c>
      <c r="K164" s="392"/>
      <c r="L164" s="392"/>
      <c r="M164" s="690"/>
      <c r="N164" s="393" t="s">
        <v>1122</v>
      </c>
    </row>
    <row r="165" spans="1:16">
      <c r="A165" s="530" t="s">
        <v>7461</v>
      </c>
      <c r="B165" s="389" t="s">
        <v>7096</v>
      </c>
      <c r="C165" s="680" t="s">
        <v>7476</v>
      </c>
      <c r="D165" s="684">
        <v>11</v>
      </c>
      <c r="E165" s="695">
        <v>24028800</v>
      </c>
      <c r="F165" s="695">
        <v>981525191</v>
      </c>
      <c r="G165" s="390">
        <v>701211</v>
      </c>
      <c r="H165" s="391" t="s">
        <v>7097</v>
      </c>
      <c r="I165" s="391" t="s">
        <v>2320</v>
      </c>
      <c r="J165" s="531" t="s">
        <v>3043</v>
      </c>
      <c r="K165" s="392" t="s">
        <v>7112</v>
      </c>
      <c r="L165" s="392" t="s">
        <v>7113</v>
      </c>
      <c r="M165" s="690">
        <v>701211</v>
      </c>
      <c r="N165" s="393" t="s">
        <v>7460</v>
      </c>
    </row>
    <row r="166" spans="1:16">
      <c r="A166" s="530" t="s">
        <v>5751</v>
      </c>
      <c r="B166" s="389" t="s">
        <v>4249</v>
      </c>
      <c r="C166" s="680" t="s">
        <v>4130</v>
      </c>
      <c r="D166" s="684">
        <v>41</v>
      </c>
      <c r="E166" s="695">
        <v>30237763</v>
      </c>
      <c r="F166" s="695"/>
      <c r="G166" s="390">
        <v>703448</v>
      </c>
      <c r="H166" s="391" t="s">
        <v>4131</v>
      </c>
      <c r="I166" s="391" t="s">
        <v>2320</v>
      </c>
      <c r="J166" s="531" t="s">
        <v>3043</v>
      </c>
      <c r="K166" s="392" t="s">
        <v>4132</v>
      </c>
      <c r="L166" s="392" t="s">
        <v>4133</v>
      </c>
      <c r="M166" s="690">
        <v>703448</v>
      </c>
      <c r="N166" s="393" t="s">
        <v>5750</v>
      </c>
      <c r="P166" s="394" t="s">
        <v>11010</v>
      </c>
    </row>
    <row r="167" spans="1:16">
      <c r="A167" s="530" t="s">
        <v>11011</v>
      </c>
      <c r="B167" s="389" t="s">
        <v>717</v>
      </c>
      <c r="C167" s="680" t="s">
        <v>676</v>
      </c>
      <c r="D167" s="684">
        <v>62</v>
      </c>
      <c r="E167" s="695">
        <v>35756534</v>
      </c>
      <c r="F167" s="695"/>
      <c r="G167" s="390">
        <v>700633</v>
      </c>
      <c r="H167" s="391" t="s">
        <v>2029</v>
      </c>
      <c r="I167" s="391"/>
      <c r="J167" s="531" t="s">
        <v>10735</v>
      </c>
      <c r="K167" s="392"/>
      <c r="L167" s="392"/>
      <c r="M167" s="690">
        <v>700633</v>
      </c>
      <c r="N167" s="393" t="s">
        <v>764</v>
      </c>
    </row>
    <row r="168" spans="1:16">
      <c r="A168" s="530" t="s">
        <v>11012</v>
      </c>
      <c r="B168" s="389" t="s">
        <v>2030</v>
      </c>
      <c r="C168" s="680" t="s">
        <v>1115</v>
      </c>
      <c r="D168" s="684">
        <v>62</v>
      </c>
      <c r="E168" s="695">
        <v>35498373</v>
      </c>
      <c r="F168" s="695"/>
      <c r="G168" s="390">
        <v>702325</v>
      </c>
      <c r="H168" s="391" t="s">
        <v>2031</v>
      </c>
      <c r="I168" s="391"/>
      <c r="J168" s="531" t="s">
        <v>10735</v>
      </c>
      <c r="K168" s="392"/>
      <c r="L168" s="392"/>
      <c r="M168" s="690">
        <v>702325</v>
      </c>
      <c r="N168" s="393" t="s">
        <v>1114</v>
      </c>
    </row>
    <row r="169" spans="1:16">
      <c r="A169" s="530" t="s">
        <v>7914</v>
      </c>
      <c r="B169" s="389" t="s">
        <v>3537</v>
      </c>
      <c r="C169" s="680" t="s">
        <v>6670</v>
      </c>
      <c r="D169" s="684">
        <v>61</v>
      </c>
      <c r="E169" s="695">
        <v>30245212</v>
      </c>
      <c r="F169" s="695">
        <v>985936306</v>
      </c>
      <c r="G169" s="390">
        <v>703244</v>
      </c>
      <c r="H169" s="391" t="s">
        <v>3538</v>
      </c>
      <c r="I169" s="391" t="s">
        <v>2321</v>
      </c>
      <c r="J169" s="531" t="s">
        <v>3050</v>
      </c>
      <c r="K169" s="392" t="s">
        <v>5821</v>
      </c>
      <c r="L169" s="392" t="s">
        <v>6669</v>
      </c>
      <c r="M169" s="690">
        <v>703244</v>
      </c>
      <c r="N169" s="393" t="s">
        <v>4057</v>
      </c>
    </row>
    <row r="170" spans="1:16">
      <c r="A170" s="530" t="s">
        <v>11013</v>
      </c>
      <c r="B170" s="389" t="s">
        <v>2032</v>
      </c>
      <c r="C170" s="680" t="s">
        <v>1478</v>
      </c>
      <c r="D170" s="684">
        <v>61</v>
      </c>
      <c r="E170" s="695">
        <v>39656885</v>
      </c>
      <c r="F170" s="695">
        <v>992223959</v>
      </c>
      <c r="G170" s="390">
        <v>702404</v>
      </c>
      <c r="H170" s="391" t="s">
        <v>2033</v>
      </c>
      <c r="I170" s="391" t="s">
        <v>2321</v>
      </c>
      <c r="J170" s="531" t="s">
        <v>3050</v>
      </c>
      <c r="K170" s="392" t="s">
        <v>2346</v>
      </c>
      <c r="L170" s="392" t="s">
        <v>2347</v>
      </c>
      <c r="M170" s="690">
        <v>702404</v>
      </c>
      <c r="N170" s="393" t="s">
        <v>1477</v>
      </c>
    </row>
    <row r="171" spans="1:16">
      <c r="A171" s="530" t="s">
        <v>8393</v>
      </c>
      <c r="B171" s="389" t="s">
        <v>2034</v>
      </c>
      <c r="C171" s="680" t="s">
        <v>805</v>
      </c>
      <c r="D171" s="684">
        <v>61</v>
      </c>
      <c r="E171" s="695">
        <v>34841313</v>
      </c>
      <c r="F171" s="695"/>
      <c r="G171" s="390">
        <v>3580</v>
      </c>
      <c r="H171" s="391" t="s">
        <v>2035</v>
      </c>
      <c r="I171" s="391" t="s">
        <v>2321</v>
      </c>
      <c r="J171" s="531" t="s">
        <v>3050</v>
      </c>
      <c r="K171" s="392" t="s">
        <v>2391</v>
      </c>
      <c r="L171" s="392" t="s">
        <v>8990</v>
      </c>
      <c r="M171" s="690">
        <v>3580</v>
      </c>
      <c r="N171" s="393" t="s">
        <v>583</v>
      </c>
    </row>
    <row r="172" spans="1:16">
      <c r="A172" s="530" t="s">
        <v>5727</v>
      </c>
      <c r="B172" s="389" t="s">
        <v>1512</v>
      </c>
      <c r="C172" s="680" t="s">
        <v>685</v>
      </c>
      <c r="D172" s="684">
        <v>61</v>
      </c>
      <c r="E172" s="695">
        <v>33843803</v>
      </c>
      <c r="F172" s="695"/>
      <c r="G172" s="390">
        <v>700064</v>
      </c>
      <c r="H172" s="391" t="s">
        <v>2036</v>
      </c>
      <c r="I172" s="391" t="s">
        <v>2320</v>
      </c>
      <c r="J172" s="531" t="s">
        <v>3043</v>
      </c>
      <c r="K172" s="392" t="s">
        <v>2342</v>
      </c>
      <c r="L172" s="392" t="s">
        <v>2343</v>
      </c>
      <c r="M172" s="690">
        <v>700064</v>
      </c>
      <c r="N172" s="393" t="s">
        <v>765</v>
      </c>
    </row>
    <row r="173" spans="1:16">
      <c r="A173" s="530" t="s">
        <v>11014</v>
      </c>
      <c r="B173" s="389" t="s">
        <v>11015</v>
      </c>
      <c r="C173" s="680" t="s">
        <v>11016</v>
      </c>
      <c r="D173" s="684">
        <v>61</v>
      </c>
      <c r="E173" s="695">
        <v>33843803</v>
      </c>
      <c r="F173" s="695">
        <v>981915609</v>
      </c>
      <c r="G173" s="390">
        <v>702713</v>
      </c>
      <c r="H173" s="391" t="s">
        <v>2037</v>
      </c>
      <c r="I173" s="391" t="s">
        <v>2320</v>
      </c>
      <c r="J173" s="531" t="s">
        <v>3043</v>
      </c>
      <c r="K173" s="392" t="s">
        <v>2487</v>
      </c>
      <c r="L173" s="392" t="s">
        <v>2488</v>
      </c>
      <c r="M173" s="690">
        <v>702713</v>
      </c>
      <c r="N173" s="393" t="s">
        <v>11017</v>
      </c>
    </row>
    <row r="174" spans="1:16">
      <c r="A174" s="530" t="s">
        <v>11018</v>
      </c>
      <c r="B174" s="389" t="s">
        <v>6856</v>
      </c>
      <c r="C174" s="680" t="s">
        <v>6857</v>
      </c>
      <c r="D174" s="684">
        <v>61</v>
      </c>
      <c r="E174" s="695">
        <v>34751992</v>
      </c>
      <c r="F174" s="695"/>
      <c r="G174" s="390">
        <v>703647</v>
      </c>
      <c r="H174" s="391" t="s">
        <v>6855</v>
      </c>
      <c r="I174" s="391" t="s">
        <v>2404</v>
      </c>
      <c r="J174" s="531" t="s">
        <v>3043</v>
      </c>
      <c r="K174" s="392" t="s">
        <v>4426</v>
      </c>
      <c r="L174" s="392" t="s">
        <v>6858</v>
      </c>
      <c r="M174" s="690">
        <v>703647</v>
      </c>
      <c r="N174" s="393" t="s">
        <v>6854</v>
      </c>
    </row>
    <row r="175" spans="1:16">
      <c r="A175" s="530" t="s">
        <v>8573</v>
      </c>
      <c r="B175" s="389" t="s">
        <v>4327</v>
      </c>
      <c r="C175" s="680" t="s">
        <v>4328</v>
      </c>
      <c r="D175" s="684">
        <v>62</v>
      </c>
      <c r="E175" s="695">
        <v>39965636</v>
      </c>
      <c r="F175" s="695">
        <v>991845636</v>
      </c>
      <c r="G175" s="390">
        <v>703245</v>
      </c>
      <c r="H175" s="391" t="s">
        <v>6676</v>
      </c>
      <c r="I175" s="391" t="s">
        <v>2492</v>
      </c>
      <c r="J175" s="531">
        <v>756</v>
      </c>
      <c r="K175" s="392" t="s">
        <v>4329</v>
      </c>
      <c r="L175" s="392" t="s">
        <v>4330</v>
      </c>
      <c r="M175" s="690">
        <v>703245</v>
      </c>
      <c r="N175" s="393" t="s">
        <v>4331</v>
      </c>
      <c r="P175" s="394" t="s">
        <v>11019</v>
      </c>
    </row>
    <row r="176" spans="1:16">
      <c r="A176" s="530" t="s">
        <v>7364</v>
      </c>
      <c r="B176" s="389" t="s">
        <v>2038</v>
      </c>
      <c r="C176" s="680" t="s">
        <v>1764</v>
      </c>
      <c r="D176" s="684">
        <v>11</v>
      </c>
      <c r="E176" s="695">
        <v>44219849</v>
      </c>
      <c r="F176" s="695"/>
      <c r="G176" s="390">
        <v>702981</v>
      </c>
      <c r="H176" s="391" t="s">
        <v>2039</v>
      </c>
      <c r="I176" s="391" t="s">
        <v>2320</v>
      </c>
      <c r="J176" s="531" t="s">
        <v>3043</v>
      </c>
      <c r="K176" s="392" t="s">
        <v>2445</v>
      </c>
      <c r="L176" s="392" t="s">
        <v>2446</v>
      </c>
      <c r="M176" s="690">
        <v>702981</v>
      </c>
      <c r="N176" s="393" t="s">
        <v>1721</v>
      </c>
    </row>
    <row r="177" spans="1:16">
      <c r="A177" s="530" t="s">
        <v>11020</v>
      </c>
      <c r="B177" s="389" t="s">
        <v>2041</v>
      </c>
      <c r="C177" s="680" t="s">
        <v>1228</v>
      </c>
      <c r="D177" s="684">
        <v>21</v>
      </c>
      <c r="E177" s="695">
        <v>35930873</v>
      </c>
      <c r="F177" s="695"/>
      <c r="G177" s="390">
        <v>702511</v>
      </c>
      <c r="H177" s="391" t="s">
        <v>2042</v>
      </c>
      <c r="I177" s="391" t="s">
        <v>2320</v>
      </c>
      <c r="J177" s="531" t="s">
        <v>3043</v>
      </c>
      <c r="K177" s="392" t="s">
        <v>2416</v>
      </c>
      <c r="L177" s="392" t="s">
        <v>2417</v>
      </c>
      <c r="M177" s="690">
        <v>702511</v>
      </c>
      <c r="N177" s="393" t="s">
        <v>2040</v>
      </c>
    </row>
    <row r="178" spans="1:16">
      <c r="A178" s="530" t="s">
        <v>11021</v>
      </c>
      <c r="B178" s="389" t="s">
        <v>2044</v>
      </c>
      <c r="C178" s="680"/>
      <c r="D178" s="684" t="s">
        <v>5888</v>
      </c>
      <c r="E178" s="695"/>
      <c r="F178" s="695"/>
      <c r="G178" s="390"/>
      <c r="H178" s="391" t="s">
        <v>6678</v>
      </c>
      <c r="I178" s="391"/>
      <c r="J178" s="531" t="s">
        <v>10735</v>
      </c>
      <c r="K178" s="392"/>
      <c r="L178" s="392"/>
      <c r="M178" s="690"/>
      <c r="N178" s="393" t="s">
        <v>2043</v>
      </c>
    </row>
    <row r="179" spans="1:16">
      <c r="A179" s="530" t="s">
        <v>11022</v>
      </c>
      <c r="B179" s="389" t="s">
        <v>3595</v>
      </c>
      <c r="C179" s="680" t="s">
        <v>2903</v>
      </c>
      <c r="D179" s="684">
        <v>61</v>
      </c>
      <c r="E179" s="695"/>
      <c r="F179" s="695">
        <v>999825017</v>
      </c>
      <c r="G179" s="390">
        <v>703054</v>
      </c>
      <c r="H179" s="391" t="s">
        <v>3596</v>
      </c>
      <c r="I179" s="391" t="s">
        <v>2320</v>
      </c>
      <c r="J179" s="531" t="s">
        <v>3043</v>
      </c>
      <c r="K179" s="392" t="s">
        <v>2443</v>
      </c>
      <c r="L179" s="392" t="s">
        <v>3597</v>
      </c>
      <c r="M179" s="690">
        <v>703054</v>
      </c>
      <c r="N179" s="393" t="s">
        <v>3598</v>
      </c>
    </row>
    <row r="180" spans="1:16">
      <c r="A180" s="530" t="s">
        <v>11023</v>
      </c>
      <c r="B180" s="389" t="s">
        <v>2046</v>
      </c>
      <c r="C180" s="680" t="s">
        <v>1200</v>
      </c>
      <c r="D180" s="684">
        <v>11</v>
      </c>
      <c r="E180" s="695">
        <v>55623541</v>
      </c>
      <c r="F180" s="695"/>
      <c r="G180" s="390">
        <v>700651</v>
      </c>
      <c r="H180" s="391" t="s">
        <v>2047</v>
      </c>
      <c r="I180" s="391"/>
      <c r="J180" s="531" t="s">
        <v>10735</v>
      </c>
      <c r="K180" s="392"/>
      <c r="L180" s="392"/>
      <c r="M180" s="690">
        <v>700651</v>
      </c>
      <c r="N180" s="393" t="s">
        <v>2045</v>
      </c>
    </row>
    <row r="181" spans="1:16">
      <c r="A181" s="530" t="s">
        <v>11024</v>
      </c>
      <c r="B181" s="389" t="s">
        <v>2048</v>
      </c>
      <c r="C181" s="680" t="s">
        <v>1670</v>
      </c>
      <c r="D181" s="684">
        <v>62</v>
      </c>
      <c r="E181" s="695">
        <v>30949040</v>
      </c>
      <c r="F181" s="695">
        <v>992348107</v>
      </c>
      <c r="G181" s="390">
        <v>702350</v>
      </c>
      <c r="H181" s="391" t="s">
        <v>2049</v>
      </c>
      <c r="I181" s="391" t="s">
        <v>2320</v>
      </c>
      <c r="J181" s="531" t="s">
        <v>3043</v>
      </c>
      <c r="K181" s="392" t="s">
        <v>2418</v>
      </c>
      <c r="L181" s="392" t="s">
        <v>2419</v>
      </c>
      <c r="M181" s="690">
        <v>702350</v>
      </c>
      <c r="N181" s="393" t="s">
        <v>1669</v>
      </c>
    </row>
    <row r="182" spans="1:16">
      <c r="A182" s="530" t="s">
        <v>9887</v>
      </c>
      <c r="B182" s="389" t="s">
        <v>9879</v>
      </c>
      <c r="C182" s="680" t="s">
        <v>9880</v>
      </c>
      <c r="D182" s="684">
        <v>21</v>
      </c>
      <c r="E182" s="695">
        <v>21792525</v>
      </c>
      <c r="F182" s="695">
        <v>996798774</v>
      </c>
      <c r="G182" s="390">
        <v>1539</v>
      </c>
      <c r="H182" s="391" t="s">
        <v>9881</v>
      </c>
      <c r="I182" s="391" t="s">
        <v>2404</v>
      </c>
      <c r="J182" s="531" t="s">
        <v>3043</v>
      </c>
      <c r="K182" s="392" t="s">
        <v>9882</v>
      </c>
      <c r="L182" s="392" t="s">
        <v>9883</v>
      </c>
      <c r="M182" s="690">
        <v>1539</v>
      </c>
      <c r="N182" s="393" t="s">
        <v>9884</v>
      </c>
    </row>
    <row r="183" spans="1:16">
      <c r="A183" s="530" t="s">
        <v>11025</v>
      </c>
      <c r="B183" s="389" t="s">
        <v>2050</v>
      </c>
      <c r="C183" s="680" t="s">
        <v>821</v>
      </c>
      <c r="D183" s="684">
        <v>61</v>
      </c>
      <c r="E183" s="695">
        <v>32344395</v>
      </c>
      <c r="F183" s="695">
        <v>984221598</v>
      </c>
      <c r="G183" s="390">
        <v>701309</v>
      </c>
      <c r="H183" s="391" t="s">
        <v>2051</v>
      </c>
      <c r="I183" s="391" t="s">
        <v>2320</v>
      </c>
      <c r="J183" s="531" t="s">
        <v>3043</v>
      </c>
      <c r="K183" s="548" t="s">
        <v>2425</v>
      </c>
      <c r="L183" s="392" t="s">
        <v>2426</v>
      </c>
      <c r="M183" s="690">
        <v>701309</v>
      </c>
      <c r="N183" s="393" t="s">
        <v>820</v>
      </c>
    </row>
    <row r="184" spans="1:16">
      <c r="A184" s="530" t="s">
        <v>8240</v>
      </c>
      <c r="B184" s="389" t="s">
        <v>7349</v>
      </c>
      <c r="C184" s="680" t="s">
        <v>893</v>
      </c>
      <c r="D184" s="684">
        <v>62</v>
      </c>
      <c r="E184" s="695">
        <v>36396613</v>
      </c>
      <c r="F184" s="695"/>
      <c r="G184" s="390">
        <v>703786</v>
      </c>
      <c r="H184" s="391" t="s">
        <v>7350</v>
      </c>
      <c r="I184" s="391" t="s">
        <v>2333</v>
      </c>
      <c r="J184" s="531" t="s">
        <v>3052</v>
      </c>
      <c r="K184" s="392" t="s">
        <v>2881</v>
      </c>
      <c r="L184" s="392" t="s">
        <v>11026</v>
      </c>
      <c r="M184" s="690">
        <v>703786</v>
      </c>
      <c r="N184" s="393" t="s">
        <v>7345</v>
      </c>
      <c r="P184" s="394" t="s">
        <v>11027</v>
      </c>
    </row>
    <row r="185" spans="1:16">
      <c r="A185" s="530" t="s">
        <v>11028</v>
      </c>
      <c r="B185" s="389" t="s">
        <v>2052</v>
      </c>
      <c r="C185" s="680" t="s">
        <v>683</v>
      </c>
      <c r="D185" s="684">
        <v>19</v>
      </c>
      <c r="E185" s="695">
        <v>33676913</v>
      </c>
      <c r="F185" s="695"/>
      <c r="G185" s="390">
        <v>700816</v>
      </c>
      <c r="H185" s="391" t="s">
        <v>2053</v>
      </c>
      <c r="I185" s="391" t="s">
        <v>2350</v>
      </c>
      <c r="J185" s="531">
        <v>237</v>
      </c>
      <c r="K185" s="392" t="s">
        <v>4311</v>
      </c>
      <c r="L185" s="392" t="s">
        <v>4312</v>
      </c>
      <c r="M185" s="690">
        <v>700816</v>
      </c>
      <c r="N185" s="393" t="s">
        <v>608</v>
      </c>
    </row>
    <row r="186" spans="1:16">
      <c r="A186" s="530" t="s">
        <v>11029</v>
      </c>
      <c r="B186" s="389" t="s">
        <v>11030</v>
      </c>
      <c r="C186" s="680" t="s">
        <v>11031</v>
      </c>
      <c r="D186" s="684">
        <v>11</v>
      </c>
      <c r="E186" s="695">
        <v>23597257</v>
      </c>
      <c r="F186" s="695"/>
      <c r="G186" s="390">
        <v>703200</v>
      </c>
      <c r="H186" s="391" t="s">
        <v>11032</v>
      </c>
      <c r="I186" s="391"/>
      <c r="J186" s="531" t="s">
        <v>10735</v>
      </c>
      <c r="K186" s="392"/>
      <c r="L186" s="392"/>
      <c r="M186" s="690">
        <v>703200</v>
      </c>
      <c r="N186" s="393" t="s">
        <v>11033</v>
      </c>
    </row>
    <row r="187" spans="1:16">
      <c r="A187" s="530" t="s">
        <v>11034</v>
      </c>
      <c r="B187" s="389" t="s">
        <v>6789</v>
      </c>
      <c r="C187" s="680" t="s">
        <v>6777</v>
      </c>
      <c r="D187" s="684">
        <v>61</v>
      </c>
      <c r="E187" s="695"/>
      <c r="F187" s="695">
        <v>99271449</v>
      </c>
      <c r="G187" s="390">
        <v>703574</v>
      </c>
      <c r="H187" s="391" t="s">
        <v>6790</v>
      </c>
      <c r="I187" s="391" t="s">
        <v>2320</v>
      </c>
      <c r="J187" s="531" t="s">
        <v>3043</v>
      </c>
      <c r="K187" s="392" t="s">
        <v>3610</v>
      </c>
      <c r="L187" s="392" t="s">
        <v>6791</v>
      </c>
      <c r="M187" s="690">
        <v>703574</v>
      </c>
      <c r="N187" s="393" t="s">
        <v>6792</v>
      </c>
    </row>
    <row r="188" spans="1:16">
      <c r="A188" s="530" t="s">
        <v>11035</v>
      </c>
      <c r="B188" s="389" t="s">
        <v>2054</v>
      </c>
      <c r="C188" s="680" t="s">
        <v>6830</v>
      </c>
      <c r="D188" s="684">
        <v>61</v>
      </c>
      <c r="E188" s="695">
        <v>33614338</v>
      </c>
      <c r="F188" s="695"/>
      <c r="G188" s="390">
        <v>418</v>
      </c>
      <c r="H188" s="391" t="s">
        <v>2055</v>
      </c>
      <c r="I188" s="391" t="s">
        <v>2320</v>
      </c>
      <c r="J188" s="531" t="s">
        <v>3043</v>
      </c>
      <c r="K188" s="392" t="s">
        <v>3610</v>
      </c>
      <c r="L188" s="392" t="s">
        <v>2326</v>
      </c>
      <c r="M188" s="690">
        <v>418</v>
      </c>
      <c r="N188" s="393" t="s">
        <v>804</v>
      </c>
    </row>
    <row r="189" spans="1:16">
      <c r="A189" s="530" t="s">
        <v>9785</v>
      </c>
      <c r="B189" s="389" t="s">
        <v>2551</v>
      </c>
      <c r="C189" s="680" t="s">
        <v>4248</v>
      </c>
      <c r="D189" s="684">
        <v>31</v>
      </c>
      <c r="E189" s="695">
        <v>33152020</v>
      </c>
      <c r="F189" s="695"/>
      <c r="G189" s="390">
        <v>702998</v>
      </c>
      <c r="H189" s="391" t="s">
        <v>2546</v>
      </c>
      <c r="I189" s="391" t="s">
        <v>2404</v>
      </c>
      <c r="J189" s="531" t="s">
        <v>3043</v>
      </c>
      <c r="K189" s="392" t="s">
        <v>10138</v>
      </c>
      <c r="L189" s="392" t="s">
        <v>10139</v>
      </c>
      <c r="M189" s="690">
        <v>702998</v>
      </c>
      <c r="N189" s="393" t="s">
        <v>2766</v>
      </c>
    </row>
    <row r="190" spans="1:16">
      <c r="A190" s="530" t="s">
        <v>11036</v>
      </c>
      <c r="B190" s="389" t="s">
        <v>11037</v>
      </c>
      <c r="C190" s="680" t="s">
        <v>882</v>
      </c>
      <c r="D190" s="684">
        <v>61</v>
      </c>
      <c r="E190" s="695">
        <v>32566371</v>
      </c>
      <c r="F190" s="695">
        <v>981016794</v>
      </c>
      <c r="G190" s="390">
        <v>703791</v>
      </c>
      <c r="H190" s="549" t="s">
        <v>11038</v>
      </c>
      <c r="I190" s="391" t="s">
        <v>2350</v>
      </c>
      <c r="J190" s="531">
        <v>237</v>
      </c>
      <c r="K190" s="392" t="s">
        <v>2495</v>
      </c>
      <c r="L190" s="392" t="s">
        <v>11039</v>
      </c>
      <c r="M190" s="690">
        <v>703791</v>
      </c>
      <c r="N190" s="393" t="s">
        <v>11040</v>
      </c>
      <c r="P190" s="394" t="s">
        <v>11041</v>
      </c>
    </row>
    <row r="191" spans="1:16">
      <c r="A191" s="530" t="s">
        <v>11042</v>
      </c>
      <c r="B191" s="389" t="s">
        <v>2057</v>
      </c>
      <c r="C191" s="680" t="s">
        <v>3972</v>
      </c>
      <c r="D191" s="684">
        <v>61</v>
      </c>
      <c r="E191" s="695">
        <v>33860707</v>
      </c>
      <c r="F191" s="695"/>
      <c r="G191" s="390">
        <v>3392</v>
      </c>
      <c r="H191" s="391" t="s">
        <v>2058</v>
      </c>
      <c r="I191" s="391" t="s">
        <v>2335</v>
      </c>
      <c r="J191" s="531">
        <v>341</v>
      </c>
      <c r="K191" s="392" t="s">
        <v>2339</v>
      </c>
      <c r="L191" s="392" t="s">
        <v>2340</v>
      </c>
      <c r="M191" s="690">
        <v>3392</v>
      </c>
      <c r="N191" s="393" t="s">
        <v>2056</v>
      </c>
    </row>
    <row r="192" spans="1:16">
      <c r="A192" s="530" t="s">
        <v>11043</v>
      </c>
      <c r="B192" s="389" t="s">
        <v>1786</v>
      </c>
      <c r="C192" s="680" t="s">
        <v>1787</v>
      </c>
      <c r="D192" s="684">
        <v>61</v>
      </c>
      <c r="E192" s="695">
        <v>34841756</v>
      </c>
      <c r="F192" s="695">
        <v>984723648</v>
      </c>
      <c r="G192" s="390">
        <v>703034</v>
      </c>
      <c r="H192" s="391"/>
      <c r="I192" s="391"/>
      <c r="J192" s="531" t="s">
        <v>10735</v>
      </c>
      <c r="K192" s="392"/>
      <c r="L192" s="392"/>
      <c r="M192" s="690">
        <v>703034</v>
      </c>
      <c r="N192" s="393" t="s">
        <v>1785</v>
      </c>
    </row>
    <row r="193" spans="1:14">
      <c r="A193" s="530" t="s">
        <v>11044</v>
      </c>
      <c r="B193" s="389" t="s">
        <v>11045</v>
      </c>
      <c r="C193" s="680" t="s">
        <v>692</v>
      </c>
      <c r="D193" s="684">
        <v>61</v>
      </c>
      <c r="E193" s="695">
        <v>32579943</v>
      </c>
      <c r="F193" s="695">
        <v>986098996</v>
      </c>
      <c r="G193" s="390">
        <v>704221</v>
      </c>
      <c r="H193" s="391" t="s">
        <v>11046</v>
      </c>
      <c r="I193" s="391"/>
      <c r="J193" s="531"/>
      <c r="K193" s="392"/>
      <c r="L193" s="392"/>
      <c r="M193" s="690">
        <v>704221</v>
      </c>
      <c r="N193" s="393" t="s">
        <v>11047</v>
      </c>
    </row>
    <row r="194" spans="1:14">
      <c r="A194" s="530" t="s">
        <v>11048</v>
      </c>
      <c r="B194" s="389" t="s">
        <v>11049</v>
      </c>
      <c r="C194" s="680"/>
      <c r="D194" s="684">
        <v>62</v>
      </c>
      <c r="E194" s="695">
        <v>35743048</v>
      </c>
      <c r="F194" s="695"/>
      <c r="G194" s="390">
        <v>704305</v>
      </c>
      <c r="H194" s="391" t="s">
        <v>11050</v>
      </c>
      <c r="I194" s="391" t="s">
        <v>2333</v>
      </c>
      <c r="J194" s="531" t="s">
        <v>3052</v>
      </c>
      <c r="K194" s="392">
        <v>1268</v>
      </c>
      <c r="L194" s="392" t="s">
        <v>11051</v>
      </c>
      <c r="M194" s="690">
        <v>704305</v>
      </c>
      <c r="N194" s="393" t="s">
        <v>11052</v>
      </c>
    </row>
    <row r="195" spans="1:14">
      <c r="A195" s="530" t="s">
        <v>11053</v>
      </c>
      <c r="B195" s="389" t="s">
        <v>2833</v>
      </c>
      <c r="C195" s="680" t="s">
        <v>2834</v>
      </c>
      <c r="D195" s="684">
        <v>41</v>
      </c>
      <c r="E195" s="695">
        <v>33755450</v>
      </c>
      <c r="F195" s="695">
        <v>992012440</v>
      </c>
      <c r="G195" s="390">
        <v>702165</v>
      </c>
      <c r="H195" s="391" t="s">
        <v>2835</v>
      </c>
      <c r="I195" s="391" t="s">
        <v>2333</v>
      </c>
      <c r="J195" s="531" t="s">
        <v>3052</v>
      </c>
      <c r="K195" s="392" t="s">
        <v>2883</v>
      </c>
      <c r="L195" s="392" t="s">
        <v>2884</v>
      </c>
      <c r="M195" s="690">
        <v>702165</v>
      </c>
      <c r="N195" s="393" t="s">
        <v>2832</v>
      </c>
    </row>
    <row r="196" spans="1:14">
      <c r="A196" s="530" t="s">
        <v>11054</v>
      </c>
      <c r="B196" s="389" t="s">
        <v>2059</v>
      </c>
      <c r="C196" s="680" t="s">
        <v>995</v>
      </c>
      <c r="D196" s="684">
        <v>61</v>
      </c>
      <c r="E196" s="695">
        <v>32251020</v>
      </c>
      <c r="F196" s="695">
        <v>991158748</v>
      </c>
      <c r="G196" s="390">
        <v>702232</v>
      </c>
      <c r="H196" s="391" t="s">
        <v>2060</v>
      </c>
      <c r="I196" s="391" t="s">
        <v>2320</v>
      </c>
      <c r="J196" s="531" t="s">
        <v>3043</v>
      </c>
      <c r="K196" s="392" t="s">
        <v>2489</v>
      </c>
      <c r="L196" s="392" t="s">
        <v>3016</v>
      </c>
      <c r="M196" s="690">
        <v>702232</v>
      </c>
      <c r="N196" s="393" t="s">
        <v>2541</v>
      </c>
    </row>
    <row r="197" spans="1:14">
      <c r="A197" s="530" t="s">
        <v>11055</v>
      </c>
      <c r="B197" s="389" t="s">
        <v>2062</v>
      </c>
      <c r="C197" s="680" t="s">
        <v>1035</v>
      </c>
      <c r="D197" s="684">
        <v>62</v>
      </c>
      <c r="E197" s="695">
        <v>32656500</v>
      </c>
      <c r="F197" s="695"/>
      <c r="G197" s="390">
        <v>259</v>
      </c>
      <c r="H197" s="391" t="s">
        <v>2063</v>
      </c>
      <c r="I197" s="391"/>
      <c r="J197" s="531" t="s">
        <v>10735</v>
      </c>
      <c r="K197" s="392"/>
      <c r="L197" s="392"/>
      <c r="M197" s="690">
        <v>259</v>
      </c>
      <c r="N197" s="393" t="s">
        <v>2061</v>
      </c>
    </row>
    <row r="198" spans="1:14">
      <c r="A198" s="530" t="s">
        <v>11056</v>
      </c>
      <c r="B198" s="389" t="s">
        <v>11057</v>
      </c>
      <c r="C198" s="680" t="s">
        <v>1488</v>
      </c>
      <c r="D198" s="684">
        <v>11</v>
      </c>
      <c r="E198" s="695">
        <v>56420587</v>
      </c>
      <c r="F198" s="695"/>
      <c r="G198" s="390">
        <v>702729</v>
      </c>
      <c r="H198" s="391" t="s">
        <v>2064</v>
      </c>
      <c r="I198" s="391" t="s">
        <v>2320</v>
      </c>
      <c r="J198" s="531" t="s">
        <v>3043</v>
      </c>
      <c r="K198" s="392" t="s">
        <v>2395</v>
      </c>
      <c r="L198" s="392" t="s">
        <v>2396</v>
      </c>
      <c r="M198" s="690">
        <v>702729</v>
      </c>
      <c r="N198" s="393" t="s">
        <v>1442</v>
      </c>
    </row>
    <row r="199" spans="1:14">
      <c r="A199" s="530" t="s">
        <v>10239</v>
      </c>
      <c r="B199" s="389" t="s">
        <v>9179</v>
      </c>
      <c r="C199" s="680" t="s">
        <v>9180</v>
      </c>
      <c r="D199" s="684">
        <v>16</v>
      </c>
      <c r="E199" s="695">
        <v>30135646</v>
      </c>
      <c r="F199" s="695"/>
      <c r="G199" s="390">
        <v>703188</v>
      </c>
      <c r="H199" s="391" t="s">
        <v>9181</v>
      </c>
      <c r="I199" s="391" t="s">
        <v>2492</v>
      </c>
      <c r="J199" s="531">
        <v>756</v>
      </c>
      <c r="K199" s="392" t="s">
        <v>10391</v>
      </c>
      <c r="L199" s="392" t="s">
        <v>10392</v>
      </c>
      <c r="M199" s="690">
        <v>703188</v>
      </c>
      <c r="N199" s="393" t="s">
        <v>9182</v>
      </c>
    </row>
    <row r="200" spans="1:14">
      <c r="A200" s="530" t="s">
        <v>9946</v>
      </c>
      <c r="B200" s="389" t="s">
        <v>9888</v>
      </c>
      <c r="C200" s="680" t="s">
        <v>9889</v>
      </c>
      <c r="D200" s="684">
        <v>61</v>
      </c>
      <c r="E200" s="695">
        <v>33813700</v>
      </c>
      <c r="F200" s="695"/>
      <c r="G200" s="390"/>
      <c r="H200" s="391" t="s">
        <v>9890</v>
      </c>
      <c r="I200" s="391" t="s">
        <v>2320</v>
      </c>
      <c r="J200" s="531" t="s">
        <v>3043</v>
      </c>
      <c r="K200" s="392" t="s">
        <v>2443</v>
      </c>
      <c r="L200" s="392" t="s">
        <v>9891</v>
      </c>
      <c r="M200" s="690"/>
      <c r="N200" s="393" t="s">
        <v>6326</v>
      </c>
    </row>
    <row r="201" spans="1:14">
      <c r="A201" s="530" t="s">
        <v>11058</v>
      </c>
      <c r="B201" s="389" t="s">
        <v>2065</v>
      </c>
      <c r="C201" s="680" t="s">
        <v>1096</v>
      </c>
      <c r="D201" s="684">
        <v>62</v>
      </c>
      <c r="E201" s="695">
        <v>35756534</v>
      </c>
      <c r="F201" s="695">
        <v>985192265</v>
      </c>
      <c r="G201" s="390">
        <v>701782</v>
      </c>
      <c r="H201" s="549" t="s">
        <v>2066</v>
      </c>
      <c r="I201" s="391"/>
      <c r="J201" s="531" t="s">
        <v>10735</v>
      </c>
      <c r="K201" s="392"/>
      <c r="L201" s="392"/>
      <c r="M201" s="690">
        <v>701782</v>
      </c>
      <c r="N201" s="393" t="s">
        <v>1095</v>
      </c>
    </row>
    <row r="202" spans="1:14">
      <c r="A202" s="530" t="s">
        <v>11059</v>
      </c>
      <c r="B202" s="389" t="s">
        <v>2067</v>
      </c>
      <c r="C202" s="680" t="s">
        <v>695</v>
      </c>
      <c r="D202" s="684">
        <v>31</v>
      </c>
      <c r="E202" s="695">
        <v>30710667</v>
      </c>
      <c r="F202" s="695"/>
      <c r="G202" s="390">
        <v>701722</v>
      </c>
      <c r="H202" s="391" t="s">
        <v>2068</v>
      </c>
      <c r="I202" s="391" t="s">
        <v>2335</v>
      </c>
      <c r="J202" s="531">
        <v>341</v>
      </c>
      <c r="K202" s="392" t="s">
        <v>2351</v>
      </c>
      <c r="L202" s="392" t="s">
        <v>2352</v>
      </c>
      <c r="M202" s="690">
        <v>701722</v>
      </c>
      <c r="N202" s="393" t="s">
        <v>630</v>
      </c>
    </row>
    <row r="203" spans="1:14">
      <c r="A203" s="530" t="s">
        <v>11060</v>
      </c>
      <c r="B203" s="389" t="s">
        <v>2069</v>
      </c>
      <c r="C203" s="680" t="s">
        <v>2758</v>
      </c>
      <c r="D203" s="684">
        <v>11</v>
      </c>
      <c r="E203" s="695">
        <v>40358500</v>
      </c>
      <c r="F203" s="695">
        <v>993631989</v>
      </c>
      <c r="G203" s="390">
        <v>5424</v>
      </c>
      <c r="H203" s="391" t="s">
        <v>2070</v>
      </c>
      <c r="I203" s="391" t="s">
        <v>2350</v>
      </c>
      <c r="J203" s="531">
        <v>237</v>
      </c>
      <c r="K203" s="392" t="s">
        <v>2528</v>
      </c>
      <c r="L203" s="392" t="s">
        <v>2529</v>
      </c>
      <c r="M203" s="690">
        <v>5424</v>
      </c>
      <c r="N203" s="393" t="s">
        <v>1612</v>
      </c>
    </row>
    <row r="204" spans="1:14">
      <c r="A204" s="530" t="s">
        <v>11061</v>
      </c>
      <c r="B204" s="389" t="s">
        <v>11062</v>
      </c>
      <c r="C204" s="680" t="s">
        <v>11063</v>
      </c>
      <c r="D204" s="684">
        <v>19</v>
      </c>
      <c r="E204" s="695">
        <v>38439222</v>
      </c>
      <c r="F204" s="695">
        <v>941543120</v>
      </c>
      <c r="G204" s="390">
        <v>704340</v>
      </c>
      <c r="H204" s="391" t="s">
        <v>11064</v>
      </c>
      <c r="I204" s="391" t="s">
        <v>2320</v>
      </c>
      <c r="J204" s="531" t="s">
        <v>3043</v>
      </c>
      <c r="K204" s="392" t="s">
        <v>11065</v>
      </c>
      <c r="L204" s="392" t="s">
        <v>11066</v>
      </c>
      <c r="M204" s="690">
        <v>704340</v>
      </c>
      <c r="N204" s="393" t="s">
        <v>11067</v>
      </c>
    </row>
    <row r="205" spans="1:14">
      <c r="A205" s="530" t="s">
        <v>11068</v>
      </c>
      <c r="B205" s="389" t="s">
        <v>6845</v>
      </c>
      <c r="C205" s="680" t="s">
        <v>6844</v>
      </c>
      <c r="D205" s="684" t="s">
        <v>5888</v>
      </c>
      <c r="E205" s="695"/>
      <c r="F205" s="695"/>
      <c r="G205" s="390"/>
      <c r="H205" s="391" t="s">
        <v>6843</v>
      </c>
      <c r="I205" s="391" t="s">
        <v>2350</v>
      </c>
      <c r="J205" s="531">
        <v>237</v>
      </c>
      <c r="K205" s="392" t="s">
        <v>6846</v>
      </c>
      <c r="L205" s="392" t="s">
        <v>6847</v>
      </c>
      <c r="M205" s="690"/>
      <c r="N205" s="393" t="s">
        <v>6323</v>
      </c>
    </row>
    <row r="206" spans="1:14">
      <c r="A206" s="530" t="s">
        <v>11069</v>
      </c>
      <c r="B206" s="389" t="s">
        <v>4058</v>
      </c>
      <c r="C206" s="680" t="s">
        <v>4059</v>
      </c>
      <c r="D206" s="684">
        <v>62</v>
      </c>
      <c r="E206" s="695">
        <v>32415555</v>
      </c>
      <c r="F206" s="695"/>
      <c r="G206" s="390">
        <v>701227</v>
      </c>
      <c r="H206" s="391" t="s">
        <v>4060</v>
      </c>
      <c r="I206" s="391" t="s">
        <v>2320</v>
      </c>
      <c r="J206" s="531" t="s">
        <v>3043</v>
      </c>
      <c r="K206" s="392" t="s">
        <v>2489</v>
      </c>
      <c r="L206" s="392" t="s">
        <v>4061</v>
      </c>
      <c r="M206" s="690">
        <v>701227</v>
      </c>
      <c r="N206" s="393" t="s">
        <v>4062</v>
      </c>
    </row>
    <row r="207" spans="1:14">
      <c r="A207" s="530" t="s">
        <v>7268</v>
      </c>
      <c r="B207" s="389" t="s">
        <v>3910</v>
      </c>
      <c r="C207" s="680" t="s">
        <v>1823</v>
      </c>
      <c r="D207" s="684">
        <v>62</v>
      </c>
      <c r="E207" s="695">
        <v>32786000</v>
      </c>
      <c r="F207" s="695">
        <v>985034851</v>
      </c>
      <c r="G207" s="390">
        <v>700179</v>
      </c>
      <c r="H207" s="391" t="s">
        <v>3911</v>
      </c>
      <c r="I207" s="391" t="s">
        <v>2333</v>
      </c>
      <c r="J207" s="531" t="s">
        <v>3052</v>
      </c>
      <c r="K207" s="392" t="s">
        <v>3912</v>
      </c>
      <c r="L207" s="392" t="s">
        <v>3913</v>
      </c>
      <c r="M207" s="690">
        <v>700179</v>
      </c>
      <c r="N207" s="393" t="s">
        <v>3880</v>
      </c>
    </row>
    <row r="208" spans="1:14">
      <c r="A208" s="530" t="s">
        <v>11070</v>
      </c>
      <c r="B208" s="389" t="s">
        <v>2071</v>
      </c>
      <c r="C208" s="680" t="s">
        <v>1776</v>
      </c>
      <c r="D208" s="684">
        <v>61</v>
      </c>
      <c r="E208" s="695">
        <v>34033500</v>
      </c>
      <c r="F208" s="695"/>
      <c r="G208" s="390">
        <v>2875</v>
      </c>
      <c r="H208" s="391" t="s">
        <v>2072</v>
      </c>
      <c r="I208" s="391" t="s">
        <v>2320</v>
      </c>
      <c r="J208" s="531" t="s">
        <v>3043</v>
      </c>
      <c r="K208" s="392" t="s">
        <v>2501</v>
      </c>
      <c r="L208" s="392" t="s">
        <v>2502</v>
      </c>
      <c r="M208" s="690">
        <v>2875</v>
      </c>
      <c r="N208" s="393" t="s">
        <v>11071</v>
      </c>
    </row>
    <row r="209" spans="1:16">
      <c r="A209" s="530" t="s">
        <v>11072</v>
      </c>
      <c r="B209" s="389" t="s">
        <v>11073</v>
      </c>
      <c r="C209" s="680" t="s">
        <v>1776</v>
      </c>
      <c r="D209" s="684">
        <v>61</v>
      </c>
      <c r="E209" s="695">
        <v>32693500</v>
      </c>
      <c r="F209" s="695"/>
      <c r="G209" s="390">
        <v>702680</v>
      </c>
      <c r="H209" s="391" t="s">
        <v>11074</v>
      </c>
      <c r="I209" s="391" t="s">
        <v>2320</v>
      </c>
      <c r="J209" s="531" t="s">
        <v>3043</v>
      </c>
      <c r="K209" s="392" t="s">
        <v>2501</v>
      </c>
      <c r="L209" s="392" t="s">
        <v>2502</v>
      </c>
      <c r="M209" s="690">
        <v>702680</v>
      </c>
      <c r="N209" s="393" t="s">
        <v>11075</v>
      </c>
      <c r="O209" s="394" t="s">
        <v>2072</v>
      </c>
      <c r="P209" s="394" t="s">
        <v>11076</v>
      </c>
    </row>
    <row r="210" spans="1:16">
      <c r="A210" s="530" t="s">
        <v>11077</v>
      </c>
      <c r="B210" s="389" t="s">
        <v>1203</v>
      </c>
      <c r="C210" s="680" t="s">
        <v>1204</v>
      </c>
      <c r="D210" s="684">
        <v>61</v>
      </c>
      <c r="E210" s="695">
        <v>34357918</v>
      </c>
      <c r="F210" s="695"/>
      <c r="G210" s="390"/>
      <c r="H210" s="391"/>
      <c r="I210" s="391"/>
      <c r="J210" s="531" t="s">
        <v>10735</v>
      </c>
      <c r="K210" s="392"/>
      <c r="L210" s="392"/>
      <c r="M210" s="690"/>
      <c r="N210" s="393" t="s">
        <v>1205</v>
      </c>
    </row>
    <row r="211" spans="1:16">
      <c r="A211" s="530" t="s">
        <v>11078</v>
      </c>
      <c r="B211" s="389" t="s">
        <v>1202</v>
      </c>
      <c r="C211" s="680"/>
      <c r="D211" s="684">
        <v>61</v>
      </c>
      <c r="E211" s="695"/>
      <c r="F211" s="695"/>
      <c r="G211" s="390"/>
      <c r="H211" s="391"/>
      <c r="I211" s="391"/>
      <c r="J211" s="531" t="s">
        <v>10735</v>
      </c>
      <c r="K211" s="392"/>
      <c r="L211" s="392"/>
      <c r="M211" s="690"/>
      <c r="N211" s="393" t="s">
        <v>1201</v>
      </c>
    </row>
    <row r="212" spans="1:16">
      <c r="A212" s="530" t="s">
        <v>11079</v>
      </c>
      <c r="B212" s="389" t="s">
        <v>6958</v>
      </c>
      <c r="C212" s="680" t="s">
        <v>6959</v>
      </c>
      <c r="D212" s="684">
        <v>62</v>
      </c>
      <c r="E212" s="695">
        <v>30882080</v>
      </c>
      <c r="F212" s="695"/>
      <c r="G212" s="390">
        <v>703717</v>
      </c>
      <c r="H212" s="391" t="s">
        <v>6960</v>
      </c>
      <c r="I212" s="391" t="s">
        <v>2492</v>
      </c>
      <c r="J212" s="531">
        <v>756</v>
      </c>
      <c r="K212" s="392" t="s">
        <v>6961</v>
      </c>
      <c r="L212" s="392" t="s">
        <v>6962</v>
      </c>
      <c r="M212" s="690">
        <v>703717</v>
      </c>
      <c r="N212" s="393" t="s">
        <v>6963</v>
      </c>
    </row>
    <row r="213" spans="1:16">
      <c r="A213" s="530" t="s">
        <v>11080</v>
      </c>
      <c r="B213" s="389" t="s">
        <v>8826</v>
      </c>
      <c r="C213" s="680" t="s">
        <v>8827</v>
      </c>
      <c r="D213" s="684">
        <v>61</v>
      </c>
      <c r="E213" s="695">
        <v>30336181</v>
      </c>
      <c r="F213" s="695"/>
      <c r="G213" s="390">
        <v>703611</v>
      </c>
      <c r="H213" s="391" t="s">
        <v>8828</v>
      </c>
      <c r="I213" s="391"/>
      <c r="J213" s="531" t="s">
        <v>10735</v>
      </c>
      <c r="K213" s="392"/>
      <c r="L213" s="392"/>
      <c r="M213" s="690">
        <v>703611</v>
      </c>
      <c r="N213" s="393" t="s">
        <v>6308</v>
      </c>
    </row>
    <row r="214" spans="1:16">
      <c r="A214" s="530" t="s">
        <v>11081</v>
      </c>
      <c r="B214" s="389" t="s">
        <v>4064</v>
      </c>
      <c r="C214" s="680" t="s">
        <v>4065</v>
      </c>
      <c r="D214" s="684">
        <v>61</v>
      </c>
      <c r="E214" s="695">
        <v>33651028</v>
      </c>
      <c r="F214" s="695"/>
      <c r="G214" s="390">
        <v>703424</v>
      </c>
      <c r="H214" s="391" t="s">
        <v>4066</v>
      </c>
      <c r="I214" s="391"/>
      <c r="J214" s="531" t="s">
        <v>10735</v>
      </c>
      <c r="K214" s="392"/>
      <c r="L214" s="392"/>
      <c r="M214" s="690"/>
      <c r="N214" s="393" t="s">
        <v>4063</v>
      </c>
    </row>
    <row r="215" spans="1:16">
      <c r="A215" s="530" t="s">
        <v>11082</v>
      </c>
      <c r="B215" s="389" t="s">
        <v>11083</v>
      </c>
      <c r="C215" s="680" t="s">
        <v>1749</v>
      </c>
      <c r="D215" s="684">
        <v>21</v>
      </c>
      <c r="E215" s="695">
        <v>21031044</v>
      </c>
      <c r="F215" s="695"/>
      <c r="G215" s="390">
        <v>410</v>
      </c>
      <c r="H215" s="391" t="s">
        <v>2507</v>
      </c>
      <c r="I215" s="391" t="s">
        <v>2320</v>
      </c>
      <c r="J215" s="531" t="s">
        <v>3043</v>
      </c>
      <c r="K215" s="392" t="s">
        <v>2508</v>
      </c>
      <c r="L215" s="392" t="s">
        <v>2509</v>
      </c>
      <c r="M215" s="690">
        <v>410</v>
      </c>
      <c r="N215" s="393" t="s">
        <v>1304</v>
      </c>
    </row>
    <row r="216" spans="1:16">
      <c r="A216" s="530" t="s">
        <v>11084</v>
      </c>
      <c r="B216" s="389" t="s">
        <v>11085</v>
      </c>
      <c r="C216" s="680"/>
      <c r="D216" s="684">
        <v>61</v>
      </c>
      <c r="E216" s="695">
        <v>33354721</v>
      </c>
      <c r="F216" s="695"/>
      <c r="G216" s="390"/>
      <c r="H216" s="391"/>
      <c r="I216" s="391"/>
      <c r="J216" s="531" t="s">
        <v>10735</v>
      </c>
      <c r="K216" s="392"/>
      <c r="L216" s="392"/>
      <c r="M216" s="690"/>
      <c r="N216" s="393" t="s">
        <v>1750</v>
      </c>
    </row>
    <row r="217" spans="1:16">
      <c r="A217" s="530" t="s">
        <v>11086</v>
      </c>
      <c r="B217" s="389" t="s">
        <v>3372</v>
      </c>
      <c r="C217" s="680" t="s">
        <v>3373</v>
      </c>
      <c r="D217" s="684">
        <v>62</v>
      </c>
      <c r="E217" s="695">
        <v>32521210</v>
      </c>
      <c r="F217" s="695"/>
      <c r="G217" s="390">
        <v>703155</v>
      </c>
      <c r="H217" s="391" t="s">
        <v>3374</v>
      </c>
      <c r="I217" s="391" t="s">
        <v>2492</v>
      </c>
      <c r="J217" s="531">
        <v>756</v>
      </c>
      <c r="K217" s="392" t="s">
        <v>4067</v>
      </c>
      <c r="L217" s="392" t="s">
        <v>4068</v>
      </c>
      <c r="M217" s="690">
        <v>703155</v>
      </c>
      <c r="N217" s="393" t="s">
        <v>3375</v>
      </c>
    </row>
    <row r="218" spans="1:16">
      <c r="A218" s="530" t="s">
        <v>11087</v>
      </c>
      <c r="B218" s="389" t="s">
        <v>1174</v>
      </c>
      <c r="C218" s="680" t="s">
        <v>1175</v>
      </c>
      <c r="D218" s="684">
        <v>62</v>
      </c>
      <c r="E218" s="695">
        <v>30874606</v>
      </c>
      <c r="F218" s="695"/>
      <c r="G218" s="390">
        <v>702095</v>
      </c>
      <c r="H218" s="391"/>
      <c r="I218" s="391"/>
      <c r="J218" s="531" t="s">
        <v>10735</v>
      </c>
      <c r="K218" s="392"/>
      <c r="L218" s="392"/>
      <c r="M218" s="690">
        <v>702095</v>
      </c>
      <c r="N218" s="393" t="s">
        <v>1173</v>
      </c>
    </row>
    <row r="219" spans="1:16">
      <c r="A219" s="530" t="s">
        <v>7202</v>
      </c>
      <c r="B219" s="389" t="s">
        <v>7194</v>
      </c>
      <c r="C219" s="680" t="s">
        <v>1013</v>
      </c>
      <c r="D219" s="684">
        <v>61</v>
      </c>
      <c r="E219" s="695">
        <v>35919864</v>
      </c>
      <c r="F219" s="695"/>
      <c r="G219" s="390">
        <v>703535</v>
      </c>
      <c r="H219" s="391" t="s">
        <v>7195</v>
      </c>
      <c r="I219" s="391" t="s">
        <v>2333</v>
      </c>
      <c r="J219" s="531" t="s">
        <v>3052</v>
      </c>
      <c r="K219" s="392" t="s">
        <v>7196</v>
      </c>
      <c r="L219" s="392" t="s">
        <v>7197</v>
      </c>
      <c r="M219" s="690">
        <v>703535</v>
      </c>
      <c r="N219" s="393" t="s">
        <v>7198</v>
      </c>
    </row>
    <row r="220" spans="1:16">
      <c r="A220" s="530" t="s">
        <v>11088</v>
      </c>
      <c r="B220" s="389" t="s">
        <v>11089</v>
      </c>
      <c r="C220" s="680" t="s">
        <v>11090</v>
      </c>
      <c r="D220" s="684">
        <v>62</v>
      </c>
      <c r="E220" s="695">
        <v>41020958</v>
      </c>
      <c r="F220" s="695"/>
      <c r="G220" s="390"/>
      <c r="H220" s="391" t="s">
        <v>11091</v>
      </c>
      <c r="I220" s="391" t="s">
        <v>2329</v>
      </c>
      <c r="J220" s="531">
        <v>104</v>
      </c>
      <c r="K220" s="392" t="s">
        <v>11092</v>
      </c>
      <c r="L220" s="392" t="s">
        <v>11093</v>
      </c>
      <c r="M220" s="690"/>
      <c r="N220" s="393" t="s">
        <v>11094</v>
      </c>
    </row>
    <row r="221" spans="1:16">
      <c r="A221" s="530" t="s">
        <v>11095</v>
      </c>
      <c r="B221" s="389" t="s">
        <v>11096</v>
      </c>
      <c r="C221" s="680" t="s">
        <v>11097</v>
      </c>
      <c r="D221" s="684">
        <v>61</v>
      </c>
      <c r="F221" s="695">
        <v>999593011</v>
      </c>
      <c r="G221" s="390">
        <v>704300</v>
      </c>
      <c r="H221" s="391" t="s">
        <v>11098</v>
      </c>
      <c r="I221" s="391" t="s">
        <v>2321</v>
      </c>
      <c r="J221" s="531" t="s">
        <v>3050</v>
      </c>
      <c r="K221" s="392" t="s">
        <v>11099</v>
      </c>
      <c r="L221" s="392" t="s">
        <v>11100</v>
      </c>
      <c r="M221" s="690">
        <v>704300</v>
      </c>
      <c r="N221" s="393" t="s">
        <v>11101</v>
      </c>
      <c r="P221" s="394" t="s">
        <v>11102</v>
      </c>
    </row>
    <row r="222" spans="1:16">
      <c r="A222" s="530" t="s">
        <v>11103</v>
      </c>
      <c r="B222" s="389" t="s">
        <v>2930</v>
      </c>
      <c r="C222" s="680" t="s">
        <v>2931</v>
      </c>
      <c r="D222" s="684">
        <v>62</v>
      </c>
      <c r="E222" s="695">
        <v>35413717</v>
      </c>
      <c r="F222" s="695">
        <v>999250333</v>
      </c>
      <c r="G222" s="390"/>
      <c r="H222" s="391"/>
      <c r="I222" s="391"/>
      <c r="J222" s="531" t="s">
        <v>10735</v>
      </c>
      <c r="K222" s="392"/>
      <c r="L222" s="392"/>
      <c r="M222" s="690"/>
      <c r="N222" s="393" t="s">
        <v>2929</v>
      </c>
    </row>
    <row r="223" spans="1:16">
      <c r="A223" s="530" t="s">
        <v>11104</v>
      </c>
      <c r="B223" s="389" t="s">
        <v>8918</v>
      </c>
      <c r="C223" s="680" t="s">
        <v>8919</v>
      </c>
      <c r="D223" s="684">
        <v>61</v>
      </c>
      <c r="E223" s="695">
        <v>37726450</v>
      </c>
      <c r="F223" s="695"/>
      <c r="G223" s="390">
        <v>703580</v>
      </c>
      <c r="H223" s="391" t="s">
        <v>8920</v>
      </c>
      <c r="I223" s="391"/>
      <c r="J223" s="531" t="s">
        <v>10735</v>
      </c>
      <c r="K223" s="392"/>
      <c r="L223" s="392"/>
      <c r="M223" s="690">
        <v>703580</v>
      </c>
      <c r="N223" s="393" t="s">
        <v>7920</v>
      </c>
    </row>
    <row r="224" spans="1:16">
      <c r="A224" s="530" t="s">
        <v>7624</v>
      </c>
      <c r="B224" s="389" t="s">
        <v>10243</v>
      </c>
      <c r="C224" s="597"/>
      <c r="D224" s="684" t="s">
        <v>5888</v>
      </c>
      <c r="E224" s="696"/>
      <c r="F224" s="696"/>
      <c r="G224" s="391"/>
      <c r="H224" s="391" t="s">
        <v>696</v>
      </c>
      <c r="I224" s="391"/>
      <c r="J224" s="531" t="s">
        <v>10735</v>
      </c>
      <c r="K224" s="392"/>
      <c r="L224" s="392"/>
      <c r="M224" s="691"/>
      <c r="N224" s="393" t="s">
        <v>2073</v>
      </c>
    </row>
    <row r="225" spans="1:16">
      <c r="A225" s="530" t="s">
        <v>10675</v>
      </c>
      <c r="B225" s="389" t="s">
        <v>2961</v>
      </c>
      <c r="C225" s="680" t="s">
        <v>2962</v>
      </c>
      <c r="D225" s="684">
        <v>61</v>
      </c>
      <c r="E225" s="695">
        <v>33610003</v>
      </c>
      <c r="F225" s="695">
        <v>985936306</v>
      </c>
      <c r="G225" s="390">
        <v>703193</v>
      </c>
      <c r="H225" s="391" t="s">
        <v>2963</v>
      </c>
      <c r="I225" s="391" t="s">
        <v>2335</v>
      </c>
      <c r="J225" s="531">
        <v>341</v>
      </c>
      <c r="K225" s="392" t="s">
        <v>2964</v>
      </c>
      <c r="L225" s="392" t="s">
        <v>2965</v>
      </c>
      <c r="M225" s="690">
        <v>703193</v>
      </c>
      <c r="N225" s="393" t="s">
        <v>2948</v>
      </c>
    </row>
    <row r="226" spans="1:16">
      <c r="A226" s="530" t="s">
        <v>11105</v>
      </c>
      <c r="B226" s="389" t="s">
        <v>11106</v>
      </c>
      <c r="C226" s="680" t="s">
        <v>11107</v>
      </c>
      <c r="D226" s="684">
        <v>61</v>
      </c>
      <c r="E226" s="695"/>
      <c r="F226" s="695">
        <v>995123049</v>
      </c>
      <c r="G226" s="390"/>
      <c r="H226" s="391" t="s">
        <v>11108</v>
      </c>
      <c r="I226" s="391"/>
      <c r="J226" s="531" t="s">
        <v>10735</v>
      </c>
      <c r="K226" s="392"/>
      <c r="L226" s="392"/>
      <c r="M226" s="690"/>
      <c r="N226" s="393" t="s">
        <v>11109</v>
      </c>
    </row>
    <row r="227" spans="1:16">
      <c r="A227" s="530" t="s">
        <v>11110</v>
      </c>
      <c r="B227" s="389" t="s">
        <v>9374</v>
      </c>
      <c r="C227" s="680" t="s">
        <v>9375</v>
      </c>
      <c r="D227" s="684">
        <v>61</v>
      </c>
      <c r="F227" s="695">
        <v>999212713</v>
      </c>
      <c r="G227" s="390">
        <v>703946</v>
      </c>
      <c r="H227" s="391" t="s">
        <v>9376</v>
      </c>
      <c r="I227" s="391"/>
      <c r="J227" s="531" t="s">
        <v>10735</v>
      </c>
      <c r="K227" s="392"/>
      <c r="L227" s="392"/>
      <c r="M227" s="690">
        <v>703946</v>
      </c>
      <c r="N227" s="393" t="s">
        <v>9377</v>
      </c>
    </row>
    <row r="228" spans="1:16">
      <c r="A228" s="530" t="s">
        <v>7915</v>
      </c>
      <c r="B228" s="389" t="s">
        <v>3948</v>
      </c>
      <c r="C228" s="680" t="s">
        <v>692</v>
      </c>
      <c r="D228" s="684">
        <v>61</v>
      </c>
      <c r="E228" s="695">
        <v>32579943</v>
      </c>
      <c r="F228" s="695"/>
      <c r="G228" s="390">
        <v>703434</v>
      </c>
      <c r="H228" s="550" t="s">
        <v>3949</v>
      </c>
      <c r="I228" s="391" t="s">
        <v>2329</v>
      </c>
      <c r="J228" s="531">
        <v>104</v>
      </c>
      <c r="K228" s="392" t="s">
        <v>4315</v>
      </c>
      <c r="L228" s="392" t="s">
        <v>4316</v>
      </c>
      <c r="M228" s="690">
        <v>703434</v>
      </c>
      <c r="N228" s="393" t="s">
        <v>3950</v>
      </c>
    </row>
    <row r="229" spans="1:16">
      <c r="A229" s="530" t="s">
        <v>11111</v>
      </c>
      <c r="B229" s="389" t="s">
        <v>11112</v>
      </c>
      <c r="C229" s="680"/>
      <c r="D229" s="684" t="s">
        <v>5888</v>
      </c>
      <c r="E229" s="695"/>
      <c r="F229" s="695"/>
      <c r="G229" s="390"/>
      <c r="H229" s="550" t="s">
        <v>11113</v>
      </c>
      <c r="I229" s="391"/>
      <c r="J229" s="531" t="s">
        <v>10735</v>
      </c>
      <c r="K229" s="392"/>
      <c r="L229" s="392"/>
      <c r="M229" s="690"/>
      <c r="N229" s="393" t="s">
        <v>11114</v>
      </c>
    </row>
    <row r="230" spans="1:16">
      <c r="A230" s="530" t="s">
        <v>4357</v>
      </c>
      <c r="B230" s="389" t="s">
        <v>4289</v>
      </c>
      <c r="C230" s="680" t="s">
        <v>4290</v>
      </c>
      <c r="D230" s="684">
        <v>61</v>
      </c>
      <c r="E230" s="695">
        <v>39736410</v>
      </c>
      <c r="F230" s="695" t="s">
        <v>11526</v>
      </c>
      <c r="G230" s="390">
        <v>703513</v>
      </c>
      <c r="H230" s="550" t="s">
        <v>4291</v>
      </c>
      <c r="I230" s="391" t="s">
        <v>2320</v>
      </c>
      <c r="J230" s="531" t="s">
        <v>3043</v>
      </c>
      <c r="K230" s="392" t="s">
        <v>4338</v>
      </c>
      <c r="L230" s="392" t="s">
        <v>6905</v>
      </c>
      <c r="M230" s="690">
        <v>703513</v>
      </c>
      <c r="N230" s="393" t="s">
        <v>4292</v>
      </c>
      <c r="P230" s="394" t="s">
        <v>11115</v>
      </c>
    </row>
    <row r="231" spans="1:16">
      <c r="A231" s="530" t="s">
        <v>11116</v>
      </c>
      <c r="B231" s="389" t="s">
        <v>2074</v>
      </c>
      <c r="C231" s="680" t="s">
        <v>711</v>
      </c>
      <c r="D231" s="684">
        <v>62</v>
      </c>
      <c r="E231" s="695">
        <v>32845727</v>
      </c>
      <c r="F231" s="695"/>
      <c r="G231" s="390">
        <v>701463</v>
      </c>
      <c r="H231" s="550" t="s">
        <v>2075</v>
      </c>
      <c r="I231" s="391"/>
      <c r="J231" s="531" t="s">
        <v>10735</v>
      </c>
      <c r="K231" s="392"/>
      <c r="L231" s="392"/>
      <c r="M231" s="690">
        <v>701463</v>
      </c>
      <c r="N231" s="393" t="s">
        <v>766</v>
      </c>
    </row>
    <row r="232" spans="1:16">
      <c r="A232" s="530" t="s">
        <v>11117</v>
      </c>
      <c r="B232" s="389" t="s">
        <v>3846</v>
      </c>
      <c r="C232" s="680" t="s">
        <v>3847</v>
      </c>
      <c r="D232" s="684">
        <v>61</v>
      </c>
      <c r="E232" s="695">
        <v>34655815</v>
      </c>
      <c r="F232" s="695">
        <v>985648564</v>
      </c>
      <c r="G232" s="390">
        <v>701132</v>
      </c>
      <c r="H232" s="391" t="s">
        <v>3848</v>
      </c>
      <c r="I232" s="391" t="s">
        <v>2329</v>
      </c>
      <c r="J232" s="531">
        <v>104</v>
      </c>
      <c r="K232" s="392" t="s">
        <v>3849</v>
      </c>
      <c r="L232" s="392" t="s">
        <v>3850</v>
      </c>
      <c r="M232" s="690">
        <v>701132</v>
      </c>
      <c r="N232" s="393" t="s">
        <v>3851</v>
      </c>
    </row>
    <row r="233" spans="1:16">
      <c r="A233" s="530" t="s">
        <v>11118</v>
      </c>
      <c r="B233" s="389" t="s">
        <v>11119</v>
      </c>
      <c r="C233" s="680" t="s">
        <v>11120</v>
      </c>
      <c r="D233" s="684">
        <v>61</v>
      </c>
      <c r="E233" s="695">
        <v>32339501</v>
      </c>
      <c r="F233" s="695"/>
      <c r="G233" s="390"/>
      <c r="H233" s="550" t="s">
        <v>11121</v>
      </c>
      <c r="I233" s="391" t="s">
        <v>2320</v>
      </c>
      <c r="J233" s="531" t="s">
        <v>3043</v>
      </c>
      <c r="K233" s="392" t="s">
        <v>11122</v>
      </c>
      <c r="L233" s="392" t="s">
        <v>11123</v>
      </c>
      <c r="M233" s="690"/>
      <c r="N233" s="393" t="s">
        <v>11124</v>
      </c>
    </row>
    <row r="234" spans="1:16">
      <c r="A234" s="530" t="s">
        <v>11125</v>
      </c>
      <c r="B234" s="389" t="s">
        <v>11126</v>
      </c>
      <c r="C234" s="680" t="s">
        <v>11127</v>
      </c>
      <c r="D234" s="684">
        <v>62</v>
      </c>
      <c r="E234" s="695">
        <v>36215064</v>
      </c>
      <c r="F234" s="695">
        <v>982343466</v>
      </c>
      <c r="G234" s="390">
        <v>703632</v>
      </c>
      <c r="H234" s="550" t="s">
        <v>11128</v>
      </c>
      <c r="I234" s="391" t="s">
        <v>2329</v>
      </c>
      <c r="J234" s="531">
        <v>104</v>
      </c>
      <c r="K234" s="392" t="s">
        <v>11129</v>
      </c>
      <c r="L234" s="392" t="s">
        <v>11130</v>
      </c>
      <c r="M234" s="690">
        <v>703632</v>
      </c>
      <c r="N234" s="393" t="s">
        <v>11131</v>
      </c>
      <c r="P234" s="394" t="s">
        <v>11132</v>
      </c>
    </row>
    <row r="235" spans="1:16">
      <c r="A235" s="530" t="s">
        <v>7824</v>
      </c>
      <c r="B235" s="389" t="s">
        <v>7435</v>
      </c>
      <c r="C235" s="680" t="s">
        <v>11133</v>
      </c>
      <c r="D235" s="684">
        <v>27</v>
      </c>
      <c r="E235" s="695">
        <v>33241878</v>
      </c>
      <c r="F235" s="695"/>
      <c r="G235" s="390">
        <v>701950</v>
      </c>
      <c r="H235" s="550" t="s">
        <v>7436</v>
      </c>
      <c r="I235" s="391" t="s">
        <v>2404</v>
      </c>
      <c r="J235" s="531" t="s">
        <v>3043</v>
      </c>
      <c r="K235" s="392" t="s">
        <v>7437</v>
      </c>
      <c r="L235" s="392" t="s">
        <v>7438</v>
      </c>
      <c r="M235" s="690">
        <v>701950</v>
      </c>
      <c r="N235" s="393" t="s">
        <v>7439</v>
      </c>
    </row>
    <row r="236" spans="1:16">
      <c r="A236" s="530" t="s">
        <v>8899</v>
      </c>
      <c r="B236" s="389" t="s">
        <v>11134</v>
      </c>
      <c r="C236" s="680"/>
      <c r="D236" s="684">
        <v>61</v>
      </c>
      <c r="E236" s="695">
        <v>33742326</v>
      </c>
      <c r="F236" s="695">
        <v>984180230</v>
      </c>
      <c r="G236" s="390"/>
      <c r="H236" s="550" t="s">
        <v>8900</v>
      </c>
      <c r="I236" s="391" t="s">
        <v>2335</v>
      </c>
      <c r="J236" s="531">
        <v>341</v>
      </c>
      <c r="K236" s="392" t="s">
        <v>9419</v>
      </c>
      <c r="L236" s="392" t="s">
        <v>9420</v>
      </c>
      <c r="M236" s="690"/>
      <c r="N236" s="393" t="s">
        <v>8276</v>
      </c>
    </row>
    <row r="237" spans="1:16">
      <c r="A237" s="530" t="s">
        <v>11135</v>
      </c>
      <c r="B237" s="389" t="s">
        <v>2076</v>
      </c>
      <c r="C237" s="680" t="s">
        <v>1182</v>
      </c>
      <c r="D237" s="684">
        <v>62</v>
      </c>
      <c r="E237" s="695">
        <v>39223150</v>
      </c>
      <c r="F237" s="695"/>
      <c r="G237" s="390">
        <v>702968</v>
      </c>
      <c r="H237" s="550" t="s">
        <v>2077</v>
      </c>
      <c r="I237" s="391"/>
      <c r="J237" s="531" t="s">
        <v>10735</v>
      </c>
      <c r="K237" s="392"/>
      <c r="L237" s="392"/>
      <c r="M237" s="690">
        <v>702968</v>
      </c>
      <c r="N237" s="393" t="s">
        <v>1686</v>
      </c>
    </row>
    <row r="238" spans="1:16">
      <c r="A238" s="530" t="s">
        <v>11136</v>
      </c>
      <c r="B238" s="389" t="s">
        <v>708</v>
      </c>
      <c r="C238" s="680" t="s">
        <v>709</v>
      </c>
      <c r="D238" s="684">
        <v>11</v>
      </c>
      <c r="E238" s="695">
        <v>38746157</v>
      </c>
      <c r="F238" s="695"/>
      <c r="G238" s="390">
        <v>701546</v>
      </c>
      <c r="H238" s="550" t="s">
        <v>2078</v>
      </c>
      <c r="I238" s="391"/>
      <c r="J238" s="531" t="s">
        <v>10735</v>
      </c>
      <c r="K238" s="392"/>
      <c r="L238" s="392"/>
      <c r="M238" s="690">
        <v>701546</v>
      </c>
      <c r="N238" s="393" t="s">
        <v>625</v>
      </c>
    </row>
    <row r="239" spans="1:16">
      <c r="A239" s="530" t="s">
        <v>11137</v>
      </c>
      <c r="B239" s="389" t="s">
        <v>2079</v>
      </c>
      <c r="C239" s="680" t="s">
        <v>1561</v>
      </c>
      <c r="D239" s="684">
        <v>84</v>
      </c>
      <c r="E239" s="695">
        <v>32310973</v>
      </c>
      <c r="F239" s="695"/>
      <c r="G239" s="390">
        <v>702300</v>
      </c>
      <c r="H239" s="550" t="s">
        <v>2080</v>
      </c>
      <c r="I239" s="391" t="s">
        <v>2320</v>
      </c>
      <c r="J239" s="531" t="s">
        <v>3043</v>
      </c>
      <c r="K239" s="392" t="s">
        <v>2402</v>
      </c>
      <c r="L239" s="392" t="s">
        <v>2403</v>
      </c>
      <c r="M239" s="690">
        <v>702300</v>
      </c>
      <c r="N239" s="393" t="s">
        <v>1560</v>
      </c>
    </row>
    <row r="240" spans="1:16">
      <c r="A240" s="530" t="s">
        <v>11138</v>
      </c>
      <c r="B240" s="389" t="s">
        <v>2081</v>
      </c>
      <c r="C240" s="680" t="s">
        <v>1008</v>
      </c>
      <c r="D240" s="684">
        <v>61</v>
      </c>
      <c r="E240" s="695">
        <v>32149004</v>
      </c>
      <c r="F240" s="695"/>
      <c r="G240" s="390">
        <v>1144</v>
      </c>
      <c r="H240" s="550" t="s">
        <v>2082</v>
      </c>
      <c r="I240" s="391"/>
      <c r="J240" s="531" t="s">
        <v>10735</v>
      </c>
      <c r="K240" s="392"/>
      <c r="L240" s="392"/>
      <c r="M240" s="690">
        <v>1144</v>
      </c>
      <c r="N240" s="393" t="s">
        <v>1007</v>
      </c>
    </row>
    <row r="241" spans="1:17">
      <c r="A241" s="530" t="s">
        <v>9278</v>
      </c>
      <c r="B241" s="389" t="s">
        <v>2084</v>
      </c>
      <c r="C241" s="680" t="s">
        <v>11139</v>
      </c>
      <c r="D241" s="684">
        <v>11</v>
      </c>
      <c r="E241" s="695">
        <v>21620228</v>
      </c>
      <c r="F241" s="695"/>
      <c r="G241" s="390">
        <v>1633</v>
      </c>
      <c r="H241" s="550" t="s">
        <v>2085</v>
      </c>
      <c r="I241" s="391" t="s">
        <v>2350</v>
      </c>
      <c r="J241" s="531">
        <v>237</v>
      </c>
      <c r="K241" s="392" t="s">
        <v>2536</v>
      </c>
      <c r="L241" s="392" t="s">
        <v>2537</v>
      </c>
      <c r="M241" s="690">
        <v>1633</v>
      </c>
      <c r="N241" s="393" t="s">
        <v>2083</v>
      </c>
    </row>
    <row r="242" spans="1:17">
      <c r="A242" s="530" t="s">
        <v>7540</v>
      </c>
      <c r="B242" s="389" t="s">
        <v>2086</v>
      </c>
      <c r="C242" s="680" t="s">
        <v>7523</v>
      </c>
      <c r="D242" s="684">
        <v>61</v>
      </c>
      <c r="E242" s="695">
        <v>30367801</v>
      </c>
      <c r="F242" s="695">
        <v>982759324</v>
      </c>
      <c r="G242" s="390">
        <v>703021</v>
      </c>
      <c r="H242" s="391" t="s">
        <v>2087</v>
      </c>
      <c r="I242" s="391" t="s">
        <v>2321</v>
      </c>
      <c r="J242" s="531" t="s">
        <v>3050</v>
      </c>
      <c r="K242" s="392">
        <v>105</v>
      </c>
      <c r="L242" s="392" t="s">
        <v>11140</v>
      </c>
      <c r="M242" s="690">
        <v>703021</v>
      </c>
      <c r="N242" s="393" t="s">
        <v>1763</v>
      </c>
      <c r="Q242" s="394" t="s">
        <v>11141</v>
      </c>
    </row>
    <row r="243" spans="1:17">
      <c r="A243" s="530" t="s">
        <v>4358</v>
      </c>
      <c r="B243" s="389" t="s">
        <v>2089</v>
      </c>
      <c r="C243" s="597" t="s">
        <v>3502</v>
      </c>
      <c r="D243" s="684">
        <v>61</v>
      </c>
      <c r="E243" s="696">
        <v>35811054</v>
      </c>
      <c r="F243" s="696">
        <v>991126245</v>
      </c>
      <c r="G243" s="390">
        <v>703011</v>
      </c>
      <c r="H243" s="391" t="s">
        <v>4288</v>
      </c>
      <c r="I243" s="391" t="s">
        <v>2350</v>
      </c>
      <c r="J243" s="531">
        <v>237</v>
      </c>
      <c r="K243" s="392" t="s">
        <v>3054</v>
      </c>
      <c r="L243" s="392" t="s">
        <v>3055</v>
      </c>
      <c r="M243" s="690">
        <v>703011</v>
      </c>
      <c r="N243" s="393" t="s">
        <v>2088</v>
      </c>
    </row>
    <row r="244" spans="1:17">
      <c r="A244" s="530" t="s">
        <v>11142</v>
      </c>
      <c r="B244" s="389" t="s">
        <v>11143</v>
      </c>
      <c r="C244" s="680" t="s">
        <v>11144</v>
      </c>
      <c r="D244" s="684">
        <v>31</v>
      </c>
      <c r="E244" s="695">
        <v>33177145</v>
      </c>
      <c r="F244" s="695"/>
      <c r="G244" s="390">
        <v>704179</v>
      </c>
      <c r="H244" s="391" t="s">
        <v>11145</v>
      </c>
      <c r="I244" s="391"/>
      <c r="J244" s="531" t="s">
        <v>10735</v>
      </c>
      <c r="K244" s="392"/>
      <c r="L244" s="392"/>
      <c r="M244" s="690">
        <v>704179</v>
      </c>
      <c r="N244" s="393" t="s">
        <v>11146</v>
      </c>
    </row>
    <row r="245" spans="1:17">
      <c r="A245" s="530" t="s">
        <v>11147</v>
      </c>
      <c r="B245" s="389" t="s">
        <v>2090</v>
      </c>
      <c r="C245" s="680" t="s">
        <v>684</v>
      </c>
      <c r="D245" s="684">
        <v>61</v>
      </c>
      <c r="E245" s="695">
        <v>33284806</v>
      </c>
      <c r="F245" s="695"/>
      <c r="G245" s="390">
        <v>2938</v>
      </c>
      <c r="H245" s="391" t="s">
        <v>2091</v>
      </c>
      <c r="I245" s="391" t="s">
        <v>2320</v>
      </c>
      <c r="J245" s="531" t="s">
        <v>3043</v>
      </c>
      <c r="K245" s="392" t="s">
        <v>2372</v>
      </c>
      <c r="L245" s="392" t="s">
        <v>2373</v>
      </c>
      <c r="M245" s="690">
        <v>2938</v>
      </c>
      <c r="N245" s="393" t="s">
        <v>767</v>
      </c>
    </row>
    <row r="246" spans="1:17">
      <c r="A246" s="530" t="s">
        <v>11148</v>
      </c>
      <c r="B246" s="389" t="s">
        <v>9774</v>
      </c>
      <c r="C246" s="680" t="s">
        <v>9775</v>
      </c>
      <c r="D246" s="684">
        <v>61</v>
      </c>
      <c r="E246" s="695"/>
      <c r="F246" s="695">
        <v>986525617</v>
      </c>
      <c r="G246" s="390">
        <v>703982</v>
      </c>
      <c r="H246" s="391" t="s">
        <v>9776</v>
      </c>
      <c r="I246" s="391"/>
      <c r="J246" s="531" t="s">
        <v>10735</v>
      </c>
      <c r="K246" s="392"/>
      <c r="L246" s="392"/>
      <c r="M246" s="690">
        <v>703982</v>
      </c>
      <c r="N246" s="393" t="s">
        <v>9703</v>
      </c>
      <c r="O246" s="394" t="s">
        <v>3903</v>
      </c>
    </row>
    <row r="247" spans="1:17">
      <c r="A247" s="530" t="s">
        <v>11149</v>
      </c>
      <c r="B247" s="389" t="s">
        <v>11150</v>
      </c>
      <c r="C247" s="680" t="s">
        <v>3899</v>
      </c>
      <c r="D247" s="684">
        <v>11</v>
      </c>
      <c r="E247" s="695">
        <v>55643232</v>
      </c>
      <c r="F247" s="695"/>
      <c r="G247" s="390">
        <v>703090</v>
      </c>
      <c r="H247" s="391" t="s">
        <v>3903</v>
      </c>
      <c r="I247" s="391" t="s">
        <v>2320</v>
      </c>
      <c r="J247" s="531" t="s">
        <v>3043</v>
      </c>
      <c r="K247" s="392" t="s">
        <v>10189</v>
      </c>
      <c r="L247" s="392" t="s">
        <v>10190</v>
      </c>
      <c r="M247" s="690">
        <v>3158</v>
      </c>
      <c r="N247" s="393" t="s">
        <v>11151</v>
      </c>
      <c r="O247" s="394" t="s">
        <v>3903</v>
      </c>
    </row>
    <row r="248" spans="1:17">
      <c r="A248" s="530" t="s">
        <v>11152</v>
      </c>
      <c r="B248" s="389" t="s">
        <v>11153</v>
      </c>
      <c r="C248" s="680" t="s">
        <v>3899</v>
      </c>
      <c r="D248" s="684">
        <v>11</v>
      </c>
      <c r="E248" s="695">
        <v>55643232</v>
      </c>
      <c r="F248" s="695"/>
      <c r="G248" s="390">
        <v>703090</v>
      </c>
      <c r="H248" s="391" t="s">
        <v>3900</v>
      </c>
      <c r="I248" s="391" t="s">
        <v>2320</v>
      </c>
      <c r="J248" s="531" t="s">
        <v>3043</v>
      </c>
      <c r="K248" s="392" t="s">
        <v>3901</v>
      </c>
      <c r="L248" s="392" t="s">
        <v>3902</v>
      </c>
      <c r="M248" s="690">
        <v>703090</v>
      </c>
      <c r="N248" s="393" t="s">
        <v>11154</v>
      </c>
    </row>
    <row r="249" spans="1:17">
      <c r="A249" s="530" t="s">
        <v>11155</v>
      </c>
      <c r="B249" s="389" t="s">
        <v>1409</v>
      </c>
      <c r="C249" s="680" t="s">
        <v>1410</v>
      </c>
      <c r="D249" s="684">
        <v>61</v>
      </c>
      <c r="E249" s="695"/>
      <c r="F249" s="695">
        <v>986260535</v>
      </c>
      <c r="G249" s="390">
        <v>702445</v>
      </c>
      <c r="H249" s="391" t="s">
        <v>10337</v>
      </c>
      <c r="I249" s="391" t="s">
        <v>2335</v>
      </c>
      <c r="J249" s="531">
        <v>341</v>
      </c>
      <c r="K249" s="392" t="s">
        <v>10338</v>
      </c>
      <c r="L249" s="392" t="s">
        <v>10339</v>
      </c>
      <c r="M249" s="690">
        <v>702445</v>
      </c>
      <c r="N249" s="393" t="s">
        <v>9803</v>
      </c>
    </row>
    <row r="250" spans="1:17">
      <c r="A250" s="530" t="s">
        <v>11156</v>
      </c>
      <c r="B250" s="389" t="s">
        <v>2092</v>
      </c>
      <c r="C250" s="680" t="s">
        <v>1631</v>
      </c>
      <c r="D250" s="684">
        <v>61</v>
      </c>
      <c r="E250" s="695">
        <v>30421066</v>
      </c>
      <c r="F250" s="695"/>
      <c r="G250" s="390">
        <v>702898</v>
      </c>
      <c r="H250" s="391" t="s">
        <v>2093</v>
      </c>
      <c r="I250" s="391" t="s">
        <v>2321</v>
      </c>
      <c r="J250" s="531" t="s">
        <v>3050</v>
      </c>
      <c r="K250" s="392" t="s">
        <v>2412</v>
      </c>
      <c r="L250" s="392" t="s">
        <v>2939</v>
      </c>
      <c r="M250" s="690">
        <v>702898</v>
      </c>
      <c r="N250" s="393" t="s">
        <v>1630</v>
      </c>
    </row>
    <row r="251" spans="1:17">
      <c r="A251" s="530" t="s">
        <v>7978</v>
      </c>
      <c r="B251" s="389" t="s">
        <v>7972</v>
      </c>
      <c r="C251" s="680" t="s">
        <v>7973</v>
      </c>
      <c r="D251" s="684">
        <v>61</v>
      </c>
      <c r="E251" s="695">
        <v>34569500</v>
      </c>
      <c r="F251" s="695">
        <v>981179043</v>
      </c>
      <c r="G251" s="390">
        <v>701254</v>
      </c>
      <c r="H251" s="391" t="s">
        <v>7974</v>
      </c>
      <c r="I251" s="391" t="s">
        <v>2320</v>
      </c>
      <c r="J251" s="531" t="s">
        <v>3043</v>
      </c>
      <c r="K251" s="392" t="s">
        <v>7975</v>
      </c>
      <c r="L251" s="392" t="s">
        <v>7976</v>
      </c>
      <c r="M251" s="690">
        <v>701254</v>
      </c>
      <c r="N251" s="393" t="s">
        <v>7977</v>
      </c>
    </row>
    <row r="252" spans="1:17">
      <c r="A252" s="530" t="s">
        <v>9164</v>
      </c>
      <c r="B252" s="389" t="s">
        <v>9159</v>
      </c>
      <c r="C252" s="680" t="s">
        <v>882</v>
      </c>
      <c r="D252" s="684">
        <v>17</v>
      </c>
      <c r="F252" s="695">
        <v>991991600</v>
      </c>
      <c r="G252" s="390">
        <v>703909</v>
      </c>
      <c r="H252" s="391" t="s">
        <v>9160</v>
      </c>
      <c r="I252" s="391" t="s">
        <v>2320</v>
      </c>
      <c r="J252" s="531" t="s">
        <v>3043</v>
      </c>
      <c r="K252" s="392" t="s">
        <v>9161</v>
      </c>
      <c r="L252" s="392" t="s">
        <v>9162</v>
      </c>
      <c r="M252" s="690">
        <v>703909</v>
      </c>
      <c r="N252" s="393" t="s">
        <v>9163</v>
      </c>
    </row>
    <row r="253" spans="1:17">
      <c r="A253" s="530" t="s">
        <v>11157</v>
      </c>
      <c r="B253" s="533" t="s">
        <v>2095</v>
      </c>
      <c r="C253" s="597"/>
      <c r="D253" s="684" t="s">
        <v>5888</v>
      </c>
      <c r="E253" s="696"/>
      <c r="F253" s="696"/>
      <c r="G253" s="534">
        <v>1362</v>
      </c>
      <c r="H253" s="535" t="s">
        <v>2096</v>
      </c>
      <c r="I253" s="535"/>
      <c r="J253" s="531" t="s">
        <v>10735</v>
      </c>
      <c r="K253" s="536"/>
      <c r="L253" s="536"/>
      <c r="M253" s="692">
        <v>1362</v>
      </c>
      <c r="N253" s="537" t="s">
        <v>2094</v>
      </c>
    </row>
    <row r="254" spans="1:17">
      <c r="A254" s="530" t="s">
        <v>7285</v>
      </c>
      <c r="B254" s="389" t="s">
        <v>2097</v>
      </c>
      <c r="C254" s="680" t="s">
        <v>1159</v>
      </c>
      <c r="D254" s="684">
        <v>12</v>
      </c>
      <c r="E254" s="695">
        <v>32021300</v>
      </c>
      <c r="F254" s="695">
        <v>991966843</v>
      </c>
      <c r="G254" s="390">
        <v>692</v>
      </c>
      <c r="H254" s="391" t="s">
        <v>2098</v>
      </c>
      <c r="I254" s="391" t="s">
        <v>2320</v>
      </c>
      <c r="J254" s="531" t="s">
        <v>3043</v>
      </c>
      <c r="K254" s="392" t="s">
        <v>2898</v>
      </c>
      <c r="L254" s="392" t="s">
        <v>2527</v>
      </c>
      <c r="M254" s="690">
        <v>692</v>
      </c>
      <c r="N254" s="393" t="s">
        <v>1156</v>
      </c>
      <c r="P254" s="394" t="s">
        <v>11158</v>
      </c>
    </row>
    <row r="255" spans="1:17">
      <c r="A255" s="530" t="s">
        <v>11159</v>
      </c>
      <c r="B255" s="389" t="s">
        <v>9370</v>
      </c>
      <c r="C255" s="680" t="s">
        <v>9371</v>
      </c>
      <c r="D255" s="684">
        <v>61</v>
      </c>
      <c r="E255" s="695">
        <v>32010103</v>
      </c>
      <c r="F255" s="695">
        <v>999611765</v>
      </c>
      <c r="G255" s="390">
        <v>703928</v>
      </c>
      <c r="H255" s="391" t="s">
        <v>9372</v>
      </c>
      <c r="I255" s="391"/>
      <c r="J255" s="531" t="s">
        <v>10735</v>
      </c>
      <c r="K255" s="392"/>
      <c r="L255" s="392"/>
      <c r="M255" s="690">
        <v>703928</v>
      </c>
      <c r="N255" s="393" t="s">
        <v>9373</v>
      </c>
    </row>
    <row r="256" spans="1:17">
      <c r="A256" s="530" t="s">
        <v>11160</v>
      </c>
      <c r="B256" s="389" t="s">
        <v>3498</v>
      </c>
      <c r="C256" s="680" t="s">
        <v>3499</v>
      </c>
      <c r="D256" s="684">
        <v>61</v>
      </c>
      <c r="E256" s="695">
        <v>30424040</v>
      </c>
      <c r="F256" s="695"/>
      <c r="G256" s="687">
        <v>703106</v>
      </c>
      <c r="H256" s="391" t="s">
        <v>3500</v>
      </c>
      <c r="I256" s="391" t="s">
        <v>2329</v>
      </c>
      <c r="J256" s="531">
        <v>104</v>
      </c>
      <c r="K256" s="392" t="s">
        <v>3544</v>
      </c>
      <c r="L256" s="392" t="s">
        <v>3545</v>
      </c>
      <c r="M256" s="690">
        <v>703106</v>
      </c>
      <c r="N256" s="393" t="s">
        <v>3501</v>
      </c>
    </row>
    <row r="257" spans="1:15">
      <c r="A257" s="530" t="s">
        <v>11161</v>
      </c>
      <c r="B257" s="389" t="s">
        <v>2099</v>
      </c>
      <c r="C257" s="680" t="s">
        <v>1345</v>
      </c>
      <c r="D257" s="684">
        <v>61</v>
      </c>
      <c r="E257" s="695">
        <v>36228692</v>
      </c>
      <c r="F257" s="695"/>
      <c r="G257" s="390">
        <v>702401</v>
      </c>
      <c r="H257" s="391" t="s">
        <v>2100</v>
      </c>
      <c r="I257" s="391" t="s">
        <v>2366</v>
      </c>
      <c r="J257" s="531">
        <v>748</v>
      </c>
      <c r="K257" s="392" t="s">
        <v>2485</v>
      </c>
      <c r="L257" s="392" t="s">
        <v>2486</v>
      </c>
      <c r="M257" s="690">
        <v>702401</v>
      </c>
      <c r="N257" s="393" t="s">
        <v>1306</v>
      </c>
    </row>
    <row r="258" spans="1:15">
      <c r="A258" s="530" t="s">
        <v>7820</v>
      </c>
      <c r="B258" s="389" t="s">
        <v>7809</v>
      </c>
      <c r="C258" s="680" t="s">
        <v>7810</v>
      </c>
      <c r="D258" s="684">
        <v>16</v>
      </c>
      <c r="E258" s="695">
        <v>36325262</v>
      </c>
      <c r="F258" s="695">
        <v>981016794</v>
      </c>
      <c r="G258" s="390">
        <v>703811</v>
      </c>
      <c r="H258" s="391" t="s">
        <v>7811</v>
      </c>
      <c r="I258" s="391" t="s">
        <v>2404</v>
      </c>
      <c r="J258" s="531" t="s">
        <v>3043</v>
      </c>
      <c r="K258" s="392" t="s">
        <v>2846</v>
      </c>
      <c r="L258" s="392" t="s">
        <v>8271</v>
      </c>
      <c r="M258" s="690">
        <v>703811</v>
      </c>
      <c r="N258" s="393" t="s">
        <v>7812</v>
      </c>
    </row>
    <row r="259" spans="1:15">
      <c r="A259" s="530" t="s">
        <v>9190</v>
      </c>
      <c r="B259" s="389" t="s">
        <v>9203</v>
      </c>
      <c r="C259" s="680" t="s">
        <v>9191</v>
      </c>
      <c r="D259" s="684">
        <v>11</v>
      </c>
      <c r="E259" s="695">
        <v>24314636</v>
      </c>
      <c r="F259" s="695">
        <v>960152690</v>
      </c>
      <c r="G259" s="390">
        <v>701406</v>
      </c>
      <c r="H259" s="391" t="s">
        <v>2101</v>
      </c>
      <c r="I259" s="391" t="s">
        <v>2404</v>
      </c>
      <c r="J259" s="531" t="s">
        <v>3043</v>
      </c>
      <c r="K259" s="392" t="s">
        <v>9192</v>
      </c>
      <c r="L259" s="392" t="s">
        <v>9193</v>
      </c>
      <c r="M259" s="690">
        <v>701406</v>
      </c>
      <c r="N259" s="393" t="s">
        <v>1216</v>
      </c>
    </row>
    <row r="260" spans="1:15">
      <c r="A260" s="530" t="s">
        <v>11162</v>
      </c>
      <c r="B260" s="389" t="s">
        <v>11163</v>
      </c>
      <c r="C260" s="680" t="s">
        <v>11164</v>
      </c>
      <c r="D260" s="684">
        <v>61</v>
      </c>
      <c r="E260" s="695"/>
      <c r="F260" s="695" t="s">
        <v>11527</v>
      </c>
      <c r="G260" s="390">
        <v>704141</v>
      </c>
      <c r="H260" s="391" t="s">
        <v>11165</v>
      </c>
      <c r="I260" s="391" t="s">
        <v>3044</v>
      </c>
      <c r="J260" s="531">
        <v>341</v>
      </c>
      <c r="K260" s="392" t="s">
        <v>11166</v>
      </c>
      <c r="L260" s="392" t="s">
        <v>11167</v>
      </c>
      <c r="M260" s="690">
        <v>704141</v>
      </c>
      <c r="N260" s="393" t="s">
        <v>11168</v>
      </c>
    </row>
    <row r="261" spans="1:15">
      <c r="A261" s="530" t="s">
        <v>11169</v>
      </c>
      <c r="B261" s="389" t="s">
        <v>7073</v>
      </c>
      <c r="C261" s="680"/>
      <c r="D261" s="684" t="s">
        <v>5888</v>
      </c>
      <c r="E261" s="695"/>
      <c r="F261" s="695"/>
      <c r="G261" s="390">
        <v>701121</v>
      </c>
      <c r="H261" s="391" t="s">
        <v>4069</v>
      </c>
      <c r="I261" s="391"/>
      <c r="J261" s="531" t="s">
        <v>10735</v>
      </c>
      <c r="K261" s="392"/>
      <c r="L261" s="392"/>
      <c r="M261" s="690">
        <v>701121</v>
      </c>
      <c r="N261" s="393" t="s">
        <v>4070</v>
      </c>
    </row>
    <row r="262" spans="1:15">
      <c r="A262" s="530" t="s">
        <v>11170</v>
      </c>
      <c r="B262" s="389" t="s">
        <v>3383</v>
      </c>
      <c r="C262" s="680" t="s">
        <v>3384</v>
      </c>
      <c r="D262" s="684">
        <v>61</v>
      </c>
      <c r="E262" s="695">
        <v>39676457</v>
      </c>
      <c r="F262" s="695"/>
      <c r="G262" s="390">
        <v>703254</v>
      </c>
      <c r="H262" s="391" t="s">
        <v>3385</v>
      </c>
      <c r="I262" s="391" t="s">
        <v>2329</v>
      </c>
      <c r="J262" s="531">
        <v>104</v>
      </c>
      <c r="K262" s="392" t="s">
        <v>3386</v>
      </c>
      <c r="L262" s="392" t="s">
        <v>3387</v>
      </c>
      <c r="M262" s="690">
        <v>703254</v>
      </c>
      <c r="N262" s="393" t="s">
        <v>3388</v>
      </c>
    </row>
    <row r="263" spans="1:15">
      <c r="A263" s="530" t="s">
        <v>7371</v>
      </c>
      <c r="B263" s="389" t="s">
        <v>2869</v>
      </c>
      <c r="C263" s="680" t="s">
        <v>11171</v>
      </c>
      <c r="D263" s="684">
        <v>61</v>
      </c>
      <c r="E263" s="695">
        <v>21043401</v>
      </c>
      <c r="F263" s="695"/>
      <c r="G263" s="390">
        <v>703141</v>
      </c>
      <c r="H263" s="391" t="s">
        <v>2887</v>
      </c>
      <c r="I263" s="391" t="s">
        <v>2404</v>
      </c>
      <c r="J263" s="531" t="s">
        <v>3043</v>
      </c>
      <c r="K263" s="392" t="s">
        <v>2397</v>
      </c>
      <c r="L263" s="392" t="s">
        <v>11172</v>
      </c>
      <c r="M263" s="690">
        <v>703141</v>
      </c>
      <c r="N263" s="393" t="s">
        <v>2868</v>
      </c>
      <c r="O263" s="394" t="s">
        <v>11173</v>
      </c>
    </row>
    <row r="264" spans="1:15">
      <c r="A264" s="530" t="s">
        <v>11174</v>
      </c>
      <c r="B264" s="389" t="s">
        <v>920</v>
      </c>
      <c r="C264" s="680" t="s">
        <v>885</v>
      </c>
      <c r="D264" s="684">
        <v>61</v>
      </c>
      <c r="E264" s="695">
        <v>35811522</v>
      </c>
      <c r="F264" s="695"/>
      <c r="G264" s="390"/>
      <c r="H264" s="391"/>
      <c r="I264" s="391"/>
      <c r="J264" s="531" t="s">
        <v>10735</v>
      </c>
      <c r="K264" s="392"/>
      <c r="L264" s="392"/>
      <c r="M264" s="690"/>
      <c r="N264" s="393" t="s">
        <v>884</v>
      </c>
    </row>
    <row r="265" spans="1:15">
      <c r="A265" s="530" t="s">
        <v>3882</v>
      </c>
      <c r="B265" s="389" t="s">
        <v>815</v>
      </c>
      <c r="C265" s="680" t="s">
        <v>10264</v>
      </c>
      <c r="D265" s="684">
        <v>62</v>
      </c>
      <c r="E265" s="695">
        <v>40135041</v>
      </c>
      <c r="F265" s="695">
        <v>985819913</v>
      </c>
      <c r="G265" s="390">
        <v>700168</v>
      </c>
      <c r="H265" s="391" t="s">
        <v>2102</v>
      </c>
      <c r="I265" s="391" t="s">
        <v>2320</v>
      </c>
      <c r="J265" s="531" t="s">
        <v>3043</v>
      </c>
      <c r="K265" s="392" t="s">
        <v>2355</v>
      </c>
      <c r="L265" s="392" t="s">
        <v>2356</v>
      </c>
      <c r="M265" s="690">
        <v>700168</v>
      </c>
      <c r="N265" s="393" t="s">
        <v>578</v>
      </c>
    </row>
    <row r="266" spans="1:15">
      <c r="A266" s="530" t="s">
        <v>11175</v>
      </c>
      <c r="B266" s="389" t="s">
        <v>3065</v>
      </c>
      <c r="C266" s="680" t="s">
        <v>3066</v>
      </c>
      <c r="D266" s="684">
        <v>62</v>
      </c>
      <c r="F266" s="695">
        <v>98223030</v>
      </c>
      <c r="G266" s="390">
        <v>703236</v>
      </c>
      <c r="H266" s="391" t="s">
        <v>3067</v>
      </c>
      <c r="I266" s="391"/>
      <c r="J266" s="531" t="s">
        <v>10735</v>
      </c>
      <c r="K266" s="392"/>
      <c r="L266" s="392"/>
      <c r="M266" s="690">
        <v>703236</v>
      </c>
      <c r="N266" s="393" t="s">
        <v>3068</v>
      </c>
    </row>
    <row r="267" spans="1:15">
      <c r="A267" s="530" t="s">
        <v>11176</v>
      </c>
      <c r="B267" s="389" t="s">
        <v>11177</v>
      </c>
      <c r="C267" s="680" t="s">
        <v>11178</v>
      </c>
      <c r="D267" s="684">
        <v>62</v>
      </c>
      <c r="E267" s="695">
        <v>32816462</v>
      </c>
      <c r="F267" s="695"/>
      <c r="G267" s="390">
        <v>704177</v>
      </c>
      <c r="H267" s="391" t="s">
        <v>11179</v>
      </c>
      <c r="I267" s="391" t="s">
        <v>2320</v>
      </c>
      <c r="J267" s="531" t="s">
        <v>3043</v>
      </c>
      <c r="K267" s="392" t="s">
        <v>11180</v>
      </c>
      <c r="L267" s="392" t="s">
        <v>11181</v>
      </c>
      <c r="M267" s="690">
        <v>704177</v>
      </c>
      <c r="N267" s="393" t="s">
        <v>11182</v>
      </c>
    </row>
    <row r="268" spans="1:15">
      <c r="A268" s="530" t="s">
        <v>11183</v>
      </c>
      <c r="B268" s="389" t="s">
        <v>11184</v>
      </c>
      <c r="C268" s="680" t="s">
        <v>11185</v>
      </c>
      <c r="D268" s="684">
        <v>19</v>
      </c>
      <c r="E268" s="695">
        <v>36677717</v>
      </c>
      <c r="F268" s="695">
        <v>62981144429</v>
      </c>
      <c r="G268" s="390">
        <v>703951</v>
      </c>
      <c r="H268" s="391" t="s">
        <v>11186</v>
      </c>
      <c r="I268" s="391" t="s">
        <v>2320</v>
      </c>
      <c r="J268" s="531" t="s">
        <v>3043</v>
      </c>
      <c r="K268" s="392" t="s">
        <v>11187</v>
      </c>
      <c r="L268" s="392" t="s">
        <v>11188</v>
      </c>
      <c r="M268" s="690">
        <v>703951</v>
      </c>
      <c r="N268" s="393" t="s">
        <v>11189</v>
      </c>
    </row>
    <row r="269" spans="1:15">
      <c r="A269" s="530" t="s">
        <v>8118</v>
      </c>
      <c r="B269" s="389" t="s">
        <v>2794</v>
      </c>
      <c r="C269" s="680"/>
      <c r="D269" s="684">
        <v>61</v>
      </c>
      <c r="E269" s="695">
        <v>30121278</v>
      </c>
      <c r="F269" s="695"/>
      <c r="G269" s="390"/>
      <c r="H269" s="391" t="s">
        <v>10510</v>
      </c>
      <c r="I269" s="391" t="s">
        <v>2321</v>
      </c>
      <c r="J269" s="531" t="s">
        <v>3050</v>
      </c>
      <c r="K269" s="392" t="s">
        <v>2795</v>
      </c>
      <c r="L269" s="392" t="s">
        <v>2796</v>
      </c>
      <c r="M269" s="690"/>
      <c r="N269" s="393" t="s">
        <v>2752</v>
      </c>
    </row>
    <row r="270" spans="1:15">
      <c r="A270" s="530" t="s">
        <v>11190</v>
      </c>
      <c r="B270" s="389" t="s">
        <v>1752</v>
      </c>
      <c r="C270" s="680" t="s">
        <v>882</v>
      </c>
      <c r="D270" s="684">
        <v>61</v>
      </c>
      <c r="E270" s="695">
        <v>35438688</v>
      </c>
      <c r="F270" s="695">
        <v>981016794</v>
      </c>
      <c r="G270" s="390"/>
      <c r="H270" s="391"/>
      <c r="I270" s="391"/>
      <c r="J270" s="531" t="s">
        <v>10735</v>
      </c>
      <c r="K270" s="392"/>
      <c r="L270" s="392"/>
      <c r="M270" s="690"/>
      <c r="N270" s="393" t="s">
        <v>1702</v>
      </c>
    </row>
    <row r="271" spans="1:15">
      <c r="A271" s="530" t="s">
        <v>11191</v>
      </c>
      <c r="B271" s="389" t="s">
        <v>11192</v>
      </c>
      <c r="C271" s="680" t="s">
        <v>11193</v>
      </c>
      <c r="D271" s="684">
        <v>62</v>
      </c>
      <c r="E271" s="695">
        <v>35485108</v>
      </c>
      <c r="F271" s="695">
        <v>984835703</v>
      </c>
      <c r="G271" s="390">
        <v>704015</v>
      </c>
      <c r="H271" s="391" t="s">
        <v>11194</v>
      </c>
      <c r="I271" s="391" t="s">
        <v>2335</v>
      </c>
      <c r="J271" s="531">
        <v>341</v>
      </c>
      <c r="K271" s="392" t="s">
        <v>11195</v>
      </c>
      <c r="L271" s="392" t="s">
        <v>11196</v>
      </c>
      <c r="M271" s="690">
        <v>704015</v>
      </c>
      <c r="N271" s="393" t="s">
        <v>11197</v>
      </c>
    </row>
    <row r="272" spans="1:15">
      <c r="A272" s="530" t="s">
        <v>11198</v>
      </c>
      <c r="B272" s="389" t="s">
        <v>4368</v>
      </c>
      <c r="C272" s="680" t="s">
        <v>4369</v>
      </c>
      <c r="D272" s="684">
        <v>62</v>
      </c>
      <c r="E272" s="695">
        <v>34168300</v>
      </c>
      <c r="F272" s="695"/>
      <c r="G272" s="390">
        <v>703491</v>
      </c>
      <c r="H272" s="391" t="s">
        <v>4370</v>
      </c>
      <c r="I272" s="391" t="s">
        <v>2320</v>
      </c>
      <c r="J272" s="531" t="s">
        <v>3043</v>
      </c>
      <c r="K272" s="392" t="s">
        <v>2410</v>
      </c>
      <c r="L272" s="392" t="s">
        <v>5752</v>
      </c>
      <c r="M272" s="690">
        <v>703491</v>
      </c>
      <c r="N272" s="393" t="s">
        <v>4371</v>
      </c>
    </row>
    <row r="273" spans="1:34">
      <c r="A273" s="530" t="s">
        <v>11199</v>
      </c>
      <c r="B273" s="389" t="s">
        <v>1753</v>
      </c>
      <c r="C273" s="680" t="s">
        <v>1754</v>
      </c>
      <c r="D273" s="684">
        <v>61</v>
      </c>
      <c r="E273" s="695">
        <v>30219008</v>
      </c>
      <c r="F273" s="695">
        <v>991745378</v>
      </c>
      <c r="G273" s="390"/>
      <c r="H273" s="391"/>
      <c r="I273" s="391"/>
      <c r="J273" s="531" t="s">
        <v>10735</v>
      </c>
      <c r="K273" s="392"/>
      <c r="L273" s="392"/>
      <c r="M273" s="690"/>
      <c r="N273" s="393" t="s">
        <v>1755</v>
      </c>
    </row>
    <row r="274" spans="1:34">
      <c r="A274" s="530" t="s">
        <v>11200</v>
      </c>
      <c r="B274" s="389" t="s">
        <v>11201</v>
      </c>
      <c r="C274" s="680"/>
      <c r="D274" s="684">
        <v>62</v>
      </c>
      <c r="E274" s="695">
        <v>40097600</v>
      </c>
      <c r="F274" s="695"/>
      <c r="G274" s="390">
        <v>703579</v>
      </c>
      <c r="H274" s="391" t="s">
        <v>8930</v>
      </c>
      <c r="I274" s="391"/>
      <c r="J274" s="531" t="s">
        <v>10735</v>
      </c>
      <c r="K274" s="392"/>
      <c r="L274" s="392"/>
      <c r="M274" s="690">
        <v>703579</v>
      </c>
      <c r="N274" s="393" t="s">
        <v>11202</v>
      </c>
      <c r="O274" s="394" t="s">
        <v>8930</v>
      </c>
    </row>
    <row r="275" spans="1:34">
      <c r="A275" s="530" t="s">
        <v>11203</v>
      </c>
      <c r="B275" s="389" t="s">
        <v>11204</v>
      </c>
      <c r="C275" s="680" t="s">
        <v>8928</v>
      </c>
      <c r="D275" s="684">
        <v>61</v>
      </c>
      <c r="E275" s="695">
        <v>33999610</v>
      </c>
      <c r="F275" s="695"/>
      <c r="G275" s="390">
        <v>703839</v>
      </c>
      <c r="H275" s="391" t="s">
        <v>8929</v>
      </c>
      <c r="I275" s="391" t="s">
        <v>2320</v>
      </c>
      <c r="J275" s="531" t="s">
        <v>3043</v>
      </c>
      <c r="K275" s="392" t="s">
        <v>8926</v>
      </c>
      <c r="L275" s="392" t="s">
        <v>8927</v>
      </c>
      <c r="M275" s="690">
        <v>703839</v>
      </c>
      <c r="N275" s="393" t="s">
        <v>11205</v>
      </c>
    </row>
    <row r="276" spans="1:34" s="538" customFormat="1">
      <c r="A276" s="530" t="s">
        <v>7372</v>
      </c>
      <c r="B276" s="389" t="s">
        <v>718</v>
      </c>
      <c r="C276" s="680" t="s">
        <v>713</v>
      </c>
      <c r="D276" s="684">
        <v>61</v>
      </c>
      <c r="E276" s="695">
        <v>33999600</v>
      </c>
      <c r="F276" s="695"/>
      <c r="G276" s="390">
        <v>2756</v>
      </c>
      <c r="H276" s="391" t="s">
        <v>2513</v>
      </c>
      <c r="I276" s="391" t="s">
        <v>2320</v>
      </c>
      <c r="J276" s="531" t="s">
        <v>3043</v>
      </c>
      <c r="K276" s="392" t="s">
        <v>2514</v>
      </c>
      <c r="L276" s="392" t="s">
        <v>2515</v>
      </c>
      <c r="M276" s="690">
        <v>2756</v>
      </c>
      <c r="N276" s="393" t="s">
        <v>768</v>
      </c>
      <c r="O276" s="538" t="s">
        <v>11206</v>
      </c>
      <c r="AH276" s="394"/>
    </row>
    <row r="277" spans="1:34">
      <c r="A277" s="530" t="s">
        <v>11207</v>
      </c>
      <c r="B277" s="389" t="s">
        <v>2103</v>
      </c>
      <c r="C277" s="680" t="s">
        <v>1528</v>
      </c>
      <c r="D277" s="684">
        <v>61</v>
      </c>
      <c r="E277" s="695">
        <v>33629814</v>
      </c>
      <c r="F277" s="695"/>
      <c r="G277" s="390">
        <v>908</v>
      </c>
      <c r="H277" s="391" t="s">
        <v>2104</v>
      </c>
      <c r="I277" s="391" t="s">
        <v>2335</v>
      </c>
      <c r="J277" s="531">
        <v>341</v>
      </c>
      <c r="K277" s="392">
        <v>6892</v>
      </c>
      <c r="L277" s="392" t="s">
        <v>2336</v>
      </c>
      <c r="M277" s="690">
        <v>908</v>
      </c>
      <c r="N277" s="393" t="s">
        <v>1064</v>
      </c>
    </row>
    <row r="278" spans="1:34">
      <c r="A278" s="530" t="s">
        <v>11208</v>
      </c>
      <c r="B278" s="389" t="s">
        <v>10244</v>
      </c>
      <c r="C278" s="680" t="s">
        <v>9854</v>
      </c>
      <c r="D278" s="684">
        <v>34</v>
      </c>
      <c r="F278" s="695">
        <v>91272768</v>
      </c>
      <c r="G278" s="390">
        <v>703997</v>
      </c>
      <c r="H278" s="391" t="s">
        <v>9855</v>
      </c>
      <c r="I278" s="391"/>
      <c r="J278" s="531" t="s">
        <v>10735</v>
      </c>
      <c r="K278" s="392"/>
      <c r="L278" s="392"/>
      <c r="M278" s="690">
        <v>703997</v>
      </c>
      <c r="N278" s="393" t="s">
        <v>9856</v>
      </c>
    </row>
    <row r="279" spans="1:34">
      <c r="A279" s="530" t="s">
        <v>11209</v>
      </c>
      <c r="B279" s="389" t="s">
        <v>11210</v>
      </c>
      <c r="C279" s="680" t="s">
        <v>8892</v>
      </c>
      <c r="D279" s="684">
        <v>61</v>
      </c>
      <c r="F279" s="695">
        <v>986525617</v>
      </c>
      <c r="G279" s="390">
        <v>703910</v>
      </c>
      <c r="H279" s="391" t="s">
        <v>8891</v>
      </c>
      <c r="I279" s="391" t="s">
        <v>2320</v>
      </c>
      <c r="J279" s="531" t="s">
        <v>3043</v>
      </c>
      <c r="K279" s="392" t="s">
        <v>9158</v>
      </c>
      <c r="L279" s="392" t="s">
        <v>9633</v>
      </c>
      <c r="M279" s="690">
        <v>703910</v>
      </c>
      <c r="N279" s="393" t="s">
        <v>11211</v>
      </c>
    </row>
    <row r="280" spans="1:34">
      <c r="A280" s="530" t="s">
        <v>7859</v>
      </c>
      <c r="B280" s="533" t="s">
        <v>6771</v>
      </c>
      <c r="C280" s="597" t="s">
        <v>10393</v>
      </c>
      <c r="D280" s="684">
        <v>61</v>
      </c>
      <c r="E280" s="696">
        <v>30336181</v>
      </c>
      <c r="F280" s="696">
        <v>999233108</v>
      </c>
      <c r="G280" s="534">
        <v>1229</v>
      </c>
      <c r="H280" s="535" t="s">
        <v>2106</v>
      </c>
      <c r="I280" s="535" t="s">
        <v>2320</v>
      </c>
      <c r="J280" s="531" t="s">
        <v>3043</v>
      </c>
      <c r="K280" s="536" t="s">
        <v>11212</v>
      </c>
      <c r="L280" s="536" t="s">
        <v>11213</v>
      </c>
      <c r="M280" s="692">
        <v>1229</v>
      </c>
      <c r="N280" s="537" t="s">
        <v>2105</v>
      </c>
      <c r="P280" s="394" t="s">
        <v>11214</v>
      </c>
    </row>
    <row r="281" spans="1:34">
      <c r="A281" s="530" t="s">
        <v>7823</v>
      </c>
      <c r="B281" s="389" t="s">
        <v>2107</v>
      </c>
      <c r="C281" s="680" t="s">
        <v>1350</v>
      </c>
      <c r="D281" s="684">
        <v>61</v>
      </c>
      <c r="E281" s="695">
        <v>33936660</v>
      </c>
      <c r="F281" s="695"/>
      <c r="G281" s="390">
        <v>700214</v>
      </c>
      <c r="H281" s="391" t="s">
        <v>2108</v>
      </c>
      <c r="I281" s="391" t="s">
        <v>2320</v>
      </c>
      <c r="J281" s="531" t="s">
        <v>3043</v>
      </c>
      <c r="K281" s="392" t="s">
        <v>2848</v>
      </c>
      <c r="L281" s="392" t="s">
        <v>2849</v>
      </c>
      <c r="M281" s="690">
        <v>700214</v>
      </c>
      <c r="N281" s="393" t="s">
        <v>1349</v>
      </c>
      <c r="P281" s="394" t="s">
        <v>6173</v>
      </c>
    </row>
    <row r="282" spans="1:34">
      <c r="A282" s="530" t="s">
        <v>11215</v>
      </c>
      <c r="B282" s="389" t="s">
        <v>11216</v>
      </c>
      <c r="C282" s="680" t="s">
        <v>11217</v>
      </c>
      <c r="D282" s="684">
        <v>31</v>
      </c>
      <c r="E282" s="695">
        <v>30470400</v>
      </c>
      <c r="F282" s="695"/>
      <c r="G282" s="390">
        <v>702647</v>
      </c>
      <c r="H282" s="391" t="s">
        <v>11218</v>
      </c>
      <c r="I282" s="391" t="s">
        <v>3044</v>
      </c>
      <c r="J282" s="531">
        <v>341</v>
      </c>
      <c r="K282" s="392" t="s">
        <v>11219</v>
      </c>
      <c r="L282" s="392" t="s">
        <v>11220</v>
      </c>
      <c r="M282" s="690">
        <v>702647</v>
      </c>
      <c r="N282" s="393" t="s">
        <v>11221</v>
      </c>
      <c r="P282" s="394" t="s">
        <v>11222</v>
      </c>
    </row>
    <row r="283" spans="1:34">
      <c r="A283" s="530" t="s">
        <v>11223</v>
      </c>
      <c r="B283" s="389" t="s">
        <v>2110</v>
      </c>
      <c r="C283" s="680"/>
      <c r="D283" s="684" t="s">
        <v>5888</v>
      </c>
      <c r="E283" s="695"/>
      <c r="F283" s="695"/>
      <c r="G283" s="390">
        <v>702875</v>
      </c>
      <c r="H283" s="391" t="s">
        <v>2111</v>
      </c>
      <c r="I283" s="391" t="s">
        <v>2335</v>
      </c>
      <c r="J283" s="531">
        <v>341</v>
      </c>
      <c r="K283" s="392" t="s">
        <v>2497</v>
      </c>
      <c r="L283" s="392" t="s">
        <v>2498</v>
      </c>
      <c r="M283" s="690">
        <v>702875</v>
      </c>
      <c r="N283" s="393" t="s">
        <v>2109</v>
      </c>
    </row>
    <row r="284" spans="1:34">
      <c r="A284" s="530" t="s">
        <v>8468</v>
      </c>
      <c r="B284" s="389" t="s">
        <v>2112</v>
      </c>
      <c r="C284" s="680" t="s">
        <v>1789</v>
      </c>
      <c r="D284" s="684">
        <v>61</v>
      </c>
      <c r="E284" s="695">
        <v>33938922</v>
      </c>
      <c r="F284" s="695">
        <v>995752474</v>
      </c>
      <c r="G284" s="390">
        <v>701542</v>
      </c>
      <c r="H284" s="391" t="s">
        <v>2113</v>
      </c>
      <c r="I284" s="391" t="s">
        <v>2321</v>
      </c>
      <c r="J284" s="531" t="s">
        <v>3050</v>
      </c>
      <c r="K284" s="392" t="s">
        <v>2480</v>
      </c>
      <c r="L284" s="392" t="s">
        <v>2481</v>
      </c>
      <c r="M284" s="690">
        <v>701542</v>
      </c>
      <c r="N284" s="393" t="s">
        <v>1788</v>
      </c>
    </row>
    <row r="285" spans="1:34">
      <c r="A285" s="530" t="s">
        <v>11224</v>
      </c>
      <c r="B285" s="389" t="s">
        <v>2817</v>
      </c>
      <c r="C285" s="680" t="s">
        <v>2818</v>
      </c>
      <c r="D285" s="684">
        <v>51</v>
      </c>
      <c r="E285" s="695">
        <v>30265636</v>
      </c>
      <c r="F285" s="695"/>
      <c r="G285" s="390">
        <v>703016</v>
      </c>
      <c r="H285" s="391" t="s">
        <v>2819</v>
      </c>
      <c r="I285" s="391" t="s">
        <v>2329</v>
      </c>
      <c r="J285" s="531">
        <v>104</v>
      </c>
      <c r="K285" s="392" t="s">
        <v>2820</v>
      </c>
      <c r="L285" s="392" t="s">
        <v>2821</v>
      </c>
      <c r="M285" s="690">
        <v>703016</v>
      </c>
      <c r="N285" s="393" t="s">
        <v>2753</v>
      </c>
    </row>
    <row r="286" spans="1:34">
      <c r="A286" s="530" t="s">
        <v>7826</v>
      </c>
      <c r="B286" s="389" t="s">
        <v>6720</v>
      </c>
      <c r="C286" s="680" t="s">
        <v>6721</v>
      </c>
      <c r="D286" s="684">
        <v>62</v>
      </c>
      <c r="E286" s="695">
        <v>39889252</v>
      </c>
      <c r="F286" s="695"/>
      <c r="G286" s="390">
        <v>703641</v>
      </c>
      <c r="H286" s="391" t="s">
        <v>6722</v>
      </c>
      <c r="I286" s="391" t="s">
        <v>2492</v>
      </c>
      <c r="J286" s="531">
        <v>756</v>
      </c>
      <c r="K286" s="392" t="s">
        <v>6961</v>
      </c>
      <c r="L286" s="392" t="s">
        <v>7072</v>
      </c>
      <c r="M286" s="690">
        <v>703641</v>
      </c>
      <c r="N286" s="393" t="s">
        <v>6723</v>
      </c>
    </row>
    <row r="287" spans="1:34">
      <c r="A287" s="530" t="s">
        <v>11225</v>
      </c>
      <c r="B287" s="389" t="s">
        <v>7535</v>
      </c>
      <c r="C287" s="680" t="s">
        <v>7536</v>
      </c>
      <c r="D287" s="684">
        <v>19</v>
      </c>
      <c r="E287" s="695">
        <v>39351723</v>
      </c>
      <c r="F287" s="695"/>
      <c r="G287" s="390">
        <v>702884</v>
      </c>
      <c r="H287" s="391" t="s">
        <v>7537</v>
      </c>
      <c r="I287" s="391" t="s">
        <v>2320</v>
      </c>
      <c r="J287" s="531" t="s">
        <v>3043</v>
      </c>
      <c r="K287" s="392" t="s">
        <v>7538</v>
      </c>
      <c r="L287" s="392" t="s">
        <v>7539</v>
      </c>
      <c r="M287" s="690">
        <v>702884</v>
      </c>
      <c r="N287" s="393" t="s">
        <v>7521</v>
      </c>
    </row>
    <row r="288" spans="1:34">
      <c r="A288" s="530" t="s">
        <v>11226</v>
      </c>
      <c r="B288" s="389" t="s">
        <v>2114</v>
      </c>
      <c r="C288" s="680" t="s">
        <v>1182</v>
      </c>
      <c r="D288" s="684">
        <v>62</v>
      </c>
      <c r="E288" s="695">
        <v>39454005</v>
      </c>
      <c r="F288" s="695"/>
      <c r="G288" s="390">
        <v>702570</v>
      </c>
      <c r="H288" s="391" t="s">
        <v>2115</v>
      </c>
      <c r="I288" s="391" t="s">
        <v>2320</v>
      </c>
      <c r="J288" s="531" t="s">
        <v>3043</v>
      </c>
      <c r="K288" s="392" t="s">
        <v>11227</v>
      </c>
      <c r="L288" s="392" t="s">
        <v>11228</v>
      </c>
      <c r="M288" s="690">
        <v>702570</v>
      </c>
      <c r="N288" s="393" t="s">
        <v>10336</v>
      </c>
      <c r="P288" s="394" t="s">
        <v>11229</v>
      </c>
    </row>
    <row r="289" spans="1:34">
      <c r="A289" s="530" t="s">
        <v>10488</v>
      </c>
      <c r="B289" s="389" t="s">
        <v>10334</v>
      </c>
      <c r="C289" s="680" t="s">
        <v>11230</v>
      </c>
      <c r="D289" s="684">
        <v>62</v>
      </c>
      <c r="E289" s="695">
        <v>39454005</v>
      </c>
      <c r="F289" s="695">
        <v>982471578</v>
      </c>
      <c r="G289" s="390">
        <v>703463</v>
      </c>
      <c r="H289" s="391" t="s">
        <v>10183</v>
      </c>
      <c r="I289" s="391" t="s">
        <v>2404</v>
      </c>
      <c r="J289" s="531" t="s">
        <v>3043</v>
      </c>
      <c r="K289" s="392" t="s">
        <v>10257</v>
      </c>
      <c r="L289" s="392" t="s">
        <v>10258</v>
      </c>
      <c r="M289" s="690">
        <v>703463</v>
      </c>
      <c r="N289" s="393" t="s">
        <v>10335</v>
      </c>
      <c r="P289" s="394" t="s">
        <v>11231</v>
      </c>
    </row>
    <row r="290" spans="1:34">
      <c r="A290" s="530" t="s">
        <v>7825</v>
      </c>
      <c r="B290" s="389" t="s">
        <v>7261</v>
      </c>
      <c r="C290" s="680" t="s">
        <v>11232</v>
      </c>
      <c r="D290" s="684">
        <v>51</v>
      </c>
      <c r="E290" s="695">
        <v>37187600</v>
      </c>
      <c r="F290" s="695">
        <v>996775667</v>
      </c>
      <c r="G290" s="390">
        <v>701879</v>
      </c>
      <c r="H290" s="391" t="s">
        <v>7262</v>
      </c>
      <c r="I290" s="391" t="s">
        <v>2320</v>
      </c>
      <c r="J290" s="531" t="s">
        <v>3043</v>
      </c>
      <c r="K290" s="392" t="s">
        <v>7263</v>
      </c>
      <c r="L290" s="392" t="s">
        <v>7264</v>
      </c>
      <c r="M290" s="690">
        <v>701879</v>
      </c>
      <c r="N290" s="393" t="s">
        <v>7148</v>
      </c>
    </row>
    <row r="291" spans="1:34">
      <c r="A291" s="530" t="s">
        <v>11233</v>
      </c>
      <c r="B291" s="389" t="s">
        <v>7577</v>
      </c>
      <c r="C291" s="680" t="s">
        <v>7578</v>
      </c>
      <c r="D291" s="684">
        <v>61</v>
      </c>
      <c r="E291" s="695">
        <v>39643850</v>
      </c>
      <c r="F291" s="695"/>
      <c r="G291" s="390"/>
      <c r="H291" s="391" t="s">
        <v>7579</v>
      </c>
      <c r="I291" s="391" t="s">
        <v>2321</v>
      </c>
      <c r="J291" s="531" t="s">
        <v>3050</v>
      </c>
      <c r="K291" s="392" t="s">
        <v>7580</v>
      </c>
      <c r="L291" s="392" t="s">
        <v>7581</v>
      </c>
      <c r="M291" s="690"/>
      <c r="N291" s="393" t="s">
        <v>6198</v>
      </c>
    </row>
    <row r="292" spans="1:34">
      <c r="A292" s="530" t="s">
        <v>7485</v>
      </c>
      <c r="B292" s="389" t="s">
        <v>2116</v>
      </c>
      <c r="C292" s="680" t="s">
        <v>1152</v>
      </c>
      <c r="D292" s="684">
        <v>43</v>
      </c>
      <c r="E292" s="695">
        <v>35122800</v>
      </c>
      <c r="F292" s="695"/>
      <c r="G292" s="390">
        <v>700669</v>
      </c>
      <c r="H292" s="391" t="s">
        <v>2117</v>
      </c>
      <c r="I292" s="391" t="s">
        <v>2320</v>
      </c>
      <c r="J292" s="531" t="s">
        <v>3043</v>
      </c>
      <c r="K292" s="392" t="s">
        <v>4071</v>
      </c>
      <c r="L292" s="392" t="s">
        <v>4072</v>
      </c>
      <c r="M292" s="690">
        <v>700669</v>
      </c>
      <c r="N292" s="393" t="s">
        <v>1151</v>
      </c>
    </row>
    <row r="293" spans="1:34">
      <c r="A293" s="530" t="s">
        <v>11234</v>
      </c>
      <c r="B293" s="389" t="s">
        <v>4073</v>
      </c>
      <c r="C293" s="680" t="s">
        <v>674</v>
      </c>
      <c r="D293" s="684">
        <v>62</v>
      </c>
      <c r="E293" s="695">
        <v>32856650</v>
      </c>
      <c r="F293" s="695"/>
      <c r="G293" s="390">
        <v>703261</v>
      </c>
      <c r="H293" s="391" t="s">
        <v>4074</v>
      </c>
      <c r="I293" s="391" t="s">
        <v>2320</v>
      </c>
      <c r="J293" s="531" t="s">
        <v>3043</v>
      </c>
      <c r="K293" s="392" t="s">
        <v>4344</v>
      </c>
      <c r="L293" s="392" t="s">
        <v>4345</v>
      </c>
      <c r="M293" s="690">
        <v>703261</v>
      </c>
      <c r="N293" s="393" t="s">
        <v>4075</v>
      </c>
    </row>
    <row r="294" spans="1:34">
      <c r="A294" s="530" t="s">
        <v>7337</v>
      </c>
      <c r="B294" s="389" t="s">
        <v>1760</v>
      </c>
      <c r="C294" s="680" t="s">
        <v>1761</v>
      </c>
      <c r="D294" s="684">
        <v>61</v>
      </c>
      <c r="E294" s="695">
        <v>30522525</v>
      </c>
      <c r="F294" s="695"/>
      <c r="G294" s="390">
        <v>701878</v>
      </c>
      <c r="H294" s="391" t="s">
        <v>2550</v>
      </c>
      <c r="I294" s="391" t="s">
        <v>2320</v>
      </c>
      <c r="J294" s="531" t="s">
        <v>3043</v>
      </c>
      <c r="K294" s="392" t="s">
        <v>2969</v>
      </c>
      <c r="L294" s="392" t="s">
        <v>8992</v>
      </c>
      <c r="M294" s="691">
        <v>701878</v>
      </c>
      <c r="N294" s="393" t="s">
        <v>1759</v>
      </c>
    </row>
    <row r="295" spans="1:34" ht="13.5" customHeight="1">
      <c r="A295" s="530" t="s">
        <v>11235</v>
      </c>
      <c r="B295" s="389" t="s">
        <v>2119</v>
      </c>
      <c r="C295" s="680" t="s">
        <v>994</v>
      </c>
      <c r="D295" s="684">
        <v>61</v>
      </c>
      <c r="E295" s="695">
        <v>33275290</v>
      </c>
      <c r="F295" s="695"/>
      <c r="G295" s="390">
        <v>2653</v>
      </c>
      <c r="H295" s="391" t="s">
        <v>2120</v>
      </c>
      <c r="I295" s="391"/>
      <c r="J295" s="531" t="s">
        <v>10735</v>
      </c>
      <c r="K295" s="392"/>
      <c r="L295" s="392"/>
      <c r="M295" s="690">
        <v>2653</v>
      </c>
      <c r="N295" s="393" t="s">
        <v>2118</v>
      </c>
    </row>
    <row r="296" spans="1:34">
      <c r="A296" s="530" t="s">
        <v>11236</v>
      </c>
      <c r="B296" s="389" t="s">
        <v>3531</v>
      </c>
      <c r="C296" s="680" t="s">
        <v>3532</v>
      </c>
      <c r="D296" s="684">
        <v>61</v>
      </c>
      <c r="E296" s="695">
        <v>3328338</v>
      </c>
      <c r="F296" s="695">
        <v>993005256</v>
      </c>
      <c r="G296" s="390">
        <v>703140</v>
      </c>
      <c r="H296" s="391" t="s">
        <v>3533</v>
      </c>
      <c r="I296" s="391" t="s">
        <v>2350</v>
      </c>
      <c r="J296" s="531">
        <v>237</v>
      </c>
      <c r="K296" s="392" t="s">
        <v>3534</v>
      </c>
      <c r="L296" s="392" t="s">
        <v>3535</v>
      </c>
      <c r="M296" s="690">
        <v>703140</v>
      </c>
      <c r="N296" s="393" t="s">
        <v>3536</v>
      </c>
    </row>
    <row r="297" spans="1:34">
      <c r="A297" s="530" t="s">
        <v>11237</v>
      </c>
      <c r="B297" s="389" t="s">
        <v>11238</v>
      </c>
      <c r="C297" s="680" t="s">
        <v>11239</v>
      </c>
      <c r="D297" s="684">
        <v>61</v>
      </c>
      <c r="E297" s="695"/>
      <c r="F297" s="695">
        <v>985047079</v>
      </c>
      <c r="G297" s="390">
        <v>704198</v>
      </c>
      <c r="H297" s="391" t="s">
        <v>11240</v>
      </c>
      <c r="I297" s="391" t="s">
        <v>2321</v>
      </c>
      <c r="J297" s="531" t="s">
        <v>3050</v>
      </c>
      <c r="K297" s="392" t="s">
        <v>11241</v>
      </c>
      <c r="L297" s="392" t="s">
        <v>11242</v>
      </c>
      <c r="M297" s="690">
        <v>704198</v>
      </c>
      <c r="N297" s="393" t="s">
        <v>11243</v>
      </c>
      <c r="P297" s="394" t="s">
        <v>11244</v>
      </c>
    </row>
    <row r="298" spans="1:34">
      <c r="A298" s="530" t="s">
        <v>11245</v>
      </c>
      <c r="B298" s="389" t="s">
        <v>4076</v>
      </c>
      <c r="C298" s="680" t="s">
        <v>4077</v>
      </c>
      <c r="D298" s="684">
        <v>43</v>
      </c>
      <c r="E298" s="695">
        <v>32423333</v>
      </c>
      <c r="G298" s="390">
        <v>703430</v>
      </c>
      <c r="H298" s="391" t="s">
        <v>3956</v>
      </c>
      <c r="I298" s="391" t="s">
        <v>2320</v>
      </c>
      <c r="J298" s="531" t="s">
        <v>3043</v>
      </c>
      <c r="K298" s="392" t="s">
        <v>4110</v>
      </c>
      <c r="L298" s="392" t="s">
        <v>4111</v>
      </c>
      <c r="M298" s="690">
        <v>703430</v>
      </c>
      <c r="N298" s="393" t="s">
        <v>4050</v>
      </c>
    </row>
    <row r="299" spans="1:34" s="482" customFormat="1" ht="15">
      <c r="A299" s="530" t="s">
        <v>9353</v>
      </c>
      <c r="B299" s="539" t="s">
        <v>4078</v>
      </c>
      <c r="C299" s="682" t="s">
        <v>4079</v>
      </c>
      <c r="D299" s="684">
        <v>61</v>
      </c>
      <c r="E299" s="698">
        <v>33270700</v>
      </c>
      <c r="F299" s="701"/>
      <c r="G299" s="551">
        <v>384</v>
      </c>
      <c r="H299" s="552" t="s">
        <v>6679</v>
      </c>
      <c r="I299" s="552" t="s">
        <v>2321</v>
      </c>
      <c r="J299" s="531" t="s">
        <v>3050</v>
      </c>
      <c r="K299" s="553" t="s">
        <v>9577</v>
      </c>
      <c r="L299" s="553" t="s">
        <v>9578</v>
      </c>
      <c r="M299" s="693">
        <v>384</v>
      </c>
      <c r="N299" s="554" t="s">
        <v>4080</v>
      </c>
      <c r="AH299" s="394"/>
    </row>
    <row r="300" spans="1:34">
      <c r="A300" s="530" t="s">
        <v>11246</v>
      </c>
      <c r="B300" s="389" t="s">
        <v>4081</v>
      </c>
      <c r="C300" s="680" t="s">
        <v>4082</v>
      </c>
      <c r="D300" s="684">
        <v>61</v>
      </c>
      <c r="E300" s="695">
        <v>33873909</v>
      </c>
      <c r="F300" s="695">
        <v>985649531</v>
      </c>
      <c r="G300" s="390">
        <v>701665</v>
      </c>
      <c r="H300" s="391" t="s">
        <v>4083</v>
      </c>
      <c r="I300" s="391"/>
      <c r="J300" s="531" t="s">
        <v>10735</v>
      </c>
      <c r="K300" s="392"/>
      <c r="L300" s="392"/>
      <c r="M300" s="690">
        <v>701665</v>
      </c>
      <c r="N300" s="393" t="s">
        <v>4084</v>
      </c>
    </row>
    <row r="301" spans="1:34">
      <c r="A301" s="530" t="s">
        <v>11247</v>
      </c>
      <c r="B301" s="389" t="s">
        <v>2909</v>
      </c>
      <c r="C301" s="680" t="s">
        <v>2910</v>
      </c>
      <c r="D301" s="684">
        <v>61</v>
      </c>
      <c r="E301" s="695">
        <v>33813661</v>
      </c>
      <c r="F301" s="695"/>
      <c r="G301" s="390">
        <v>1063</v>
      </c>
      <c r="H301" s="391" t="s">
        <v>2911</v>
      </c>
      <c r="I301" s="391" t="s">
        <v>3045</v>
      </c>
      <c r="J301" s="531" t="s">
        <v>10735</v>
      </c>
      <c r="K301" s="392" t="s">
        <v>3046</v>
      </c>
      <c r="L301" s="392" t="s">
        <v>3047</v>
      </c>
      <c r="M301" s="690">
        <v>1063</v>
      </c>
      <c r="N301" s="393" t="s">
        <v>2908</v>
      </c>
    </row>
    <row r="302" spans="1:34" ht="15">
      <c r="A302" s="530" t="s">
        <v>11248</v>
      </c>
      <c r="B302" s="401" t="s">
        <v>2121</v>
      </c>
      <c r="C302" s="597" t="s">
        <v>1029</v>
      </c>
      <c r="D302" s="684">
        <v>62</v>
      </c>
      <c r="E302" s="696">
        <v>39548570</v>
      </c>
      <c r="F302" s="696"/>
      <c r="G302" s="688">
        <v>700753</v>
      </c>
      <c r="H302" s="401" t="s">
        <v>2122</v>
      </c>
      <c r="I302" s="391"/>
      <c r="J302" s="531" t="s">
        <v>10735</v>
      </c>
      <c r="K302" s="392"/>
      <c r="L302" s="392"/>
      <c r="M302" s="690">
        <v>700753</v>
      </c>
      <c r="N302" s="401" t="s">
        <v>571</v>
      </c>
    </row>
    <row r="303" spans="1:34">
      <c r="A303" s="530" t="s">
        <v>11249</v>
      </c>
      <c r="B303" s="389" t="s">
        <v>2123</v>
      </c>
      <c r="C303" s="680" t="s">
        <v>1149</v>
      </c>
      <c r="D303" s="684">
        <v>11</v>
      </c>
      <c r="E303" s="695">
        <v>40711520</v>
      </c>
      <c r="F303" s="695"/>
      <c r="G303" s="390">
        <v>701487</v>
      </c>
      <c r="H303" s="391" t="s">
        <v>2124</v>
      </c>
      <c r="I303" s="391" t="s">
        <v>2350</v>
      </c>
      <c r="J303" s="531">
        <v>237</v>
      </c>
      <c r="K303" s="392" t="s">
        <v>2383</v>
      </c>
      <c r="L303" s="392" t="s">
        <v>2384</v>
      </c>
      <c r="M303" s="690">
        <v>701487</v>
      </c>
      <c r="N303" s="393" t="s">
        <v>1148</v>
      </c>
    </row>
    <row r="304" spans="1:34">
      <c r="A304" s="530" t="s">
        <v>11250</v>
      </c>
      <c r="B304" s="389" t="s">
        <v>2125</v>
      </c>
      <c r="C304" s="680" t="s">
        <v>997</v>
      </c>
      <c r="D304" s="684">
        <v>61</v>
      </c>
      <c r="E304" s="695">
        <v>32744340</v>
      </c>
      <c r="F304" s="695"/>
      <c r="G304" s="390">
        <v>700864</v>
      </c>
      <c r="H304" s="391" t="s">
        <v>2126</v>
      </c>
      <c r="I304" s="391"/>
      <c r="J304" s="531" t="s">
        <v>10735</v>
      </c>
      <c r="K304" s="392"/>
      <c r="L304" s="392"/>
      <c r="M304" s="690">
        <v>700864</v>
      </c>
      <c r="N304" s="393" t="s">
        <v>996</v>
      </c>
    </row>
    <row r="305" spans="1:16377">
      <c r="A305" s="530" t="s">
        <v>11251</v>
      </c>
      <c r="B305" s="389" t="s">
        <v>2127</v>
      </c>
      <c r="C305" s="680" t="s">
        <v>1586</v>
      </c>
      <c r="D305" s="684">
        <v>51</v>
      </c>
      <c r="E305" s="695">
        <v>34394518</v>
      </c>
      <c r="F305" s="695"/>
      <c r="G305" s="390">
        <v>702210</v>
      </c>
      <c r="H305" s="391" t="s">
        <v>2128</v>
      </c>
      <c r="I305" s="391" t="s">
        <v>2320</v>
      </c>
      <c r="J305" s="531" t="s">
        <v>3043</v>
      </c>
      <c r="K305" s="392" t="s">
        <v>2387</v>
      </c>
      <c r="L305" s="392" t="s">
        <v>2388</v>
      </c>
      <c r="M305" s="690">
        <v>702210</v>
      </c>
      <c r="N305" s="393" t="s">
        <v>1308</v>
      </c>
    </row>
    <row r="306" spans="1:16377">
      <c r="A306" s="530" t="s">
        <v>11252</v>
      </c>
      <c r="B306" s="389" t="s">
        <v>2129</v>
      </c>
      <c r="C306" s="680" t="s">
        <v>1483</v>
      </c>
      <c r="D306" s="684">
        <v>62</v>
      </c>
      <c r="E306" s="695">
        <v>36365877</v>
      </c>
      <c r="F306" s="695"/>
      <c r="G306" s="390">
        <v>701866</v>
      </c>
      <c r="H306" s="391" t="s">
        <v>2130</v>
      </c>
      <c r="I306" s="391" t="s">
        <v>2350</v>
      </c>
      <c r="J306" s="531">
        <v>237</v>
      </c>
      <c r="K306" s="392" t="s">
        <v>2474</v>
      </c>
      <c r="L306" s="392" t="s">
        <v>2475</v>
      </c>
      <c r="M306" s="690">
        <v>701866</v>
      </c>
      <c r="N306" s="393" t="s">
        <v>2761</v>
      </c>
    </row>
    <row r="307" spans="1:16377">
      <c r="A307" s="530" t="s">
        <v>11253</v>
      </c>
      <c r="B307" s="389" t="s">
        <v>10217</v>
      </c>
      <c r="C307" s="680" t="s">
        <v>10218</v>
      </c>
      <c r="D307" s="684">
        <v>61</v>
      </c>
      <c r="E307" s="695"/>
      <c r="F307" s="695">
        <v>992045354</v>
      </c>
      <c r="G307" s="390"/>
      <c r="H307" s="391" t="s">
        <v>11254</v>
      </c>
      <c r="I307" s="391" t="s">
        <v>2431</v>
      </c>
      <c r="J307" s="531">
        <v>237</v>
      </c>
      <c r="K307" s="392" t="s">
        <v>10222</v>
      </c>
      <c r="L307" s="392" t="s">
        <v>10223</v>
      </c>
      <c r="M307" s="690"/>
      <c r="N307" s="393" t="s">
        <v>10219</v>
      </c>
    </row>
    <row r="308" spans="1:16377">
      <c r="A308" s="530" t="s">
        <v>11255</v>
      </c>
      <c r="B308" s="389" t="s">
        <v>2131</v>
      </c>
      <c r="C308" s="680" t="s">
        <v>1685</v>
      </c>
      <c r="D308" s="684">
        <v>61</v>
      </c>
      <c r="E308" s="695">
        <v>35687206</v>
      </c>
      <c r="F308" s="695">
        <v>991842615</v>
      </c>
      <c r="G308" s="390">
        <v>1423</v>
      </c>
      <c r="H308" s="391" t="s">
        <v>2132</v>
      </c>
      <c r="I308" s="391"/>
      <c r="J308" s="531" t="s">
        <v>10735</v>
      </c>
      <c r="K308" s="392"/>
      <c r="L308" s="392"/>
      <c r="M308" s="690">
        <v>1423</v>
      </c>
      <c r="N308" s="393" t="s">
        <v>1684</v>
      </c>
    </row>
    <row r="309" spans="1:16377">
      <c r="A309" s="530" t="s">
        <v>8344</v>
      </c>
      <c r="B309" s="389" t="s">
        <v>2133</v>
      </c>
      <c r="C309" s="680" t="s">
        <v>1438</v>
      </c>
      <c r="D309" s="684">
        <v>61</v>
      </c>
      <c r="E309" s="695">
        <v>33511419</v>
      </c>
      <c r="F309" s="695">
        <v>984287873</v>
      </c>
      <c r="G309" s="390">
        <v>700773</v>
      </c>
      <c r="H309" s="391" t="s">
        <v>2134</v>
      </c>
      <c r="I309" s="391" t="s">
        <v>2320</v>
      </c>
      <c r="J309" s="531" t="s">
        <v>3043</v>
      </c>
      <c r="K309" s="392" t="s">
        <v>6719</v>
      </c>
      <c r="L309" s="392" t="s">
        <v>2380</v>
      </c>
      <c r="M309" s="690">
        <v>700773</v>
      </c>
      <c r="N309" s="393" t="s">
        <v>1385</v>
      </c>
      <c r="P309" s="394" t="s">
        <v>11256</v>
      </c>
    </row>
    <row r="310" spans="1:16377">
      <c r="A310" s="530" t="s">
        <v>11257</v>
      </c>
      <c r="B310" s="389" t="s">
        <v>2135</v>
      </c>
      <c r="C310" s="680" t="s">
        <v>1084</v>
      </c>
      <c r="D310" s="684">
        <v>62</v>
      </c>
      <c r="E310" s="695">
        <v>32405748</v>
      </c>
      <c r="F310" s="695"/>
      <c r="G310" s="390">
        <v>701604</v>
      </c>
      <c r="H310" s="391" t="s">
        <v>2136</v>
      </c>
      <c r="I310" s="391"/>
      <c r="J310" s="531" t="s">
        <v>10735</v>
      </c>
      <c r="K310" s="392"/>
      <c r="L310" s="392"/>
      <c r="M310" s="690">
        <v>701604</v>
      </c>
      <c r="N310" s="393" t="s">
        <v>1083</v>
      </c>
    </row>
    <row r="311" spans="1:16377">
      <c r="A311" s="530" t="s">
        <v>11258</v>
      </c>
      <c r="B311" s="389" t="s">
        <v>2137</v>
      </c>
      <c r="C311" s="680" t="s">
        <v>1326</v>
      </c>
      <c r="D311" s="684">
        <v>61</v>
      </c>
      <c r="E311" s="695">
        <v>34621062</v>
      </c>
      <c r="F311" s="695"/>
      <c r="G311" s="390">
        <v>701001</v>
      </c>
      <c r="H311" s="391" t="s">
        <v>2138</v>
      </c>
      <c r="I311" s="391"/>
      <c r="J311" s="531" t="s">
        <v>10735</v>
      </c>
      <c r="K311" s="392"/>
      <c r="L311" s="392"/>
      <c r="M311" s="690">
        <v>701001</v>
      </c>
      <c r="N311" s="393" t="s">
        <v>1319</v>
      </c>
    </row>
    <row r="312" spans="1:16377">
      <c r="A312" s="530" t="s">
        <v>11259</v>
      </c>
      <c r="B312" s="389" t="s">
        <v>11260</v>
      </c>
      <c r="C312" s="680"/>
      <c r="D312" s="684" t="s">
        <v>5888</v>
      </c>
      <c r="E312" s="695"/>
      <c r="F312" s="695"/>
      <c r="G312" s="390"/>
      <c r="H312" s="391" t="s">
        <v>11261</v>
      </c>
      <c r="I312" s="391"/>
      <c r="J312" s="531"/>
      <c r="K312" s="392"/>
      <c r="L312" s="392"/>
      <c r="M312" s="690"/>
      <c r="N312" s="393" t="s">
        <v>11262</v>
      </c>
    </row>
    <row r="313" spans="1:16377">
      <c r="A313" s="530" t="s">
        <v>11263</v>
      </c>
      <c r="B313" s="389" t="s">
        <v>2140</v>
      </c>
      <c r="C313" s="680"/>
      <c r="D313" s="684" t="s">
        <v>5888</v>
      </c>
      <c r="E313" s="695"/>
      <c r="F313" s="695"/>
      <c r="G313" s="390">
        <v>702923</v>
      </c>
      <c r="H313" s="391" t="s">
        <v>2141</v>
      </c>
      <c r="I313" s="391"/>
      <c r="J313" s="531" t="s">
        <v>10735</v>
      </c>
      <c r="K313" s="392"/>
      <c r="L313" s="392"/>
      <c r="M313" s="690">
        <v>702923</v>
      </c>
      <c r="N313" s="393" t="s">
        <v>2139</v>
      </c>
    </row>
    <row r="314" spans="1:16377">
      <c r="A314" s="530" t="s">
        <v>10360</v>
      </c>
      <c r="B314" s="389" t="s">
        <v>10359</v>
      </c>
      <c r="C314" s="680" t="s">
        <v>1628</v>
      </c>
      <c r="D314" s="684">
        <v>62</v>
      </c>
      <c r="E314" s="695">
        <v>30885468</v>
      </c>
      <c r="F314" s="695"/>
      <c r="G314" s="390">
        <v>700820</v>
      </c>
      <c r="H314" s="391" t="s">
        <v>2142</v>
      </c>
      <c r="I314" s="391" t="s">
        <v>2320</v>
      </c>
      <c r="J314" s="531" t="s">
        <v>3043</v>
      </c>
      <c r="K314" s="392" t="s">
        <v>2955</v>
      </c>
      <c r="L314" s="392" t="s">
        <v>2450</v>
      </c>
      <c r="M314" s="690">
        <v>700820</v>
      </c>
      <c r="N314" s="393" t="s">
        <v>10358</v>
      </c>
      <c r="O314" s="539"/>
      <c r="P314" s="539" t="s">
        <v>11264</v>
      </c>
      <c r="Q314" s="539"/>
      <c r="R314" s="539"/>
      <c r="S314" s="539"/>
      <c r="T314" s="539"/>
      <c r="U314" s="539"/>
      <c r="V314" s="539"/>
      <c r="W314" s="539"/>
      <c r="X314" s="539"/>
      <c r="Y314" s="539"/>
      <c r="Z314" s="539"/>
      <c r="AA314" s="539"/>
      <c r="AB314" s="539"/>
      <c r="AC314" s="539"/>
      <c r="AD314" s="539"/>
      <c r="AE314" s="539"/>
      <c r="AF314" s="539"/>
      <c r="AG314" s="539"/>
      <c r="AI314" s="539"/>
      <c r="AJ314" s="539"/>
      <c r="AK314" s="539"/>
      <c r="AL314" s="539"/>
      <c r="AM314" s="539"/>
      <c r="AN314" s="539"/>
      <c r="AO314" s="539"/>
      <c r="AP314" s="539"/>
      <c r="AQ314" s="539"/>
      <c r="AR314" s="539"/>
      <c r="AS314" s="539"/>
      <c r="AT314" s="539"/>
      <c r="AU314" s="539"/>
      <c r="AV314" s="539"/>
      <c r="AW314" s="539"/>
      <c r="AX314" s="539"/>
      <c r="AY314" s="539"/>
      <c r="AZ314" s="539"/>
      <c r="BA314" s="539"/>
      <c r="BB314" s="539"/>
      <c r="BC314" s="539"/>
      <c r="BD314" s="539"/>
      <c r="BE314" s="539"/>
      <c r="BF314" s="539"/>
      <c r="BG314" s="539"/>
      <c r="BH314" s="539"/>
      <c r="BI314" s="539"/>
      <c r="BJ314" s="539"/>
      <c r="BK314" s="539"/>
      <c r="BL314" s="539"/>
      <c r="BM314" s="539"/>
      <c r="BN314" s="539"/>
      <c r="BO314" s="539"/>
      <c r="BP314" s="539"/>
      <c r="BQ314" s="539"/>
      <c r="BR314" s="539"/>
      <c r="BS314" s="539"/>
      <c r="BT314" s="539"/>
      <c r="BU314" s="539"/>
      <c r="BV314" s="539"/>
      <c r="BW314" s="539"/>
      <c r="BX314" s="539"/>
      <c r="BY314" s="539"/>
      <c r="BZ314" s="539"/>
      <c r="CA314" s="539"/>
      <c r="CB314" s="539"/>
      <c r="CC314" s="539"/>
      <c r="CD314" s="539"/>
      <c r="CE314" s="539"/>
      <c r="CF314" s="539"/>
      <c r="CG314" s="539"/>
      <c r="CH314" s="539"/>
      <c r="CI314" s="539"/>
      <c r="CJ314" s="539"/>
      <c r="CK314" s="539"/>
      <c r="CL314" s="539"/>
      <c r="CM314" s="539"/>
      <c r="CN314" s="539"/>
      <c r="CO314" s="539"/>
      <c r="CP314" s="539"/>
      <c r="CQ314" s="539"/>
      <c r="CR314" s="539"/>
      <c r="CS314" s="539"/>
      <c r="CT314" s="539"/>
      <c r="CU314" s="539"/>
      <c r="CV314" s="539"/>
      <c r="CW314" s="539"/>
      <c r="CX314" s="539"/>
      <c r="CY314" s="539"/>
      <c r="CZ314" s="539"/>
      <c r="DA314" s="539"/>
      <c r="DB314" s="539"/>
      <c r="DC314" s="539"/>
      <c r="DD314" s="539"/>
      <c r="DE314" s="539"/>
      <c r="DF314" s="539"/>
      <c r="DG314" s="539"/>
      <c r="DH314" s="539"/>
      <c r="DI314" s="539"/>
      <c r="DJ314" s="539"/>
      <c r="DK314" s="539"/>
      <c r="DL314" s="539"/>
      <c r="DM314" s="539"/>
      <c r="DN314" s="539"/>
      <c r="DO314" s="539"/>
      <c r="DP314" s="539"/>
      <c r="DQ314" s="539"/>
      <c r="DR314" s="539"/>
      <c r="DS314" s="539"/>
      <c r="DT314" s="539"/>
      <c r="DU314" s="539"/>
      <c r="DV314" s="539"/>
      <c r="DW314" s="539"/>
      <c r="DX314" s="539"/>
      <c r="DY314" s="539"/>
      <c r="DZ314" s="539"/>
      <c r="EA314" s="539"/>
      <c r="EB314" s="539"/>
      <c r="EC314" s="539"/>
      <c r="ED314" s="539"/>
      <c r="EE314" s="539"/>
      <c r="EF314" s="539"/>
      <c r="EG314" s="539"/>
      <c r="EH314" s="539"/>
      <c r="EI314" s="539"/>
      <c r="EJ314" s="539"/>
      <c r="EK314" s="539"/>
      <c r="EL314" s="539"/>
      <c r="EM314" s="539"/>
      <c r="EN314" s="539"/>
      <c r="EO314" s="539"/>
      <c r="EP314" s="539"/>
      <c r="EQ314" s="539"/>
      <c r="ER314" s="539"/>
      <c r="ES314" s="539"/>
      <c r="ET314" s="539"/>
      <c r="EU314" s="539"/>
      <c r="EV314" s="539"/>
      <c r="EW314" s="539"/>
      <c r="EX314" s="539"/>
      <c r="EY314" s="539"/>
      <c r="EZ314" s="539"/>
      <c r="FA314" s="539"/>
      <c r="FB314" s="539"/>
      <c r="FC314" s="539"/>
      <c r="FD314" s="539"/>
      <c r="FE314" s="539"/>
      <c r="FF314" s="539"/>
      <c r="FG314" s="539"/>
      <c r="FH314" s="539"/>
      <c r="FI314" s="539"/>
      <c r="FJ314" s="539"/>
      <c r="FK314" s="539"/>
      <c r="FL314" s="539"/>
      <c r="FM314" s="539"/>
      <c r="FN314" s="539"/>
      <c r="FO314" s="539"/>
      <c r="FP314" s="539"/>
      <c r="FQ314" s="539"/>
      <c r="FR314" s="539"/>
      <c r="FS314" s="539"/>
      <c r="FT314" s="539"/>
      <c r="FU314" s="539"/>
      <c r="FV314" s="539"/>
      <c r="FW314" s="539"/>
      <c r="FX314" s="539"/>
      <c r="FY314" s="539"/>
      <c r="FZ314" s="539"/>
      <c r="GA314" s="539"/>
      <c r="GB314" s="539"/>
      <c r="GC314" s="539"/>
      <c r="GD314" s="539"/>
      <c r="GE314" s="539"/>
      <c r="GF314" s="539"/>
      <c r="GG314" s="539"/>
      <c r="GH314" s="539"/>
      <c r="GI314" s="539"/>
      <c r="GJ314" s="539"/>
      <c r="GK314" s="539"/>
      <c r="GL314" s="539"/>
      <c r="GM314" s="539"/>
      <c r="GN314" s="539"/>
      <c r="GO314" s="539"/>
      <c r="GP314" s="539"/>
      <c r="GQ314" s="539"/>
      <c r="GR314" s="539"/>
      <c r="GS314" s="539"/>
      <c r="GT314" s="539"/>
      <c r="GU314" s="539"/>
      <c r="GV314" s="539"/>
      <c r="GW314" s="539"/>
      <c r="GX314" s="539"/>
      <c r="GY314" s="539"/>
      <c r="GZ314" s="539"/>
      <c r="HA314" s="539"/>
      <c r="HB314" s="539"/>
      <c r="HC314" s="539"/>
      <c r="HD314" s="539"/>
      <c r="HE314" s="539"/>
      <c r="HF314" s="539"/>
      <c r="HG314" s="539"/>
      <c r="HH314" s="539"/>
      <c r="HI314" s="539"/>
      <c r="HJ314" s="539"/>
      <c r="HK314" s="539"/>
      <c r="HL314" s="539"/>
      <c r="HM314" s="539"/>
      <c r="HN314" s="539"/>
      <c r="HO314" s="539"/>
      <c r="HP314" s="539"/>
      <c r="HQ314" s="539"/>
      <c r="HR314" s="539"/>
      <c r="HS314" s="539"/>
      <c r="HT314" s="539"/>
      <c r="HU314" s="539"/>
      <c r="HV314" s="539"/>
      <c r="HW314" s="539"/>
      <c r="HX314" s="539"/>
      <c r="HY314" s="539"/>
      <c r="HZ314" s="539"/>
      <c r="IA314" s="539"/>
      <c r="IB314" s="539"/>
      <c r="IC314" s="539"/>
      <c r="ID314" s="539"/>
      <c r="IE314" s="539"/>
      <c r="IF314" s="539"/>
      <c r="IG314" s="539"/>
      <c r="IH314" s="539"/>
      <c r="II314" s="539"/>
      <c r="IJ314" s="539"/>
      <c r="IK314" s="539"/>
      <c r="IL314" s="539"/>
      <c r="IM314" s="539"/>
      <c r="IN314" s="539"/>
      <c r="IO314" s="539"/>
      <c r="IP314" s="539"/>
      <c r="IQ314" s="539"/>
      <c r="IR314" s="539"/>
      <c r="IS314" s="539"/>
      <c r="IT314" s="539"/>
      <c r="IU314" s="539"/>
      <c r="IV314" s="539"/>
      <c r="IW314" s="539"/>
      <c r="IX314" s="539"/>
      <c r="IY314" s="539"/>
      <c r="IZ314" s="539"/>
      <c r="JA314" s="539"/>
      <c r="JB314" s="539"/>
      <c r="JC314" s="539"/>
      <c r="JD314" s="539"/>
      <c r="JE314" s="539"/>
      <c r="JF314" s="539"/>
      <c r="JG314" s="539"/>
      <c r="JH314" s="539"/>
      <c r="JI314" s="539"/>
      <c r="JJ314" s="539"/>
      <c r="JK314" s="539"/>
      <c r="JL314" s="539"/>
      <c r="JM314" s="539"/>
      <c r="JN314" s="539"/>
      <c r="JO314" s="539"/>
      <c r="JP314" s="539"/>
      <c r="JQ314" s="539"/>
      <c r="JR314" s="539"/>
      <c r="JS314" s="539"/>
      <c r="JT314" s="539"/>
      <c r="JU314" s="539"/>
      <c r="JV314" s="539"/>
      <c r="JW314" s="539"/>
      <c r="JX314" s="539"/>
      <c r="JY314" s="539"/>
      <c r="JZ314" s="539"/>
      <c r="KA314" s="539"/>
      <c r="KB314" s="539"/>
      <c r="KC314" s="539"/>
      <c r="KD314" s="539"/>
      <c r="KE314" s="539"/>
      <c r="KF314" s="539"/>
      <c r="KG314" s="539"/>
      <c r="KH314" s="539"/>
      <c r="KI314" s="539"/>
      <c r="KJ314" s="539"/>
      <c r="KK314" s="539"/>
      <c r="KL314" s="539"/>
      <c r="KM314" s="539"/>
      <c r="KN314" s="539"/>
      <c r="KO314" s="539"/>
      <c r="KP314" s="539"/>
      <c r="KQ314" s="539"/>
      <c r="KR314" s="539"/>
      <c r="KS314" s="539"/>
      <c r="KT314" s="539"/>
      <c r="KU314" s="539"/>
      <c r="KV314" s="539"/>
      <c r="KW314" s="539"/>
      <c r="KX314" s="539"/>
      <c r="KY314" s="539"/>
      <c r="KZ314" s="539"/>
      <c r="LA314" s="539"/>
      <c r="LB314" s="539"/>
      <c r="LC314" s="539"/>
      <c r="LD314" s="539"/>
      <c r="LE314" s="539"/>
      <c r="LF314" s="539"/>
      <c r="LG314" s="539"/>
      <c r="LH314" s="539"/>
      <c r="LI314" s="539"/>
      <c r="LJ314" s="539"/>
      <c r="LK314" s="539"/>
      <c r="LL314" s="539"/>
      <c r="LM314" s="539"/>
      <c r="LN314" s="539"/>
      <c r="LO314" s="539"/>
      <c r="LP314" s="539"/>
      <c r="LQ314" s="539"/>
      <c r="LR314" s="539"/>
      <c r="LS314" s="539"/>
      <c r="LT314" s="539"/>
      <c r="LU314" s="539"/>
      <c r="LV314" s="539"/>
      <c r="LW314" s="539"/>
      <c r="LX314" s="539"/>
      <c r="LY314" s="539"/>
      <c r="LZ314" s="539"/>
      <c r="MA314" s="539"/>
      <c r="MB314" s="539"/>
      <c r="MC314" s="539"/>
      <c r="MD314" s="539"/>
      <c r="ME314" s="539"/>
      <c r="MF314" s="539"/>
      <c r="MG314" s="539"/>
      <c r="MH314" s="539"/>
      <c r="MI314" s="539"/>
      <c r="MJ314" s="539"/>
      <c r="MK314" s="539"/>
      <c r="ML314" s="539"/>
      <c r="MM314" s="539"/>
      <c r="MN314" s="539"/>
      <c r="MO314" s="539"/>
      <c r="MP314" s="539"/>
      <c r="MQ314" s="539"/>
      <c r="MR314" s="539"/>
      <c r="MS314" s="539"/>
      <c r="MT314" s="539"/>
      <c r="MU314" s="539"/>
      <c r="MV314" s="539"/>
      <c r="MW314" s="539"/>
      <c r="MX314" s="539"/>
      <c r="MY314" s="539"/>
      <c r="MZ314" s="539"/>
      <c r="NA314" s="539"/>
      <c r="NB314" s="539"/>
      <c r="NC314" s="539"/>
      <c r="ND314" s="539"/>
      <c r="NE314" s="539"/>
      <c r="NF314" s="539"/>
      <c r="NG314" s="539"/>
      <c r="NH314" s="539"/>
      <c r="NI314" s="539"/>
      <c r="NJ314" s="539"/>
      <c r="NK314" s="539"/>
      <c r="NL314" s="539"/>
      <c r="NM314" s="539"/>
      <c r="NN314" s="539"/>
      <c r="NO314" s="539"/>
      <c r="NP314" s="539"/>
      <c r="NQ314" s="539"/>
      <c r="NR314" s="539"/>
      <c r="NS314" s="539"/>
      <c r="NT314" s="539"/>
      <c r="NU314" s="539"/>
      <c r="NV314" s="539"/>
      <c r="NW314" s="539"/>
      <c r="NX314" s="539"/>
      <c r="NY314" s="539"/>
      <c r="NZ314" s="539"/>
      <c r="OA314" s="539"/>
      <c r="OB314" s="539"/>
      <c r="OC314" s="539"/>
      <c r="OD314" s="539"/>
      <c r="OE314" s="539"/>
      <c r="OF314" s="539"/>
      <c r="OG314" s="539"/>
      <c r="OH314" s="539"/>
      <c r="OI314" s="539"/>
      <c r="OJ314" s="539"/>
      <c r="OK314" s="539"/>
      <c r="OL314" s="539"/>
      <c r="OM314" s="539"/>
      <c r="ON314" s="539"/>
      <c r="OO314" s="539"/>
      <c r="OP314" s="539"/>
      <c r="OQ314" s="539"/>
      <c r="OR314" s="539"/>
      <c r="OS314" s="539"/>
      <c r="OT314" s="539"/>
      <c r="OU314" s="539"/>
      <c r="OV314" s="539"/>
      <c r="OW314" s="539"/>
      <c r="OX314" s="539"/>
      <c r="OY314" s="539"/>
      <c r="OZ314" s="539"/>
      <c r="PA314" s="539"/>
      <c r="PB314" s="539"/>
      <c r="PC314" s="539"/>
      <c r="PD314" s="539"/>
      <c r="PE314" s="539"/>
      <c r="PF314" s="539"/>
      <c r="PG314" s="539"/>
      <c r="PH314" s="539"/>
      <c r="PI314" s="539"/>
      <c r="PJ314" s="539"/>
      <c r="PK314" s="539"/>
      <c r="PL314" s="539"/>
      <c r="PM314" s="539"/>
      <c r="PN314" s="539"/>
      <c r="PO314" s="539"/>
      <c r="PP314" s="539"/>
      <c r="PQ314" s="539"/>
      <c r="PR314" s="539"/>
      <c r="PS314" s="539"/>
      <c r="PT314" s="539"/>
      <c r="PU314" s="539"/>
      <c r="PV314" s="539"/>
      <c r="PW314" s="539"/>
      <c r="PX314" s="539"/>
      <c r="PY314" s="539"/>
      <c r="PZ314" s="539"/>
      <c r="QA314" s="539"/>
      <c r="QB314" s="539"/>
      <c r="QC314" s="539"/>
      <c r="QD314" s="539"/>
      <c r="QE314" s="539"/>
      <c r="QF314" s="539"/>
      <c r="QG314" s="539"/>
      <c r="QH314" s="539"/>
      <c r="QI314" s="539"/>
      <c r="QJ314" s="539"/>
      <c r="QK314" s="539"/>
      <c r="QL314" s="539"/>
      <c r="QM314" s="539"/>
      <c r="QN314" s="539"/>
      <c r="QO314" s="539"/>
      <c r="QP314" s="539"/>
      <c r="QQ314" s="539"/>
      <c r="QR314" s="539"/>
      <c r="QS314" s="539"/>
      <c r="QT314" s="539"/>
      <c r="QU314" s="539"/>
      <c r="QV314" s="539"/>
      <c r="QW314" s="539"/>
      <c r="QX314" s="539"/>
      <c r="QY314" s="539"/>
      <c r="QZ314" s="539"/>
      <c r="RA314" s="539"/>
      <c r="RB314" s="539"/>
      <c r="RC314" s="539"/>
      <c r="RD314" s="539"/>
      <c r="RE314" s="539"/>
      <c r="RF314" s="539"/>
      <c r="RG314" s="539"/>
      <c r="RH314" s="539"/>
      <c r="RI314" s="539"/>
      <c r="RJ314" s="539"/>
      <c r="RK314" s="539"/>
      <c r="RL314" s="539"/>
      <c r="RM314" s="539"/>
      <c r="RN314" s="539"/>
      <c r="RO314" s="539"/>
      <c r="RP314" s="539"/>
      <c r="RQ314" s="539"/>
      <c r="RR314" s="539"/>
      <c r="RS314" s="539"/>
      <c r="RT314" s="539"/>
      <c r="RU314" s="539"/>
      <c r="RV314" s="539"/>
      <c r="RW314" s="539"/>
      <c r="RX314" s="539"/>
      <c r="RY314" s="539"/>
      <c r="RZ314" s="539"/>
      <c r="SA314" s="539"/>
      <c r="SB314" s="539"/>
      <c r="SC314" s="539"/>
      <c r="SD314" s="539"/>
      <c r="SE314" s="539"/>
      <c r="SF314" s="539"/>
      <c r="SG314" s="539"/>
      <c r="SH314" s="539"/>
      <c r="SI314" s="539"/>
      <c r="SJ314" s="539"/>
      <c r="SK314" s="539"/>
      <c r="SL314" s="539"/>
      <c r="SM314" s="539"/>
      <c r="SN314" s="539"/>
      <c r="SO314" s="539"/>
      <c r="SP314" s="539"/>
      <c r="SQ314" s="539"/>
      <c r="SR314" s="539"/>
      <c r="SS314" s="539"/>
      <c r="ST314" s="539"/>
      <c r="SU314" s="539"/>
      <c r="SV314" s="539"/>
      <c r="SW314" s="539"/>
      <c r="SX314" s="539"/>
      <c r="SY314" s="539"/>
      <c r="SZ314" s="539"/>
      <c r="TA314" s="539"/>
      <c r="TB314" s="539"/>
      <c r="TC314" s="539"/>
      <c r="TD314" s="539"/>
      <c r="TE314" s="539"/>
      <c r="TF314" s="539"/>
      <c r="TG314" s="539"/>
      <c r="TH314" s="539"/>
      <c r="TI314" s="539"/>
      <c r="TJ314" s="539"/>
      <c r="TK314" s="539"/>
      <c r="TL314" s="539"/>
      <c r="TM314" s="539"/>
      <c r="TN314" s="539"/>
      <c r="TO314" s="539"/>
      <c r="TP314" s="539"/>
      <c r="TQ314" s="539"/>
      <c r="TR314" s="539"/>
      <c r="TS314" s="539"/>
      <c r="TT314" s="539"/>
      <c r="TU314" s="539"/>
      <c r="TV314" s="539"/>
      <c r="TW314" s="539"/>
      <c r="TX314" s="539"/>
      <c r="TY314" s="539"/>
      <c r="TZ314" s="539"/>
      <c r="UA314" s="539"/>
      <c r="UB314" s="539"/>
      <c r="UC314" s="539"/>
      <c r="UD314" s="539"/>
      <c r="UE314" s="539"/>
      <c r="UF314" s="539"/>
      <c r="UG314" s="539"/>
      <c r="UH314" s="539"/>
      <c r="UI314" s="539"/>
      <c r="UJ314" s="539"/>
      <c r="UK314" s="539"/>
      <c r="UL314" s="539"/>
      <c r="UM314" s="539"/>
      <c r="UN314" s="539"/>
      <c r="UO314" s="539"/>
      <c r="UP314" s="539"/>
      <c r="UQ314" s="539"/>
      <c r="UR314" s="539"/>
      <c r="US314" s="539"/>
      <c r="UT314" s="539"/>
      <c r="UU314" s="539"/>
      <c r="UV314" s="539"/>
      <c r="UW314" s="539"/>
      <c r="UX314" s="539"/>
      <c r="UY314" s="539"/>
      <c r="UZ314" s="539"/>
      <c r="VA314" s="539"/>
      <c r="VB314" s="539"/>
      <c r="VC314" s="539"/>
      <c r="VD314" s="539"/>
      <c r="VE314" s="539"/>
      <c r="VF314" s="539"/>
      <c r="VG314" s="539"/>
      <c r="VH314" s="539"/>
      <c r="VI314" s="539"/>
      <c r="VJ314" s="539"/>
      <c r="VK314" s="539"/>
      <c r="VL314" s="539"/>
      <c r="VM314" s="539"/>
      <c r="VN314" s="539"/>
      <c r="VO314" s="539"/>
      <c r="VP314" s="539"/>
      <c r="VQ314" s="539"/>
      <c r="VR314" s="539"/>
      <c r="VS314" s="539"/>
      <c r="VT314" s="539"/>
      <c r="VU314" s="539"/>
      <c r="VV314" s="539"/>
      <c r="VW314" s="539"/>
      <c r="VX314" s="539"/>
      <c r="VY314" s="539"/>
      <c r="VZ314" s="539"/>
      <c r="WA314" s="539"/>
      <c r="WB314" s="539"/>
      <c r="WC314" s="539"/>
      <c r="WD314" s="539"/>
      <c r="WE314" s="539"/>
      <c r="WF314" s="539"/>
      <c r="WG314" s="539"/>
      <c r="WH314" s="539"/>
      <c r="WI314" s="539"/>
      <c r="WJ314" s="539"/>
      <c r="WK314" s="539"/>
      <c r="WL314" s="539"/>
      <c r="WM314" s="539"/>
      <c r="WN314" s="539"/>
      <c r="WO314" s="539"/>
      <c r="WP314" s="539"/>
      <c r="WQ314" s="539"/>
      <c r="WR314" s="539"/>
      <c r="WS314" s="539"/>
      <c r="WT314" s="539"/>
      <c r="WU314" s="539"/>
      <c r="WV314" s="539"/>
      <c r="WW314" s="539"/>
      <c r="WX314" s="539"/>
      <c r="WY314" s="539"/>
      <c r="WZ314" s="539"/>
      <c r="XA314" s="539"/>
      <c r="XB314" s="539"/>
      <c r="XC314" s="539"/>
      <c r="XD314" s="539"/>
      <c r="XE314" s="539"/>
      <c r="XF314" s="539"/>
      <c r="XG314" s="539"/>
      <c r="XH314" s="539"/>
      <c r="XI314" s="539"/>
      <c r="XJ314" s="539"/>
      <c r="XK314" s="539"/>
      <c r="XL314" s="539"/>
      <c r="XM314" s="539"/>
      <c r="XN314" s="539"/>
      <c r="XO314" s="539"/>
      <c r="XP314" s="539"/>
      <c r="XQ314" s="539"/>
      <c r="XR314" s="539"/>
      <c r="XS314" s="539"/>
      <c r="XT314" s="539"/>
      <c r="XU314" s="539"/>
      <c r="XV314" s="539"/>
      <c r="XW314" s="539"/>
      <c r="XX314" s="539"/>
      <c r="XY314" s="539"/>
      <c r="XZ314" s="539"/>
      <c r="YA314" s="539"/>
      <c r="YB314" s="539"/>
      <c r="YC314" s="539"/>
      <c r="YD314" s="539"/>
      <c r="YE314" s="539"/>
      <c r="YF314" s="539"/>
      <c r="YG314" s="539"/>
      <c r="YH314" s="539"/>
      <c r="YI314" s="539"/>
      <c r="YJ314" s="539"/>
      <c r="YK314" s="539"/>
      <c r="YL314" s="539"/>
      <c r="YM314" s="539"/>
      <c r="YN314" s="539"/>
      <c r="YO314" s="539"/>
      <c r="YP314" s="539"/>
      <c r="YQ314" s="539"/>
      <c r="YR314" s="539"/>
      <c r="YS314" s="539"/>
      <c r="YT314" s="539"/>
      <c r="YU314" s="539"/>
      <c r="YV314" s="539"/>
      <c r="YW314" s="539"/>
      <c r="YX314" s="539"/>
      <c r="YY314" s="539"/>
      <c r="YZ314" s="539"/>
      <c r="ZA314" s="539"/>
      <c r="ZB314" s="539"/>
      <c r="ZC314" s="539"/>
      <c r="ZD314" s="539"/>
      <c r="ZE314" s="539"/>
      <c r="ZF314" s="539"/>
      <c r="ZG314" s="539"/>
      <c r="ZH314" s="539"/>
      <c r="ZI314" s="539"/>
      <c r="ZJ314" s="539"/>
      <c r="ZK314" s="539"/>
      <c r="ZL314" s="539"/>
      <c r="ZM314" s="539"/>
      <c r="ZN314" s="539"/>
      <c r="ZO314" s="539"/>
      <c r="ZP314" s="539"/>
      <c r="ZQ314" s="539"/>
      <c r="ZR314" s="539"/>
      <c r="ZS314" s="539"/>
      <c r="ZT314" s="539"/>
      <c r="ZU314" s="539"/>
      <c r="ZV314" s="539"/>
      <c r="ZW314" s="539"/>
      <c r="ZX314" s="539"/>
      <c r="ZY314" s="539"/>
      <c r="ZZ314" s="539"/>
      <c r="AAA314" s="539"/>
      <c r="AAB314" s="539"/>
      <c r="AAC314" s="539"/>
      <c r="AAD314" s="539"/>
      <c r="AAE314" s="539"/>
      <c r="AAF314" s="539"/>
      <c r="AAG314" s="539"/>
      <c r="AAH314" s="539"/>
      <c r="AAI314" s="539"/>
      <c r="AAJ314" s="539"/>
      <c r="AAK314" s="539"/>
      <c r="AAL314" s="539"/>
      <c r="AAM314" s="539"/>
      <c r="AAN314" s="539"/>
      <c r="AAO314" s="539"/>
      <c r="AAP314" s="539"/>
      <c r="AAQ314" s="539"/>
      <c r="AAR314" s="539"/>
      <c r="AAS314" s="539"/>
      <c r="AAT314" s="539"/>
      <c r="AAU314" s="539"/>
      <c r="AAV314" s="539"/>
      <c r="AAW314" s="539"/>
      <c r="AAX314" s="539"/>
      <c r="AAY314" s="539"/>
      <c r="AAZ314" s="539"/>
      <c r="ABA314" s="539"/>
      <c r="ABB314" s="539"/>
      <c r="ABC314" s="539"/>
      <c r="ABD314" s="539"/>
      <c r="ABE314" s="539"/>
      <c r="ABF314" s="539"/>
      <c r="ABG314" s="539"/>
      <c r="ABH314" s="539"/>
      <c r="ABI314" s="539"/>
      <c r="ABJ314" s="539"/>
      <c r="ABK314" s="539"/>
      <c r="ABL314" s="539"/>
      <c r="ABM314" s="539"/>
      <c r="ABN314" s="539"/>
      <c r="ABO314" s="539"/>
      <c r="ABP314" s="539"/>
      <c r="ABQ314" s="539"/>
      <c r="ABR314" s="539"/>
      <c r="ABS314" s="539"/>
      <c r="ABT314" s="539"/>
      <c r="ABU314" s="539"/>
      <c r="ABV314" s="539"/>
      <c r="ABW314" s="539"/>
      <c r="ABX314" s="539"/>
      <c r="ABY314" s="539"/>
      <c r="ABZ314" s="539"/>
      <c r="ACA314" s="539"/>
      <c r="ACB314" s="539"/>
      <c r="ACC314" s="539"/>
      <c r="ACD314" s="539"/>
      <c r="ACE314" s="539"/>
      <c r="ACF314" s="539"/>
      <c r="ACG314" s="539"/>
      <c r="ACH314" s="539"/>
      <c r="ACI314" s="539"/>
      <c r="ACJ314" s="539"/>
      <c r="ACK314" s="539"/>
      <c r="ACL314" s="539"/>
      <c r="ACM314" s="539"/>
      <c r="ACN314" s="539"/>
      <c r="ACO314" s="539"/>
      <c r="ACP314" s="539"/>
      <c r="ACQ314" s="539"/>
      <c r="ACR314" s="539"/>
      <c r="ACS314" s="539"/>
      <c r="ACT314" s="539"/>
      <c r="ACU314" s="539"/>
      <c r="ACV314" s="539"/>
      <c r="ACW314" s="539"/>
      <c r="ACX314" s="539"/>
      <c r="ACY314" s="539"/>
      <c r="ACZ314" s="539"/>
      <c r="ADA314" s="539"/>
      <c r="ADB314" s="539"/>
      <c r="ADC314" s="539"/>
      <c r="ADD314" s="539"/>
      <c r="ADE314" s="539"/>
      <c r="ADF314" s="539"/>
      <c r="ADG314" s="539"/>
      <c r="ADH314" s="539"/>
      <c r="ADI314" s="539"/>
      <c r="ADJ314" s="539"/>
      <c r="ADK314" s="539"/>
      <c r="ADL314" s="539"/>
      <c r="ADM314" s="539"/>
      <c r="ADN314" s="539"/>
      <c r="ADO314" s="539"/>
      <c r="ADP314" s="539"/>
      <c r="ADQ314" s="539"/>
      <c r="ADR314" s="539"/>
      <c r="ADS314" s="539"/>
      <c r="ADT314" s="539"/>
      <c r="ADU314" s="539"/>
      <c r="ADV314" s="539"/>
      <c r="ADW314" s="539"/>
      <c r="ADX314" s="539"/>
      <c r="ADY314" s="539"/>
      <c r="ADZ314" s="539"/>
      <c r="AEA314" s="539"/>
      <c r="AEB314" s="539"/>
      <c r="AEC314" s="539"/>
      <c r="AED314" s="539"/>
      <c r="AEE314" s="539"/>
      <c r="AEF314" s="539"/>
      <c r="AEG314" s="539"/>
      <c r="AEH314" s="539"/>
      <c r="AEI314" s="539"/>
      <c r="AEJ314" s="539"/>
      <c r="AEK314" s="539"/>
      <c r="AEL314" s="539"/>
      <c r="AEM314" s="539"/>
      <c r="AEN314" s="539"/>
      <c r="AEO314" s="539"/>
      <c r="AEP314" s="539"/>
      <c r="AEQ314" s="539"/>
      <c r="AER314" s="539"/>
      <c r="AES314" s="539"/>
      <c r="AET314" s="539"/>
      <c r="AEU314" s="539"/>
      <c r="AEV314" s="539"/>
      <c r="AEW314" s="539"/>
      <c r="AEX314" s="539"/>
      <c r="AEY314" s="539"/>
      <c r="AEZ314" s="539"/>
      <c r="AFA314" s="539"/>
      <c r="AFB314" s="539"/>
      <c r="AFC314" s="539"/>
      <c r="AFD314" s="539"/>
      <c r="AFE314" s="539"/>
      <c r="AFF314" s="539"/>
      <c r="AFG314" s="539"/>
      <c r="AFH314" s="539"/>
      <c r="AFI314" s="539"/>
      <c r="AFJ314" s="539"/>
      <c r="AFK314" s="539"/>
      <c r="AFL314" s="539"/>
      <c r="AFM314" s="539"/>
      <c r="AFN314" s="539"/>
      <c r="AFO314" s="539"/>
      <c r="AFP314" s="539"/>
      <c r="AFQ314" s="539"/>
      <c r="AFR314" s="539"/>
      <c r="AFS314" s="539"/>
      <c r="AFT314" s="539"/>
      <c r="AFU314" s="539"/>
      <c r="AFV314" s="539"/>
      <c r="AFW314" s="539"/>
      <c r="AFX314" s="539"/>
      <c r="AFY314" s="539"/>
      <c r="AFZ314" s="539"/>
      <c r="AGA314" s="539"/>
      <c r="AGB314" s="539"/>
      <c r="AGC314" s="539"/>
      <c r="AGD314" s="539"/>
      <c r="AGE314" s="539"/>
      <c r="AGF314" s="539"/>
      <c r="AGG314" s="539"/>
      <c r="AGH314" s="539"/>
      <c r="AGI314" s="539"/>
      <c r="AGJ314" s="539"/>
      <c r="AGK314" s="539"/>
      <c r="AGL314" s="539"/>
      <c r="AGM314" s="539"/>
      <c r="AGN314" s="539"/>
      <c r="AGO314" s="539"/>
      <c r="AGP314" s="539"/>
      <c r="AGQ314" s="539"/>
      <c r="AGR314" s="539"/>
      <c r="AGS314" s="539"/>
      <c r="AGT314" s="539"/>
      <c r="AGU314" s="539"/>
      <c r="AGV314" s="539"/>
      <c r="AGW314" s="539"/>
      <c r="AGX314" s="539"/>
      <c r="AGY314" s="539"/>
      <c r="AGZ314" s="539"/>
      <c r="AHA314" s="539"/>
      <c r="AHB314" s="539"/>
      <c r="AHC314" s="539"/>
      <c r="AHD314" s="539"/>
      <c r="AHE314" s="539"/>
      <c r="AHF314" s="539"/>
      <c r="AHG314" s="539"/>
      <c r="AHH314" s="539"/>
      <c r="AHI314" s="539"/>
      <c r="AHJ314" s="539"/>
      <c r="AHK314" s="539"/>
      <c r="AHL314" s="539"/>
      <c r="AHM314" s="539"/>
      <c r="AHN314" s="539"/>
      <c r="AHO314" s="539"/>
      <c r="AHP314" s="539"/>
      <c r="AHQ314" s="539"/>
      <c r="AHR314" s="539"/>
      <c r="AHS314" s="539"/>
      <c r="AHT314" s="539"/>
      <c r="AHU314" s="539"/>
      <c r="AHV314" s="539"/>
      <c r="AHW314" s="539"/>
      <c r="AHX314" s="539"/>
      <c r="AHY314" s="539"/>
      <c r="AHZ314" s="539"/>
      <c r="AIA314" s="539"/>
      <c r="AIB314" s="539"/>
      <c r="AIC314" s="539"/>
      <c r="AID314" s="539"/>
      <c r="AIE314" s="539"/>
      <c r="AIF314" s="539"/>
      <c r="AIG314" s="539"/>
      <c r="AIH314" s="539"/>
      <c r="AII314" s="539"/>
      <c r="AIJ314" s="539"/>
      <c r="AIK314" s="539"/>
      <c r="AIL314" s="539"/>
      <c r="AIM314" s="539"/>
      <c r="AIN314" s="539"/>
      <c r="AIO314" s="539"/>
      <c r="AIP314" s="539"/>
      <c r="AIQ314" s="539"/>
      <c r="AIR314" s="539"/>
      <c r="AIS314" s="539"/>
      <c r="AIT314" s="539"/>
      <c r="AIU314" s="539"/>
      <c r="AIV314" s="539"/>
      <c r="AIW314" s="539"/>
      <c r="AIX314" s="539"/>
      <c r="AIY314" s="539"/>
      <c r="AIZ314" s="539"/>
      <c r="AJA314" s="539"/>
      <c r="AJB314" s="539"/>
      <c r="AJC314" s="539"/>
      <c r="AJD314" s="539"/>
      <c r="AJE314" s="539"/>
      <c r="AJF314" s="539"/>
      <c r="AJG314" s="539"/>
      <c r="AJH314" s="539"/>
      <c r="AJI314" s="539"/>
      <c r="AJJ314" s="539"/>
      <c r="AJK314" s="539"/>
      <c r="AJL314" s="539"/>
      <c r="AJM314" s="539"/>
      <c r="AJN314" s="539"/>
      <c r="AJO314" s="539"/>
      <c r="AJP314" s="539"/>
      <c r="AJQ314" s="539"/>
      <c r="AJR314" s="539"/>
      <c r="AJS314" s="539"/>
      <c r="AJT314" s="539"/>
      <c r="AJU314" s="539"/>
      <c r="AJV314" s="539"/>
      <c r="AJW314" s="539"/>
      <c r="AJX314" s="539"/>
      <c r="AJY314" s="539"/>
      <c r="AJZ314" s="539"/>
      <c r="AKA314" s="539"/>
      <c r="AKB314" s="539"/>
      <c r="AKC314" s="539"/>
      <c r="AKD314" s="539"/>
      <c r="AKE314" s="539"/>
      <c r="AKF314" s="539"/>
      <c r="AKG314" s="539"/>
      <c r="AKH314" s="539"/>
      <c r="AKI314" s="539"/>
      <c r="AKJ314" s="539"/>
      <c r="AKK314" s="539"/>
      <c r="AKL314" s="539"/>
      <c r="AKM314" s="539"/>
      <c r="AKN314" s="539"/>
      <c r="AKO314" s="539"/>
      <c r="AKP314" s="539"/>
      <c r="AKQ314" s="539"/>
      <c r="AKR314" s="539"/>
      <c r="AKS314" s="539"/>
      <c r="AKT314" s="539"/>
      <c r="AKU314" s="539"/>
      <c r="AKV314" s="539"/>
      <c r="AKW314" s="539"/>
      <c r="AKX314" s="539"/>
      <c r="AKY314" s="539"/>
      <c r="AKZ314" s="539"/>
      <c r="ALA314" s="539"/>
      <c r="ALB314" s="539"/>
      <c r="ALC314" s="539"/>
      <c r="ALD314" s="539"/>
      <c r="ALE314" s="539"/>
      <c r="ALF314" s="539"/>
      <c r="ALG314" s="539"/>
      <c r="ALH314" s="539"/>
      <c r="ALI314" s="539"/>
      <c r="ALJ314" s="539"/>
      <c r="ALK314" s="539"/>
      <c r="ALL314" s="539"/>
      <c r="ALM314" s="539"/>
      <c r="ALN314" s="539"/>
      <c r="ALO314" s="539"/>
      <c r="ALP314" s="539"/>
      <c r="ALQ314" s="539"/>
      <c r="ALR314" s="539"/>
      <c r="ALS314" s="539"/>
      <c r="ALT314" s="539"/>
      <c r="ALU314" s="539"/>
      <c r="ALV314" s="539"/>
      <c r="ALW314" s="539"/>
      <c r="ALX314" s="539"/>
      <c r="ALY314" s="539"/>
      <c r="ALZ314" s="539"/>
      <c r="AMA314" s="539"/>
      <c r="AMB314" s="539"/>
      <c r="AMC314" s="539"/>
      <c r="AMD314" s="539"/>
      <c r="AME314" s="539"/>
      <c r="AMF314" s="539"/>
      <c r="AMG314" s="539"/>
      <c r="AMH314" s="539"/>
      <c r="AMI314" s="539"/>
      <c r="AMJ314" s="539"/>
      <c r="AMK314" s="539"/>
      <c r="AML314" s="539"/>
      <c r="AMM314" s="539"/>
      <c r="AMN314" s="539"/>
      <c r="AMO314" s="539"/>
      <c r="AMP314" s="539"/>
      <c r="AMQ314" s="539"/>
      <c r="AMR314" s="539"/>
      <c r="AMS314" s="539"/>
      <c r="AMT314" s="539"/>
      <c r="AMU314" s="539"/>
      <c r="AMV314" s="539"/>
      <c r="AMW314" s="539"/>
      <c r="AMX314" s="539"/>
      <c r="AMY314" s="539"/>
      <c r="AMZ314" s="539"/>
      <c r="ANA314" s="539"/>
      <c r="ANB314" s="539"/>
      <c r="ANC314" s="539"/>
      <c r="AND314" s="539"/>
      <c r="ANE314" s="539"/>
      <c r="ANF314" s="539"/>
      <c r="ANG314" s="539"/>
      <c r="ANH314" s="539"/>
      <c r="ANI314" s="539"/>
      <c r="ANJ314" s="539"/>
      <c r="ANK314" s="539"/>
      <c r="ANL314" s="539"/>
      <c r="ANM314" s="539"/>
      <c r="ANN314" s="539"/>
      <c r="ANO314" s="539"/>
      <c r="ANP314" s="539"/>
      <c r="ANQ314" s="539"/>
      <c r="ANR314" s="539"/>
      <c r="ANS314" s="539"/>
      <c r="ANT314" s="539"/>
      <c r="ANU314" s="539"/>
      <c r="ANV314" s="539"/>
      <c r="ANW314" s="539"/>
      <c r="ANX314" s="539"/>
      <c r="ANY314" s="539"/>
      <c r="ANZ314" s="539"/>
      <c r="AOA314" s="539"/>
      <c r="AOB314" s="539"/>
      <c r="AOC314" s="539"/>
      <c r="AOD314" s="539"/>
      <c r="AOE314" s="539"/>
      <c r="AOF314" s="539"/>
      <c r="AOG314" s="539"/>
      <c r="AOH314" s="539"/>
      <c r="AOI314" s="539"/>
      <c r="AOJ314" s="539"/>
      <c r="AOK314" s="539"/>
      <c r="AOL314" s="539"/>
      <c r="AOM314" s="539"/>
      <c r="AON314" s="539"/>
      <c r="AOO314" s="539"/>
      <c r="AOP314" s="539"/>
      <c r="AOQ314" s="539"/>
      <c r="AOR314" s="539"/>
      <c r="AOS314" s="539"/>
      <c r="AOT314" s="539"/>
      <c r="AOU314" s="539"/>
      <c r="AOV314" s="539"/>
      <c r="AOW314" s="539"/>
      <c r="AOX314" s="539"/>
      <c r="AOY314" s="539"/>
      <c r="AOZ314" s="539"/>
      <c r="APA314" s="539"/>
      <c r="APB314" s="539"/>
      <c r="APC314" s="539"/>
      <c r="APD314" s="539"/>
      <c r="APE314" s="539"/>
      <c r="APF314" s="539"/>
      <c r="APG314" s="539"/>
      <c r="APH314" s="539"/>
      <c r="API314" s="539"/>
      <c r="APJ314" s="539"/>
      <c r="APK314" s="539"/>
      <c r="APL314" s="539"/>
      <c r="APM314" s="539"/>
      <c r="APN314" s="539"/>
      <c r="APO314" s="539"/>
      <c r="APP314" s="539"/>
      <c r="APQ314" s="539"/>
      <c r="APR314" s="539"/>
      <c r="APS314" s="539"/>
      <c r="APT314" s="539"/>
      <c r="APU314" s="539"/>
      <c r="APV314" s="539"/>
      <c r="APW314" s="539"/>
      <c r="APX314" s="539"/>
      <c r="APY314" s="539"/>
      <c r="APZ314" s="539"/>
      <c r="AQA314" s="539"/>
      <c r="AQB314" s="539"/>
      <c r="AQC314" s="539"/>
      <c r="AQD314" s="539"/>
      <c r="AQE314" s="539"/>
      <c r="AQF314" s="539"/>
      <c r="AQG314" s="539"/>
      <c r="AQH314" s="539"/>
      <c r="AQI314" s="539"/>
      <c r="AQJ314" s="539"/>
      <c r="AQK314" s="539"/>
      <c r="AQL314" s="539"/>
      <c r="AQM314" s="539"/>
      <c r="AQN314" s="539"/>
      <c r="AQO314" s="539"/>
      <c r="AQP314" s="539"/>
      <c r="AQQ314" s="539"/>
      <c r="AQR314" s="539"/>
      <c r="AQS314" s="539"/>
      <c r="AQT314" s="539"/>
      <c r="AQU314" s="539"/>
      <c r="AQV314" s="539"/>
      <c r="AQW314" s="539"/>
      <c r="AQX314" s="539"/>
      <c r="AQY314" s="539"/>
      <c r="AQZ314" s="539"/>
      <c r="ARA314" s="539"/>
      <c r="ARB314" s="539"/>
      <c r="ARC314" s="539"/>
      <c r="ARD314" s="539"/>
      <c r="ARE314" s="539"/>
      <c r="ARF314" s="539"/>
      <c r="ARG314" s="539"/>
      <c r="ARH314" s="539"/>
      <c r="ARI314" s="539"/>
      <c r="ARJ314" s="539"/>
      <c r="ARK314" s="539"/>
      <c r="ARL314" s="539"/>
      <c r="ARM314" s="539"/>
      <c r="ARN314" s="539"/>
      <c r="ARO314" s="539"/>
      <c r="ARP314" s="539"/>
      <c r="ARQ314" s="539"/>
      <c r="ARR314" s="539"/>
      <c r="ARS314" s="539"/>
      <c r="ART314" s="539"/>
      <c r="ARU314" s="539"/>
      <c r="ARV314" s="539"/>
      <c r="ARW314" s="539"/>
      <c r="ARX314" s="539"/>
      <c r="ARY314" s="539"/>
      <c r="ARZ314" s="539"/>
      <c r="ASA314" s="539"/>
      <c r="ASB314" s="539"/>
      <c r="ASC314" s="539"/>
      <c r="ASD314" s="539"/>
      <c r="ASE314" s="539"/>
      <c r="ASF314" s="539"/>
      <c r="ASG314" s="539"/>
      <c r="ASH314" s="539"/>
      <c r="ASI314" s="539"/>
      <c r="ASJ314" s="539"/>
      <c r="ASK314" s="539"/>
      <c r="ASL314" s="539"/>
      <c r="ASM314" s="539"/>
      <c r="ASN314" s="539"/>
      <c r="ASO314" s="539"/>
      <c r="ASP314" s="539"/>
      <c r="ASQ314" s="539"/>
      <c r="ASR314" s="539"/>
      <c r="ASS314" s="539"/>
      <c r="AST314" s="539"/>
      <c r="ASU314" s="539"/>
      <c r="ASV314" s="539"/>
      <c r="ASW314" s="539"/>
      <c r="ASX314" s="539"/>
      <c r="ASY314" s="539"/>
      <c r="ASZ314" s="539"/>
      <c r="ATA314" s="539"/>
      <c r="ATB314" s="539"/>
      <c r="ATC314" s="539"/>
      <c r="ATD314" s="539"/>
      <c r="ATE314" s="539"/>
      <c r="ATF314" s="539"/>
      <c r="ATG314" s="539"/>
      <c r="ATH314" s="539"/>
      <c r="ATI314" s="539"/>
      <c r="ATJ314" s="539"/>
      <c r="ATK314" s="539"/>
      <c r="ATL314" s="539"/>
      <c r="ATM314" s="539"/>
      <c r="ATN314" s="539"/>
      <c r="ATO314" s="539"/>
      <c r="ATP314" s="539"/>
      <c r="ATQ314" s="539"/>
      <c r="ATR314" s="539"/>
      <c r="ATS314" s="539"/>
      <c r="ATT314" s="539"/>
      <c r="ATU314" s="539"/>
      <c r="ATV314" s="539"/>
      <c r="ATW314" s="539"/>
      <c r="ATX314" s="539"/>
      <c r="ATY314" s="539"/>
      <c r="ATZ314" s="539"/>
      <c r="AUA314" s="539"/>
      <c r="AUB314" s="539"/>
      <c r="AUC314" s="539"/>
      <c r="AUD314" s="539"/>
      <c r="AUE314" s="539"/>
      <c r="AUF314" s="539"/>
      <c r="AUG314" s="539"/>
      <c r="AUH314" s="539"/>
      <c r="AUI314" s="539"/>
      <c r="AUJ314" s="539"/>
      <c r="AUK314" s="539"/>
      <c r="AUL314" s="539"/>
      <c r="AUM314" s="539"/>
      <c r="AUN314" s="539"/>
      <c r="AUO314" s="539"/>
      <c r="AUP314" s="539"/>
      <c r="AUQ314" s="539"/>
      <c r="AUR314" s="539"/>
      <c r="AUS314" s="539"/>
      <c r="AUT314" s="539"/>
      <c r="AUU314" s="539"/>
      <c r="AUV314" s="539"/>
      <c r="AUW314" s="539"/>
      <c r="AUX314" s="539"/>
      <c r="AUY314" s="539"/>
      <c r="AUZ314" s="539"/>
      <c r="AVA314" s="539"/>
      <c r="AVB314" s="539"/>
      <c r="AVC314" s="539"/>
      <c r="AVD314" s="539"/>
      <c r="AVE314" s="539"/>
      <c r="AVF314" s="539"/>
      <c r="AVG314" s="539"/>
      <c r="AVH314" s="539"/>
      <c r="AVI314" s="539"/>
      <c r="AVJ314" s="539"/>
      <c r="AVK314" s="539"/>
      <c r="AVL314" s="539"/>
      <c r="AVM314" s="539"/>
      <c r="AVN314" s="539"/>
      <c r="AVO314" s="539"/>
      <c r="AVP314" s="539"/>
      <c r="AVQ314" s="539"/>
      <c r="AVR314" s="539"/>
      <c r="AVS314" s="539"/>
      <c r="AVT314" s="539"/>
      <c r="AVU314" s="539"/>
      <c r="AVV314" s="539"/>
      <c r="AVW314" s="539"/>
      <c r="AVX314" s="539"/>
      <c r="AVY314" s="539"/>
      <c r="AVZ314" s="539"/>
      <c r="AWA314" s="539"/>
      <c r="AWB314" s="539"/>
      <c r="AWC314" s="539"/>
      <c r="AWD314" s="539"/>
      <c r="AWE314" s="539"/>
      <c r="AWF314" s="539"/>
      <c r="AWG314" s="539"/>
      <c r="AWH314" s="539"/>
      <c r="AWI314" s="539"/>
      <c r="AWJ314" s="539"/>
      <c r="AWK314" s="539"/>
      <c r="AWL314" s="539"/>
      <c r="AWM314" s="539"/>
      <c r="AWN314" s="539"/>
      <c r="AWO314" s="539"/>
      <c r="AWP314" s="539"/>
      <c r="AWQ314" s="539"/>
      <c r="AWR314" s="539"/>
      <c r="AWS314" s="539"/>
      <c r="AWT314" s="539"/>
      <c r="AWU314" s="539"/>
      <c r="AWV314" s="539"/>
      <c r="AWW314" s="539"/>
      <c r="AWX314" s="539"/>
      <c r="AWY314" s="539"/>
      <c r="AWZ314" s="539"/>
      <c r="AXA314" s="539"/>
      <c r="AXB314" s="539"/>
      <c r="AXC314" s="539"/>
      <c r="AXD314" s="539"/>
      <c r="AXE314" s="539"/>
      <c r="AXF314" s="539"/>
      <c r="AXG314" s="539"/>
      <c r="AXH314" s="539"/>
      <c r="AXI314" s="539"/>
      <c r="AXJ314" s="539"/>
      <c r="AXK314" s="539"/>
      <c r="AXL314" s="539"/>
      <c r="AXM314" s="539"/>
      <c r="AXN314" s="539"/>
      <c r="AXO314" s="539"/>
      <c r="AXP314" s="539"/>
      <c r="AXQ314" s="539"/>
      <c r="AXR314" s="539"/>
      <c r="AXS314" s="539"/>
      <c r="AXT314" s="539"/>
      <c r="AXU314" s="539"/>
      <c r="AXV314" s="539"/>
      <c r="AXW314" s="539"/>
      <c r="AXX314" s="539"/>
      <c r="AXY314" s="539"/>
      <c r="AXZ314" s="539"/>
      <c r="AYA314" s="539"/>
      <c r="AYB314" s="539"/>
      <c r="AYC314" s="539"/>
      <c r="AYD314" s="539"/>
      <c r="AYE314" s="539"/>
      <c r="AYF314" s="539"/>
      <c r="AYG314" s="539"/>
      <c r="AYH314" s="539"/>
      <c r="AYI314" s="539"/>
      <c r="AYJ314" s="539"/>
      <c r="AYK314" s="539"/>
      <c r="AYL314" s="539"/>
      <c r="AYM314" s="539"/>
      <c r="AYN314" s="539"/>
      <c r="AYO314" s="539"/>
      <c r="AYP314" s="539"/>
      <c r="AYQ314" s="539"/>
      <c r="AYR314" s="539"/>
      <c r="AYS314" s="539"/>
      <c r="AYT314" s="539"/>
      <c r="AYU314" s="539"/>
      <c r="AYV314" s="539"/>
      <c r="AYW314" s="539"/>
      <c r="AYX314" s="539"/>
      <c r="AYY314" s="539"/>
      <c r="AYZ314" s="539"/>
      <c r="AZA314" s="539"/>
      <c r="AZB314" s="539"/>
      <c r="AZC314" s="539"/>
      <c r="AZD314" s="539"/>
      <c r="AZE314" s="539"/>
      <c r="AZF314" s="539"/>
      <c r="AZG314" s="539"/>
      <c r="AZH314" s="539"/>
      <c r="AZI314" s="539"/>
      <c r="AZJ314" s="539"/>
      <c r="AZK314" s="539"/>
      <c r="AZL314" s="539"/>
      <c r="AZM314" s="539"/>
      <c r="AZN314" s="539"/>
      <c r="AZO314" s="539"/>
      <c r="AZP314" s="539"/>
      <c r="AZQ314" s="539"/>
      <c r="AZR314" s="539"/>
      <c r="AZS314" s="539"/>
      <c r="AZT314" s="539"/>
      <c r="AZU314" s="539"/>
      <c r="AZV314" s="539"/>
      <c r="AZW314" s="539"/>
      <c r="AZX314" s="539"/>
      <c r="AZY314" s="539"/>
      <c r="AZZ314" s="539"/>
      <c r="BAA314" s="539"/>
      <c r="BAB314" s="539"/>
      <c r="BAC314" s="539"/>
      <c r="BAD314" s="539"/>
      <c r="BAE314" s="539"/>
      <c r="BAF314" s="539"/>
      <c r="BAG314" s="539"/>
      <c r="BAH314" s="539"/>
      <c r="BAI314" s="539"/>
      <c r="BAJ314" s="539"/>
      <c r="BAK314" s="539"/>
      <c r="BAL314" s="539"/>
      <c r="BAM314" s="539"/>
      <c r="BAN314" s="539"/>
      <c r="BAO314" s="539"/>
      <c r="BAP314" s="539"/>
      <c r="BAQ314" s="539"/>
      <c r="BAR314" s="539"/>
      <c r="BAS314" s="539"/>
      <c r="BAT314" s="539"/>
      <c r="BAU314" s="539"/>
      <c r="BAV314" s="539"/>
      <c r="BAW314" s="539"/>
      <c r="BAX314" s="539"/>
      <c r="BAY314" s="539"/>
      <c r="BAZ314" s="539"/>
      <c r="BBA314" s="539"/>
      <c r="BBB314" s="539"/>
      <c r="BBC314" s="539"/>
      <c r="BBD314" s="539"/>
      <c r="BBE314" s="539"/>
      <c r="BBF314" s="539"/>
      <c r="BBG314" s="539"/>
      <c r="BBH314" s="539"/>
      <c r="BBI314" s="539"/>
      <c r="BBJ314" s="539"/>
      <c r="BBK314" s="539"/>
      <c r="BBL314" s="539"/>
      <c r="BBM314" s="539"/>
      <c r="BBN314" s="539"/>
      <c r="BBO314" s="539"/>
      <c r="BBP314" s="539"/>
      <c r="BBQ314" s="539"/>
      <c r="BBR314" s="539"/>
      <c r="BBS314" s="539"/>
      <c r="BBT314" s="539"/>
      <c r="BBU314" s="539"/>
      <c r="BBV314" s="539"/>
      <c r="BBW314" s="539"/>
      <c r="BBX314" s="539"/>
      <c r="BBY314" s="539"/>
      <c r="BBZ314" s="539"/>
      <c r="BCA314" s="539"/>
      <c r="BCB314" s="539"/>
      <c r="BCC314" s="539"/>
      <c r="BCD314" s="539"/>
      <c r="BCE314" s="539"/>
      <c r="BCF314" s="539"/>
      <c r="BCG314" s="539"/>
      <c r="BCH314" s="539"/>
      <c r="BCI314" s="539"/>
      <c r="BCJ314" s="539"/>
      <c r="BCK314" s="539"/>
      <c r="BCL314" s="539"/>
      <c r="BCM314" s="539"/>
      <c r="BCN314" s="539"/>
      <c r="BCO314" s="539"/>
      <c r="BCP314" s="539"/>
      <c r="BCQ314" s="539"/>
      <c r="BCR314" s="539"/>
      <c r="BCS314" s="539"/>
      <c r="BCT314" s="539"/>
      <c r="BCU314" s="539"/>
      <c r="BCV314" s="539"/>
      <c r="BCW314" s="539"/>
      <c r="BCX314" s="539"/>
      <c r="BCY314" s="539"/>
      <c r="BCZ314" s="539"/>
      <c r="BDA314" s="539"/>
      <c r="BDB314" s="539"/>
      <c r="BDC314" s="539"/>
      <c r="BDD314" s="539"/>
      <c r="BDE314" s="539"/>
      <c r="BDF314" s="539"/>
      <c r="BDG314" s="539"/>
      <c r="BDH314" s="539"/>
      <c r="BDI314" s="539"/>
      <c r="BDJ314" s="539"/>
      <c r="BDK314" s="539"/>
      <c r="BDL314" s="539"/>
      <c r="BDM314" s="539"/>
      <c r="BDN314" s="539"/>
      <c r="BDO314" s="539"/>
      <c r="BDP314" s="539"/>
      <c r="BDQ314" s="539"/>
      <c r="BDR314" s="539"/>
      <c r="BDS314" s="539"/>
      <c r="BDT314" s="539"/>
      <c r="BDU314" s="539"/>
      <c r="BDV314" s="539"/>
      <c r="BDW314" s="539"/>
      <c r="BDX314" s="539"/>
      <c r="BDY314" s="539"/>
      <c r="BDZ314" s="539"/>
      <c r="BEA314" s="539"/>
      <c r="BEB314" s="539"/>
      <c r="BEC314" s="539"/>
      <c r="BED314" s="539"/>
      <c r="BEE314" s="539"/>
      <c r="BEF314" s="539"/>
      <c r="BEG314" s="539"/>
      <c r="BEH314" s="539"/>
      <c r="BEI314" s="539"/>
      <c r="BEJ314" s="539"/>
      <c r="BEK314" s="539"/>
      <c r="BEL314" s="539"/>
      <c r="BEM314" s="539"/>
      <c r="BEN314" s="539"/>
      <c r="BEO314" s="539"/>
      <c r="BEP314" s="539"/>
      <c r="BEQ314" s="539"/>
      <c r="BER314" s="539"/>
      <c r="BES314" s="539"/>
      <c r="BET314" s="539"/>
      <c r="BEU314" s="539"/>
      <c r="BEV314" s="539"/>
      <c r="BEW314" s="539"/>
      <c r="BEX314" s="539"/>
      <c r="BEY314" s="539"/>
      <c r="BEZ314" s="539"/>
      <c r="BFA314" s="539"/>
      <c r="BFB314" s="539"/>
      <c r="BFC314" s="539"/>
      <c r="BFD314" s="539"/>
      <c r="BFE314" s="539"/>
      <c r="BFF314" s="539"/>
      <c r="BFG314" s="539"/>
      <c r="BFH314" s="539"/>
      <c r="BFI314" s="539"/>
      <c r="BFJ314" s="539"/>
      <c r="BFK314" s="539"/>
      <c r="BFL314" s="539"/>
      <c r="BFM314" s="539"/>
      <c r="BFN314" s="539"/>
      <c r="BFO314" s="539"/>
      <c r="BFP314" s="539"/>
      <c r="BFQ314" s="539"/>
      <c r="BFR314" s="539"/>
      <c r="BFS314" s="539"/>
      <c r="BFT314" s="539"/>
      <c r="BFU314" s="539"/>
      <c r="BFV314" s="539"/>
      <c r="BFW314" s="539"/>
      <c r="BFX314" s="539"/>
      <c r="BFY314" s="539"/>
      <c r="BFZ314" s="539"/>
      <c r="BGA314" s="539"/>
      <c r="BGB314" s="539"/>
      <c r="BGC314" s="539"/>
      <c r="BGD314" s="539"/>
      <c r="BGE314" s="539"/>
      <c r="BGF314" s="539"/>
      <c r="BGG314" s="539"/>
      <c r="BGH314" s="539"/>
      <c r="BGI314" s="539"/>
      <c r="BGJ314" s="539"/>
      <c r="BGK314" s="539"/>
      <c r="BGL314" s="539"/>
      <c r="BGM314" s="539"/>
      <c r="BGN314" s="539"/>
      <c r="BGO314" s="539"/>
      <c r="BGP314" s="539"/>
      <c r="BGQ314" s="539"/>
      <c r="BGR314" s="539"/>
      <c r="BGS314" s="539"/>
      <c r="BGT314" s="539"/>
      <c r="BGU314" s="539"/>
      <c r="BGV314" s="539"/>
      <c r="BGW314" s="539"/>
      <c r="BGX314" s="539"/>
      <c r="BGY314" s="539"/>
      <c r="BGZ314" s="539"/>
      <c r="BHA314" s="539"/>
      <c r="BHB314" s="539"/>
      <c r="BHC314" s="539"/>
      <c r="BHD314" s="539"/>
      <c r="BHE314" s="539"/>
      <c r="BHF314" s="539"/>
      <c r="BHG314" s="539"/>
      <c r="BHH314" s="539"/>
      <c r="BHI314" s="539"/>
      <c r="BHJ314" s="539"/>
      <c r="BHK314" s="539"/>
      <c r="BHL314" s="539"/>
      <c r="BHM314" s="539"/>
      <c r="BHN314" s="539"/>
      <c r="BHO314" s="539"/>
      <c r="BHP314" s="539"/>
      <c r="BHQ314" s="539"/>
      <c r="BHR314" s="539"/>
      <c r="BHS314" s="539"/>
      <c r="BHT314" s="539"/>
      <c r="BHU314" s="539"/>
      <c r="BHV314" s="539"/>
      <c r="BHW314" s="539"/>
      <c r="BHX314" s="539"/>
      <c r="BHY314" s="539"/>
      <c r="BHZ314" s="539"/>
      <c r="BIA314" s="539"/>
      <c r="BIB314" s="539"/>
      <c r="BIC314" s="539"/>
      <c r="BID314" s="539"/>
      <c r="BIE314" s="539"/>
      <c r="BIF314" s="539"/>
      <c r="BIG314" s="539"/>
      <c r="BIH314" s="539"/>
      <c r="BII314" s="539"/>
      <c r="BIJ314" s="539"/>
      <c r="BIK314" s="539"/>
      <c r="BIL314" s="539"/>
      <c r="BIM314" s="539"/>
      <c r="BIN314" s="539"/>
      <c r="BIO314" s="539"/>
      <c r="BIP314" s="539"/>
      <c r="BIQ314" s="539"/>
      <c r="BIR314" s="539"/>
      <c r="BIS314" s="539"/>
      <c r="BIT314" s="539"/>
      <c r="BIU314" s="539"/>
      <c r="BIV314" s="539"/>
      <c r="BIW314" s="539"/>
      <c r="BIX314" s="539"/>
      <c r="BIY314" s="539"/>
      <c r="BIZ314" s="539"/>
      <c r="BJA314" s="539"/>
      <c r="BJB314" s="539"/>
      <c r="BJC314" s="539"/>
      <c r="BJD314" s="539"/>
      <c r="BJE314" s="539"/>
      <c r="BJF314" s="539"/>
      <c r="BJG314" s="539"/>
      <c r="BJH314" s="539"/>
      <c r="BJI314" s="539"/>
      <c r="BJJ314" s="539"/>
      <c r="BJK314" s="539"/>
      <c r="BJL314" s="539"/>
      <c r="BJM314" s="539"/>
      <c r="BJN314" s="539"/>
      <c r="BJO314" s="539"/>
      <c r="BJP314" s="539"/>
      <c r="BJQ314" s="539"/>
      <c r="BJR314" s="539"/>
      <c r="BJS314" s="539"/>
      <c r="BJT314" s="539"/>
      <c r="BJU314" s="539"/>
      <c r="BJV314" s="539"/>
      <c r="BJW314" s="539"/>
      <c r="BJX314" s="539"/>
      <c r="BJY314" s="539"/>
      <c r="BJZ314" s="539"/>
      <c r="BKA314" s="539"/>
      <c r="BKB314" s="539"/>
      <c r="BKC314" s="539"/>
      <c r="BKD314" s="539"/>
      <c r="BKE314" s="539"/>
      <c r="BKF314" s="539"/>
      <c r="BKG314" s="539"/>
      <c r="BKH314" s="539"/>
      <c r="BKI314" s="539"/>
      <c r="BKJ314" s="539"/>
      <c r="BKK314" s="539"/>
      <c r="BKL314" s="539"/>
      <c r="BKM314" s="539"/>
      <c r="BKN314" s="539"/>
      <c r="BKO314" s="539"/>
      <c r="BKP314" s="539"/>
      <c r="BKQ314" s="539"/>
      <c r="BKR314" s="539"/>
      <c r="BKS314" s="539"/>
      <c r="BKT314" s="539"/>
      <c r="BKU314" s="539"/>
      <c r="BKV314" s="539"/>
      <c r="BKW314" s="539"/>
      <c r="BKX314" s="539"/>
      <c r="BKY314" s="539"/>
      <c r="BKZ314" s="539"/>
      <c r="BLA314" s="539"/>
      <c r="BLB314" s="539"/>
      <c r="BLC314" s="539"/>
      <c r="BLD314" s="539"/>
      <c r="BLE314" s="539"/>
      <c r="BLF314" s="539"/>
      <c r="BLG314" s="539"/>
      <c r="BLH314" s="539"/>
      <c r="BLI314" s="539"/>
      <c r="BLJ314" s="539"/>
      <c r="BLK314" s="539"/>
      <c r="BLL314" s="539"/>
      <c r="BLM314" s="539"/>
      <c r="BLN314" s="539"/>
      <c r="BLO314" s="539"/>
      <c r="BLP314" s="539"/>
      <c r="BLQ314" s="539"/>
      <c r="BLR314" s="539"/>
      <c r="BLS314" s="539"/>
      <c r="BLT314" s="539"/>
      <c r="BLU314" s="539"/>
      <c r="BLV314" s="539"/>
      <c r="BLW314" s="539"/>
      <c r="BLX314" s="539"/>
      <c r="BLY314" s="539"/>
      <c r="BLZ314" s="539"/>
      <c r="BMA314" s="539"/>
      <c r="BMB314" s="539"/>
      <c r="BMC314" s="539"/>
      <c r="BMD314" s="539"/>
      <c r="BME314" s="539"/>
      <c r="BMF314" s="539"/>
      <c r="BMG314" s="539"/>
      <c r="BMH314" s="539"/>
      <c r="BMI314" s="539"/>
      <c r="BMJ314" s="539"/>
      <c r="BMK314" s="539"/>
      <c r="BML314" s="539"/>
      <c r="BMM314" s="539"/>
      <c r="BMN314" s="539"/>
      <c r="BMO314" s="539"/>
      <c r="BMP314" s="539"/>
      <c r="BMQ314" s="539"/>
      <c r="BMR314" s="539"/>
      <c r="BMS314" s="539"/>
      <c r="BMT314" s="539"/>
      <c r="BMU314" s="539"/>
      <c r="BMV314" s="539"/>
      <c r="BMW314" s="539"/>
      <c r="BMX314" s="539"/>
      <c r="BMY314" s="539"/>
      <c r="BMZ314" s="539"/>
      <c r="BNA314" s="539"/>
      <c r="BNB314" s="539"/>
      <c r="BNC314" s="539"/>
      <c r="BND314" s="539"/>
      <c r="BNE314" s="539"/>
      <c r="BNF314" s="539"/>
      <c r="BNG314" s="539"/>
      <c r="BNH314" s="539"/>
      <c r="BNI314" s="539"/>
      <c r="BNJ314" s="539"/>
      <c r="BNK314" s="539"/>
      <c r="BNL314" s="539"/>
      <c r="BNM314" s="539"/>
      <c r="BNN314" s="539"/>
      <c r="BNO314" s="539"/>
      <c r="BNP314" s="539"/>
      <c r="BNQ314" s="539"/>
      <c r="BNR314" s="539"/>
      <c r="BNS314" s="539"/>
      <c r="BNT314" s="539"/>
      <c r="BNU314" s="539"/>
      <c r="BNV314" s="539"/>
      <c r="BNW314" s="539"/>
      <c r="BNX314" s="539"/>
      <c r="BNY314" s="539"/>
      <c r="BNZ314" s="539"/>
      <c r="BOA314" s="539"/>
      <c r="BOB314" s="539"/>
      <c r="BOC314" s="539"/>
      <c r="BOD314" s="539"/>
      <c r="BOE314" s="539"/>
      <c r="BOF314" s="539"/>
      <c r="BOG314" s="539"/>
      <c r="BOH314" s="539"/>
      <c r="BOI314" s="539"/>
      <c r="BOJ314" s="539"/>
      <c r="BOK314" s="539"/>
      <c r="BOL314" s="539"/>
      <c r="BOM314" s="539"/>
      <c r="BON314" s="539"/>
      <c r="BOO314" s="539"/>
      <c r="BOP314" s="539"/>
      <c r="BOQ314" s="539"/>
      <c r="BOR314" s="539"/>
      <c r="BOS314" s="539"/>
      <c r="BOT314" s="539"/>
      <c r="BOU314" s="539"/>
      <c r="BOV314" s="539"/>
      <c r="BOW314" s="539"/>
      <c r="BOX314" s="539"/>
      <c r="BOY314" s="539"/>
      <c r="BOZ314" s="539"/>
      <c r="BPA314" s="539"/>
      <c r="BPB314" s="539"/>
      <c r="BPC314" s="539"/>
      <c r="BPD314" s="539"/>
      <c r="BPE314" s="539"/>
      <c r="BPF314" s="539"/>
      <c r="BPG314" s="539"/>
      <c r="BPH314" s="539"/>
      <c r="BPI314" s="539"/>
      <c r="BPJ314" s="539"/>
      <c r="BPK314" s="539"/>
      <c r="BPL314" s="539"/>
      <c r="BPM314" s="539"/>
      <c r="BPN314" s="539"/>
      <c r="BPO314" s="539"/>
      <c r="BPP314" s="539"/>
      <c r="BPQ314" s="539"/>
      <c r="BPR314" s="539"/>
      <c r="BPS314" s="539"/>
      <c r="BPT314" s="539"/>
      <c r="BPU314" s="539"/>
      <c r="BPV314" s="539"/>
      <c r="BPW314" s="539"/>
      <c r="BPX314" s="539"/>
      <c r="BPY314" s="539"/>
      <c r="BPZ314" s="539"/>
      <c r="BQA314" s="539"/>
      <c r="BQB314" s="539"/>
      <c r="BQC314" s="539"/>
      <c r="BQD314" s="539"/>
      <c r="BQE314" s="539"/>
      <c r="BQF314" s="539"/>
      <c r="BQG314" s="539"/>
      <c r="BQH314" s="539"/>
      <c r="BQI314" s="539"/>
      <c r="BQJ314" s="539"/>
      <c r="BQK314" s="539"/>
      <c r="BQL314" s="539"/>
      <c r="BQM314" s="539"/>
      <c r="BQN314" s="539"/>
      <c r="BQO314" s="539"/>
      <c r="BQP314" s="539"/>
      <c r="BQQ314" s="539"/>
      <c r="BQR314" s="539"/>
      <c r="BQS314" s="539"/>
      <c r="BQT314" s="539"/>
      <c r="BQU314" s="539"/>
      <c r="BQV314" s="539"/>
      <c r="BQW314" s="539"/>
      <c r="BQX314" s="539"/>
      <c r="BQY314" s="539"/>
      <c r="BQZ314" s="539"/>
      <c r="BRA314" s="539"/>
      <c r="BRB314" s="539"/>
      <c r="BRC314" s="539"/>
      <c r="BRD314" s="539"/>
      <c r="BRE314" s="539"/>
      <c r="BRF314" s="539"/>
      <c r="BRG314" s="539"/>
      <c r="BRH314" s="539"/>
      <c r="BRI314" s="539"/>
      <c r="BRJ314" s="539"/>
      <c r="BRK314" s="539"/>
      <c r="BRL314" s="539"/>
      <c r="BRM314" s="539"/>
      <c r="BRN314" s="539"/>
      <c r="BRO314" s="539"/>
      <c r="BRP314" s="539"/>
      <c r="BRQ314" s="539"/>
      <c r="BRR314" s="539"/>
      <c r="BRS314" s="539"/>
      <c r="BRT314" s="539"/>
      <c r="BRU314" s="539"/>
      <c r="BRV314" s="539"/>
      <c r="BRW314" s="539"/>
      <c r="BRX314" s="539"/>
      <c r="BRY314" s="539"/>
      <c r="BRZ314" s="539"/>
      <c r="BSA314" s="539"/>
      <c r="BSB314" s="539"/>
      <c r="BSC314" s="539"/>
      <c r="BSD314" s="539"/>
      <c r="BSE314" s="539"/>
      <c r="BSF314" s="539"/>
      <c r="BSG314" s="539"/>
      <c r="BSH314" s="539"/>
      <c r="BSI314" s="539"/>
      <c r="BSJ314" s="539"/>
      <c r="BSK314" s="539"/>
      <c r="BSL314" s="539"/>
      <c r="BSM314" s="539"/>
      <c r="BSN314" s="539"/>
      <c r="BSO314" s="539"/>
      <c r="BSP314" s="539"/>
      <c r="BSQ314" s="539"/>
      <c r="BSR314" s="539"/>
      <c r="BSS314" s="539"/>
      <c r="BST314" s="539"/>
      <c r="BSU314" s="539"/>
      <c r="BSV314" s="539"/>
      <c r="BSW314" s="539"/>
      <c r="BSX314" s="539"/>
      <c r="BSY314" s="539"/>
      <c r="BSZ314" s="539"/>
      <c r="BTA314" s="539"/>
      <c r="BTB314" s="539"/>
      <c r="BTC314" s="539"/>
      <c r="BTD314" s="539"/>
      <c r="BTE314" s="539"/>
      <c r="BTF314" s="539"/>
      <c r="BTG314" s="539"/>
      <c r="BTH314" s="539"/>
      <c r="BTI314" s="539"/>
      <c r="BTJ314" s="539"/>
      <c r="BTK314" s="539"/>
      <c r="BTL314" s="539"/>
      <c r="BTM314" s="539"/>
      <c r="BTN314" s="539"/>
      <c r="BTO314" s="539"/>
      <c r="BTP314" s="539"/>
      <c r="BTQ314" s="539"/>
      <c r="BTR314" s="539"/>
      <c r="BTS314" s="539"/>
      <c r="BTT314" s="539"/>
      <c r="BTU314" s="539"/>
      <c r="BTV314" s="539"/>
      <c r="BTW314" s="539"/>
      <c r="BTX314" s="539"/>
      <c r="BTY314" s="539"/>
      <c r="BTZ314" s="539"/>
      <c r="BUA314" s="539"/>
      <c r="BUB314" s="539"/>
      <c r="BUC314" s="539"/>
      <c r="BUD314" s="539"/>
      <c r="BUE314" s="539"/>
      <c r="BUF314" s="539"/>
      <c r="BUG314" s="539"/>
      <c r="BUH314" s="539"/>
      <c r="BUI314" s="539"/>
      <c r="BUJ314" s="539"/>
      <c r="BUK314" s="539"/>
      <c r="BUL314" s="539"/>
      <c r="BUM314" s="539"/>
      <c r="BUN314" s="539"/>
      <c r="BUO314" s="539"/>
      <c r="BUP314" s="539"/>
      <c r="BUQ314" s="539"/>
      <c r="BUR314" s="539"/>
      <c r="BUS314" s="539"/>
      <c r="BUT314" s="539"/>
      <c r="BUU314" s="539"/>
      <c r="BUV314" s="539"/>
      <c r="BUW314" s="539"/>
      <c r="BUX314" s="539"/>
      <c r="BUY314" s="539"/>
      <c r="BUZ314" s="539"/>
      <c r="BVA314" s="539"/>
      <c r="BVB314" s="539"/>
      <c r="BVC314" s="539"/>
      <c r="BVD314" s="539"/>
      <c r="BVE314" s="539"/>
      <c r="BVF314" s="539"/>
      <c r="BVG314" s="539"/>
      <c r="BVH314" s="539"/>
      <c r="BVI314" s="539"/>
      <c r="BVJ314" s="539"/>
      <c r="BVK314" s="539"/>
      <c r="BVL314" s="539"/>
      <c r="BVM314" s="539"/>
      <c r="BVN314" s="539"/>
      <c r="BVO314" s="539"/>
      <c r="BVP314" s="539"/>
      <c r="BVQ314" s="539"/>
      <c r="BVR314" s="539"/>
      <c r="BVS314" s="539"/>
      <c r="BVT314" s="539"/>
      <c r="BVU314" s="539"/>
      <c r="BVV314" s="539"/>
      <c r="BVW314" s="539"/>
      <c r="BVX314" s="539"/>
      <c r="BVY314" s="539"/>
      <c r="BVZ314" s="539"/>
      <c r="BWA314" s="539"/>
      <c r="BWB314" s="539"/>
      <c r="BWC314" s="539"/>
      <c r="BWD314" s="539"/>
      <c r="BWE314" s="539"/>
      <c r="BWF314" s="539"/>
      <c r="BWG314" s="539"/>
      <c r="BWH314" s="539"/>
      <c r="BWI314" s="539"/>
      <c r="BWJ314" s="539"/>
      <c r="BWK314" s="539"/>
      <c r="BWL314" s="539"/>
      <c r="BWM314" s="539"/>
      <c r="BWN314" s="539"/>
      <c r="BWO314" s="539"/>
      <c r="BWP314" s="539"/>
      <c r="BWQ314" s="539"/>
      <c r="BWR314" s="539"/>
      <c r="BWS314" s="539"/>
      <c r="BWT314" s="539"/>
      <c r="BWU314" s="539"/>
      <c r="BWV314" s="539"/>
      <c r="BWW314" s="539"/>
      <c r="BWX314" s="539"/>
      <c r="BWY314" s="539"/>
      <c r="BWZ314" s="539"/>
      <c r="BXA314" s="539"/>
      <c r="BXB314" s="539"/>
      <c r="BXC314" s="539"/>
      <c r="BXD314" s="539"/>
      <c r="BXE314" s="539"/>
      <c r="BXF314" s="539"/>
      <c r="BXG314" s="539"/>
      <c r="BXH314" s="539"/>
      <c r="BXI314" s="539"/>
      <c r="BXJ314" s="539"/>
      <c r="BXK314" s="539"/>
      <c r="BXL314" s="539"/>
      <c r="BXM314" s="539"/>
      <c r="BXN314" s="539"/>
      <c r="BXO314" s="539"/>
      <c r="BXP314" s="539"/>
      <c r="BXQ314" s="539"/>
      <c r="BXR314" s="539"/>
      <c r="BXS314" s="539"/>
      <c r="BXT314" s="539"/>
      <c r="BXU314" s="539"/>
      <c r="BXV314" s="539"/>
      <c r="BXW314" s="539"/>
      <c r="BXX314" s="539"/>
      <c r="BXY314" s="539"/>
      <c r="BXZ314" s="539"/>
      <c r="BYA314" s="539"/>
      <c r="BYB314" s="539"/>
      <c r="BYC314" s="539"/>
      <c r="BYD314" s="539"/>
      <c r="BYE314" s="539"/>
      <c r="BYF314" s="539"/>
      <c r="BYG314" s="539"/>
      <c r="BYH314" s="539"/>
      <c r="BYI314" s="539"/>
      <c r="BYJ314" s="539"/>
      <c r="BYK314" s="539"/>
      <c r="BYL314" s="539"/>
      <c r="BYM314" s="539"/>
      <c r="BYN314" s="539"/>
      <c r="BYO314" s="539"/>
      <c r="BYP314" s="539"/>
      <c r="BYQ314" s="539"/>
      <c r="BYR314" s="539"/>
      <c r="BYS314" s="539"/>
      <c r="BYT314" s="539"/>
      <c r="BYU314" s="539"/>
      <c r="BYV314" s="539"/>
      <c r="BYW314" s="539"/>
      <c r="BYX314" s="539"/>
      <c r="BYY314" s="539"/>
      <c r="BYZ314" s="539"/>
      <c r="BZA314" s="539"/>
      <c r="BZB314" s="539"/>
      <c r="BZC314" s="539"/>
      <c r="BZD314" s="539"/>
      <c r="BZE314" s="539"/>
      <c r="BZF314" s="539"/>
      <c r="BZG314" s="539"/>
      <c r="BZH314" s="539"/>
      <c r="BZI314" s="539"/>
      <c r="BZJ314" s="539"/>
      <c r="BZK314" s="539"/>
      <c r="BZL314" s="539"/>
      <c r="BZM314" s="539"/>
      <c r="BZN314" s="539"/>
      <c r="BZO314" s="539"/>
      <c r="BZP314" s="539"/>
      <c r="BZQ314" s="539"/>
      <c r="BZR314" s="539"/>
      <c r="BZS314" s="539"/>
      <c r="BZT314" s="539"/>
      <c r="BZU314" s="539"/>
      <c r="BZV314" s="539"/>
      <c r="BZW314" s="539"/>
      <c r="BZX314" s="539"/>
      <c r="BZY314" s="539"/>
      <c r="BZZ314" s="539"/>
      <c r="CAA314" s="539"/>
      <c r="CAB314" s="539"/>
      <c r="CAC314" s="539"/>
      <c r="CAD314" s="539"/>
      <c r="CAE314" s="539"/>
      <c r="CAF314" s="539"/>
      <c r="CAG314" s="539"/>
      <c r="CAH314" s="539"/>
      <c r="CAI314" s="539"/>
      <c r="CAJ314" s="539"/>
      <c r="CAK314" s="539"/>
      <c r="CAL314" s="539"/>
      <c r="CAM314" s="539"/>
      <c r="CAN314" s="539"/>
      <c r="CAO314" s="539"/>
      <c r="CAP314" s="539"/>
      <c r="CAQ314" s="539"/>
      <c r="CAR314" s="539"/>
      <c r="CAS314" s="539"/>
      <c r="CAT314" s="539"/>
      <c r="CAU314" s="539"/>
      <c r="CAV314" s="539"/>
      <c r="CAW314" s="539"/>
      <c r="CAX314" s="539"/>
      <c r="CAY314" s="539"/>
      <c r="CAZ314" s="539"/>
      <c r="CBA314" s="539"/>
      <c r="CBB314" s="539"/>
      <c r="CBC314" s="539"/>
      <c r="CBD314" s="539"/>
      <c r="CBE314" s="539"/>
      <c r="CBF314" s="539"/>
      <c r="CBG314" s="539"/>
      <c r="CBH314" s="539"/>
      <c r="CBI314" s="539"/>
      <c r="CBJ314" s="539"/>
      <c r="CBK314" s="539"/>
      <c r="CBL314" s="539"/>
      <c r="CBM314" s="539"/>
      <c r="CBN314" s="539"/>
      <c r="CBO314" s="539"/>
      <c r="CBP314" s="539"/>
      <c r="CBQ314" s="539"/>
      <c r="CBR314" s="539"/>
      <c r="CBS314" s="539"/>
      <c r="CBT314" s="539"/>
      <c r="CBU314" s="539"/>
      <c r="CBV314" s="539"/>
      <c r="CBW314" s="539"/>
      <c r="CBX314" s="539"/>
      <c r="CBY314" s="539"/>
      <c r="CBZ314" s="539"/>
      <c r="CCA314" s="539"/>
      <c r="CCB314" s="539"/>
      <c r="CCC314" s="539"/>
      <c r="CCD314" s="539"/>
      <c r="CCE314" s="539"/>
      <c r="CCF314" s="539"/>
      <c r="CCG314" s="539"/>
      <c r="CCH314" s="539"/>
      <c r="CCI314" s="539"/>
      <c r="CCJ314" s="539"/>
      <c r="CCK314" s="539"/>
      <c r="CCL314" s="539"/>
      <c r="CCM314" s="539"/>
      <c r="CCN314" s="539"/>
      <c r="CCO314" s="539"/>
      <c r="CCP314" s="539"/>
      <c r="CCQ314" s="539"/>
      <c r="CCR314" s="539"/>
      <c r="CCS314" s="539"/>
      <c r="CCT314" s="539"/>
      <c r="CCU314" s="539"/>
      <c r="CCV314" s="539"/>
      <c r="CCW314" s="539"/>
      <c r="CCX314" s="539"/>
      <c r="CCY314" s="539"/>
      <c r="CCZ314" s="539"/>
      <c r="CDA314" s="539"/>
      <c r="CDB314" s="539"/>
      <c r="CDC314" s="539"/>
      <c r="CDD314" s="539"/>
      <c r="CDE314" s="539"/>
      <c r="CDF314" s="539"/>
      <c r="CDG314" s="539"/>
      <c r="CDH314" s="539"/>
      <c r="CDI314" s="539"/>
      <c r="CDJ314" s="539"/>
      <c r="CDK314" s="539"/>
      <c r="CDL314" s="539"/>
      <c r="CDM314" s="539"/>
      <c r="CDN314" s="539"/>
      <c r="CDO314" s="539"/>
      <c r="CDP314" s="539"/>
      <c r="CDQ314" s="539"/>
      <c r="CDR314" s="539"/>
      <c r="CDS314" s="539"/>
      <c r="CDT314" s="539"/>
      <c r="CDU314" s="539"/>
      <c r="CDV314" s="539"/>
      <c r="CDW314" s="539"/>
      <c r="CDX314" s="539"/>
      <c r="CDY314" s="539"/>
      <c r="CDZ314" s="539"/>
      <c r="CEA314" s="539"/>
      <c r="CEB314" s="539"/>
      <c r="CEC314" s="539"/>
      <c r="CED314" s="539"/>
      <c r="CEE314" s="539"/>
      <c r="CEF314" s="539"/>
      <c r="CEG314" s="539"/>
      <c r="CEH314" s="539"/>
      <c r="CEI314" s="539"/>
      <c r="CEJ314" s="539"/>
      <c r="CEK314" s="539"/>
      <c r="CEL314" s="539"/>
      <c r="CEM314" s="539"/>
      <c r="CEN314" s="539"/>
      <c r="CEO314" s="539"/>
      <c r="CEP314" s="539"/>
      <c r="CEQ314" s="539"/>
      <c r="CER314" s="539"/>
      <c r="CES314" s="539"/>
      <c r="CET314" s="539"/>
      <c r="CEU314" s="539"/>
      <c r="CEV314" s="539"/>
      <c r="CEW314" s="539"/>
      <c r="CEX314" s="539"/>
      <c r="CEY314" s="539"/>
      <c r="CEZ314" s="539"/>
      <c r="CFA314" s="539"/>
      <c r="CFB314" s="539"/>
      <c r="CFC314" s="539"/>
      <c r="CFD314" s="539"/>
      <c r="CFE314" s="539"/>
      <c r="CFF314" s="539"/>
      <c r="CFG314" s="539"/>
      <c r="CFH314" s="539"/>
      <c r="CFI314" s="539"/>
      <c r="CFJ314" s="539"/>
      <c r="CFK314" s="539"/>
      <c r="CFL314" s="539"/>
      <c r="CFM314" s="539"/>
      <c r="CFN314" s="539"/>
      <c r="CFO314" s="539"/>
      <c r="CFP314" s="539"/>
      <c r="CFQ314" s="539"/>
      <c r="CFR314" s="539"/>
      <c r="CFS314" s="539"/>
      <c r="CFT314" s="539"/>
      <c r="CFU314" s="539"/>
      <c r="CFV314" s="539"/>
      <c r="CFW314" s="539"/>
      <c r="CFX314" s="539"/>
      <c r="CFY314" s="539"/>
      <c r="CFZ314" s="539"/>
      <c r="CGA314" s="539"/>
      <c r="CGB314" s="539"/>
      <c r="CGC314" s="539"/>
      <c r="CGD314" s="539"/>
      <c r="CGE314" s="539"/>
      <c r="CGF314" s="539"/>
      <c r="CGG314" s="539"/>
      <c r="CGH314" s="539"/>
      <c r="CGI314" s="539"/>
      <c r="CGJ314" s="539"/>
      <c r="CGK314" s="539"/>
      <c r="CGL314" s="539"/>
      <c r="CGM314" s="539"/>
      <c r="CGN314" s="539"/>
      <c r="CGO314" s="539"/>
      <c r="CGP314" s="539"/>
      <c r="CGQ314" s="539"/>
      <c r="CGR314" s="539"/>
      <c r="CGS314" s="539"/>
      <c r="CGT314" s="539"/>
      <c r="CGU314" s="539"/>
      <c r="CGV314" s="539"/>
      <c r="CGW314" s="539"/>
      <c r="CGX314" s="539"/>
      <c r="CGY314" s="539"/>
      <c r="CGZ314" s="539"/>
      <c r="CHA314" s="539"/>
      <c r="CHB314" s="539"/>
      <c r="CHC314" s="539"/>
      <c r="CHD314" s="539"/>
      <c r="CHE314" s="539"/>
      <c r="CHF314" s="539"/>
      <c r="CHG314" s="539"/>
      <c r="CHH314" s="539"/>
      <c r="CHI314" s="539"/>
      <c r="CHJ314" s="539"/>
      <c r="CHK314" s="539"/>
      <c r="CHL314" s="539"/>
      <c r="CHM314" s="539"/>
      <c r="CHN314" s="539"/>
      <c r="CHO314" s="539"/>
      <c r="CHP314" s="539"/>
      <c r="CHQ314" s="539"/>
      <c r="CHR314" s="539"/>
      <c r="CHS314" s="539"/>
      <c r="CHT314" s="539"/>
      <c r="CHU314" s="539"/>
      <c r="CHV314" s="539"/>
      <c r="CHW314" s="539"/>
      <c r="CHX314" s="539"/>
      <c r="CHY314" s="539"/>
      <c r="CHZ314" s="539"/>
      <c r="CIA314" s="539"/>
      <c r="CIB314" s="539"/>
      <c r="CIC314" s="539"/>
      <c r="CID314" s="539"/>
      <c r="CIE314" s="539"/>
      <c r="CIF314" s="539"/>
      <c r="CIG314" s="539"/>
      <c r="CIH314" s="539"/>
      <c r="CII314" s="539"/>
      <c r="CIJ314" s="539"/>
      <c r="CIK314" s="539"/>
      <c r="CIL314" s="539"/>
      <c r="CIM314" s="539"/>
      <c r="CIN314" s="539"/>
      <c r="CIO314" s="539"/>
      <c r="CIP314" s="539"/>
      <c r="CIQ314" s="539"/>
      <c r="CIR314" s="539"/>
      <c r="CIS314" s="539"/>
      <c r="CIT314" s="539"/>
      <c r="CIU314" s="539"/>
      <c r="CIV314" s="539"/>
      <c r="CIW314" s="539"/>
      <c r="CIX314" s="539"/>
      <c r="CIY314" s="539"/>
      <c r="CIZ314" s="539"/>
      <c r="CJA314" s="539"/>
      <c r="CJB314" s="539"/>
      <c r="CJC314" s="539"/>
      <c r="CJD314" s="539"/>
      <c r="CJE314" s="539"/>
      <c r="CJF314" s="539"/>
      <c r="CJG314" s="539"/>
      <c r="CJH314" s="539"/>
      <c r="CJI314" s="539"/>
      <c r="CJJ314" s="539"/>
      <c r="CJK314" s="539"/>
      <c r="CJL314" s="539"/>
      <c r="CJM314" s="539"/>
      <c r="CJN314" s="539"/>
      <c r="CJO314" s="539"/>
      <c r="CJP314" s="539"/>
      <c r="CJQ314" s="539"/>
      <c r="CJR314" s="539"/>
      <c r="CJS314" s="539"/>
      <c r="CJT314" s="539"/>
      <c r="CJU314" s="539"/>
      <c r="CJV314" s="539"/>
      <c r="CJW314" s="539"/>
      <c r="CJX314" s="539"/>
      <c r="CJY314" s="539"/>
      <c r="CJZ314" s="539"/>
      <c r="CKA314" s="539"/>
      <c r="CKB314" s="539"/>
      <c r="CKC314" s="539"/>
      <c r="CKD314" s="539"/>
      <c r="CKE314" s="539"/>
      <c r="CKF314" s="539"/>
      <c r="CKG314" s="539"/>
      <c r="CKH314" s="539"/>
      <c r="CKI314" s="539"/>
      <c r="CKJ314" s="539"/>
      <c r="CKK314" s="539"/>
      <c r="CKL314" s="539"/>
      <c r="CKM314" s="539"/>
      <c r="CKN314" s="539"/>
      <c r="CKO314" s="539"/>
      <c r="CKP314" s="539"/>
      <c r="CKQ314" s="539"/>
      <c r="CKR314" s="539"/>
      <c r="CKS314" s="539"/>
      <c r="CKT314" s="539"/>
      <c r="CKU314" s="539"/>
      <c r="CKV314" s="539"/>
      <c r="CKW314" s="539"/>
      <c r="CKX314" s="539"/>
      <c r="CKY314" s="539"/>
      <c r="CKZ314" s="539"/>
      <c r="CLA314" s="539"/>
      <c r="CLB314" s="539"/>
      <c r="CLC314" s="539"/>
      <c r="CLD314" s="539"/>
      <c r="CLE314" s="539"/>
      <c r="CLF314" s="539"/>
      <c r="CLG314" s="539"/>
      <c r="CLH314" s="539"/>
      <c r="CLI314" s="539"/>
      <c r="CLJ314" s="539"/>
      <c r="CLK314" s="539"/>
      <c r="CLL314" s="539"/>
      <c r="CLM314" s="539"/>
      <c r="CLN314" s="539"/>
      <c r="CLO314" s="539"/>
      <c r="CLP314" s="539"/>
      <c r="CLQ314" s="539"/>
      <c r="CLR314" s="539"/>
      <c r="CLS314" s="539"/>
      <c r="CLT314" s="539"/>
      <c r="CLU314" s="539"/>
      <c r="CLV314" s="539"/>
      <c r="CLW314" s="539"/>
      <c r="CLX314" s="539"/>
      <c r="CLY314" s="539"/>
      <c r="CLZ314" s="539"/>
      <c r="CMA314" s="539"/>
      <c r="CMB314" s="539"/>
      <c r="CMC314" s="539"/>
      <c r="CMD314" s="539"/>
      <c r="CME314" s="539"/>
      <c r="CMF314" s="539"/>
      <c r="CMG314" s="539"/>
      <c r="CMH314" s="539"/>
      <c r="CMI314" s="539"/>
      <c r="CMJ314" s="539"/>
      <c r="CMK314" s="539"/>
      <c r="CML314" s="539"/>
      <c r="CMM314" s="539"/>
      <c r="CMN314" s="539"/>
      <c r="CMO314" s="539"/>
      <c r="CMP314" s="539"/>
      <c r="CMQ314" s="539"/>
      <c r="CMR314" s="539"/>
      <c r="CMS314" s="539"/>
      <c r="CMT314" s="539"/>
      <c r="CMU314" s="539"/>
      <c r="CMV314" s="539"/>
      <c r="CMW314" s="539"/>
      <c r="CMX314" s="539"/>
      <c r="CMY314" s="539"/>
      <c r="CMZ314" s="539"/>
      <c r="CNA314" s="539"/>
      <c r="CNB314" s="539"/>
      <c r="CNC314" s="539"/>
      <c r="CND314" s="539"/>
      <c r="CNE314" s="539"/>
      <c r="CNF314" s="539"/>
      <c r="CNG314" s="539"/>
      <c r="CNH314" s="539"/>
      <c r="CNI314" s="539"/>
      <c r="CNJ314" s="539"/>
      <c r="CNK314" s="539"/>
      <c r="CNL314" s="539"/>
      <c r="CNM314" s="539"/>
      <c r="CNN314" s="539"/>
      <c r="CNO314" s="539"/>
      <c r="CNP314" s="539"/>
      <c r="CNQ314" s="539"/>
      <c r="CNR314" s="539"/>
      <c r="CNS314" s="539"/>
      <c r="CNT314" s="539"/>
      <c r="CNU314" s="539"/>
      <c r="CNV314" s="539"/>
      <c r="CNW314" s="539"/>
      <c r="CNX314" s="539"/>
      <c r="CNY314" s="539"/>
      <c r="CNZ314" s="539"/>
      <c r="COA314" s="539"/>
      <c r="COB314" s="539"/>
      <c r="COC314" s="539"/>
      <c r="COD314" s="539"/>
      <c r="COE314" s="539"/>
      <c r="COF314" s="539"/>
      <c r="COG314" s="539"/>
      <c r="COH314" s="539"/>
      <c r="COI314" s="539"/>
      <c r="COJ314" s="539"/>
      <c r="COK314" s="539"/>
      <c r="COL314" s="539"/>
      <c r="COM314" s="539"/>
      <c r="CON314" s="539"/>
      <c r="COO314" s="539"/>
      <c r="COP314" s="539"/>
      <c r="COQ314" s="539"/>
      <c r="COR314" s="539"/>
      <c r="COS314" s="539"/>
      <c r="COT314" s="539"/>
      <c r="COU314" s="539"/>
      <c r="COV314" s="539"/>
      <c r="COW314" s="539"/>
      <c r="COX314" s="539"/>
      <c r="COY314" s="539"/>
      <c r="COZ314" s="539"/>
      <c r="CPA314" s="539"/>
      <c r="CPB314" s="539"/>
      <c r="CPC314" s="539"/>
      <c r="CPD314" s="539"/>
      <c r="CPE314" s="539"/>
      <c r="CPF314" s="539"/>
      <c r="CPG314" s="539"/>
      <c r="CPH314" s="539"/>
      <c r="CPI314" s="539"/>
      <c r="CPJ314" s="539"/>
      <c r="CPK314" s="539"/>
      <c r="CPL314" s="539"/>
      <c r="CPM314" s="539"/>
      <c r="CPN314" s="539"/>
      <c r="CPO314" s="539"/>
      <c r="CPP314" s="539"/>
      <c r="CPQ314" s="539"/>
      <c r="CPR314" s="539"/>
      <c r="CPS314" s="539"/>
      <c r="CPT314" s="539"/>
      <c r="CPU314" s="539"/>
      <c r="CPV314" s="539"/>
      <c r="CPW314" s="539"/>
      <c r="CPX314" s="539"/>
      <c r="CPY314" s="539"/>
      <c r="CPZ314" s="539"/>
      <c r="CQA314" s="539"/>
      <c r="CQB314" s="539"/>
      <c r="CQC314" s="539"/>
      <c r="CQD314" s="539"/>
      <c r="CQE314" s="539"/>
      <c r="CQF314" s="539"/>
      <c r="CQG314" s="539"/>
      <c r="CQH314" s="539"/>
      <c r="CQI314" s="539"/>
      <c r="CQJ314" s="539"/>
      <c r="CQK314" s="539"/>
      <c r="CQL314" s="539"/>
      <c r="CQM314" s="539"/>
      <c r="CQN314" s="539"/>
      <c r="CQO314" s="539"/>
      <c r="CQP314" s="539"/>
      <c r="CQQ314" s="539"/>
      <c r="CQR314" s="539"/>
      <c r="CQS314" s="539"/>
      <c r="CQT314" s="539"/>
      <c r="CQU314" s="539"/>
      <c r="CQV314" s="539"/>
      <c r="CQW314" s="539"/>
      <c r="CQX314" s="539"/>
      <c r="CQY314" s="539"/>
      <c r="CQZ314" s="539"/>
      <c r="CRA314" s="539"/>
      <c r="CRB314" s="539"/>
      <c r="CRC314" s="539"/>
      <c r="CRD314" s="539"/>
      <c r="CRE314" s="539"/>
      <c r="CRF314" s="539"/>
      <c r="CRG314" s="539"/>
      <c r="CRH314" s="539"/>
      <c r="CRI314" s="539"/>
      <c r="CRJ314" s="539"/>
      <c r="CRK314" s="539"/>
      <c r="CRL314" s="539"/>
      <c r="CRM314" s="539"/>
      <c r="CRN314" s="539"/>
      <c r="CRO314" s="539"/>
      <c r="CRP314" s="539"/>
      <c r="CRQ314" s="539"/>
      <c r="CRR314" s="539"/>
      <c r="CRS314" s="539"/>
      <c r="CRT314" s="539"/>
      <c r="CRU314" s="539"/>
      <c r="CRV314" s="539"/>
      <c r="CRW314" s="539"/>
      <c r="CRX314" s="539"/>
      <c r="CRY314" s="539"/>
      <c r="CRZ314" s="539"/>
      <c r="CSA314" s="539"/>
      <c r="CSB314" s="539"/>
      <c r="CSC314" s="539"/>
      <c r="CSD314" s="539"/>
      <c r="CSE314" s="539"/>
      <c r="CSF314" s="539"/>
      <c r="CSG314" s="539"/>
      <c r="CSH314" s="539"/>
      <c r="CSI314" s="539"/>
      <c r="CSJ314" s="539"/>
      <c r="CSK314" s="539"/>
      <c r="CSL314" s="539"/>
      <c r="CSM314" s="539"/>
      <c r="CSN314" s="539"/>
      <c r="CSO314" s="539"/>
      <c r="CSP314" s="539"/>
      <c r="CSQ314" s="539"/>
      <c r="CSR314" s="539"/>
      <c r="CSS314" s="539"/>
      <c r="CST314" s="539"/>
      <c r="CSU314" s="539"/>
      <c r="CSV314" s="539"/>
      <c r="CSW314" s="539"/>
      <c r="CSX314" s="539"/>
      <c r="CSY314" s="539"/>
      <c r="CSZ314" s="539"/>
      <c r="CTA314" s="539"/>
      <c r="CTB314" s="539"/>
      <c r="CTC314" s="539"/>
      <c r="CTD314" s="539"/>
      <c r="CTE314" s="539"/>
      <c r="CTF314" s="539"/>
      <c r="CTG314" s="539"/>
      <c r="CTH314" s="539"/>
      <c r="CTI314" s="539"/>
      <c r="CTJ314" s="539"/>
      <c r="CTK314" s="539"/>
      <c r="CTL314" s="539"/>
      <c r="CTM314" s="539"/>
      <c r="CTN314" s="539"/>
      <c r="CTO314" s="539"/>
      <c r="CTP314" s="539"/>
      <c r="CTQ314" s="539"/>
      <c r="CTR314" s="539"/>
      <c r="CTS314" s="539"/>
      <c r="CTT314" s="539"/>
      <c r="CTU314" s="539"/>
      <c r="CTV314" s="539"/>
      <c r="CTW314" s="539"/>
      <c r="CTX314" s="539"/>
      <c r="CTY314" s="539"/>
      <c r="CTZ314" s="539"/>
      <c r="CUA314" s="539"/>
      <c r="CUB314" s="539"/>
      <c r="CUC314" s="539"/>
      <c r="CUD314" s="539"/>
      <c r="CUE314" s="539"/>
      <c r="CUF314" s="539"/>
      <c r="CUG314" s="539"/>
      <c r="CUH314" s="539"/>
      <c r="CUI314" s="539"/>
      <c r="CUJ314" s="539"/>
      <c r="CUK314" s="539"/>
      <c r="CUL314" s="539"/>
      <c r="CUM314" s="539"/>
      <c r="CUN314" s="539"/>
      <c r="CUO314" s="539"/>
      <c r="CUP314" s="539"/>
      <c r="CUQ314" s="539"/>
      <c r="CUR314" s="539"/>
      <c r="CUS314" s="539"/>
      <c r="CUT314" s="539"/>
      <c r="CUU314" s="539"/>
      <c r="CUV314" s="539"/>
      <c r="CUW314" s="539"/>
      <c r="CUX314" s="539"/>
      <c r="CUY314" s="539"/>
      <c r="CUZ314" s="539"/>
      <c r="CVA314" s="539"/>
      <c r="CVB314" s="539"/>
      <c r="CVC314" s="539"/>
      <c r="CVD314" s="539"/>
      <c r="CVE314" s="539"/>
      <c r="CVF314" s="539"/>
      <c r="CVG314" s="539"/>
      <c r="CVH314" s="539"/>
      <c r="CVI314" s="539"/>
      <c r="CVJ314" s="539"/>
      <c r="CVK314" s="539"/>
      <c r="CVL314" s="539"/>
      <c r="CVM314" s="539"/>
      <c r="CVN314" s="539"/>
      <c r="CVO314" s="539"/>
      <c r="CVP314" s="539"/>
      <c r="CVQ314" s="539"/>
      <c r="CVR314" s="539"/>
      <c r="CVS314" s="539"/>
      <c r="CVT314" s="539"/>
      <c r="CVU314" s="539"/>
      <c r="CVV314" s="539"/>
      <c r="CVW314" s="539"/>
      <c r="CVX314" s="539"/>
      <c r="CVY314" s="539"/>
      <c r="CVZ314" s="539"/>
      <c r="CWA314" s="539"/>
      <c r="CWB314" s="539"/>
      <c r="CWC314" s="539"/>
      <c r="CWD314" s="539"/>
      <c r="CWE314" s="539"/>
      <c r="CWF314" s="539"/>
      <c r="CWG314" s="539"/>
      <c r="CWH314" s="539"/>
      <c r="CWI314" s="539"/>
      <c r="CWJ314" s="539"/>
      <c r="CWK314" s="539"/>
      <c r="CWL314" s="539"/>
      <c r="CWM314" s="539"/>
      <c r="CWN314" s="539"/>
      <c r="CWO314" s="539"/>
      <c r="CWP314" s="539"/>
      <c r="CWQ314" s="539"/>
      <c r="CWR314" s="539"/>
      <c r="CWS314" s="539"/>
      <c r="CWT314" s="539"/>
      <c r="CWU314" s="539"/>
      <c r="CWV314" s="539"/>
      <c r="CWW314" s="539"/>
      <c r="CWX314" s="539"/>
      <c r="CWY314" s="539"/>
      <c r="CWZ314" s="539"/>
      <c r="CXA314" s="539"/>
      <c r="CXB314" s="539"/>
      <c r="CXC314" s="539"/>
      <c r="CXD314" s="539"/>
      <c r="CXE314" s="539"/>
      <c r="CXF314" s="539"/>
      <c r="CXG314" s="539"/>
      <c r="CXH314" s="539"/>
      <c r="CXI314" s="539"/>
      <c r="CXJ314" s="539"/>
      <c r="CXK314" s="539"/>
      <c r="CXL314" s="539"/>
      <c r="CXM314" s="539"/>
      <c r="CXN314" s="539"/>
      <c r="CXO314" s="539"/>
      <c r="CXP314" s="539"/>
      <c r="CXQ314" s="539"/>
      <c r="CXR314" s="539"/>
      <c r="CXS314" s="539"/>
      <c r="CXT314" s="539"/>
      <c r="CXU314" s="539"/>
      <c r="CXV314" s="539"/>
      <c r="CXW314" s="539"/>
      <c r="CXX314" s="539"/>
      <c r="CXY314" s="539"/>
      <c r="CXZ314" s="539"/>
      <c r="CYA314" s="539"/>
      <c r="CYB314" s="539"/>
      <c r="CYC314" s="539"/>
      <c r="CYD314" s="539"/>
      <c r="CYE314" s="539"/>
      <c r="CYF314" s="539"/>
      <c r="CYG314" s="539"/>
      <c r="CYH314" s="539"/>
      <c r="CYI314" s="539"/>
      <c r="CYJ314" s="539"/>
      <c r="CYK314" s="539"/>
      <c r="CYL314" s="539"/>
      <c r="CYM314" s="539"/>
      <c r="CYN314" s="539"/>
      <c r="CYO314" s="539"/>
      <c r="CYP314" s="539"/>
      <c r="CYQ314" s="539"/>
      <c r="CYR314" s="539"/>
      <c r="CYS314" s="539"/>
      <c r="CYT314" s="539"/>
      <c r="CYU314" s="539"/>
      <c r="CYV314" s="539"/>
      <c r="CYW314" s="539"/>
      <c r="CYX314" s="539"/>
      <c r="CYY314" s="539"/>
      <c r="CYZ314" s="539"/>
      <c r="CZA314" s="539"/>
      <c r="CZB314" s="539"/>
      <c r="CZC314" s="539"/>
      <c r="CZD314" s="539"/>
      <c r="CZE314" s="539"/>
      <c r="CZF314" s="539"/>
      <c r="CZG314" s="539"/>
      <c r="CZH314" s="539"/>
      <c r="CZI314" s="539"/>
      <c r="CZJ314" s="539"/>
      <c r="CZK314" s="539"/>
      <c r="CZL314" s="539"/>
      <c r="CZM314" s="539"/>
      <c r="CZN314" s="539"/>
      <c r="CZO314" s="539"/>
      <c r="CZP314" s="539"/>
      <c r="CZQ314" s="539"/>
      <c r="CZR314" s="539"/>
      <c r="CZS314" s="539"/>
      <c r="CZT314" s="539"/>
      <c r="CZU314" s="539"/>
      <c r="CZV314" s="539"/>
      <c r="CZW314" s="539"/>
      <c r="CZX314" s="539"/>
      <c r="CZY314" s="539"/>
      <c r="CZZ314" s="539"/>
      <c r="DAA314" s="539"/>
      <c r="DAB314" s="539"/>
      <c r="DAC314" s="539"/>
      <c r="DAD314" s="539"/>
      <c r="DAE314" s="539"/>
      <c r="DAF314" s="539"/>
      <c r="DAG314" s="539"/>
      <c r="DAH314" s="539"/>
      <c r="DAI314" s="539"/>
      <c r="DAJ314" s="539"/>
      <c r="DAK314" s="539"/>
      <c r="DAL314" s="539"/>
      <c r="DAM314" s="539"/>
      <c r="DAN314" s="539"/>
      <c r="DAO314" s="539"/>
      <c r="DAP314" s="539"/>
      <c r="DAQ314" s="539"/>
      <c r="DAR314" s="539"/>
      <c r="DAS314" s="539"/>
      <c r="DAT314" s="539"/>
      <c r="DAU314" s="539"/>
      <c r="DAV314" s="539"/>
      <c r="DAW314" s="539"/>
      <c r="DAX314" s="539"/>
      <c r="DAY314" s="539"/>
      <c r="DAZ314" s="539"/>
      <c r="DBA314" s="539"/>
      <c r="DBB314" s="539"/>
      <c r="DBC314" s="539"/>
      <c r="DBD314" s="539"/>
      <c r="DBE314" s="539"/>
      <c r="DBF314" s="539"/>
      <c r="DBG314" s="539"/>
      <c r="DBH314" s="539"/>
      <c r="DBI314" s="539"/>
      <c r="DBJ314" s="539"/>
      <c r="DBK314" s="539"/>
      <c r="DBL314" s="539"/>
      <c r="DBM314" s="539"/>
      <c r="DBN314" s="539"/>
      <c r="DBO314" s="539"/>
      <c r="DBP314" s="539"/>
      <c r="DBQ314" s="539"/>
      <c r="DBR314" s="539"/>
      <c r="DBS314" s="539"/>
      <c r="DBT314" s="539"/>
      <c r="DBU314" s="539"/>
      <c r="DBV314" s="539"/>
      <c r="DBW314" s="539"/>
      <c r="DBX314" s="539"/>
      <c r="DBY314" s="539"/>
      <c r="DBZ314" s="539"/>
      <c r="DCA314" s="539"/>
      <c r="DCB314" s="539"/>
      <c r="DCC314" s="539"/>
      <c r="DCD314" s="539"/>
      <c r="DCE314" s="539"/>
      <c r="DCF314" s="539"/>
      <c r="DCG314" s="539"/>
      <c r="DCH314" s="539"/>
      <c r="DCI314" s="539"/>
      <c r="DCJ314" s="539"/>
      <c r="DCK314" s="539"/>
      <c r="DCL314" s="539"/>
      <c r="DCM314" s="539"/>
      <c r="DCN314" s="539"/>
      <c r="DCO314" s="539"/>
      <c r="DCP314" s="539"/>
      <c r="DCQ314" s="539"/>
      <c r="DCR314" s="539"/>
      <c r="DCS314" s="539"/>
      <c r="DCT314" s="539"/>
      <c r="DCU314" s="539"/>
      <c r="DCV314" s="539"/>
      <c r="DCW314" s="539"/>
      <c r="DCX314" s="539"/>
      <c r="DCY314" s="539"/>
      <c r="DCZ314" s="539"/>
      <c r="DDA314" s="539"/>
      <c r="DDB314" s="539"/>
      <c r="DDC314" s="539"/>
      <c r="DDD314" s="539"/>
      <c r="DDE314" s="539"/>
      <c r="DDF314" s="539"/>
      <c r="DDG314" s="539"/>
      <c r="DDH314" s="539"/>
      <c r="DDI314" s="539"/>
      <c r="DDJ314" s="539"/>
      <c r="DDK314" s="539"/>
      <c r="DDL314" s="539"/>
      <c r="DDM314" s="539"/>
      <c r="DDN314" s="539"/>
      <c r="DDO314" s="539"/>
      <c r="DDP314" s="539"/>
      <c r="DDQ314" s="539"/>
      <c r="DDR314" s="539"/>
      <c r="DDS314" s="539"/>
      <c r="DDT314" s="539"/>
      <c r="DDU314" s="539"/>
      <c r="DDV314" s="539"/>
      <c r="DDW314" s="539"/>
      <c r="DDX314" s="539"/>
      <c r="DDY314" s="539"/>
      <c r="DDZ314" s="539"/>
      <c r="DEA314" s="539"/>
      <c r="DEB314" s="539"/>
      <c r="DEC314" s="539"/>
      <c r="DED314" s="539"/>
      <c r="DEE314" s="539"/>
      <c r="DEF314" s="539"/>
      <c r="DEG314" s="539"/>
      <c r="DEH314" s="539"/>
      <c r="DEI314" s="539"/>
      <c r="DEJ314" s="539"/>
      <c r="DEK314" s="539"/>
      <c r="DEL314" s="539"/>
      <c r="DEM314" s="539"/>
      <c r="DEN314" s="539"/>
      <c r="DEO314" s="539"/>
      <c r="DEP314" s="539"/>
      <c r="DEQ314" s="539"/>
      <c r="DER314" s="539"/>
      <c r="DES314" s="539"/>
      <c r="DET314" s="539"/>
      <c r="DEU314" s="539"/>
      <c r="DEV314" s="539"/>
      <c r="DEW314" s="539"/>
      <c r="DEX314" s="539"/>
      <c r="DEY314" s="539"/>
      <c r="DEZ314" s="539"/>
      <c r="DFA314" s="539"/>
      <c r="DFB314" s="539"/>
      <c r="DFC314" s="539"/>
      <c r="DFD314" s="539"/>
      <c r="DFE314" s="539"/>
      <c r="DFF314" s="539"/>
      <c r="DFG314" s="539"/>
      <c r="DFH314" s="539"/>
      <c r="DFI314" s="539"/>
      <c r="DFJ314" s="539"/>
      <c r="DFK314" s="539"/>
      <c r="DFL314" s="539"/>
      <c r="DFM314" s="539"/>
      <c r="DFN314" s="539"/>
      <c r="DFO314" s="539"/>
      <c r="DFP314" s="539"/>
      <c r="DFQ314" s="539"/>
      <c r="DFR314" s="539"/>
      <c r="DFS314" s="539"/>
      <c r="DFT314" s="539"/>
      <c r="DFU314" s="539"/>
      <c r="DFV314" s="539"/>
      <c r="DFW314" s="539"/>
      <c r="DFX314" s="539"/>
      <c r="DFY314" s="539"/>
      <c r="DFZ314" s="539"/>
      <c r="DGA314" s="539"/>
      <c r="DGB314" s="539"/>
      <c r="DGC314" s="539"/>
      <c r="DGD314" s="539"/>
      <c r="DGE314" s="539"/>
      <c r="DGF314" s="539"/>
      <c r="DGG314" s="539"/>
      <c r="DGH314" s="539"/>
      <c r="DGI314" s="539"/>
      <c r="DGJ314" s="539"/>
      <c r="DGK314" s="539"/>
      <c r="DGL314" s="539"/>
      <c r="DGM314" s="539"/>
      <c r="DGN314" s="539"/>
      <c r="DGO314" s="539"/>
      <c r="DGP314" s="539"/>
      <c r="DGQ314" s="539"/>
      <c r="DGR314" s="539"/>
      <c r="DGS314" s="539"/>
      <c r="DGT314" s="539"/>
      <c r="DGU314" s="539"/>
      <c r="DGV314" s="539"/>
      <c r="DGW314" s="539"/>
      <c r="DGX314" s="539"/>
      <c r="DGY314" s="539"/>
      <c r="DGZ314" s="539"/>
      <c r="DHA314" s="539"/>
      <c r="DHB314" s="539"/>
      <c r="DHC314" s="539"/>
      <c r="DHD314" s="539"/>
      <c r="DHE314" s="539"/>
      <c r="DHF314" s="539"/>
      <c r="DHG314" s="539"/>
      <c r="DHH314" s="539"/>
      <c r="DHI314" s="539"/>
      <c r="DHJ314" s="539"/>
      <c r="DHK314" s="539"/>
      <c r="DHL314" s="539"/>
      <c r="DHM314" s="539"/>
      <c r="DHN314" s="539"/>
      <c r="DHO314" s="539"/>
      <c r="DHP314" s="539"/>
      <c r="DHQ314" s="539"/>
      <c r="DHR314" s="539"/>
      <c r="DHS314" s="539"/>
      <c r="DHT314" s="539"/>
      <c r="DHU314" s="539"/>
      <c r="DHV314" s="539"/>
      <c r="DHW314" s="539"/>
      <c r="DHX314" s="539"/>
      <c r="DHY314" s="539"/>
      <c r="DHZ314" s="539"/>
      <c r="DIA314" s="539"/>
      <c r="DIB314" s="539"/>
      <c r="DIC314" s="539"/>
      <c r="DID314" s="539"/>
      <c r="DIE314" s="539"/>
      <c r="DIF314" s="539"/>
      <c r="DIG314" s="539"/>
      <c r="DIH314" s="539"/>
      <c r="DII314" s="539"/>
      <c r="DIJ314" s="539"/>
      <c r="DIK314" s="539"/>
      <c r="DIL314" s="539"/>
      <c r="DIM314" s="539"/>
      <c r="DIN314" s="539"/>
      <c r="DIO314" s="539"/>
      <c r="DIP314" s="539"/>
      <c r="DIQ314" s="539"/>
      <c r="DIR314" s="539"/>
      <c r="DIS314" s="539"/>
      <c r="DIT314" s="539"/>
      <c r="DIU314" s="539"/>
      <c r="DIV314" s="539"/>
      <c r="DIW314" s="539"/>
      <c r="DIX314" s="539"/>
      <c r="DIY314" s="539"/>
      <c r="DIZ314" s="539"/>
      <c r="DJA314" s="539"/>
      <c r="DJB314" s="539"/>
      <c r="DJC314" s="539"/>
      <c r="DJD314" s="539"/>
      <c r="DJE314" s="539"/>
      <c r="DJF314" s="539"/>
      <c r="DJG314" s="539"/>
      <c r="DJH314" s="539"/>
      <c r="DJI314" s="539"/>
      <c r="DJJ314" s="539"/>
      <c r="DJK314" s="539"/>
      <c r="DJL314" s="539"/>
      <c r="DJM314" s="539"/>
      <c r="DJN314" s="539"/>
      <c r="DJO314" s="539"/>
      <c r="DJP314" s="539"/>
      <c r="DJQ314" s="539"/>
      <c r="DJR314" s="539"/>
      <c r="DJS314" s="539"/>
      <c r="DJT314" s="539"/>
      <c r="DJU314" s="539"/>
      <c r="DJV314" s="539"/>
      <c r="DJW314" s="539"/>
      <c r="DJX314" s="539"/>
      <c r="DJY314" s="539"/>
      <c r="DJZ314" s="539"/>
      <c r="DKA314" s="539"/>
      <c r="DKB314" s="539"/>
      <c r="DKC314" s="539"/>
      <c r="DKD314" s="539"/>
      <c r="DKE314" s="539"/>
      <c r="DKF314" s="539"/>
      <c r="DKG314" s="539"/>
      <c r="DKH314" s="539"/>
      <c r="DKI314" s="539"/>
      <c r="DKJ314" s="539"/>
      <c r="DKK314" s="539"/>
      <c r="DKL314" s="539"/>
      <c r="DKM314" s="539"/>
      <c r="DKN314" s="539"/>
      <c r="DKO314" s="539"/>
      <c r="DKP314" s="539"/>
      <c r="DKQ314" s="539"/>
      <c r="DKR314" s="539"/>
      <c r="DKS314" s="539"/>
      <c r="DKT314" s="539"/>
      <c r="DKU314" s="539"/>
      <c r="DKV314" s="539"/>
      <c r="DKW314" s="539"/>
      <c r="DKX314" s="539"/>
      <c r="DKY314" s="539"/>
      <c r="DKZ314" s="539"/>
      <c r="DLA314" s="539"/>
      <c r="DLB314" s="539"/>
      <c r="DLC314" s="539"/>
      <c r="DLD314" s="539"/>
      <c r="DLE314" s="539"/>
      <c r="DLF314" s="539"/>
      <c r="DLG314" s="539"/>
      <c r="DLH314" s="539"/>
      <c r="DLI314" s="539"/>
      <c r="DLJ314" s="539"/>
      <c r="DLK314" s="539"/>
      <c r="DLL314" s="539"/>
      <c r="DLM314" s="539"/>
      <c r="DLN314" s="539"/>
      <c r="DLO314" s="539"/>
      <c r="DLP314" s="539"/>
      <c r="DLQ314" s="539"/>
      <c r="DLR314" s="539"/>
      <c r="DLS314" s="539"/>
      <c r="DLT314" s="539"/>
      <c r="DLU314" s="539"/>
      <c r="DLV314" s="539"/>
      <c r="DLW314" s="539"/>
      <c r="DLX314" s="539"/>
      <c r="DLY314" s="539"/>
      <c r="DLZ314" s="539"/>
      <c r="DMA314" s="539"/>
      <c r="DMB314" s="539"/>
      <c r="DMC314" s="539"/>
      <c r="DMD314" s="539"/>
      <c r="DME314" s="539"/>
      <c r="DMF314" s="539"/>
      <c r="DMG314" s="539"/>
      <c r="DMH314" s="539"/>
      <c r="DMI314" s="539"/>
      <c r="DMJ314" s="539"/>
      <c r="DMK314" s="539"/>
      <c r="DML314" s="539"/>
      <c r="DMM314" s="539"/>
      <c r="DMN314" s="539"/>
      <c r="DMO314" s="539"/>
      <c r="DMP314" s="539"/>
      <c r="DMQ314" s="539"/>
      <c r="DMR314" s="539"/>
      <c r="DMS314" s="539"/>
      <c r="DMT314" s="539"/>
      <c r="DMU314" s="539"/>
      <c r="DMV314" s="539"/>
      <c r="DMW314" s="539"/>
      <c r="DMX314" s="539"/>
      <c r="DMY314" s="539"/>
      <c r="DMZ314" s="539"/>
      <c r="DNA314" s="539"/>
      <c r="DNB314" s="539"/>
      <c r="DNC314" s="539"/>
      <c r="DND314" s="539"/>
      <c r="DNE314" s="539"/>
      <c r="DNF314" s="539"/>
      <c r="DNG314" s="539"/>
      <c r="DNH314" s="539"/>
      <c r="DNI314" s="539"/>
      <c r="DNJ314" s="539"/>
      <c r="DNK314" s="539"/>
      <c r="DNL314" s="539"/>
      <c r="DNM314" s="539"/>
      <c r="DNN314" s="539"/>
      <c r="DNO314" s="539"/>
      <c r="DNP314" s="539"/>
      <c r="DNQ314" s="539"/>
      <c r="DNR314" s="539"/>
      <c r="DNS314" s="539"/>
      <c r="DNT314" s="539"/>
      <c r="DNU314" s="539"/>
      <c r="DNV314" s="539"/>
      <c r="DNW314" s="539"/>
      <c r="DNX314" s="539"/>
      <c r="DNY314" s="539"/>
      <c r="DNZ314" s="539"/>
      <c r="DOA314" s="539"/>
      <c r="DOB314" s="539"/>
      <c r="DOC314" s="539"/>
      <c r="DOD314" s="539"/>
      <c r="DOE314" s="539"/>
      <c r="DOF314" s="539"/>
      <c r="DOG314" s="539"/>
      <c r="DOH314" s="539"/>
      <c r="DOI314" s="539"/>
      <c r="DOJ314" s="539"/>
      <c r="DOK314" s="539"/>
      <c r="DOL314" s="539"/>
      <c r="DOM314" s="539"/>
      <c r="DON314" s="539"/>
      <c r="DOO314" s="539"/>
      <c r="DOP314" s="539"/>
      <c r="DOQ314" s="539"/>
      <c r="DOR314" s="539"/>
      <c r="DOS314" s="539"/>
      <c r="DOT314" s="539"/>
      <c r="DOU314" s="539"/>
      <c r="DOV314" s="539"/>
      <c r="DOW314" s="539"/>
      <c r="DOX314" s="539"/>
      <c r="DOY314" s="539"/>
      <c r="DOZ314" s="539"/>
      <c r="DPA314" s="539"/>
      <c r="DPB314" s="539"/>
      <c r="DPC314" s="539"/>
      <c r="DPD314" s="539"/>
      <c r="DPE314" s="539"/>
      <c r="DPF314" s="539"/>
      <c r="DPG314" s="539"/>
      <c r="DPH314" s="539"/>
      <c r="DPI314" s="539"/>
      <c r="DPJ314" s="539"/>
      <c r="DPK314" s="539"/>
      <c r="DPL314" s="539"/>
      <c r="DPM314" s="539"/>
      <c r="DPN314" s="539"/>
      <c r="DPO314" s="539"/>
      <c r="DPP314" s="539"/>
      <c r="DPQ314" s="539"/>
      <c r="DPR314" s="539"/>
      <c r="DPS314" s="539"/>
      <c r="DPT314" s="539"/>
      <c r="DPU314" s="539"/>
      <c r="DPV314" s="539"/>
      <c r="DPW314" s="539"/>
      <c r="DPX314" s="539"/>
      <c r="DPY314" s="539"/>
      <c r="DPZ314" s="539"/>
      <c r="DQA314" s="539"/>
      <c r="DQB314" s="539"/>
      <c r="DQC314" s="539"/>
      <c r="DQD314" s="539"/>
      <c r="DQE314" s="539"/>
      <c r="DQF314" s="539"/>
      <c r="DQG314" s="539"/>
      <c r="DQH314" s="539"/>
      <c r="DQI314" s="539"/>
      <c r="DQJ314" s="539"/>
      <c r="DQK314" s="539"/>
      <c r="DQL314" s="539"/>
      <c r="DQM314" s="539"/>
      <c r="DQN314" s="539"/>
      <c r="DQO314" s="539"/>
      <c r="DQP314" s="539"/>
      <c r="DQQ314" s="539"/>
      <c r="DQR314" s="539"/>
      <c r="DQS314" s="539"/>
      <c r="DQT314" s="539"/>
      <c r="DQU314" s="539"/>
      <c r="DQV314" s="539"/>
      <c r="DQW314" s="539"/>
      <c r="DQX314" s="539"/>
      <c r="DQY314" s="539"/>
      <c r="DQZ314" s="539"/>
      <c r="DRA314" s="539"/>
      <c r="DRB314" s="539"/>
      <c r="DRC314" s="539"/>
      <c r="DRD314" s="539"/>
      <c r="DRE314" s="539"/>
      <c r="DRF314" s="539"/>
      <c r="DRG314" s="539"/>
      <c r="DRH314" s="539"/>
      <c r="DRI314" s="539"/>
      <c r="DRJ314" s="539"/>
      <c r="DRK314" s="539"/>
      <c r="DRL314" s="539"/>
      <c r="DRM314" s="539"/>
      <c r="DRN314" s="539"/>
      <c r="DRO314" s="539"/>
      <c r="DRP314" s="539"/>
      <c r="DRQ314" s="539"/>
      <c r="DRR314" s="539"/>
      <c r="DRS314" s="539"/>
      <c r="DRT314" s="539"/>
      <c r="DRU314" s="539"/>
      <c r="DRV314" s="539"/>
      <c r="DRW314" s="539"/>
      <c r="DRX314" s="539"/>
      <c r="DRY314" s="539"/>
      <c r="DRZ314" s="539"/>
      <c r="DSA314" s="539"/>
      <c r="DSB314" s="539"/>
      <c r="DSC314" s="539"/>
      <c r="DSD314" s="539"/>
      <c r="DSE314" s="539"/>
      <c r="DSF314" s="539"/>
      <c r="DSG314" s="539"/>
      <c r="DSH314" s="539"/>
      <c r="DSI314" s="539"/>
      <c r="DSJ314" s="539"/>
      <c r="DSK314" s="539"/>
      <c r="DSL314" s="539"/>
      <c r="DSM314" s="539"/>
      <c r="DSN314" s="539"/>
      <c r="DSO314" s="539"/>
      <c r="DSP314" s="539"/>
      <c r="DSQ314" s="539"/>
      <c r="DSR314" s="539"/>
      <c r="DSS314" s="539"/>
      <c r="DST314" s="539"/>
      <c r="DSU314" s="539"/>
      <c r="DSV314" s="539"/>
      <c r="DSW314" s="539"/>
      <c r="DSX314" s="539"/>
      <c r="DSY314" s="539"/>
      <c r="DSZ314" s="539"/>
      <c r="DTA314" s="539"/>
      <c r="DTB314" s="539"/>
      <c r="DTC314" s="539"/>
      <c r="DTD314" s="539"/>
      <c r="DTE314" s="539"/>
      <c r="DTF314" s="539"/>
      <c r="DTG314" s="539"/>
      <c r="DTH314" s="539"/>
      <c r="DTI314" s="539"/>
      <c r="DTJ314" s="539"/>
      <c r="DTK314" s="539"/>
      <c r="DTL314" s="539"/>
      <c r="DTM314" s="539"/>
      <c r="DTN314" s="539"/>
      <c r="DTO314" s="539"/>
      <c r="DTP314" s="539"/>
      <c r="DTQ314" s="539"/>
      <c r="DTR314" s="539"/>
      <c r="DTS314" s="539"/>
      <c r="DTT314" s="539"/>
      <c r="DTU314" s="539"/>
      <c r="DTV314" s="539"/>
      <c r="DTW314" s="539"/>
      <c r="DTX314" s="539"/>
      <c r="DTY314" s="539"/>
      <c r="DTZ314" s="539"/>
      <c r="DUA314" s="539"/>
      <c r="DUB314" s="539"/>
      <c r="DUC314" s="539"/>
      <c r="DUD314" s="539"/>
      <c r="DUE314" s="539"/>
      <c r="DUF314" s="539"/>
      <c r="DUG314" s="539"/>
      <c r="DUH314" s="539"/>
      <c r="DUI314" s="539"/>
      <c r="DUJ314" s="539"/>
      <c r="DUK314" s="539"/>
      <c r="DUL314" s="539"/>
      <c r="DUM314" s="539"/>
      <c r="DUN314" s="539"/>
      <c r="DUO314" s="539"/>
      <c r="DUP314" s="539"/>
      <c r="DUQ314" s="539"/>
      <c r="DUR314" s="539"/>
      <c r="DUS314" s="539"/>
      <c r="DUT314" s="539"/>
      <c r="DUU314" s="539"/>
      <c r="DUV314" s="539"/>
      <c r="DUW314" s="539"/>
      <c r="DUX314" s="539"/>
      <c r="DUY314" s="539"/>
      <c r="DUZ314" s="539"/>
      <c r="DVA314" s="539"/>
      <c r="DVB314" s="539"/>
      <c r="DVC314" s="539"/>
      <c r="DVD314" s="539"/>
      <c r="DVE314" s="539"/>
      <c r="DVF314" s="539"/>
      <c r="DVG314" s="539"/>
      <c r="DVH314" s="539"/>
      <c r="DVI314" s="539"/>
      <c r="DVJ314" s="539"/>
      <c r="DVK314" s="539"/>
      <c r="DVL314" s="539"/>
      <c r="DVM314" s="539"/>
      <c r="DVN314" s="539"/>
      <c r="DVO314" s="539"/>
      <c r="DVP314" s="539"/>
      <c r="DVQ314" s="539"/>
      <c r="DVR314" s="539"/>
      <c r="DVS314" s="539"/>
      <c r="DVT314" s="539"/>
      <c r="DVU314" s="539"/>
      <c r="DVV314" s="539"/>
      <c r="DVW314" s="539"/>
      <c r="DVX314" s="539"/>
      <c r="DVY314" s="539"/>
      <c r="DVZ314" s="539"/>
      <c r="DWA314" s="539"/>
      <c r="DWB314" s="539"/>
      <c r="DWC314" s="539"/>
      <c r="DWD314" s="539"/>
      <c r="DWE314" s="539"/>
      <c r="DWF314" s="539"/>
      <c r="DWG314" s="539"/>
      <c r="DWH314" s="539"/>
      <c r="DWI314" s="539"/>
      <c r="DWJ314" s="539"/>
      <c r="DWK314" s="539"/>
      <c r="DWL314" s="539"/>
      <c r="DWM314" s="539"/>
      <c r="DWN314" s="539"/>
      <c r="DWO314" s="539"/>
      <c r="DWP314" s="539"/>
      <c r="DWQ314" s="539"/>
      <c r="DWR314" s="539"/>
      <c r="DWS314" s="539"/>
      <c r="DWT314" s="539"/>
      <c r="DWU314" s="539"/>
      <c r="DWV314" s="539"/>
      <c r="DWW314" s="539"/>
      <c r="DWX314" s="539"/>
      <c r="DWY314" s="539"/>
      <c r="DWZ314" s="539"/>
      <c r="DXA314" s="539"/>
      <c r="DXB314" s="539"/>
      <c r="DXC314" s="539"/>
      <c r="DXD314" s="539"/>
      <c r="DXE314" s="539"/>
      <c r="DXF314" s="539"/>
      <c r="DXG314" s="539"/>
      <c r="DXH314" s="539"/>
      <c r="DXI314" s="539"/>
      <c r="DXJ314" s="539"/>
      <c r="DXK314" s="539"/>
      <c r="DXL314" s="539"/>
      <c r="DXM314" s="539"/>
      <c r="DXN314" s="539"/>
      <c r="DXO314" s="539"/>
      <c r="DXP314" s="539"/>
      <c r="DXQ314" s="539"/>
      <c r="DXR314" s="539"/>
      <c r="DXS314" s="539"/>
      <c r="DXT314" s="539"/>
      <c r="DXU314" s="539"/>
      <c r="DXV314" s="539"/>
      <c r="DXW314" s="539"/>
      <c r="DXX314" s="539"/>
      <c r="DXY314" s="539"/>
      <c r="DXZ314" s="539"/>
      <c r="DYA314" s="539"/>
      <c r="DYB314" s="539"/>
      <c r="DYC314" s="539"/>
      <c r="DYD314" s="539"/>
      <c r="DYE314" s="539"/>
      <c r="DYF314" s="539"/>
      <c r="DYG314" s="539"/>
      <c r="DYH314" s="539"/>
      <c r="DYI314" s="539"/>
      <c r="DYJ314" s="539"/>
      <c r="DYK314" s="539"/>
      <c r="DYL314" s="539"/>
      <c r="DYM314" s="539"/>
      <c r="DYN314" s="539"/>
      <c r="DYO314" s="539"/>
      <c r="DYP314" s="539"/>
      <c r="DYQ314" s="539"/>
      <c r="DYR314" s="539"/>
      <c r="DYS314" s="539"/>
      <c r="DYT314" s="539"/>
      <c r="DYU314" s="539"/>
      <c r="DYV314" s="539"/>
      <c r="DYW314" s="539"/>
      <c r="DYX314" s="539"/>
      <c r="DYY314" s="539"/>
      <c r="DYZ314" s="539"/>
      <c r="DZA314" s="539"/>
      <c r="DZB314" s="539"/>
      <c r="DZC314" s="539"/>
      <c r="DZD314" s="539"/>
      <c r="DZE314" s="539"/>
      <c r="DZF314" s="539"/>
      <c r="DZG314" s="539"/>
      <c r="DZH314" s="539"/>
      <c r="DZI314" s="539"/>
      <c r="DZJ314" s="539"/>
      <c r="DZK314" s="539"/>
      <c r="DZL314" s="539"/>
      <c r="DZM314" s="539"/>
      <c r="DZN314" s="539"/>
      <c r="DZO314" s="539"/>
      <c r="DZP314" s="539"/>
      <c r="DZQ314" s="539"/>
      <c r="DZR314" s="539"/>
      <c r="DZS314" s="539"/>
      <c r="DZT314" s="539"/>
      <c r="DZU314" s="539"/>
      <c r="DZV314" s="539"/>
      <c r="DZW314" s="539"/>
      <c r="DZX314" s="539"/>
      <c r="DZY314" s="539"/>
      <c r="DZZ314" s="539"/>
      <c r="EAA314" s="539"/>
      <c r="EAB314" s="539"/>
      <c r="EAC314" s="539"/>
      <c r="EAD314" s="539"/>
      <c r="EAE314" s="539"/>
      <c r="EAF314" s="539"/>
      <c r="EAG314" s="539"/>
      <c r="EAH314" s="539"/>
      <c r="EAI314" s="539"/>
      <c r="EAJ314" s="539"/>
      <c r="EAK314" s="539"/>
      <c r="EAL314" s="539"/>
      <c r="EAM314" s="539"/>
      <c r="EAN314" s="539"/>
      <c r="EAO314" s="539"/>
      <c r="EAP314" s="539"/>
      <c r="EAQ314" s="539"/>
      <c r="EAR314" s="539"/>
      <c r="EAS314" s="539"/>
      <c r="EAT314" s="539"/>
      <c r="EAU314" s="539"/>
      <c r="EAV314" s="539"/>
      <c r="EAW314" s="539"/>
      <c r="EAX314" s="539"/>
      <c r="EAY314" s="539"/>
      <c r="EAZ314" s="539"/>
      <c r="EBA314" s="539"/>
      <c r="EBB314" s="539"/>
      <c r="EBC314" s="539"/>
      <c r="EBD314" s="539"/>
      <c r="EBE314" s="539"/>
      <c r="EBF314" s="539"/>
      <c r="EBG314" s="539"/>
      <c r="EBH314" s="539"/>
      <c r="EBI314" s="539"/>
      <c r="EBJ314" s="539"/>
      <c r="EBK314" s="539"/>
      <c r="EBL314" s="539"/>
      <c r="EBM314" s="539"/>
      <c r="EBN314" s="539"/>
      <c r="EBO314" s="539"/>
      <c r="EBP314" s="539"/>
      <c r="EBQ314" s="539"/>
      <c r="EBR314" s="539"/>
      <c r="EBS314" s="539"/>
      <c r="EBT314" s="539"/>
      <c r="EBU314" s="539"/>
      <c r="EBV314" s="539"/>
      <c r="EBW314" s="539"/>
      <c r="EBX314" s="539"/>
      <c r="EBY314" s="539"/>
      <c r="EBZ314" s="539"/>
      <c r="ECA314" s="539"/>
      <c r="ECB314" s="539"/>
      <c r="ECC314" s="539"/>
      <c r="ECD314" s="539"/>
      <c r="ECE314" s="539"/>
      <c r="ECF314" s="539"/>
      <c r="ECG314" s="539"/>
      <c r="ECH314" s="539"/>
      <c r="ECI314" s="539"/>
      <c r="ECJ314" s="539"/>
      <c r="ECK314" s="539"/>
      <c r="ECL314" s="539"/>
      <c r="ECM314" s="539"/>
      <c r="ECN314" s="539"/>
      <c r="ECO314" s="539"/>
      <c r="ECP314" s="539"/>
      <c r="ECQ314" s="539"/>
      <c r="ECR314" s="539"/>
      <c r="ECS314" s="539"/>
      <c r="ECT314" s="539"/>
      <c r="ECU314" s="539"/>
      <c r="ECV314" s="539"/>
      <c r="ECW314" s="539"/>
      <c r="ECX314" s="539"/>
      <c r="ECY314" s="539"/>
      <c r="ECZ314" s="539"/>
      <c r="EDA314" s="539"/>
      <c r="EDB314" s="539"/>
      <c r="EDC314" s="539"/>
      <c r="EDD314" s="539"/>
      <c r="EDE314" s="539"/>
      <c r="EDF314" s="539"/>
      <c r="EDG314" s="539"/>
      <c r="EDH314" s="539"/>
      <c r="EDI314" s="539"/>
      <c r="EDJ314" s="539"/>
      <c r="EDK314" s="539"/>
      <c r="EDL314" s="539"/>
      <c r="EDM314" s="539"/>
      <c r="EDN314" s="539"/>
      <c r="EDO314" s="539"/>
      <c r="EDP314" s="539"/>
      <c r="EDQ314" s="539"/>
      <c r="EDR314" s="539"/>
      <c r="EDS314" s="539"/>
      <c r="EDT314" s="539"/>
      <c r="EDU314" s="539"/>
      <c r="EDV314" s="539"/>
      <c r="EDW314" s="539"/>
      <c r="EDX314" s="539"/>
      <c r="EDY314" s="539"/>
      <c r="EDZ314" s="539"/>
      <c r="EEA314" s="539"/>
      <c r="EEB314" s="539"/>
      <c r="EEC314" s="539"/>
      <c r="EED314" s="539"/>
      <c r="EEE314" s="539"/>
      <c r="EEF314" s="539"/>
      <c r="EEG314" s="539"/>
      <c r="EEH314" s="539"/>
      <c r="EEI314" s="539"/>
      <c r="EEJ314" s="539"/>
      <c r="EEK314" s="539"/>
      <c r="EEL314" s="539"/>
      <c r="EEM314" s="539"/>
      <c r="EEN314" s="539"/>
      <c r="EEO314" s="539"/>
      <c r="EEP314" s="539"/>
      <c r="EEQ314" s="539"/>
      <c r="EER314" s="539"/>
      <c r="EES314" s="539"/>
      <c r="EET314" s="539"/>
      <c r="EEU314" s="539"/>
      <c r="EEV314" s="539"/>
      <c r="EEW314" s="539"/>
      <c r="EEX314" s="539"/>
      <c r="EEY314" s="539"/>
      <c r="EEZ314" s="539"/>
      <c r="EFA314" s="539"/>
      <c r="EFB314" s="539"/>
      <c r="EFC314" s="539"/>
      <c r="EFD314" s="539"/>
      <c r="EFE314" s="539"/>
      <c r="EFF314" s="539"/>
      <c r="EFG314" s="539"/>
      <c r="EFH314" s="539"/>
      <c r="EFI314" s="539"/>
      <c r="EFJ314" s="539"/>
      <c r="EFK314" s="539"/>
      <c r="EFL314" s="539"/>
      <c r="EFM314" s="539"/>
      <c r="EFN314" s="539"/>
      <c r="EFO314" s="539"/>
      <c r="EFP314" s="539"/>
      <c r="EFQ314" s="539"/>
      <c r="EFR314" s="539"/>
      <c r="EFS314" s="539"/>
      <c r="EFT314" s="539"/>
      <c r="EFU314" s="539"/>
      <c r="EFV314" s="539"/>
      <c r="EFW314" s="539"/>
      <c r="EFX314" s="539"/>
      <c r="EFY314" s="539"/>
      <c r="EFZ314" s="539"/>
      <c r="EGA314" s="539"/>
      <c r="EGB314" s="539"/>
      <c r="EGC314" s="539"/>
      <c r="EGD314" s="539"/>
      <c r="EGE314" s="539"/>
      <c r="EGF314" s="539"/>
      <c r="EGG314" s="539"/>
      <c r="EGH314" s="539"/>
      <c r="EGI314" s="539"/>
      <c r="EGJ314" s="539"/>
      <c r="EGK314" s="539"/>
      <c r="EGL314" s="539"/>
      <c r="EGM314" s="539"/>
      <c r="EGN314" s="539"/>
      <c r="EGO314" s="539"/>
      <c r="EGP314" s="539"/>
      <c r="EGQ314" s="539"/>
      <c r="EGR314" s="539"/>
      <c r="EGS314" s="539"/>
      <c r="EGT314" s="539"/>
      <c r="EGU314" s="539"/>
      <c r="EGV314" s="539"/>
      <c r="EGW314" s="539"/>
      <c r="EGX314" s="539"/>
      <c r="EGY314" s="539"/>
      <c r="EGZ314" s="539"/>
      <c r="EHA314" s="539"/>
      <c r="EHB314" s="539"/>
      <c r="EHC314" s="539"/>
      <c r="EHD314" s="539"/>
      <c r="EHE314" s="539"/>
      <c r="EHF314" s="539"/>
      <c r="EHG314" s="539"/>
      <c r="EHH314" s="539"/>
      <c r="EHI314" s="539"/>
      <c r="EHJ314" s="539"/>
      <c r="EHK314" s="539"/>
      <c r="EHL314" s="539"/>
      <c r="EHM314" s="539"/>
      <c r="EHN314" s="539"/>
      <c r="EHO314" s="539"/>
      <c r="EHP314" s="539"/>
      <c r="EHQ314" s="539"/>
      <c r="EHR314" s="539"/>
      <c r="EHS314" s="539"/>
      <c r="EHT314" s="539"/>
      <c r="EHU314" s="539"/>
      <c r="EHV314" s="539"/>
      <c r="EHW314" s="539"/>
      <c r="EHX314" s="539"/>
      <c r="EHY314" s="539"/>
      <c r="EHZ314" s="539"/>
      <c r="EIA314" s="539"/>
      <c r="EIB314" s="539"/>
      <c r="EIC314" s="539"/>
      <c r="EID314" s="539"/>
      <c r="EIE314" s="539"/>
      <c r="EIF314" s="539"/>
      <c r="EIG314" s="539"/>
      <c r="EIH314" s="539"/>
      <c r="EII314" s="539"/>
      <c r="EIJ314" s="539"/>
      <c r="EIK314" s="539"/>
      <c r="EIL314" s="539"/>
      <c r="EIM314" s="539"/>
      <c r="EIN314" s="539"/>
      <c r="EIO314" s="539"/>
      <c r="EIP314" s="539"/>
      <c r="EIQ314" s="539"/>
      <c r="EIR314" s="539"/>
      <c r="EIS314" s="539"/>
      <c r="EIT314" s="539"/>
      <c r="EIU314" s="539"/>
      <c r="EIV314" s="539"/>
      <c r="EIW314" s="539"/>
      <c r="EIX314" s="539"/>
      <c r="EIY314" s="539"/>
      <c r="EIZ314" s="539"/>
      <c r="EJA314" s="539"/>
      <c r="EJB314" s="539"/>
      <c r="EJC314" s="539"/>
      <c r="EJD314" s="539"/>
      <c r="EJE314" s="539"/>
      <c r="EJF314" s="539"/>
      <c r="EJG314" s="539"/>
      <c r="EJH314" s="539"/>
      <c r="EJI314" s="539"/>
      <c r="EJJ314" s="539"/>
      <c r="EJK314" s="539"/>
      <c r="EJL314" s="539"/>
      <c r="EJM314" s="539"/>
      <c r="EJN314" s="539"/>
      <c r="EJO314" s="539"/>
      <c r="EJP314" s="539"/>
      <c r="EJQ314" s="539"/>
      <c r="EJR314" s="539"/>
      <c r="EJS314" s="539"/>
      <c r="EJT314" s="539"/>
      <c r="EJU314" s="539"/>
      <c r="EJV314" s="539"/>
      <c r="EJW314" s="539"/>
      <c r="EJX314" s="539"/>
      <c r="EJY314" s="539"/>
      <c r="EJZ314" s="539"/>
      <c r="EKA314" s="539"/>
      <c r="EKB314" s="539"/>
      <c r="EKC314" s="539"/>
      <c r="EKD314" s="539"/>
      <c r="EKE314" s="539"/>
      <c r="EKF314" s="539"/>
      <c r="EKG314" s="539"/>
      <c r="EKH314" s="539"/>
      <c r="EKI314" s="539"/>
      <c r="EKJ314" s="539"/>
      <c r="EKK314" s="539"/>
      <c r="EKL314" s="539"/>
      <c r="EKM314" s="539"/>
      <c r="EKN314" s="539"/>
      <c r="EKO314" s="539"/>
      <c r="EKP314" s="539"/>
      <c r="EKQ314" s="539"/>
      <c r="EKR314" s="539"/>
      <c r="EKS314" s="539"/>
      <c r="EKT314" s="539"/>
      <c r="EKU314" s="539"/>
      <c r="EKV314" s="539"/>
      <c r="EKW314" s="539"/>
      <c r="EKX314" s="539"/>
      <c r="EKY314" s="539"/>
      <c r="EKZ314" s="539"/>
      <c r="ELA314" s="539"/>
      <c r="ELB314" s="539"/>
      <c r="ELC314" s="539"/>
      <c r="ELD314" s="539"/>
      <c r="ELE314" s="539"/>
      <c r="ELF314" s="539"/>
      <c r="ELG314" s="539"/>
      <c r="ELH314" s="539"/>
      <c r="ELI314" s="539"/>
      <c r="ELJ314" s="539"/>
      <c r="ELK314" s="539"/>
      <c r="ELL314" s="539"/>
      <c r="ELM314" s="539"/>
      <c r="ELN314" s="539"/>
      <c r="ELO314" s="539"/>
      <c r="ELP314" s="539"/>
      <c r="ELQ314" s="539"/>
      <c r="ELR314" s="539"/>
      <c r="ELS314" s="539"/>
      <c r="ELT314" s="539"/>
      <c r="ELU314" s="539"/>
      <c r="ELV314" s="539"/>
      <c r="ELW314" s="539"/>
      <c r="ELX314" s="539"/>
      <c r="ELY314" s="539"/>
      <c r="ELZ314" s="539"/>
      <c r="EMA314" s="539"/>
      <c r="EMB314" s="539"/>
      <c r="EMC314" s="539"/>
      <c r="EMD314" s="539"/>
      <c r="EME314" s="539"/>
      <c r="EMF314" s="539"/>
      <c r="EMG314" s="539"/>
      <c r="EMH314" s="539"/>
      <c r="EMI314" s="539"/>
      <c r="EMJ314" s="539"/>
      <c r="EMK314" s="539"/>
      <c r="EML314" s="539"/>
      <c r="EMM314" s="539"/>
      <c r="EMN314" s="539"/>
      <c r="EMO314" s="539"/>
      <c r="EMP314" s="539"/>
      <c r="EMQ314" s="539"/>
      <c r="EMR314" s="539"/>
      <c r="EMS314" s="539"/>
      <c r="EMT314" s="539"/>
      <c r="EMU314" s="539"/>
      <c r="EMV314" s="539"/>
      <c r="EMW314" s="539"/>
      <c r="EMX314" s="539"/>
      <c r="EMY314" s="539"/>
      <c r="EMZ314" s="539"/>
      <c r="ENA314" s="539"/>
      <c r="ENB314" s="539"/>
      <c r="ENC314" s="539"/>
      <c r="END314" s="539"/>
      <c r="ENE314" s="539"/>
      <c r="ENF314" s="539"/>
      <c r="ENG314" s="539"/>
      <c r="ENH314" s="539"/>
      <c r="ENI314" s="539"/>
      <c r="ENJ314" s="539"/>
      <c r="ENK314" s="539"/>
      <c r="ENL314" s="539"/>
      <c r="ENM314" s="539"/>
      <c r="ENN314" s="539"/>
      <c r="ENO314" s="539"/>
      <c r="ENP314" s="539"/>
      <c r="ENQ314" s="539"/>
      <c r="ENR314" s="539"/>
      <c r="ENS314" s="539"/>
      <c r="ENT314" s="539"/>
      <c r="ENU314" s="539"/>
      <c r="ENV314" s="539"/>
      <c r="ENW314" s="539"/>
      <c r="ENX314" s="539"/>
      <c r="ENY314" s="539"/>
      <c r="ENZ314" s="539"/>
      <c r="EOA314" s="539"/>
      <c r="EOB314" s="539"/>
      <c r="EOC314" s="539"/>
      <c r="EOD314" s="539"/>
      <c r="EOE314" s="539"/>
      <c r="EOF314" s="539"/>
      <c r="EOG314" s="539"/>
      <c r="EOH314" s="539"/>
      <c r="EOI314" s="539"/>
      <c r="EOJ314" s="539"/>
      <c r="EOK314" s="539"/>
      <c r="EOL314" s="539"/>
      <c r="EOM314" s="539"/>
      <c r="EON314" s="539"/>
      <c r="EOO314" s="539"/>
      <c r="EOP314" s="539"/>
      <c r="EOQ314" s="539"/>
      <c r="EOR314" s="539"/>
      <c r="EOS314" s="539"/>
      <c r="EOT314" s="539"/>
      <c r="EOU314" s="539"/>
      <c r="EOV314" s="539"/>
      <c r="EOW314" s="539"/>
      <c r="EOX314" s="539"/>
      <c r="EOY314" s="539"/>
      <c r="EOZ314" s="539"/>
      <c r="EPA314" s="539"/>
      <c r="EPB314" s="539"/>
      <c r="EPC314" s="539"/>
      <c r="EPD314" s="539"/>
      <c r="EPE314" s="539"/>
      <c r="EPF314" s="539"/>
      <c r="EPG314" s="539"/>
      <c r="EPH314" s="539"/>
      <c r="EPI314" s="539"/>
      <c r="EPJ314" s="539"/>
      <c r="EPK314" s="539"/>
      <c r="EPL314" s="539"/>
      <c r="EPM314" s="539"/>
      <c r="EPN314" s="539"/>
      <c r="EPO314" s="539"/>
      <c r="EPP314" s="539"/>
      <c r="EPQ314" s="539"/>
      <c r="EPR314" s="539"/>
      <c r="EPS314" s="539"/>
      <c r="EPT314" s="539"/>
      <c r="EPU314" s="539"/>
      <c r="EPV314" s="539"/>
      <c r="EPW314" s="539"/>
      <c r="EPX314" s="539"/>
      <c r="EPY314" s="539"/>
      <c r="EPZ314" s="539"/>
      <c r="EQA314" s="539"/>
      <c r="EQB314" s="539"/>
      <c r="EQC314" s="539"/>
      <c r="EQD314" s="539"/>
      <c r="EQE314" s="539"/>
      <c r="EQF314" s="539"/>
      <c r="EQG314" s="539"/>
      <c r="EQH314" s="539"/>
      <c r="EQI314" s="539"/>
      <c r="EQJ314" s="539"/>
      <c r="EQK314" s="539"/>
      <c r="EQL314" s="539"/>
      <c r="EQM314" s="539"/>
      <c r="EQN314" s="539"/>
      <c r="EQO314" s="539"/>
      <c r="EQP314" s="539"/>
      <c r="EQQ314" s="539"/>
      <c r="EQR314" s="539"/>
      <c r="EQS314" s="539"/>
      <c r="EQT314" s="539"/>
      <c r="EQU314" s="539"/>
      <c r="EQV314" s="539"/>
      <c r="EQW314" s="539"/>
      <c r="EQX314" s="539"/>
      <c r="EQY314" s="539"/>
      <c r="EQZ314" s="539"/>
      <c r="ERA314" s="539"/>
      <c r="ERB314" s="539"/>
      <c r="ERC314" s="539"/>
      <c r="ERD314" s="539"/>
      <c r="ERE314" s="539"/>
      <c r="ERF314" s="539"/>
      <c r="ERG314" s="539"/>
      <c r="ERH314" s="539"/>
      <c r="ERI314" s="539"/>
      <c r="ERJ314" s="539"/>
      <c r="ERK314" s="539"/>
      <c r="ERL314" s="539"/>
      <c r="ERM314" s="539"/>
      <c r="ERN314" s="539"/>
      <c r="ERO314" s="539"/>
      <c r="ERP314" s="539"/>
      <c r="ERQ314" s="539"/>
      <c r="ERR314" s="539"/>
      <c r="ERS314" s="539"/>
      <c r="ERT314" s="539"/>
      <c r="ERU314" s="539"/>
      <c r="ERV314" s="539"/>
      <c r="ERW314" s="539"/>
      <c r="ERX314" s="539"/>
      <c r="ERY314" s="539"/>
      <c r="ERZ314" s="539"/>
      <c r="ESA314" s="539"/>
      <c r="ESB314" s="539"/>
      <c r="ESC314" s="539"/>
      <c r="ESD314" s="539"/>
      <c r="ESE314" s="539"/>
      <c r="ESF314" s="539"/>
      <c r="ESG314" s="539"/>
      <c r="ESH314" s="539"/>
      <c r="ESI314" s="539"/>
      <c r="ESJ314" s="539"/>
      <c r="ESK314" s="539"/>
      <c r="ESL314" s="539"/>
      <c r="ESM314" s="539"/>
      <c r="ESN314" s="539"/>
      <c r="ESO314" s="539"/>
      <c r="ESP314" s="539"/>
      <c r="ESQ314" s="539"/>
      <c r="ESR314" s="539"/>
      <c r="ESS314" s="539"/>
      <c r="EST314" s="539"/>
      <c r="ESU314" s="539"/>
      <c r="ESV314" s="539"/>
      <c r="ESW314" s="539"/>
      <c r="ESX314" s="539"/>
      <c r="ESY314" s="539"/>
      <c r="ESZ314" s="539"/>
      <c r="ETA314" s="539"/>
      <c r="ETB314" s="539"/>
      <c r="ETC314" s="539"/>
      <c r="ETD314" s="539"/>
      <c r="ETE314" s="539"/>
      <c r="ETF314" s="539"/>
      <c r="ETG314" s="539"/>
      <c r="ETH314" s="539"/>
      <c r="ETI314" s="539"/>
      <c r="ETJ314" s="539"/>
      <c r="ETK314" s="539"/>
      <c r="ETL314" s="539"/>
      <c r="ETM314" s="539"/>
      <c r="ETN314" s="539"/>
      <c r="ETO314" s="539"/>
      <c r="ETP314" s="539"/>
      <c r="ETQ314" s="539"/>
      <c r="ETR314" s="539"/>
      <c r="ETS314" s="539"/>
      <c r="ETT314" s="539"/>
      <c r="ETU314" s="539"/>
      <c r="ETV314" s="539"/>
      <c r="ETW314" s="539"/>
      <c r="ETX314" s="539"/>
      <c r="ETY314" s="539"/>
      <c r="ETZ314" s="539"/>
      <c r="EUA314" s="539"/>
      <c r="EUB314" s="539"/>
      <c r="EUC314" s="539"/>
      <c r="EUD314" s="539"/>
      <c r="EUE314" s="539"/>
      <c r="EUF314" s="539"/>
      <c r="EUG314" s="539"/>
      <c r="EUH314" s="539"/>
      <c r="EUI314" s="539"/>
      <c r="EUJ314" s="539"/>
      <c r="EUK314" s="539"/>
      <c r="EUL314" s="539"/>
      <c r="EUM314" s="539"/>
      <c r="EUN314" s="539"/>
      <c r="EUO314" s="539"/>
      <c r="EUP314" s="539"/>
      <c r="EUQ314" s="539"/>
      <c r="EUR314" s="539"/>
      <c r="EUS314" s="539"/>
      <c r="EUT314" s="539"/>
      <c r="EUU314" s="539"/>
      <c r="EUV314" s="539"/>
      <c r="EUW314" s="539"/>
      <c r="EUX314" s="539"/>
      <c r="EUY314" s="539"/>
      <c r="EUZ314" s="539"/>
      <c r="EVA314" s="539"/>
      <c r="EVB314" s="539"/>
      <c r="EVC314" s="539"/>
      <c r="EVD314" s="539"/>
      <c r="EVE314" s="539"/>
      <c r="EVF314" s="539"/>
      <c r="EVG314" s="539"/>
      <c r="EVH314" s="539"/>
      <c r="EVI314" s="539"/>
      <c r="EVJ314" s="539"/>
      <c r="EVK314" s="539"/>
      <c r="EVL314" s="539"/>
      <c r="EVM314" s="539"/>
      <c r="EVN314" s="539"/>
      <c r="EVO314" s="539"/>
      <c r="EVP314" s="539"/>
      <c r="EVQ314" s="539"/>
      <c r="EVR314" s="539"/>
      <c r="EVS314" s="539"/>
      <c r="EVT314" s="539"/>
      <c r="EVU314" s="539"/>
      <c r="EVV314" s="539"/>
      <c r="EVW314" s="539"/>
      <c r="EVX314" s="539"/>
      <c r="EVY314" s="539"/>
      <c r="EVZ314" s="539"/>
      <c r="EWA314" s="539"/>
      <c r="EWB314" s="539"/>
      <c r="EWC314" s="539"/>
      <c r="EWD314" s="539"/>
      <c r="EWE314" s="539"/>
      <c r="EWF314" s="539"/>
      <c r="EWG314" s="539"/>
      <c r="EWH314" s="539"/>
      <c r="EWI314" s="539"/>
      <c r="EWJ314" s="539"/>
      <c r="EWK314" s="539"/>
      <c r="EWL314" s="539"/>
      <c r="EWM314" s="539"/>
      <c r="EWN314" s="539"/>
      <c r="EWO314" s="539"/>
      <c r="EWP314" s="539"/>
      <c r="EWQ314" s="539"/>
      <c r="EWR314" s="539"/>
      <c r="EWS314" s="539"/>
      <c r="EWT314" s="539"/>
      <c r="EWU314" s="539"/>
      <c r="EWV314" s="539"/>
      <c r="EWW314" s="539"/>
      <c r="EWX314" s="539"/>
      <c r="EWY314" s="539"/>
      <c r="EWZ314" s="539"/>
      <c r="EXA314" s="539"/>
      <c r="EXB314" s="539"/>
      <c r="EXC314" s="539"/>
      <c r="EXD314" s="539"/>
      <c r="EXE314" s="539"/>
      <c r="EXF314" s="539"/>
      <c r="EXG314" s="539"/>
      <c r="EXH314" s="539"/>
      <c r="EXI314" s="539"/>
      <c r="EXJ314" s="539"/>
      <c r="EXK314" s="539"/>
      <c r="EXL314" s="539"/>
      <c r="EXM314" s="539"/>
      <c r="EXN314" s="539"/>
      <c r="EXO314" s="539"/>
      <c r="EXP314" s="539"/>
      <c r="EXQ314" s="539"/>
      <c r="EXR314" s="539"/>
      <c r="EXS314" s="539"/>
      <c r="EXT314" s="539"/>
      <c r="EXU314" s="539"/>
      <c r="EXV314" s="539"/>
      <c r="EXW314" s="539"/>
      <c r="EXX314" s="539"/>
      <c r="EXY314" s="539"/>
      <c r="EXZ314" s="539"/>
      <c r="EYA314" s="539"/>
      <c r="EYB314" s="539"/>
      <c r="EYC314" s="539"/>
      <c r="EYD314" s="539"/>
      <c r="EYE314" s="539"/>
      <c r="EYF314" s="539"/>
      <c r="EYG314" s="539"/>
      <c r="EYH314" s="539"/>
      <c r="EYI314" s="539"/>
      <c r="EYJ314" s="539"/>
      <c r="EYK314" s="539"/>
      <c r="EYL314" s="539"/>
      <c r="EYM314" s="539"/>
      <c r="EYN314" s="539"/>
      <c r="EYO314" s="539"/>
      <c r="EYP314" s="539"/>
      <c r="EYQ314" s="539"/>
      <c r="EYR314" s="539"/>
      <c r="EYS314" s="539"/>
      <c r="EYT314" s="539"/>
      <c r="EYU314" s="539"/>
      <c r="EYV314" s="539"/>
      <c r="EYW314" s="539"/>
      <c r="EYX314" s="539"/>
      <c r="EYY314" s="539"/>
      <c r="EYZ314" s="539"/>
      <c r="EZA314" s="539"/>
      <c r="EZB314" s="539"/>
      <c r="EZC314" s="539"/>
      <c r="EZD314" s="539"/>
      <c r="EZE314" s="539"/>
      <c r="EZF314" s="539"/>
      <c r="EZG314" s="539"/>
      <c r="EZH314" s="539"/>
      <c r="EZI314" s="539"/>
      <c r="EZJ314" s="539"/>
      <c r="EZK314" s="539"/>
      <c r="EZL314" s="539"/>
      <c r="EZM314" s="539"/>
      <c r="EZN314" s="539"/>
      <c r="EZO314" s="539"/>
      <c r="EZP314" s="539"/>
      <c r="EZQ314" s="539"/>
      <c r="EZR314" s="539"/>
      <c r="EZS314" s="539"/>
      <c r="EZT314" s="539"/>
      <c r="EZU314" s="539"/>
      <c r="EZV314" s="539"/>
      <c r="EZW314" s="539"/>
      <c r="EZX314" s="539"/>
      <c r="EZY314" s="539"/>
      <c r="EZZ314" s="539"/>
      <c r="FAA314" s="539"/>
      <c r="FAB314" s="539"/>
      <c r="FAC314" s="539"/>
      <c r="FAD314" s="539"/>
      <c r="FAE314" s="539"/>
      <c r="FAF314" s="539"/>
      <c r="FAG314" s="539"/>
      <c r="FAH314" s="539"/>
      <c r="FAI314" s="539"/>
      <c r="FAJ314" s="539"/>
      <c r="FAK314" s="539"/>
      <c r="FAL314" s="539"/>
      <c r="FAM314" s="539"/>
      <c r="FAN314" s="539"/>
      <c r="FAO314" s="539"/>
      <c r="FAP314" s="539"/>
      <c r="FAQ314" s="539"/>
      <c r="FAR314" s="539"/>
      <c r="FAS314" s="539"/>
      <c r="FAT314" s="539"/>
      <c r="FAU314" s="539"/>
      <c r="FAV314" s="539"/>
      <c r="FAW314" s="539"/>
      <c r="FAX314" s="539"/>
      <c r="FAY314" s="539"/>
      <c r="FAZ314" s="539"/>
      <c r="FBA314" s="539"/>
      <c r="FBB314" s="539"/>
      <c r="FBC314" s="539"/>
      <c r="FBD314" s="539"/>
      <c r="FBE314" s="539"/>
      <c r="FBF314" s="539"/>
      <c r="FBG314" s="539"/>
      <c r="FBH314" s="539"/>
      <c r="FBI314" s="539"/>
      <c r="FBJ314" s="539"/>
      <c r="FBK314" s="539"/>
      <c r="FBL314" s="539"/>
      <c r="FBM314" s="539"/>
      <c r="FBN314" s="539"/>
      <c r="FBO314" s="539"/>
      <c r="FBP314" s="539"/>
      <c r="FBQ314" s="539"/>
      <c r="FBR314" s="539"/>
      <c r="FBS314" s="539"/>
      <c r="FBT314" s="539"/>
      <c r="FBU314" s="539"/>
      <c r="FBV314" s="539"/>
      <c r="FBW314" s="539"/>
      <c r="FBX314" s="539"/>
      <c r="FBY314" s="539"/>
      <c r="FBZ314" s="539"/>
      <c r="FCA314" s="539"/>
      <c r="FCB314" s="539"/>
      <c r="FCC314" s="539"/>
      <c r="FCD314" s="539"/>
      <c r="FCE314" s="539"/>
      <c r="FCF314" s="539"/>
      <c r="FCG314" s="539"/>
      <c r="FCH314" s="539"/>
      <c r="FCI314" s="539"/>
      <c r="FCJ314" s="539"/>
      <c r="FCK314" s="539"/>
      <c r="FCL314" s="539"/>
      <c r="FCM314" s="539"/>
      <c r="FCN314" s="539"/>
      <c r="FCO314" s="539"/>
      <c r="FCP314" s="539"/>
      <c r="FCQ314" s="539"/>
      <c r="FCR314" s="539"/>
      <c r="FCS314" s="539"/>
      <c r="FCT314" s="539"/>
      <c r="FCU314" s="539"/>
      <c r="FCV314" s="539"/>
      <c r="FCW314" s="539"/>
      <c r="FCX314" s="539"/>
      <c r="FCY314" s="539"/>
      <c r="FCZ314" s="539"/>
      <c r="FDA314" s="539"/>
      <c r="FDB314" s="539"/>
      <c r="FDC314" s="539"/>
      <c r="FDD314" s="539"/>
      <c r="FDE314" s="539"/>
      <c r="FDF314" s="539"/>
      <c r="FDG314" s="539"/>
      <c r="FDH314" s="539"/>
      <c r="FDI314" s="539"/>
      <c r="FDJ314" s="539"/>
      <c r="FDK314" s="539"/>
      <c r="FDL314" s="539"/>
      <c r="FDM314" s="539"/>
      <c r="FDN314" s="539"/>
      <c r="FDO314" s="539"/>
      <c r="FDP314" s="539"/>
      <c r="FDQ314" s="539"/>
      <c r="FDR314" s="539"/>
      <c r="FDS314" s="539"/>
      <c r="FDT314" s="539"/>
      <c r="FDU314" s="539"/>
      <c r="FDV314" s="539"/>
      <c r="FDW314" s="539"/>
      <c r="FDX314" s="539"/>
      <c r="FDY314" s="539"/>
      <c r="FDZ314" s="539"/>
      <c r="FEA314" s="539"/>
      <c r="FEB314" s="539"/>
      <c r="FEC314" s="539"/>
      <c r="FED314" s="539"/>
      <c r="FEE314" s="539"/>
      <c r="FEF314" s="539"/>
      <c r="FEG314" s="539"/>
      <c r="FEH314" s="539"/>
      <c r="FEI314" s="539"/>
      <c r="FEJ314" s="539"/>
      <c r="FEK314" s="539"/>
      <c r="FEL314" s="539"/>
      <c r="FEM314" s="539"/>
      <c r="FEN314" s="539"/>
      <c r="FEO314" s="539"/>
      <c r="FEP314" s="539"/>
      <c r="FEQ314" s="539"/>
      <c r="FER314" s="539"/>
      <c r="FES314" s="539"/>
      <c r="FET314" s="539"/>
      <c r="FEU314" s="539"/>
      <c r="FEV314" s="539"/>
      <c r="FEW314" s="539"/>
      <c r="FEX314" s="539"/>
      <c r="FEY314" s="539"/>
      <c r="FEZ314" s="539"/>
      <c r="FFA314" s="539"/>
      <c r="FFB314" s="539"/>
      <c r="FFC314" s="539"/>
      <c r="FFD314" s="539"/>
      <c r="FFE314" s="539"/>
      <c r="FFF314" s="539"/>
      <c r="FFG314" s="539"/>
      <c r="FFH314" s="539"/>
      <c r="FFI314" s="539"/>
      <c r="FFJ314" s="539"/>
      <c r="FFK314" s="539"/>
      <c r="FFL314" s="539"/>
      <c r="FFM314" s="539"/>
      <c r="FFN314" s="539"/>
      <c r="FFO314" s="539"/>
      <c r="FFP314" s="539"/>
      <c r="FFQ314" s="539"/>
      <c r="FFR314" s="539"/>
      <c r="FFS314" s="539"/>
      <c r="FFT314" s="539"/>
      <c r="FFU314" s="539"/>
      <c r="FFV314" s="539"/>
      <c r="FFW314" s="539"/>
      <c r="FFX314" s="539"/>
      <c r="FFY314" s="539"/>
      <c r="FFZ314" s="539"/>
      <c r="FGA314" s="539"/>
      <c r="FGB314" s="539"/>
      <c r="FGC314" s="539"/>
      <c r="FGD314" s="539"/>
      <c r="FGE314" s="539"/>
      <c r="FGF314" s="539"/>
      <c r="FGG314" s="539"/>
      <c r="FGH314" s="539"/>
      <c r="FGI314" s="539"/>
      <c r="FGJ314" s="539"/>
      <c r="FGK314" s="539"/>
      <c r="FGL314" s="539"/>
      <c r="FGM314" s="539"/>
      <c r="FGN314" s="539"/>
      <c r="FGO314" s="539"/>
      <c r="FGP314" s="539"/>
      <c r="FGQ314" s="539"/>
      <c r="FGR314" s="539"/>
      <c r="FGS314" s="539"/>
      <c r="FGT314" s="539"/>
      <c r="FGU314" s="539"/>
      <c r="FGV314" s="539"/>
      <c r="FGW314" s="539"/>
      <c r="FGX314" s="539"/>
      <c r="FGY314" s="539"/>
      <c r="FGZ314" s="539"/>
      <c r="FHA314" s="539"/>
      <c r="FHB314" s="539"/>
      <c r="FHC314" s="539"/>
      <c r="FHD314" s="539"/>
      <c r="FHE314" s="539"/>
      <c r="FHF314" s="539"/>
      <c r="FHG314" s="539"/>
      <c r="FHH314" s="539"/>
      <c r="FHI314" s="539"/>
      <c r="FHJ314" s="539"/>
      <c r="FHK314" s="539"/>
      <c r="FHL314" s="539"/>
      <c r="FHM314" s="539"/>
      <c r="FHN314" s="539"/>
      <c r="FHO314" s="539"/>
      <c r="FHP314" s="539"/>
      <c r="FHQ314" s="539"/>
      <c r="FHR314" s="539"/>
      <c r="FHS314" s="539"/>
      <c r="FHT314" s="539"/>
      <c r="FHU314" s="539"/>
      <c r="FHV314" s="539"/>
      <c r="FHW314" s="539"/>
      <c r="FHX314" s="539"/>
      <c r="FHY314" s="539"/>
      <c r="FHZ314" s="539"/>
      <c r="FIA314" s="539"/>
      <c r="FIB314" s="539"/>
      <c r="FIC314" s="539"/>
      <c r="FID314" s="539"/>
      <c r="FIE314" s="539"/>
      <c r="FIF314" s="539"/>
      <c r="FIG314" s="539"/>
      <c r="FIH314" s="539"/>
      <c r="FII314" s="539"/>
      <c r="FIJ314" s="539"/>
      <c r="FIK314" s="539"/>
      <c r="FIL314" s="539"/>
      <c r="FIM314" s="539"/>
      <c r="FIN314" s="539"/>
      <c r="FIO314" s="539"/>
      <c r="FIP314" s="539"/>
      <c r="FIQ314" s="539"/>
      <c r="FIR314" s="539"/>
      <c r="FIS314" s="539"/>
      <c r="FIT314" s="539"/>
      <c r="FIU314" s="539"/>
      <c r="FIV314" s="539"/>
      <c r="FIW314" s="539"/>
      <c r="FIX314" s="539"/>
      <c r="FIY314" s="539"/>
      <c r="FIZ314" s="539"/>
      <c r="FJA314" s="539"/>
      <c r="FJB314" s="539"/>
      <c r="FJC314" s="539"/>
      <c r="FJD314" s="539"/>
      <c r="FJE314" s="539"/>
      <c r="FJF314" s="539"/>
      <c r="FJG314" s="539"/>
      <c r="FJH314" s="539"/>
      <c r="FJI314" s="539"/>
      <c r="FJJ314" s="539"/>
      <c r="FJK314" s="539"/>
      <c r="FJL314" s="539"/>
      <c r="FJM314" s="539"/>
      <c r="FJN314" s="539"/>
      <c r="FJO314" s="539"/>
      <c r="FJP314" s="539"/>
      <c r="FJQ314" s="539"/>
      <c r="FJR314" s="539"/>
      <c r="FJS314" s="539"/>
      <c r="FJT314" s="539"/>
      <c r="FJU314" s="539"/>
      <c r="FJV314" s="539"/>
      <c r="FJW314" s="539"/>
      <c r="FJX314" s="539"/>
      <c r="FJY314" s="539"/>
      <c r="FJZ314" s="539"/>
      <c r="FKA314" s="539"/>
      <c r="FKB314" s="539"/>
      <c r="FKC314" s="539"/>
      <c r="FKD314" s="539"/>
      <c r="FKE314" s="539"/>
      <c r="FKF314" s="539"/>
      <c r="FKG314" s="539"/>
      <c r="FKH314" s="539"/>
      <c r="FKI314" s="539"/>
      <c r="FKJ314" s="539"/>
      <c r="FKK314" s="539"/>
      <c r="FKL314" s="539"/>
      <c r="FKM314" s="539"/>
      <c r="FKN314" s="539"/>
      <c r="FKO314" s="539"/>
      <c r="FKP314" s="539"/>
      <c r="FKQ314" s="539"/>
      <c r="FKR314" s="539"/>
      <c r="FKS314" s="539"/>
      <c r="FKT314" s="539"/>
      <c r="FKU314" s="539"/>
      <c r="FKV314" s="539"/>
      <c r="FKW314" s="539"/>
      <c r="FKX314" s="539"/>
      <c r="FKY314" s="539"/>
      <c r="FKZ314" s="539"/>
      <c r="FLA314" s="539"/>
      <c r="FLB314" s="539"/>
      <c r="FLC314" s="539"/>
      <c r="FLD314" s="539"/>
      <c r="FLE314" s="539"/>
      <c r="FLF314" s="539"/>
      <c r="FLG314" s="539"/>
      <c r="FLH314" s="539"/>
      <c r="FLI314" s="539"/>
      <c r="FLJ314" s="539"/>
      <c r="FLK314" s="539"/>
      <c r="FLL314" s="539"/>
      <c r="FLM314" s="539"/>
      <c r="FLN314" s="539"/>
      <c r="FLO314" s="539"/>
      <c r="FLP314" s="539"/>
      <c r="FLQ314" s="539"/>
      <c r="FLR314" s="539"/>
      <c r="FLS314" s="539"/>
      <c r="FLT314" s="539"/>
      <c r="FLU314" s="539"/>
      <c r="FLV314" s="539"/>
      <c r="FLW314" s="539"/>
      <c r="FLX314" s="539"/>
      <c r="FLY314" s="539"/>
      <c r="FLZ314" s="539"/>
      <c r="FMA314" s="539"/>
      <c r="FMB314" s="539"/>
      <c r="FMC314" s="539"/>
      <c r="FMD314" s="539"/>
      <c r="FME314" s="539"/>
      <c r="FMF314" s="539"/>
      <c r="FMG314" s="539"/>
      <c r="FMH314" s="539"/>
      <c r="FMI314" s="539"/>
      <c r="FMJ314" s="539"/>
      <c r="FMK314" s="539"/>
      <c r="FML314" s="539"/>
      <c r="FMM314" s="539"/>
      <c r="FMN314" s="539"/>
      <c r="FMO314" s="539"/>
      <c r="FMP314" s="539"/>
      <c r="FMQ314" s="539"/>
      <c r="FMR314" s="539"/>
      <c r="FMS314" s="539"/>
      <c r="FMT314" s="539"/>
      <c r="FMU314" s="539"/>
      <c r="FMV314" s="539"/>
      <c r="FMW314" s="539"/>
      <c r="FMX314" s="539"/>
      <c r="FMY314" s="539"/>
      <c r="FMZ314" s="539"/>
      <c r="FNA314" s="539"/>
      <c r="FNB314" s="539"/>
      <c r="FNC314" s="539"/>
      <c r="FND314" s="539"/>
      <c r="FNE314" s="539"/>
      <c r="FNF314" s="539"/>
      <c r="FNG314" s="539"/>
      <c r="FNH314" s="539"/>
      <c r="FNI314" s="539"/>
      <c r="FNJ314" s="539"/>
      <c r="FNK314" s="539"/>
      <c r="FNL314" s="539"/>
      <c r="FNM314" s="539"/>
      <c r="FNN314" s="539"/>
      <c r="FNO314" s="539"/>
      <c r="FNP314" s="539"/>
      <c r="FNQ314" s="539"/>
      <c r="FNR314" s="539"/>
      <c r="FNS314" s="539"/>
      <c r="FNT314" s="539"/>
      <c r="FNU314" s="539"/>
      <c r="FNV314" s="539"/>
      <c r="FNW314" s="539"/>
      <c r="FNX314" s="539"/>
      <c r="FNY314" s="539"/>
      <c r="FNZ314" s="539"/>
      <c r="FOA314" s="539"/>
      <c r="FOB314" s="539"/>
      <c r="FOC314" s="539"/>
      <c r="FOD314" s="539"/>
      <c r="FOE314" s="539"/>
      <c r="FOF314" s="539"/>
      <c r="FOG314" s="539"/>
      <c r="FOH314" s="539"/>
      <c r="FOI314" s="539"/>
      <c r="FOJ314" s="539"/>
      <c r="FOK314" s="539"/>
      <c r="FOL314" s="539"/>
      <c r="FOM314" s="539"/>
      <c r="FON314" s="539"/>
      <c r="FOO314" s="539"/>
      <c r="FOP314" s="539"/>
      <c r="FOQ314" s="539"/>
      <c r="FOR314" s="539"/>
      <c r="FOS314" s="539"/>
      <c r="FOT314" s="539"/>
      <c r="FOU314" s="539"/>
      <c r="FOV314" s="539"/>
      <c r="FOW314" s="539"/>
      <c r="FOX314" s="539"/>
      <c r="FOY314" s="539"/>
      <c r="FOZ314" s="539"/>
      <c r="FPA314" s="539"/>
      <c r="FPB314" s="539"/>
      <c r="FPC314" s="539"/>
      <c r="FPD314" s="539"/>
      <c r="FPE314" s="539"/>
      <c r="FPF314" s="539"/>
      <c r="FPG314" s="539"/>
      <c r="FPH314" s="539"/>
      <c r="FPI314" s="539"/>
      <c r="FPJ314" s="539"/>
      <c r="FPK314" s="539"/>
      <c r="FPL314" s="539"/>
      <c r="FPM314" s="539"/>
      <c r="FPN314" s="539"/>
      <c r="FPO314" s="539"/>
      <c r="FPP314" s="539"/>
      <c r="FPQ314" s="539"/>
      <c r="FPR314" s="539"/>
      <c r="FPS314" s="539"/>
      <c r="FPT314" s="539"/>
      <c r="FPU314" s="539"/>
      <c r="FPV314" s="539"/>
      <c r="FPW314" s="539"/>
      <c r="FPX314" s="539"/>
      <c r="FPY314" s="539"/>
      <c r="FPZ314" s="539"/>
      <c r="FQA314" s="539"/>
      <c r="FQB314" s="539"/>
      <c r="FQC314" s="539"/>
      <c r="FQD314" s="539"/>
      <c r="FQE314" s="539"/>
      <c r="FQF314" s="539"/>
      <c r="FQG314" s="539"/>
      <c r="FQH314" s="539"/>
      <c r="FQI314" s="539"/>
      <c r="FQJ314" s="539"/>
      <c r="FQK314" s="539"/>
      <c r="FQL314" s="539"/>
      <c r="FQM314" s="539"/>
      <c r="FQN314" s="539"/>
      <c r="FQO314" s="539"/>
      <c r="FQP314" s="539"/>
      <c r="FQQ314" s="539"/>
      <c r="FQR314" s="539"/>
      <c r="FQS314" s="539"/>
      <c r="FQT314" s="539"/>
      <c r="FQU314" s="539"/>
      <c r="FQV314" s="539"/>
      <c r="FQW314" s="539"/>
      <c r="FQX314" s="539"/>
      <c r="FQY314" s="539"/>
      <c r="FQZ314" s="539"/>
      <c r="FRA314" s="539"/>
      <c r="FRB314" s="539"/>
      <c r="FRC314" s="539"/>
      <c r="FRD314" s="539"/>
      <c r="FRE314" s="539"/>
      <c r="FRF314" s="539"/>
      <c r="FRG314" s="539"/>
      <c r="FRH314" s="539"/>
      <c r="FRI314" s="539"/>
      <c r="FRJ314" s="539"/>
      <c r="FRK314" s="539"/>
      <c r="FRL314" s="539"/>
      <c r="FRM314" s="539"/>
      <c r="FRN314" s="539"/>
      <c r="FRO314" s="539"/>
      <c r="FRP314" s="539"/>
      <c r="FRQ314" s="539"/>
      <c r="FRR314" s="539"/>
      <c r="FRS314" s="539"/>
      <c r="FRT314" s="539"/>
      <c r="FRU314" s="539"/>
      <c r="FRV314" s="539"/>
      <c r="FRW314" s="539"/>
      <c r="FRX314" s="539"/>
      <c r="FRY314" s="539"/>
      <c r="FRZ314" s="539"/>
      <c r="FSA314" s="539"/>
      <c r="FSB314" s="539"/>
      <c r="FSC314" s="539"/>
      <c r="FSD314" s="539"/>
      <c r="FSE314" s="539"/>
      <c r="FSF314" s="539"/>
      <c r="FSG314" s="539"/>
      <c r="FSH314" s="539"/>
      <c r="FSI314" s="539"/>
      <c r="FSJ314" s="539"/>
      <c r="FSK314" s="539"/>
      <c r="FSL314" s="539"/>
      <c r="FSM314" s="539"/>
      <c r="FSN314" s="539"/>
      <c r="FSO314" s="539"/>
      <c r="FSP314" s="539"/>
      <c r="FSQ314" s="539"/>
      <c r="FSR314" s="539"/>
      <c r="FSS314" s="539"/>
      <c r="FST314" s="539"/>
      <c r="FSU314" s="539"/>
      <c r="FSV314" s="539"/>
      <c r="FSW314" s="539"/>
      <c r="FSX314" s="539"/>
      <c r="FSY314" s="539"/>
      <c r="FSZ314" s="539"/>
      <c r="FTA314" s="539"/>
      <c r="FTB314" s="539"/>
      <c r="FTC314" s="539"/>
      <c r="FTD314" s="539"/>
      <c r="FTE314" s="539"/>
      <c r="FTF314" s="539"/>
      <c r="FTG314" s="539"/>
      <c r="FTH314" s="539"/>
      <c r="FTI314" s="539"/>
      <c r="FTJ314" s="539"/>
      <c r="FTK314" s="539"/>
      <c r="FTL314" s="539"/>
      <c r="FTM314" s="539"/>
      <c r="FTN314" s="539"/>
      <c r="FTO314" s="539"/>
      <c r="FTP314" s="539"/>
      <c r="FTQ314" s="539"/>
      <c r="FTR314" s="539"/>
      <c r="FTS314" s="539"/>
      <c r="FTT314" s="539"/>
      <c r="FTU314" s="539"/>
      <c r="FTV314" s="539"/>
      <c r="FTW314" s="539"/>
      <c r="FTX314" s="539"/>
      <c r="FTY314" s="539"/>
      <c r="FTZ314" s="539"/>
      <c r="FUA314" s="539"/>
      <c r="FUB314" s="539"/>
      <c r="FUC314" s="539"/>
      <c r="FUD314" s="539"/>
      <c r="FUE314" s="539"/>
      <c r="FUF314" s="539"/>
      <c r="FUG314" s="539"/>
      <c r="FUH314" s="539"/>
      <c r="FUI314" s="539"/>
      <c r="FUJ314" s="539"/>
      <c r="FUK314" s="539"/>
      <c r="FUL314" s="539"/>
      <c r="FUM314" s="539"/>
      <c r="FUN314" s="539"/>
      <c r="FUO314" s="539"/>
      <c r="FUP314" s="539"/>
      <c r="FUQ314" s="539"/>
      <c r="FUR314" s="539"/>
      <c r="FUS314" s="539"/>
      <c r="FUT314" s="539"/>
      <c r="FUU314" s="539"/>
      <c r="FUV314" s="539"/>
      <c r="FUW314" s="539"/>
      <c r="FUX314" s="539"/>
      <c r="FUY314" s="539"/>
      <c r="FUZ314" s="539"/>
      <c r="FVA314" s="539"/>
      <c r="FVB314" s="539"/>
      <c r="FVC314" s="539"/>
      <c r="FVD314" s="539"/>
      <c r="FVE314" s="539"/>
      <c r="FVF314" s="539"/>
      <c r="FVG314" s="539"/>
      <c r="FVH314" s="539"/>
      <c r="FVI314" s="539"/>
      <c r="FVJ314" s="539"/>
      <c r="FVK314" s="539"/>
      <c r="FVL314" s="539"/>
      <c r="FVM314" s="539"/>
      <c r="FVN314" s="539"/>
      <c r="FVO314" s="539"/>
      <c r="FVP314" s="539"/>
      <c r="FVQ314" s="539"/>
      <c r="FVR314" s="539"/>
      <c r="FVS314" s="539"/>
      <c r="FVT314" s="539"/>
      <c r="FVU314" s="539"/>
      <c r="FVV314" s="539"/>
      <c r="FVW314" s="539"/>
      <c r="FVX314" s="539"/>
      <c r="FVY314" s="539"/>
      <c r="FVZ314" s="539"/>
      <c r="FWA314" s="539"/>
      <c r="FWB314" s="539"/>
      <c r="FWC314" s="539"/>
      <c r="FWD314" s="539"/>
      <c r="FWE314" s="539"/>
      <c r="FWF314" s="539"/>
      <c r="FWG314" s="539"/>
      <c r="FWH314" s="539"/>
      <c r="FWI314" s="539"/>
      <c r="FWJ314" s="539"/>
      <c r="FWK314" s="539"/>
      <c r="FWL314" s="539"/>
      <c r="FWM314" s="539"/>
      <c r="FWN314" s="539"/>
      <c r="FWO314" s="539"/>
      <c r="FWP314" s="539"/>
      <c r="FWQ314" s="539"/>
      <c r="FWR314" s="539"/>
      <c r="FWS314" s="539"/>
      <c r="FWT314" s="539"/>
      <c r="FWU314" s="539"/>
      <c r="FWV314" s="539"/>
      <c r="FWW314" s="539"/>
      <c r="FWX314" s="539"/>
      <c r="FWY314" s="539"/>
      <c r="FWZ314" s="539"/>
      <c r="FXA314" s="539"/>
      <c r="FXB314" s="539"/>
      <c r="FXC314" s="539"/>
      <c r="FXD314" s="539"/>
      <c r="FXE314" s="539"/>
      <c r="FXF314" s="539"/>
      <c r="FXG314" s="539"/>
      <c r="FXH314" s="539"/>
      <c r="FXI314" s="539"/>
      <c r="FXJ314" s="539"/>
      <c r="FXK314" s="539"/>
      <c r="FXL314" s="539"/>
      <c r="FXM314" s="539"/>
      <c r="FXN314" s="539"/>
      <c r="FXO314" s="539"/>
      <c r="FXP314" s="539"/>
      <c r="FXQ314" s="539"/>
      <c r="FXR314" s="539"/>
      <c r="FXS314" s="539"/>
      <c r="FXT314" s="539"/>
      <c r="FXU314" s="539"/>
      <c r="FXV314" s="539"/>
      <c r="FXW314" s="539"/>
      <c r="FXX314" s="539"/>
      <c r="FXY314" s="539"/>
      <c r="FXZ314" s="539"/>
      <c r="FYA314" s="539"/>
      <c r="FYB314" s="539"/>
      <c r="FYC314" s="539"/>
      <c r="FYD314" s="539"/>
      <c r="FYE314" s="539"/>
      <c r="FYF314" s="539"/>
      <c r="FYG314" s="539"/>
      <c r="FYH314" s="539"/>
      <c r="FYI314" s="539"/>
      <c r="FYJ314" s="539"/>
      <c r="FYK314" s="539"/>
      <c r="FYL314" s="539"/>
      <c r="FYM314" s="539"/>
      <c r="FYN314" s="539"/>
      <c r="FYO314" s="539"/>
      <c r="FYP314" s="539"/>
      <c r="FYQ314" s="539"/>
      <c r="FYR314" s="539"/>
      <c r="FYS314" s="539"/>
      <c r="FYT314" s="539"/>
      <c r="FYU314" s="539"/>
      <c r="FYV314" s="539"/>
      <c r="FYW314" s="539"/>
      <c r="FYX314" s="539"/>
      <c r="FYY314" s="539"/>
      <c r="FYZ314" s="539"/>
      <c r="FZA314" s="539"/>
      <c r="FZB314" s="539"/>
      <c r="FZC314" s="539"/>
      <c r="FZD314" s="539"/>
      <c r="FZE314" s="539"/>
      <c r="FZF314" s="539"/>
      <c r="FZG314" s="539"/>
      <c r="FZH314" s="539"/>
      <c r="FZI314" s="539"/>
      <c r="FZJ314" s="539"/>
      <c r="FZK314" s="539"/>
      <c r="FZL314" s="539"/>
      <c r="FZM314" s="539"/>
      <c r="FZN314" s="539"/>
      <c r="FZO314" s="539"/>
      <c r="FZP314" s="539"/>
      <c r="FZQ314" s="539"/>
      <c r="FZR314" s="539"/>
      <c r="FZS314" s="539"/>
      <c r="FZT314" s="539"/>
      <c r="FZU314" s="539"/>
      <c r="FZV314" s="539"/>
      <c r="FZW314" s="539"/>
      <c r="FZX314" s="539"/>
      <c r="FZY314" s="539"/>
      <c r="FZZ314" s="539"/>
      <c r="GAA314" s="539"/>
      <c r="GAB314" s="539"/>
      <c r="GAC314" s="539"/>
      <c r="GAD314" s="539"/>
      <c r="GAE314" s="539"/>
      <c r="GAF314" s="539"/>
      <c r="GAG314" s="539"/>
      <c r="GAH314" s="539"/>
      <c r="GAI314" s="539"/>
      <c r="GAJ314" s="539"/>
      <c r="GAK314" s="539"/>
      <c r="GAL314" s="539"/>
      <c r="GAM314" s="539"/>
      <c r="GAN314" s="539"/>
      <c r="GAO314" s="539"/>
      <c r="GAP314" s="539"/>
      <c r="GAQ314" s="539"/>
      <c r="GAR314" s="539"/>
      <c r="GAS314" s="539"/>
      <c r="GAT314" s="539"/>
      <c r="GAU314" s="539"/>
      <c r="GAV314" s="539"/>
      <c r="GAW314" s="539"/>
      <c r="GAX314" s="539"/>
      <c r="GAY314" s="539"/>
      <c r="GAZ314" s="539"/>
      <c r="GBA314" s="539"/>
      <c r="GBB314" s="539"/>
      <c r="GBC314" s="539"/>
      <c r="GBD314" s="539"/>
      <c r="GBE314" s="539"/>
      <c r="GBF314" s="539"/>
      <c r="GBG314" s="539"/>
      <c r="GBH314" s="539"/>
      <c r="GBI314" s="539"/>
      <c r="GBJ314" s="539"/>
      <c r="GBK314" s="539"/>
      <c r="GBL314" s="539"/>
      <c r="GBM314" s="539"/>
      <c r="GBN314" s="539"/>
      <c r="GBO314" s="539"/>
      <c r="GBP314" s="539"/>
      <c r="GBQ314" s="539"/>
      <c r="GBR314" s="539"/>
      <c r="GBS314" s="539"/>
      <c r="GBT314" s="539"/>
      <c r="GBU314" s="539"/>
      <c r="GBV314" s="539"/>
      <c r="GBW314" s="539"/>
      <c r="GBX314" s="539"/>
      <c r="GBY314" s="539"/>
      <c r="GBZ314" s="539"/>
      <c r="GCA314" s="539"/>
      <c r="GCB314" s="539"/>
      <c r="GCC314" s="539"/>
      <c r="GCD314" s="539"/>
      <c r="GCE314" s="539"/>
      <c r="GCF314" s="539"/>
      <c r="GCG314" s="539"/>
      <c r="GCH314" s="539"/>
      <c r="GCI314" s="539"/>
      <c r="GCJ314" s="539"/>
      <c r="GCK314" s="539"/>
      <c r="GCL314" s="539"/>
      <c r="GCM314" s="539"/>
      <c r="GCN314" s="539"/>
      <c r="GCO314" s="539"/>
      <c r="GCP314" s="539"/>
      <c r="GCQ314" s="539"/>
      <c r="GCR314" s="539"/>
      <c r="GCS314" s="539"/>
      <c r="GCT314" s="539"/>
      <c r="GCU314" s="539"/>
      <c r="GCV314" s="539"/>
      <c r="GCW314" s="539"/>
      <c r="GCX314" s="539"/>
      <c r="GCY314" s="539"/>
      <c r="GCZ314" s="539"/>
      <c r="GDA314" s="539"/>
      <c r="GDB314" s="539"/>
      <c r="GDC314" s="539"/>
      <c r="GDD314" s="539"/>
      <c r="GDE314" s="539"/>
      <c r="GDF314" s="539"/>
      <c r="GDG314" s="539"/>
      <c r="GDH314" s="539"/>
      <c r="GDI314" s="539"/>
      <c r="GDJ314" s="539"/>
      <c r="GDK314" s="539"/>
      <c r="GDL314" s="539"/>
      <c r="GDM314" s="539"/>
      <c r="GDN314" s="539"/>
      <c r="GDO314" s="539"/>
      <c r="GDP314" s="539"/>
      <c r="GDQ314" s="539"/>
      <c r="GDR314" s="539"/>
      <c r="GDS314" s="539"/>
      <c r="GDT314" s="539"/>
      <c r="GDU314" s="539"/>
      <c r="GDV314" s="539"/>
      <c r="GDW314" s="539"/>
      <c r="GDX314" s="539"/>
      <c r="GDY314" s="539"/>
      <c r="GDZ314" s="539"/>
      <c r="GEA314" s="539"/>
      <c r="GEB314" s="539"/>
      <c r="GEC314" s="539"/>
      <c r="GED314" s="539"/>
      <c r="GEE314" s="539"/>
      <c r="GEF314" s="539"/>
      <c r="GEG314" s="539"/>
      <c r="GEH314" s="539"/>
      <c r="GEI314" s="539"/>
      <c r="GEJ314" s="539"/>
      <c r="GEK314" s="539"/>
      <c r="GEL314" s="539"/>
      <c r="GEM314" s="539"/>
      <c r="GEN314" s="539"/>
      <c r="GEO314" s="539"/>
      <c r="GEP314" s="539"/>
      <c r="GEQ314" s="539"/>
      <c r="GER314" s="539"/>
      <c r="GES314" s="539"/>
      <c r="GET314" s="539"/>
      <c r="GEU314" s="539"/>
      <c r="GEV314" s="539"/>
      <c r="GEW314" s="539"/>
      <c r="GEX314" s="539"/>
      <c r="GEY314" s="539"/>
      <c r="GEZ314" s="539"/>
      <c r="GFA314" s="539"/>
      <c r="GFB314" s="539"/>
      <c r="GFC314" s="539"/>
      <c r="GFD314" s="539"/>
      <c r="GFE314" s="539"/>
      <c r="GFF314" s="539"/>
      <c r="GFG314" s="539"/>
      <c r="GFH314" s="539"/>
      <c r="GFI314" s="539"/>
      <c r="GFJ314" s="539"/>
      <c r="GFK314" s="539"/>
      <c r="GFL314" s="539"/>
      <c r="GFM314" s="539"/>
      <c r="GFN314" s="539"/>
      <c r="GFO314" s="539"/>
      <c r="GFP314" s="539"/>
      <c r="GFQ314" s="539"/>
      <c r="GFR314" s="539"/>
      <c r="GFS314" s="539"/>
      <c r="GFT314" s="539"/>
      <c r="GFU314" s="539"/>
      <c r="GFV314" s="539"/>
      <c r="GFW314" s="539"/>
      <c r="GFX314" s="539"/>
      <c r="GFY314" s="539"/>
      <c r="GFZ314" s="539"/>
      <c r="GGA314" s="539"/>
      <c r="GGB314" s="539"/>
      <c r="GGC314" s="539"/>
      <c r="GGD314" s="539"/>
      <c r="GGE314" s="539"/>
      <c r="GGF314" s="539"/>
      <c r="GGG314" s="539"/>
      <c r="GGH314" s="539"/>
      <c r="GGI314" s="539"/>
      <c r="GGJ314" s="539"/>
      <c r="GGK314" s="539"/>
      <c r="GGL314" s="539"/>
      <c r="GGM314" s="539"/>
      <c r="GGN314" s="539"/>
      <c r="GGO314" s="539"/>
      <c r="GGP314" s="539"/>
      <c r="GGQ314" s="539"/>
      <c r="GGR314" s="539"/>
      <c r="GGS314" s="539"/>
      <c r="GGT314" s="539"/>
      <c r="GGU314" s="539"/>
      <c r="GGV314" s="539"/>
      <c r="GGW314" s="539"/>
      <c r="GGX314" s="539"/>
      <c r="GGY314" s="539"/>
      <c r="GGZ314" s="539"/>
      <c r="GHA314" s="539"/>
      <c r="GHB314" s="539"/>
      <c r="GHC314" s="539"/>
      <c r="GHD314" s="539"/>
      <c r="GHE314" s="539"/>
      <c r="GHF314" s="539"/>
      <c r="GHG314" s="539"/>
      <c r="GHH314" s="539"/>
      <c r="GHI314" s="539"/>
      <c r="GHJ314" s="539"/>
      <c r="GHK314" s="539"/>
      <c r="GHL314" s="539"/>
      <c r="GHM314" s="539"/>
      <c r="GHN314" s="539"/>
      <c r="GHO314" s="539"/>
      <c r="GHP314" s="539"/>
      <c r="GHQ314" s="539"/>
      <c r="GHR314" s="539"/>
      <c r="GHS314" s="539"/>
      <c r="GHT314" s="539"/>
      <c r="GHU314" s="539"/>
      <c r="GHV314" s="539"/>
      <c r="GHW314" s="539"/>
      <c r="GHX314" s="539"/>
      <c r="GHY314" s="539"/>
      <c r="GHZ314" s="539"/>
      <c r="GIA314" s="539"/>
      <c r="GIB314" s="539"/>
      <c r="GIC314" s="539"/>
      <c r="GID314" s="539"/>
      <c r="GIE314" s="539"/>
      <c r="GIF314" s="539"/>
      <c r="GIG314" s="539"/>
      <c r="GIH314" s="539"/>
      <c r="GII314" s="539"/>
      <c r="GIJ314" s="539"/>
      <c r="GIK314" s="539"/>
      <c r="GIL314" s="539"/>
      <c r="GIM314" s="539"/>
      <c r="GIN314" s="539"/>
      <c r="GIO314" s="539"/>
      <c r="GIP314" s="539"/>
      <c r="GIQ314" s="539"/>
      <c r="GIR314" s="539"/>
      <c r="GIS314" s="539"/>
      <c r="GIT314" s="539"/>
      <c r="GIU314" s="539"/>
      <c r="GIV314" s="539"/>
      <c r="GIW314" s="539"/>
      <c r="GIX314" s="539"/>
      <c r="GIY314" s="539"/>
      <c r="GIZ314" s="539"/>
      <c r="GJA314" s="539"/>
      <c r="GJB314" s="539"/>
      <c r="GJC314" s="539"/>
      <c r="GJD314" s="539"/>
      <c r="GJE314" s="539"/>
      <c r="GJF314" s="539"/>
      <c r="GJG314" s="539"/>
      <c r="GJH314" s="539"/>
      <c r="GJI314" s="539"/>
      <c r="GJJ314" s="539"/>
      <c r="GJK314" s="539"/>
      <c r="GJL314" s="539"/>
      <c r="GJM314" s="539"/>
      <c r="GJN314" s="539"/>
      <c r="GJO314" s="539"/>
      <c r="GJP314" s="539"/>
      <c r="GJQ314" s="539"/>
      <c r="GJR314" s="539"/>
      <c r="GJS314" s="539"/>
      <c r="GJT314" s="539"/>
      <c r="GJU314" s="539"/>
      <c r="GJV314" s="539"/>
      <c r="GJW314" s="539"/>
      <c r="GJX314" s="539"/>
      <c r="GJY314" s="539"/>
      <c r="GJZ314" s="539"/>
      <c r="GKA314" s="539"/>
      <c r="GKB314" s="539"/>
      <c r="GKC314" s="539"/>
      <c r="GKD314" s="539"/>
      <c r="GKE314" s="539"/>
      <c r="GKF314" s="539"/>
      <c r="GKG314" s="539"/>
      <c r="GKH314" s="539"/>
      <c r="GKI314" s="539"/>
      <c r="GKJ314" s="539"/>
      <c r="GKK314" s="539"/>
      <c r="GKL314" s="539"/>
      <c r="GKM314" s="539"/>
      <c r="GKN314" s="539"/>
      <c r="GKO314" s="539"/>
      <c r="GKP314" s="539"/>
      <c r="GKQ314" s="539"/>
      <c r="GKR314" s="539"/>
      <c r="GKS314" s="539"/>
      <c r="GKT314" s="539"/>
      <c r="GKU314" s="539"/>
      <c r="GKV314" s="539"/>
      <c r="GKW314" s="539"/>
      <c r="GKX314" s="539"/>
      <c r="GKY314" s="539"/>
      <c r="GKZ314" s="539"/>
      <c r="GLA314" s="539"/>
      <c r="GLB314" s="539"/>
      <c r="GLC314" s="539"/>
      <c r="GLD314" s="539"/>
      <c r="GLE314" s="539"/>
      <c r="GLF314" s="539"/>
      <c r="GLG314" s="539"/>
      <c r="GLH314" s="539"/>
      <c r="GLI314" s="539"/>
      <c r="GLJ314" s="539"/>
      <c r="GLK314" s="539"/>
      <c r="GLL314" s="539"/>
      <c r="GLM314" s="539"/>
      <c r="GLN314" s="539"/>
      <c r="GLO314" s="539"/>
      <c r="GLP314" s="539"/>
      <c r="GLQ314" s="539"/>
      <c r="GLR314" s="539"/>
      <c r="GLS314" s="539"/>
      <c r="GLT314" s="539"/>
      <c r="GLU314" s="539"/>
      <c r="GLV314" s="539"/>
      <c r="GLW314" s="539"/>
      <c r="GLX314" s="539"/>
      <c r="GLY314" s="539"/>
      <c r="GLZ314" s="539"/>
      <c r="GMA314" s="539"/>
      <c r="GMB314" s="539"/>
      <c r="GMC314" s="539"/>
      <c r="GMD314" s="539"/>
      <c r="GME314" s="539"/>
      <c r="GMF314" s="539"/>
      <c r="GMG314" s="539"/>
      <c r="GMH314" s="539"/>
      <c r="GMI314" s="539"/>
      <c r="GMJ314" s="539"/>
      <c r="GMK314" s="539"/>
      <c r="GML314" s="539"/>
      <c r="GMM314" s="539"/>
      <c r="GMN314" s="539"/>
      <c r="GMO314" s="539"/>
      <c r="GMP314" s="539"/>
      <c r="GMQ314" s="539"/>
      <c r="GMR314" s="539"/>
      <c r="GMS314" s="539"/>
      <c r="GMT314" s="539"/>
      <c r="GMU314" s="539"/>
      <c r="GMV314" s="539"/>
      <c r="GMW314" s="539"/>
      <c r="GMX314" s="539"/>
      <c r="GMY314" s="539"/>
      <c r="GMZ314" s="539"/>
      <c r="GNA314" s="539"/>
      <c r="GNB314" s="539"/>
      <c r="GNC314" s="539"/>
      <c r="GND314" s="539"/>
      <c r="GNE314" s="539"/>
      <c r="GNF314" s="539"/>
      <c r="GNG314" s="539"/>
      <c r="GNH314" s="539"/>
      <c r="GNI314" s="539"/>
      <c r="GNJ314" s="539"/>
      <c r="GNK314" s="539"/>
      <c r="GNL314" s="539"/>
      <c r="GNM314" s="539"/>
      <c r="GNN314" s="539"/>
      <c r="GNO314" s="539"/>
      <c r="GNP314" s="539"/>
      <c r="GNQ314" s="539"/>
      <c r="GNR314" s="539"/>
      <c r="GNS314" s="539"/>
      <c r="GNT314" s="539"/>
      <c r="GNU314" s="539"/>
      <c r="GNV314" s="539"/>
      <c r="GNW314" s="539"/>
      <c r="GNX314" s="539"/>
      <c r="GNY314" s="539"/>
      <c r="GNZ314" s="539"/>
      <c r="GOA314" s="539"/>
      <c r="GOB314" s="539"/>
      <c r="GOC314" s="539"/>
      <c r="GOD314" s="539"/>
      <c r="GOE314" s="539"/>
      <c r="GOF314" s="539"/>
      <c r="GOG314" s="539"/>
      <c r="GOH314" s="539"/>
      <c r="GOI314" s="539"/>
      <c r="GOJ314" s="539"/>
      <c r="GOK314" s="539"/>
      <c r="GOL314" s="539"/>
      <c r="GOM314" s="539"/>
      <c r="GON314" s="539"/>
      <c r="GOO314" s="539"/>
      <c r="GOP314" s="539"/>
      <c r="GOQ314" s="539"/>
      <c r="GOR314" s="539"/>
      <c r="GOS314" s="539"/>
      <c r="GOT314" s="539"/>
      <c r="GOU314" s="539"/>
      <c r="GOV314" s="539"/>
      <c r="GOW314" s="539"/>
      <c r="GOX314" s="539"/>
      <c r="GOY314" s="539"/>
      <c r="GOZ314" s="539"/>
      <c r="GPA314" s="539"/>
      <c r="GPB314" s="539"/>
      <c r="GPC314" s="539"/>
      <c r="GPD314" s="539"/>
      <c r="GPE314" s="539"/>
      <c r="GPF314" s="539"/>
      <c r="GPG314" s="539"/>
      <c r="GPH314" s="539"/>
      <c r="GPI314" s="539"/>
      <c r="GPJ314" s="539"/>
      <c r="GPK314" s="539"/>
      <c r="GPL314" s="539"/>
      <c r="GPM314" s="539"/>
      <c r="GPN314" s="539"/>
      <c r="GPO314" s="539"/>
      <c r="GPP314" s="539"/>
      <c r="GPQ314" s="539"/>
      <c r="GPR314" s="539"/>
      <c r="GPS314" s="539"/>
      <c r="GPT314" s="539"/>
      <c r="GPU314" s="539"/>
      <c r="GPV314" s="539"/>
      <c r="GPW314" s="539"/>
      <c r="GPX314" s="539"/>
      <c r="GPY314" s="539"/>
      <c r="GPZ314" s="539"/>
      <c r="GQA314" s="539"/>
      <c r="GQB314" s="539"/>
      <c r="GQC314" s="539"/>
      <c r="GQD314" s="539"/>
      <c r="GQE314" s="539"/>
      <c r="GQF314" s="539"/>
      <c r="GQG314" s="539"/>
      <c r="GQH314" s="539"/>
      <c r="GQI314" s="539"/>
      <c r="GQJ314" s="539"/>
      <c r="GQK314" s="539"/>
      <c r="GQL314" s="539"/>
      <c r="GQM314" s="539"/>
      <c r="GQN314" s="539"/>
      <c r="GQO314" s="539"/>
      <c r="GQP314" s="539"/>
      <c r="GQQ314" s="539"/>
      <c r="GQR314" s="539"/>
      <c r="GQS314" s="539"/>
      <c r="GQT314" s="539"/>
      <c r="GQU314" s="539"/>
      <c r="GQV314" s="539"/>
      <c r="GQW314" s="539"/>
      <c r="GQX314" s="539"/>
      <c r="GQY314" s="539"/>
      <c r="GQZ314" s="539"/>
      <c r="GRA314" s="539"/>
      <c r="GRB314" s="539"/>
      <c r="GRC314" s="539"/>
      <c r="GRD314" s="539"/>
      <c r="GRE314" s="539"/>
      <c r="GRF314" s="539"/>
      <c r="GRG314" s="539"/>
      <c r="GRH314" s="539"/>
      <c r="GRI314" s="539"/>
      <c r="GRJ314" s="539"/>
      <c r="GRK314" s="539"/>
      <c r="GRL314" s="539"/>
      <c r="GRM314" s="539"/>
      <c r="GRN314" s="539"/>
      <c r="GRO314" s="539"/>
      <c r="GRP314" s="539"/>
      <c r="GRQ314" s="539"/>
      <c r="GRR314" s="539"/>
      <c r="GRS314" s="539"/>
      <c r="GRT314" s="539"/>
      <c r="GRU314" s="539"/>
      <c r="GRV314" s="539"/>
      <c r="GRW314" s="539"/>
      <c r="GRX314" s="539"/>
      <c r="GRY314" s="539"/>
      <c r="GRZ314" s="539"/>
      <c r="GSA314" s="539"/>
      <c r="GSB314" s="539"/>
      <c r="GSC314" s="539"/>
      <c r="GSD314" s="539"/>
      <c r="GSE314" s="539"/>
      <c r="GSF314" s="539"/>
      <c r="GSG314" s="539"/>
      <c r="GSH314" s="539"/>
      <c r="GSI314" s="539"/>
      <c r="GSJ314" s="539"/>
      <c r="GSK314" s="539"/>
      <c r="GSL314" s="539"/>
      <c r="GSM314" s="539"/>
      <c r="GSN314" s="539"/>
      <c r="GSO314" s="539"/>
      <c r="GSP314" s="539"/>
      <c r="GSQ314" s="539"/>
      <c r="GSR314" s="539"/>
      <c r="GSS314" s="539"/>
      <c r="GST314" s="539"/>
      <c r="GSU314" s="539"/>
      <c r="GSV314" s="539"/>
      <c r="GSW314" s="539"/>
      <c r="GSX314" s="539"/>
      <c r="GSY314" s="539"/>
      <c r="GSZ314" s="539"/>
      <c r="GTA314" s="539"/>
      <c r="GTB314" s="539"/>
      <c r="GTC314" s="539"/>
      <c r="GTD314" s="539"/>
      <c r="GTE314" s="539"/>
      <c r="GTF314" s="539"/>
      <c r="GTG314" s="539"/>
      <c r="GTH314" s="539"/>
      <c r="GTI314" s="539"/>
      <c r="GTJ314" s="539"/>
      <c r="GTK314" s="539"/>
      <c r="GTL314" s="539"/>
      <c r="GTM314" s="539"/>
      <c r="GTN314" s="539"/>
      <c r="GTO314" s="539"/>
      <c r="GTP314" s="539"/>
      <c r="GTQ314" s="539"/>
      <c r="GTR314" s="539"/>
      <c r="GTS314" s="539"/>
      <c r="GTT314" s="539"/>
      <c r="GTU314" s="539"/>
      <c r="GTV314" s="539"/>
      <c r="GTW314" s="539"/>
      <c r="GTX314" s="539"/>
      <c r="GTY314" s="539"/>
      <c r="GTZ314" s="539"/>
      <c r="GUA314" s="539"/>
      <c r="GUB314" s="539"/>
      <c r="GUC314" s="539"/>
      <c r="GUD314" s="539"/>
      <c r="GUE314" s="539"/>
      <c r="GUF314" s="539"/>
      <c r="GUG314" s="539"/>
      <c r="GUH314" s="539"/>
      <c r="GUI314" s="539"/>
      <c r="GUJ314" s="539"/>
      <c r="GUK314" s="539"/>
      <c r="GUL314" s="539"/>
      <c r="GUM314" s="539"/>
      <c r="GUN314" s="539"/>
      <c r="GUO314" s="539"/>
      <c r="GUP314" s="539"/>
      <c r="GUQ314" s="539"/>
      <c r="GUR314" s="539"/>
      <c r="GUS314" s="539"/>
      <c r="GUT314" s="539"/>
      <c r="GUU314" s="539"/>
      <c r="GUV314" s="539"/>
      <c r="GUW314" s="539"/>
      <c r="GUX314" s="539"/>
      <c r="GUY314" s="539"/>
      <c r="GUZ314" s="539"/>
      <c r="GVA314" s="539"/>
      <c r="GVB314" s="539"/>
      <c r="GVC314" s="539"/>
      <c r="GVD314" s="539"/>
      <c r="GVE314" s="539"/>
      <c r="GVF314" s="539"/>
      <c r="GVG314" s="539"/>
      <c r="GVH314" s="539"/>
      <c r="GVI314" s="539"/>
      <c r="GVJ314" s="539"/>
      <c r="GVK314" s="539"/>
      <c r="GVL314" s="539"/>
      <c r="GVM314" s="539"/>
      <c r="GVN314" s="539"/>
      <c r="GVO314" s="539"/>
      <c r="GVP314" s="539"/>
      <c r="GVQ314" s="539"/>
      <c r="GVR314" s="539"/>
      <c r="GVS314" s="539"/>
      <c r="GVT314" s="539"/>
      <c r="GVU314" s="539"/>
      <c r="GVV314" s="539"/>
      <c r="GVW314" s="539"/>
      <c r="GVX314" s="539"/>
      <c r="GVY314" s="539"/>
      <c r="GVZ314" s="539"/>
      <c r="GWA314" s="539"/>
      <c r="GWB314" s="539"/>
      <c r="GWC314" s="539"/>
      <c r="GWD314" s="539"/>
      <c r="GWE314" s="539"/>
      <c r="GWF314" s="539"/>
      <c r="GWG314" s="539"/>
      <c r="GWH314" s="539"/>
      <c r="GWI314" s="539"/>
      <c r="GWJ314" s="539"/>
      <c r="GWK314" s="539"/>
      <c r="GWL314" s="539"/>
      <c r="GWM314" s="539"/>
      <c r="GWN314" s="539"/>
      <c r="GWO314" s="539"/>
      <c r="GWP314" s="539"/>
      <c r="GWQ314" s="539"/>
      <c r="GWR314" s="539"/>
      <c r="GWS314" s="539"/>
      <c r="GWT314" s="539"/>
      <c r="GWU314" s="539"/>
      <c r="GWV314" s="539"/>
      <c r="GWW314" s="539"/>
      <c r="GWX314" s="539"/>
      <c r="GWY314" s="539"/>
      <c r="GWZ314" s="539"/>
      <c r="GXA314" s="539"/>
      <c r="GXB314" s="539"/>
      <c r="GXC314" s="539"/>
      <c r="GXD314" s="539"/>
      <c r="GXE314" s="539"/>
      <c r="GXF314" s="539"/>
      <c r="GXG314" s="539"/>
      <c r="GXH314" s="539"/>
      <c r="GXI314" s="539"/>
      <c r="GXJ314" s="539"/>
      <c r="GXK314" s="539"/>
      <c r="GXL314" s="539"/>
      <c r="GXM314" s="539"/>
      <c r="GXN314" s="539"/>
      <c r="GXO314" s="539"/>
      <c r="GXP314" s="539"/>
      <c r="GXQ314" s="539"/>
      <c r="GXR314" s="539"/>
      <c r="GXS314" s="539"/>
      <c r="GXT314" s="539"/>
      <c r="GXU314" s="539"/>
      <c r="GXV314" s="539"/>
      <c r="GXW314" s="539"/>
      <c r="GXX314" s="539"/>
      <c r="GXY314" s="539"/>
      <c r="GXZ314" s="539"/>
      <c r="GYA314" s="539"/>
      <c r="GYB314" s="539"/>
      <c r="GYC314" s="539"/>
      <c r="GYD314" s="539"/>
      <c r="GYE314" s="539"/>
      <c r="GYF314" s="539"/>
      <c r="GYG314" s="539"/>
      <c r="GYH314" s="539"/>
      <c r="GYI314" s="539"/>
      <c r="GYJ314" s="539"/>
      <c r="GYK314" s="539"/>
      <c r="GYL314" s="539"/>
      <c r="GYM314" s="539"/>
      <c r="GYN314" s="539"/>
      <c r="GYO314" s="539"/>
      <c r="GYP314" s="539"/>
      <c r="GYQ314" s="539"/>
      <c r="GYR314" s="539"/>
      <c r="GYS314" s="539"/>
      <c r="GYT314" s="539"/>
      <c r="GYU314" s="539"/>
      <c r="GYV314" s="539"/>
      <c r="GYW314" s="539"/>
      <c r="GYX314" s="539"/>
      <c r="GYY314" s="539"/>
      <c r="GYZ314" s="539"/>
      <c r="GZA314" s="539"/>
      <c r="GZB314" s="539"/>
      <c r="GZC314" s="539"/>
      <c r="GZD314" s="539"/>
      <c r="GZE314" s="539"/>
      <c r="GZF314" s="539"/>
      <c r="GZG314" s="539"/>
      <c r="GZH314" s="539"/>
      <c r="GZI314" s="539"/>
      <c r="GZJ314" s="539"/>
      <c r="GZK314" s="539"/>
      <c r="GZL314" s="539"/>
      <c r="GZM314" s="539"/>
      <c r="GZN314" s="539"/>
      <c r="GZO314" s="539"/>
      <c r="GZP314" s="539"/>
      <c r="GZQ314" s="539"/>
      <c r="GZR314" s="539"/>
      <c r="GZS314" s="539"/>
      <c r="GZT314" s="539"/>
      <c r="GZU314" s="539"/>
      <c r="GZV314" s="539"/>
      <c r="GZW314" s="539"/>
      <c r="GZX314" s="539"/>
      <c r="GZY314" s="539"/>
      <c r="GZZ314" s="539"/>
      <c r="HAA314" s="539"/>
      <c r="HAB314" s="539"/>
      <c r="HAC314" s="539"/>
      <c r="HAD314" s="539"/>
      <c r="HAE314" s="539"/>
      <c r="HAF314" s="539"/>
      <c r="HAG314" s="539"/>
      <c r="HAH314" s="539"/>
      <c r="HAI314" s="539"/>
      <c r="HAJ314" s="539"/>
      <c r="HAK314" s="539"/>
      <c r="HAL314" s="539"/>
      <c r="HAM314" s="539"/>
      <c r="HAN314" s="539"/>
      <c r="HAO314" s="539"/>
      <c r="HAP314" s="539"/>
      <c r="HAQ314" s="539"/>
      <c r="HAR314" s="539"/>
      <c r="HAS314" s="539"/>
      <c r="HAT314" s="539"/>
      <c r="HAU314" s="539"/>
      <c r="HAV314" s="539"/>
      <c r="HAW314" s="539"/>
      <c r="HAX314" s="539"/>
      <c r="HAY314" s="539"/>
      <c r="HAZ314" s="539"/>
      <c r="HBA314" s="539"/>
      <c r="HBB314" s="539"/>
      <c r="HBC314" s="539"/>
      <c r="HBD314" s="539"/>
      <c r="HBE314" s="539"/>
      <c r="HBF314" s="539"/>
      <c r="HBG314" s="539"/>
      <c r="HBH314" s="539"/>
      <c r="HBI314" s="539"/>
      <c r="HBJ314" s="539"/>
      <c r="HBK314" s="539"/>
      <c r="HBL314" s="539"/>
      <c r="HBM314" s="539"/>
      <c r="HBN314" s="539"/>
      <c r="HBO314" s="539"/>
      <c r="HBP314" s="539"/>
      <c r="HBQ314" s="539"/>
      <c r="HBR314" s="539"/>
      <c r="HBS314" s="539"/>
      <c r="HBT314" s="539"/>
      <c r="HBU314" s="539"/>
      <c r="HBV314" s="539"/>
      <c r="HBW314" s="539"/>
      <c r="HBX314" s="539"/>
      <c r="HBY314" s="539"/>
      <c r="HBZ314" s="539"/>
      <c r="HCA314" s="539"/>
      <c r="HCB314" s="539"/>
      <c r="HCC314" s="539"/>
      <c r="HCD314" s="539"/>
      <c r="HCE314" s="539"/>
      <c r="HCF314" s="539"/>
      <c r="HCG314" s="539"/>
      <c r="HCH314" s="539"/>
      <c r="HCI314" s="539"/>
      <c r="HCJ314" s="539"/>
      <c r="HCK314" s="539"/>
      <c r="HCL314" s="539"/>
      <c r="HCM314" s="539"/>
      <c r="HCN314" s="539"/>
      <c r="HCO314" s="539"/>
      <c r="HCP314" s="539"/>
      <c r="HCQ314" s="539"/>
      <c r="HCR314" s="539"/>
      <c r="HCS314" s="539"/>
      <c r="HCT314" s="539"/>
      <c r="HCU314" s="539"/>
      <c r="HCV314" s="539"/>
      <c r="HCW314" s="539"/>
      <c r="HCX314" s="539"/>
      <c r="HCY314" s="539"/>
      <c r="HCZ314" s="539"/>
      <c r="HDA314" s="539"/>
      <c r="HDB314" s="539"/>
      <c r="HDC314" s="539"/>
      <c r="HDD314" s="539"/>
      <c r="HDE314" s="539"/>
      <c r="HDF314" s="539"/>
      <c r="HDG314" s="539"/>
      <c r="HDH314" s="539"/>
      <c r="HDI314" s="539"/>
      <c r="HDJ314" s="539"/>
      <c r="HDK314" s="539"/>
      <c r="HDL314" s="539"/>
      <c r="HDM314" s="539"/>
      <c r="HDN314" s="539"/>
      <c r="HDO314" s="539"/>
      <c r="HDP314" s="539"/>
      <c r="HDQ314" s="539"/>
      <c r="HDR314" s="539"/>
      <c r="HDS314" s="539"/>
      <c r="HDT314" s="539"/>
      <c r="HDU314" s="539"/>
      <c r="HDV314" s="539"/>
      <c r="HDW314" s="539"/>
      <c r="HDX314" s="539"/>
      <c r="HDY314" s="539"/>
      <c r="HDZ314" s="539"/>
      <c r="HEA314" s="539"/>
      <c r="HEB314" s="539"/>
      <c r="HEC314" s="539"/>
      <c r="HED314" s="539"/>
      <c r="HEE314" s="539"/>
      <c r="HEF314" s="539"/>
      <c r="HEG314" s="539"/>
      <c r="HEH314" s="539"/>
      <c r="HEI314" s="539"/>
      <c r="HEJ314" s="539"/>
      <c r="HEK314" s="539"/>
      <c r="HEL314" s="539"/>
      <c r="HEM314" s="539"/>
      <c r="HEN314" s="539"/>
      <c r="HEO314" s="539"/>
      <c r="HEP314" s="539"/>
      <c r="HEQ314" s="539"/>
      <c r="HER314" s="539"/>
      <c r="HES314" s="539"/>
      <c r="HET314" s="539"/>
      <c r="HEU314" s="539"/>
      <c r="HEV314" s="539"/>
      <c r="HEW314" s="539"/>
      <c r="HEX314" s="539"/>
      <c r="HEY314" s="539"/>
      <c r="HEZ314" s="539"/>
      <c r="HFA314" s="539"/>
      <c r="HFB314" s="539"/>
      <c r="HFC314" s="539"/>
      <c r="HFD314" s="539"/>
      <c r="HFE314" s="539"/>
      <c r="HFF314" s="539"/>
      <c r="HFG314" s="539"/>
      <c r="HFH314" s="539"/>
      <c r="HFI314" s="539"/>
      <c r="HFJ314" s="539"/>
      <c r="HFK314" s="539"/>
      <c r="HFL314" s="539"/>
      <c r="HFM314" s="539"/>
      <c r="HFN314" s="539"/>
      <c r="HFO314" s="539"/>
      <c r="HFP314" s="539"/>
      <c r="HFQ314" s="539"/>
      <c r="HFR314" s="539"/>
      <c r="HFS314" s="539"/>
      <c r="HFT314" s="539"/>
      <c r="HFU314" s="539"/>
      <c r="HFV314" s="539"/>
      <c r="HFW314" s="539"/>
      <c r="HFX314" s="539"/>
      <c r="HFY314" s="539"/>
      <c r="HFZ314" s="539"/>
      <c r="HGA314" s="539"/>
      <c r="HGB314" s="539"/>
      <c r="HGC314" s="539"/>
      <c r="HGD314" s="539"/>
      <c r="HGE314" s="539"/>
      <c r="HGF314" s="539"/>
      <c r="HGG314" s="539"/>
      <c r="HGH314" s="539"/>
      <c r="HGI314" s="539"/>
      <c r="HGJ314" s="539"/>
      <c r="HGK314" s="539"/>
      <c r="HGL314" s="539"/>
      <c r="HGM314" s="539"/>
      <c r="HGN314" s="539"/>
      <c r="HGO314" s="539"/>
      <c r="HGP314" s="539"/>
      <c r="HGQ314" s="539"/>
      <c r="HGR314" s="539"/>
      <c r="HGS314" s="539"/>
      <c r="HGT314" s="539"/>
      <c r="HGU314" s="539"/>
      <c r="HGV314" s="539"/>
      <c r="HGW314" s="539"/>
      <c r="HGX314" s="539"/>
      <c r="HGY314" s="539"/>
      <c r="HGZ314" s="539"/>
      <c r="HHA314" s="539"/>
      <c r="HHB314" s="539"/>
      <c r="HHC314" s="539"/>
      <c r="HHD314" s="539"/>
      <c r="HHE314" s="539"/>
      <c r="HHF314" s="539"/>
      <c r="HHG314" s="539"/>
      <c r="HHH314" s="539"/>
      <c r="HHI314" s="539"/>
      <c r="HHJ314" s="539"/>
      <c r="HHK314" s="539"/>
      <c r="HHL314" s="539"/>
      <c r="HHM314" s="539"/>
      <c r="HHN314" s="539"/>
      <c r="HHO314" s="539"/>
      <c r="HHP314" s="539"/>
      <c r="HHQ314" s="539"/>
      <c r="HHR314" s="539"/>
      <c r="HHS314" s="539"/>
      <c r="HHT314" s="539"/>
      <c r="HHU314" s="539"/>
      <c r="HHV314" s="539"/>
      <c r="HHW314" s="539"/>
      <c r="HHX314" s="539"/>
      <c r="HHY314" s="539"/>
      <c r="HHZ314" s="539"/>
      <c r="HIA314" s="539"/>
      <c r="HIB314" s="539"/>
      <c r="HIC314" s="539"/>
      <c r="HID314" s="539"/>
      <c r="HIE314" s="539"/>
      <c r="HIF314" s="539"/>
      <c r="HIG314" s="539"/>
      <c r="HIH314" s="539"/>
      <c r="HII314" s="539"/>
      <c r="HIJ314" s="539"/>
      <c r="HIK314" s="539"/>
      <c r="HIL314" s="539"/>
      <c r="HIM314" s="539"/>
      <c r="HIN314" s="539"/>
      <c r="HIO314" s="539"/>
      <c r="HIP314" s="539"/>
      <c r="HIQ314" s="539"/>
      <c r="HIR314" s="539"/>
      <c r="HIS314" s="539"/>
      <c r="HIT314" s="539"/>
      <c r="HIU314" s="539"/>
      <c r="HIV314" s="539"/>
      <c r="HIW314" s="539"/>
      <c r="HIX314" s="539"/>
      <c r="HIY314" s="539"/>
      <c r="HIZ314" s="539"/>
      <c r="HJA314" s="539"/>
      <c r="HJB314" s="539"/>
      <c r="HJC314" s="539"/>
      <c r="HJD314" s="539"/>
      <c r="HJE314" s="539"/>
      <c r="HJF314" s="539"/>
      <c r="HJG314" s="539"/>
      <c r="HJH314" s="539"/>
      <c r="HJI314" s="539"/>
      <c r="HJJ314" s="539"/>
      <c r="HJK314" s="539"/>
      <c r="HJL314" s="539"/>
      <c r="HJM314" s="539"/>
      <c r="HJN314" s="539"/>
      <c r="HJO314" s="539"/>
      <c r="HJP314" s="539"/>
      <c r="HJQ314" s="539"/>
      <c r="HJR314" s="539"/>
      <c r="HJS314" s="539"/>
      <c r="HJT314" s="539"/>
      <c r="HJU314" s="539"/>
      <c r="HJV314" s="539"/>
      <c r="HJW314" s="539"/>
      <c r="HJX314" s="539"/>
      <c r="HJY314" s="539"/>
      <c r="HJZ314" s="539"/>
      <c r="HKA314" s="539"/>
      <c r="HKB314" s="539"/>
      <c r="HKC314" s="539"/>
      <c r="HKD314" s="539"/>
      <c r="HKE314" s="539"/>
      <c r="HKF314" s="539"/>
      <c r="HKG314" s="539"/>
      <c r="HKH314" s="539"/>
      <c r="HKI314" s="539"/>
      <c r="HKJ314" s="539"/>
      <c r="HKK314" s="539"/>
      <c r="HKL314" s="539"/>
      <c r="HKM314" s="539"/>
      <c r="HKN314" s="539"/>
      <c r="HKO314" s="539"/>
      <c r="HKP314" s="539"/>
      <c r="HKQ314" s="539"/>
      <c r="HKR314" s="539"/>
      <c r="HKS314" s="539"/>
      <c r="HKT314" s="539"/>
      <c r="HKU314" s="539"/>
      <c r="HKV314" s="539"/>
      <c r="HKW314" s="539"/>
      <c r="HKX314" s="539"/>
      <c r="HKY314" s="539"/>
      <c r="HKZ314" s="539"/>
      <c r="HLA314" s="539"/>
      <c r="HLB314" s="539"/>
      <c r="HLC314" s="539"/>
      <c r="HLD314" s="539"/>
      <c r="HLE314" s="539"/>
      <c r="HLF314" s="539"/>
      <c r="HLG314" s="539"/>
      <c r="HLH314" s="539"/>
      <c r="HLI314" s="539"/>
      <c r="HLJ314" s="539"/>
      <c r="HLK314" s="539"/>
      <c r="HLL314" s="539"/>
      <c r="HLM314" s="539"/>
      <c r="HLN314" s="539"/>
      <c r="HLO314" s="539"/>
      <c r="HLP314" s="539"/>
      <c r="HLQ314" s="539"/>
      <c r="HLR314" s="539"/>
      <c r="HLS314" s="539"/>
      <c r="HLT314" s="539"/>
      <c r="HLU314" s="539"/>
      <c r="HLV314" s="539"/>
      <c r="HLW314" s="539"/>
      <c r="HLX314" s="539"/>
      <c r="HLY314" s="539"/>
      <c r="HLZ314" s="539"/>
      <c r="HMA314" s="539"/>
      <c r="HMB314" s="539"/>
      <c r="HMC314" s="539"/>
      <c r="HMD314" s="539"/>
      <c r="HME314" s="539"/>
      <c r="HMF314" s="539"/>
      <c r="HMG314" s="539"/>
      <c r="HMH314" s="539"/>
      <c r="HMI314" s="539"/>
      <c r="HMJ314" s="539"/>
      <c r="HMK314" s="539"/>
      <c r="HML314" s="539"/>
      <c r="HMM314" s="539"/>
      <c r="HMN314" s="539"/>
      <c r="HMO314" s="539"/>
      <c r="HMP314" s="539"/>
      <c r="HMQ314" s="539"/>
      <c r="HMR314" s="539"/>
      <c r="HMS314" s="539"/>
      <c r="HMT314" s="539"/>
      <c r="HMU314" s="539"/>
      <c r="HMV314" s="539"/>
      <c r="HMW314" s="539"/>
      <c r="HMX314" s="539"/>
      <c r="HMY314" s="539"/>
      <c r="HMZ314" s="539"/>
      <c r="HNA314" s="539"/>
      <c r="HNB314" s="539"/>
      <c r="HNC314" s="539"/>
      <c r="HND314" s="539"/>
      <c r="HNE314" s="539"/>
      <c r="HNF314" s="539"/>
      <c r="HNG314" s="539"/>
      <c r="HNH314" s="539"/>
      <c r="HNI314" s="539"/>
      <c r="HNJ314" s="539"/>
      <c r="HNK314" s="539"/>
      <c r="HNL314" s="539"/>
      <c r="HNM314" s="539"/>
      <c r="HNN314" s="539"/>
      <c r="HNO314" s="539"/>
      <c r="HNP314" s="539"/>
      <c r="HNQ314" s="539"/>
      <c r="HNR314" s="539"/>
      <c r="HNS314" s="539"/>
      <c r="HNT314" s="539"/>
      <c r="HNU314" s="539"/>
      <c r="HNV314" s="539"/>
      <c r="HNW314" s="539"/>
      <c r="HNX314" s="539"/>
      <c r="HNY314" s="539"/>
      <c r="HNZ314" s="539"/>
      <c r="HOA314" s="539"/>
      <c r="HOB314" s="539"/>
      <c r="HOC314" s="539"/>
      <c r="HOD314" s="539"/>
      <c r="HOE314" s="539"/>
      <c r="HOF314" s="539"/>
      <c r="HOG314" s="539"/>
      <c r="HOH314" s="539"/>
      <c r="HOI314" s="539"/>
      <c r="HOJ314" s="539"/>
      <c r="HOK314" s="539"/>
      <c r="HOL314" s="539"/>
      <c r="HOM314" s="539"/>
      <c r="HON314" s="539"/>
      <c r="HOO314" s="539"/>
      <c r="HOP314" s="539"/>
      <c r="HOQ314" s="539"/>
      <c r="HOR314" s="539"/>
      <c r="HOS314" s="539"/>
      <c r="HOT314" s="539"/>
      <c r="HOU314" s="539"/>
      <c r="HOV314" s="539"/>
      <c r="HOW314" s="539"/>
      <c r="HOX314" s="539"/>
      <c r="HOY314" s="539"/>
      <c r="HOZ314" s="539"/>
      <c r="HPA314" s="539"/>
      <c r="HPB314" s="539"/>
      <c r="HPC314" s="539"/>
      <c r="HPD314" s="539"/>
      <c r="HPE314" s="539"/>
      <c r="HPF314" s="539"/>
      <c r="HPG314" s="539"/>
      <c r="HPH314" s="539"/>
      <c r="HPI314" s="539"/>
      <c r="HPJ314" s="539"/>
      <c r="HPK314" s="539"/>
      <c r="HPL314" s="539"/>
      <c r="HPM314" s="539"/>
      <c r="HPN314" s="539"/>
      <c r="HPO314" s="539"/>
      <c r="HPP314" s="539"/>
      <c r="HPQ314" s="539"/>
      <c r="HPR314" s="539"/>
      <c r="HPS314" s="539"/>
      <c r="HPT314" s="539"/>
      <c r="HPU314" s="539"/>
      <c r="HPV314" s="539"/>
      <c r="HPW314" s="539"/>
      <c r="HPX314" s="539"/>
      <c r="HPY314" s="539"/>
      <c r="HPZ314" s="539"/>
      <c r="HQA314" s="539"/>
      <c r="HQB314" s="539"/>
      <c r="HQC314" s="539"/>
      <c r="HQD314" s="539"/>
      <c r="HQE314" s="539"/>
      <c r="HQF314" s="539"/>
      <c r="HQG314" s="539"/>
      <c r="HQH314" s="539"/>
      <c r="HQI314" s="539"/>
      <c r="HQJ314" s="539"/>
      <c r="HQK314" s="539"/>
      <c r="HQL314" s="539"/>
      <c r="HQM314" s="539"/>
      <c r="HQN314" s="539"/>
      <c r="HQO314" s="539"/>
      <c r="HQP314" s="539"/>
      <c r="HQQ314" s="539"/>
      <c r="HQR314" s="539"/>
      <c r="HQS314" s="539"/>
      <c r="HQT314" s="539"/>
      <c r="HQU314" s="539"/>
      <c r="HQV314" s="539"/>
      <c r="HQW314" s="539"/>
      <c r="HQX314" s="539"/>
      <c r="HQY314" s="539"/>
      <c r="HQZ314" s="539"/>
      <c r="HRA314" s="539"/>
      <c r="HRB314" s="539"/>
      <c r="HRC314" s="539"/>
      <c r="HRD314" s="539"/>
      <c r="HRE314" s="539"/>
      <c r="HRF314" s="539"/>
      <c r="HRG314" s="539"/>
      <c r="HRH314" s="539"/>
      <c r="HRI314" s="539"/>
      <c r="HRJ314" s="539"/>
      <c r="HRK314" s="539"/>
      <c r="HRL314" s="539"/>
      <c r="HRM314" s="539"/>
      <c r="HRN314" s="539"/>
      <c r="HRO314" s="539"/>
      <c r="HRP314" s="539"/>
      <c r="HRQ314" s="539"/>
      <c r="HRR314" s="539"/>
      <c r="HRS314" s="539"/>
      <c r="HRT314" s="539"/>
      <c r="HRU314" s="539"/>
      <c r="HRV314" s="539"/>
      <c r="HRW314" s="539"/>
      <c r="HRX314" s="539"/>
      <c r="HRY314" s="539"/>
      <c r="HRZ314" s="539"/>
      <c r="HSA314" s="539"/>
      <c r="HSB314" s="539"/>
      <c r="HSC314" s="539"/>
      <c r="HSD314" s="539"/>
      <c r="HSE314" s="539"/>
      <c r="HSF314" s="539"/>
      <c r="HSG314" s="539"/>
      <c r="HSH314" s="539"/>
      <c r="HSI314" s="539"/>
      <c r="HSJ314" s="539"/>
      <c r="HSK314" s="539"/>
      <c r="HSL314" s="539"/>
      <c r="HSM314" s="539"/>
      <c r="HSN314" s="539"/>
      <c r="HSO314" s="539"/>
      <c r="HSP314" s="539"/>
      <c r="HSQ314" s="539"/>
      <c r="HSR314" s="539"/>
      <c r="HSS314" s="539"/>
      <c r="HST314" s="539"/>
      <c r="HSU314" s="539"/>
      <c r="HSV314" s="539"/>
      <c r="HSW314" s="539"/>
      <c r="HSX314" s="539"/>
      <c r="HSY314" s="539"/>
      <c r="HSZ314" s="539"/>
      <c r="HTA314" s="539"/>
      <c r="HTB314" s="539"/>
      <c r="HTC314" s="539"/>
      <c r="HTD314" s="539"/>
      <c r="HTE314" s="539"/>
      <c r="HTF314" s="539"/>
      <c r="HTG314" s="539"/>
      <c r="HTH314" s="539"/>
      <c r="HTI314" s="539"/>
      <c r="HTJ314" s="539"/>
      <c r="HTK314" s="539"/>
      <c r="HTL314" s="539"/>
      <c r="HTM314" s="539"/>
      <c r="HTN314" s="539"/>
      <c r="HTO314" s="539"/>
      <c r="HTP314" s="539"/>
      <c r="HTQ314" s="539"/>
      <c r="HTR314" s="539"/>
      <c r="HTS314" s="539"/>
      <c r="HTT314" s="539"/>
      <c r="HTU314" s="539"/>
      <c r="HTV314" s="539"/>
      <c r="HTW314" s="539"/>
      <c r="HTX314" s="539"/>
      <c r="HTY314" s="539"/>
      <c r="HTZ314" s="539"/>
      <c r="HUA314" s="539"/>
      <c r="HUB314" s="539"/>
      <c r="HUC314" s="539"/>
      <c r="HUD314" s="539"/>
      <c r="HUE314" s="539"/>
      <c r="HUF314" s="539"/>
      <c r="HUG314" s="539"/>
      <c r="HUH314" s="539"/>
      <c r="HUI314" s="539"/>
      <c r="HUJ314" s="539"/>
      <c r="HUK314" s="539"/>
      <c r="HUL314" s="539"/>
      <c r="HUM314" s="539"/>
      <c r="HUN314" s="539"/>
      <c r="HUO314" s="539"/>
      <c r="HUP314" s="539"/>
      <c r="HUQ314" s="539"/>
      <c r="HUR314" s="539"/>
      <c r="HUS314" s="539"/>
      <c r="HUT314" s="539"/>
      <c r="HUU314" s="539"/>
      <c r="HUV314" s="539"/>
      <c r="HUW314" s="539"/>
      <c r="HUX314" s="539"/>
      <c r="HUY314" s="539"/>
      <c r="HUZ314" s="539"/>
      <c r="HVA314" s="539"/>
      <c r="HVB314" s="539"/>
      <c r="HVC314" s="539"/>
      <c r="HVD314" s="539"/>
      <c r="HVE314" s="539"/>
      <c r="HVF314" s="539"/>
      <c r="HVG314" s="539"/>
      <c r="HVH314" s="539"/>
      <c r="HVI314" s="539"/>
      <c r="HVJ314" s="539"/>
      <c r="HVK314" s="539"/>
      <c r="HVL314" s="539"/>
      <c r="HVM314" s="539"/>
      <c r="HVN314" s="539"/>
      <c r="HVO314" s="539"/>
      <c r="HVP314" s="539"/>
      <c r="HVQ314" s="539"/>
      <c r="HVR314" s="539"/>
      <c r="HVS314" s="539"/>
      <c r="HVT314" s="539"/>
      <c r="HVU314" s="539"/>
      <c r="HVV314" s="539"/>
      <c r="HVW314" s="539"/>
      <c r="HVX314" s="539"/>
      <c r="HVY314" s="539"/>
      <c r="HVZ314" s="539"/>
      <c r="HWA314" s="539"/>
      <c r="HWB314" s="539"/>
      <c r="HWC314" s="539"/>
      <c r="HWD314" s="539"/>
      <c r="HWE314" s="539"/>
      <c r="HWF314" s="539"/>
      <c r="HWG314" s="539"/>
      <c r="HWH314" s="539"/>
      <c r="HWI314" s="539"/>
      <c r="HWJ314" s="539"/>
      <c r="HWK314" s="539"/>
      <c r="HWL314" s="539"/>
      <c r="HWM314" s="539"/>
      <c r="HWN314" s="539"/>
      <c r="HWO314" s="539"/>
      <c r="HWP314" s="539"/>
      <c r="HWQ314" s="539"/>
      <c r="HWR314" s="539"/>
      <c r="HWS314" s="539"/>
      <c r="HWT314" s="539"/>
      <c r="HWU314" s="539"/>
      <c r="HWV314" s="539"/>
      <c r="HWW314" s="539"/>
      <c r="HWX314" s="539"/>
      <c r="HWY314" s="539"/>
      <c r="HWZ314" s="539"/>
      <c r="HXA314" s="539"/>
      <c r="HXB314" s="539"/>
      <c r="HXC314" s="539"/>
      <c r="HXD314" s="539"/>
      <c r="HXE314" s="539"/>
      <c r="HXF314" s="539"/>
      <c r="HXG314" s="539"/>
      <c r="HXH314" s="539"/>
      <c r="HXI314" s="539"/>
      <c r="HXJ314" s="539"/>
      <c r="HXK314" s="539"/>
      <c r="HXL314" s="539"/>
      <c r="HXM314" s="539"/>
      <c r="HXN314" s="539"/>
      <c r="HXO314" s="539"/>
      <c r="HXP314" s="539"/>
      <c r="HXQ314" s="539"/>
      <c r="HXR314" s="539"/>
      <c r="HXS314" s="539"/>
      <c r="HXT314" s="539"/>
      <c r="HXU314" s="539"/>
      <c r="HXV314" s="539"/>
      <c r="HXW314" s="539"/>
      <c r="HXX314" s="539"/>
      <c r="HXY314" s="539"/>
      <c r="HXZ314" s="539"/>
      <c r="HYA314" s="539"/>
      <c r="HYB314" s="539"/>
      <c r="HYC314" s="539"/>
      <c r="HYD314" s="539"/>
      <c r="HYE314" s="539"/>
      <c r="HYF314" s="539"/>
      <c r="HYG314" s="539"/>
      <c r="HYH314" s="539"/>
      <c r="HYI314" s="539"/>
      <c r="HYJ314" s="539"/>
      <c r="HYK314" s="539"/>
      <c r="HYL314" s="539"/>
      <c r="HYM314" s="539"/>
      <c r="HYN314" s="539"/>
      <c r="HYO314" s="539"/>
      <c r="HYP314" s="539"/>
      <c r="HYQ314" s="539"/>
      <c r="HYR314" s="539"/>
      <c r="HYS314" s="539"/>
      <c r="HYT314" s="539"/>
      <c r="HYU314" s="539"/>
      <c r="HYV314" s="539"/>
      <c r="HYW314" s="539"/>
      <c r="HYX314" s="539"/>
      <c r="HYY314" s="539"/>
      <c r="HYZ314" s="539"/>
      <c r="HZA314" s="539"/>
      <c r="HZB314" s="539"/>
      <c r="HZC314" s="539"/>
      <c r="HZD314" s="539"/>
      <c r="HZE314" s="539"/>
      <c r="HZF314" s="539"/>
      <c r="HZG314" s="539"/>
      <c r="HZH314" s="539"/>
      <c r="HZI314" s="539"/>
      <c r="HZJ314" s="539"/>
      <c r="HZK314" s="539"/>
      <c r="HZL314" s="539"/>
      <c r="HZM314" s="539"/>
      <c r="HZN314" s="539"/>
      <c r="HZO314" s="539"/>
      <c r="HZP314" s="539"/>
      <c r="HZQ314" s="539"/>
      <c r="HZR314" s="539"/>
      <c r="HZS314" s="539"/>
      <c r="HZT314" s="539"/>
      <c r="HZU314" s="539"/>
      <c r="HZV314" s="539"/>
      <c r="HZW314" s="539"/>
      <c r="HZX314" s="539"/>
      <c r="HZY314" s="539"/>
      <c r="HZZ314" s="539"/>
      <c r="IAA314" s="539"/>
      <c r="IAB314" s="539"/>
      <c r="IAC314" s="539"/>
      <c r="IAD314" s="539"/>
      <c r="IAE314" s="539"/>
      <c r="IAF314" s="539"/>
      <c r="IAG314" s="539"/>
      <c r="IAH314" s="539"/>
      <c r="IAI314" s="539"/>
      <c r="IAJ314" s="539"/>
      <c r="IAK314" s="539"/>
      <c r="IAL314" s="539"/>
      <c r="IAM314" s="539"/>
      <c r="IAN314" s="539"/>
      <c r="IAO314" s="539"/>
      <c r="IAP314" s="539"/>
      <c r="IAQ314" s="539"/>
      <c r="IAR314" s="539"/>
      <c r="IAS314" s="539"/>
      <c r="IAT314" s="539"/>
      <c r="IAU314" s="539"/>
      <c r="IAV314" s="539"/>
      <c r="IAW314" s="539"/>
      <c r="IAX314" s="539"/>
      <c r="IAY314" s="539"/>
      <c r="IAZ314" s="539"/>
      <c r="IBA314" s="539"/>
      <c r="IBB314" s="539"/>
      <c r="IBC314" s="539"/>
      <c r="IBD314" s="539"/>
      <c r="IBE314" s="539"/>
      <c r="IBF314" s="539"/>
      <c r="IBG314" s="539"/>
      <c r="IBH314" s="539"/>
      <c r="IBI314" s="539"/>
      <c r="IBJ314" s="539"/>
      <c r="IBK314" s="539"/>
      <c r="IBL314" s="539"/>
      <c r="IBM314" s="539"/>
      <c r="IBN314" s="539"/>
      <c r="IBO314" s="539"/>
      <c r="IBP314" s="539"/>
      <c r="IBQ314" s="539"/>
      <c r="IBR314" s="539"/>
      <c r="IBS314" s="539"/>
      <c r="IBT314" s="539"/>
      <c r="IBU314" s="539"/>
      <c r="IBV314" s="539"/>
      <c r="IBW314" s="539"/>
      <c r="IBX314" s="539"/>
      <c r="IBY314" s="539"/>
      <c r="IBZ314" s="539"/>
      <c r="ICA314" s="539"/>
      <c r="ICB314" s="539"/>
      <c r="ICC314" s="539"/>
      <c r="ICD314" s="539"/>
      <c r="ICE314" s="539"/>
      <c r="ICF314" s="539"/>
      <c r="ICG314" s="539"/>
      <c r="ICH314" s="539"/>
      <c r="ICI314" s="539"/>
      <c r="ICJ314" s="539"/>
      <c r="ICK314" s="539"/>
      <c r="ICL314" s="539"/>
      <c r="ICM314" s="539"/>
      <c r="ICN314" s="539"/>
      <c r="ICO314" s="539"/>
      <c r="ICP314" s="539"/>
      <c r="ICQ314" s="539"/>
      <c r="ICR314" s="539"/>
      <c r="ICS314" s="539"/>
      <c r="ICT314" s="539"/>
      <c r="ICU314" s="539"/>
      <c r="ICV314" s="539"/>
      <c r="ICW314" s="539"/>
      <c r="ICX314" s="539"/>
      <c r="ICY314" s="539"/>
      <c r="ICZ314" s="539"/>
      <c r="IDA314" s="539"/>
      <c r="IDB314" s="539"/>
      <c r="IDC314" s="539"/>
      <c r="IDD314" s="539"/>
      <c r="IDE314" s="539"/>
      <c r="IDF314" s="539"/>
      <c r="IDG314" s="539"/>
      <c r="IDH314" s="539"/>
      <c r="IDI314" s="539"/>
      <c r="IDJ314" s="539"/>
      <c r="IDK314" s="539"/>
      <c r="IDL314" s="539"/>
      <c r="IDM314" s="539"/>
      <c r="IDN314" s="539"/>
      <c r="IDO314" s="539"/>
      <c r="IDP314" s="539"/>
      <c r="IDQ314" s="539"/>
      <c r="IDR314" s="539"/>
      <c r="IDS314" s="539"/>
      <c r="IDT314" s="539"/>
      <c r="IDU314" s="539"/>
      <c r="IDV314" s="539"/>
      <c r="IDW314" s="539"/>
      <c r="IDX314" s="539"/>
      <c r="IDY314" s="539"/>
      <c r="IDZ314" s="539"/>
      <c r="IEA314" s="539"/>
      <c r="IEB314" s="539"/>
      <c r="IEC314" s="539"/>
      <c r="IED314" s="539"/>
      <c r="IEE314" s="539"/>
      <c r="IEF314" s="539"/>
      <c r="IEG314" s="539"/>
      <c r="IEH314" s="539"/>
      <c r="IEI314" s="539"/>
      <c r="IEJ314" s="539"/>
      <c r="IEK314" s="539"/>
      <c r="IEL314" s="539"/>
      <c r="IEM314" s="539"/>
      <c r="IEN314" s="539"/>
      <c r="IEO314" s="539"/>
      <c r="IEP314" s="539"/>
      <c r="IEQ314" s="539"/>
      <c r="IER314" s="539"/>
      <c r="IES314" s="539"/>
      <c r="IET314" s="539"/>
      <c r="IEU314" s="539"/>
      <c r="IEV314" s="539"/>
      <c r="IEW314" s="539"/>
      <c r="IEX314" s="539"/>
      <c r="IEY314" s="539"/>
      <c r="IEZ314" s="539"/>
      <c r="IFA314" s="539"/>
      <c r="IFB314" s="539"/>
      <c r="IFC314" s="539"/>
      <c r="IFD314" s="539"/>
      <c r="IFE314" s="539"/>
      <c r="IFF314" s="539"/>
      <c r="IFG314" s="539"/>
      <c r="IFH314" s="539"/>
      <c r="IFI314" s="539"/>
      <c r="IFJ314" s="539"/>
      <c r="IFK314" s="539"/>
      <c r="IFL314" s="539"/>
      <c r="IFM314" s="539"/>
      <c r="IFN314" s="539"/>
      <c r="IFO314" s="539"/>
      <c r="IFP314" s="539"/>
      <c r="IFQ314" s="539"/>
      <c r="IFR314" s="539"/>
      <c r="IFS314" s="539"/>
      <c r="IFT314" s="539"/>
      <c r="IFU314" s="539"/>
      <c r="IFV314" s="539"/>
      <c r="IFW314" s="539"/>
      <c r="IFX314" s="539"/>
      <c r="IFY314" s="539"/>
      <c r="IFZ314" s="539"/>
      <c r="IGA314" s="539"/>
      <c r="IGB314" s="539"/>
      <c r="IGC314" s="539"/>
      <c r="IGD314" s="539"/>
      <c r="IGE314" s="539"/>
      <c r="IGF314" s="539"/>
      <c r="IGG314" s="539"/>
      <c r="IGH314" s="539"/>
      <c r="IGI314" s="539"/>
      <c r="IGJ314" s="539"/>
      <c r="IGK314" s="539"/>
      <c r="IGL314" s="539"/>
      <c r="IGM314" s="539"/>
      <c r="IGN314" s="539"/>
      <c r="IGO314" s="539"/>
      <c r="IGP314" s="539"/>
      <c r="IGQ314" s="539"/>
      <c r="IGR314" s="539"/>
      <c r="IGS314" s="539"/>
      <c r="IGT314" s="539"/>
      <c r="IGU314" s="539"/>
      <c r="IGV314" s="539"/>
      <c r="IGW314" s="539"/>
      <c r="IGX314" s="539"/>
      <c r="IGY314" s="539"/>
      <c r="IGZ314" s="539"/>
      <c r="IHA314" s="539"/>
      <c r="IHB314" s="539"/>
      <c r="IHC314" s="539"/>
      <c r="IHD314" s="539"/>
      <c r="IHE314" s="539"/>
      <c r="IHF314" s="539"/>
      <c r="IHG314" s="539"/>
      <c r="IHH314" s="539"/>
      <c r="IHI314" s="539"/>
      <c r="IHJ314" s="539"/>
      <c r="IHK314" s="539"/>
      <c r="IHL314" s="539"/>
      <c r="IHM314" s="539"/>
      <c r="IHN314" s="539"/>
      <c r="IHO314" s="539"/>
      <c r="IHP314" s="539"/>
      <c r="IHQ314" s="539"/>
      <c r="IHR314" s="539"/>
      <c r="IHS314" s="539"/>
      <c r="IHT314" s="539"/>
      <c r="IHU314" s="539"/>
      <c r="IHV314" s="539"/>
      <c r="IHW314" s="539"/>
      <c r="IHX314" s="539"/>
      <c r="IHY314" s="539"/>
      <c r="IHZ314" s="539"/>
      <c r="IIA314" s="539"/>
      <c r="IIB314" s="539"/>
      <c r="IIC314" s="539"/>
      <c r="IID314" s="539"/>
      <c r="IIE314" s="539"/>
      <c r="IIF314" s="539"/>
      <c r="IIG314" s="539"/>
      <c r="IIH314" s="539"/>
      <c r="III314" s="539"/>
      <c r="IIJ314" s="539"/>
      <c r="IIK314" s="539"/>
      <c r="IIL314" s="539"/>
      <c r="IIM314" s="539"/>
      <c r="IIN314" s="539"/>
      <c r="IIO314" s="539"/>
      <c r="IIP314" s="539"/>
      <c r="IIQ314" s="539"/>
      <c r="IIR314" s="539"/>
      <c r="IIS314" s="539"/>
      <c r="IIT314" s="539"/>
      <c r="IIU314" s="539"/>
      <c r="IIV314" s="539"/>
      <c r="IIW314" s="539"/>
      <c r="IIX314" s="539"/>
      <c r="IIY314" s="539"/>
      <c r="IIZ314" s="539"/>
      <c r="IJA314" s="539"/>
      <c r="IJB314" s="539"/>
      <c r="IJC314" s="539"/>
      <c r="IJD314" s="539"/>
      <c r="IJE314" s="539"/>
      <c r="IJF314" s="539"/>
      <c r="IJG314" s="539"/>
      <c r="IJH314" s="539"/>
      <c r="IJI314" s="539"/>
      <c r="IJJ314" s="539"/>
      <c r="IJK314" s="539"/>
      <c r="IJL314" s="539"/>
      <c r="IJM314" s="539"/>
      <c r="IJN314" s="539"/>
      <c r="IJO314" s="539"/>
      <c r="IJP314" s="539"/>
      <c r="IJQ314" s="539"/>
      <c r="IJR314" s="539"/>
      <c r="IJS314" s="539"/>
      <c r="IJT314" s="539"/>
      <c r="IJU314" s="539"/>
      <c r="IJV314" s="539"/>
      <c r="IJW314" s="539"/>
      <c r="IJX314" s="539"/>
      <c r="IJY314" s="539"/>
      <c r="IJZ314" s="539"/>
      <c r="IKA314" s="539"/>
      <c r="IKB314" s="539"/>
      <c r="IKC314" s="539"/>
      <c r="IKD314" s="539"/>
      <c r="IKE314" s="539"/>
      <c r="IKF314" s="539"/>
      <c r="IKG314" s="539"/>
      <c r="IKH314" s="539"/>
      <c r="IKI314" s="539"/>
      <c r="IKJ314" s="539"/>
      <c r="IKK314" s="539"/>
      <c r="IKL314" s="539"/>
      <c r="IKM314" s="539"/>
      <c r="IKN314" s="539"/>
      <c r="IKO314" s="539"/>
      <c r="IKP314" s="539"/>
      <c r="IKQ314" s="539"/>
      <c r="IKR314" s="539"/>
      <c r="IKS314" s="539"/>
      <c r="IKT314" s="539"/>
      <c r="IKU314" s="539"/>
      <c r="IKV314" s="539"/>
      <c r="IKW314" s="539"/>
      <c r="IKX314" s="539"/>
      <c r="IKY314" s="539"/>
      <c r="IKZ314" s="539"/>
      <c r="ILA314" s="539"/>
      <c r="ILB314" s="539"/>
      <c r="ILC314" s="539"/>
      <c r="ILD314" s="539"/>
      <c r="ILE314" s="539"/>
      <c r="ILF314" s="539"/>
      <c r="ILG314" s="539"/>
      <c r="ILH314" s="539"/>
      <c r="ILI314" s="539"/>
      <c r="ILJ314" s="539"/>
      <c r="ILK314" s="539"/>
      <c r="ILL314" s="539"/>
      <c r="ILM314" s="539"/>
      <c r="ILN314" s="539"/>
      <c r="ILO314" s="539"/>
      <c r="ILP314" s="539"/>
      <c r="ILQ314" s="539"/>
      <c r="ILR314" s="539"/>
      <c r="ILS314" s="539"/>
      <c r="ILT314" s="539"/>
      <c r="ILU314" s="539"/>
      <c r="ILV314" s="539"/>
      <c r="ILW314" s="539"/>
      <c r="ILX314" s="539"/>
      <c r="ILY314" s="539"/>
      <c r="ILZ314" s="539"/>
      <c r="IMA314" s="539"/>
      <c r="IMB314" s="539"/>
      <c r="IMC314" s="539"/>
      <c r="IMD314" s="539"/>
      <c r="IME314" s="539"/>
      <c r="IMF314" s="539"/>
      <c r="IMG314" s="539"/>
      <c r="IMH314" s="539"/>
      <c r="IMI314" s="539"/>
      <c r="IMJ314" s="539"/>
      <c r="IMK314" s="539"/>
      <c r="IML314" s="539"/>
      <c r="IMM314" s="539"/>
      <c r="IMN314" s="539"/>
      <c r="IMO314" s="539"/>
      <c r="IMP314" s="539"/>
      <c r="IMQ314" s="539"/>
      <c r="IMR314" s="539"/>
      <c r="IMS314" s="539"/>
      <c r="IMT314" s="539"/>
      <c r="IMU314" s="539"/>
      <c r="IMV314" s="539"/>
      <c r="IMW314" s="539"/>
      <c r="IMX314" s="539"/>
      <c r="IMY314" s="539"/>
      <c r="IMZ314" s="539"/>
      <c r="INA314" s="539"/>
      <c r="INB314" s="539"/>
      <c r="INC314" s="539"/>
      <c r="IND314" s="539"/>
      <c r="INE314" s="539"/>
      <c r="INF314" s="539"/>
      <c r="ING314" s="539"/>
      <c r="INH314" s="539"/>
      <c r="INI314" s="539"/>
      <c r="INJ314" s="539"/>
      <c r="INK314" s="539"/>
      <c r="INL314" s="539"/>
      <c r="INM314" s="539"/>
      <c r="INN314" s="539"/>
      <c r="INO314" s="539"/>
      <c r="INP314" s="539"/>
      <c r="INQ314" s="539"/>
      <c r="INR314" s="539"/>
      <c r="INS314" s="539"/>
      <c r="INT314" s="539"/>
      <c r="INU314" s="539"/>
      <c r="INV314" s="539"/>
      <c r="INW314" s="539"/>
      <c r="INX314" s="539"/>
      <c r="INY314" s="539"/>
      <c r="INZ314" s="539"/>
      <c r="IOA314" s="539"/>
      <c r="IOB314" s="539"/>
      <c r="IOC314" s="539"/>
      <c r="IOD314" s="539"/>
      <c r="IOE314" s="539"/>
      <c r="IOF314" s="539"/>
      <c r="IOG314" s="539"/>
      <c r="IOH314" s="539"/>
      <c r="IOI314" s="539"/>
      <c r="IOJ314" s="539"/>
      <c r="IOK314" s="539"/>
      <c r="IOL314" s="539"/>
      <c r="IOM314" s="539"/>
      <c r="ION314" s="539"/>
      <c r="IOO314" s="539"/>
      <c r="IOP314" s="539"/>
      <c r="IOQ314" s="539"/>
      <c r="IOR314" s="539"/>
      <c r="IOS314" s="539"/>
      <c r="IOT314" s="539"/>
      <c r="IOU314" s="539"/>
      <c r="IOV314" s="539"/>
      <c r="IOW314" s="539"/>
      <c r="IOX314" s="539"/>
      <c r="IOY314" s="539"/>
      <c r="IOZ314" s="539"/>
      <c r="IPA314" s="539"/>
      <c r="IPB314" s="539"/>
      <c r="IPC314" s="539"/>
      <c r="IPD314" s="539"/>
      <c r="IPE314" s="539"/>
      <c r="IPF314" s="539"/>
      <c r="IPG314" s="539"/>
      <c r="IPH314" s="539"/>
      <c r="IPI314" s="539"/>
      <c r="IPJ314" s="539"/>
      <c r="IPK314" s="539"/>
      <c r="IPL314" s="539"/>
      <c r="IPM314" s="539"/>
      <c r="IPN314" s="539"/>
      <c r="IPO314" s="539"/>
      <c r="IPP314" s="539"/>
      <c r="IPQ314" s="539"/>
      <c r="IPR314" s="539"/>
      <c r="IPS314" s="539"/>
      <c r="IPT314" s="539"/>
      <c r="IPU314" s="539"/>
      <c r="IPV314" s="539"/>
      <c r="IPW314" s="539"/>
      <c r="IPX314" s="539"/>
      <c r="IPY314" s="539"/>
      <c r="IPZ314" s="539"/>
      <c r="IQA314" s="539"/>
      <c r="IQB314" s="539"/>
      <c r="IQC314" s="539"/>
      <c r="IQD314" s="539"/>
      <c r="IQE314" s="539"/>
      <c r="IQF314" s="539"/>
      <c r="IQG314" s="539"/>
      <c r="IQH314" s="539"/>
      <c r="IQI314" s="539"/>
      <c r="IQJ314" s="539"/>
      <c r="IQK314" s="539"/>
      <c r="IQL314" s="539"/>
      <c r="IQM314" s="539"/>
      <c r="IQN314" s="539"/>
      <c r="IQO314" s="539"/>
      <c r="IQP314" s="539"/>
      <c r="IQQ314" s="539"/>
      <c r="IQR314" s="539"/>
      <c r="IQS314" s="539"/>
      <c r="IQT314" s="539"/>
      <c r="IQU314" s="539"/>
      <c r="IQV314" s="539"/>
      <c r="IQW314" s="539"/>
      <c r="IQX314" s="539"/>
      <c r="IQY314" s="539"/>
      <c r="IQZ314" s="539"/>
      <c r="IRA314" s="539"/>
      <c r="IRB314" s="539"/>
      <c r="IRC314" s="539"/>
      <c r="IRD314" s="539"/>
      <c r="IRE314" s="539"/>
      <c r="IRF314" s="539"/>
      <c r="IRG314" s="539"/>
      <c r="IRH314" s="539"/>
      <c r="IRI314" s="539"/>
      <c r="IRJ314" s="539"/>
      <c r="IRK314" s="539"/>
      <c r="IRL314" s="539"/>
      <c r="IRM314" s="539"/>
      <c r="IRN314" s="539"/>
      <c r="IRO314" s="539"/>
      <c r="IRP314" s="539"/>
      <c r="IRQ314" s="539"/>
      <c r="IRR314" s="539"/>
      <c r="IRS314" s="539"/>
      <c r="IRT314" s="539"/>
      <c r="IRU314" s="539"/>
      <c r="IRV314" s="539"/>
      <c r="IRW314" s="539"/>
      <c r="IRX314" s="539"/>
      <c r="IRY314" s="539"/>
      <c r="IRZ314" s="539"/>
      <c r="ISA314" s="539"/>
      <c r="ISB314" s="539"/>
      <c r="ISC314" s="539"/>
      <c r="ISD314" s="539"/>
      <c r="ISE314" s="539"/>
      <c r="ISF314" s="539"/>
      <c r="ISG314" s="539"/>
      <c r="ISH314" s="539"/>
      <c r="ISI314" s="539"/>
      <c r="ISJ314" s="539"/>
      <c r="ISK314" s="539"/>
      <c r="ISL314" s="539"/>
      <c r="ISM314" s="539"/>
      <c r="ISN314" s="539"/>
      <c r="ISO314" s="539"/>
      <c r="ISP314" s="539"/>
      <c r="ISQ314" s="539"/>
      <c r="ISR314" s="539"/>
      <c r="ISS314" s="539"/>
      <c r="IST314" s="539"/>
      <c r="ISU314" s="539"/>
      <c r="ISV314" s="539"/>
      <c r="ISW314" s="539"/>
      <c r="ISX314" s="539"/>
      <c r="ISY314" s="539"/>
      <c r="ISZ314" s="539"/>
      <c r="ITA314" s="539"/>
      <c r="ITB314" s="539"/>
      <c r="ITC314" s="539"/>
      <c r="ITD314" s="539"/>
      <c r="ITE314" s="539"/>
      <c r="ITF314" s="539"/>
      <c r="ITG314" s="539"/>
      <c r="ITH314" s="539"/>
      <c r="ITI314" s="539"/>
      <c r="ITJ314" s="539"/>
      <c r="ITK314" s="539"/>
      <c r="ITL314" s="539"/>
      <c r="ITM314" s="539"/>
      <c r="ITN314" s="539"/>
      <c r="ITO314" s="539"/>
      <c r="ITP314" s="539"/>
      <c r="ITQ314" s="539"/>
      <c r="ITR314" s="539"/>
      <c r="ITS314" s="539"/>
      <c r="ITT314" s="539"/>
      <c r="ITU314" s="539"/>
      <c r="ITV314" s="539"/>
      <c r="ITW314" s="539"/>
      <c r="ITX314" s="539"/>
      <c r="ITY314" s="539"/>
      <c r="ITZ314" s="539"/>
      <c r="IUA314" s="539"/>
      <c r="IUB314" s="539"/>
      <c r="IUC314" s="539"/>
      <c r="IUD314" s="539"/>
      <c r="IUE314" s="539"/>
      <c r="IUF314" s="539"/>
      <c r="IUG314" s="539"/>
      <c r="IUH314" s="539"/>
      <c r="IUI314" s="539"/>
      <c r="IUJ314" s="539"/>
      <c r="IUK314" s="539"/>
      <c r="IUL314" s="539"/>
      <c r="IUM314" s="539"/>
      <c r="IUN314" s="539"/>
      <c r="IUO314" s="539"/>
      <c r="IUP314" s="539"/>
      <c r="IUQ314" s="539"/>
      <c r="IUR314" s="539"/>
      <c r="IUS314" s="539"/>
      <c r="IUT314" s="539"/>
      <c r="IUU314" s="539"/>
      <c r="IUV314" s="539"/>
      <c r="IUW314" s="539"/>
      <c r="IUX314" s="539"/>
      <c r="IUY314" s="539"/>
      <c r="IUZ314" s="539"/>
      <c r="IVA314" s="539"/>
      <c r="IVB314" s="539"/>
      <c r="IVC314" s="539"/>
      <c r="IVD314" s="539"/>
      <c r="IVE314" s="539"/>
      <c r="IVF314" s="539"/>
      <c r="IVG314" s="539"/>
      <c r="IVH314" s="539"/>
      <c r="IVI314" s="539"/>
      <c r="IVJ314" s="539"/>
      <c r="IVK314" s="539"/>
      <c r="IVL314" s="539"/>
      <c r="IVM314" s="539"/>
      <c r="IVN314" s="539"/>
      <c r="IVO314" s="539"/>
      <c r="IVP314" s="539"/>
      <c r="IVQ314" s="539"/>
      <c r="IVR314" s="539"/>
      <c r="IVS314" s="539"/>
      <c r="IVT314" s="539"/>
      <c r="IVU314" s="539"/>
      <c r="IVV314" s="539"/>
      <c r="IVW314" s="539"/>
      <c r="IVX314" s="539"/>
      <c r="IVY314" s="539"/>
      <c r="IVZ314" s="539"/>
      <c r="IWA314" s="539"/>
      <c r="IWB314" s="539"/>
      <c r="IWC314" s="539"/>
      <c r="IWD314" s="539"/>
      <c r="IWE314" s="539"/>
      <c r="IWF314" s="539"/>
      <c r="IWG314" s="539"/>
      <c r="IWH314" s="539"/>
      <c r="IWI314" s="539"/>
      <c r="IWJ314" s="539"/>
      <c r="IWK314" s="539"/>
      <c r="IWL314" s="539"/>
      <c r="IWM314" s="539"/>
      <c r="IWN314" s="539"/>
      <c r="IWO314" s="539"/>
      <c r="IWP314" s="539"/>
      <c r="IWQ314" s="539"/>
      <c r="IWR314" s="539"/>
      <c r="IWS314" s="539"/>
      <c r="IWT314" s="539"/>
      <c r="IWU314" s="539"/>
      <c r="IWV314" s="539"/>
      <c r="IWW314" s="539"/>
      <c r="IWX314" s="539"/>
      <c r="IWY314" s="539"/>
      <c r="IWZ314" s="539"/>
      <c r="IXA314" s="539"/>
      <c r="IXB314" s="539"/>
      <c r="IXC314" s="539"/>
      <c r="IXD314" s="539"/>
      <c r="IXE314" s="539"/>
      <c r="IXF314" s="539"/>
      <c r="IXG314" s="539"/>
      <c r="IXH314" s="539"/>
      <c r="IXI314" s="539"/>
      <c r="IXJ314" s="539"/>
      <c r="IXK314" s="539"/>
      <c r="IXL314" s="539"/>
      <c r="IXM314" s="539"/>
      <c r="IXN314" s="539"/>
      <c r="IXO314" s="539"/>
      <c r="IXP314" s="539"/>
      <c r="IXQ314" s="539"/>
      <c r="IXR314" s="539"/>
      <c r="IXS314" s="539"/>
      <c r="IXT314" s="539"/>
      <c r="IXU314" s="539"/>
      <c r="IXV314" s="539"/>
      <c r="IXW314" s="539"/>
      <c r="IXX314" s="539"/>
      <c r="IXY314" s="539"/>
      <c r="IXZ314" s="539"/>
      <c r="IYA314" s="539"/>
      <c r="IYB314" s="539"/>
      <c r="IYC314" s="539"/>
      <c r="IYD314" s="539"/>
      <c r="IYE314" s="539"/>
      <c r="IYF314" s="539"/>
      <c r="IYG314" s="539"/>
      <c r="IYH314" s="539"/>
      <c r="IYI314" s="539"/>
      <c r="IYJ314" s="539"/>
      <c r="IYK314" s="539"/>
      <c r="IYL314" s="539"/>
      <c r="IYM314" s="539"/>
      <c r="IYN314" s="539"/>
      <c r="IYO314" s="539"/>
      <c r="IYP314" s="539"/>
      <c r="IYQ314" s="539"/>
      <c r="IYR314" s="539"/>
      <c r="IYS314" s="539"/>
      <c r="IYT314" s="539"/>
      <c r="IYU314" s="539"/>
      <c r="IYV314" s="539"/>
      <c r="IYW314" s="539"/>
      <c r="IYX314" s="539"/>
      <c r="IYY314" s="539"/>
      <c r="IYZ314" s="539"/>
      <c r="IZA314" s="539"/>
      <c r="IZB314" s="539"/>
      <c r="IZC314" s="539"/>
      <c r="IZD314" s="539"/>
      <c r="IZE314" s="539"/>
      <c r="IZF314" s="539"/>
      <c r="IZG314" s="539"/>
      <c r="IZH314" s="539"/>
      <c r="IZI314" s="539"/>
      <c r="IZJ314" s="539"/>
      <c r="IZK314" s="539"/>
      <c r="IZL314" s="539"/>
      <c r="IZM314" s="539"/>
      <c r="IZN314" s="539"/>
      <c r="IZO314" s="539"/>
      <c r="IZP314" s="539"/>
      <c r="IZQ314" s="539"/>
      <c r="IZR314" s="539"/>
      <c r="IZS314" s="539"/>
      <c r="IZT314" s="539"/>
      <c r="IZU314" s="539"/>
      <c r="IZV314" s="539"/>
      <c r="IZW314" s="539"/>
      <c r="IZX314" s="539"/>
      <c r="IZY314" s="539"/>
      <c r="IZZ314" s="539"/>
      <c r="JAA314" s="539"/>
      <c r="JAB314" s="539"/>
      <c r="JAC314" s="539"/>
      <c r="JAD314" s="539"/>
      <c r="JAE314" s="539"/>
      <c r="JAF314" s="539"/>
      <c r="JAG314" s="539"/>
      <c r="JAH314" s="539"/>
      <c r="JAI314" s="539"/>
      <c r="JAJ314" s="539"/>
      <c r="JAK314" s="539"/>
      <c r="JAL314" s="539"/>
      <c r="JAM314" s="539"/>
      <c r="JAN314" s="539"/>
      <c r="JAO314" s="539"/>
      <c r="JAP314" s="539"/>
      <c r="JAQ314" s="539"/>
      <c r="JAR314" s="539"/>
      <c r="JAS314" s="539"/>
      <c r="JAT314" s="539"/>
      <c r="JAU314" s="539"/>
      <c r="JAV314" s="539"/>
      <c r="JAW314" s="539"/>
      <c r="JAX314" s="539"/>
      <c r="JAY314" s="539"/>
      <c r="JAZ314" s="539"/>
      <c r="JBA314" s="539"/>
      <c r="JBB314" s="539"/>
      <c r="JBC314" s="539"/>
      <c r="JBD314" s="539"/>
      <c r="JBE314" s="539"/>
      <c r="JBF314" s="539"/>
      <c r="JBG314" s="539"/>
      <c r="JBH314" s="539"/>
      <c r="JBI314" s="539"/>
      <c r="JBJ314" s="539"/>
      <c r="JBK314" s="539"/>
      <c r="JBL314" s="539"/>
      <c r="JBM314" s="539"/>
      <c r="JBN314" s="539"/>
      <c r="JBO314" s="539"/>
      <c r="JBP314" s="539"/>
      <c r="JBQ314" s="539"/>
      <c r="JBR314" s="539"/>
      <c r="JBS314" s="539"/>
      <c r="JBT314" s="539"/>
      <c r="JBU314" s="539"/>
      <c r="JBV314" s="539"/>
      <c r="JBW314" s="539"/>
      <c r="JBX314" s="539"/>
      <c r="JBY314" s="539"/>
      <c r="JBZ314" s="539"/>
      <c r="JCA314" s="539"/>
      <c r="JCB314" s="539"/>
      <c r="JCC314" s="539"/>
      <c r="JCD314" s="539"/>
      <c r="JCE314" s="539"/>
      <c r="JCF314" s="539"/>
      <c r="JCG314" s="539"/>
      <c r="JCH314" s="539"/>
      <c r="JCI314" s="539"/>
      <c r="JCJ314" s="539"/>
      <c r="JCK314" s="539"/>
      <c r="JCL314" s="539"/>
      <c r="JCM314" s="539"/>
      <c r="JCN314" s="539"/>
      <c r="JCO314" s="539"/>
      <c r="JCP314" s="539"/>
      <c r="JCQ314" s="539"/>
      <c r="JCR314" s="539"/>
      <c r="JCS314" s="539"/>
      <c r="JCT314" s="539"/>
      <c r="JCU314" s="539"/>
      <c r="JCV314" s="539"/>
      <c r="JCW314" s="539"/>
      <c r="JCX314" s="539"/>
      <c r="JCY314" s="539"/>
      <c r="JCZ314" s="539"/>
      <c r="JDA314" s="539"/>
      <c r="JDB314" s="539"/>
      <c r="JDC314" s="539"/>
      <c r="JDD314" s="539"/>
      <c r="JDE314" s="539"/>
      <c r="JDF314" s="539"/>
      <c r="JDG314" s="539"/>
      <c r="JDH314" s="539"/>
      <c r="JDI314" s="539"/>
      <c r="JDJ314" s="539"/>
      <c r="JDK314" s="539"/>
      <c r="JDL314" s="539"/>
      <c r="JDM314" s="539"/>
      <c r="JDN314" s="539"/>
      <c r="JDO314" s="539"/>
      <c r="JDP314" s="539"/>
      <c r="JDQ314" s="539"/>
      <c r="JDR314" s="539"/>
      <c r="JDS314" s="539"/>
      <c r="JDT314" s="539"/>
      <c r="JDU314" s="539"/>
      <c r="JDV314" s="539"/>
      <c r="JDW314" s="539"/>
      <c r="JDX314" s="539"/>
      <c r="JDY314" s="539"/>
      <c r="JDZ314" s="539"/>
      <c r="JEA314" s="539"/>
      <c r="JEB314" s="539"/>
      <c r="JEC314" s="539"/>
      <c r="JED314" s="539"/>
      <c r="JEE314" s="539"/>
      <c r="JEF314" s="539"/>
      <c r="JEG314" s="539"/>
      <c r="JEH314" s="539"/>
      <c r="JEI314" s="539"/>
      <c r="JEJ314" s="539"/>
      <c r="JEK314" s="539"/>
      <c r="JEL314" s="539"/>
      <c r="JEM314" s="539"/>
      <c r="JEN314" s="539"/>
      <c r="JEO314" s="539"/>
      <c r="JEP314" s="539"/>
      <c r="JEQ314" s="539"/>
      <c r="JER314" s="539"/>
      <c r="JES314" s="539"/>
      <c r="JET314" s="539"/>
      <c r="JEU314" s="539"/>
      <c r="JEV314" s="539"/>
      <c r="JEW314" s="539"/>
      <c r="JEX314" s="539"/>
      <c r="JEY314" s="539"/>
      <c r="JEZ314" s="539"/>
      <c r="JFA314" s="539"/>
      <c r="JFB314" s="539"/>
      <c r="JFC314" s="539"/>
      <c r="JFD314" s="539"/>
      <c r="JFE314" s="539"/>
      <c r="JFF314" s="539"/>
      <c r="JFG314" s="539"/>
      <c r="JFH314" s="539"/>
      <c r="JFI314" s="539"/>
      <c r="JFJ314" s="539"/>
      <c r="JFK314" s="539"/>
      <c r="JFL314" s="539"/>
      <c r="JFM314" s="539"/>
      <c r="JFN314" s="539"/>
      <c r="JFO314" s="539"/>
      <c r="JFP314" s="539"/>
      <c r="JFQ314" s="539"/>
      <c r="JFR314" s="539"/>
      <c r="JFS314" s="539"/>
      <c r="JFT314" s="539"/>
      <c r="JFU314" s="539"/>
      <c r="JFV314" s="539"/>
      <c r="JFW314" s="539"/>
      <c r="JFX314" s="539"/>
      <c r="JFY314" s="539"/>
      <c r="JFZ314" s="539"/>
      <c r="JGA314" s="539"/>
      <c r="JGB314" s="539"/>
      <c r="JGC314" s="539"/>
      <c r="JGD314" s="539"/>
      <c r="JGE314" s="539"/>
      <c r="JGF314" s="539"/>
      <c r="JGG314" s="539"/>
      <c r="JGH314" s="539"/>
      <c r="JGI314" s="539"/>
      <c r="JGJ314" s="539"/>
      <c r="JGK314" s="539"/>
      <c r="JGL314" s="539"/>
      <c r="JGM314" s="539"/>
      <c r="JGN314" s="539"/>
      <c r="JGO314" s="539"/>
      <c r="JGP314" s="539"/>
      <c r="JGQ314" s="539"/>
      <c r="JGR314" s="539"/>
      <c r="JGS314" s="539"/>
      <c r="JGT314" s="539"/>
      <c r="JGU314" s="539"/>
      <c r="JGV314" s="539"/>
      <c r="JGW314" s="539"/>
      <c r="JGX314" s="539"/>
      <c r="JGY314" s="539"/>
      <c r="JGZ314" s="539"/>
      <c r="JHA314" s="539"/>
      <c r="JHB314" s="539"/>
      <c r="JHC314" s="539"/>
      <c r="JHD314" s="539"/>
      <c r="JHE314" s="539"/>
      <c r="JHF314" s="539"/>
      <c r="JHG314" s="539"/>
      <c r="JHH314" s="539"/>
      <c r="JHI314" s="539"/>
      <c r="JHJ314" s="539"/>
      <c r="JHK314" s="539"/>
      <c r="JHL314" s="539"/>
      <c r="JHM314" s="539"/>
      <c r="JHN314" s="539"/>
      <c r="JHO314" s="539"/>
      <c r="JHP314" s="539"/>
      <c r="JHQ314" s="539"/>
      <c r="JHR314" s="539"/>
      <c r="JHS314" s="539"/>
      <c r="JHT314" s="539"/>
      <c r="JHU314" s="539"/>
      <c r="JHV314" s="539"/>
      <c r="JHW314" s="539"/>
      <c r="JHX314" s="539"/>
      <c r="JHY314" s="539"/>
      <c r="JHZ314" s="539"/>
      <c r="JIA314" s="539"/>
      <c r="JIB314" s="539"/>
      <c r="JIC314" s="539"/>
      <c r="JID314" s="539"/>
      <c r="JIE314" s="539"/>
      <c r="JIF314" s="539"/>
      <c r="JIG314" s="539"/>
      <c r="JIH314" s="539"/>
      <c r="JII314" s="539"/>
      <c r="JIJ314" s="539"/>
      <c r="JIK314" s="539"/>
      <c r="JIL314" s="539"/>
      <c r="JIM314" s="539"/>
      <c r="JIN314" s="539"/>
      <c r="JIO314" s="539"/>
      <c r="JIP314" s="539"/>
      <c r="JIQ314" s="539"/>
      <c r="JIR314" s="539"/>
      <c r="JIS314" s="539"/>
      <c r="JIT314" s="539"/>
      <c r="JIU314" s="539"/>
      <c r="JIV314" s="539"/>
      <c r="JIW314" s="539"/>
      <c r="JIX314" s="539"/>
      <c r="JIY314" s="539"/>
      <c r="JIZ314" s="539"/>
      <c r="JJA314" s="539"/>
      <c r="JJB314" s="539"/>
      <c r="JJC314" s="539"/>
      <c r="JJD314" s="539"/>
      <c r="JJE314" s="539"/>
      <c r="JJF314" s="539"/>
      <c r="JJG314" s="539"/>
      <c r="JJH314" s="539"/>
      <c r="JJI314" s="539"/>
      <c r="JJJ314" s="539"/>
      <c r="JJK314" s="539"/>
      <c r="JJL314" s="539"/>
      <c r="JJM314" s="539"/>
      <c r="JJN314" s="539"/>
      <c r="JJO314" s="539"/>
      <c r="JJP314" s="539"/>
      <c r="JJQ314" s="539"/>
      <c r="JJR314" s="539"/>
      <c r="JJS314" s="539"/>
      <c r="JJT314" s="539"/>
      <c r="JJU314" s="539"/>
      <c r="JJV314" s="539"/>
      <c r="JJW314" s="539"/>
      <c r="JJX314" s="539"/>
      <c r="JJY314" s="539"/>
      <c r="JJZ314" s="539"/>
      <c r="JKA314" s="539"/>
      <c r="JKB314" s="539"/>
      <c r="JKC314" s="539"/>
      <c r="JKD314" s="539"/>
      <c r="JKE314" s="539"/>
      <c r="JKF314" s="539"/>
      <c r="JKG314" s="539"/>
      <c r="JKH314" s="539"/>
      <c r="JKI314" s="539"/>
      <c r="JKJ314" s="539"/>
      <c r="JKK314" s="539"/>
      <c r="JKL314" s="539"/>
      <c r="JKM314" s="539"/>
      <c r="JKN314" s="539"/>
      <c r="JKO314" s="539"/>
      <c r="JKP314" s="539"/>
      <c r="JKQ314" s="539"/>
      <c r="JKR314" s="539"/>
      <c r="JKS314" s="539"/>
      <c r="JKT314" s="539"/>
      <c r="JKU314" s="539"/>
      <c r="JKV314" s="539"/>
      <c r="JKW314" s="539"/>
      <c r="JKX314" s="539"/>
      <c r="JKY314" s="539"/>
      <c r="JKZ314" s="539"/>
      <c r="JLA314" s="539"/>
      <c r="JLB314" s="539"/>
      <c r="JLC314" s="539"/>
      <c r="JLD314" s="539"/>
      <c r="JLE314" s="539"/>
      <c r="JLF314" s="539"/>
      <c r="JLG314" s="539"/>
      <c r="JLH314" s="539"/>
      <c r="JLI314" s="539"/>
      <c r="JLJ314" s="539"/>
      <c r="JLK314" s="539"/>
      <c r="JLL314" s="539"/>
      <c r="JLM314" s="539"/>
      <c r="JLN314" s="539"/>
      <c r="JLO314" s="539"/>
      <c r="JLP314" s="539"/>
      <c r="JLQ314" s="539"/>
      <c r="JLR314" s="539"/>
      <c r="JLS314" s="539"/>
      <c r="JLT314" s="539"/>
      <c r="JLU314" s="539"/>
      <c r="JLV314" s="539"/>
      <c r="JLW314" s="539"/>
      <c r="JLX314" s="539"/>
      <c r="JLY314" s="539"/>
      <c r="JLZ314" s="539"/>
      <c r="JMA314" s="539"/>
      <c r="JMB314" s="539"/>
      <c r="JMC314" s="539"/>
      <c r="JMD314" s="539"/>
      <c r="JME314" s="539"/>
      <c r="JMF314" s="539"/>
      <c r="JMG314" s="539"/>
      <c r="JMH314" s="539"/>
      <c r="JMI314" s="539"/>
      <c r="JMJ314" s="539"/>
      <c r="JMK314" s="539"/>
      <c r="JML314" s="539"/>
      <c r="JMM314" s="539"/>
      <c r="JMN314" s="539"/>
      <c r="JMO314" s="539"/>
      <c r="JMP314" s="539"/>
      <c r="JMQ314" s="539"/>
      <c r="JMR314" s="539"/>
      <c r="JMS314" s="539"/>
      <c r="JMT314" s="539"/>
      <c r="JMU314" s="539"/>
      <c r="JMV314" s="539"/>
      <c r="JMW314" s="539"/>
      <c r="JMX314" s="539"/>
      <c r="JMY314" s="539"/>
      <c r="JMZ314" s="539"/>
      <c r="JNA314" s="539"/>
      <c r="JNB314" s="539"/>
      <c r="JNC314" s="539"/>
      <c r="JND314" s="539"/>
      <c r="JNE314" s="539"/>
      <c r="JNF314" s="539"/>
      <c r="JNG314" s="539"/>
      <c r="JNH314" s="539"/>
      <c r="JNI314" s="539"/>
      <c r="JNJ314" s="539"/>
      <c r="JNK314" s="539"/>
      <c r="JNL314" s="539"/>
      <c r="JNM314" s="539"/>
      <c r="JNN314" s="539"/>
      <c r="JNO314" s="539"/>
      <c r="JNP314" s="539"/>
      <c r="JNQ314" s="539"/>
      <c r="JNR314" s="539"/>
      <c r="JNS314" s="539"/>
      <c r="JNT314" s="539"/>
      <c r="JNU314" s="539"/>
      <c r="JNV314" s="539"/>
      <c r="JNW314" s="539"/>
      <c r="JNX314" s="539"/>
      <c r="JNY314" s="539"/>
      <c r="JNZ314" s="539"/>
      <c r="JOA314" s="539"/>
      <c r="JOB314" s="539"/>
      <c r="JOC314" s="539"/>
      <c r="JOD314" s="539"/>
      <c r="JOE314" s="539"/>
      <c r="JOF314" s="539"/>
      <c r="JOG314" s="539"/>
      <c r="JOH314" s="539"/>
      <c r="JOI314" s="539"/>
      <c r="JOJ314" s="539"/>
      <c r="JOK314" s="539"/>
      <c r="JOL314" s="539"/>
      <c r="JOM314" s="539"/>
      <c r="JON314" s="539"/>
      <c r="JOO314" s="539"/>
      <c r="JOP314" s="539"/>
      <c r="JOQ314" s="539"/>
      <c r="JOR314" s="539"/>
      <c r="JOS314" s="539"/>
      <c r="JOT314" s="539"/>
      <c r="JOU314" s="539"/>
      <c r="JOV314" s="539"/>
      <c r="JOW314" s="539"/>
      <c r="JOX314" s="539"/>
      <c r="JOY314" s="539"/>
      <c r="JOZ314" s="539"/>
      <c r="JPA314" s="539"/>
      <c r="JPB314" s="539"/>
      <c r="JPC314" s="539"/>
      <c r="JPD314" s="539"/>
      <c r="JPE314" s="539"/>
      <c r="JPF314" s="539"/>
      <c r="JPG314" s="539"/>
      <c r="JPH314" s="539"/>
      <c r="JPI314" s="539"/>
      <c r="JPJ314" s="539"/>
      <c r="JPK314" s="539"/>
      <c r="JPL314" s="539"/>
      <c r="JPM314" s="539"/>
      <c r="JPN314" s="539"/>
      <c r="JPO314" s="539"/>
      <c r="JPP314" s="539"/>
      <c r="JPQ314" s="539"/>
      <c r="JPR314" s="539"/>
      <c r="JPS314" s="539"/>
      <c r="JPT314" s="539"/>
      <c r="JPU314" s="539"/>
      <c r="JPV314" s="539"/>
      <c r="JPW314" s="539"/>
      <c r="JPX314" s="539"/>
      <c r="JPY314" s="539"/>
      <c r="JPZ314" s="539"/>
      <c r="JQA314" s="539"/>
      <c r="JQB314" s="539"/>
      <c r="JQC314" s="539"/>
      <c r="JQD314" s="539"/>
      <c r="JQE314" s="539"/>
      <c r="JQF314" s="539"/>
      <c r="JQG314" s="539"/>
      <c r="JQH314" s="539"/>
      <c r="JQI314" s="539"/>
      <c r="JQJ314" s="539"/>
      <c r="JQK314" s="539"/>
      <c r="JQL314" s="539"/>
      <c r="JQM314" s="539"/>
      <c r="JQN314" s="539"/>
      <c r="JQO314" s="539"/>
      <c r="JQP314" s="539"/>
      <c r="JQQ314" s="539"/>
      <c r="JQR314" s="539"/>
      <c r="JQS314" s="539"/>
      <c r="JQT314" s="539"/>
      <c r="JQU314" s="539"/>
      <c r="JQV314" s="539"/>
      <c r="JQW314" s="539"/>
      <c r="JQX314" s="539"/>
      <c r="JQY314" s="539"/>
      <c r="JQZ314" s="539"/>
      <c r="JRA314" s="539"/>
      <c r="JRB314" s="539"/>
      <c r="JRC314" s="539"/>
      <c r="JRD314" s="539"/>
      <c r="JRE314" s="539"/>
      <c r="JRF314" s="539"/>
      <c r="JRG314" s="539"/>
      <c r="JRH314" s="539"/>
      <c r="JRI314" s="539"/>
      <c r="JRJ314" s="539"/>
      <c r="JRK314" s="539"/>
      <c r="JRL314" s="539"/>
      <c r="JRM314" s="539"/>
      <c r="JRN314" s="539"/>
      <c r="JRO314" s="539"/>
      <c r="JRP314" s="539"/>
      <c r="JRQ314" s="539"/>
      <c r="JRR314" s="539"/>
      <c r="JRS314" s="539"/>
      <c r="JRT314" s="539"/>
      <c r="JRU314" s="539"/>
      <c r="JRV314" s="539"/>
      <c r="JRW314" s="539"/>
      <c r="JRX314" s="539"/>
      <c r="JRY314" s="539"/>
      <c r="JRZ314" s="539"/>
      <c r="JSA314" s="539"/>
      <c r="JSB314" s="539"/>
      <c r="JSC314" s="539"/>
      <c r="JSD314" s="539"/>
      <c r="JSE314" s="539"/>
      <c r="JSF314" s="539"/>
      <c r="JSG314" s="539"/>
      <c r="JSH314" s="539"/>
      <c r="JSI314" s="539"/>
      <c r="JSJ314" s="539"/>
      <c r="JSK314" s="539"/>
      <c r="JSL314" s="539"/>
      <c r="JSM314" s="539"/>
      <c r="JSN314" s="539"/>
      <c r="JSO314" s="539"/>
      <c r="JSP314" s="539"/>
      <c r="JSQ314" s="539"/>
      <c r="JSR314" s="539"/>
      <c r="JSS314" s="539"/>
      <c r="JST314" s="539"/>
      <c r="JSU314" s="539"/>
      <c r="JSV314" s="539"/>
      <c r="JSW314" s="539"/>
      <c r="JSX314" s="539"/>
      <c r="JSY314" s="539"/>
      <c r="JSZ314" s="539"/>
      <c r="JTA314" s="539"/>
      <c r="JTB314" s="539"/>
      <c r="JTC314" s="539"/>
      <c r="JTD314" s="539"/>
      <c r="JTE314" s="539"/>
      <c r="JTF314" s="539"/>
      <c r="JTG314" s="539"/>
      <c r="JTH314" s="539"/>
      <c r="JTI314" s="539"/>
      <c r="JTJ314" s="539"/>
      <c r="JTK314" s="539"/>
      <c r="JTL314" s="539"/>
      <c r="JTM314" s="539"/>
      <c r="JTN314" s="539"/>
      <c r="JTO314" s="539"/>
      <c r="JTP314" s="539"/>
      <c r="JTQ314" s="539"/>
      <c r="JTR314" s="539"/>
      <c r="JTS314" s="539"/>
      <c r="JTT314" s="539"/>
      <c r="JTU314" s="539"/>
      <c r="JTV314" s="539"/>
      <c r="JTW314" s="539"/>
      <c r="JTX314" s="539"/>
      <c r="JTY314" s="539"/>
      <c r="JTZ314" s="539"/>
      <c r="JUA314" s="539"/>
      <c r="JUB314" s="539"/>
      <c r="JUC314" s="539"/>
      <c r="JUD314" s="539"/>
      <c r="JUE314" s="539"/>
      <c r="JUF314" s="539"/>
      <c r="JUG314" s="539"/>
      <c r="JUH314" s="539"/>
      <c r="JUI314" s="539"/>
      <c r="JUJ314" s="539"/>
      <c r="JUK314" s="539"/>
      <c r="JUL314" s="539"/>
      <c r="JUM314" s="539"/>
      <c r="JUN314" s="539"/>
      <c r="JUO314" s="539"/>
      <c r="JUP314" s="539"/>
      <c r="JUQ314" s="539"/>
      <c r="JUR314" s="539"/>
      <c r="JUS314" s="539"/>
      <c r="JUT314" s="539"/>
      <c r="JUU314" s="539"/>
      <c r="JUV314" s="539"/>
      <c r="JUW314" s="539"/>
      <c r="JUX314" s="539"/>
      <c r="JUY314" s="539"/>
      <c r="JUZ314" s="539"/>
      <c r="JVA314" s="539"/>
      <c r="JVB314" s="539"/>
      <c r="JVC314" s="539"/>
      <c r="JVD314" s="539"/>
      <c r="JVE314" s="539"/>
      <c r="JVF314" s="539"/>
      <c r="JVG314" s="539"/>
      <c r="JVH314" s="539"/>
      <c r="JVI314" s="539"/>
      <c r="JVJ314" s="539"/>
      <c r="JVK314" s="539"/>
      <c r="JVL314" s="539"/>
      <c r="JVM314" s="539"/>
      <c r="JVN314" s="539"/>
      <c r="JVO314" s="539"/>
      <c r="JVP314" s="539"/>
      <c r="JVQ314" s="539"/>
      <c r="JVR314" s="539"/>
      <c r="JVS314" s="539"/>
      <c r="JVT314" s="539"/>
      <c r="JVU314" s="539"/>
      <c r="JVV314" s="539"/>
      <c r="JVW314" s="539"/>
      <c r="JVX314" s="539"/>
      <c r="JVY314" s="539"/>
      <c r="JVZ314" s="539"/>
      <c r="JWA314" s="539"/>
      <c r="JWB314" s="539"/>
      <c r="JWC314" s="539"/>
      <c r="JWD314" s="539"/>
      <c r="JWE314" s="539"/>
      <c r="JWF314" s="539"/>
      <c r="JWG314" s="539"/>
      <c r="JWH314" s="539"/>
      <c r="JWI314" s="539"/>
      <c r="JWJ314" s="539"/>
      <c r="JWK314" s="539"/>
      <c r="JWL314" s="539"/>
      <c r="JWM314" s="539"/>
      <c r="JWN314" s="539"/>
      <c r="JWO314" s="539"/>
      <c r="JWP314" s="539"/>
      <c r="JWQ314" s="539"/>
      <c r="JWR314" s="539"/>
      <c r="JWS314" s="539"/>
      <c r="JWT314" s="539"/>
      <c r="JWU314" s="539"/>
      <c r="JWV314" s="539"/>
      <c r="JWW314" s="539"/>
      <c r="JWX314" s="539"/>
      <c r="JWY314" s="539"/>
      <c r="JWZ314" s="539"/>
      <c r="JXA314" s="539"/>
      <c r="JXB314" s="539"/>
      <c r="JXC314" s="539"/>
      <c r="JXD314" s="539"/>
      <c r="JXE314" s="539"/>
      <c r="JXF314" s="539"/>
      <c r="JXG314" s="539"/>
      <c r="JXH314" s="539"/>
      <c r="JXI314" s="539"/>
      <c r="JXJ314" s="539"/>
      <c r="JXK314" s="539"/>
      <c r="JXL314" s="539"/>
      <c r="JXM314" s="539"/>
      <c r="JXN314" s="539"/>
      <c r="JXO314" s="539"/>
      <c r="JXP314" s="539"/>
      <c r="JXQ314" s="539"/>
      <c r="JXR314" s="539"/>
      <c r="JXS314" s="539"/>
      <c r="JXT314" s="539"/>
      <c r="JXU314" s="539"/>
      <c r="JXV314" s="539"/>
      <c r="JXW314" s="539"/>
      <c r="JXX314" s="539"/>
      <c r="JXY314" s="539"/>
      <c r="JXZ314" s="539"/>
      <c r="JYA314" s="539"/>
      <c r="JYB314" s="539"/>
      <c r="JYC314" s="539"/>
      <c r="JYD314" s="539"/>
      <c r="JYE314" s="539"/>
      <c r="JYF314" s="539"/>
      <c r="JYG314" s="539"/>
      <c r="JYH314" s="539"/>
      <c r="JYI314" s="539"/>
      <c r="JYJ314" s="539"/>
      <c r="JYK314" s="539"/>
      <c r="JYL314" s="539"/>
      <c r="JYM314" s="539"/>
      <c r="JYN314" s="539"/>
      <c r="JYO314" s="539"/>
      <c r="JYP314" s="539"/>
      <c r="JYQ314" s="539"/>
      <c r="JYR314" s="539"/>
      <c r="JYS314" s="539"/>
      <c r="JYT314" s="539"/>
      <c r="JYU314" s="539"/>
      <c r="JYV314" s="539"/>
      <c r="JYW314" s="539"/>
      <c r="JYX314" s="539"/>
      <c r="JYY314" s="539"/>
      <c r="JYZ314" s="539"/>
      <c r="JZA314" s="539"/>
      <c r="JZB314" s="539"/>
      <c r="JZC314" s="539"/>
      <c r="JZD314" s="539"/>
      <c r="JZE314" s="539"/>
      <c r="JZF314" s="539"/>
      <c r="JZG314" s="539"/>
      <c r="JZH314" s="539"/>
      <c r="JZI314" s="539"/>
      <c r="JZJ314" s="539"/>
      <c r="JZK314" s="539"/>
      <c r="JZL314" s="539"/>
      <c r="JZM314" s="539"/>
      <c r="JZN314" s="539"/>
      <c r="JZO314" s="539"/>
      <c r="JZP314" s="539"/>
      <c r="JZQ314" s="539"/>
      <c r="JZR314" s="539"/>
      <c r="JZS314" s="539"/>
      <c r="JZT314" s="539"/>
      <c r="JZU314" s="539"/>
      <c r="JZV314" s="539"/>
      <c r="JZW314" s="539"/>
      <c r="JZX314" s="539"/>
      <c r="JZY314" s="539"/>
      <c r="JZZ314" s="539"/>
      <c r="KAA314" s="539"/>
      <c r="KAB314" s="539"/>
      <c r="KAC314" s="539"/>
      <c r="KAD314" s="539"/>
      <c r="KAE314" s="539"/>
      <c r="KAF314" s="539"/>
      <c r="KAG314" s="539"/>
      <c r="KAH314" s="539"/>
      <c r="KAI314" s="539"/>
      <c r="KAJ314" s="539"/>
      <c r="KAK314" s="539"/>
      <c r="KAL314" s="539"/>
      <c r="KAM314" s="539"/>
      <c r="KAN314" s="539"/>
      <c r="KAO314" s="539"/>
      <c r="KAP314" s="539"/>
      <c r="KAQ314" s="539"/>
      <c r="KAR314" s="539"/>
      <c r="KAS314" s="539"/>
      <c r="KAT314" s="539"/>
      <c r="KAU314" s="539"/>
      <c r="KAV314" s="539"/>
      <c r="KAW314" s="539"/>
      <c r="KAX314" s="539"/>
      <c r="KAY314" s="539"/>
      <c r="KAZ314" s="539"/>
      <c r="KBA314" s="539"/>
      <c r="KBB314" s="539"/>
      <c r="KBC314" s="539"/>
      <c r="KBD314" s="539"/>
      <c r="KBE314" s="539"/>
      <c r="KBF314" s="539"/>
      <c r="KBG314" s="539"/>
      <c r="KBH314" s="539"/>
      <c r="KBI314" s="539"/>
      <c r="KBJ314" s="539"/>
      <c r="KBK314" s="539"/>
      <c r="KBL314" s="539"/>
      <c r="KBM314" s="539"/>
      <c r="KBN314" s="539"/>
      <c r="KBO314" s="539"/>
      <c r="KBP314" s="539"/>
      <c r="KBQ314" s="539"/>
      <c r="KBR314" s="539"/>
      <c r="KBS314" s="539"/>
      <c r="KBT314" s="539"/>
      <c r="KBU314" s="539"/>
      <c r="KBV314" s="539"/>
      <c r="KBW314" s="539"/>
      <c r="KBX314" s="539"/>
      <c r="KBY314" s="539"/>
      <c r="KBZ314" s="539"/>
      <c r="KCA314" s="539"/>
      <c r="KCB314" s="539"/>
      <c r="KCC314" s="539"/>
      <c r="KCD314" s="539"/>
      <c r="KCE314" s="539"/>
      <c r="KCF314" s="539"/>
      <c r="KCG314" s="539"/>
      <c r="KCH314" s="539"/>
      <c r="KCI314" s="539"/>
      <c r="KCJ314" s="539"/>
      <c r="KCK314" s="539"/>
      <c r="KCL314" s="539"/>
      <c r="KCM314" s="539"/>
      <c r="KCN314" s="539"/>
      <c r="KCO314" s="539"/>
      <c r="KCP314" s="539"/>
      <c r="KCQ314" s="539"/>
      <c r="KCR314" s="539"/>
      <c r="KCS314" s="539"/>
      <c r="KCT314" s="539"/>
      <c r="KCU314" s="539"/>
      <c r="KCV314" s="539"/>
      <c r="KCW314" s="539"/>
      <c r="KCX314" s="539"/>
      <c r="KCY314" s="539"/>
      <c r="KCZ314" s="539"/>
      <c r="KDA314" s="539"/>
      <c r="KDB314" s="539"/>
      <c r="KDC314" s="539"/>
      <c r="KDD314" s="539"/>
      <c r="KDE314" s="539"/>
      <c r="KDF314" s="539"/>
      <c r="KDG314" s="539"/>
      <c r="KDH314" s="539"/>
      <c r="KDI314" s="539"/>
      <c r="KDJ314" s="539"/>
      <c r="KDK314" s="539"/>
      <c r="KDL314" s="539"/>
      <c r="KDM314" s="539"/>
      <c r="KDN314" s="539"/>
      <c r="KDO314" s="539"/>
      <c r="KDP314" s="539"/>
      <c r="KDQ314" s="539"/>
      <c r="KDR314" s="539"/>
      <c r="KDS314" s="539"/>
      <c r="KDT314" s="539"/>
      <c r="KDU314" s="539"/>
      <c r="KDV314" s="539"/>
      <c r="KDW314" s="539"/>
      <c r="KDX314" s="539"/>
      <c r="KDY314" s="539"/>
      <c r="KDZ314" s="539"/>
      <c r="KEA314" s="539"/>
      <c r="KEB314" s="539"/>
      <c r="KEC314" s="539"/>
      <c r="KED314" s="539"/>
      <c r="KEE314" s="539"/>
      <c r="KEF314" s="539"/>
      <c r="KEG314" s="539"/>
      <c r="KEH314" s="539"/>
      <c r="KEI314" s="539"/>
      <c r="KEJ314" s="539"/>
      <c r="KEK314" s="539"/>
      <c r="KEL314" s="539"/>
      <c r="KEM314" s="539"/>
      <c r="KEN314" s="539"/>
      <c r="KEO314" s="539"/>
      <c r="KEP314" s="539"/>
      <c r="KEQ314" s="539"/>
      <c r="KER314" s="539"/>
      <c r="KES314" s="539"/>
      <c r="KET314" s="539"/>
      <c r="KEU314" s="539"/>
      <c r="KEV314" s="539"/>
      <c r="KEW314" s="539"/>
      <c r="KEX314" s="539"/>
      <c r="KEY314" s="539"/>
      <c r="KEZ314" s="539"/>
      <c r="KFA314" s="539"/>
      <c r="KFB314" s="539"/>
      <c r="KFC314" s="539"/>
      <c r="KFD314" s="539"/>
      <c r="KFE314" s="539"/>
      <c r="KFF314" s="539"/>
      <c r="KFG314" s="539"/>
      <c r="KFH314" s="539"/>
      <c r="KFI314" s="539"/>
      <c r="KFJ314" s="539"/>
      <c r="KFK314" s="539"/>
      <c r="KFL314" s="539"/>
      <c r="KFM314" s="539"/>
      <c r="KFN314" s="539"/>
      <c r="KFO314" s="539"/>
      <c r="KFP314" s="539"/>
      <c r="KFQ314" s="539"/>
      <c r="KFR314" s="539"/>
      <c r="KFS314" s="539"/>
      <c r="KFT314" s="539"/>
      <c r="KFU314" s="539"/>
      <c r="KFV314" s="539"/>
      <c r="KFW314" s="539"/>
      <c r="KFX314" s="539"/>
      <c r="KFY314" s="539"/>
      <c r="KFZ314" s="539"/>
      <c r="KGA314" s="539"/>
      <c r="KGB314" s="539"/>
      <c r="KGC314" s="539"/>
      <c r="KGD314" s="539"/>
      <c r="KGE314" s="539"/>
      <c r="KGF314" s="539"/>
      <c r="KGG314" s="539"/>
      <c r="KGH314" s="539"/>
      <c r="KGI314" s="539"/>
      <c r="KGJ314" s="539"/>
      <c r="KGK314" s="539"/>
      <c r="KGL314" s="539"/>
      <c r="KGM314" s="539"/>
      <c r="KGN314" s="539"/>
      <c r="KGO314" s="539"/>
      <c r="KGP314" s="539"/>
      <c r="KGQ314" s="539"/>
      <c r="KGR314" s="539"/>
      <c r="KGS314" s="539"/>
      <c r="KGT314" s="539"/>
      <c r="KGU314" s="539"/>
      <c r="KGV314" s="539"/>
      <c r="KGW314" s="539"/>
      <c r="KGX314" s="539"/>
      <c r="KGY314" s="539"/>
      <c r="KGZ314" s="539"/>
      <c r="KHA314" s="539"/>
      <c r="KHB314" s="539"/>
      <c r="KHC314" s="539"/>
      <c r="KHD314" s="539"/>
      <c r="KHE314" s="539"/>
      <c r="KHF314" s="539"/>
      <c r="KHG314" s="539"/>
      <c r="KHH314" s="539"/>
      <c r="KHI314" s="539"/>
      <c r="KHJ314" s="539"/>
      <c r="KHK314" s="539"/>
      <c r="KHL314" s="539"/>
      <c r="KHM314" s="539"/>
      <c r="KHN314" s="539"/>
      <c r="KHO314" s="539"/>
      <c r="KHP314" s="539"/>
      <c r="KHQ314" s="539"/>
      <c r="KHR314" s="539"/>
      <c r="KHS314" s="539"/>
      <c r="KHT314" s="539"/>
      <c r="KHU314" s="539"/>
      <c r="KHV314" s="539"/>
      <c r="KHW314" s="539"/>
      <c r="KHX314" s="539"/>
      <c r="KHY314" s="539"/>
      <c r="KHZ314" s="539"/>
      <c r="KIA314" s="539"/>
      <c r="KIB314" s="539"/>
      <c r="KIC314" s="539"/>
      <c r="KID314" s="539"/>
      <c r="KIE314" s="539"/>
      <c r="KIF314" s="539"/>
      <c r="KIG314" s="539"/>
      <c r="KIH314" s="539"/>
      <c r="KII314" s="539"/>
      <c r="KIJ314" s="539"/>
      <c r="KIK314" s="539"/>
      <c r="KIL314" s="539"/>
      <c r="KIM314" s="539"/>
      <c r="KIN314" s="539"/>
      <c r="KIO314" s="539"/>
      <c r="KIP314" s="539"/>
      <c r="KIQ314" s="539"/>
      <c r="KIR314" s="539"/>
      <c r="KIS314" s="539"/>
      <c r="KIT314" s="539"/>
      <c r="KIU314" s="539"/>
      <c r="KIV314" s="539"/>
      <c r="KIW314" s="539"/>
      <c r="KIX314" s="539"/>
      <c r="KIY314" s="539"/>
      <c r="KIZ314" s="539"/>
      <c r="KJA314" s="539"/>
      <c r="KJB314" s="539"/>
      <c r="KJC314" s="539"/>
      <c r="KJD314" s="539"/>
      <c r="KJE314" s="539"/>
      <c r="KJF314" s="539"/>
      <c r="KJG314" s="539"/>
      <c r="KJH314" s="539"/>
      <c r="KJI314" s="539"/>
      <c r="KJJ314" s="539"/>
      <c r="KJK314" s="539"/>
      <c r="KJL314" s="539"/>
      <c r="KJM314" s="539"/>
      <c r="KJN314" s="539"/>
      <c r="KJO314" s="539"/>
      <c r="KJP314" s="539"/>
      <c r="KJQ314" s="539"/>
      <c r="KJR314" s="539"/>
      <c r="KJS314" s="539"/>
      <c r="KJT314" s="539"/>
      <c r="KJU314" s="539"/>
      <c r="KJV314" s="539"/>
      <c r="KJW314" s="539"/>
      <c r="KJX314" s="539"/>
      <c r="KJY314" s="539"/>
      <c r="KJZ314" s="539"/>
      <c r="KKA314" s="539"/>
      <c r="KKB314" s="539"/>
      <c r="KKC314" s="539"/>
      <c r="KKD314" s="539"/>
      <c r="KKE314" s="539"/>
      <c r="KKF314" s="539"/>
      <c r="KKG314" s="539"/>
      <c r="KKH314" s="539"/>
      <c r="KKI314" s="539"/>
      <c r="KKJ314" s="539"/>
      <c r="KKK314" s="539"/>
      <c r="KKL314" s="539"/>
      <c r="KKM314" s="539"/>
      <c r="KKN314" s="539"/>
      <c r="KKO314" s="539"/>
      <c r="KKP314" s="539"/>
      <c r="KKQ314" s="539"/>
      <c r="KKR314" s="539"/>
      <c r="KKS314" s="539"/>
      <c r="KKT314" s="539"/>
      <c r="KKU314" s="539"/>
      <c r="KKV314" s="539"/>
      <c r="KKW314" s="539"/>
      <c r="KKX314" s="539"/>
      <c r="KKY314" s="539"/>
      <c r="KKZ314" s="539"/>
      <c r="KLA314" s="539"/>
      <c r="KLB314" s="539"/>
      <c r="KLC314" s="539"/>
      <c r="KLD314" s="539"/>
      <c r="KLE314" s="539"/>
      <c r="KLF314" s="539"/>
      <c r="KLG314" s="539"/>
      <c r="KLH314" s="539"/>
      <c r="KLI314" s="539"/>
      <c r="KLJ314" s="539"/>
      <c r="KLK314" s="539"/>
      <c r="KLL314" s="539"/>
      <c r="KLM314" s="539"/>
      <c r="KLN314" s="539"/>
      <c r="KLO314" s="539"/>
      <c r="KLP314" s="539"/>
      <c r="KLQ314" s="539"/>
      <c r="KLR314" s="539"/>
      <c r="KLS314" s="539"/>
      <c r="KLT314" s="539"/>
      <c r="KLU314" s="539"/>
      <c r="KLV314" s="539"/>
      <c r="KLW314" s="539"/>
      <c r="KLX314" s="539"/>
      <c r="KLY314" s="539"/>
      <c r="KLZ314" s="539"/>
      <c r="KMA314" s="539"/>
      <c r="KMB314" s="539"/>
      <c r="KMC314" s="539"/>
      <c r="KMD314" s="539"/>
      <c r="KME314" s="539"/>
      <c r="KMF314" s="539"/>
      <c r="KMG314" s="539"/>
      <c r="KMH314" s="539"/>
      <c r="KMI314" s="539"/>
      <c r="KMJ314" s="539"/>
      <c r="KMK314" s="539"/>
      <c r="KML314" s="539"/>
      <c r="KMM314" s="539"/>
      <c r="KMN314" s="539"/>
      <c r="KMO314" s="539"/>
      <c r="KMP314" s="539"/>
      <c r="KMQ314" s="539"/>
      <c r="KMR314" s="539"/>
      <c r="KMS314" s="539"/>
      <c r="KMT314" s="539"/>
      <c r="KMU314" s="539"/>
      <c r="KMV314" s="539"/>
      <c r="KMW314" s="539"/>
      <c r="KMX314" s="539"/>
      <c r="KMY314" s="539"/>
      <c r="KMZ314" s="539"/>
      <c r="KNA314" s="539"/>
      <c r="KNB314" s="539"/>
      <c r="KNC314" s="539"/>
      <c r="KND314" s="539"/>
      <c r="KNE314" s="539"/>
      <c r="KNF314" s="539"/>
      <c r="KNG314" s="539"/>
      <c r="KNH314" s="539"/>
      <c r="KNI314" s="539"/>
      <c r="KNJ314" s="539"/>
      <c r="KNK314" s="539"/>
      <c r="KNL314" s="539"/>
      <c r="KNM314" s="539"/>
      <c r="KNN314" s="539"/>
      <c r="KNO314" s="539"/>
      <c r="KNP314" s="539"/>
      <c r="KNQ314" s="539"/>
      <c r="KNR314" s="539"/>
      <c r="KNS314" s="539"/>
      <c r="KNT314" s="539"/>
      <c r="KNU314" s="539"/>
      <c r="KNV314" s="539"/>
      <c r="KNW314" s="539"/>
      <c r="KNX314" s="539"/>
      <c r="KNY314" s="539"/>
      <c r="KNZ314" s="539"/>
      <c r="KOA314" s="539"/>
      <c r="KOB314" s="539"/>
      <c r="KOC314" s="539"/>
      <c r="KOD314" s="539"/>
      <c r="KOE314" s="539"/>
      <c r="KOF314" s="539"/>
      <c r="KOG314" s="539"/>
      <c r="KOH314" s="539"/>
      <c r="KOI314" s="539"/>
      <c r="KOJ314" s="539"/>
      <c r="KOK314" s="539"/>
      <c r="KOL314" s="539"/>
      <c r="KOM314" s="539"/>
      <c r="KON314" s="539"/>
      <c r="KOO314" s="539"/>
      <c r="KOP314" s="539"/>
      <c r="KOQ314" s="539"/>
      <c r="KOR314" s="539"/>
      <c r="KOS314" s="539"/>
      <c r="KOT314" s="539"/>
      <c r="KOU314" s="539"/>
      <c r="KOV314" s="539"/>
      <c r="KOW314" s="539"/>
      <c r="KOX314" s="539"/>
      <c r="KOY314" s="539"/>
      <c r="KOZ314" s="539"/>
      <c r="KPA314" s="539"/>
      <c r="KPB314" s="539"/>
      <c r="KPC314" s="539"/>
      <c r="KPD314" s="539"/>
      <c r="KPE314" s="539"/>
      <c r="KPF314" s="539"/>
      <c r="KPG314" s="539"/>
      <c r="KPH314" s="539"/>
      <c r="KPI314" s="539"/>
      <c r="KPJ314" s="539"/>
      <c r="KPK314" s="539"/>
      <c r="KPL314" s="539"/>
      <c r="KPM314" s="539"/>
      <c r="KPN314" s="539"/>
      <c r="KPO314" s="539"/>
      <c r="KPP314" s="539"/>
      <c r="KPQ314" s="539"/>
      <c r="KPR314" s="539"/>
      <c r="KPS314" s="539"/>
      <c r="KPT314" s="539"/>
      <c r="KPU314" s="539"/>
      <c r="KPV314" s="539"/>
      <c r="KPW314" s="539"/>
      <c r="KPX314" s="539"/>
      <c r="KPY314" s="539"/>
      <c r="KPZ314" s="539"/>
      <c r="KQA314" s="539"/>
      <c r="KQB314" s="539"/>
      <c r="KQC314" s="539"/>
      <c r="KQD314" s="539"/>
      <c r="KQE314" s="539"/>
      <c r="KQF314" s="539"/>
      <c r="KQG314" s="539"/>
      <c r="KQH314" s="539"/>
      <c r="KQI314" s="539"/>
      <c r="KQJ314" s="539"/>
      <c r="KQK314" s="539"/>
      <c r="KQL314" s="539"/>
      <c r="KQM314" s="539"/>
      <c r="KQN314" s="539"/>
      <c r="KQO314" s="539"/>
      <c r="KQP314" s="539"/>
      <c r="KQQ314" s="539"/>
      <c r="KQR314" s="539"/>
      <c r="KQS314" s="539"/>
      <c r="KQT314" s="539"/>
      <c r="KQU314" s="539"/>
      <c r="KQV314" s="539"/>
      <c r="KQW314" s="539"/>
      <c r="KQX314" s="539"/>
      <c r="KQY314" s="539"/>
      <c r="KQZ314" s="539"/>
      <c r="KRA314" s="539"/>
      <c r="KRB314" s="539"/>
      <c r="KRC314" s="539"/>
      <c r="KRD314" s="539"/>
      <c r="KRE314" s="539"/>
      <c r="KRF314" s="539"/>
      <c r="KRG314" s="539"/>
      <c r="KRH314" s="539"/>
      <c r="KRI314" s="539"/>
      <c r="KRJ314" s="539"/>
      <c r="KRK314" s="539"/>
      <c r="KRL314" s="539"/>
      <c r="KRM314" s="539"/>
      <c r="KRN314" s="539"/>
      <c r="KRO314" s="539"/>
      <c r="KRP314" s="539"/>
      <c r="KRQ314" s="539"/>
      <c r="KRR314" s="539"/>
      <c r="KRS314" s="539"/>
      <c r="KRT314" s="539"/>
      <c r="KRU314" s="539"/>
      <c r="KRV314" s="539"/>
      <c r="KRW314" s="539"/>
      <c r="KRX314" s="539"/>
      <c r="KRY314" s="539"/>
      <c r="KRZ314" s="539"/>
      <c r="KSA314" s="539"/>
      <c r="KSB314" s="539"/>
      <c r="KSC314" s="539"/>
      <c r="KSD314" s="539"/>
      <c r="KSE314" s="539"/>
      <c r="KSF314" s="539"/>
      <c r="KSG314" s="539"/>
      <c r="KSH314" s="539"/>
      <c r="KSI314" s="539"/>
      <c r="KSJ314" s="539"/>
      <c r="KSK314" s="539"/>
      <c r="KSL314" s="539"/>
      <c r="KSM314" s="539"/>
      <c r="KSN314" s="539"/>
      <c r="KSO314" s="539"/>
      <c r="KSP314" s="539"/>
      <c r="KSQ314" s="539"/>
      <c r="KSR314" s="539"/>
      <c r="KSS314" s="539"/>
      <c r="KST314" s="539"/>
      <c r="KSU314" s="539"/>
      <c r="KSV314" s="539"/>
      <c r="KSW314" s="539"/>
      <c r="KSX314" s="539"/>
      <c r="KSY314" s="539"/>
      <c r="KSZ314" s="539"/>
      <c r="KTA314" s="539"/>
      <c r="KTB314" s="539"/>
      <c r="KTC314" s="539"/>
      <c r="KTD314" s="539"/>
      <c r="KTE314" s="539"/>
      <c r="KTF314" s="539"/>
      <c r="KTG314" s="539"/>
      <c r="KTH314" s="539"/>
      <c r="KTI314" s="539"/>
      <c r="KTJ314" s="539"/>
      <c r="KTK314" s="539"/>
      <c r="KTL314" s="539"/>
      <c r="KTM314" s="539"/>
      <c r="KTN314" s="539"/>
      <c r="KTO314" s="539"/>
      <c r="KTP314" s="539"/>
      <c r="KTQ314" s="539"/>
      <c r="KTR314" s="539"/>
      <c r="KTS314" s="539"/>
      <c r="KTT314" s="539"/>
      <c r="KTU314" s="539"/>
      <c r="KTV314" s="539"/>
      <c r="KTW314" s="539"/>
      <c r="KTX314" s="539"/>
      <c r="KTY314" s="539"/>
      <c r="KTZ314" s="539"/>
      <c r="KUA314" s="539"/>
      <c r="KUB314" s="539"/>
      <c r="KUC314" s="539"/>
      <c r="KUD314" s="539"/>
      <c r="KUE314" s="539"/>
      <c r="KUF314" s="539"/>
      <c r="KUG314" s="539"/>
      <c r="KUH314" s="539"/>
      <c r="KUI314" s="539"/>
      <c r="KUJ314" s="539"/>
      <c r="KUK314" s="539"/>
      <c r="KUL314" s="539"/>
      <c r="KUM314" s="539"/>
      <c r="KUN314" s="539"/>
      <c r="KUO314" s="539"/>
      <c r="KUP314" s="539"/>
      <c r="KUQ314" s="539"/>
      <c r="KUR314" s="539"/>
      <c r="KUS314" s="539"/>
      <c r="KUT314" s="539"/>
      <c r="KUU314" s="539"/>
      <c r="KUV314" s="539"/>
      <c r="KUW314" s="539"/>
      <c r="KUX314" s="539"/>
      <c r="KUY314" s="539"/>
      <c r="KUZ314" s="539"/>
      <c r="KVA314" s="539"/>
      <c r="KVB314" s="539"/>
      <c r="KVC314" s="539"/>
      <c r="KVD314" s="539"/>
      <c r="KVE314" s="539"/>
      <c r="KVF314" s="539"/>
      <c r="KVG314" s="539"/>
      <c r="KVH314" s="539"/>
      <c r="KVI314" s="539"/>
      <c r="KVJ314" s="539"/>
      <c r="KVK314" s="539"/>
      <c r="KVL314" s="539"/>
      <c r="KVM314" s="539"/>
      <c r="KVN314" s="539"/>
      <c r="KVO314" s="539"/>
      <c r="KVP314" s="539"/>
      <c r="KVQ314" s="539"/>
      <c r="KVR314" s="539"/>
      <c r="KVS314" s="539"/>
      <c r="KVT314" s="539"/>
      <c r="KVU314" s="539"/>
      <c r="KVV314" s="539"/>
      <c r="KVW314" s="539"/>
      <c r="KVX314" s="539"/>
      <c r="KVY314" s="539"/>
      <c r="KVZ314" s="539"/>
      <c r="KWA314" s="539"/>
      <c r="KWB314" s="539"/>
      <c r="KWC314" s="539"/>
      <c r="KWD314" s="539"/>
      <c r="KWE314" s="539"/>
      <c r="KWF314" s="539"/>
      <c r="KWG314" s="539"/>
      <c r="KWH314" s="539"/>
      <c r="KWI314" s="539"/>
      <c r="KWJ314" s="539"/>
      <c r="KWK314" s="539"/>
      <c r="KWL314" s="539"/>
      <c r="KWM314" s="539"/>
      <c r="KWN314" s="539"/>
      <c r="KWO314" s="539"/>
      <c r="KWP314" s="539"/>
      <c r="KWQ314" s="539"/>
      <c r="KWR314" s="539"/>
      <c r="KWS314" s="539"/>
      <c r="KWT314" s="539"/>
      <c r="KWU314" s="539"/>
      <c r="KWV314" s="539"/>
      <c r="KWW314" s="539"/>
      <c r="KWX314" s="539"/>
      <c r="KWY314" s="539"/>
      <c r="KWZ314" s="539"/>
      <c r="KXA314" s="539"/>
      <c r="KXB314" s="539"/>
      <c r="KXC314" s="539"/>
      <c r="KXD314" s="539"/>
      <c r="KXE314" s="539"/>
      <c r="KXF314" s="539"/>
      <c r="KXG314" s="539"/>
      <c r="KXH314" s="539"/>
      <c r="KXI314" s="539"/>
      <c r="KXJ314" s="539"/>
      <c r="KXK314" s="539"/>
      <c r="KXL314" s="539"/>
      <c r="KXM314" s="539"/>
      <c r="KXN314" s="539"/>
      <c r="KXO314" s="539"/>
      <c r="KXP314" s="539"/>
      <c r="KXQ314" s="539"/>
      <c r="KXR314" s="539"/>
      <c r="KXS314" s="539"/>
      <c r="KXT314" s="539"/>
      <c r="KXU314" s="539"/>
      <c r="KXV314" s="539"/>
      <c r="KXW314" s="539"/>
      <c r="KXX314" s="539"/>
      <c r="KXY314" s="539"/>
      <c r="KXZ314" s="539"/>
      <c r="KYA314" s="539"/>
      <c r="KYB314" s="539"/>
      <c r="KYC314" s="539"/>
      <c r="KYD314" s="539"/>
      <c r="KYE314" s="539"/>
      <c r="KYF314" s="539"/>
      <c r="KYG314" s="539"/>
      <c r="KYH314" s="539"/>
      <c r="KYI314" s="539"/>
      <c r="KYJ314" s="539"/>
      <c r="KYK314" s="539"/>
      <c r="KYL314" s="539"/>
      <c r="KYM314" s="539"/>
      <c r="KYN314" s="539"/>
      <c r="KYO314" s="539"/>
      <c r="KYP314" s="539"/>
      <c r="KYQ314" s="539"/>
      <c r="KYR314" s="539"/>
      <c r="KYS314" s="539"/>
      <c r="KYT314" s="539"/>
      <c r="KYU314" s="539"/>
      <c r="KYV314" s="539"/>
      <c r="KYW314" s="539"/>
      <c r="KYX314" s="539"/>
      <c r="KYY314" s="539"/>
      <c r="KYZ314" s="539"/>
      <c r="KZA314" s="539"/>
      <c r="KZB314" s="539"/>
      <c r="KZC314" s="539"/>
      <c r="KZD314" s="539"/>
      <c r="KZE314" s="539"/>
      <c r="KZF314" s="539"/>
      <c r="KZG314" s="539"/>
      <c r="KZH314" s="539"/>
      <c r="KZI314" s="539"/>
      <c r="KZJ314" s="539"/>
      <c r="KZK314" s="539"/>
      <c r="KZL314" s="539"/>
      <c r="KZM314" s="539"/>
      <c r="KZN314" s="539"/>
      <c r="KZO314" s="539"/>
      <c r="KZP314" s="539"/>
      <c r="KZQ314" s="539"/>
      <c r="KZR314" s="539"/>
      <c r="KZS314" s="539"/>
      <c r="KZT314" s="539"/>
      <c r="KZU314" s="539"/>
      <c r="KZV314" s="539"/>
      <c r="KZW314" s="539"/>
      <c r="KZX314" s="539"/>
      <c r="KZY314" s="539"/>
      <c r="KZZ314" s="539"/>
      <c r="LAA314" s="539"/>
      <c r="LAB314" s="539"/>
      <c r="LAC314" s="539"/>
      <c r="LAD314" s="539"/>
      <c r="LAE314" s="539"/>
      <c r="LAF314" s="539"/>
      <c r="LAG314" s="539"/>
      <c r="LAH314" s="539"/>
      <c r="LAI314" s="539"/>
      <c r="LAJ314" s="539"/>
      <c r="LAK314" s="539"/>
      <c r="LAL314" s="539"/>
      <c r="LAM314" s="539"/>
      <c r="LAN314" s="539"/>
      <c r="LAO314" s="539"/>
      <c r="LAP314" s="539"/>
      <c r="LAQ314" s="539"/>
      <c r="LAR314" s="539"/>
      <c r="LAS314" s="539"/>
      <c r="LAT314" s="539"/>
      <c r="LAU314" s="539"/>
      <c r="LAV314" s="539"/>
      <c r="LAW314" s="539"/>
      <c r="LAX314" s="539"/>
      <c r="LAY314" s="539"/>
      <c r="LAZ314" s="539"/>
      <c r="LBA314" s="539"/>
      <c r="LBB314" s="539"/>
      <c r="LBC314" s="539"/>
      <c r="LBD314" s="539"/>
      <c r="LBE314" s="539"/>
      <c r="LBF314" s="539"/>
      <c r="LBG314" s="539"/>
      <c r="LBH314" s="539"/>
      <c r="LBI314" s="539"/>
      <c r="LBJ314" s="539"/>
      <c r="LBK314" s="539"/>
      <c r="LBL314" s="539"/>
      <c r="LBM314" s="539"/>
      <c r="LBN314" s="539"/>
      <c r="LBO314" s="539"/>
      <c r="LBP314" s="539"/>
      <c r="LBQ314" s="539"/>
      <c r="LBR314" s="539"/>
      <c r="LBS314" s="539"/>
      <c r="LBT314" s="539"/>
      <c r="LBU314" s="539"/>
      <c r="LBV314" s="539"/>
      <c r="LBW314" s="539"/>
      <c r="LBX314" s="539"/>
      <c r="LBY314" s="539"/>
      <c r="LBZ314" s="539"/>
      <c r="LCA314" s="539"/>
      <c r="LCB314" s="539"/>
      <c r="LCC314" s="539"/>
      <c r="LCD314" s="539"/>
      <c r="LCE314" s="539"/>
      <c r="LCF314" s="539"/>
      <c r="LCG314" s="539"/>
      <c r="LCH314" s="539"/>
      <c r="LCI314" s="539"/>
      <c r="LCJ314" s="539"/>
      <c r="LCK314" s="539"/>
      <c r="LCL314" s="539"/>
      <c r="LCM314" s="539"/>
      <c r="LCN314" s="539"/>
      <c r="LCO314" s="539"/>
      <c r="LCP314" s="539"/>
      <c r="LCQ314" s="539"/>
      <c r="LCR314" s="539"/>
      <c r="LCS314" s="539"/>
      <c r="LCT314" s="539"/>
      <c r="LCU314" s="539"/>
      <c r="LCV314" s="539"/>
      <c r="LCW314" s="539"/>
      <c r="LCX314" s="539"/>
      <c r="LCY314" s="539"/>
      <c r="LCZ314" s="539"/>
      <c r="LDA314" s="539"/>
      <c r="LDB314" s="539"/>
      <c r="LDC314" s="539"/>
      <c r="LDD314" s="539"/>
      <c r="LDE314" s="539"/>
      <c r="LDF314" s="539"/>
      <c r="LDG314" s="539"/>
      <c r="LDH314" s="539"/>
      <c r="LDI314" s="539"/>
      <c r="LDJ314" s="539"/>
      <c r="LDK314" s="539"/>
      <c r="LDL314" s="539"/>
      <c r="LDM314" s="539"/>
      <c r="LDN314" s="539"/>
      <c r="LDO314" s="539"/>
      <c r="LDP314" s="539"/>
      <c r="LDQ314" s="539"/>
      <c r="LDR314" s="539"/>
      <c r="LDS314" s="539"/>
      <c r="LDT314" s="539"/>
      <c r="LDU314" s="539"/>
      <c r="LDV314" s="539"/>
      <c r="LDW314" s="539"/>
      <c r="LDX314" s="539"/>
      <c r="LDY314" s="539"/>
      <c r="LDZ314" s="539"/>
      <c r="LEA314" s="539"/>
      <c r="LEB314" s="539"/>
      <c r="LEC314" s="539"/>
      <c r="LED314" s="539"/>
      <c r="LEE314" s="539"/>
      <c r="LEF314" s="539"/>
      <c r="LEG314" s="539"/>
      <c r="LEH314" s="539"/>
      <c r="LEI314" s="539"/>
      <c r="LEJ314" s="539"/>
      <c r="LEK314" s="539"/>
      <c r="LEL314" s="539"/>
      <c r="LEM314" s="539"/>
      <c r="LEN314" s="539"/>
      <c r="LEO314" s="539"/>
      <c r="LEP314" s="539"/>
      <c r="LEQ314" s="539"/>
      <c r="LER314" s="539"/>
      <c r="LES314" s="539"/>
      <c r="LET314" s="539"/>
      <c r="LEU314" s="539"/>
      <c r="LEV314" s="539"/>
      <c r="LEW314" s="539"/>
      <c r="LEX314" s="539"/>
      <c r="LEY314" s="539"/>
      <c r="LEZ314" s="539"/>
      <c r="LFA314" s="539"/>
      <c r="LFB314" s="539"/>
      <c r="LFC314" s="539"/>
      <c r="LFD314" s="539"/>
      <c r="LFE314" s="539"/>
      <c r="LFF314" s="539"/>
      <c r="LFG314" s="539"/>
      <c r="LFH314" s="539"/>
      <c r="LFI314" s="539"/>
      <c r="LFJ314" s="539"/>
      <c r="LFK314" s="539"/>
      <c r="LFL314" s="539"/>
      <c r="LFM314" s="539"/>
      <c r="LFN314" s="539"/>
      <c r="LFO314" s="539"/>
      <c r="LFP314" s="539"/>
      <c r="LFQ314" s="539"/>
      <c r="LFR314" s="539"/>
      <c r="LFS314" s="539"/>
      <c r="LFT314" s="539"/>
      <c r="LFU314" s="539"/>
      <c r="LFV314" s="539"/>
      <c r="LFW314" s="539"/>
      <c r="LFX314" s="539"/>
      <c r="LFY314" s="539"/>
      <c r="LFZ314" s="539"/>
      <c r="LGA314" s="539"/>
      <c r="LGB314" s="539"/>
      <c r="LGC314" s="539"/>
      <c r="LGD314" s="539"/>
      <c r="LGE314" s="539"/>
      <c r="LGF314" s="539"/>
      <c r="LGG314" s="539"/>
      <c r="LGH314" s="539"/>
      <c r="LGI314" s="539"/>
      <c r="LGJ314" s="539"/>
      <c r="LGK314" s="539"/>
      <c r="LGL314" s="539"/>
      <c r="LGM314" s="539"/>
      <c r="LGN314" s="539"/>
      <c r="LGO314" s="539"/>
      <c r="LGP314" s="539"/>
      <c r="LGQ314" s="539"/>
      <c r="LGR314" s="539"/>
      <c r="LGS314" s="539"/>
      <c r="LGT314" s="539"/>
      <c r="LGU314" s="539"/>
      <c r="LGV314" s="539"/>
      <c r="LGW314" s="539"/>
      <c r="LGX314" s="539"/>
      <c r="LGY314" s="539"/>
      <c r="LGZ314" s="539"/>
      <c r="LHA314" s="539"/>
      <c r="LHB314" s="539"/>
      <c r="LHC314" s="539"/>
      <c r="LHD314" s="539"/>
      <c r="LHE314" s="539"/>
      <c r="LHF314" s="539"/>
      <c r="LHG314" s="539"/>
      <c r="LHH314" s="539"/>
      <c r="LHI314" s="539"/>
      <c r="LHJ314" s="539"/>
      <c r="LHK314" s="539"/>
      <c r="LHL314" s="539"/>
      <c r="LHM314" s="539"/>
      <c r="LHN314" s="539"/>
      <c r="LHO314" s="539"/>
      <c r="LHP314" s="539"/>
      <c r="LHQ314" s="539"/>
      <c r="LHR314" s="539"/>
      <c r="LHS314" s="539"/>
      <c r="LHT314" s="539"/>
      <c r="LHU314" s="539"/>
      <c r="LHV314" s="539"/>
      <c r="LHW314" s="539"/>
      <c r="LHX314" s="539"/>
      <c r="LHY314" s="539"/>
      <c r="LHZ314" s="539"/>
      <c r="LIA314" s="539"/>
      <c r="LIB314" s="539"/>
      <c r="LIC314" s="539"/>
      <c r="LID314" s="539"/>
      <c r="LIE314" s="539"/>
      <c r="LIF314" s="539"/>
      <c r="LIG314" s="539"/>
      <c r="LIH314" s="539"/>
      <c r="LII314" s="539"/>
      <c r="LIJ314" s="539"/>
      <c r="LIK314" s="539"/>
      <c r="LIL314" s="539"/>
      <c r="LIM314" s="539"/>
      <c r="LIN314" s="539"/>
      <c r="LIO314" s="539"/>
      <c r="LIP314" s="539"/>
      <c r="LIQ314" s="539"/>
      <c r="LIR314" s="539"/>
      <c r="LIS314" s="539"/>
      <c r="LIT314" s="539"/>
      <c r="LIU314" s="539"/>
      <c r="LIV314" s="539"/>
      <c r="LIW314" s="539"/>
      <c r="LIX314" s="539"/>
      <c r="LIY314" s="539"/>
      <c r="LIZ314" s="539"/>
      <c r="LJA314" s="539"/>
      <c r="LJB314" s="539"/>
      <c r="LJC314" s="539"/>
      <c r="LJD314" s="539"/>
      <c r="LJE314" s="539"/>
      <c r="LJF314" s="539"/>
      <c r="LJG314" s="539"/>
      <c r="LJH314" s="539"/>
      <c r="LJI314" s="539"/>
      <c r="LJJ314" s="539"/>
      <c r="LJK314" s="539"/>
      <c r="LJL314" s="539"/>
      <c r="LJM314" s="539"/>
      <c r="LJN314" s="539"/>
      <c r="LJO314" s="539"/>
      <c r="LJP314" s="539"/>
      <c r="LJQ314" s="539"/>
      <c r="LJR314" s="539"/>
      <c r="LJS314" s="539"/>
      <c r="LJT314" s="539"/>
      <c r="LJU314" s="539"/>
      <c r="LJV314" s="539"/>
      <c r="LJW314" s="539"/>
      <c r="LJX314" s="539"/>
      <c r="LJY314" s="539"/>
      <c r="LJZ314" s="539"/>
      <c r="LKA314" s="539"/>
      <c r="LKB314" s="539"/>
      <c r="LKC314" s="539"/>
      <c r="LKD314" s="539"/>
      <c r="LKE314" s="539"/>
      <c r="LKF314" s="539"/>
      <c r="LKG314" s="539"/>
      <c r="LKH314" s="539"/>
      <c r="LKI314" s="539"/>
      <c r="LKJ314" s="539"/>
      <c r="LKK314" s="539"/>
      <c r="LKL314" s="539"/>
      <c r="LKM314" s="539"/>
      <c r="LKN314" s="539"/>
      <c r="LKO314" s="539"/>
      <c r="LKP314" s="539"/>
      <c r="LKQ314" s="539"/>
      <c r="LKR314" s="539"/>
      <c r="LKS314" s="539"/>
      <c r="LKT314" s="539"/>
      <c r="LKU314" s="539"/>
      <c r="LKV314" s="539"/>
      <c r="LKW314" s="539"/>
      <c r="LKX314" s="539"/>
      <c r="LKY314" s="539"/>
      <c r="LKZ314" s="539"/>
      <c r="LLA314" s="539"/>
      <c r="LLB314" s="539"/>
      <c r="LLC314" s="539"/>
      <c r="LLD314" s="539"/>
      <c r="LLE314" s="539"/>
      <c r="LLF314" s="539"/>
      <c r="LLG314" s="539"/>
      <c r="LLH314" s="539"/>
      <c r="LLI314" s="539"/>
      <c r="LLJ314" s="539"/>
      <c r="LLK314" s="539"/>
      <c r="LLL314" s="539"/>
      <c r="LLM314" s="539"/>
      <c r="LLN314" s="539"/>
      <c r="LLO314" s="539"/>
      <c r="LLP314" s="539"/>
      <c r="LLQ314" s="539"/>
      <c r="LLR314" s="539"/>
      <c r="LLS314" s="539"/>
      <c r="LLT314" s="539"/>
      <c r="LLU314" s="539"/>
      <c r="LLV314" s="539"/>
      <c r="LLW314" s="539"/>
      <c r="LLX314" s="539"/>
      <c r="LLY314" s="539"/>
      <c r="LLZ314" s="539"/>
      <c r="LMA314" s="539"/>
      <c r="LMB314" s="539"/>
      <c r="LMC314" s="539"/>
      <c r="LMD314" s="539"/>
      <c r="LME314" s="539"/>
      <c r="LMF314" s="539"/>
      <c r="LMG314" s="539"/>
      <c r="LMH314" s="539"/>
      <c r="LMI314" s="539"/>
      <c r="LMJ314" s="539"/>
      <c r="LMK314" s="539"/>
      <c r="LML314" s="539"/>
      <c r="LMM314" s="539"/>
      <c r="LMN314" s="539"/>
      <c r="LMO314" s="539"/>
      <c r="LMP314" s="539"/>
      <c r="LMQ314" s="539"/>
      <c r="LMR314" s="539"/>
      <c r="LMS314" s="539"/>
      <c r="LMT314" s="539"/>
      <c r="LMU314" s="539"/>
      <c r="LMV314" s="539"/>
      <c r="LMW314" s="539"/>
      <c r="LMX314" s="539"/>
      <c r="LMY314" s="539"/>
      <c r="LMZ314" s="539"/>
      <c r="LNA314" s="539"/>
      <c r="LNB314" s="539"/>
      <c r="LNC314" s="539"/>
      <c r="LND314" s="539"/>
      <c r="LNE314" s="539"/>
      <c r="LNF314" s="539"/>
      <c r="LNG314" s="539"/>
      <c r="LNH314" s="539"/>
      <c r="LNI314" s="539"/>
      <c r="LNJ314" s="539"/>
      <c r="LNK314" s="539"/>
      <c r="LNL314" s="539"/>
      <c r="LNM314" s="539"/>
      <c r="LNN314" s="539"/>
      <c r="LNO314" s="539"/>
      <c r="LNP314" s="539"/>
      <c r="LNQ314" s="539"/>
      <c r="LNR314" s="539"/>
      <c r="LNS314" s="539"/>
      <c r="LNT314" s="539"/>
      <c r="LNU314" s="539"/>
      <c r="LNV314" s="539"/>
      <c r="LNW314" s="539"/>
      <c r="LNX314" s="539"/>
      <c r="LNY314" s="539"/>
      <c r="LNZ314" s="539"/>
      <c r="LOA314" s="539"/>
      <c r="LOB314" s="539"/>
      <c r="LOC314" s="539"/>
      <c r="LOD314" s="539"/>
      <c r="LOE314" s="539"/>
      <c r="LOF314" s="539"/>
      <c r="LOG314" s="539"/>
      <c r="LOH314" s="539"/>
      <c r="LOI314" s="539"/>
      <c r="LOJ314" s="539"/>
      <c r="LOK314" s="539"/>
      <c r="LOL314" s="539"/>
      <c r="LOM314" s="539"/>
      <c r="LON314" s="539"/>
      <c r="LOO314" s="539"/>
      <c r="LOP314" s="539"/>
      <c r="LOQ314" s="539"/>
      <c r="LOR314" s="539"/>
      <c r="LOS314" s="539"/>
      <c r="LOT314" s="539"/>
      <c r="LOU314" s="539"/>
      <c r="LOV314" s="539"/>
      <c r="LOW314" s="539"/>
      <c r="LOX314" s="539"/>
      <c r="LOY314" s="539"/>
      <c r="LOZ314" s="539"/>
      <c r="LPA314" s="539"/>
      <c r="LPB314" s="539"/>
      <c r="LPC314" s="539"/>
      <c r="LPD314" s="539"/>
      <c r="LPE314" s="539"/>
      <c r="LPF314" s="539"/>
      <c r="LPG314" s="539"/>
      <c r="LPH314" s="539"/>
      <c r="LPI314" s="539"/>
      <c r="LPJ314" s="539"/>
      <c r="LPK314" s="539"/>
      <c r="LPL314" s="539"/>
      <c r="LPM314" s="539"/>
      <c r="LPN314" s="539"/>
      <c r="LPO314" s="539"/>
      <c r="LPP314" s="539"/>
      <c r="LPQ314" s="539"/>
      <c r="LPR314" s="539"/>
      <c r="LPS314" s="539"/>
      <c r="LPT314" s="539"/>
      <c r="LPU314" s="539"/>
      <c r="LPV314" s="539"/>
      <c r="LPW314" s="539"/>
      <c r="LPX314" s="539"/>
      <c r="LPY314" s="539"/>
      <c r="LPZ314" s="539"/>
      <c r="LQA314" s="539"/>
      <c r="LQB314" s="539"/>
      <c r="LQC314" s="539"/>
      <c r="LQD314" s="539"/>
      <c r="LQE314" s="539"/>
      <c r="LQF314" s="539"/>
      <c r="LQG314" s="539"/>
      <c r="LQH314" s="539"/>
      <c r="LQI314" s="539"/>
      <c r="LQJ314" s="539"/>
      <c r="LQK314" s="539"/>
      <c r="LQL314" s="539"/>
      <c r="LQM314" s="539"/>
      <c r="LQN314" s="539"/>
      <c r="LQO314" s="539"/>
      <c r="LQP314" s="539"/>
      <c r="LQQ314" s="539"/>
      <c r="LQR314" s="539"/>
      <c r="LQS314" s="539"/>
      <c r="LQT314" s="539"/>
      <c r="LQU314" s="539"/>
      <c r="LQV314" s="539"/>
      <c r="LQW314" s="539"/>
      <c r="LQX314" s="539"/>
      <c r="LQY314" s="539"/>
      <c r="LQZ314" s="539"/>
      <c r="LRA314" s="539"/>
      <c r="LRB314" s="539"/>
      <c r="LRC314" s="539"/>
      <c r="LRD314" s="539"/>
      <c r="LRE314" s="539"/>
      <c r="LRF314" s="539"/>
      <c r="LRG314" s="539"/>
      <c r="LRH314" s="539"/>
      <c r="LRI314" s="539"/>
      <c r="LRJ314" s="539"/>
      <c r="LRK314" s="539"/>
      <c r="LRL314" s="539"/>
      <c r="LRM314" s="539"/>
      <c r="LRN314" s="539"/>
      <c r="LRO314" s="539"/>
      <c r="LRP314" s="539"/>
      <c r="LRQ314" s="539"/>
      <c r="LRR314" s="539"/>
      <c r="LRS314" s="539"/>
      <c r="LRT314" s="539"/>
      <c r="LRU314" s="539"/>
      <c r="LRV314" s="539"/>
      <c r="LRW314" s="539"/>
      <c r="LRX314" s="539"/>
      <c r="LRY314" s="539"/>
      <c r="LRZ314" s="539"/>
      <c r="LSA314" s="539"/>
      <c r="LSB314" s="539"/>
      <c r="LSC314" s="539"/>
      <c r="LSD314" s="539"/>
      <c r="LSE314" s="539"/>
      <c r="LSF314" s="539"/>
      <c r="LSG314" s="539"/>
      <c r="LSH314" s="539"/>
      <c r="LSI314" s="539"/>
      <c r="LSJ314" s="539"/>
      <c r="LSK314" s="539"/>
      <c r="LSL314" s="539"/>
      <c r="LSM314" s="539"/>
      <c r="LSN314" s="539"/>
      <c r="LSO314" s="539"/>
      <c r="LSP314" s="539"/>
      <c r="LSQ314" s="539"/>
      <c r="LSR314" s="539"/>
      <c r="LSS314" s="539"/>
      <c r="LST314" s="539"/>
      <c r="LSU314" s="539"/>
      <c r="LSV314" s="539"/>
      <c r="LSW314" s="539"/>
      <c r="LSX314" s="539"/>
      <c r="LSY314" s="539"/>
      <c r="LSZ314" s="539"/>
      <c r="LTA314" s="539"/>
      <c r="LTB314" s="539"/>
      <c r="LTC314" s="539"/>
      <c r="LTD314" s="539"/>
      <c r="LTE314" s="539"/>
      <c r="LTF314" s="539"/>
      <c r="LTG314" s="539"/>
      <c r="LTH314" s="539"/>
      <c r="LTI314" s="539"/>
      <c r="LTJ314" s="539"/>
      <c r="LTK314" s="539"/>
      <c r="LTL314" s="539"/>
      <c r="LTM314" s="539"/>
      <c r="LTN314" s="539"/>
      <c r="LTO314" s="539"/>
      <c r="LTP314" s="539"/>
      <c r="LTQ314" s="539"/>
      <c r="LTR314" s="539"/>
      <c r="LTS314" s="539"/>
      <c r="LTT314" s="539"/>
      <c r="LTU314" s="539"/>
      <c r="LTV314" s="539"/>
      <c r="LTW314" s="539"/>
      <c r="LTX314" s="539"/>
      <c r="LTY314" s="539"/>
      <c r="LTZ314" s="539"/>
      <c r="LUA314" s="539"/>
      <c r="LUB314" s="539"/>
      <c r="LUC314" s="539"/>
      <c r="LUD314" s="539"/>
      <c r="LUE314" s="539"/>
      <c r="LUF314" s="539"/>
      <c r="LUG314" s="539"/>
      <c r="LUH314" s="539"/>
      <c r="LUI314" s="539"/>
      <c r="LUJ314" s="539"/>
      <c r="LUK314" s="539"/>
      <c r="LUL314" s="539"/>
      <c r="LUM314" s="539"/>
      <c r="LUN314" s="539"/>
      <c r="LUO314" s="539"/>
      <c r="LUP314" s="539"/>
      <c r="LUQ314" s="539"/>
      <c r="LUR314" s="539"/>
      <c r="LUS314" s="539"/>
      <c r="LUT314" s="539"/>
      <c r="LUU314" s="539"/>
      <c r="LUV314" s="539"/>
      <c r="LUW314" s="539"/>
      <c r="LUX314" s="539"/>
      <c r="LUY314" s="539"/>
      <c r="LUZ314" s="539"/>
      <c r="LVA314" s="539"/>
      <c r="LVB314" s="539"/>
      <c r="LVC314" s="539"/>
      <c r="LVD314" s="539"/>
      <c r="LVE314" s="539"/>
      <c r="LVF314" s="539"/>
      <c r="LVG314" s="539"/>
      <c r="LVH314" s="539"/>
      <c r="LVI314" s="539"/>
      <c r="LVJ314" s="539"/>
      <c r="LVK314" s="539"/>
      <c r="LVL314" s="539"/>
      <c r="LVM314" s="539"/>
      <c r="LVN314" s="539"/>
      <c r="LVO314" s="539"/>
      <c r="LVP314" s="539"/>
      <c r="LVQ314" s="539"/>
      <c r="LVR314" s="539"/>
      <c r="LVS314" s="539"/>
      <c r="LVT314" s="539"/>
      <c r="LVU314" s="539"/>
      <c r="LVV314" s="539"/>
      <c r="LVW314" s="539"/>
      <c r="LVX314" s="539"/>
      <c r="LVY314" s="539"/>
      <c r="LVZ314" s="539"/>
      <c r="LWA314" s="539"/>
      <c r="LWB314" s="539"/>
      <c r="LWC314" s="539"/>
      <c r="LWD314" s="539"/>
      <c r="LWE314" s="539"/>
      <c r="LWF314" s="539"/>
      <c r="LWG314" s="539"/>
      <c r="LWH314" s="539"/>
      <c r="LWI314" s="539"/>
      <c r="LWJ314" s="539"/>
      <c r="LWK314" s="539"/>
      <c r="LWL314" s="539"/>
      <c r="LWM314" s="539"/>
      <c r="LWN314" s="539"/>
      <c r="LWO314" s="539"/>
      <c r="LWP314" s="539"/>
      <c r="LWQ314" s="539"/>
      <c r="LWR314" s="539"/>
      <c r="LWS314" s="539"/>
      <c r="LWT314" s="539"/>
      <c r="LWU314" s="539"/>
      <c r="LWV314" s="539"/>
      <c r="LWW314" s="539"/>
      <c r="LWX314" s="539"/>
      <c r="LWY314" s="539"/>
      <c r="LWZ314" s="539"/>
      <c r="LXA314" s="539"/>
      <c r="LXB314" s="539"/>
      <c r="LXC314" s="539"/>
      <c r="LXD314" s="539"/>
      <c r="LXE314" s="539"/>
      <c r="LXF314" s="539"/>
      <c r="LXG314" s="539"/>
      <c r="LXH314" s="539"/>
      <c r="LXI314" s="539"/>
      <c r="LXJ314" s="539"/>
      <c r="LXK314" s="539"/>
      <c r="LXL314" s="539"/>
      <c r="LXM314" s="539"/>
      <c r="LXN314" s="539"/>
      <c r="LXO314" s="539"/>
      <c r="LXP314" s="539"/>
      <c r="LXQ314" s="539"/>
      <c r="LXR314" s="539"/>
      <c r="LXS314" s="539"/>
      <c r="LXT314" s="539"/>
      <c r="LXU314" s="539"/>
      <c r="LXV314" s="539"/>
      <c r="LXW314" s="539"/>
      <c r="LXX314" s="539"/>
      <c r="LXY314" s="539"/>
      <c r="LXZ314" s="539"/>
      <c r="LYA314" s="539"/>
      <c r="LYB314" s="539"/>
      <c r="LYC314" s="539"/>
      <c r="LYD314" s="539"/>
      <c r="LYE314" s="539"/>
      <c r="LYF314" s="539"/>
      <c r="LYG314" s="539"/>
      <c r="LYH314" s="539"/>
      <c r="LYI314" s="539"/>
      <c r="LYJ314" s="539"/>
      <c r="LYK314" s="539"/>
      <c r="LYL314" s="539"/>
      <c r="LYM314" s="539"/>
      <c r="LYN314" s="539"/>
      <c r="LYO314" s="539"/>
      <c r="LYP314" s="539"/>
      <c r="LYQ314" s="539"/>
      <c r="LYR314" s="539"/>
      <c r="LYS314" s="539"/>
      <c r="LYT314" s="539"/>
      <c r="LYU314" s="539"/>
      <c r="LYV314" s="539"/>
      <c r="LYW314" s="539"/>
      <c r="LYX314" s="539"/>
      <c r="LYY314" s="539"/>
      <c r="LYZ314" s="539"/>
      <c r="LZA314" s="539"/>
      <c r="LZB314" s="539"/>
      <c r="LZC314" s="539"/>
      <c r="LZD314" s="539"/>
      <c r="LZE314" s="539"/>
      <c r="LZF314" s="539"/>
      <c r="LZG314" s="539"/>
      <c r="LZH314" s="539"/>
      <c r="LZI314" s="539"/>
      <c r="LZJ314" s="539"/>
      <c r="LZK314" s="539"/>
      <c r="LZL314" s="539"/>
      <c r="LZM314" s="539"/>
      <c r="LZN314" s="539"/>
      <c r="LZO314" s="539"/>
      <c r="LZP314" s="539"/>
      <c r="LZQ314" s="539"/>
      <c r="LZR314" s="539"/>
      <c r="LZS314" s="539"/>
      <c r="LZT314" s="539"/>
      <c r="LZU314" s="539"/>
      <c r="LZV314" s="539"/>
      <c r="LZW314" s="539"/>
      <c r="LZX314" s="539"/>
      <c r="LZY314" s="539"/>
      <c r="LZZ314" s="539"/>
      <c r="MAA314" s="539"/>
      <c r="MAB314" s="539"/>
      <c r="MAC314" s="539"/>
      <c r="MAD314" s="539"/>
      <c r="MAE314" s="539"/>
      <c r="MAF314" s="539"/>
      <c r="MAG314" s="539"/>
      <c r="MAH314" s="539"/>
      <c r="MAI314" s="539"/>
      <c r="MAJ314" s="539"/>
      <c r="MAK314" s="539"/>
      <c r="MAL314" s="539"/>
      <c r="MAM314" s="539"/>
      <c r="MAN314" s="539"/>
      <c r="MAO314" s="539"/>
      <c r="MAP314" s="539"/>
      <c r="MAQ314" s="539"/>
      <c r="MAR314" s="539"/>
      <c r="MAS314" s="539"/>
      <c r="MAT314" s="539"/>
      <c r="MAU314" s="539"/>
      <c r="MAV314" s="539"/>
      <c r="MAW314" s="539"/>
      <c r="MAX314" s="539"/>
      <c r="MAY314" s="539"/>
      <c r="MAZ314" s="539"/>
      <c r="MBA314" s="539"/>
      <c r="MBB314" s="539"/>
      <c r="MBC314" s="539"/>
      <c r="MBD314" s="539"/>
      <c r="MBE314" s="539"/>
      <c r="MBF314" s="539"/>
      <c r="MBG314" s="539"/>
      <c r="MBH314" s="539"/>
      <c r="MBI314" s="539"/>
      <c r="MBJ314" s="539"/>
      <c r="MBK314" s="539"/>
      <c r="MBL314" s="539"/>
      <c r="MBM314" s="539"/>
      <c r="MBN314" s="539"/>
      <c r="MBO314" s="539"/>
      <c r="MBP314" s="539"/>
      <c r="MBQ314" s="539"/>
      <c r="MBR314" s="539"/>
      <c r="MBS314" s="539"/>
      <c r="MBT314" s="539"/>
      <c r="MBU314" s="539"/>
      <c r="MBV314" s="539"/>
      <c r="MBW314" s="539"/>
      <c r="MBX314" s="539"/>
      <c r="MBY314" s="539"/>
      <c r="MBZ314" s="539"/>
      <c r="MCA314" s="539"/>
      <c r="MCB314" s="539"/>
      <c r="MCC314" s="539"/>
      <c r="MCD314" s="539"/>
      <c r="MCE314" s="539"/>
      <c r="MCF314" s="539"/>
      <c r="MCG314" s="539"/>
      <c r="MCH314" s="539"/>
      <c r="MCI314" s="539"/>
      <c r="MCJ314" s="539"/>
      <c r="MCK314" s="539"/>
      <c r="MCL314" s="539"/>
      <c r="MCM314" s="539"/>
      <c r="MCN314" s="539"/>
      <c r="MCO314" s="539"/>
      <c r="MCP314" s="539"/>
      <c r="MCQ314" s="539"/>
      <c r="MCR314" s="539"/>
      <c r="MCS314" s="539"/>
      <c r="MCT314" s="539"/>
      <c r="MCU314" s="539"/>
      <c r="MCV314" s="539"/>
      <c r="MCW314" s="539"/>
      <c r="MCX314" s="539"/>
      <c r="MCY314" s="539"/>
      <c r="MCZ314" s="539"/>
      <c r="MDA314" s="539"/>
      <c r="MDB314" s="539"/>
      <c r="MDC314" s="539"/>
      <c r="MDD314" s="539"/>
      <c r="MDE314" s="539"/>
      <c r="MDF314" s="539"/>
      <c r="MDG314" s="539"/>
      <c r="MDH314" s="539"/>
      <c r="MDI314" s="539"/>
      <c r="MDJ314" s="539"/>
      <c r="MDK314" s="539"/>
      <c r="MDL314" s="539"/>
      <c r="MDM314" s="539"/>
      <c r="MDN314" s="539"/>
      <c r="MDO314" s="539"/>
      <c r="MDP314" s="539"/>
      <c r="MDQ314" s="539"/>
      <c r="MDR314" s="539"/>
      <c r="MDS314" s="539"/>
      <c r="MDT314" s="539"/>
      <c r="MDU314" s="539"/>
      <c r="MDV314" s="539"/>
      <c r="MDW314" s="539"/>
      <c r="MDX314" s="539"/>
      <c r="MDY314" s="539"/>
      <c r="MDZ314" s="539"/>
      <c r="MEA314" s="539"/>
      <c r="MEB314" s="539"/>
      <c r="MEC314" s="539"/>
      <c r="MED314" s="539"/>
      <c r="MEE314" s="539"/>
      <c r="MEF314" s="539"/>
      <c r="MEG314" s="539"/>
      <c r="MEH314" s="539"/>
      <c r="MEI314" s="539"/>
      <c r="MEJ314" s="539"/>
      <c r="MEK314" s="539"/>
      <c r="MEL314" s="539"/>
      <c r="MEM314" s="539"/>
      <c r="MEN314" s="539"/>
      <c r="MEO314" s="539"/>
      <c r="MEP314" s="539"/>
      <c r="MEQ314" s="539"/>
      <c r="MER314" s="539"/>
      <c r="MES314" s="539"/>
      <c r="MET314" s="539"/>
      <c r="MEU314" s="539"/>
      <c r="MEV314" s="539"/>
      <c r="MEW314" s="539"/>
      <c r="MEX314" s="539"/>
      <c r="MEY314" s="539"/>
      <c r="MEZ314" s="539"/>
      <c r="MFA314" s="539"/>
      <c r="MFB314" s="539"/>
      <c r="MFC314" s="539"/>
      <c r="MFD314" s="539"/>
      <c r="MFE314" s="539"/>
      <c r="MFF314" s="539"/>
      <c r="MFG314" s="539"/>
      <c r="MFH314" s="539"/>
      <c r="MFI314" s="539"/>
      <c r="MFJ314" s="539"/>
      <c r="MFK314" s="539"/>
      <c r="MFL314" s="539"/>
      <c r="MFM314" s="539"/>
      <c r="MFN314" s="539"/>
      <c r="MFO314" s="539"/>
      <c r="MFP314" s="539"/>
      <c r="MFQ314" s="539"/>
      <c r="MFR314" s="539"/>
      <c r="MFS314" s="539"/>
      <c r="MFT314" s="539"/>
      <c r="MFU314" s="539"/>
      <c r="MFV314" s="539"/>
      <c r="MFW314" s="539"/>
      <c r="MFX314" s="539"/>
      <c r="MFY314" s="539"/>
      <c r="MFZ314" s="539"/>
      <c r="MGA314" s="539"/>
      <c r="MGB314" s="539"/>
      <c r="MGC314" s="539"/>
      <c r="MGD314" s="539"/>
      <c r="MGE314" s="539"/>
      <c r="MGF314" s="539"/>
      <c r="MGG314" s="539"/>
      <c r="MGH314" s="539"/>
      <c r="MGI314" s="539"/>
      <c r="MGJ314" s="539"/>
      <c r="MGK314" s="539"/>
      <c r="MGL314" s="539"/>
      <c r="MGM314" s="539"/>
      <c r="MGN314" s="539"/>
      <c r="MGO314" s="539"/>
      <c r="MGP314" s="539"/>
      <c r="MGQ314" s="539"/>
      <c r="MGR314" s="539"/>
      <c r="MGS314" s="539"/>
      <c r="MGT314" s="539"/>
      <c r="MGU314" s="539"/>
      <c r="MGV314" s="539"/>
      <c r="MGW314" s="539"/>
      <c r="MGX314" s="539"/>
      <c r="MGY314" s="539"/>
      <c r="MGZ314" s="539"/>
      <c r="MHA314" s="539"/>
      <c r="MHB314" s="539"/>
      <c r="MHC314" s="539"/>
      <c r="MHD314" s="539"/>
      <c r="MHE314" s="539"/>
      <c r="MHF314" s="539"/>
      <c r="MHG314" s="539"/>
      <c r="MHH314" s="539"/>
      <c r="MHI314" s="539"/>
      <c r="MHJ314" s="539"/>
      <c r="MHK314" s="539"/>
      <c r="MHL314" s="539"/>
      <c r="MHM314" s="539"/>
      <c r="MHN314" s="539"/>
      <c r="MHO314" s="539"/>
      <c r="MHP314" s="539"/>
      <c r="MHQ314" s="539"/>
      <c r="MHR314" s="539"/>
      <c r="MHS314" s="539"/>
      <c r="MHT314" s="539"/>
      <c r="MHU314" s="539"/>
      <c r="MHV314" s="539"/>
      <c r="MHW314" s="539"/>
      <c r="MHX314" s="539"/>
      <c r="MHY314" s="539"/>
      <c r="MHZ314" s="539"/>
      <c r="MIA314" s="539"/>
      <c r="MIB314" s="539"/>
      <c r="MIC314" s="539"/>
      <c r="MID314" s="539"/>
      <c r="MIE314" s="539"/>
      <c r="MIF314" s="539"/>
      <c r="MIG314" s="539"/>
      <c r="MIH314" s="539"/>
      <c r="MII314" s="539"/>
      <c r="MIJ314" s="539"/>
      <c r="MIK314" s="539"/>
      <c r="MIL314" s="539"/>
      <c r="MIM314" s="539"/>
      <c r="MIN314" s="539"/>
      <c r="MIO314" s="539"/>
      <c r="MIP314" s="539"/>
      <c r="MIQ314" s="539"/>
      <c r="MIR314" s="539"/>
      <c r="MIS314" s="539"/>
      <c r="MIT314" s="539"/>
      <c r="MIU314" s="539"/>
      <c r="MIV314" s="539"/>
      <c r="MIW314" s="539"/>
      <c r="MIX314" s="539"/>
      <c r="MIY314" s="539"/>
      <c r="MIZ314" s="539"/>
      <c r="MJA314" s="539"/>
      <c r="MJB314" s="539"/>
      <c r="MJC314" s="539"/>
      <c r="MJD314" s="539"/>
      <c r="MJE314" s="539"/>
      <c r="MJF314" s="539"/>
      <c r="MJG314" s="539"/>
      <c r="MJH314" s="539"/>
      <c r="MJI314" s="539"/>
      <c r="MJJ314" s="539"/>
      <c r="MJK314" s="539"/>
      <c r="MJL314" s="539"/>
      <c r="MJM314" s="539"/>
      <c r="MJN314" s="539"/>
      <c r="MJO314" s="539"/>
      <c r="MJP314" s="539"/>
      <c r="MJQ314" s="539"/>
      <c r="MJR314" s="539"/>
      <c r="MJS314" s="539"/>
      <c r="MJT314" s="539"/>
      <c r="MJU314" s="539"/>
      <c r="MJV314" s="539"/>
      <c r="MJW314" s="539"/>
      <c r="MJX314" s="539"/>
      <c r="MJY314" s="539"/>
      <c r="MJZ314" s="539"/>
      <c r="MKA314" s="539"/>
      <c r="MKB314" s="539"/>
      <c r="MKC314" s="539"/>
      <c r="MKD314" s="539"/>
      <c r="MKE314" s="539"/>
      <c r="MKF314" s="539"/>
      <c r="MKG314" s="539"/>
      <c r="MKH314" s="539"/>
      <c r="MKI314" s="539"/>
      <c r="MKJ314" s="539"/>
      <c r="MKK314" s="539"/>
      <c r="MKL314" s="539"/>
      <c r="MKM314" s="539"/>
      <c r="MKN314" s="539"/>
      <c r="MKO314" s="539"/>
      <c r="MKP314" s="539"/>
      <c r="MKQ314" s="539"/>
      <c r="MKR314" s="539"/>
      <c r="MKS314" s="539"/>
      <c r="MKT314" s="539"/>
      <c r="MKU314" s="539"/>
      <c r="MKV314" s="539"/>
      <c r="MKW314" s="539"/>
      <c r="MKX314" s="539"/>
      <c r="MKY314" s="539"/>
      <c r="MKZ314" s="539"/>
      <c r="MLA314" s="539"/>
      <c r="MLB314" s="539"/>
      <c r="MLC314" s="539"/>
      <c r="MLD314" s="539"/>
      <c r="MLE314" s="539"/>
      <c r="MLF314" s="539"/>
      <c r="MLG314" s="539"/>
      <c r="MLH314" s="539"/>
      <c r="MLI314" s="539"/>
      <c r="MLJ314" s="539"/>
      <c r="MLK314" s="539"/>
      <c r="MLL314" s="539"/>
      <c r="MLM314" s="539"/>
      <c r="MLN314" s="539"/>
      <c r="MLO314" s="539"/>
      <c r="MLP314" s="539"/>
      <c r="MLQ314" s="539"/>
      <c r="MLR314" s="539"/>
      <c r="MLS314" s="539"/>
      <c r="MLT314" s="539"/>
      <c r="MLU314" s="539"/>
      <c r="MLV314" s="539"/>
      <c r="MLW314" s="539"/>
      <c r="MLX314" s="539"/>
      <c r="MLY314" s="539"/>
      <c r="MLZ314" s="539"/>
      <c r="MMA314" s="539"/>
      <c r="MMB314" s="539"/>
      <c r="MMC314" s="539"/>
      <c r="MMD314" s="539"/>
      <c r="MME314" s="539"/>
      <c r="MMF314" s="539"/>
      <c r="MMG314" s="539"/>
      <c r="MMH314" s="539"/>
      <c r="MMI314" s="539"/>
      <c r="MMJ314" s="539"/>
      <c r="MMK314" s="539"/>
      <c r="MML314" s="539"/>
      <c r="MMM314" s="539"/>
      <c r="MMN314" s="539"/>
      <c r="MMO314" s="539"/>
      <c r="MMP314" s="539"/>
      <c r="MMQ314" s="539"/>
      <c r="MMR314" s="539"/>
      <c r="MMS314" s="539"/>
      <c r="MMT314" s="539"/>
      <c r="MMU314" s="539"/>
      <c r="MMV314" s="539"/>
      <c r="MMW314" s="539"/>
      <c r="MMX314" s="539"/>
      <c r="MMY314" s="539"/>
      <c r="MMZ314" s="539"/>
      <c r="MNA314" s="539"/>
      <c r="MNB314" s="539"/>
      <c r="MNC314" s="539"/>
      <c r="MND314" s="539"/>
      <c r="MNE314" s="539"/>
      <c r="MNF314" s="539"/>
      <c r="MNG314" s="539"/>
      <c r="MNH314" s="539"/>
      <c r="MNI314" s="539"/>
      <c r="MNJ314" s="539"/>
      <c r="MNK314" s="539"/>
      <c r="MNL314" s="539"/>
      <c r="MNM314" s="539"/>
      <c r="MNN314" s="539"/>
      <c r="MNO314" s="539"/>
      <c r="MNP314" s="539"/>
      <c r="MNQ314" s="539"/>
      <c r="MNR314" s="539"/>
      <c r="MNS314" s="539"/>
      <c r="MNT314" s="539"/>
      <c r="MNU314" s="539"/>
      <c r="MNV314" s="539"/>
      <c r="MNW314" s="539"/>
      <c r="MNX314" s="539"/>
      <c r="MNY314" s="539"/>
      <c r="MNZ314" s="539"/>
      <c r="MOA314" s="539"/>
      <c r="MOB314" s="539"/>
      <c r="MOC314" s="539"/>
      <c r="MOD314" s="539"/>
      <c r="MOE314" s="539"/>
      <c r="MOF314" s="539"/>
      <c r="MOG314" s="539"/>
      <c r="MOH314" s="539"/>
      <c r="MOI314" s="539"/>
      <c r="MOJ314" s="539"/>
      <c r="MOK314" s="539"/>
      <c r="MOL314" s="539"/>
      <c r="MOM314" s="539"/>
      <c r="MON314" s="539"/>
      <c r="MOO314" s="539"/>
      <c r="MOP314" s="539"/>
      <c r="MOQ314" s="539"/>
      <c r="MOR314" s="539"/>
      <c r="MOS314" s="539"/>
      <c r="MOT314" s="539"/>
      <c r="MOU314" s="539"/>
      <c r="MOV314" s="539"/>
      <c r="MOW314" s="539"/>
      <c r="MOX314" s="539"/>
      <c r="MOY314" s="539"/>
      <c r="MOZ314" s="539"/>
      <c r="MPA314" s="539"/>
      <c r="MPB314" s="539"/>
      <c r="MPC314" s="539"/>
      <c r="MPD314" s="539"/>
      <c r="MPE314" s="539"/>
      <c r="MPF314" s="539"/>
      <c r="MPG314" s="539"/>
      <c r="MPH314" s="539"/>
      <c r="MPI314" s="539"/>
      <c r="MPJ314" s="539"/>
      <c r="MPK314" s="539"/>
      <c r="MPL314" s="539"/>
      <c r="MPM314" s="539"/>
      <c r="MPN314" s="539"/>
      <c r="MPO314" s="539"/>
      <c r="MPP314" s="539"/>
      <c r="MPQ314" s="539"/>
      <c r="MPR314" s="539"/>
      <c r="MPS314" s="539"/>
      <c r="MPT314" s="539"/>
      <c r="MPU314" s="539"/>
      <c r="MPV314" s="539"/>
      <c r="MPW314" s="539"/>
      <c r="MPX314" s="539"/>
      <c r="MPY314" s="539"/>
      <c r="MPZ314" s="539"/>
      <c r="MQA314" s="539"/>
      <c r="MQB314" s="539"/>
      <c r="MQC314" s="539"/>
      <c r="MQD314" s="539"/>
      <c r="MQE314" s="539"/>
      <c r="MQF314" s="539"/>
      <c r="MQG314" s="539"/>
      <c r="MQH314" s="539"/>
      <c r="MQI314" s="539"/>
      <c r="MQJ314" s="539"/>
      <c r="MQK314" s="539"/>
      <c r="MQL314" s="539"/>
      <c r="MQM314" s="539"/>
      <c r="MQN314" s="539"/>
      <c r="MQO314" s="539"/>
      <c r="MQP314" s="539"/>
      <c r="MQQ314" s="539"/>
      <c r="MQR314" s="539"/>
      <c r="MQS314" s="539"/>
      <c r="MQT314" s="539"/>
      <c r="MQU314" s="539"/>
      <c r="MQV314" s="539"/>
      <c r="MQW314" s="539"/>
      <c r="MQX314" s="539"/>
      <c r="MQY314" s="539"/>
      <c r="MQZ314" s="539"/>
      <c r="MRA314" s="539"/>
      <c r="MRB314" s="539"/>
      <c r="MRC314" s="539"/>
      <c r="MRD314" s="539"/>
      <c r="MRE314" s="539"/>
      <c r="MRF314" s="539"/>
      <c r="MRG314" s="539"/>
      <c r="MRH314" s="539"/>
      <c r="MRI314" s="539"/>
      <c r="MRJ314" s="539"/>
      <c r="MRK314" s="539"/>
      <c r="MRL314" s="539"/>
      <c r="MRM314" s="539"/>
      <c r="MRN314" s="539"/>
      <c r="MRO314" s="539"/>
      <c r="MRP314" s="539"/>
      <c r="MRQ314" s="539"/>
      <c r="MRR314" s="539"/>
      <c r="MRS314" s="539"/>
      <c r="MRT314" s="539"/>
      <c r="MRU314" s="539"/>
      <c r="MRV314" s="539"/>
      <c r="MRW314" s="539"/>
      <c r="MRX314" s="539"/>
      <c r="MRY314" s="539"/>
      <c r="MRZ314" s="539"/>
      <c r="MSA314" s="539"/>
      <c r="MSB314" s="539"/>
      <c r="MSC314" s="539"/>
      <c r="MSD314" s="539"/>
      <c r="MSE314" s="539"/>
      <c r="MSF314" s="539"/>
      <c r="MSG314" s="539"/>
      <c r="MSH314" s="539"/>
      <c r="MSI314" s="539"/>
      <c r="MSJ314" s="539"/>
      <c r="MSK314" s="539"/>
      <c r="MSL314" s="539"/>
      <c r="MSM314" s="539"/>
      <c r="MSN314" s="539"/>
      <c r="MSO314" s="539"/>
      <c r="MSP314" s="539"/>
      <c r="MSQ314" s="539"/>
      <c r="MSR314" s="539"/>
      <c r="MSS314" s="539"/>
      <c r="MST314" s="539"/>
      <c r="MSU314" s="539"/>
      <c r="MSV314" s="539"/>
      <c r="MSW314" s="539"/>
      <c r="MSX314" s="539"/>
      <c r="MSY314" s="539"/>
      <c r="MSZ314" s="539"/>
      <c r="MTA314" s="539"/>
      <c r="MTB314" s="539"/>
      <c r="MTC314" s="539"/>
      <c r="MTD314" s="539"/>
      <c r="MTE314" s="539"/>
      <c r="MTF314" s="539"/>
      <c r="MTG314" s="539"/>
      <c r="MTH314" s="539"/>
      <c r="MTI314" s="539"/>
      <c r="MTJ314" s="539"/>
      <c r="MTK314" s="539"/>
      <c r="MTL314" s="539"/>
      <c r="MTM314" s="539"/>
      <c r="MTN314" s="539"/>
      <c r="MTO314" s="539"/>
      <c r="MTP314" s="539"/>
      <c r="MTQ314" s="539"/>
      <c r="MTR314" s="539"/>
      <c r="MTS314" s="539"/>
      <c r="MTT314" s="539"/>
      <c r="MTU314" s="539"/>
      <c r="MTV314" s="539"/>
      <c r="MTW314" s="539"/>
      <c r="MTX314" s="539"/>
      <c r="MTY314" s="539"/>
      <c r="MTZ314" s="539"/>
      <c r="MUA314" s="539"/>
      <c r="MUB314" s="539"/>
      <c r="MUC314" s="539"/>
      <c r="MUD314" s="539"/>
      <c r="MUE314" s="539"/>
      <c r="MUF314" s="539"/>
      <c r="MUG314" s="539"/>
      <c r="MUH314" s="539"/>
      <c r="MUI314" s="539"/>
      <c r="MUJ314" s="539"/>
      <c r="MUK314" s="539"/>
      <c r="MUL314" s="539"/>
      <c r="MUM314" s="539"/>
      <c r="MUN314" s="539"/>
      <c r="MUO314" s="539"/>
      <c r="MUP314" s="539"/>
      <c r="MUQ314" s="539"/>
      <c r="MUR314" s="539"/>
      <c r="MUS314" s="539"/>
      <c r="MUT314" s="539"/>
      <c r="MUU314" s="539"/>
      <c r="MUV314" s="539"/>
      <c r="MUW314" s="539"/>
      <c r="MUX314" s="539"/>
      <c r="MUY314" s="539"/>
      <c r="MUZ314" s="539"/>
      <c r="MVA314" s="539"/>
      <c r="MVB314" s="539"/>
      <c r="MVC314" s="539"/>
      <c r="MVD314" s="539"/>
      <c r="MVE314" s="539"/>
      <c r="MVF314" s="539"/>
      <c r="MVG314" s="539"/>
      <c r="MVH314" s="539"/>
      <c r="MVI314" s="539"/>
      <c r="MVJ314" s="539"/>
      <c r="MVK314" s="539"/>
      <c r="MVL314" s="539"/>
      <c r="MVM314" s="539"/>
      <c r="MVN314" s="539"/>
      <c r="MVO314" s="539"/>
      <c r="MVP314" s="539"/>
      <c r="MVQ314" s="539"/>
      <c r="MVR314" s="539"/>
      <c r="MVS314" s="539"/>
      <c r="MVT314" s="539"/>
      <c r="MVU314" s="539"/>
      <c r="MVV314" s="539"/>
      <c r="MVW314" s="539"/>
      <c r="MVX314" s="539"/>
      <c r="MVY314" s="539"/>
      <c r="MVZ314" s="539"/>
      <c r="MWA314" s="539"/>
      <c r="MWB314" s="539"/>
      <c r="MWC314" s="539"/>
      <c r="MWD314" s="539"/>
      <c r="MWE314" s="539"/>
      <c r="MWF314" s="539"/>
      <c r="MWG314" s="539"/>
      <c r="MWH314" s="539"/>
      <c r="MWI314" s="539"/>
      <c r="MWJ314" s="539"/>
      <c r="MWK314" s="539"/>
      <c r="MWL314" s="539"/>
      <c r="MWM314" s="539"/>
      <c r="MWN314" s="539"/>
      <c r="MWO314" s="539"/>
      <c r="MWP314" s="539"/>
      <c r="MWQ314" s="539"/>
      <c r="MWR314" s="539"/>
      <c r="MWS314" s="539"/>
      <c r="MWT314" s="539"/>
      <c r="MWU314" s="539"/>
      <c r="MWV314" s="539"/>
      <c r="MWW314" s="539"/>
      <c r="MWX314" s="539"/>
      <c r="MWY314" s="539"/>
      <c r="MWZ314" s="539"/>
      <c r="MXA314" s="539"/>
      <c r="MXB314" s="539"/>
      <c r="MXC314" s="539"/>
      <c r="MXD314" s="539"/>
      <c r="MXE314" s="539"/>
      <c r="MXF314" s="539"/>
      <c r="MXG314" s="539"/>
      <c r="MXH314" s="539"/>
      <c r="MXI314" s="539"/>
      <c r="MXJ314" s="539"/>
      <c r="MXK314" s="539"/>
      <c r="MXL314" s="539"/>
      <c r="MXM314" s="539"/>
      <c r="MXN314" s="539"/>
      <c r="MXO314" s="539"/>
      <c r="MXP314" s="539"/>
      <c r="MXQ314" s="539"/>
      <c r="MXR314" s="539"/>
      <c r="MXS314" s="539"/>
      <c r="MXT314" s="539"/>
      <c r="MXU314" s="539"/>
      <c r="MXV314" s="539"/>
      <c r="MXW314" s="539"/>
      <c r="MXX314" s="539"/>
      <c r="MXY314" s="539"/>
      <c r="MXZ314" s="539"/>
      <c r="MYA314" s="539"/>
      <c r="MYB314" s="539"/>
      <c r="MYC314" s="539"/>
      <c r="MYD314" s="539"/>
      <c r="MYE314" s="539"/>
      <c r="MYF314" s="539"/>
      <c r="MYG314" s="539"/>
      <c r="MYH314" s="539"/>
      <c r="MYI314" s="539"/>
      <c r="MYJ314" s="539"/>
      <c r="MYK314" s="539"/>
      <c r="MYL314" s="539"/>
      <c r="MYM314" s="539"/>
      <c r="MYN314" s="539"/>
      <c r="MYO314" s="539"/>
      <c r="MYP314" s="539"/>
      <c r="MYQ314" s="539"/>
      <c r="MYR314" s="539"/>
      <c r="MYS314" s="539"/>
      <c r="MYT314" s="539"/>
      <c r="MYU314" s="539"/>
      <c r="MYV314" s="539"/>
      <c r="MYW314" s="539"/>
      <c r="MYX314" s="539"/>
      <c r="MYY314" s="539"/>
      <c r="MYZ314" s="539"/>
      <c r="MZA314" s="539"/>
      <c r="MZB314" s="539"/>
      <c r="MZC314" s="539"/>
      <c r="MZD314" s="539"/>
      <c r="MZE314" s="539"/>
      <c r="MZF314" s="539"/>
      <c r="MZG314" s="539"/>
      <c r="MZH314" s="539"/>
      <c r="MZI314" s="539"/>
      <c r="MZJ314" s="539"/>
      <c r="MZK314" s="539"/>
      <c r="MZL314" s="539"/>
      <c r="MZM314" s="539"/>
      <c r="MZN314" s="539"/>
      <c r="MZO314" s="539"/>
      <c r="MZP314" s="539"/>
      <c r="MZQ314" s="539"/>
      <c r="MZR314" s="539"/>
      <c r="MZS314" s="539"/>
      <c r="MZT314" s="539"/>
      <c r="MZU314" s="539"/>
      <c r="MZV314" s="539"/>
      <c r="MZW314" s="539"/>
      <c r="MZX314" s="539"/>
      <c r="MZY314" s="539"/>
      <c r="MZZ314" s="539"/>
      <c r="NAA314" s="539"/>
      <c r="NAB314" s="539"/>
      <c r="NAC314" s="539"/>
      <c r="NAD314" s="539"/>
      <c r="NAE314" s="539"/>
      <c r="NAF314" s="539"/>
      <c r="NAG314" s="539"/>
      <c r="NAH314" s="539"/>
      <c r="NAI314" s="539"/>
      <c r="NAJ314" s="539"/>
      <c r="NAK314" s="539"/>
      <c r="NAL314" s="539"/>
      <c r="NAM314" s="539"/>
      <c r="NAN314" s="539"/>
      <c r="NAO314" s="539"/>
      <c r="NAP314" s="539"/>
      <c r="NAQ314" s="539"/>
      <c r="NAR314" s="539"/>
      <c r="NAS314" s="539"/>
      <c r="NAT314" s="539"/>
      <c r="NAU314" s="539"/>
      <c r="NAV314" s="539"/>
      <c r="NAW314" s="539"/>
      <c r="NAX314" s="539"/>
      <c r="NAY314" s="539"/>
      <c r="NAZ314" s="539"/>
      <c r="NBA314" s="539"/>
      <c r="NBB314" s="539"/>
      <c r="NBC314" s="539"/>
      <c r="NBD314" s="539"/>
      <c r="NBE314" s="539"/>
      <c r="NBF314" s="539"/>
      <c r="NBG314" s="539"/>
      <c r="NBH314" s="539"/>
      <c r="NBI314" s="539"/>
      <c r="NBJ314" s="539"/>
      <c r="NBK314" s="539"/>
      <c r="NBL314" s="539"/>
      <c r="NBM314" s="539"/>
      <c r="NBN314" s="539"/>
      <c r="NBO314" s="539"/>
      <c r="NBP314" s="539"/>
      <c r="NBQ314" s="539"/>
      <c r="NBR314" s="539"/>
      <c r="NBS314" s="539"/>
      <c r="NBT314" s="539"/>
      <c r="NBU314" s="539"/>
      <c r="NBV314" s="539"/>
      <c r="NBW314" s="539"/>
      <c r="NBX314" s="539"/>
      <c r="NBY314" s="539"/>
      <c r="NBZ314" s="539"/>
      <c r="NCA314" s="539"/>
      <c r="NCB314" s="539"/>
      <c r="NCC314" s="539"/>
      <c r="NCD314" s="539"/>
      <c r="NCE314" s="539"/>
      <c r="NCF314" s="539"/>
      <c r="NCG314" s="539"/>
      <c r="NCH314" s="539"/>
      <c r="NCI314" s="539"/>
      <c r="NCJ314" s="539"/>
      <c r="NCK314" s="539"/>
      <c r="NCL314" s="539"/>
      <c r="NCM314" s="539"/>
      <c r="NCN314" s="539"/>
      <c r="NCO314" s="539"/>
      <c r="NCP314" s="539"/>
      <c r="NCQ314" s="539"/>
      <c r="NCR314" s="539"/>
      <c r="NCS314" s="539"/>
      <c r="NCT314" s="539"/>
      <c r="NCU314" s="539"/>
      <c r="NCV314" s="539"/>
      <c r="NCW314" s="539"/>
      <c r="NCX314" s="539"/>
      <c r="NCY314" s="539"/>
      <c r="NCZ314" s="539"/>
      <c r="NDA314" s="539"/>
      <c r="NDB314" s="539"/>
      <c r="NDC314" s="539"/>
      <c r="NDD314" s="539"/>
      <c r="NDE314" s="539"/>
      <c r="NDF314" s="539"/>
      <c r="NDG314" s="539"/>
      <c r="NDH314" s="539"/>
      <c r="NDI314" s="539"/>
      <c r="NDJ314" s="539"/>
      <c r="NDK314" s="539"/>
      <c r="NDL314" s="539"/>
      <c r="NDM314" s="539"/>
      <c r="NDN314" s="539"/>
      <c r="NDO314" s="539"/>
      <c r="NDP314" s="539"/>
      <c r="NDQ314" s="539"/>
      <c r="NDR314" s="539"/>
      <c r="NDS314" s="539"/>
      <c r="NDT314" s="539"/>
      <c r="NDU314" s="539"/>
      <c r="NDV314" s="539"/>
      <c r="NDW314" s="539"/>
      <c r="NDX314" s="539"/>
      <c r="NDY314" s="539"/>
      <c r="NDZ314" s="539"/>
      <c r="NEA314" s="539"/>
      <c r="NEB314" s="539"/>
      <c r="NEC314" s="539"/>
      <c r="NED314" s="539"/>
      <c r="NEE314" s="539"/>
      <c r="NEF314" s="539"/>
      <c r="NEG314" s="539"/>
      <c r="NEH314" s="539"/>
      <c r="NEI314" s="539"/>
      <c r="NEJ314" s="539"/>
      <c r="NEK314" s="539"/>
      <c r="NEL314" s="539"/>
      <c r="NEM314" s="539"/>
      <c r="NEN314" s="539"/>
      <c r="NEO314" s="539"/>
      <c r="NEP314" s="539"/>
      <c r="NEQ314" s="539"/>
      <c r="NER314" s="539"/>
      <c r="NES314" s="539"/>
      <c r="NET314" s="539"/>
      <c r="NEU314" s="539"/>
      <c r="NEV314" s="539"/>
      <c r="NEW314" s="539"/>
      <c r="NEX314" s="539"/>
      <c r="NEY314" s="539"/>
      <c r="NEZ314" s="539"/>
      <c r="NFA314" s="539"/>
      <c r="NFB314" s="539"/>
      <c r="NFC314" s="539"/>
      <c r="NFD314" s="539"/>
      <c r="NFE314" s="539"/>
      <c r="NFF314" s="539"/>
      <c r="NFG314" s="539"/>
      <c r="NFH314" s="539"/>
      <c r="NFI314" s="539"/>
      <c r="NFJ314" s="539"/>
      <c r="NFK314" s="539"/>
      <c r="NFL314" s="539"/>
      <c r="NFM314" s="539"/>
      <c r="NFN314" s="539"/>
      <c r="NFO314" s="539"/>
      <c r="NFP314" s="539"/>
      <c r="NFQ314" s="539"/>
      <c r="NFR314" s="539"/>
      <c r="NFS314" s="539"/>
      <c r="NFT314" s="539"/>
      <c r="NFU314" s="539"/>
      <c r="NFV314" s="539"/>
      <c r="NFW314" s="539"/>
      <c r="NFX314" s="539"/>
      <c r="NFY314" s="539"/>
      <c r="NFZ314" s="539"/>
      <c r="NGA314" s="539"/>
      <c r="NGB314" s="539"/>
      <c r="NGC314" s="539"/>
      <c r="NGD314" s="539"/>
      <c r="NGE314" s="539"/>
      <c r="NGF314" s="539"/>
      <c r="NGG314" s="539"/>
      <c r="NGH314" s="539"/>
      <c r="NGI314" s="539"/>
      <c r="NGJ314" s="539"/>
      <c r="NGK314" s="539"/>
      <c r="NGL314" s="539"/>
      <c r="NGM314" s="539"/>
      <c r="NGN314" s="539"/>
      <c r="NGO314" s="539"/>
      <c r="NGP314" s="539"/>
      <c r="NGQ314" s="539"/>
      <c r="NGR314" s="539"/>
      <c r="NGS314" s="539"/>
      <c r="NGT314" s="539"/>
      <c r="NGU314" s="539"/>
      <c r="NGV314" s="539"/>
      <c r="NGW314" s="539"/>
      <c r="NGX314" s="539"/>
      <c r="NGY314" s="539"/>
      <c r="NGZ314" s="539"/>
      <c r="NHA314" s="539"/>
      <c r="NHB314" s="539"/>
      <c r="NHC314" s="539"/>
      <c r="NHD314" s="539"/>
      <c r="NHE314" s="539"/>
      <c r="NHF314" s="539"/>
      <c r="NHG314" s="539"/>
      <c r="NHH314" s="539"/>
      <c r="NHI314" s="539"/>
      <c r="NHJ314" s="539"/>
      <c r="NHK314" s="539"/>
      <c r="NHL314" s="539"/>
      <c r="NHM314" s="539"/>
      <c r="NHN314" s="539"/>
      <c r="NHO314" s="539"/>
      <c r="NHP314" s="539"/>
      <c r="NHQ314" s="539"/>
      <c r="NHR314" s="539"/>
      <c r="NHS314" s="539"/>
      <c r="NHT314" s="539"/>
      <c r="NHU314" s="539"/>
      <c r="NHV314" s="539"/>
      <c r="NHW314" s="539"/>
      <c r="NHX314" s="539"/>
      <c r="NHY314" s="539"/>
      <c r="NHZ314" s="539"/>
      <c r="NIA314" s="539"/>
      <c r="NIB314" s="539"/>
      <c r="NIC314" s="539"/>
      <c r="NID314" s="539"/>
      <c r="NIE314" s="539"/>
      <c r="NIF314" s="539"/>
      <c r="NIG314" s="539"/>
      <c r="NIH314" s="539"/>
      <c r="NII314" s="539"/>
      <c r="NIJ314" s="539"/>
      <c r="NIK314" s="539"/>
      <c r="NIL314" s="539"/>
      <c r="NIM314" s="539"/>
      <c r="NIN314" s="539"/>
      <c r="NIO314" s="539"/>
      <c r="NIP314" s="539"/>
      <c r="NIQ314" s="539"/>
      <c r="NIR314" s="539"/>
      <c r="NIS314" s="539"/>
      <c r="NIT314" s="539"/>
      <c r="NIU314" s="539"/>
      <c r="NIV314" s="539"/>
      <c r="NIW314" s="539"/>
      <c r="NIX314" s="539"/>
      <c r="NIY314" s="539"/>
      <c r="NIZ314" s="539"/>
      <c r="NJA314" s="539"/>
      <c r="NJB314" s="539"/>
      <c r="NJC314" s="539"/>
      <c r="NJD314" s="539"/>
      <c r="NJE314" s="539"/>
      <c r="NJF314" s="539"/>
      <c r="NJG314" s="539"/>
      <c r="NJH314" s="539"/>
      <c r="NJI314" s="539"/>
      <c r="NJJ314" s="539"/>
      <c r="NJK314" s="539"/>
      <c r="NJL314" s="539"/>
      <c r="NJM314" s="539"/>
      <c r="NJN314" s="539"/>
      <c r="NJO314" s="539"/>
      <c r="NJP314" s="539"/>
      <c r="NJQ314" s="539"/>
      <c r="NJR314" s="539"/>
      <c r="NJS314" s="539"/>
      <c r="NJT314" s="539"/>
      <c r="NJU314" s="539"/>
      <c r="NJV314" s="539"/>
      <c r="NJW314" s="539"/>
      <c r="NJX314" s="539"/>
      <c r="NJY314" s="539"/>
      <c r="NJZ314" s="539"/>
      <c r="NKA314" s="539"/>
      <c r="NKB314" s="539"/>
      <c r="NKC314" s="539"/>
      <c r="NKD314" s="539"/>
      <c r="NKE314" s="539"/>
      <c r="NKF314" s="539"/>
      <c r="NKG314" s="539"/>
      <c r="NKH314" s="539"/>
      <c r="NKI314" s="539"/>
      <c r="NKJ314" s="539"/>
      <c r="NKK314" s="539"/>
      <c r="NKL314" s="539"/>
      <c r="NKM314" s="539"/>
      <c r="NKN314" s="539"/>
      <c r="NKO314" s="539"/>
      <c r="NKP314" s="539"/>
      <c r="NKQ314" s="539"/>
      <c r="NKR314" s="539"/>
      <c r="NKS314" s="539"/>
      <c r="NKT314" s="539"/>
      <c r="NKU314" s="539"/>
      <c r="NKV314" s="539"/>
      <c r="NKW314" s="539"/>
      <c r="NKX314" s="539"/>
      <c r="NKY314" s="539"/>
      <c r="NKZ314" s="539"/>
      <c r="NLA314" s="539"/>
      <c r="NLB314" s="539"/>
      <c r="NLC314" s="539"/>
      <c r="NLD314" s="539"/>
      <c r="NLE314" s="539"/>
      <c r="NLF314" s="539"/>
      <c r="NLG314" s="539"/>
      <c r="NLH314" s="539"/>
      <c r="NLI314" s="539"/>
      <c r="NLJ314" s="539"/>
      <c r="NLK314" s="539"/>
      <c r="NLL314" s="539"/>
      <c r="NLM314" s="539"/>
      <c r="NLN314" s="539"/>
      <c r="NLO314" s="539"/>
      <c r="NLP314" s="539"/>
      <c r="NLQ314" s="539"/>
      <c r="NLR314" s="539"/>
      <c r="NLS314" s="539"/>
      <c r="NLT314" s="539"/>
      <c r="NLU314" s="539"/>
      <c r="NLV314" s="539"/>
      <c r="NLW314" s="539"/>
      <c r="NLX314" s="539"/>
      <c r="NLY314" s="539"/>
      <c r="NLZ314" s="539"/>
      <c r="NMA314" s="539"/>
      <c r="NMB314" s="539"/>
      <c r="NMC314" s="539"/>
      <c r="NMD314" s="539"/>
      <c r="NME314" s="539"/>
      <c r="NMF314" s="539"/>
      <c r="NMG314" s="539"/>
      <c r="NMH314" s="539"/>
      <c r="NMI314" s="539"/>
      <c r="NMJ314" s="539"/>
      <c r="NMK314" s="539"/>
      <c r="NML314" s="539"/>
      <c r="NMM314" s="539"/>
      <c r="NMN314" s="539"/>
      <c r="NMO314" s="539"/>
      <c r="NMP314" s="539"/>
      <c r="NMQ314" s="539"/>
      <c r="NMR314" s="539"/>
      <c r="NMS314" s="539"/>
      <c r="NMT314" s="539"/>
      <c r="NMU314" s="539"/>
      <c r="NMV314" s="539"/>
      <c r="NMW314" s="539"/>
      <c r="NMX314" s="539"/>
      <c r="NMY314" s="539"/>
      <c r="NMZ314" s="539"/>
      <c r="NNA314" s="539"/>
      <c r="NNB314" s="539"/>
      <c r="NNC314" s="539"/>
      <c r="NND314" s="539"/>
      <c r="NNE314" s="539"/>
      <c r="NNF314" s="539"/>
      <c r="NNG314" s="539"/>
      <c r="NNH314" s="539"/>
      <c r="NNI314" s="539"/>
      <c r="NNJ314" s="539"/>
      <c r="NNK314" s="539"/>
      <c r="NNL314" s="539"/>
      <c r="NNM314" s="539"/>
      <c r="NNN314" s="539"/>
      <c r="NNO314" s="539"/>
      <c r="NNP314" s="539"/>
      <c r="NNQ314" s="539"/>
      <c r="NNR314" s="539"/>
      <c r="NNS314" s="539"/>
      <c r="NNT314" s="539"/>
      <c r="NNU314" s="539"/>
      <c r="NNV314" s="539"/>
      <c r="NNW314" s="539"/>
      <c r="NNX314" s="539"/>
      <c r="NNY314" s="539"/>
      <c r="NNZ314" s="539"/>
      <c r="NOA314" s="539"/>
      <c r="NOB314" s="539"/>
      <c r="NOC314" s="539"/>
      <c r="NOD314" s="539"/>
      <c r="NOE314" s="539"/>
      <c r="NOF314" s="539"/>
      <c r="NOG314" s="539"/>
      <c r="NOH314" s="539"/>
      <c r="NOI314" s="539"/>
      <c r="NOJ314" s="539"/>
      <c r="NOK314" s="539"/>
      <c r="NOL314" s="539"/>
      <c r="NOM314" s="539"/>
      <c r="NON314" s="539"/>
      <c r="NOO314" s="539"/>
      <c r="NOP314" s="539"/>
      <c r="NOQ314" s="539"/>
      <c r="NOR314" s="539"/>
      <c r="NOS314" s="539"/>
      <c r="NOT314" s="539"/>
      <c r="NOU314" s="539"/>
      <c r="NOV314" s="539"/>
      <c r="NOW314" s="539"/>
      <c r="NOX314" s="539"/>
      <c r="NOY314" s="539"/>
      <c r="NOZ314" s="539"/>
      <c r="NPA314" s="539"/>
      <c r="NPB314" s="539"/>
      <c r="NPC314" s="539"/>
      <c r="NPD314" s="539"/>
      <c r="NPE314" s="539"/>
      <c r="NPF314" s="539"/>
      <c r="NPG314" s="539"/>
      <c r="NPH314" s="539"/>
      <c r="NPI314" s="539"/>
      <c r="NPJ314" s="539"/>
      <c r="NPK314" s="539"/>
      <c r="NPL314" s="539"/>
      <c r="NPM314" s="539"/>
      <c r="NPN314" s="539"/>
      <c r="NPO314" s="539"/>
      <c r="NPP314" s="539"/>
      <c r="NPQ314" s="539"/>
      <c r="NPR314" s="539"/>
      <c r="NPS314" s="539"/>
      <c r="NPT314" s="539"/>
      <c r="NPU314" s="539"/>
      <c r="NPV314" s="539"/>
      <c r="NPW314" s="539"/>
      <c r="NPX314" s="539"/>
      <c r="NPY314" s="539"/>
      <c r="NPZ314" s="539"/>
      <c r="NQA314" s="539"/>
      <c r="NQB314" s="539"/>
      <c r="NQC314" s="539"/>
      <c r="NQD314" s="539"/>
      <c r="NQE314" s="539"/>
      <c r="NQF314" s="539"/>
      <c r="NQG314" s="539"/>
      <c r="NQH314" s="539"/>
      <c r="NQI314" s="539"/>
      <c r="NQJ314" s="539"/>
      <c r="NQK314" s="539"/>
      <c r="NQL314" s="539"/>
      <c r="NQM314" s="539"/>
      <c r="NQN314" s="539"/>
      <c r="NQO314" s="539"/>
      <c r="NQP314" s="539"/>
      <c r="NQQ314" s="539"/>
      <c r="NQR314" s="539"/>
      <c r="NQS314" s="539"/>
      <c r="NQT314" s="539"/>
      <c r="NQU314" s="539"/>
      <c r="NQV314" s="539"/>
      <c r="NQW314" s="539"/>
      <c r="NQX314" s="539"/>
      <c r="NQY314" s="539"/>
      <c r="NQZ314" s="539"/>
      <c r="NRA314" s="539"/>
      <c r="NRB314" s="539"/>
      <c r="NRC314" s="539"/>
      <c r="NRD314" s="539"/>
      <c r="NRE314" s="539"/>
      <c r="NRF314" s="539"/>
      <c r="NRG314" s="539"/>
      <c r="NRH314" s="539"/>
      <c r="NRI314" s="539"/>
      <c r="NRJ314" s="539"/>
      <c r="NRK314" s="539"/>
      <c r="NRL314" s="539"/>
      <c r="NRM314" s="539"/>
      <c r="NRN314" s="539"/>
      <c r="NRO314" s="539"/>
      <c r="NRP314" s="539"/>
      <c r="NRQ314" s="539"/>
      <c r="NRR314" s="539"/>
      <c r="NRS314" s="539"/>
      <c r="NRT314" s="539"/>
      <c r="NRU314" s="539"/>
      <c r="NRV314" s="539"/>
      <c r="NRW314" s="539"/>
      <c r="NRX314" s="539"/>
      <c r="NRY314" s="539"/>
      <c r="NRZ314" s="539"/>
      <c r="NSA314" s="539"/>
      <c r="NSB314" s="539"/>
      <c r="NSC314" s="539"/>
      <c r="NSD314" s="539"/>
      <c r="NSE314" s="539"/>
      <c r="NSF314" s="539"/>
      <c r="NSG314" s="539"/>
      <c r="NSH314" s="539"/>
      <c r="NSI314" s="539"/>
      <c r="NSJ314" s="539"/>
      <c r="NSK314" s="539"/>
      <c r="NSL314" s="539"/>
      <c r="NSM314" s="539"/>
      <c r="NSN314" s="539"/>
      <c r="NSO314" s="539"/>
      <c r="NSP314" s="539"/>
      <c r="NSQ314" s="539"/>
      <c r="NSR314" s="539"/>
      <c r="NSS314" s="539"/>
      <c r="NST314" s="539"/>
      <c r="NSU314" s="539"/>
      <c r="NSV314" s="539"/>
      <c r="NSW314" s="539"/>
      <c r="NSX314" s="539"/>
      <c r="NSY314" s="539"/>
      <c r="NSZ314" s="539"/>
      <c r="NTA314" s="539"/>
      <c r="NTB314" s="539"/>
      <c r="NTC314" s="539"/>
      <c r="NTD314" s="539"/>
      <c r="NTE314" s="539"/>
      <c r="NTF314" s="539"/>
      <c r="NTG314" s="539"/>
      <c r="NTH314" s="539"/>
      <c r="NTI314" s="539"/>
      <c r="NTJ314" s="539"/>
      <c r="NTK314" s="539"/>
      <c r="NTL314" s="539"/>
      <c r="NTM314" s="539"/>
      <c r="NTN314" s="539"/>
      <c r="NTO314" s="539"/>
      <c r="NTP314" s="539"/>
      <c r="NTQ314" s="539"/>
      <c r="NTR314" s="539"/>
      <c r="NTS314" s="539"/>
      <c r="NTT314" s="539"/>
      <c r="NTU314" s="539"/>
      <c r="NTV314" s="539"/>
      <c r="NTW314" s="539"/>
      <c r="NTX314" s="539"/>
      <c r="NTY314" s="539"/>
      <c r="NTZ314" s="539"/>
      <c r="NUA314" s="539"/>
      <c r="NUB314" s="539"/>
      <c r="NUC314" s="539"/>
      <c r="NUD314" s="539"/>
      <c r="NUE314" s="539"/>
      <c r="NUF314" s="539"/>
      <c r="NUG314" s="539"/>
      <c r="NUH314" s="539"/>
      <c r="NUI314" s="539"/>
      <c r="NUJ314" s="539"/>
      <c r="NUK314" s="539"/>
      <c r="NUL314" s="539"/>
      <c r="NUM314" s="539"/>
      <c r="NUN314" s="539"/>
      <c r="NUO314" s="539"/>
      <c r="NUP314" s="539"/>
      <c r="NUQ314" s="539"/>
      <c r="NUR314" s="539"/>
      <c r="NUS314" s="539"/>
      <c r="NUT314" s="539"/>
      <c r="NUU314" s="539"/>
      <c r="NUV314" s="539"/>
      <c r="NUW314" s="539"/>
      <c r="NUX314" s="539"/>
      <c r="NUY314" s="539"/>
      <c r="NUZ314" s="539"/>
      <c r="NVA314" s="539"/>
      <c r="NVB314" s="539"/>
      <c r="NVC314" s="539"/>
      <c r="NVD314" s="539"/>
      <c r="NVE314" s="539"/>
      <c r="NVF314" s="539"/>
      <c r="NVG314" s="539"/>
      <c r="NVH314" s="539"/>
      <c r="NVI314" s="539"/>
      <c r="NVJ314" s="539"/>
      <c r="NVK314" s="539"/>
      <c r="NVL314" s="539"/>
      <c r="NVM314" s="539"/>
      <c r="NVN314" s="539"/>
      <c r="NVO314" s="539"/>
      <c r="NVP314" s="539"/>
      <c r="NVQ314" s="539"/>
      <c r="NVR314" s="539"/>
      <c r="NVS314" s="539"/>
      <c r="NVT314" s="539"/>
      <c r="NVU314" s="539"/>
      <c r="NVV314" s="539"/>
      <c r="NVW314" s="539"/>
      <c r="NVX314" s="539"/>
      <c r="NVY314" s="539"/>
      <c r="NVZ314" s="539"/>
      <c r="NWA314" s="539"/>
      <c r="NWB314" s="539"/>
      <c r="NWC314" s="539"/>
      <c r="NWD314" s="539"/>
      <c r="NWE314" s="539"/>
      <c r="NWF314" s="539"/>
      <c r="NWG314" s="539"/>
      <c r="NWH314" s="539"/>
      <c r="NWI314" s="539"/>
      <c r="NWJ314" s="539"/>
      <c r="NWK314" s="539"/>
      <c r="NWL314" s="539"/>
      <c r="NWM314" s="539"/>
      <c r="NWN314" s="539"/>
      <c r="NWO314" s="539"/>
      <c r="NWP314" s="539"/>
      <c r="NWQ314" s="539"/>
      <c r="NWR314" s="539"/>
      <c r="NWS314" s="539"/>
      <c r="NWT314" s="539"/>
      <c r="NWU314" s="539"/>
      <c r="NWV314" s="539"/>
      <c r="NWW314" s="539"/>
      <c r="NWX314" s="539"/>
      <c r="NWY314" s="539"/>
      <c r="NWZ314" s="539"/>
      <c r="NXA314" s="539"/>
      <c r="NXB314" s="539"/>
      <c r="NXC314" s="539"/>
      <c r="NXD314" s="539"/>
      <c r="NXE314" s="539"/>
      <c r="NXF314" s="539"/>
      <c r="NXG314" s="539"/>
      <c r="NXH314" s="539"/>
      <c r="NXI314" s="539"/>
      <c r="NXJ314" s="539"/>
      <c r="NXK314" s="539"/>
      <c r="NXL314" s="539"/>
      <c r="NXM314" s="539"/>
      <c r="NXN314" s="539"/>
      <c r="NXO314" s="539"/>
      <c r="NXP314" s="539"/>
      <c r="NXQ314" s="539"/>
      <c r="NXR314" s="539"/>
      <c r="NXS314" s="539"/>
      <c r="NXT314" s="539"/>
      <c r="NXU314" s="539"/>
      <c r="NXV314" s="539"/>
      <c r="NXW314" s="539"/>
      <c r="NXX314" s="539"/>
      <c r="NXY314" s="539"/>
      <c r="NXZ314" s="539"/>
      <c r="NYA314" s="539"/>
      <c r="NYB314" s="539"/>
      <c r="NYC314" s="539"/>
      <c r="NYD314" s="539"/>
      <c r="NYE314" s="539"/>
      <c r="NYF314" s="539"/>
      <c r="NYG314" s="539"/>
      <c r="NYH314" s="539"/>
      <c r="NYI314" s="539"/>
      <c r="NYJ314" s="539"/>
      <c r="NYK314" s="539"/>
      <c r="NYL314" s="539"/>
      <c r="NYM314" s="539"/>
      <c r="NYN314" s="539"/>
      <c r="NYO314" s="539"/>
      <c r="NYP314" s="539"/>
      <c r="NYQ314" s="539"/>
      <c r="NYR314" s="539"/>
      <c r="NYS314" s="539"/>
      <c r="NYT314" s="539"/>
      <c r="NYU314" s="539"/>
      <c r="NYV314" s="539"/>
      <c r="NYW314" s="539"/>
      <c r="NYX314" s="539"/>
      <c r="NYY314" s="539"/>
      <c r="NYZ314" s="539"/>
      <c r="NZA314" s="539"/>
      <c r="NZB314" s="539"/>
      <c r="NZC314" s="539"/>
      <c r="NZD314" s="539"/>
      <c r="NZE314" s="539"/>
      <c r="NZF314" s="539"/>
      <c r="NZG314" s="539"/>
      <c r="NZH314" s="539"/>
      <c r="NZI314" s="539"/>
      <c r="NZJ314" s="539"/>
      <c r="NZK314" s="539"/>
      <c r="NZL314" s="539"/>
      <c r="NZM314" s="539"/>
      <c r="NZN314" s="539"/>
      <c r="NZO314" s="539"/>
      <c r="NZP314" s="539"/>
      <c r="NZQ314" s="539"/>
      <c r="NZR314" s="539"/>
      <c r="NZS314" s="539"/>
      <c r="NZT314" s="539"/>
      <c r="NZU314" s="539"/>
      <c r="NZV314" s="539"/>
      <c r="NZW314" s="539"/>
      <c r="NZX314" s="539"/>
      <c r="NZY314" s="539"/>
      <c r="NZZ314" s="539"/>
      <c r="OAA314" s="539"/>
      <c r="OAB314" s="539"/>
      <c r="OAC314" s="539"/>
      <c r="OAD314" s="539"/>
      <c r="OAE314" s="539"/>
      <c r="OAF314" s="539"/>
      <c r="OAG314" s="539"/>
      <c r="OAH314" s="539"/>
      <c r="OAI314" s="539"/>
      <c r="OAJ314" s="539"/>
      <c r="OAK314" s="539"/>
      <c r="OAL314" s="539"/>
      <c r="OAM314" s="539"/>
      <c r="OAN314" s="539"/>
      <c r="OAO314" s="539"/>
      <c r="OAP314" s="539"/>
      <c r="OAQ314" s="539"/>
      <c r="OAR314" s="539"/>
      <c r="OAS314" s="539"/>
      <c r="OAT314" s="539"/>
      <c r="OAU314" s="539"/>
      <c r="OAV314" s="539"/>
      <c r="OAW314" s="539"/>
      <c r="OAX314" s="539"/>
      <c r="OAY314" s="539"/>
      <c r="OAZ314" s="539"/>
      <c r="OBA314" s="539"/>
      <c r="OBB314" s="539"/>
      <c r="OBC314" s="539"/>
      <c r="OBD314" s="539"/>
      <c r="OBE314" s="539"/>
      <c r="OBF314" s="539"/>
      <c r="OBG314" s="539"/>
      <c r="OBH314" s="539"/>
      <c r="OBI314" s="539"/>
      <c r="OBJ314" s="539"/>
      <c r="OBK314" s="539"/>
      <c r="OBL314" s="539"/>
      <c r="OBM314" s="539"/>
      <c r="OBN314" s="539"/>
      <c r="OBO314" s="539"/>
      <c r="OBP314" s="539"/>
      <c r="OBQ314" s="539"/>
      <c r="OBR314" s="539"/>
      <c r="OBS314" s="539"/>
      <c r="OBT314" s="539"/>
      <c r="OBU314" s="539"/>
      <c r="OBV314" s="539"/>
      <c r="OBW314" s="539"/>
      <c r="OBX314" s="539"/>
      <c r="OBY314" s="539"/>
      <c r="OBZ314" s="539"/>
      <c r="OCA314" s="539"/>
      <c r="OCB314" s="539"/>
      <c r="OCC314" s="539"/>
      <c r="OCD314" s="539"/>
      <c r="OCE314" s="539"/>
      <c r="OCF314" s="539"/>
      <c r="OCG314" s="539"/>
      <c r="OCH314" s="539"/>
      <c r="OCI314" s="539"/>
      <c r="OCJ314" s="539"/>
      <c r="OCK314" s="539"/>
      <c r="OCL314" s="539"/>
      <c r="OCM314" s="539"/>
      <c r="OCN314" s="539"/>
      <c r="OCO314" s="539"/>
      <c r="OCP314" s="539"/>
      <c r="OCQ314" s="539"/>
      <c r="OCR314" s="539"/>
      <c r="OCS314" s="539"/>
      <c r="OCT314" s="539"/>
      <c r="OCU314" s="539"/>
      <c r="OCV314" s="539"/>
      <c r="OCW314" s="539"/>
      <c r="OCX314" s="539"/>
      <c r="OCY314" s="539"/>
      <c r="OCZ314" s="539"/>
      <c r="ODA314" s="539"/>
      <c r="ODB314" s="539"/>
      <c r="ODC314" s="539"/>
      <c r="ODD314" s="539"/>
      <c r="ODE314" s="539"/>
      <c r="ODF314" s="539"/>
      <c r="ODG314" s="539"/>
      <c r="ODH314" s="539"/>
      <c r="ODI314" s="539"/>
      <c r="ODJ314" s="539"/>
      <c r="ODK314" s="539"/>
      <c r="ODL314" s="539"/>
      <c r="ODM314" s="539"/>
      <c r="ODN314" s="539"/>
      <c r="ODO314" s="539"/>
      <c r="ODP314" s="539"/>
      <c r="ODQ314" s="539"/>
      <c r="ODR314" s="539"/>
      <c r="ODS314" s="539"/>
      <c r="ODT314" s="539"/>
      <c r="ODU314" s="539"/>
      <c r="ODV314" s="539"/>
      <c r="ODW314" s="539"/>
      <c r="ODX314" s="539"/>
      <c r="ODY314" s="539"/>
      <c r="ODZ314" s="539"/>
      <c r="OEA314" s="539"/>
      <c r="OEB314" s="539"/>
      <c r="OEC314" s="539"/>
      <c r="OED314" s="539"/>
      <c r="OEE314" s="539"/>
      <c r="OEF314" s="539"/>
      <c r="OEG314" s="539"/>
      <c r="OEH314" s="539"/>
      <c r="OEI314" s="539"/>
      <c r="OEJ314" s="539"/>
      <c r="OEK314" s="539"/>
      <c r="OEL314" s="539"/>
      <c r="OEM314" s="539"/>
      <c r="OEN314" s="539"/>
      <c r="OEO314" s="539"/>
      <c r="OEP314" s="539"/>
      <c r="OEQ314" s="539"/>
      <c r="OER314" s="539"/>
      <c r="OES314" s="539"/>
      <c r="OET314" s="539"/>
      <c r="OEU314" s="539"/>
      <c r="OEV314" s="539"/>
      <c r="OEW314" s="539"/>
      <c r="OEX314" s="539"/>
      <c r="OEY314" s="539"/>
      <c r="OEZ314" s="539"/>
      <c r="OFA314" s="539"/>
      <c r="OFB314" s="539"/>
      <c r="OFC314" s="539"/>
      <c r="OFD314" s="539"/>
      <c r="OFE314" s="539"/>
      <c r="OFF314" s="539"/>
      <c r="OFG314" s="539"/>
      <c r="OFH314" s="539"/>
      <c r="OFI314" s="539"/>
      <c r="OFJ314" s="539"/>
      <c r="OFK314" s="539"/>
      <c r="OFL314" s="539"/>
      <c r="OFM314" s="539"/>
      <c r="OFN314" s="539"/>
      <c r="OFO314" s="539"/>
      <c r="OFP314" s="539"/>
      <c r="OFQ314" s="539"/>
      <c r="OFR314" s="539"/>
      <c r="OFS314" s="539"/>
      <c r="OFT314" s="539"/>
      <c r="OFU314" s="539"/>
      <c r="OFV314" s="539"/>
      <c r="OFW314" s="539"/>
      <c r="OFX314" s="539"/>
      <c r="OFY314" s="539"/>
      <c r="OFZ314" s="539"/>
      <c r="OGA314" s="539"/>
      <c r="OGB314" s="539"/>
      <c r="OGC314" s="539"/>
      <c r="OGD314" s="539"/>
      <c r="OGE314" s="539"/>
      <c r="OGF314" s="539"/>
      <c r="OGG314" s="539"/>
      <c r="OGH314" s="539"/>
      <c r="OGI314" s="539"/>
      <c r="OGJ314" s="539"/>
      <c r="OGK314" s="539"/>
      <c r="OGL314" s="539"/>
      <c r="OGM314" s="539"/>
      <c r="OGN314" s="539"/>
      <c r="OGO314" s="539"/>
      <c r="OGP314" s="539"/>
      <c r="OGQ314" s="539"/>
      <c r="OGR314" s="539"/>
      <c r="OGS314" s="539"/>
      <c r="OGT314" s="539"/>
      <c r="OGU314" s="539"/>
      <c r="OGV314" s="539"/>
      <c r="OGW314" s="539"/>
      <c r="OGX314" s="539"/>
      <c r="OGY314" s="539"/>
      <c r="OGZ314" s="539"/>
      <c r="OHA314" s="539"/>
      <c r="OHB314" s="539"/>
      <c r="OHC314" s="539"/>
      <c r="OHD314" s="539"/>
      <c r="OHE314" s="539"/>
      <c r="OHF314" s="539"/>
      <c r="OHG314" s="539"/>
      <c r="OHH314" s="539"/>
      <c r="OHI314" s="539"/>
      <c r="OHJ314" s="539"/>
      <c r="OHK314" s="539"/>
      <c r="OHL314" s="539"/>
      <c r="OHM314" s="539"/>
      <c r="OHN314" s="539"/>
      <c r="OHO314" s="539"/>
      <c r="OHP314" s="539"/>
      <c r="OHQ314" s="539"/>
      <c r="OHR314" s="539"/>
      <c r="OHS314" s="539"/>
      <c r="OHT314" s="539"/>
      <c r="OHU314" s="539"/>
      <c r="OHV314" s="539"/>
      <c r="OHW314" s="539"/>
      <c r="OHX314" s="539"/>
      <c r="OHY314" s="539"/>
      <c r="OHZ314" s="539"/>
      <c r="OIA314" s="539"/>
      <c r="OIB314" s="539"/>
      <c r="OIC314" s="539"/>
      <c r="OID314" s="539"/>
      <c r="OIE314" s="539"/>
      <c r="OIF314" s="539"/>
      <c r="OIG314" s="539"/>
      <c r="OIH314" s="539"/>
      <c r="OII314" s="539"/>
      <c r="OIJ314" s="539"/>
      <c r="OIK314" s="539"/>
      <c r="OIL314" s="539"/>
      <c r="OIM314" s="539"/>
      <c r="OIN314" s="539"/>
      <c r="OIO314" s="539"/>
      <c r="OIP314" s="539"/>
      <c r="OIQ314" s="539"/>
      <c r="OIR314" s="539"/>
      <c r="OIS314" s="539"/>
      <c r="OIT314" s="539"/>
      <c r="OIU314" s="539"/>
      <c r="OIV314" s="539"/>
      <c r="OIW314" s="539"/>
      <c r="OIX314" s="539"/>
      <c r="OIY314" s="539"/>
      <c r="OIZ314" s="539"/>
      <c r="OJA314" s="539"/>
      <c r="OJB314" s="539"/>
      <c r="OJC314" s="539"/>
      <c r="OJD314" s="539"/>
      <c r="OJE314" s="539"/>
      <c r="OJF314" s="539"/>
      <c r="OJG314" s="539"/>
      <c r="OJH314" s="539"/>
      <c r="OJI314" s="539"/>
      <c r="OJJ314" s="539"/>
      <c r="OJK314" s="539"/>
      <c r="OJL314" s="539"/>
      <c r="OJM314" s="539"/>
      <c r="OJN314" s="539"/>
      <c r="OJO314" s="539"/>
      <c r="OJP314" s="539"/>
      <c r="OJQ314" s="539"/>
      <c r="OJR314" s="539"/>
      <c r="OJS314" s="539"/>
      <c r="OJT314" s="539"/>
      <c r="OJU314" s="539"/>
      <c r="OJV314" s="539"/>
      <c r="OJW314" s="539"/>
      <c r="OJX314" s="539"/>
      <c r="OJY314" s="539"/>
      <c r="OJZ314" s="539"/>
      <c r="OKA314" s="539"/>
      <c r="OKB314" s="539"/>
      <c r="OKC314" s="539"/>
      <c r="OKD314" s="539"/>
      <c r="OKE314" s="539"/>
      <c r="OKF314" s="539"/>
      <c r="OKG314" s="539"/>
      <c r="OKH314" s="539"/>
      <c r="OKI314" s="539"/>
      <c r="OKJ314" s="539"/>
      <c r="OKK314" s="539"/>
      <c r="OKL314" s="539"/>
      <c r="OKM314" s="539"/>
      <c r="OKN314" s="539"/>
      <c r="OKO314" s="539"/>
      <c r="OKP314" s="539"/>
      <c r="OKQ314" s="539"/>
      <c r="OKR314" s="539"/>
      <c r="OKS314" s="539"/>
      <c r="OKT314" s="539"/>
      <c r="OKU314" s="539"/>
      <c r="OKV314" s="539"/>
      <c r="OKW314" s="539"/>
      <c r="OKX314" s="539"/>
      <c r="OKY314" s="539"/>
      <c r="OKZ314" s="539"/>
      <c r="OLA314" s="539"/>
      <c r="OLB314" s="539"/>
      <c r="OLC314" s="539"/>
      <c r="OLD314" s="539"/>
      <c r="OLE314" s="539"/>
      <c r="OLF314" s="539"/>
      <c r="OLG314" s="539"/>
      <c r="OLH314" s="539"/>
      <c r="OLI314" s="539"/>
      <c r="OLJ314" s="539"/>
      <c r="OLK314" s="539"/>
      <c r="OLL314" s="539"/>
      <c r="OLM314" s="539"/>
      <c r="OLN314" s="539"/>
      <c r="OLO314" s="539"/>
      <c r="OLP314" s="539"/>
      <c r="OLQ314" s="539"/>
      <c r="OLR314" s="539"/>
      <c r="OLS314" s="539"/>
      <c r="OLT314" s="539"/>
      <c r="OLU314" s="539"/>
      <c r="OLV314" s="539"/>
      <c r="OLW314" s="539"/>
      <c r="OLX314" s="539"/>
      <c r="OLY314" s="539"/>
      <c r="OLZ314" s="539"/>
      <c r="OMA314" s="539"/>
      <c r="OMB314" s="539"/>
      <c r="OMC314" s="539"/>
      <c r="OMD314" s="539"/>
      <c r="OME314" s="539"/>
      <c r="OMF314" s="539"/>
      <c r="OMG314" s="539"/>
      <c r="OMH314" s="539"/>
      <c r="OMI314" s="539"/>
      <c r="OMJ314" s="539"/>
      <c r="OMK314" s="539"/>
      <c r="OML314" s="539"/>
      <c r="OMM314" s="539"/>
      <c r="OMN314" s="539"/>
      <c r="OMO314" s="539"/>
      <c r="OMP314" s="539"/>
      <c r="OMQ314" s="539"/>
      <c r="OMR314" s="539"/>
      <c r="OMS314" s="539"/>
      <c r="OMT314" s="539"/>
      <c r="OMU314" s="539"/>
      <c r="OMV314" s="539"/>
      <c r="OMW314" s="539"/>
      <c r="OMX314" s="539"/>
      <c r="OMY314" s="539"/>
      <c r="OMZ314" s="539"/>
      <c r="ONA314" s="539"/>
      <c r="ONB314" s="539"/>
      <c r="ONC314" s="539"/>
      <c r="OND314" s="539"/>
      <c r="ONE314" s="539"/>
      <c r="ONF314" s="539"/>
      <c r="ONG314" s="539"/>
      <c r="ONH314" s="539"/>
      <c r="ONI314" s="539"/>
      <c r="ONJ314" s="539"/>
      <c r="ONK314" s="539"/>
      <c r="ONL314" s="539"/>
      <c r="ONM314" s="539"/>
      <c r="ONN314" s="539"/>
      <c r="ONO314" s="539"/>
      <c r="ONP314" s="539"/>
      <c r="ONQ314" s="539"/>
      <c r="ONR314" s="539"/>
      <c r="ONS314" s="539"/>
      <c r="ONT314" s="539"/>
      <c r="ONU314" s="539"/>
      <c r="ONV314" s="539"/>
      <c r="ONW314" s="539"/>
      <c r="ONX314" s="539"/>
      <c r="ONY314" s="539"/>
      <c r="ONZ314" s="539"/>
      <c r="OOA314" s="539"/>
      <c r="OOB314" s="539"/>
      <c r="OOC314" s="539"/>
      <c r="OOD314" s="539"/>
      <c r="OOE314" s="539"/>
      <c r="OOF314" s="539"/>
      <c r="OOG314" s="539"/>
      <c r="OOH314" s="539"/>
      <c r="OOI314" s="539"/>
      <c r="OOJ314" s="539"/>
      <c r="OOK314" s="539"/>
      <c r="OOL314" s="539"/>
      <c r="OOM314" s="539"/>
      <c r="OON314" s="539"/>
      <c r="OOO314" s="539"/>
      <c r="OOP314" s="539"/>
      <c r="OOQ314" s="539"/>
      <c r="OOR314" s="539"/>
      <c r="OOS314" s="539"/>
      <c r="OOT314" s="539"/>
      <c r="OOU314" s="539"/>
      <c r="OOV314" s="539"/>
      <c r="OOW314" s="539"/>
      <c r="OOX314" s="539"/>
      <c r="OOY314" s="539"/>
      <c r="OOZ314" s="539"/>
      <c r="OPA314" s="539"/>
      <c r="OPB314" s="539"/>
      <c r="OPC314" s="539"/>
      <c r="OPD314" s="539"/>
      <c r="OPE314" s="539"/>
      <c r="OPF314" s="539"/>
      <c r="OPG314" s="539"/>
      <c r="OPH314" s="539"/>
      <c r="OPI314" s="539"/>
      <c r="OPJ314" s="539"/>
      <c r="OPK314" s="539"/>
      <c r="OPL314" s="539"/>
      <c r="OPM314" s="539"/>
      <c r="OPN314" s="539"/>
      <c r="OPO314" s="539"/>
      <c r="OPP314" s="539"/>
      <c r="OPQ314" s="539"/>
      <c r="OPR314" s="539"/>
      <c r="OPS314" s="539"/>
      <c r="OPT314" s="539"/>
      <c r="OPU314" s="539"/>
      <c r="OPV314" s="539"/>
      <c r="OPW314" s="539"/>
      <c r="OPX314" s="539"/>
      <c r="OPY314" s="539"/>
      <c r="OPZ314" s="539"/>
      <c r="OQA314" s="539"/>
      <c r="OQB314" s="539"/>
      <c r="OQC314" s="539"/>
      <c r="OQD314" s="539"/>
      <c r="OQE314" s="539"/>
      <c r="OQF314" s="539"/>
      <c r="OQG314" s="539"/>
      <c r="OQH314" s="539"/>
      <c r="OQI314" s="539"/>
      <c r="OQJ314" s="539"/>
      <c r="OQK314" s="539"/>
      <c r="OQL314" s="539"/>
      <c r="OQM314" s="539"/>
      <c r="OQN314" s="539"/>
      <c r="OQO314" s="539"/>
      <c r="OQP314" s="539"/>
      <c r="OQQ314" s="539"/>
      <c r="OQR314" s="539"/>
      <c r="OQS314" s="539"/>
      <c r="OQT314" s="539"/>
      <c r="OQU314" s="539"/>
      <c r="OQV314" s="539"/>
      <c r="OQW314" s="539"/>
      <c r="OQX314" s="539"/>
      <c r="OQY314" s="539"/>
      <c r="OQZ314" s="539"/>
      <c r="ORA314" s="539"/>
      <c r="ORB314" s="539"/>
      <c r="ORC314" s="539"/>
      <c r="ORD314" s="539"/>
      <c r="ORE314" s="539"/>
      <c r="ORF314" s="539"/>
      <c r="ORG314" s="539"/>
      <c r="ORH314" s="539"/>
      <c r="ORI314" s="539"/>
      <c r="ORJ314" s="539"/>
      <c r="ORK314" s="539"/>
      <c r="ORL314" s="539"/>
      <c r="ORM314" s="539"/>
      <c r="ORN314" s="539"/>
      <c r="ORO314" s="539"/>
      <c r="ORP314" s="539"/>
      <c r="ORQ314" s="539"/>
      <c r="ORR314" s="539"/>
      <c r="ORS314" s="539"/>
      <c r="ORT314" s="539"/>
      <c r="ORU314" s="539"/>
      <c r="ORV314" s="539"/>
      <c r="ORW314" s="539"/>
      <c r="ORX314" s="539"/>
      <c r="ORY314" s="539"/>
      <c r="ORZ314" s="539"/>
      <c r="OSA314" s="539"/>
      <c r="OSB314" s="539"/>
      <c r="OSC314" s="539"/>
      <c r="OSD314" s="539"/>
      <c r="OSE314" s="539"/>
      <c r="OSF314" s="539"/>
      <c r="OSG314" s="539"/>
      <c r="OSH314" s="539"/>
      <c r="OSI314" s="539"/>
      <c r="OSJ314" s="539"/>
      <c r="OSK314" s="539"/>
      <c r="OSL314" s="539"/>
      <c r="OSM314" s="539"/>
      <c r="OSN314" s="539"/>
      <c r="OSO314" s="539"/>
      <c r="OSP314" s="539"/>
      <c r="OSQ314" s="539"/>
      <c r="OSR314" s="539"/>
      <c r="OSS314" s="539"/>
      <c r="OST314" s="539"/>
      <c r="OSU314" s="539"/>
      <c r="OSV314" s="539"/>
      <c r="OSW314" s="539"/>
      <c r="OSX314" s="539"/>
      <c r="OSY314" s="539"/>
      <c r="OSZ314" s="539"/>
      <c r="OTA314" s="539"/>
      <c r="OTB314" s="539"/>
      <c r="OTC314" s="539"/>
      <c r="OTD314" s="539"/>
      <c r="OTE314" s="539"/>
      <c r="OTF314" s="539"/>
      <c r="OTG314" s="539"/>
      <c r="OTH314" s="539"/>
      <c r="OTI314" s="539"/>
      <c r="OTJ314" s="539"/>
      <c r="OTK314" s="539"/>
      <c r="OTL314" s="539"/>
      <c r="OTM314" s="539"/>
      <c r="OTN314" s="539"/>
      <c r="OTO314" s="539"/>
      <c r="OTP314" s="539"/>
      <c r="OTQ314" s="539"/>
      <c r="OTR314" s="539"/>
      <c r="OTS314" s="539"/>
      <c r="OTT314" s="539"/>
      <c r="OTU314" s="539"/>
      <c r="OTV314" s="539"/>
      <c r="OTW314" s="539"/>
      <c r="OTX314" s="539"/>
      <c r="OTY314" s="539"/>
      <c r="OTZ314" s="539"/>
      <c r="OUA314" s="539"/>
      <c r="OUB314" s="539"/>
      <c r="OUC314" s="539"/>
      <c r="OUD314" s="539"/>
      <c r="OUE314" s="539"/>
      <c r="OUF314" s="539"/>
      <c r="OUG314" s="539"/>
      <c r="OUH314" s="539"/>
      <c r="OUI314" s="539"/>
      <c r="OUJ314" s="539"/>
      <c r="OUK314" s="539"/>
      <c r="OUL314" s="539"/>
      <c r="OUM314" s="539"/>
      <c r="OUN314" s="539"/>
      <c r="OUO314" s="539"/>
      <c r="OUP314" s="539"/>
      <c r="OUQ314" s="539"/>
      <c r="OUR314" s="539"/>
      <c r="OUS314" s="539"/>
      <c r="OUT314" s="539"/>
      <c r="OUU314" s="539"/>
      <c r="OUV314" s="539"/>
      <c r="OUW314" s="539"/>
      <c r="OUX314" s="539"/>
      <c r="OUY314" s="539"/>
      <c r="OUZ314" s="539"/>
      <c r="OVA314" s="539"/>
      <c r="OVB314" s="539"/>
      <c r="OVC314" s="539"/>
      <c r="OVD314" s="539"/>
      <c r="OVE314" s="539"/>
      <c r="OVF314" s="539"/>
      <c r="OVG314" s="539"/>
      <c r="OVH314" s="539"/>
      <c r="OVI314" s="539"/>
      <c r="OVJ314" s="539"/>
      <c r="OVK314" s="539"/>
      <c r="OVL314" s="539"/>
      <c r="OVM314" s="539"/>
      <c r="OVN314" s="539"/>
      <c r="OVO314" s="539"/>
      <c r="OVP314" s="539"/>
      <c r="OVQ314" s="539"/>
      <c r="OVR314" s="539"/>
      <c r="OVS314" s="539"/>
      <c r="OVT314" s="539"/>
      <c r="OVU314" s="539"/>
      <c r="OVV314" s="539"/>
      <c r="OVW314" s="539"/>
      <c r="OVX314" s="539"/>
      <c r="OVY314" s="539"/>
      <c r="OVZ314" s="539"/>
      <c r="OWA314" s="539"/>
      <c r="OWB314" s="539"/>
      <c r="OWC314" s="539"/>
      <c r="OWD314" s="539"/>
      <c r="OWE314" s="539"/>
      <c r="OWF314" s="539"/>
      <c r="OWG314" s="539"/>
      <c r="OWH314" s="539"/>
      <c r="OWI314" s="539"/>
      <c r="OWJ314" s="539"/>
      <c r="OWK314" s="539"/>
      <c r="OWL314" s="539"/>
      <c r="OWM314" s="539"/>
      <c r="OWN314" s="539"/>
      <c r="OWO314" s="539"/>
      <c r="OWP314" s="539"/>
      <c r="OWQ314" s="539"/>
      <c r="OWR314" s="539"/>
      <c r="OWS314" s="539"/>
      <c r="OWT314" s="539"/>
      <c r="OWU314" s="539"/>
      <c r="OWV314" s="539"/>
      <c r="OWW314" s="539"/>
      <c r="OWX314" s="539"/>
      <c r="OWY314" s="539"/>
      <c r="OWZ314" s="539"/>
      <c r="OXA314" s="539"/>
      <c r="OXB314" s="539"/>
      <c r="OXC314" s="539"/>
      <c r="OXD314" s="539"/>
      <c r="OXE314" s="539"/>
      <c r="OXF314" s="539"/>
      <c r="OXG314" s="539"/>
      <c r="OXH314" s="539"/>
      <c r="OXI314" s="539"/>
      <c r="OXJ314" s="539"/>
      <c r="OXK314" s="539"/>
      <c r="OXL314" s="539"/>
      <c r="OXM314" s="539"/>
      <c r="OXN314" s="539"/>
      <c r="OXO314" s="539"/>
      <c r="OXP314" s="539"/>
      <c r="OXQ314" s="539"/>
      <c r="OXR314" s="539"/>
      <c r="OXS314" s="539"/>
      <c r="OXT314" s="539"/>
      <c r="OXU314" s="539"/>
      <c r="OXV314" s="539"/>
      <c r="OXW314" s="539"/>
      <c r="OXX314" s="539"/>
      <c r="OXY314" s="539"/>
      <c r="OXZ314" s="539"/>
      <c r="OYA314" s="539"/>
      <c r="OYB314" s="539"/>
      <c r="OYC314" s="539"/>
      <c r="OYD314" s="539"/>
      <c r="OYE314" s="539"/>
      <c r="OYF314" s="539"/>
      <c r="OYG314" s="539"/>
      <c r="OYH314" s="539"/>
      <c r="OYI314" s="539"/>
      <c r="OYJ314" s="539"/>
      <c r="OYK314" s="539"/>
      <c r="OYL314" s="539"/>
      <c r="OYM314" s="539"/>
      <c r="OYN314" s="539"/>
      <c r="OYO314" s="539"/>
      <c r="OYP314" s="539"/>
      <c r="OYQ314" s="539"/>
      <c r="OYR314" s="539"/>
      <c r="OYS314" s="539"/>
      <c r="OYT314" s="539"/>
      <c r="OYU314" s="539"/>
      <c r="OYV314" s="539"/>
      <c r="OYW314" s="539"/>
      <c r="OYX314" s="539"/>
      <c r="OYY314" s="539"/>
      <c r="OYZ314" s="539"/>
      <c r="OZA314" s="539"/>
      <c r="OZB314" s="539"/>
      <c r="OZC314" s="539"/>
      <c r="OZD314" s="539"/>
      <c r="OZE314" s="539"/>
      <c r="OZF314" s="539"/>
      <c r="OZG314" s="539"/>
      <c r="OZH314" s="539"/>
      <c r="OZI314" s="539"/>
      <c r="OZJ314" s="539"/>
      <c r="OZK314" s="539"/>
      <c r="OZL314" s="539"/>
      <c r="OZM314" s="539"/>
      <c r="OZN314" s="539"/>
      <c r="OZO314" s="539"/>
      <c r="OZP314" s="539"/>
      <c r="OZQ314" s="539"/>
      <c r="OZR314" s="539"/>
      <c r="OZS314" s="539"/>
      <c r="OZT314" s="539"/>
      <c r="OZU314" s="539"/>
      <c r="OZV314" s="539"/>
      <c r="OZW314" s="539"/>
      <c r="OZX314" s="539"/>
      <c r="OZY314" s="539"/>
      <c r="OZZ314" s="539"/>
      <c r="PAA314" s="539"/>
      <c r="PAB314" s="539"/>
      <c r="PAC314" s="539"/>
      <c r="PAD314" s="539"/>
      <c r="PAE314" s="539"/>
      <c r="PAF314" s="539"/>
      <c r="PAG314" s="539"/>
      <c r="PAH314" s="539"/>
      <c r="PAI314" s="539"/>
      <c r="PAJ314" s="539"/>
      <c r="PAK314" s="539"/>
      <c r="PAL314" s="539"/>
      <c r="PAM314" s="539"/>
      <c r="PAN314" s="539"/>
      <c r="PAO314" s="539"/>
      <c r="PAP314" s="539"/>
      <c r="PAQ314" s="539"/>
      <c r="PAR314" s="539"/>
      <c r="PAS314" s="539"/>
      <c r="PAT314" s="539"/>
      <c r="PAU314" s="539"/>
      <c r="PAV314" s="539"/>
      <c r="PAW314" s="539"/>
      <c r="PAX314" s="539"/>
      <c r="PAY314" s="539"/>
      <c r="PAZ314" s="539"/>
      <c r="PBA314" s="539"/>
      <c r="PBB314" s="539"/>
      <c r="PBC314" s="539"/>
      <c r="PBD314" s="539"/>
      <c r="PBE314" s="539"/>
      <c r="PBF314" s="539"/>
      <c r="PBG314" s="539"/>
      <c r="PBH314" s="539"/>
      <c r="PBI314" s="539"/>
      <c r="PBJ314" s="539"/>
      <c r="PBK314" s="539"/>
      <c r="PBL314" s="539"/>
      <c r="PBM314" s="539"/>
      <c r="PBN314" s="539"/>
      <c r="PBO314" s="539"/>
      <c r="PBP314" s="539"/>
      <c r="PBQ314" s="539"/>
      <c r="PBR314" s="539"/>
      <c r="PBS314" s="539"/>
      <c r="PBT314" s="539"/>
      <c r="PBU314" s="539"/>
      <c r="PBV314" s="539"/>
      <c r="PBW314" s="539"/>
      <c r="PBX314" s="539"/>
      <c r="PBY314" s="539"/>
      <c r="PBZ314" s="539"/>
      <c r="PCA314" s="539"/>
      <c r="PCB314" s="539"/>
      <c r="PCC314" s="539"/>
      <c r="PCD314" s="539"/>
      <c r="PCE314" s="539"/>
      <c r="PCF314" s="539"/>
      <c r="PCG314" s="539"/>
      <c r="PCH314" s="539"/>
      <c r="PCI314" s="539"/>
      <c r="PCJ314" s="539"/>
      <c r="PCK314" s="539"/>
      <c r="PCL314" s="539"/>
      <c r="PCM314" s="539"/>
      <c r="PCN314" s="539"/>
      <c r="PCO314" s="539"/>
      <c r="PCP314" s="539"/>
      <c r="PCQ314" s="539"/>
      <c r="PCR314" s="539"/>
      <c r="PCS314" s="539"/>
      <c r="PCT314" s="539"/>
      <c r="PCU314" s="539"/>
      <c r="PCV314" s="539"/>
      <c r="PCW314" s="539"/>
      <c r="PCX314" s="539"/>
      <c r="PCY314" s="539"/>
      <c r="PCZ314" s="539"/>
      <c r="PDA314" s="539"/>
      <c r="PDB314" s="539"/>
      <c r="PDC314" s="539"/>
      <c r="PDD314" s="539"/>
      <c r="PDE314" s="539"/>
      <c r="PDF314" s="539"/>
      <c r="PDG314" s="539"/>
      <c r="PDH314" s="539"/>
      <c r="PDI314" s="539"/>
      <c r="PDJ314" s="539"/>
      <c r="PDK314" s="539"/>
      <c r="PDL314" s="539"/>
      <c r="PDM314" s="539"/>
      <c r="PDN314" s="539"/>
      <c r="PDO314" s="539"/>
      <c r="PDP314" s="539"/>
      <c r="PDQ314" s="539"/>
      <c r="PDR314" s="539"/>
      <c r="PDS314" s="539"/>
      <c r="PDT314" s="539"/>
      <c r="PDU314" s="539"/>
      <c r="PDV314" s="539"/>
      <c r="PDW314" s="539"/>
      <c r="PDX314" s="539"/>
      <c r="PDY314" s="539"/>
      <c r="PDZ314" s="539"/>
      <c r="PEA314" s="539"/>
      <c r="PEB314" s="539"/>
      <c r="PEC314" s="539"/>
      <c r="PED314" s="539"/>
      <c r="PEE314" s="539"/>
      <c r="PEF314" s="539"/>
      <c r="PEG314" s="539"/>
      <c r="PEH314" s="539"/>
      <c r="PEI314" s="539"/>
      <c r="PEJ314" s="539"/>
      <c r="PEK314" s="539"/>
      <c r="PEL314" s="539"/>
      <c r="PEM314" s="539"/>
      <c r="PEN314" s="539"/>
      <c r="PEO314" s="539"/>
      <c r="PEP314" s="539"/>
      <c r="PEQ314" s="539"/>
      <c r="PER314" s="539"/>
      <c r="PES314" s="539"/>
      <c r="PET314" s="539"/>
      <c r="PEU314" s="539"/>
      <c r="PEV314" s="539"/>
      <c r="PEW314" s="539"/>
      <c r="PEX314" s="539"/>
      <c r="PEY314" s="539"/>
      <c r="PEZ314" s="539"/>
      <c r="PFA314" s="539"/>
      <c r="PFB314" s="539"/>
      <c r="PFC314" s="539"/>
      <c r="PFD314" s="539"/>
      <c r="PFE314" s="539"/>
      <c r="PFF314" s="539"/>
      <c r="PFG314" s="539"/>
      <c r="PFH314" s="539"/>
      <c r="PFI314" s="539"/>
      <c r="PFJ314" s="539"/>
      <c r="PFK314" s="539"/>
      <c r="PFL314" s="539"/>
      <c r="PFM314" s="539"/>
      <c r="PFN314" s="539"/>
      <c r="PFO314" s="539"/>
      <c r="PFP314" s="539"/>
      <c r="PFQ314" s="539"/>
      <c r="PFR314" s="539"/>
      <c r="PFS314" s="539"/>
      <c r="PFT314" s="539"/>
      <c r="PFU314" s="539"/>
      <c r="PFV314" s="539"/>
      <c r="PFW314" s="539"/>
      <c r="PFX314" s="539"/>
      <c r="PFY314" s="539"/>
      <c r="PFZ314" s="539"/>
      <c r="PGA314" s="539"/>
      <c r="PGB314" s="539"/>
      <c r="PGC314" s="539"/>
      <c r="PGD314" s="539"/>
      <c r="PGE314" s="539"/>
      <c r="PGF314" s="539"/>
      <c r="PGG314" s="539"/>
      <c r="PGH314" s="539"/>
      <c r="PGI314" s="539"/>
      <c r="PGJ314" s="539"/>
      <c r="PGK314" s="539"/>
      <c r="PGL314" s="539"/>
      <c r="PGM314" s="539"/>
      <c r="PGN314" s="539"/>
      <c r="PGO314" s="539"/>
      <c r="PGP314" s="539"/>
      <c r="PGQ314" s="539"/>
      <c r="PGR314" s="539"/>
      <c r="PGS314" s="539"/>
      <c r="PGT314" s="539"/>
      <c r="PGU314" s="539"/>
      <c r="PGV314" s="539"/>
      <c r="PGW314" s="539"/>
      <c r="PGX314" s="539"/>
      <c r="PGY314" s="539"/>
      <c r="PGZ314" s="539"/>
      <c r="PHA314" s="539"/>
      <c r="PHB314" s="539"/>
      <c r="PHC314" s="539"/>
      <c r="PHD314" s="539"/>
      <c r="PHE314" s="539"/>
      <c r="PHF314" s="539"/>
      <c r="PHG314" s="539"/>
      <c r="PHH314" s="539"/>
      <c r="PHI314" s="539"/>
      <c r="PHJ314" s="539"/>
      <c r="PHK314" s="539"/>
      <c r="PHL314" s="539"/>
      <c r="PHM314" s="539"/>
      <c r="PHN314" s="539"/>
      <c r="PHO314" s="539"/>
      <c r="PHP314" s="539"/>
      <c r="PHQ314" s="539"/>
      <c r="PHR314" s="539"/>
      <c r="PHS314" s="539"/>
      <c r="PHT314" s="539"/>
      <c r="PHU314" s="539"/>
      <c r="PHV314" s="539"/>
      <c r="PHW314" s="539"/>
      <c r="PHX314" s="539"/>
      <c r="PHY314" s="539"/>
      <c r="PHZ314" s="539"/>
      <c r="PIA314" s="539"/>
      <c r="PIB314" s="539"/>
      <c r="PIC314" s="539"/>
      <c r="PID314" s="539"/>
      <c r="PIE314" s="539"/>
      <c r="PIF314" s="539"/>
      <c r="PIG314" s="539"/>
      <c r="PIH314" s="539"/>
      <c r="PII314" s="539"/>
      <c r="PIJ314" s="539"/>
      <c r="PIK314" s="539"/>
      <c r="PIL314" s="539"/>
      <c r="PIM314" s="539"/>
      <c r="PIN314" s="539"/>
      <c r="PIO314" s="539"/>
      <c r="PIP314" s="539"/>
      <c r="PIQ314" s="539"/>
      <c r="PIR314" s="539"/>
      <c r="PIS314" s="539"/>
      <c r="PIT314" s="539"/>
      <c r="PIU314" s="539"/>
      <c r="PIV314" s="539"/>
      <c r="PIW314" s="539"/>
      <c r="PIX314" s="539"/>
      <c r="PIY314" s="539"/>
      <c r="PIZ314" s="539"/>
      <c r="PJA314" s="539"/>
      <c r="PJB314" s="539"/>
      <c r="PJC314" s="539"/>
      <c r="PJD314" s="539"/>
      <c r="PJE314" s="539"/>
      <c r="PJF314" s="539"/>
      <c r="PJG314" s="539"/>
      <c r="PJH314" s="539"/>
      <c r="PJI314" s="539"/>
      <c r="PJJ314" s="539"/>
      <c r="PJK314" s="539"/>
      <c r="PJL314" s="539"/>
      <c r="PJM314" s="539"/>
      <c r="PJN314" s="539"/>
      <c r="PJO314" s="539"/>
      <c r="PJP314" s="539"/>
      <c r="PJQ314" s="539"/>
      <c r="PJR314" s="539"/>
      <c r="PJS314" s="539"/>
      <c r="PJT314" s="539"/>
      <c r="PJU314" s="539"/>
      <c r="PJV314" s="539"/>
      <c r="PJW314" s="539"/>
      <c r="PJX314" s="539"/>
      <c r="PJY314" s="539"/>
      <c r="PJZ314" s="539"/>
      <c r="PKA314" s="539"/>
      <c r="PKB314" s="539"/>
      <c r="PKC314" s="539"/>
      <c r="PKD314" s="539"/>
      <c r="PKE314" s="539"/>
      <c r="PKF314" s="539"/>
      <c r="PKG314" s="539"/>
      <c r="PKH314" s="539"/>
      <c r="PKI314" s="539"/>
      <c r="PKJ314" s="539"/>
      <c r="PKK314" s="539"/>
      <c r="PKL314" s="539"/>
      <c r="PKM314" s="539"/>
      <c r="PKN314" s="539"/>
      <c r="PKO314" s="539"/>
      <c r="PKP314" s="539"/>
      <c r="PKQ314" s="539"/>
      <c r="PKR314" s="539"/>
      <c r="PKS314" s="539"/>
      <c r="PKT314" s="539"/>
      <c r="PKU314" s="539"/>
      <c r="PKV314" s="539"/>
      <c r="PKW314" s="539"/>
      <c r="PKX314" s="539"/>
      <c r="PKY314" s="539"/>
      <c r="PKZ314" s="539"/>
      <c r="PLA314" s="539"/>
      <c r="PLB314" s="539"/>
      <c r="PLC314" s="539"/>
      <c r="PLD314" s="539"/>
      <c r="PLE314" s="539"/>
      <c r="PLF314" s="539"/>
      <c r="PLG314" s="539"/>
      <c r="PLH314" s="539"/>
      <c r="PLI314" s="539"/>
      <c r="PLJ314" s="539"/>
      <c r="PLK314" s="539"/>
      <c r="PLL314" s="539"/>
      <c r="PLM314" s="539"/>
      <c r="PLN314" s="539"/>
      <c r="PLO314" s="539"/>
      <c r="PLP314" s="539"/>
      <c r="PLQ314" s="539"/>
      <c r="PLR314" s="539"/>
      <c r="PLS314" s="539"/>
      <c r="PLT314" s="539"/>
      <c r="PLU314" s="539"/>
      <c r="PLV314" s="539"/>
      <c r="PLW314" s="539"/>
      <c r="PLX314" s="539"/>
      <c r="PLY314" s="539"/>
      <c r="PLZ314" s="539"/>
      <c r="PMA314" s="539"/>
      <c r="PMB314" s="539"/>
      <c r="PMC314" s="539"/>
      <c r="PMD314" s="539"/>
      <c r="PME314" s="539"/>
      <c r="PMF314" s="539"/>
      <c r="PMG314" s="539"/>
      <c r="PMH314" s="539"/>
      <c r="PMI314" s="539"/>
      <c r="PMJ314" s="539"/>
      <c r="PMK314" s="539"/>
      <c r="PML314" s="539"/>
      <c r="PMM314" s="539"/>
      <c r="PMN314" s="539"/>
      <c r="PMO314" s="539"/>
      <c r="PMP314" s="539"/>
      <c r="PMQ314" s="539"/>
      <c r="PMR314" s="539"/>
      <c r="PMS314" s="539"/>
      <c r="PMT314" s="539"/>
      <c r="PMU314" s="539"/>
      <c r="PMV314" s="539"/>
      <c r="PMW314" s="539"/>
      <c r="PMX314" s="539"/>
      <c r="PMY314" s="539"/>
      <c r="PMZ314" s="539"/>
      <c r="PNA314" s="539"/>
      <c r="PNB314" s="539"/>
      <c r="PNC314" s="539"/>
      <c r="PND314" s="539"/>
      <c r="PNE314" s="539"/>
      <c r="PNF314" s="539"/>
      <c r="PNG314" s="539"/>
      <c r="PNH314" s="539"/>
      <c r="PNI314" s="539"/>
      <c r="PNJ314" s="539"/>
      <c r="PNK314" s="539"/>
      <c r="PNL314" s="539"/>
      <c r="PNM314" s="539"/>
      <c r="PNN314" s="539"/>
      <c r="PNO314" s="539"/>
      <c r="PNP314" s="539"/>
      <c r="PNQ314" s="539"/>
      <c r="PNR314" s="539"/>
      <c r="PNS314" s="539"/>
      <c r="PNT314" s="539"/>
      <c r="PNU314" s="539"/>
      <c r="PNV314" s="539"/>
      <c r="PNW314" s="539"/>
      <c r="PNX314" s="539"/>
      <c r="PNY314" s="539"/>
      <c r="PNZ314" s="539"/>
      <c r="POA314" s="539"/>
      <c r="POB314" s="539"/>
      <c r="POC314" s="539"/>
      <c r="POD314" s="539"/>
      <c r="POE314" s="539"/>
      <c r="POF314" s="539"/>
      <c r="POG314" s="539"/>
      <c r="POH314" s="539"/>
      <c r="POI314" s="539"/>
      <c r="POJ314" s="539"/>
      <c r="POK314" s="539"/>
      <c r="POL314" s="539"/>
      <c r="POM314" s="539"/>
      <c r="PON314" s="539"/>
      <c r="POO314" s="539"/>
      <c r="POP314" s="539"/>
      <c r="POQ314" s="539"/>
      <c r="POR314" s="539"/>
      <c r="POS314" s="539"/>
      <c r="POT314" s="539"/>
      <c r="POU314" s="539"/>
      <c r="POV314" s="539"/>
      <c r="POW314" s="539"/>
      <c r="POX314" s="539"/>
      <c r="POY314" s="539"/>
      <c r="POZ314" s="539"/>
      <c r="PPA314" s="539"/>
      <c r="PPB314" s="539"/>
      <c r="PPC314" s="539"/>
      <c r="PPD314" s="539"/>
      <c r="PPE314" s="539"/>
      <c r="PPF314" s="539"/>
      <c r="PPG314" s="539"/>
      <c r="PPH314" s="539"/>
      <c r="PPI314" s="539"/>
      <c r="PPJ314" s="539"/>
      <c r="PPK314" s="539"/>
      <c r="PPL314" s="539"/>
      <c r="PPM314" s="539"/>
      <c r="PPN314" s="539"/>
      <c r="PPO314" s="539"/>
      <c r="PPP314" s="539"/>
      <c r="PPQ314" s="539"/>
      <c r="PPR314" s="539"/>
      <c r="PPS314" s="539"/>
      <c r="PPT314" s="539"/>
      <c r="PPU314" s="539"/>
      <c r="PPV314" s="539"/>
      <c r="PPW314" s="539"/>
      <c r="PPX314" s="539"/>
      <c r="PPY314" s="539"/>
      <c r="PPZ314" s="539"/>
      <c r="PQA314" s="539"/>
      <c r="PQB314" s="539"/>
      <c r="PQC314" s="539"/>
      <c r="PQD314" s="539"/>
      <c r="PQE314" s="539"/>
      <c r="PQF314" s="539"/>
      <c r="PQG314" s="539"/>
      <c r="PQH314" s="539"/>
      <c r="PQI314" s="539"/>
      <c r="PQJ314" s="539"/>
      <c r="PQK314" s="539"/>
      <c r="PQL314" s="539"/>
      <c r="PQM314" s="539"/>
      <c r="PQN314" s="539"/>
      <c r="PQO314" s="539"/>
      <c r="PQP314" s="539"/>
      <c r="PQQ314" s="539"/>
      <c r="PQR314" s="539"/>
      <c r="PQS314" s="539"/>
      <c r="PQT314" s="539"/>
      <c r="PQU314" s="539"/>
      <c r="PQV314" s="539"/>
      <c r="PQW314" s="539"/>
      <c r="PQX314" s="539"/>
      <c r="PQY314" s="539"/>
      <c r="PQZ314" s="539"/>
      <c r="PRA314" s="539"/>
      <c r="PRB314" s="539"/>
      <c r="PRC314" s="539"/>
      <c r="PRD314" s="539"/>
      <c r="PRE314" s="539"/>
      <c r="PRF314" s="539"/>
      <c r="PRG314" s="539"/>
      <c r="PRH314" s="539"/>
      <c r="PRI314" s="539"/>
      <c r="PRJ314" s="539"/>
      <c r="PRK314" s="539"/>
      <c r="PRL314" s="539"/>
      <c r="PRM314" s="539"/>
      <c r="PRN314" s="539"/>
      <c r="PRO314" s="539"/>
      <c r="PRP314" s="539"/>
      <c r="PRQ314" s="539"/>
      <c r="PRR314" s="539"/>
      <c r="PRS314" s="539"/>
      <c r="PRT314" s="539"/>
      <c r="PRU314" s="539"/>
      <c r="PRV314" s="539"/>
      <c r="PRW314" s="539"/>
      <c r="PRX314" s="539"/>
      <c r="PRY314" s="539"/>
      <c r="PRZ314" s="539"/>
      <c r="PSA314" s="539"/>
      <c r="PSB314" s="539"/>
      <c r="PSC314" s="539"/>
      <c r="PSD314" s="539"/>
      <c r="PSE314" s="539"/>
      <c r="PSF314" s="539"/>
      <c r="PSG314" s="539"/>
      <c r="PSH314" s="539"/>
      <c r="PSI314" s="539"/>
      <c r="PSJ314" s="539"/>
      <c r="PSK314" s="539"/>
      <c r="PSL314" s="539"/>
      <c r="PSM314" s="539"/>
      <c r="PSN314" s="539"/>
      <c r="PSO314" s="539"/>
      <c r="PSP314" s="539"/>
      <c r="PSQ314" s="539"/>
      <c r="PSR314" s="539"/>
      <c r="PSS314" s="539"/>
      <c r="PST314" s="539"/>
      <c r="PSU314" s="539"/>
      <c r="PSV314" s="539"/>
      <c r="PSW314" s="539"/>
      <c r="PSX314" s="539"/>
      <c r="PSY314" s="539"/>
      <c r="PSZ314" s="539"/>
      <c r="PTA314" s="539"/>
      <c r="PTB314" s="539"/>
      <c r="PTC314" s="539"/>
      <c r="PTD314" s="539"/>
      <c r="PTE314" s="539"/>
      <c r="PTF314" s="539"/>
      <c r="PTG314" s="539"/>
      <c r="PTH314" s="539"/>
      <c r="PTI314" s="539"/>
      <c r="PTJ314" s="539"/>
      <c r="PTK314" s="539"/>
      <c r="PTL314" s="539"/>
      <c r="PTM314" s="539"/>
      <c r="PTN314" s="539"/>
      <c r="PTO314" s="539"/>
      <c r="PTP314" s="539"/>
      <c r="PTQ314" s="539"/>
      <c r="PTR314" s="539"/>
      <c r="PTS314" s="539"/>
      <c r="PTT314" s="539"/>
      <c r="PTU314" s="539"/>
      <c r="PTV314" s="539"/>
      <c r="PTW314" s="539"/>
      <c r="PTX314" s="539"/>
      <c r="PTY314" s="539"/>
      <c r="PTZ314" s="539"/>
      <c r="PUA314" s="539"/>
      <c r="PUB314" s="539"/>
      <c r="PUC314" s="539"/>
      <c r="PUD314" s="539"/>
      <c r="PUE314" s="539"/>
      <c r="PUF314" s="539"/>
      <c r="PUG314" s="539"/>
      <c r="PUH314" s="539"/>
      <c r="PUI314" s="539"/>
      <c r="PUJ314" s="539"/>
      <c r="PUK314" s="539"/>
      <c r="PUL314" s="539"/>
      <c r="PUM314" s="539"/>
      <c r="PUN314" s="539"/>
      <c r="PUO314" s="539"/>
      <c r="PUP314" s="539"/>
      <c r="PUQ314" s="539"/>
      <c r="PUR314" s="539"/>
      <c r="PUS314" s="539"/>
      <c r="PUT314" s="539"/>
      <c r="PUU314" s="539"/>
      <c r="PUV314" s="539"/>
      <c r="PUW314" s="539"/>
      <c r="PUX314" s="539"/>
      <c r="PUY314" s="539"/>
      <c r="PUZ314" s="539"/>
      <c r="PVA314" s="539"/>
      <c r="PVB314" s="539"/>
      <c r="PVC314" s="539"/>
      <c r="PVD314" s="539"/>
      <c r="PVE314" s="539"/>
      <c r="PVF314" s="539"/>
      <c r="PVG314" s="539"/>
      <c r="PVH314" s="539"/>
      <c r="PVI314" s="539"/>
      <c r="PVJ314" s="539"/>
      <c r="PVK314" s="539"/>
      <c r="PVL314" s="539"/>
      <c r="PVM314" s="539"/>
      <c r="PVN314" s="539"/>
      <c r="PVO314" s="539"/>
      <c r="PVP314" s="539"/>
      <c r="PVQ314" s="539"/>
      <c r="PVR314" s="539"/>
      <c r="PVS314" s="539"/>
      <c r="PVT314" s="539"/>
      <c r="PVU314" s="539"/>
      <c r="PVV314" s="539"/>
      <c r="PVW314" s="539"/>
      <c r="PVX314" s="539"/>
      <c r="PVY314" s="539"/>
      <c r="PVZ314" s="539"/>
      <c r="PWA314" s="539"/>
      <c r="PWB314" s="539"/>
      <c r="PWC314" s="539"/>
      <c r="PWD314" s="539"/>
      <c r="PWE314" s="539"/>
      <c r="PWF314" s="539"/>
      <c r="PWG314" s="539"/>
      <c r="PWH314" s="539"/>
      <c r="PWI314" s="539"/>
      <c r="PWJ314" s="539"/>
      <c r="PWK314" s="539"/>
      <c r="PWL314" s="539"/>
      <c r="PWM314" s="539"/>
      <c r="PWN314" s="539"/>
      <c r="PWO314" s="539"/>
      <c r="PWP314" s="539"/>
      <c r="PWQ314" s="539"/>
      <c r="PWR314" s="539"/>
      <c r="PWS314" s="539"/>
      <c r="PWT314" s="539"/>
      <c r="PWU314" s="539"/>
      <c r="PWV314" s="539"/>
      <c r="PWW314" s="539"/>
      <c r="PWX314" s="539"/>
      <c r="PWY314" s="539"/>
      <c r="PWZ314" s="539"/>
      <c r="PXA314" s="539"/>
      <c r="PXB314" s="539"/>
      <c r="PXC314" s="539"/>
      <c r="PXD314" s="539"/>
      <c r="PXE314" s="539"/>
      <c r="PXF314" s="539"/>
      <c r="PXG314" s="539"/>
      <c r="PXH314" s="539"/>
      <c r="PXI314" s="539"/>
      <c r="PXJ314" s="539"/>
      <c r="PXK314" s="539"/>
      <c r="PXL314" s="539"/>
      <c r="PXM314" s="539"/>
      <c r="PXN314" s="539"/>
      <c r="PXO314" s="539"/>
      <c r="PXP314" s="539"/>
      <c r="PXQ314" s="539"/>
      <c r="PXR314" s="539"/>
      <c r="PXS314" s="539"/>
      <c r="PXT314" s="539"/>
      <c r="PXU314" s="539"/>
      <c r="PXV314" s="539"/>
      <c r="PXW314" s="539"/>
      <c r="PXX314" s="539"/>
      <c r="PXY314" s="539"/>
      <c r="PXZ314" s="539"/>
      <c r="PYA314" s="539"/>
      <c r="PYB314" s="539"/>
      <c r="PYC314" s="539"/>
      <c r="PYD314" s="539"/>
      <c r="PYE314" s="539"/>
      <c r="PYF314" s="539"/>
      <c r="PYG314" s="539"/>
      <c r="PYH314" s="539"/>
      <c r="PYI314" s="539"/>
      <c r="PYJ314" s="539"/>
      <c r="PYK314" s="539"/>
      <c r="PYL314" s="539"/>
      <c r="PYM314" s="539"/>
      <c r="PYN314" s="539"/>
      <c r="PYO314" s="539"/>
      <c r="PYP314" s="539"/>
      <c r="PYQ314" s="539"/>
      <c r="PYR314" s="539"/>
      <c r="PYS314" s="539"/>
      <c r="PYT314" s="539"/>
      <c r="PYU314" s="539"/>
      <c r="PYV314" s="539"/>
      <c r="PYW314" s="539"/>
      <c r="PYX314" s="539"/>
      <c r="PYY314" s="539"/>
      <c r="PYZ314" s="539"/>
      <c r="PZA314" s="539"/>
      <c r="PZB314" s="539"/>
      <c r="PZC314" s="539"/>
      <c r="PZD314" s="539"/>
      <c r="PZE314" s="539"/>
      <c r="PZF314" s="539"/>
      <c r="PZG314" s="539"/>
      <c r="PZH314" s="539"/>
      <c r="PZI314" s="539"/>
      <c r="PZJ314" s="539"/>
      <c r="PZK314" s="539"/>
      <c r="PZL314" s="539"/>
      <c r="PZM314" s="539"/>
      <c r="PZN314" s="539"/>
      <c r="PZO314" s="539"/>
      <c r="PZP314" s="539"/>
      <c r="PZQ314" s="539"/>
      <c r="PZR314" s="539"/>
      <c r="PZS314" s="539"/>
      <c r="PZT314" s="539"/>
      <c r="PZU314" s="539"/>
      <c r="PZV314" s="539"/>
      <c r="PZW314" s="539"/>
      <c r="PZX314" s="539"/>
      <c r="PZY314" s="539"/>
      <c r="PZZ314" s="539"/>
      <c r="QAA314" s="539"/>
      <c r="QAB314" s="539"/>
      <c r="QAC314" s="539"/>
      <c r="QAD314" s="539"/>
      <c r="QAE314" s="539"/>
      <c r="QAF314" s="539"/>
      <c r="QAG314" s="539"/>
      <c r="QAH314" s="539"/>
      <c r="QAI314" s="539"/>
      <c r="QAJ314" s="539"/>
      <c r="QAK314" s="539"/>
      <c r="QAL314" s="539"/>
      <c r="QAM314" s="539"/>
      <c r="QAN314" s="539"/>
      <c r="QAO314" s="539"/>
      <c r="QAP314" s="539"/>
      <c r="QAQ314" s="539"/>
      <c r="QAR314" s="539"/>
      <c r="QAS314" s="539"/>
      <c r="QAT314" s="539"/>
      <c r="QAU314" s="539"/>
      <c r="QAV314" s="539"/>
      <c r="QAW314" s="539"/>
      <c r="QAX314" s="539"/>
      <c r="QAY314" s="539"/>
      <c r="QAZ314" s="539"/>
      <c r="QBA314" s="539"/>
      <c r="QBB314" s="539"/>
      <c r="QBC314" s="539"/>
      <c r="QBD314" s="539"/>
      <c r="QBE314" s="539"/>
      <c r="QBF314" s="539"/>
      <c r="QBG314" s="539"/>
      <c r="QBH314" s="539"/>
      <c r="QBI314" s="539"/>
      <c r="QBJ314" s="539"/>
      <c r="QBK314" s="539"/>
      <c r="QBL314" s="539"/>
      <c r="QBM314" s="539"/>
      <c r="QBN314" s="539"/>
      <c r="QBO314" s="539"/>
      <c r="QBP314" s="539"/>
      <c r="QBQ314" s="539"/>
      <c r="QBR314" s="539"/>
      <c r="QBS314" s="539"/>
      <c r="QBT314" s="539"/>
      <c r="QBU314" s="539"/>
      <c r="QBV314" s="539"/>
      <c r="QBW314" s="539"/>
      <c r="QBX314" s="539"/>
      <c r="QBY314" s="539"/>
      <c r="QBZ314" s="539"/>
      <c r="QCA314" s="539"/>
      <c r="QCB314" s="539"/>
      <c r="QCC314" s="539"/>
      <c r="QCD314" s="539"/>
      <c r="QCE314" s="539"/>
      <c r="QCF314" s="539"/>
      <c r="QCG314" s="539"/>
      <c r="QCH314" s="539"/>
      <c r="QCI314" s="539"/>
      <c r="QCJ314" s="539"/>
      <c r="QCK314" s="539"/>
      <c r="QCL314" s="539"/>
      <c r="QCM314" s="539"/>
      <c r="QCN314" s="539"/>
      <c r="QCO314" s="539"/>
      <c r="QCP314" s="539"/>
      <c r="QCQ314" s="539"/>
      <c r="QCR314" s="539"/>
      <c r="QCS314" s="539"/>
      <c r="QCT314" s="539"/>
      <c r="QCU314" s="539"/>
      <c r="QCV314" s="539"/>
      <c r="QCW314" s="539"/>
      <c r="QCX314" s="539"/>
      <c r="QCY314" s="539"/>
      <c r="QCZ314" s="539"/>
      <c r="QDA314" s="539"/>
      <c r="QDB314" s="539"/>
      <c r="QDC314" s="539"/>
      <c r="QDD314" s="539"/>
      <c r="QDE314" s="539"/>
      <c r="QDF314" s="539"/>
      <c r="QDG314" s="539"/>
      <c r="QDH314" s="539"/>
      <c r="QDI314" s="539"/>
      <c r="QDJ314" s="539"/>
      <c r="QDK314" s="539"/>
      <c r="QDL314" s="539"/>
      <c r="QDM314" s="539"/>
      <c r="QDN314" s="539"/>
      <c r="QDO314" s="539"/>
      <c r="QDP314" s="539"/>
      <c r="QDQ314" s="539"/>
      <c r="QDR314" s="539"/>
      <c r="QDS314" s="539"/>
      <c r="QDT314" s="539"/>
      <c r="QDU314" s="539"/>
      <c r="QDV314" s="539"/>
      <c r="QDW314" s="539"/>
      <c r="QDX314" s="539"/>
      <c r="QDY314" s="539"/>
      <c r="QDZ314" s="539"/>
      <c r="QEA314" s="539"/>
      <c r="QEB314" s="539"/>
      <c r="QEC314" s="539"/>
      <c r="QED314" s="539"/>
      <c r="QEE314" s="539"/>
      <c r="QEF314" s="539"/>
      <c r="QEG314" s="539"/>
      <c r="QEH314" s="539"/>
      <c r="QEI314" s="539"/>
      <c r="QEJ314" s="539"/>
      <c r="QEK314" s="539"/>
      <c r="QEL314" s="539"/>
      <c r="QEM314" s="539"/>
      <c r="QEN314" s="539"/>
      <c r="QEO314" s="539"/>
      <c r="QEP314" s="539"/>
      <c r="QEQ314" s="539"/>
      <c r="QER314" s="539"/>
      <c r="QES314" s="539"/>
      <c r="QET314" s="539"/>
      <c r="QEU314" s="539"/>
      <c r="QEV314" s="539"/>
      <c r="QEW314" s="539"/>
      <c r="QEX314" s="539"/>
      <c r="QEY314" s="539"/>
      <c r="QEZ314" s="539"/>
      <c r="QFA314" s="539"/>
      <c r="QFB314" s="539"/>
      <c r="QFC314" s="539"/>
      <c r="QFD314" s="539"/>
      <c r="QFE314" s="539"/>
      <c r="QFF314" s="539"/>
      <c r="QFG314" s="539"/>
      <c r="QFH314" s="539"/>
      <c r="QFI314" s="539"/>
      <c r="QFJ314" s="539"/>
      <c r="QFK314" s="539"/>
      <c r="QFL314" s="539"/>
      <c r="QFM314" s="539"/>
      <c r="QFN314" s="539"/>
      <c r="QFO314" s="539"/>
      <c r="QFP314" s="539"/>
      <c r="QFQ314" s="539"/>
      <c r="QFR314" s="539"/>
      <c r="QFS314" s="539"/>
      <c r="QFT314" s="539"/>
      <c r="QFU314" s="539"/>
      <c r="QFV314" s="539"/>
      <c r="QFW314" s="539"/>
      <c r="QFX314" s="539"/>
      <c r="QFY314" s="539"/>
      <c r="QFZ314" s="539"/>
      <c r="QGA314" s="539"/>
      <c r="QGB314" s="539"/>
      <c r="QGC314" s="539"/>
      <c r="QGD314" s="539"/>
      <c r="QGE314" s="539"/>
      <c r="QGF314" s="539"/>
      <c r="QGG314" s="539"/>
      <c r="QGH314" s="539"/>
      <c r="QGI314" s="539"/>
      <c r="QGJ314" s="539"/>
      <c r="QGK314" s="539"/>
      <c r="QGL314" s="539"/>
      <c r="QGM314" s="539"/>
      <c r="QGN314" s="539"/>
      <c r="QGO314" s="539"/>
      <c r="QGP314" s="539"/>
      <c r="QGQ314" s="539"/>
      <c r="QGR314" s="539"/>
      <c r="QGS314" s="539"/>
      <c r="QGT314" s="539"/>
      <c r="QGU314" s="539"/>
      <c r="QGV314" s="539"/>
      <c r="QGW314" s="539"/>
      <c r="QGX314" s="539"/>
      <c r="QGY314" s="539"/>
      <c r="QGZ314" s="539"/>
      <c r="QHA314" s="539"/>
      <c r="QHB314" s="539"/>
      <c r="QHC314" s="539"/>
      <c r="QHD314" s="539"/>
      <c r="QHE314" s="539"/>
      <c r="QHF314" s="539"/>
      <c r="QHG314" s="539"/>
      <c r="QHH314" s="539"/>
      <c r="QHI314" s="539"/>
      <c r="QHJ314" s="539"/>
      <c r="QHK314" s="539"/>
      <c r="QHL314" s="539"/>
      <c r="QHM314" s="539"/>
      <c r="QHN314" s="539"/>
      <c r="QHO314" s="539"/>
      <c r="QHP314" s="539"/>
      <c r="QHQ314" s="539"/>
      <c r="QHR314" s="539"/>
      <c r="QHS314" s="539"/>
      <c r="QHT314" s="539"/>
      <c r="QHU314" s="539"/>
      <c r="QHV314" s="539"/>
      <c r="QHW314" s="539"/>
      <c r="QHX314" s="539"/>
      <c r="QHY314" s="539"/>
      <c r="QHZ314" s="539"/>
      <c r="QIA314" s="539"/>
      <c r="QIB314" s="539"/>
      <c r="QIC314" s="539"/>
      <c r="QID314" s="539"/>
      <c r="QIE314" s="539"/>
      <c r="QIF314" s="539"/>
      <c r="QIG314" s="539"/>
      <c r="QIH314" s="539"/>
      <c r="QII314" s="539"/>
      <c r="QIJ314" s="539"/>
      <c r="QIK314" s="539"/>
      <c r="QIL314" s="539"/>
      <c r="QIM314" s="539"/>
      <c r="QIN314" s="539"/>
      <c r="QIO314" s="539"/>
      <c r="QIP314" s="539"/>
      <c r="QIQ314" s="539"/>
      <c r="QIR314" s="539"/>
      <c r="QIS314" s="539"/>
      <c r="QIT314" s="539"/>
      <c r="QIU314" s="539"/>
      <c r="QIV314" s="539"/>
      <c r="QIW314" s="539"/>
      <c r="QIX314" s="539"/>
      <c r="QIY314" s="539"/>
      <c r="QIZ314" s="539"/>
      <c r="QJA314" s="539"/>
      <c r="QJB314" s="539"/>
      <c r="QJC314" s="539"/>
      <c r="QJD314" s="539"/>
      <c r="QJE314" s="539"/>
      <c r="QJF314" s="539"/>
      <c r="QJG314" s="539"/>
      <c r="QJH314" s="539"/>
      <c r="QJI314" s="539"/>
      <c r="QJJ314" s="539"/>
      <c r="QJK314" s="539"/>
      <c r="QJL314" s="539"/>
      <c r="QJM314" s="539"/>
      <c r="QJN314" s="539"/>
      <c r="QJO314" s="539"/>
      <c r="QJP314" s="539"/>
      <c r="QJQ314" s="539"/>
      <c r="QJR314" s="539"/>
      <c r="QJS314" s="539"/>
      <c r="QJT314" s="539"/>
      <c r="QJU314" s="539"/>
      <c r="QJV314" s="539"/>
      <c r="QJW314" s="539"/>
      <c r="QJX314" s="539"/>
      <c r="QJY314" s="539"/>
      <c r="QJZ314" s="539"/>
      <c r="QKA314" s="539"/>
      <c r="QKB314" s="539"/>
      <c r="QKC314" s="539"/>
      <c r="QKD314" s="539"/>
      <c r="QKE314" s="539"/>
      <c r="QKF314" s="539"/>
      <c r="QKG314" s="539"/>
      <c r="QKH314" s="539"/>
      <c r="QKI314" s="539"/>
      <c r="QKJ314" s="539"/>
      <c r="QKK314" s="539"/>
      <c r="QKL314" s="539"/>
      <c r="QKM314" s="539"/>
      <c r="QKN314" s="539"/>
      <c r="QKO314" s="539"/>
      <c r="QKP314" s="539"/>
      <c r="QKQ314" s="539"/>
      <c r="QKR314" s="539"/>
      <c r="QKS314" s="539"/>
      <c r="QKT314" s="539"/>
      <c r="QKU314" s="539"/>
      <c r="QKV314" s="539"/>
      <c r="QKW314" s="539"/>
      <c r="QKX314" s="539"/>
      <c r="QKY314" s="539"/>
      <c r="QKZ314" s="539"/>
      <c r="QLA314" s="539"/>
      <c r="QLB314" s="539"/>
      <c r="QLC314" s="539"/>
      <c r="QLD314" s="539"/>
      <c r="QLE314" s="539"/>
      <c r="QLF314" s="539"/>
      <c r="QLG314" s="539"/>
      <c r="QLH314" s="539"/>
      <c r="QLI314" s="539"/>
      <c r="QLJ314" s="539"/>
      <c r="QLK314" s="539"/>
      <c r="QLL314" s="539"/>
      <c r="QLM314" s="539"/>
      <c r="QLN314" s="539"/>
      <c r="QLO314" s="539"/>
      <c r="QLP314" s="539"/>
      <c r="QLQ314" s="539"/>
      <c r="QLR314" s="539"/>
      <c r="QLS314" s="539"/>
      <c r="QLT314" s="539"/>
      <c r="QLU314" s="539"/>
      <c r="QLV314" s="539"/>
      <c r="QLW314" s="539"/>
      <c r="QLX314" s="539"/>
      <c r="QLY314" s="539"/>
      <c r="QLZ314" s="539"/>
      <c r="QMA314" s="539"/>
      <c r="QMB314" s="539"/>
      <c r="QMC314" s="539"/>
      <c r="QMD314" s="539"/>
      <c r="QME314" s="539"/>
      <c r="QMF314" s="539"/>
      <c r="QMG314" s="539"/>
      <c r="QMH314" s="539"/>
      <c r="QMI314" s="539"/>
      <c r="QMJ314" s="539"/>
      <c r="QMK314" s="539"/>
      <c r="QML314" s="539"/>
      <c r="QMM314" s="539"/>
      <c r="QMN314" s="539"/>
      <c r="QMO314" s="539"/>
      <c r="QMP314" s="539"/>
      <c r="QMQ314" s="539"/>
      <c r="QMR314" s="539"/>
      <c r="QMS314" s="539"/>
      <c r="QMT314" s="539"/>
      <c r="QMU314" s="539"/>
      <c r="QMV314" s="539"/>
      <c r="QMW314" s="539"/>
      <c r="QMX314" s="539"/>
      <c r="QMY314" s="539"/>
      <c r="QMZ314" s="539"/>
      <c r="QNA314" s="539"/>
      <c r="QNB314" s="539"/>
      <c r="QNC314" s="539"/>
      <c r="QND314" s="539"/>
      <c r="QNE314" s="539"/>
      <c r="QNF314" s="539"/>
      <c r="QNG314" s="539"/>
      <c r="QNH314" s="539"/>
      <c r="QNI314" s="539"/>
      <c r="QNJ314" s="539"/>
      <c r="QNK314" s="539"/>
      <c r="QNL314" s="539"/>
      <c r="QNM314" s="539"/>
      <c r="QNN314" s="539"/>
      <c r="QNO314" s="539"/>
      <c r="QNP314" s="539"/>
      <c r="QNQ314" s="539"/>
      <c r="QNR314" s="539"/>
      <c r="QNS314" s="539"/>
      <c r="QNT314" s="539"/>
      <c r="QNU314" s="539"/>
      <c r="QNV314" s="539"/>
      <c r="QNW314" s="539"/>
      <c r="QNX314" s="539"/>
      <c r="QNY314" s="539"/>
      <c r="QNZ314" s="539"/>
      <c r="QOA314" s="539"/>
      <c r="QOB314" s="539"/>
      <c r="QOC314" s="539"/>
      <c r="QOD314" s="539"/>
      <c r="QOE314" s="539"/>
      <c r="QOF314" s="539"/>
      <c r="QOG314" s="539"/>
      <c r="QOH314" s="539"/>
      <c r="QOI314" s="539"/>
      <c r="QOJ314" s="539"/>
      <c r="QOK314" s="539"/>
      <c r="QOL314" s="539"/>
      <c r="QOM314" s="539"/>
      <c r="QON314" s="539"/>
      <c r="QOO314" s="539"/>
      <c r="QOP314" s="539"/>
      <c r="QOQ314" s="539"/>
      <c r="QOR314" s="539"/>
      <c r="QOS314" s="539"/>
      <c r="QOT314" s="539"/>
      <c r="QOU314" s="539"/>
      <c r="QOV314" s="539"/>
      <c r="QOW314" s="539"/>
      <c r="QOX314" s="539"/>
      <c r="QOY314" s="539"/>
      <c r="QOZ314" s="539"/>
      <c r="QPA314" s="539"/>
      <c r="QPB314" s="539"/>
      <c r="QPC314" s="539"/>
      <c r="QPD314" s="539"/>
      <c r="QPE314" s="539"/>
      <c r="QPF314" s="539"/>
      <c r="QPG314" s="539"/>
      <c r="QPH314" s="539"/>
      <c r="QPI314" s="539"/>
      <c r="QPJ314" s="539"/>
      <c r="QPK314" s="539"/>
      <c r="QPL314" s="539"/>
      <c r="QPM314" s="539"/>
      <c r="QPN314" s="539"/>
      <c r="QPO314" s="539"/>
      <c r="QPP314" s="539"/>
      <c r="QPQ314" s="539"/>
      <c r="QPR314" s="539"/>
      <c r="QPS314" s="539"/>
      <c r="QPT314" s="539"/>
      <c r="QPU314" s="539"/>
      <c r="QPV314" s="539"/>
      <c r="QPW314" s="539"/>
      <c r="QPX314" s="539"/>
      <c r="QPY314" s="539"/>
      <c r="QPZ314" s="539"/>
      <c r="QQA314" s="539"/>
      <c r="QQB314" s="539"/>
      <c r="QQC314" s="539"/>
      <c r="QQD314" s="539"/>
      <c r="QQE314" s="539"/>
      <c r="QQF314" s="539"/>
      <c r="QQG314" s="539"/>
      <c r="QQH314" s="539"/>
      <c r="QQI314" s="539"/>
      <c r="QQJ314" s="539"/>
      <c r="QQK314" s="539"/>
      <c r="QQL314" s="539"/>
      <c r="QQM314" s="539"/>
      <c r="QQN314" s="539"/>
      <c r="QQO314" s="539"/>
      <c r="QQP314" s="539"/>
      <c r="QQQ314" s="539"/>
      <c r="QQR314" s="539"/>
      <c r="QQS314" s="539"/>
      <c r="QQT314" s="539"/>
      <c r="QQU314" s="539"/>
      <c r="QQV314" s="539"/>
      <c r="QQW314" s="539"/>
      <c r="QQX314" s="539"/>
      <c r="QQY314" s="539"/>
      <c r="QQZ314" s="539"/>
      <c r="QRA314" s="539"/>
      <c r="QRB314" s="539"/>
      <c r="QRC314" s="539"/>
      <c r="QRD314" s="539"/>
      <c r="QRE314" s="539"/>
      <c r="QRF314" s="539"/>
      <c r="QRG314" s="539"/>
      <c r="QRH314" s="539"/>
      <c r="QRI314" s="539"/>
      <c r="QRJ314" s="539"/>
      <c r="QRK314" s="539"/>
      <c r="QRL314" s="539"/>
      <c r="QRM314" s="539"/>
      <c r="QRN314" s="539"/>
      <c r="QRO314" s="539"/>
      <c r="QRP314" s="539"/>
      <c r="QRQ314" s="539"/>
      <c r="QRR314" s="539"/>
      <c r="QRS314" s="539"/>
      <c r="QRT314" s="539"/>
      <c r="QRU314" s="539"/>
      <c r="QRV314" s="539"/>
      <c r="QRW314" s="539"/>
      <c r="QRX314" s="539"/>
      <c r="QRY314" s="539"/>
      <c r="QRZ314" s="539"/>
      <c r="QSA314" s="539"/>
      <c r="QSB314" s="539"/>
      <c r="QSC314" s="539"/>
      <c r="QSD314" s="539"/>
      <c r="QSE314" s="539"/>
      <c r="QSF314" s="539"/>
      <c r="QSG314" s="539"/>
      <c r="QSH314" s="539"/>
      <c r="QSI314" s="539"/>
      <c r="QSJ314" s="539"/>
      <c r="QSK314" s="539"/>
      <c r="QSL314" s="539"/>
      <c r="QSM314" s="539"/>
      <c r="QSN314" s="539"/>
      <c r="QSO314" s="539"/>
      <c r="QSP314" s="539"/>
      <c r="QSQ314" s="539"/>
      <c r="QSR314" s="539"/>
      <c r="QSS314" s="539"/>
      <c r="QST314" s="539"/>
      <c r="QSU314" s="539"/>
      <c r="QSV314" s="539"/>
      <c r="QSW314" s="539"/>
      <c r="QSX314" s="539"/>
      <c r="QSY314" s="539"/>
      <c r="QSZ314" s="539"/>
      <c r="QTA314" s="539"/>
      <c r="QTB314" s="539"/>
      <c r="QTC314" s="539"/>
      <c r="QTD314" s="539"/>
      <c r="QTE314" s="539"/>
      <c r="QTF314" s="539"/>
      <c r="QTG314" s="539"/>
      <c r="QTH314" s="539"/>
      <c r="QTI314" s="539"/>
      <c r="QTJ314" s="539"/>
      <c r="QTK314" s="539"/>
      <c r="QTL314" s="539"/>
      <c r="QTM314" s="539"/>
      <c r="QTN314" s="539"/>
      <c r="QTO314" s="539"/>
      <c r="QTP314" s="539"/>
      <c r="QTQ314" s="539"/>
      <c r="QTR314" s="539"/>
      <c r="QTS314" s="539"/>
      <c r="QTT314" s="539"/>
      <c r="QTU314" s="539"/>
      <c r="QTV314" s="539"/>
      <c r="QTW314" s="539"/>
      <c r="QTX314" s="539"/>
      <c r="QTY314" s="539"/>
      <c r="QTZ314" s="539"/>
      <c r="QUA314" s="539"/>
      <c r="QUB314" s="539"/>
      <c r="QUC314" s="539"/>
      <c r="QUD314" s="539"/>
      <c r="QUE314" s="539"/>
      <c r="QUF314" s="539"/>
      <c r="QUG314" s="539"/>
      <c r="QUH314" s="539"/>
      <c r="QUI314" s="539"/>
      <c r="QUJ314" s="539"/>
      <c r="QUK314" s="539"/>
      <c r="QUL314" s="539"/>
      <c r="QUM314" s="539"/>
      <c r="QUN314" s="539"/>
      <c r="QUO314" s="539"/>
      <c r="QUP314" s="539"/>
      <c r="QUQ314" s="539"/>
      <c r="QUR314" s="539"/>
      <c r="QUS314" s="539"/>
      <c r="QUT314" s="539"/>
      <c r="QUU314" s="539"/>
      <c r="QUV314" s="539"/>
      <c r="QUW314" s="539"/>
      <c r="QUX314" s="539"/>
      <c r="QUY314" s="539"/>
      <c r="QUZ314" s="539"/>
      <c r="QVA314" s="539"/>
      <c r="QVB314" s="539"/>
      <c r="QVC314" s="539"/>
      <c r="QVD314" s="539"/>
      <c r="QVE314" s="539"/>
      <c r="QVF314" s="539"/>
      <c r="QVG314" s="539"/>
      <c r="QVH314" s="539"/>
      <c r="QVI314" s="539"/>
      <c r="QVJ314" s="539"/>
      <c r="QVK314" s="539"/>
      <c r="QVL314" s="539"/>
      <c r="QVM314" s="539"/>
      <c r="QVN314" s="539"/>
      <c r="QVO314" s="539"/>
      <c r="QVP314" s="539"/>
      <c r="QVQ314" s="539"/>
      <c r="QVR314" s="539"/>
      <c r="QVS314" s="539"/>
      <c r="QVT314" s="539"/>
      <c r="QVU314" s="539"/>
      <c r="QVV314" s="539"/>
      <c r="QVW314" s="539"/>
      <c r="QVX314" s="539"/>
      <c r="QVY314" s="539"/>
      <c r="QVZ314" s="539"/>
      <c r="QWA314" s="539"/>
      <c r="QWB314" s="539"/>
      <c r="QWC314" s="539"/>
      <c r="QWD314" s="539"/>
      <c r="QWE314" s="539"/>
      <c r="QWF314" s="539"/>
      <c r="QWG314" s="539"/>
      <c r="QWH314" s="539"/>
      <c r="QWI314" s="539"/>
      <c r="QWJ314" s="539"/>
      <c r="QWK314" s="539"/>
      <c r="QWL314" s="539"/>
      <c r="QWM314" s="539"/>
      <c r="QWN314" s="539"/>
      <c r="QWO314" s="539"/>
      <c r="QWP314" s="539"/>
      <c r="QWQ314" s="539"/>
      <c r="QWR314" s="539"/>
      <c r="QWS314" s="539"/>
      <c r="QWT314" s="539"/>
      <c r="QWU314" s="539"/>
      <c r="QWV314" s="539"/>
      <c r="QWW314" s="539"/>
      <c r="QWX314" s="539"/>
      <c r="QWY314" s="539"/>
      <c r="QWZ314" s="539"/>
      <c r="QXA314" s="539"/>
      <c r="QXB314" s="539"/>
      <c r="QXC314" s="539"/>
      <c r="QXD314" s="539"/>
      <c r="QXE314" s="539"/>
      <c r="QXF314" s="539"/>
      <c r="QXG314" s="539"/>
      <c r="QXH314" s="539"/>
      <c r="QXI314" s="539"/>
      <c r="QXJ314" s="539"/>
      <c r="QXK314" s="539"/>
      <c r="QXL314" s="539"/>
      <c r="QXM314" s="539"/>
      <c r="QXN314" s="539"/>
      <c r="QXO314" s="539"/>
      <c r="QXP314" s="539"/>
      <c r="QXQ314" s="539"/>
      <c r="QXR314" s="539"/>
      <c r="QXS314" s="539"/>
      <c r="QXT314" s="539"/>
      <c r="QXU314" s="539"/>
      <c r="QXV314" s="539"/>
      <c r="QXW314" s="539"/>
      <c r="QXX314" s="539"/>
      <c r="QXY314" s="539"/>
      <c r="QXZ314" s="539"/>
      <c r="QYA314" s="539"/>
      <c r="QYB314" s="539"/>
      <c r="QYC314" s="539"/>
      <c r="QYD314" s="539"/>
      <c r="QYE314" s="539"/>
      <c r="QYF314" s="539"/>
      <c r="QYG314" s="539"/>
      <c r="QYH314" s="539"/>
      <c r="QYI314" s="539"/>
      <c r="QYJ314" s="539"/>
      <c r="QYK314" s="539"/>
      <c r="QYL314" s="539"/>
      <c r="QYM314" s="539"/>
      <c r="QYN314" s="539"/>
      <c r="QYO314" s="539"/>
      <c r="QYP314" s="539"/>
      <c r="QYQ314" s="539"/>
      <c r="QYR314" s="539"/>
      <c r="QYS314" s="539"/>
      <c r="QYT314" s="539"/>
      <c r="QYU314" s="539"/>
      <c r="QYV314" s="539"/>
      <c r="QYW314" s="539"/>
      <c r="QYX314" s="539"/>
      <c r="QYY314" s="539"/>
      <c r="QYZ314" s="539"/>
      <c r="QZA314" s="539"/>
      <c r="QZB314" s="539"/>
      <c r="QZC314" s="539"/>
      <c r="QZD314" s="539"/>
      <c r="QZE314" s="539"/>
      <c r="QZF314" s="539"/>
      <c r="QZG314" s="539"/>
      <c r="QZH314" s="539"/>
      <c r="QZI314" s="539"/>
      <c r="QZJ314" s="539"/>
      <c r="QZK314" s="539"/>
      <c r="QZL314" s="539"/>
      <c r="QZM314" s="539"/>
      <c r="QZN314" s="539"/>
      <c r="QZO314" s="539"/>
      <c r="QZP314" s="539"/>
      <c r="QZQ314" s="539"/>
      <c r="QZR314" s="539"/>
      <c r="QZS314" s="539"/>
      <c r="QZT314" s="539"/>
      <c r="QZU314" s="539"/>
      <c r="QZV314" s="539"/>
      <c r="QZW314" s="539"/>
      <c r="QZX314" s="539"/>
      <c r="QZY314" s="539"/>
      <c r="QZZ314" s="539"/>
      <c r="RAA314" s="539"/>
      <c r="RAB314" s="539"/>
      <c r="RAC314" s="539"/>
      <c r="RAD314" s="539"/>
      <c r="RAE314" s="539"/>
      <c r="RAF314" s="539"/>
      <c r="RAG314" s="539"/>
      <c r="RAH314" s="539"/>
      <c r="RAI314" s="539"/>
      <c r="RAJ314" s="539"/>
      <c r="RAK314" s="539"/>
      <c r="RAL314" s="539"/>
      <c r="RAM314" s="539"/>
      <c r="RAN314" s="539"/>
      <c r="RAO314" s="539"/>
      <c r="RAP314" s="539"/>
      <c r="RAQ314" s="539"/>
      <c r="RAR314" s="539"/>
      <c r="RAS314" s="539"/>
      <c r="RAT314" s="539"/>
      <c r="RAU314" s="539"/>
      <c r="RAV314" s="539"/>
      <c r="RAW314" s="539"/>
      <c r="RAX314" s="539"/>
      <c r="RAY314" s="539"/>
      <c r="RAZ314" s="539"/>
      <c r="RBA314" s="539"/>
      <c r="RBB314" s="539"/>
      <c r="RBC314" s="539"/>
      <c r="RBD314" s="539"/>
      <c r="RBE314" s="539"/>
      <c r="RBF314" s="539"/>
      <c r="RBG314" s="539"/>
      <c r="RBH314" s="539"/>
      <c r="RBI314" s="539"/>
      <c r="RBJ314" s="539"/>
      <c r="RBK314" s="539"/>
      <c r="RBL314" s="539"/>
      <c r="RBM314" s="539"/>
      <c r="RBN314" s="539"/>
      <c r="RBO314" s="539"/>
      <c r="RBP314" s="539"/>
      <c r="RBQ314" s="539"/>
      <c r="RBR314" s="539"/>
      <c r="RBS314" s="539"/>
      <c r="RBT314" s="539"/>
      <c r="RBU314" s="539"/>
      <c r="RBV314" s="539"/>
      <c r="RBW314" s="539"/>
      <c r="RBX314" s="539"/>
      <c r="RBY314" s="539"/>
      <c r="RBZ314" s="539"/>
      <c r="RCA314" s="539"/>
      <c r="RCB314" s="539"/>
      <c r="RCC314" s="539"/>
      <c r="RCD314" s="539"/>
      <c r="RCE314" s="539"/>
      <c r="RCF314" s="539"/>
      <c r="RCG314" s="539"/>
      <c r="RCH314" s="539"/>
      <c r="RCI314" s="539"/>
      <c r="RCJ314" s="539"/>
      <c r="RCK314" s="539"/>
      <c r="RCL314" s="539"/>
      <c r="RCM314" s="539"/>
      <c r="RCN314" s="539"/>
      <c r="RCO314" s="539"/>
      <c r="RCP314" s="539"/>
      <c r="RCQ314" s="539"/>
      <c r="RCR314" s="539"/>
      <c r="RCS314" s="539"/>
      <c r="RCT314" s="539"/>
      <c r="RCU314" s="539"/>
      <c r="RCV314" s="539"/>
      <c r="RCW314" s="539"/>
      <c r="RCX314" s="539"/>
      <c r="RCY314" s="539"/>
      <c r="RCZ314" s="539"/>
      <c r="RDA314" s="539"/>
      <c r="RDB314" s="539"/>
      <c r="RDC314" s="539"/>
      <c r="RDD314" s="539"/>
      <c r="RDE314" s="539"/>
      <c r="RDF314" s="539"/>
      <c r="RDG314" s="539"/>
      <c r="RDH314" s="539"/>
      <c r="RDI314" s="539"/>
      <c r="RDJ314" s="539"/>
      <c r="RDK314" s="539"/>
      <c r="RDL314" s="539"/>
      <c r="RDM314" s="539"/>
      <c r="RDN314" s="539"/>
      <c r="RDO314" s="539"/>
      <c r="RDP314" s="539"/>
      <c r="RDQ314" s="539"/>
      <c r="RDR314" s="539"/>
      <c r="RDS314" s="539"/>
      <c r="RDT314" s="539"/>
      <c r="RDU314" s="539"/>
      <c r="RDV314" s="539"/>
      <c r="RDW314" s="539"/>
      <c r="RDX314" s="539"/>
      <c r="RDY314" s="539"/>
      <c r="RDZ314" s="539"/>
      <c r="REA314" s="539"/>
      <c r="REB314" s="539"/>
      <c r="REC314" s="539"/>
      <c r="RED314" s="539"/>
      <c r="REE314" s="539"/>
      <c r="REF314" s="539"/>
      <c r="REG314" s="539"/>
      <c r="REH314" s="539"/>
      <c r="REI314" s="539"/>
      <c r="REJ314" s="539"/>
      <c r="REK314" s="539"/>
      <c r="REL314" s="539"/>
      <c r="REM314" s="539"/>
      <c r="REN314" s="539"/>
      <c r="REO314" s="539"/>
      <c r="REP314" s="539"/>
      <c r="REQ314" s="539"/>
      <c r="RER314" s="539"/>
      <c r="RES314" s="539"/>
      <c r="RET314" s="539"/>
      <c r="REU314" s="539"/>
      <c r="REV314" s="539"/>
      <c r="REW314" s="539"/>
      <c r="REX314" s="539"/>
      <c r="REY314" s="539"/>
      <c r="REZ314" s="539"/>
      <c r="RFA314" s="539"/>
      <c r="RFB314" s="539"/>
      <c r="RFC314" s="539"/>
      <c r="RFD314" s="539"/>
      <c r="RFE314" s="539"/>
      <c r="RFF314" s="539"/>
      <c r="RFG314" s="539"/>
      <c r="RFH314" s="539"/>
      <c r="RFI314" s="539"/>
      <c r="RFJ314" s="539"/>
      <c r="RFK314" s="539"/>
      <c r="RFL314" s="539"/>
      <c r="RFM314" s="539"/>
      <c r="RFN314" s="539"/>
      <c r="RFO314" s="539"/>
      <c r="RFP314" s="539"/>
      <c r="RFQ314" s="539"/>
      <c r="RFR314" s="539"/>
      <c r="RFS314" s="539"/>
      <c r="RFT314" s="539"/>
      <c r="RFU314" s="539"/>
      <c r="RFV314" s="539"/>
      <c r="RFW314" s="539"/>
      <c r="RFX314" s="539"/>
      <c r="RFY314" s="539"/>
      <c r="RFZ314" s="539"/>
      <c r="RGA314" s="539"/>
      <c r="RGB314" s="539"/>
      <c r="RGC314" s="539"/>
      <c r="RGD314" s="539"/>
      <c r="RGE314" s="539"/>
      <c r="RGF314" s="539"/>
      <c r="RGG314" s="539"/>
      <c r="RGH314" s="539"/>
      <c r="RGI314" s="539"/>
      <c r="RGJ314" s="539"/>
      <c r="RGK314" s="539"/>
      <c r="RGL314" s="539"/>
      <c r="RGM314" s="539"/>
      <c r="RGN314" s="539"/>
      <c r="RGO314" s="539"/>
      <c r="RGP314" s="539"/>
      <c r="RGQ314" s="539"/>
      <c r="RGR314" s="539"/>
      <c r="RGS314" s="539"/>
      <c r="RGT314" s="539"/>
      <c r="RGU314" s="539"/>
      <c r="RGV314" s="539"/>
      <c r="RGW314" s="539"/>
      <c r="RGX314" s="539"/>
      <c r="RGY314" s="539"/>
      <c r="RGZ314" s="539"/>
      <c r="RHA314" s="539"/>
      <c r="RHB314" s="539"/>
      <c r="RHC314" s="539"/>
      <c r="RHD314" s="539"/>
      <c r="RHE314" s="539"/>
      <c r="RHF314" s="539"/>
      <c r="RHG314" s="539"/>
      <c r="RHH314" s="539"/>
      <c r="RHI314" s="539"/>
      <c r="RHJ314" s="539"/>
      <c r="RHK314" s="539"/>
      <c r="RHL314" s="539"/>
      <c r="RHM314" s="539"/>
      <c r="RHN314" s="539"/>
      <c r="RHO314" s="539"/>
      <c r="RHP314" s="539"/>
      <c r="RHQ314" s="539"/>
      <c r="RHR314" s="539"/>
      <c r="RHS314" s="539"/>
      <c r="RHT314" s="539"/>
      <c r="RHU314" s="539"/>
      <c r="RHV314" s="539"/>
      <c r="RHW314" s="539"/>
      <c r="RHX314" s="539"/>
      <c r="RHY314" s="539"/>
      <c r="RHZ314" s="539"/>
      <c r="RIA314" s="539"/>
      <c r="RIB314" s="539"/>
      <c r="RIC314" s="539"/>
      <c r="RID314" s="539"/>
      <c r="RIE314" s="539"/>
      <c r="RIF314" s="539"/>
      <c r="RIG314" s="539"/>
      <c r="RIH314" s="539"/>
      <c r="RII314" s="539"/>
      <c r="RIJ314" s="539"/>
      <c r="RIK314" s="539"/>
      <c r="RIL314" s="539"/>
      <c r="RIM314" s="539"/>
      <c r="RIN314" s="539"/>
      <c r="RIO314" s="539"/>
      <c r="RIP314" s="539"/>
      <c r="RIQ314" s="539"/>
      <c r="RIR314" s="539"/>
      <c r="RIS314" s="539"/>
      <c r="RIT314" s="539"/>
      <c r="RIU314" s="539"/>
      <c r="RIV314" s="539"/>
      <c r="RIW314" s="539"/>
      <c r="RIX314" s="539"/>
      <c r="RIY314" s="539"/>
      <c r="RIZ314" s="539"/>
      <c r="RJA314" s="539"/>
      <c r="RJB314" s="539"/>
      <c r="RJC314" s="539"/>
      <c r="RJD314" s="539"/>
      <c r="RJE314" s="539"/>
      <c r="RJF314" s="539"/>
      <c r="RJG314" s="539"/>
      <c r="RJH314" s="539"/>
      <c r="RJI314" s="539"/>
      <c r="RJJ314" s="539"/>
      <c r="RJK314" s="539"/>
      <c r="RJL314" s="539"/>
      <c r="RJM314" s="539"/>
      <c r="RJN314" s="539"/>
      <c r="RJO314" s="539"/>
      <c r="RJP314" s="539"/>
      <c r="RJQ314" s="539"/>
      <c r="RJR314" s="539"/>
      <c r="RJS314" s="539"/>
      <c r="RJT314" s="539"/>
      <c r="RJU314" s="539"/>
      <c r="RJV314" s="539"/>
      <c r="RJW314" s="539"/>
      <c r="RJX314" s="539"/>
      <c r="RJY314" s="539"/>
      <c r="RJZ314" s="539"/>
      <c r="RKA314" s="539"/>
      <c r="RKB314" s="539"/>
      <c r="RKC314" s="539"/>
      <c r="RKD314" s="539"/>
      <c r="RKE314" s="539"/>
      <c r="RKF314" s="539"/>
      <c r="RKG314" s="539"/>
      <c r="RKH314" s="539"/>
      <c r="RKI314" s="539"/>
      <c r="RKJ314" s="539"/>
      <c r="RKK314" s="539"/>
      <c r="RKL314" s="539"/>
      <c r="RKM314" s="539"/>
      <c r="RKN314" s="539"/>
      <c r="RKO314" s="539"/>
      <c r="RKP314" s="539"/>
      <c r="RKQ314" s="539"/>
      <c r="RKR314" s="539"/>
      <c r="RKS314" s="539"/>
      <c r="RKT314" s="539"/>
      <c r="RKU314" s="539"/>
      <c r="RKV314" s="539"/>
      <c r="RKW314" s="539"/>
      <c r="RKX314" s="539"/>
      <c r="RKY314" s="539"/>
      <c r="RKZ314" s="539"/>
      <c r="RLA314" s="539"/>
      <c r="RLB314" s="539"/>
      <c r="RLC314" s="539"/>
      <c r="RLD314" s="539"/>
      <c r="RLE314" s="539"/>
      <c r="RLF314" s="539"/>
      <c r="RLG314" s="539"/>
      <c r="RLH314" s="539"/>
      <c r="RLI314" s="539"/>
      <c r="RLJ314" s="539"/>
      <c r="RLK314" s="539"/>
      <c r="RLL314" s="539"/>
      <c r="RLM314" s="539"/>
      <c r="RLN314" s="539"/>
      <c r="RLO314" s="539"/>
      <c r="RLP314" s="539"/>
      <c r="RLQ314" s="539"/>
      <c r="RLR314" s="539"/>
      <c r="RLS314" s="539"/>
      <c r="RLT314" s="539"/>
      <c r="RLU314" s="539"/>
      <c r="RLV314" s="539"/>
      <c r="RLW314" s="539"/>
      <c r="RLX314" s="539"/>
      <c r="RLY314" s="539"/>
      <c r="RLZ314" s="539"/>
      <c r="RMA314" s="539"/>
      <c r="RMB314" s="539"/>
      <c r="RMC314" s="539"/>
      <c r="RMD314" s="539"/>
      <c r="RME314" s="539"/>
      <c r="RMF314" s="539"/>
      <c r="RMG314" s="539"/>
      <c r="RMH314" s="539"/>
      <c r="RMI314" s="539"/>
      <c r="RMJ314" s="539"/>
      <c r="RMK314" s="539"/>
      <c r="RML314" s="539"/>
      <c r="RMM314" s="539"/>
      <c r="RMN314" s="539"/>
      <c r="RMO314" s="539"/>
      <c r="RMP314" s="539"/>
      <c r="RMQ314" s="539"/>
      <c r="RMR314" s="539"/>
      <c r="RMS314" s="539"/>
      <c r="RMT314" s="539"/>
      <c r="RMU314" s="539"/>
      <c r="RMV314" s="539"/>
      <c r="RMW314" s="539"/>
      <c r="RMX314" s="539"/>
      <c r="RMY314" s="539"/>
      <c r="RMZ314" s="539"/>
      <c r="RNA314" s="539"/>
      <c r="RNB314" s="539"/>
      <c r="RNC314" s="539"/>
      <c r="RND314" s="539"/>
      <c r="RNE314" s="539"/>
      <c r="RNF314" s="539"/>
      <c r="RNG314" s="539"/>
      <c r="RNH314" s="539"/>
      <c r="RNI314" s="539"/>
      <c r="RNJ314" s="539"/>
      <c r="RNK314" s="539"/>
      <c r="RNL314" s="539"/>
      <c r="RNM314" s="539"/>
      <c r="RNN314" s="539"/>
      <c r="RNO314" s="539"/>
      <c r="RNP314" s="539"/>
      <c r="RNQ314" s="539"/>
      <c r="RNR314" s="539"/>
      <c r="RNS314" s="539"/>
      <c r="RNT314" s="539"/>
      <c r="RNU314" s="539"/>
      <c r="RNV314" s="539"/>
      <c r="RNW314" s="539"/>
      <c r="RNX314" s="539"/>
      <c r="RNY314" s="539"/>
      <c r="RNZ314" s="539"/>
      <c r="ROA314" s="539"/>
      <c r="ROB314" s="539"/>
      <c r="ROC314" s="539"/>
      <c r="ROD314" s="539"/>
      <c r="ROE314" s="539"/>
      <c r="ROF314" s="539"/>
      <c r="ROG314" s="539"/>
      <c r="ROH314" s="539"/>
      <c r="ROI314" s="539"/>
      <c r="ROJ314" s="539"/>
      <c r="ROK314" s="539"/>
      <c r="ROL314" s="539"/>
      <c r="ROM314" s="539"/>
      <c r="RON314" s="539"/>
      <c r="ROO314" s="539"/>
      <c r="ROP314" s="539"/>
      <c r="ROQ314" s="539"/>
      <c r="ROR314" s="539"/>
      <c r="ROS314" s="539"/>
      <c r="ROT314" s="539"/>
      <c r="ROU314" s="539"/>
      <c r="ROV314" s="539"/>
      <c r="ROW314" s="539"/>
      <c r="ROX314" s="539"/>
      <c r="ROY314" s="539"/>
      <c r="ROZ314" s="539"/>
      <c r="RPA314" s="539"/>
      <c r="RPB314" s="539"/>
      <c r="RPC314" s="539"/>
      <c r="RPD314" s="539"/>
      <c r="RPE314" s="539"/>
      <c r="RPF314" s="539"/>
      <c r="RPG314" s="539"/>
      <c r="RPH314" s="539"/>
      <c r="RPI314" s="539"/>
      <c r="RPJ314" s="539"/>
      <c r="RPK314" s="539"/>
      <c r="RPL314" s="539"/>
      <c r="RPM314" s="539"/>
      <c r="RPN314" s="539"/>
      <c r="RPO314" s="539"/>
      <c r="RPP314" s="539"/>
      <c r="RPQ314" s="539"/>
      <c r="RPR314" s="539"/>
      <c r="RPS314" s="539"/>
      <c r="RPT314" s="539"/>
      <c r="RPU314" s="539"/>
      <c r="RPV314" s="539"/>
      <c r="RPW314" s="539"/>
      <c r="RPX314" s="539"/>
      <c r="RPY314" s="539"/>
      <c r="RPZ314" s="539"/>
      <c r="RQA314" s="539"/>
      <c r="RQB314" s="539"/>
      <c r="RQC314" s="539"/>
      <c r="RQD314" s="539"/>
      <c r="RQE314" s="539"/>
      <c r="RQF314" s="539"/>
      <c r="RQG314" s="539"/>
      <c r="RQH314" s="539"/>
      <c r="RQI314" s="539"/>
      <c r="RQJ314" s="539"/>
      <c r="RQK314" s="539"/>
      <c r="RQL314" s="539"/>
      <c r="RQM314" s="539"/>
      <c r="RQN314" s="539"/>
      <c r="RQO314" s="539"/>
      <c r="RQP314" s="539"/>
      <c r="RQQ314" s="539"/>
      <c r="RQR314" s="539"/>
      <c r="RQS314" s="539"/>
      <c r="RQT314" s="539"/>
      <c r="RQU314" s="539"/>
      <c r="RQV314" s="539"/>
      <c r="RQW314" s="539"/>
      <c r="RQX314" s="539"/>
      <c r="RQY314" s="539"/>
      <c r="RQZ314" s="539"/>
      <c r="RRA314" s="539"/>
      <c r="RRB314" s="539"/>
      <c r="RRC314" s="539"/>
      <c r="RRD314" s="539"/>
      <c r="RRE314" s="539"/>
      <c r="RRF314" s="539"/>
      <c r="RRG314" s="539"/>
      <c r="RRH314" s="539"/>
      <c r="RRI314" s="539"/>
      <c r="RRJ314" s="539"/>
      <c r="RRK314" s="539"/>
      <c r="RRL314" s="539"/>
      <c r="RRM314" s="539"/>
      <c r="RRN314" s="539"/>
      <c r="RRO314" s="539"/>
      <c r="RRP314" s="539"/>
      <c r="RRQ314" s="539"/>
      <c r="RRR314" s="539"/>
      <c r="RRS314" s="539"/>
      <c r="RRT314" s="539"/>
      <c r="RRU314" s="539"/>
      <c r="RRV314" s="539"/>
      <c r="RRW314" s="539"/>
      <c r="RRX314" s="539"/>
      <c r="RRY314" s="539"/>
      <c r="RRZ314" s="539"/>
      <c r="RSA314" s="539"/>
      <c r="RSB314" s="539"/>
      <c r="RSC314" s="539"/>
      <c r="RSD314" s="539"/>
      <c r="RSE314" s="539"/>
      <c r="RSF314" s="539"/>
      <c r="RSG314" s="539"/>
      <c r="RSH314" s="539"/>
      <c r="RSI314" s="539"/>
      <c r="RSJ314" s="539"/>
      <c r="RSK314" s="539"/>
      <c r="RSL314" s="539"/>
      <c r="RSM314" s="539"/>
      <c r="RSN314" s="539"/>
      <c r="RSO314" s="539"/>
      <c r="RSP314" s="539"/>
      <c r="RSQ314" s="539"/>
      <c r="RSR314" s="539"/>
      <c r="RSS314" s="539"/>
      <c r="RST314" s="539"/>
      <c r="RSU314" s="539"/>
      <c r="RSV314" s="539"/>
      <c r="RSW314" s="539"/>
      <c r="RSX314" s="539"/>
      <c r="RSY314" s="539"/>
      <c r="RSZ314" s="539"/>
      <c r="RTA314" s="539"/>
      <c r="RTB314" s="539"/>
      <c r="RTC314" s="539"/>
      <c r="RTD314" s="539"/>
      <c r="RTE314" s="539"/>
      <c r="RTF314" s="539"/>
      <c r="RTG314" s="539"/>
      <c r="RTH314" s="539"/>
      <c r="RTI314" s="539"/>
      <c r="RTJ314" s="539"/>
      <c r="RTK314" s="539"/>
      <c r="RTL314" s="539"/>
      <c r="RTM314" s="539"/>
      <c r="RTN314" s="539"/>
      <c r="RTO314" s="539"/>
      <c r="RTP314" s="539"/>
      <c r="RTQ314" s="539"/>
      <c r="RTR314" s="539"/>
      <c r="RTS314" s="539"/>
      <c r="RTT314" s="539"/>
      <c r="RTU314" s="539"/>
      <c r="RTV314" s="539"/>
      <c r="RTW314" s="539"/>
      <c r="RTX314" s="539"/>
      <c r="RTY314" s="539"/>
      <c r="RTZ314" s="539"/>
      <c r="RUA314" s="539"/>
      <c r="RUB314" s="539"/>
      <c r="RUC314" s="539"/>
      <c r="RUD314" s="539"/>
      <c r="RUE314" s="539"/>
      <c r="RUF314" s="539"/>
      <c r="RUG314" s="539"/>
      <c r="RUH314" s="539"/>
      <c r="RUI314" s="539"/>
      <c r="RUJ314" s="539"/>
      <c r="RUK314" s="539"/>
      <c r="RUL314" s="539"/>
      <c r="RUM314" s="539"/>
      <c r="RUN314" s="539"/>
      <c r="RUO314" s="539"/>
      <c r="RUP314" s="539"/>
      <c r="RUQ314" s="539"/>
      <c r="RUR314" s="539"/>
      <c r="RUS314" s="539"/>
      <c r="RUT314" s="539"/>
      <c r="RUU314" s="539"/>
      <c r="RUV314" s="539"/>
      <c r="RUW314" s="539"/>
      <c r="RUX314" s="539"/>
      <c r="RUY314" s="539"/>
      <c r="RUZ314" s="539"/>
      <c r="RVA314" s="539"/>
      <c r="RVB314" s="539"/>
      <c r="RVC314" s="539"/>
      <c r="RVD314" s="539"/>
      <c r="RVE314" s="539"/>
      <c r="RVF314" s="539"/>
      <c r="RVG314" s="539"/>
      <c r="RVH314" s="539"/>
      <c r="RVI314" s="539"/>
      <c r="RVJ314" s="539"/>
      <c r="RVK314" s="539"/>
      <c r="RVL314" s="539"/>
      <c r="RVM314" s="539"/>
      <c r="RVN314" s="539"/>
      <c r="RVO314" s="539"/>
      <c r="RVP314" s="539"/>
      <c r="RVQ314" s="539"/>
      <c r="RVR314" s="539"/>
      <c r="RVS314" s="539"/>
      <c r="RVT314" s="539"/>
      <c r="RVU314" s="539"/>
      <c r="RVV314" s="539"/>
      <c r="RVW314" s="539"/>
      <c r="RVX314" s="539"/>
      <c r="RVY314" s="539"/>
      <c r="RVZ314" s="539"/>
      <c r="RWA314" s="539"/>
      <c r="RWB314" s="539"/>
      <c r="RWC314" s="539"/>
      <c r="RWD314" s="539"/>
      <c r="RWE314" s="539"/>
      <c r="RWF314" s="539"/>
      <c r="RWG314" s="539"/>
      <c r="RWH314" s="539"/>
      <c r="RWI314" s="539"/>
      <c r="RWJ314" s="539"/>
      <c r="RWK314" s="539"/>
      <c r="RWL314" s="539"/>
      <c r="RWM314" s="539"/>
      <c r="RWN314" s="539"/>
      <c r="RWO314" s="539"/>
      <c r="RWP314" s="539"/>
      <c r="RWQ314" s="539"/>
      <c r="RWR314" s="539"/>
      <c r="RWS314" s="539"/>
      <c r="RWT314" s="539"/>
      <c r="RWU314" s="539"/>
      <c r="RWV314" s="539"/>
      <c r="RWW314" s="539"/>
      <c r="RWX314" s="539"/>
      <c r="RWY314" s="539"/>
      <c r="RWZ314" s="539"/>
      <c r="RXA314" s="539"/>
      <c r="RXB314" s="539"/>
      <c r="RXC314" s="539"/>
      <c r="RXD314" s="539"/>
      <c r="RXE314" s="539"/>
      <c r="RXF314" s="539"/>
      <c r="RXG314" s="539"/>
      <c r="RXH314" s="539"/>
      <c r="RXI314" s="539"/>
      <c r="RXJ314" s="539"/>
      <c r="RXK314" s="539"/>
      <c r="RXL314" s="539"/>
      <c r="RXM314" s="539"/>
      <c r="RXN314" s="539"/>
      <c r="RXO314" s="539"/>
      <c r="RXP314" s="539"/>
      <c r="RXQ314" s="539"/>
      <c r="RXR314" s="539"/>
      <c r="RXS314" s="539"/>
      <c r="RXT314" s="539"/>
      <c r="RXU314" s="539"/>
      <c r="RXV314" s="539"/>
      <c r="RXW314" s="539"/>
      <c r="RXX314" s="539"/>
      <c r="RXY314" s="539"/>
      <c r="RXZ314" s="539"/>
      <c r="RYA314" s="539"/>
      <c r="RYB314" s="539"/>
      <c r="RYC314" s="539"/>
      <c r="RYD314" s="539"/>
      <c r="RYE314" s="539"/>
      <c r="RYF314" s="539"/>
      <c r="RYG314" s="539"/>
      <c r="RYH314" s="539"/>
      <c r="RYI314" s="539"/>
      <c r="RYJ314" s="539"/>
      <c r="RYK314" s="539"/>
      <c r="RYL314" s="539"/>
      <c r="RYM314" s="539"/>
      <c r="RYN314" s="539"/>
      <c r="RYO314" s="539"/>
      <c r="RYP314" s="539"/>
      <c r="RYQ314" s="539"/>
      <c r="RYR314" s="539"/>
      <c r="RYS314" s="539"/>
      <c r="RYT314" s="539"/>
      <c r="RYU314" s="539"/>
      <c r="RYV314" s="539"/>
      <c r="RYW314" s="539"/>
      <c r="RYX314" s="539"/>
      <c r="RYY314" s="539"/>
      <c r="RYZ314" s="539"/>
      <c r="RZA314" s="539"/>
      <c r="RZB314" s="539"/>
      <c r="RZC314" s="539"/>
      <c r="RZD314" s="539"/>
      <c r="RZE314" s="539"/>
      <c r="RZF314" s="539"/>
      <c r="RZG314" s="539"/>
      <c r="RZH314" s="539"/>
      <c r="RZI314" s="539"/>
      <c r="RZJ314" s="539"/>
      <c r="RZK314" s="539"/>
      <c r="RZL314" s="539"/>
      <c r="RZM314" s="539"/>
      <c r="RZN314" s="539"/>
      <c r="RZO314" s="539"/>
      <c r="RZP314" s="539"/>
      <c r="RZQ314" s="539"/>
      <c r="RZR314" s="539"/>
      <c r="RZS314" s="539"/>
      <c r="RZT314" s="539"/>
      <c r="RZU314" s="539"/>
      <c r="RZV314" s="539"/>
      <c r="RZW314" s="539"/>
      <c r="RZX314" s="539"/>
      <c r="RZY314" s="539"/>
      <c r="RZZ314" s="539"/>
      <c r="SAA314" s="539"/>
      <c r="SAB314" s="539"/>
      <c r="SAC314" s="539"/>
      <c r="SAD314" s="539"/>
      <c r="SAE314" s="539"/>
      <c r="SAF314" s="539"/>
      <c r="SAG314" s="539"/>
      <c r="SAH314" s="539"/>
      <c r="SAI314" s="539"/>
      <c r="SAJ314" s="539"/>
      <c r="SAK314" s="539"/>
      <c r="SAL314" s="539"/>
      <c r="SAM314" s="539"/>
      <c r="SAN314" s="539"/>
      <c r="SAO314" s="539"/>
      <c r="SAP314" s="539"/>
      <c r="SAQ314" s="539"/>
      <c r="SAR314" s="539"/>
      <c r="SAS314" s="539"/>
      <c r="SAT314" s="539"/>
      <c r="SAU314" s="539"/>
      <c r="SAV314" s="539"/>
      <c r="SAW314" s="539"/>
      <c r="SAX314" s="539"/>
      <c r="SAY314" s="539"/>
      <c r="SAZ314" s="539"/>
      <c r="SBA314" s="539"/>
      <c r="SBB314" s="539"/>
      <c r="SBC314" s="539"/>
      <c r="SBD314" s="539"/>
      <c r="SBE314" s="539"/>
      <c r="SBF314" s="539"/>
      <c r="SBG314" s="539"/>
      <c r="SBH314" s="539"/>
      <c r="SBI314" s="539"/>
      <c r="SBJ314" s="539"/>
      <c r="SBK314" s="539"/>
      <c r="SBL314" s="539"/>
      <c r="SBM314" s="539"/>
      <c r="SBN314" s="539"/>
      <c r="SBO314" s="539"/>
      <c r="SBP314" s="539"/>
      <c r="SBQ314" s="539"/>
      <c r="SBR314" s="539"/>
      <c r="SBS314" s="539"/>
      <c r="SBT314" s="539"/>
      <c r="SBU314" s="539"/>
      <c r="SBV314" s="539"/>
      <c r="SBW314" s="539"/>
      <c r="SBX314" s="539"/>
      <c r="SBY314" s="539"/>
      <c r="SBZ314" s="539"/>
      <c r="SCA314" s="539"/>
      <c r="SCB314" s="539"/>
      <c r="SCC314" s="539"/>
      <c r="SCD314" s="539"/>
      <c r="SCE314" s="539"/>
      <c r="SCF314" s="539"/>
      <c r="SCG314" s="539"/>
      <c r="SCH314" s="539"/>
      <c r="SCI314" s="539"/>
      <c r="SCJ314" s="539"/>
      <c r="SCK314" s="539"/>
      <c r="SCL314" s="539"/>
      <c r="SCM314" s="539"/>
      <c r="SCN314" s="539"/>
      <c r="SCO314" s="539"/>
      <c r="SCP314" s="539"/>
      <c r="SCQ314" s="539"/>
      <c r="SCR314" s="539"/>
      <c r="SCS314" s="539"/>
      <c r="SCT314" s="539"/>
      <c r="SCU314" s="539"/>
      <c r="SCV314" s="539"/>
      <c r="SCW314" s="539"/>
      <c r="SCX314" s="539"/>
      <c r="SCY314" s="539"/>
      <c r="SCZ314" s="539"/>
      <c r="SDA314" s="539"/>
      <c r="SDB314" s="539"/>
      <c r="SDC314" s="539"/>
      <c r="SDD314" s="539"/>
      <c r="SDE314" s="539"/>
      <c r="SDF314" s="539"/>
      <c r="SDG314" s="539"/>
      <c r="SDH314" s="539"/>
      <c r="SDI314" s="539"/>
      <c r="SDJ314" s="539"/>
      <c r="SDK314" s="539"/>
      <c r="SDL314" s="539"/>
      <c r="SDM314" s="539"/>
      <c r="SDN314" s="539"/>
      <c r="SDO314" s="539"/>
      <c r="SDP314" s="539"/>
      <c r="SDQ314" s="539"/>
      <c r="SDR314" s="539"/>
      <c r="SDS314" s="539"/>
      <c r="SDT314" s="539"/>
      <c r="SDU314" s="539"/>
      <c r="SDV314" s="539"/>
      <c r="SDW314" s="539"/>
      <c r="SDX314" s="539"/>
      <c r="SDY314" s="539"/>
      <c r="SDZ314" s="539"/>
      <c r="SEA314" s="539"/>
      <c r="SEB314" s="539"/>
      <c r="SEC314" s="539"/>
      <c r="SED314" s="539"/>
      <c r="SEE314" s="539"/>
      <c r="SEF314" s="539"/>
      <c r="SEG314" s="539"/>
      <c r="SEH314" s="539"/>
      <c r="SEI314" s="539"/>
      <c r="SEJ314" s="539"/>
      <c r="SEK314" s="539"/>
      <c r="SEL314" s="539"/>
      <c r="SEM314" s="539"/>
      <c r="SEN314" s="539"/>
      <c r="SEO314" s="539"/>
      <c r="SEP314" s="539"/>
      <c r="SEQ314" s="539"/>
      <c r="SER314" s="539"/>
      <c r="SES314" s="539"/>
      <c r="SET314" s="539"/>
      <c r="SEU314" s="539"/>
      <c r="SEV314" s="539"/>
      <c r="SEW314" s="539"/>
      <c r="SEX314" s="539"/>
      <c r="SEY314" s="539"/>
      <c r="SEZ314" s="539"/>
      <c r="SFA314" s="539"/>
      <c r="SFB314" s="539"/>
      <c r="SFC314" s="539"/>
      <c r="SFD314" s="539"/>
      <c r="SFE314" s="539"/>
      <c r="SFF314" s="539"/>
      <c r="SFG314" s="539"/>
      <c r="SFH314" s="539"/>
      <c r="SFI314" s="539"/>
      <c r="SFJ314" s="539"/>
      <c r="SFK314" s="539"/>
      <c r="SFL314" s="539"/>
      <c r="SFM314" s="539"/>
      <c r="SFN314" s="539"/>
      <c r="SFO314" s="539"/>
      <c r="SFP314" s="539"/>
      <c r="SFQ314" s="539"/>
      <c r="SFR314" s="539"/>
      <c r="SFS314" s="539"/>
      <c r="SFT314" s="539"/>
      <c r="SFU314" s="539"/>
      <c r="SFV314" s="539"/>
      <c r="SFW314" s="539"/>
      <c r="SFX314" s="539"/>
      <c r="SFY314" s="539"/>
      <c r="SFZ314" s="539"/>
      <c r="SGA314" s="539"/>
      <c r="SGB314" s="539"/>
      <c r="SGC314" s="539"/>
      <c r="SGD314" s="539"/>
      <c r="SGE314" s="539"/>
      <c r="SGF314" s="539"/>
      <c r="SGG314" s="539"/>
      <c r="SGH314" s="539"/>
      <c r="SGI314" s="539"/>
      <c r="SGJ314" s="539"/>
      <c r="SGK314" s="539"/>
      <c r="SGL314" s="539"/>
      <c r="SGM314" s="539"/>
      <c r="SGN314" s="539"/>
      <c r="SGO314" s="539"/>
      <c r="SGP314" s="539"/>
      <c r="SGQ314" s="539"/>
      <c r="SGR314" s="539"/>
      <c r="SGS314" s="539"/>
      <c r="SGT314" s="539"/>
      <c r="SGU314" s="539"/>
      <c r="SGV314" s="539"/>
      <c r="SGW314" s="539"/>
      <c r="SGX314" s="539"/>
      <c r="SGY314" s="539"/>
      <c r="SGZ314" s="539"/>
      <c r="SHA314" s="539"/>
      <c r="SHB314" s="539"/>
      <c r="SHC314" s="539"/>
      <c r="SHD314" s="539"/>
      <c r="SHE314" s="539"/>
      <c r="SHF314" s="539"/>
      <c r="SHG314" s="539"/>
      <c r="SHH314" s="539"/>
      <c r="SHI314" s="539"/>
      <c r="SHJ314" s="539"/>
      <c r="SHK314" s="539"/>
      <c r="SHL314" s="539"/>
      <c r="SHM314" s="539"/>
      <c r="SHN314" s="539"/>
      <c r="SHO314" s="539"/>
      <c r="SHP314" s="539"/>
      <c r="SHQ314" s="539"/>
      <c r="SHR314" s="539"/>
      <c r="SHS314" s="539"/>
      <c r="SHT314" s="539"/>
      <c r="SHU314" s="539"/>
      <c r="SHV314" s="539"/>
      <c r="SHW314" s="539"/>
      <c r="SHX314" s="539"/>
      <c r="SHY314" s="539"/>
      <c r="SHZ314" s="539"/>
      <c r="SIA314" s="539"/>
      <c r="SIB314" s="539"/>
      <c r="SIC314" s="539"/>
      <c r="SID314" s="539"/>
      <c r="SIE314" s="539"/>
      <c r="SIF314" s="539"/>
      <c r="SIG314" s="539"/>
      <c r="SIH314" s="539"/>
      <c r="SII314" s="539"/>
      <c r="SIJ314" s="539"/>
      <c r="SIK314" s="539"/>
      <c r="SIL314" s="539"/>
      <c r="SIM314" s="539"/>
      <c r="SIN314" s="539"/>
      <c r="SIO314" s="539"/>
      <c r="SIP314" s="539"/>
      <c r="SIQ314" s="539"/>
      <c r="SIR314" s="539"/>
      <c r="SIS314" s="539"/>
      <c r="SIT314" s="539"/>
      <c r="SIU314" s="539"/>
      <c r="SIV314" s="539"/>
      <c r="SIW314" s="539"/>
      <c r="SIX314" s="539"/>
      <c r="SIY314" s="539"/>
      <c r="SIZ314" s="539"/>
      <c r="SJA314" s="539"/>
      <c r="SJB314" s="539"/>
      <c r="SJC314" s="539"/>
      <c r="SJD314" s="539"/>
      <c r="SJE314" s="539"/>
      <c r="SJF314" s="539"/>
      <c r="SJG314" s="539"/>
      <c r="SJH314" s="539"/>
      <c r="SJI314" s="539"/>
      <c r="SJJ314" s="539"/>
      <c r="SJK314" s="539"/>
      <c r="SJL314" s="539"/>
      <c r="SJM314" s="539"/>
      <c r="SJN314" s="539"/>
      <c r="SJO314" s="539"/>
      <c r="SJP314" s="539"/>
      <c r="SJQ314" s="539"/>
      <c r="SJR314" s="539"/>
      <c r="SJS314" s="539"/>
      <c r="SJT314" s="539"/>
      <c r="SJU314" s="539"/>
      <c r="SJV314" s="539"/>
      <c r="SJW314" s="539"/>
      <c r="SJX314" s="539"/>
      <c r="SJY314" s="539"/>
      <c r="SJZ314" s="539"/>
      <c r="SKA314" s="539"/>
      <c r="SKB314" s="539"/>
      <c r="SKC314" s="539"/>
      <c r="SKD314" s="539"/>
      <c r="SKE314" s="539"/>
      <c r="SKF314" s="539"/>
      <c r="SKG314" s="539"/>
      <c r="SKH314" s="539"/>
      <c r="SKI314" s="539"/>
      <c r="SKJ314" s="539"/>
      <c r="SKK314" s="539"/>
      <c r="SKL314" s="539"/>
      <c r="SKM314" s="539"/>
      <c r="SKN314" s="539"/>
      <c r="SKO314" s="539"/>
      <c r="SKP314" s="539"/>
      <c r="SKQ314" s="539"/>
      <c r="SKR314" s="539"/>
      <c r="SKS314" s="539"/>
      <c r="SKT314" s="539"/>
      <c r="SKU314" s="539"/>
      <c r="SKV314" s="539"/>
      <c r="SKW314" s="539"/>
      <c r="SKX314" s="539"/>
      <c r="SKY314" s="539"/>
      <c r="SKZ314" s="539"/>
      <c r="SLA314" s="539"/>
      <c r="SLB314" s="539"/>
      <c r="SLC314" s="539"/>
      <c r="SLD314" s="539"/>
      <c r="SLE314" s="539"/>
      <c r="SLF314" s="539"/>
      <c r="SLG314" s="539"/>
      <c r="SLH314" s="539"/>
      <c r="SLI314" s="539"/>
      <c r="SLJ314" s="539"/>
      <c r="SLK314" s="539"/>
      <c r="SLL314" s="539"/>
      <c r="SLM314" s="539"/>
      <c r="SLN314" s="539"/>
      <c r="SLO314" s="539"/>
      <c r="SLP314" s="539"/>
      <c r="SLQ314" s="539"/>
      <c r="SLR314" s="539"/>
      <c r="SLS314" s="539"/>
      <c r="SLT314" s="539"/>
      <c r="SLU314" s="539"/>
      <c r="SLV314" s="539"/>
      <c r="SLW314" s="539"/>
      <c r="SLX314" s="539"/>
      <c r="SLY314" s="539"/>
      <c r="SLZ314" s="539"/>
      <c r="SMA314" s="539"/>
      <c r="SMB314" s="539"/>
      <c r="SMC314" s="539"/>
      <c r="SMD314" s="539"/>
      <c r="SME314" s="539"/>
      <c r="SMF314" s="539"/>
      <c r="SMG314" s="539"/>
      <c r="SMH314" s="539"/>
      <c r="SMI314" s="539"/>
      <c r="SMJ314" s="539"/>
      <c r="SMK314" s="539"/>
      <c r="SML314" s="539"/>
      <c r="SMM314" s="539"/>
      <c r="SMN314" s="539"/>
      <c r="SMO314" s="539"/>
      <c r="SMP314" s="539"/>
      <c r="SMQ314" s="539"/>
      <c r="SMR314" s="539"/>
      <c r="SMS314" s="539"/>
      <c r="SMT314" s="539"/>
      <c r="SMU314" s="539"/>
      <c r="SMV314" s="539"/>
      <c r="SMW314" s="539"/>
      <c r="SMX314" s="539"/>
      <c r="SMY314" s="539"/>
      <c r="SMZ314" s="539"/>
      <c r="SNA314" s="539"/>
      <c r="SNB314" s="539"/>
      <c r="SNC314" s="539"/>
      <c r="SND314" s="539"/>
      <c r="SNE314" s="539"/>
      <c r="SNF314" s="539"/>
      <c r="SNG314" s="539"/>
      <c r="SNH314" s="539"/>
      <c r="SNI314" s="539"/>
      <c r="SNJ314" s="539"/>
      <c r="SNK314" s="539"/>
      <c r="SNL314" s="539"/>
      <c r="SNM314" s="539"/>
      <c r="SNN314" s="539"/>
      <c r="SNO314" s="539"/>
      <c r="SNP314" s="539"/>
      <c r="SNQ314" s="539"/>
      <c r="SNR314" s="539"/>
      <c r="SNS314" s="539"/>
      <c r="SNT314" s="539"/>
      <c r="SNU314" s="539"/>
      <c r="SNV314" s="539"/>
      <c r="SNW314" s="539"/>
      <c r="SNX314" s="539"/>
      <c r="SNY314" s="539"/>
      <c r="SNZ314" s="539"/>
      <c r="SOA314" s="539"/>
      <c r="SOB314" s="539"/>
      <c r="SOC314" s="539"/>
      <c r="SOD314" s="539"/>
      <c r="SOE314" s="539"/>
      <c r="SOF314" s="539"/>
      <c r="SOG314" s="539"/>
      <c r="SOH314" s="539"/>
      <c r="SOI314" s="539"/>
      <c r="SOJ314" s="539"/>
      <c r="SOK314" s="539"/>
      <c r="SOL314" s="539"/>
      <c r="SOM314" s="539"/>
      <c r="SON314" s="539"/>
      <c r="SOO314" s="539"/>
      <c r="SOP314" s="539"/>
      <c r="SOQ314" s="539"/>
      <c r="SOR314" s="539"/>
      <c r="SOS314" s="539"/>
      <c r="SOT314" s="539"/>
      <c r="SOU314" s="539"/>
      <c r="SOV314" s="539"/>
      <c r="SOW314" s="539"/>
      <c r="SOX314" s="539"/>
      <c r="SOY314" s="539"/>
      <c r="SOZ314" s="539"/>
      <c r="SPA314" s="539"/>
      <c r="SPB314" s="539"/>
      <c r="SPC314" s="539"/>
      <c r="SPD314" s="539"/>
      <c r="SPE314" s="539"/>
      <c r="SPF314" s="539"/>
      <c r="SPG314" s="539"/>
      <c r="SPH314" s="539"/>
      <c r="SPI314" s="539"/>
      <c r="SPJ314" s="539"/>
      <c r="SPK314" s="539"/>
      <c r="SPL314" s="539"/>
      <c r="SPM314" s="539"/>
      <c r="SPN314" s="539"/>
      <c r="SPO314" s="539"/>
      <c r="SPP314" s="539"/>
      <c r="SPQ314" s="539"/>
      <c r="SPR314" s="539"/>
      <c r="SPS314" s="539"/>
      <c r="SPT314" s="539"/>
      <c r="SPU314" s="539"/>
      <c r="SPV314" s="539"/>
      <c r="SPW314" s="539"/>
      <c r="SPX314" s="539"/>
      <c r="SPY314" s="539"/>
      <c r="SPZ314" s="539"/>
      <c r="SQA314" s="539"/>
      <c r="SQB314" s="539"/>
      <c r="SQC314" s="539"/>
      <c r="SQD314" s="539"/>
      <c r="SQE314" s="539"/>
      <c r="SQF314" s="539"/>
      <c r="SQG314" s="539"/>
      <c r="SQH314" s="539"/>
      <c r="SQI314" s="539"/>
      <c r="SQJ314" s="539"/>
      <c r="SQK314" s="539"/>
      <c r="SQL314" s="539"/>
      <c r="SQM314" s="539"/>
      <c r="SQN314" s="539"/>
      <c r="SQO314" s="539"/>
      <c r="SQP314" s="539"/>
      <c r="SQQ314" s="539"/>
      <c r="SQR314" s="539"/>
      <c r="SQS314" s="539"/>
      <c r="SQT314" s="539"/>
      <c r="SQU314" s="539"/>
      <c r="SQV314" s="539"/>
      <c r="SQW314" s="539"/>
      <c r="SQX314" s="539"/>
      <c r="SQY314" s="539"/>
      <c r="SQZ314" s="539"/>
      <c r="SRA314" s="539"/>
      <c r="SRB314" s="539"/>
      <c r="SRC314" s="539"/>
      <c r="SRD314" s="539"/>
      <c r="SRE314" s="539"/>
      <c r="SRF314" s="539"/>
      <c r="SRG314" s="539"/>
      <c r="SRH314" s="539"/>
      <c r="SRI314" s="539"/>
      <c r="SRJ314" s="539"/>
      <c r="SRK314" s="539"/>
      <c r="SRL314" s="539"/>
      <c r="SRM314" s="539"/>
      <c r="SRN314" s="539"/>
      <c r="SRO314" s="539"/>
      <c r="SRP314" s="539"/>
      <c r="SRQ314" s="539"/>
      <c r="SRR314" s="539"/>
      <c r="SRS314" s="539"/>
      <c r="SRT314" s="539"/>
      <c r="SRU314" s="539"/>
      <c r="SRV314" s="539"/>
      <c r="SRW314" s="539"/>
      <c r="SRX314" s="539"/>
      <c r="SRY314" s="539"/>
      <c r="SRZ314" s="539"/>
      <c r="SSA314" s="539"/>
      <c r="SSB314" s="539"/>
      <c r="SSC314" s="539"/>
      <c r="SSD314" s="539"/>
      <c r="SSE314" s="539"/>
      <c r="SSF314" s="539"/>
      <c r="SSG314" s="539"/>
      <c r="SSH314" s="539"/>
      <c r="SSI314" s="539"/>
      <c r="SSJ314" s="539"/>
      <c r="SSK314" s="539"/>
      <c r="SSL314" s="539"/>
      <c r="SSM314" s="539"/>
      <c r="SSN314" s="539"/>
      <c r="SSO314" s="539"/>
      <c r="SSP314" s="539"/>
      <c r="SSQ314" s="539"/>
      <c r="SSR314" s="539"/>
      <c r="SSS314" s="539"/>
      <c r="SST314" s="539"/>
      <c r="SSU314" s="539"/>
      <c r="SSV314" s="539"/>
      <c r="SSW314" s="539"/>
      <c r="SSX314" s="539"/>
      <c r="SSY314" s="539"/>
      <c r="SSZ314" s="539"/>
      <c r="STA314" s="539"/>
      <c r="STB314" s="539"/>
      <c r="STC314" s="539"/>
      <c r="STD314" s="539"/>
      <c r="STE314" s="539"/>
      <c r="STF314" s="539"/>
      <c r="STG314" s="539"/>
      <c r="STH314" s="539"/>
      <c r="STI314" s="539"/>
      <c r="STJ314" s="539"/>
      <c r="STK314" s="539"/>
      <c r="STL314" s="539"/>
      <c r="STM314" s="539"/>
      <c r="STN314" s="539"/>
      <c r="STO314" s="539"/>
      <c r="STP314" s="539"/>
      <c r="STQ314" s="539"/>
      <c r="STR314" s="539"/>
      <c r="STS314" s="539"/>
      <c r="STT314" s="539"/>
      <c r="STU314" s="539"/>
      <c r="STV314" s="539"/>
      <c r="STW314" s="539"/>
      <c r="STX314" s="539"/>
      <c r="STY314" s="539"/>
      <c r="STZ314" s="539"/>
      <c r="SUA314" s="539"/>
      <c r="SUB314" s="539"/>
      <c r="SUC314" s="539"/>
      <c r="SUD314" s="539"/>
      <c r="SUE314" s="539"/>
      <c r="SUF314" s="539"/>
      <c r="SUG314" s="539"/>
      <c r="SUH314" s="539"/>
      <c r="SUI314" s="539"/>
      <c r="SUJ314" s="539"/>
      <c r="SUK314" s="539"/>
      <c r="SUL314" s="539"/>
      <c r="SUM314" s="539"/>
      <c r="SUN314" s="539"/>
      <c r="SUO314" s="539"/>
      <c r="SUP314" s="539"/>
      <c r="SUQ314" s="539"/>
      <c r="SUR314" s="539"/>
      <c r="SUS314" s="539"/>
      <c r="SUT314" s="539"/>
      <c r="SUU314" s="539"/>
      <c r="SUV314" s="539"/>
      <c r="SUW314" s="539"/>
      <c r="SUX314" s="539"/>
      <c r="SUY314" s="539"/>
      <c r="SUZ314" s="539"/>
      <c r="SVA314" s="539"/>
      <c r="SVB314" s="539"/>
      <c r="SVC314" s="539"/>
      <c r="SVD314" s="539"/>
      <c r="SVE314" s="539"/>
      <c r="SVF314" s="539"/>
      <c r="SVG314" s="539"/>
      <c r="SVH314" s="539"/>
      <c r="SVI314" s="539"/>
      <c r="SVJ314" s="539"/>
      <c r="SVK314" s="539"/>
      <c r="SVL314" s="539"/>
      <c r="SVM314" s="539"/>
      <c r="SVN314" s="539"/>
      <c r="SVO314" s="539"/>
      <c r="SVP314" s="539"/>
      <c r="SVQ314" s="539"/>
      <c r="SVR314" s="539"/>
      <c r="SVS314" s="539"/>
      <c r="SVT314" s="539"/>
      <c r="SVU314" s="539"/>
      <c r="SVV314" s="539"/>
      <c r="SVW314" s="539"/>
      <c r="SVX314" s="539"/>
      <c r="SVY314" s="539"/>
      <c r="SVZ314" s="539"/>
      <c r="SWA314" s="539"/>
      <c r="SWB314" s="539"/>
      <c r="SWC314" s="539"/>
      <c r="SWD314" s="539"/>
      <c r="SWE314" s="539"/>
      <c r="SWF314" s="539"/>
      <c r="SWG314" s="539"/>
      <c r="SWH314" s="539"/>
      <c r="SWI314" s="539"/>
      <c r="SWJ314" s="539"/>
      <c r="SWK314" s="539"/>
      <c r="SWL314" s="539"/>
      <c r="SWM314" s="539"/>
      <c r="SWN314" s="539"/>
      <c r="SWO314" s="539"/>
      <c r="SWP314" s="539"/>
      <c r="SWQ314" s="539"/>
      <c r="SWR314" s="539"/>
      <c r="SWS314" s="539"/>
      <c r="SWT314" s="539"/>
      <c r="SWU314" s="539"/>
      <c r="SWV314" s="539"/>
      <c r="SWW314" s="539"/>
      <c r="SWX314" s="539"/>
      <c r="SWY314" s="539"/>
      <c r="SWZ314" s="539"/>
      <c r="SXA314" s="539"/>
      <c r="SXB314" s="539"/>
      <c r="SXC314" s="539"/>
      <c r="SXD314" s="539"/>
      <c r="SXE314" s="539"/>
      <c r="SXF314" s="539"/>
      <c r="SXG314" s="539"/>
      <c r="SXH314" s="539"/>
      <c r="SXI314" s="539"/>
      <c r="SXJ314" s="539"/>
      <c r="SXK314" s="539"/>
      <c r="SXL314" s="539"/>
      <c r="SXM314" s="539"/>
      <c r="SXN314" s="539"/>
      <c r="SXO314" s="539"/>
      <c r="SXP314" s="539"/>
      <c r="SXQ314" s="539"/>
      <c r="SXR314" s="539"/>
      <c r="SXS314" s="539"/>
      <c r="SXT314" s="539"/>
      <c r="SXU314" s="539"/>
      <c r="SXV314" s="539"/>
      <c r="SXW314" s="539"/>
      <c r="SXX314" s="539"/>
      <c r="SXY314" s="539"/>
      <c r="SXZ314" s="539"/>
      <c r="SYA314" s="539"/>
      <c r="SYB314" s="539"/>
      <c r="SYC314" s="539"/>
      <c r="SYD314" s="539"/>
      <c r="SYE314" s="539"/>
      <c r="SYF314" s="539"/>
      <c r="SYG314" s="539"/>
      <c r="SYH314" s="539"/>
      <c r="SYI314" s="539"/>
      <c r="SYJ314" s="539"/>
      <c r="SYK314" s="539"/>
      <c r="SYL314" s="539"/>
      <c r="SYM314" s="539"/>
      <c r="SYN314" s="539"/>
      <c r="SYO314" s="539"/>
      <c r="SYP314" s="539"/>
      <c r="SYQ314" s="539"/>
      <c r="SYR314" s="539"/>
      <c r="SYS314" s="539"/>
      <c r="SYT314" s="539"/>
      <c r="SYU314" s="539"/>
      <c r="SYV314" s="539"/>
      <c r="SYW314" s="539"/>
      <c r="SYX314" s="539"/>
      <c r="SYY314" s="539"/>
      <c r="SYZ314" s="539"/>
      <c r="SZA314" s="539"/>
      <c r="SZB314" s="539"/>
      <c r="SZC314" s="539"/>
      <c r="SZD314" s="539"/>
      <c r="SZE314" s="539"/>
      <c r="SZF314" s="539"/>
      <c r="SZG314" s="539"/>
      <c r="SZH314" s="539"/>
      <c r="SZI314" s="539"/>
      <c r="SZJ314" s="539"/>
      <c r="SZK314" s="539"/>
      <c r="SZL314" s="539"/>
      <c r="SZM314" s="539"/>
      <c r="SZN314" s="539"/>
      <c r="SZO314" s="539"/>
      <c r="SZP314" s="539"/>
      <c r="SZQ314" s="539"/>
      <c r="SZR314" s="539"/>
      <c r="SZS314" s="539"/>
      <c r="SZT314" s="539"/>
      <c r="SZU314" s="539"/>
      <c r="SZV314" s="539"/>
      <c r="SZW314" s="539"/>
      <c r="SZX314" s="539"/>
      <c r="SZY314" s="539"/>
      <c r="SZZ314" s="539"/>
      <c r="TAA314" s="539"/>
      <c r="TAB314" s="539"/>
      <c r="TAC314" s="539"/>
      <c r="TAD314" s="539"/>
      <c r="TAE314" s="539"/>
      <c r="TAF314" s="539"/>
      <c r="TAG314" s="539"/>
      <c r="TAH314" s="539"/>
      <c r="TAI314" s="539"/>
      <c r="TAJ314" s="539"/>
      <c r="TAK314" s="539"/>
      <c r="TAL314" s="539"/>
      <c r="TAM314" s="539"/>
      <c r="TAN314" s="539"/>
      <c r="TAO314" s="539"/>
      <c r="TAP314" s="539"/>
      <c r="TAQ314" s="539"/>
      <c r="TAR314" s="539"/>
      <c r="TAS314" s="539"/>
      <c r="TAT314" s="539"/>
      <c r="TAU314" s="539"/>
      <c r="TAV314" s="539"/>
      <c r="TAW314" s="539"/>
      <c r="TAX314" s="539"/>
      <c r="TAY314" s="539"/>
      <c r="TAZ314" s="539"/>
      <c r="TBA314" s="539"/>
      <c r="TBB314" s="539"/>
      <c r="TBC314" s="539"/>
      <c r="TBD314" s="539"/>
      <c r="TBE314" s="539"/>
      <c r="TBF314" s="539"/>
      <c r="TBG314" s="539"/>
      <c r="TBH314" s="539"/>
      <c r="TBI314" s="539"/>
      <c r="TBJ314" s="539"/>
      <c r="TBK314" s="539"/>
      <c r="TBL314" s="539"/>
      <c r="TBM314" s="539"/>
      <c r="TBN314" s="539"/>
      <c r="TBO314" s="539"/>
      <c r="TBP314" s="539"/>
      <c r="TBQ314" s="539"/>
      <c r="TBR314" s="539"/>
      <c r="TBS314" s="539"/>
      <c r="TBT314" s="539"/>
      <c r="TBU314" s="539"/>
      <c r="TBV314" s="539"/>
      <c r="TBW314" s="539"/>
      <c r="TBX314" s="539"/>
      <c r="TBY314" s="539"/>
      <c r="TBZ314" s="539"/>
      <c r="TCA314" s="539"/>
      <c r="TCB314" s="539"/>
      <c r="TCC314" s="539"/>
      <c r="TCD314" s="539"/>
      <c r="TCE314" s="539"/>
      <c r="TCF314" s="539"/>
      <c r="TCG314" s="539"/>
      <c r="TCH314" s="539"/>
      <c r="TCI314" s="539"/>
      <c r="TCJ314" s="539"/>
      <c r="TCK314" s="539"/>
      <c r="TCL314" s="539"/>
      <c r="TCM314" s="539"/>
      <c r="TCN314" s="539"/>
      <c r="TCO314" s="539"/>
      <c r="TCP314" s="539"/>
      <c r="TCQ314" s="539"/>
      <c r="TCR314" s="539"/>
      <c r="TCS314" s="539"/>
      <c r="TCT314" s="539"/>
      <c r="TCU314" s="539"/>
      <c r="TCV314" s="539"/>
      <c r="TCW314" s="539"/>
      <c r="TCX314" s="539"/>
      <c r="TCY314" s="539"/>
      <c r="TCZ314" s="539"/>
      <c r="TDA314" s="539"/>
      <c r="TDB314" s="539"/>
      <c r="TDC314" s="539"/>
      <c r="TDD314" s="539"/>
      <c r="TDE314" s="539"/>
      <c r="TDF314" s="539"/>
      <c r="TDG314" s="539"/>
      <c r="TDH314" s="539"/>
      <c r="TDI314" s="539"/>
      <c r="TDJ314" s="539"/>
      <c r="TDK314" s="539"/>
      <c r="TDL314" s="539"/>
      <c r="TDM314" s="539"/>
      <c r="TDN314" s="539"/>
      <c r="TDO314" s="539"/>
      <c r="TDP314" s="539"/>
      <c r="TDQ314" s="539"/>
      <c r="TDR314" s="539"/>
      <c r="TDS314" s="539"/>
      <c r="TDT314" s="539"/>
      <c r="TDU314" s="539"/>
      <c r="TDV314" s="539"/>
      <c r="TDW314" s="539"/>
      <c r="TDX314" s="539"/>
      <c r="TDY314" s="539"/>
      <c r="TDZ314" s="539"/>
      <c r="TEA314" s="539"/>
      <c r="TEB314" s="539"/>
      <c r="TEC314" s="539"/>
      <c r="TED314" s="539"/>
      <c r="TEE314" s="539"/>
      <c r="TEF314" s="539"/>
      <c r="TEG314" s="539"/>
      <c r="TEH314" s="539"/>
      <c r="TEI314" s="539"/>
      <c r="TEJ314" s="539"/>
      <c r="TEK314" s="539"/>
      <c r="TEL314" s="539"/>
      <c r="TEM314" s="539"/>
      <c r="TEN314" s="539"/>
      <c r="TEO314" s="539"/>
      <c r="TEP314" s="539"/>
      <c r="TEQ314" s="539"/>
      <c r="TER314" s="539"/>
      <c r="TES314" s="539"/>
      <c r="TET314" s="539"/>
      <c r="TEU314" s="539"/>
      <c r="TEV314" s="539"/>
      <c r="TEW314" s="539"/>
      <c r="TEX314" s="539"/>
      <c r="TEY314" s="539"/>
      <c r="TEZ314" s="539"/>
      <c r="TFA314" s="539"/>
      <c r="TFB314" s="539"/>
      <c r="TFC314" s="539"/>
      <c r="TFD314" s="539"/>
      <c r="TFE314" s="539"/>
      <c r="TFF314" s="539"/>
      <c r="TFG314" s="539"/>
      <c r="TFH314" s="539"/>
      <c r="TFI314" s="539"/>
      <c r="TFJ314" s="539"/>
      <c r="TFK314" s="539"/>
      <c r="TFL314" s="539"/>
      <c r="TFM314" s="539"/>
      <c r="TFN314" s="539"/>
      <c r="TFO314" s="539"/>
      <c r="TFP314" s="539"/>
      <c r="TFQ314" s="539"/>
      <c r="TFR314" s="539"/>
      <c r="TFS314" s="539"/>
      <c r="TFT314" s="539"/>
      <c r="TFU314" s="539"/>
      <c r="TFV314" s="539"/>
      <c r="TFW314" s="539"/>
      <c r="TFX314" s="539"/>
      <c r="TFY314" s="539"/>
      <c r="TFZ314" s="539"/>
      <c r="TGA314" s="539"/>
      <c r="TGB314" s="539"/>
      <c r="TGC314" s="539"/>
      <c r="TGD314" s="539"/>
      <c r="TGE314" s="539"/>
      <c r="TGF314" s="539"/>
      <c r="TGG314" s="539"/>
      <c r="TGH314" s="539"/>
      <c r="TGI314" s="539"/>
      <c r="TGJ314" s="539"/>
      <c r="TGK314" s="539"/>
      <c r="TGL314" s="539"/>
      <c r="TGM314" s="539"/>
      <c r="TGN314" s="539"/>
      <c r="TGO314" s="539"/>
      <c r="TGP314" s="539"/>
      <c r="TGQ314" s="539"/>
      <c r="TGR314" s="539"/>
      <c r="TGS314" s="539"/>
      <c r="TGT314" s="539"/>
      <c r="TGU314" s="539"/>
      <c r="TGV314" s="539"/>
      <c r="TGW314" s="539"/>
      <c r="TGX314" s="539"/>
      <c r="TGY314" s="539"/>
      <c r="TGZ314" s="539"/>
      <c r="THA314" s="539"/>
      <c r="THB314" s="539"/>
      <c r="THC314" s="539"/>
      <c r="THD314" s="539"/>
      <c r="THE314" s="539"/>
      <c r="THF314" s="539"/>
      <c r="THG314" s="539"/>
      <c r="THH314" s="539"/>
      <c r="THI314" s="539"/>
      <c r="THJ314" s="539"/>
      <c r="THK314" s="539"/>
      <c r="THL314" s="539"/>
      <c r="THM314" s="539"/>
      <c r="THN314" s="539"/>
      <c r="THO314" s="539"/>
      <c r="THP314" s="539"/>
      <c r="THQ314" s="539"/>
      <c r="THR314" s="539"/>
      <c r="THS314" s="539"/>
      <c r="THT314" s="539"/>
      <c r="THU314" s="539"/>
      <c r="THV314" s="539"/>
      <c r="THW314" s="539"/>
      <c r="THX314" s="539"/>
      <c r="THY314" s="539"/>
      <c r="THZ314" s="539"/>
      <c r="TIA314" s="539"/>
      <c r="TIB314" s="539"/>
      <c r="TIC314" s="539"/>
      <c r="TID314" s="539"/>
      <c r="TIE314" s="539"/>
      <c r="TIF314" s="539"/>
      <c r="TIG314" s="539"/>
      <c r="TIH314" s="539"/>
      <c r="TII314" s="539"/>
      <c r="TIJ314" s="539"/>
      <c r="TIK314" s="539"/>
      <c r="TIL314" s="539"/>
      <c r="TIM314" s="539"/>
      <c r="TIN314" s="539"/>
      <c r="TIO314" s="539"/>
      <c r="TIP314" s="539"/>
      <c r="TIQ314" s="539"/>
      <c r="TIR314" s="539"/>
      <c r="TIS314" s="539"/>
      <c r="TIT314" s="539"/>
      <c r="TIU314" s="539"/>
      <c r="TIV314" s="539"/>
      <c r="TIW314" s="539"/>
      <c r="TIX314" s="539"/>
      <c r="TIY314" s="539"/>
      <c r="TIZ314" s="539"/>
      <c r="TJA314" s="539"/>
      <c r="TJB314" s="539"/>
      <c r="TJC314" s="539"/>
      <c r="TJD314" s="539"/>
      <c r="TJE314" s="539"/>
      <c r="TJF314" s="539"/>
      <c r="TJG314" s="539"/>
      <c r="TJH314" s="539"/>
      <c r="TJI314" s="539"/>
      <c r="TJJ314" s="539"/>
      <c r="TJK314" s="539"/>
      <c r="TJL314" s="539"/>
      <c r="TJM314" s="539"/>
      <c r="TJN314" s="539"/>
      <c r="TJO314" s="539"/>
      <c r="TJP314" s="539"/>
      <c r="TJQ314" s="539"/>
      <c r="TJR314" s="539"/>
      <c r="TJS314" s="539"/>
      <c r="TJT314" s="539"/>
      <c r="TJU314" s="539"/>
      <c r="TJV314" s="539"/>
      <c r="TJW314" s="539"/>
      <c r="TJX314" s="539"/>
      <c r="TJY314" s="539"/>
      <c r="TJZ314" s="539"/>
      <c r="TKA314" s="539"/>
      <c r="TKB314" s="539"/>
      <c r="TKC314" s="539"/>
      <c r="TKD314" s="539"/>
      <c r="TKE314" s="539"/>
      <c r="TKF314" s="539"/>
      <c r="TKG314" s="539"/>
      <c r="TKH314" s="539"/>
      <c r="TKI314" s="539"/>
      <c r="TKJ314" s="539"/>
      <c r="TKK314" s="539"/>
      <c r="TKL314" s="539"/>
      <c r="TKM314" s="539"/>
      <c r="TKN314" s="539"/>
      <c r="TKO314" s="539"/>
      <c r="TKP314" s="539"/>
      <c r="TKQ314" s="539"/>
      <c r="TKR314" s="539"/>
      <c r="TKS314" s="539"/>
      <c r="TKT314" s="539"/>
      <c r="TKU314" s="539"/>
      <c r="TKV314" s="539"/>
      <c r="TKW314" s="539"/>
      <c r="TKX314" s="539"/>
      <c r="TKY314" s="539"/>
      <c r="TKZ314" s="539"/>
      <c r="TLA314" s="539"/>
      <c r="TLB314" s="539"/>
      <c r="TLC314" s="539"/>
      <c r="TLD314" s="539"/>
      <c r="TLE314" s="539"/>
      <c r="TLF314" s="539"/>
      <c r="TLG314" s="539"/>
      <c r="TLH314" s="539"/>
      <c r="TLI314" s="539"/>
      <c r="TLJ314" s="539"/>
      <c r="TLK314" s="539"/>
      <c r="TLL314" s="539"/>
      <c r="TLM314" s="539"/>
      <c r="TLN314" s="539"/>
      <c r="TLO314" s="539"/>
      <c r="TLP314" s="539"/>
      <c r="TLQ314" s="539"/>
      <c r="TLR314" s="539"/>
      <c r="TLS314" s="539"/>
      <c r="TLT314" s="539"/>
      <c r="TLU314" s="539"/>
      <c r="TLV314" s="539"/>
      <c r="TLW314" s="539"/>
      <c r="TLX314" s="539"/>
      <c r="TLY314" s="539"/>
      <c r="TLZ314" s="539"/>
      <c r="TMA314" s="539"/>
      <c r="TMB314" s="539"/>
      <c r="TMC314" s="539"/>
      <c r="TMD314" s="539"/>
      <c r="TME314" s="539"/>
      <c r="TMF314" s="539"/>
      <c r="TMG314" s="539"/>
      <c r="TMH314" s="539"/>
      <c r="TMI314" s="539"/>
      <c r="TMJ314" s="539"/>
      <c r="TMK314" s="539"/>
      <c r="TML314" s="539"/>
      <c r="TMM314" s="539"/>
      <c r="TMN314" s="539"/>
      <c r="TMO314" s="539"/>
      <c r="TMP314" s="539"/>
      <c r="TMQ314" s="539"/>
      <c r="TMR314" s="539"/>
      <c r="TMS314" s="539"/>
      <c r="TMT314" s="539"/>
      <c r="TMU314" s="539"/>
      <c r="TMV314" s="539"/>
      <c r="TMW314" s="539"/>
      <c r="TMX314" s="539"/>
      <c r="TMY314" s="539"/>
      <c r="TMZ314" s="539"/>
      <c r="TNA314" s="539"/>
      <c r="TNB314" s="539"/>
      <c r="TNC314" s="539"/>
      <c r="TND314" s="539"/>
      <c r="TNE314" s="539"/>
      <c r="TNF314" s="539"/>
      <c r="TNG314" s="539"/>
      <c r="TNH314" s="539"/>
      <c r="TNI314" s="539"/>
      <c r="TNJ314" s="539"/>
      <c r="TNK314" s="539"/>
      <c r="TNL314" s="539"/>
      <c r="TNM314" s="539"/>
      <c r="TNN314" s="539"/>
      <c r="TNO314" s="539"/>
      <c r="TNP314" s="539"/>
      <c r="TNQ314" s="539"/>
      <c r="TNR314" s="539"/>
      <c r="TNS314" s="539"/>
      <c r="TNT314" s="539"/>
      <c r="TNU314" s="539"/>
      <c r="TNV314" s="539"/>
      <c r="TNW314" s="539"/>
      <c r="TNX314" s="539"/>
      <c r="TNY314" s="539"/>
      <c r="TNZ314" s="539"/>
      <c r="TOA314" s="539"/>
      <c r="TOB314" s="539"/>
      <c r="TOC314" s="539"/>
      <c r="TOD314" s="539"/>
      <c r="TOE314" s="539"/>
      <c r="TOF314" s="539"/>
      <c r="TOG314" s="539"/>
      <c r="TOH314" s="539"/>
      <c r="TOI314" s="539"/>
      <c r="TOJ314" s="539"/>
      <c r="TOK314" s="539"/>
      <c r="TOL314" s="539"/>
      <c r="TOM314" s="539"/>
      <c r="TON314" s="539"/>
      <c r="TOO314" s="539"/>
      <c r="TOP314" s="539"/>
      <c r="TOQ314" s="539"/>
      <c r="TOR314" s="539"/>
      <c r="TOS314" s="539"/>
      <c r="TOT314" s="539"/>
      <c r="TOU314" s="539"/>
      <c r="TOV314" s="539"/>
      <c r="TOW314" s="539"/>
      <c r="TOX314" s="539"/>
      <c r="TOY314" s="539"/>
      <c r="TOZ314" s="539"/>
      <c r="TPA314" s="539"/>
      <c r="TPB314" s="539"/>
      <c r="TPC314" s="539"/>
      <c r="TPD314" s="539"/>
      <c r="TPE314" s="539"/>
      <c r="TPF314" s="539"/>
      <c r="TPG314" s="539"/>
      <c r="TPH314" s="539"/>
      <c r="TPI314" s="539"/>
      <c r="TPJ314" s="539"/>
      <c r="TPK314" s="539"/>
      <c r="TPL314" s="539"/>
      <c r="TPM314" s="539"/>
      <c r="TPN314" s="539"/>
      <c r="TPO314" s="539"/>
      <c r="TPP314" s="539"/>
      <c r="TPQ314" s="539"/>
      <c r="TPR314" s="539"/>
      <c r="TPS314" s="539"/>
      <c r="TPT314" s="539"/>
      <c r="TPU314" s="539"/>
      <c r="TPV314" s="539"/>
      <c r="TPW314" s="539"/>
      <c r="TPX314" s="539"/>
      <c r="TPY314" s="539"/>
      <c r="TPZ314" s="539"/>
      <c r="TQA314" s="539"/>
      <c r="TQB314" s="539"/>
      <c r="TQC314" s="539"/>
      <c r="TQD314" s="539"/>
      <c r="TQE314" s="539"/>
      <c r="TQF314" s="539"/>
      <c r="TQG314" s="539"/>
      <c r="TQH314" s="539"/>
      <c r="TQI314" s="539"/>
      <c r="TQJ314" s="539"/>
      <c r="TQK314" s="539"/>
      <c r="TQL314" s="539"/>
      <c r="TQM314" s="539"/>
      <c r="TQN314" s="539"/>
      <c r="TQO314" s="539"/>
      <c r="TQP314" s="539"/>
      <c r="TQQ314" s="539"/>
      <c r="TQR314" s="539"/>
      <c r="TQS314" s="539"/>
      <c r="TQT314" s="539"/>
      <c r="TQU314" s="539"/>
      <c r="TQV314" s="539"/>
      <c r="TQW314" s="539"/>
      <c r="TQX314" s="539"/>
      <c r="TQY314" s="539"/>
      <c r="TQZ314" s="539"/>
      <c r="TRA314" s="539"/>
      <c r="TRB314" s="539"/>
      <c r="TRC314" s="539"/>
      <c r="TRD314" s="539"/>
      <c r="TRE314" s="539"/>
      <c r="TRF314" s="539"/>
      <c r="TRG314" s="539"/>
      <c r="TRH314" s="539"/>
      <c r="TRI314" s="539"/>
      <c r="TRJ314" s="539"/>
      <c r="TRK314" s="539"/>
      <c r="TRL314" s="539"/>
      <c r="TRM314" s="539"/>
      <c r="TRN314" s="539"/>
      <c r="TRO314" s="539"/>
      <c r="TRP314" s="539"/>
      <c r="TRQ314" s="539"/>
      <c r="TRR314" s="539"/>
      <c r="TRS314" s="539"/>
      <c r="TRT314" s="539"/>
      <c r="TRU314" s="539"/>
      <c r="TRV314" s="539"/>
      <c r="TRW314" s="539"/>
      <c r="TRX314" s="539"/>
      <c r="TRY314" s="539"/>
      <c r="TRZ314" s="539"/>
      <c r="TSA314" s="539"/>
      <c r="TSB314" s="539"/>
      <c r="TSC314" s="539"/>
      <c r="TSD314" s="539"/>
      <c r="TSE314" s="539"/>
      <c r="TSF314" s="539"/>
      <c r="TSG314" s="539"/>
      <c r="TSH314" s="539"/>
      <c r="TSI314" s="539"/>
      <c r="TSJ314" s="539"/>
      <c r="TSK314" s="539"/>
      <c r="TSL314" s="539"/>
      <c r="TSM314" s="539"/>
      <c r="TSN314" s="539"/>
      <c r="TSO314" s="539"/>
      <c r="TSP314" s="539"/>
      <c r="TSQ314" s="539"/>
      <c r="TSR314" s="539"/>
      <c r="TSS314" s="539"/>
      <c r="TST314" s="539"/>
      <c r="TSU314" s="539"/>
      <c r="TSV314" s="539"/>
      <c r="TSW314" s="539"/>
      <c r="TSX314" s="539"/>
      <c r="TSY314" s="539"/>
      <c r="TSZ314" s="539"/>
      <c r="TTA314" s="539"/>
      <c r="TTB314" s="539"/>
      <c r="TTC314" s="539"/>
      <c r="TTD314" s="539"/>
      <c r="TTE314" s="539"/>
      <c r="TTF314" s="539"/>
      <c r="TTG314" s="539"/>
      <c r="TTH314" s="539"/>
      <c r="TTI314" s="539"/>
      <c r="TTJ314" s="539"/>
      <c r="TTK314" s="539"/>
      <c r="TTL314" s="539"/>
      <c r="TTM314" s="539"/>
      <c r="TTN314" s="539"/>
      <c r="TTO314" s="539"/>
      <c r="TTP314" s="539"/>
      <c r="TTQ314" s="539"/>
      <c r="TTR314" s="539"/>
      <c r="TTS314" s="539"/>
      <c r="TTT314" s="539"/>
      <c r="TTU314" s="539"/>
      <c r="TTV314" s="539"/>
      <c r="TTW314" s="539"/>
      <c r="TTX314" s="539"/>
      <c r="TTY314" s="539"/>
      <c r="TTZ314" s="539"/>
      <c r="TUA314" s="539"/>
      <c r="TUB314" s="539"/>
      <c r="TUC314" s="539"/>
      <c r="TUD314" s="539"/>
      <c r="TUE314" s="539"/>
      <c r="TUF314" s="539"/>
      <c r="TUG314" s="539"/>
      <c r="TUH314" s="539"/>
      <c r="TUI314" s="539"/>
      <c r="TUJ314" s="539"/>
      <c r="TUK314" s="539"/>
      <c r="TUL314" s="539"/>
      <c r="TUM314" s="539"/>
      <c r="TUN314" s="539"/>
      <c r="TUO314" s="539"/>
      <c r="TUP314" s="539"/>
      <c r="TUQ314" s="539"/>
      <c r="TUR314" s="539"/>
      <c r="TUS314" s="539"/>
      <c r="TUT314" s="539"/>
      <c r="TUU314" s="539"/>
      <c r="TUV314" s="539"/>
      <c r="TUW314" s="539"/>
      <c r="TUX314" s="539"/>
      <c r="TUY314" s="539"/>
      <c r="TUZ314" s="539"/>
      <c r="TVA314" s="539"/>
      <c r="TVB314" s="539"/>
      <c r="TVC314" s="539"/>
      <c r="TVD314" s="539"/>
      <c r="TVE314" s="539"/>
      <c r="TVF314" s="539"/>
      <c r="TVG314" s="539"/>
      <c r="TVH314" s="539"/>
      <c r="TVI314" s="539"/>
      <c r="TVJ314" s="539"/>
      <c r="TVK314" s="539"/>
      <c r="TVL314" s="539"/>
      <c r="TVM314" s="539"/>
      <c r="TVN314" s="539"/>
      <c r="TVO314" s="539"/>
      <c r="TVP314" s="539"/>
      <c r="TVQ314" s="539"/>
      <c r="TVR314" s="539"/>
      <c r="TVS314" s="539"/>
      <c r="TVT314" s="539"/>
      <c r="TVU314" s="539"/>
      <c r="TVV314" s="539"/>
      <c r="TVW314" s="539"/>
      <c r="TVX314" s="539"/>
      <c r="TVY314" s="539"/>
      <c r="TVZ314" s="539"/>
      <c r="TWA314" s="539"/>
      <c r="TWB314" s="539"/>
      <c r="TWC314" s="539"/>
      <c r="TWD314" s="539"/>
      <c r="TWE314" s="539"/>
      <c r="TWF314" s="539"/>
      <c r="TWG314" s="539"/>
      <c r="TWH314" s="539"/>
      <c r="TWI314" s="539"/>
      <c r="TWJ314" s="539"/>
      <c r="TWK314" s="539"/>
      <c r="TWL314" s="539"/>
      <c r="TWM314" s="539"/>
      <c r="TWN314" s="539"/>
      <c r="TWO314" s="539"/>
      <c r="TWP314" s="539"/>
      <c r="TWQ314" s="539"/>
      <c r="TWR314" s="539"/>
      <c r="TWS314" s="539"/>
      <c r="TWT314" s="539"/>
      <c r="TWU314" s="539"/>
      <c r="TWV314" s="539"/>
      <c r="TWW314" s="539"/>
      <c r="TWX314" s="539"/>
      <c r="TWY314" s="539"/>
      <c r="TWZ314" s="539"/>
      <c r="TXA314" s="539"/>
      <c r="TXB314" s="539"/>
      <c r="TXC314" s="539"/>
      <c r="TXD314" s="539"/>
      <c r="TXE314" s="539"/>
      <c r="TXF314" s="539"/>
      <c r="TXG314" s="539"/>
      <c r="TXH314" s="539"/>
      <c r="TXI314" s="539"/>
      <c r="TXJ314" s="539"/>
      <c r="TXK314" s="539"/>
      <c r="TXL314" s="539"/>
      <c r="TXM314" s="539"/>
      <c r="TXN314" s="539"/>
      <c r="TXO314" s="539"/>
      <c r="TXP314" s="539"/>
      <c r="TXQ314" s="539"/>
      <c r="TXR314" s="539"/>
      <c r="TXS314" s="539"/>
      <c r="TXT314" s="539"/>
      <c r="TXU314" s="539"/>
      <c r="TXV314" s="539"/>
      <c r="TXW314" s="539"/>
      <c r="TXX314" s="539"/>
      <c r="TXY314" s="539"/>
      <c r="TXZ314" s="539"/>
      <c r="TYA314" s="539"/>
      <c r="TYB314" s="539"/>
      <c r="TYC314" s="539"/>
      <c r="TYD314" s="539"/>
      <c r="TYE314" s="539"/>
      <c r="TYF314" s="539"/>
      <c r="TYG314" s="539"/>
      <c r="TYH314" s="539"/>
      <c r="TYI314" s="539"/>
      <c r="TYJ314" s="539"/>
      <c r="TYK314" s="539"/>
      <c r="TYL314" s="539"/>
      <c r="TYM314" s="539"/>
      <c r="TYN314" s="539"/>
      <c r="TYO314" s="539"/>
      <c r="TYP314" s="539"/>
      <c r="TYQ314" s="539"/>
      <c r="TYR314" s="539"/>
      <c r="TYS314" s="539"/>
      <c r="TYT314" s="539"/>
      <c r="TYU314" s="539"/>
      <c r="TYV314" s="539"/>
      <c r="TYW314" s="539"/>
      <c r="TYX314" s="539"/>
      <c r="TYY314" s="539"/>
      <c r="TYZ314" s="539"/>
      <c r="TZA314" s="539"/>
      <c r="TZB314" s="539"/>
      <c r="TZC314" s="539"/>
      <c r="TZD314" s="539"/>
      <c r="TZE314" s="539"/>
      <c r="TZF314" s="539"/>
      <c r="TZG314" s="539"/>
      <c r="TZH314" s="539"/>
      <c r="TZI314" s="539"/>
      <c r="TZJ314" s="539"/>
      <c r="TZK314" s="539"/>
      <c r="TZL314" s="539"/>
      <c r="TZM314" s="539"/>
      <c r="TZN314" s="539"/>
      <c r="TZO314" s="539"/>
      <c r="TZP314" s="539"/>
      <c r="TZQ314" s="539"/>
      <c r="TZR314" s="539"/>
      <c r="TZS314" s="539"/>
      <c r="TZT314" s="539"/>
      <c r="TZU314" s="539"/>
      <c r="TZV314" s="539"/>
      <c r="TZW314" s="539"/>
      <c r="TZX314" s="539"/>
      <c r="TZY314" s="539"/>
      <c r="TZZ314" s="539"/>
      <c r="UAA314" s="539"/>
      <c r="UAB314" s="539"/>
      <c r="UAC314" s="539"/>
      <c r="UAD314" s="539"/>
      <c r="UAE314" s="539"/>
      <c r="UAF314" s="539"/>
      <c r="UAG314" s="539"/>
      <c r="UAH314" s="539"/>
      <c r="UAI314" s="539"/>
      <c r="UAJ314" s="539"/>
      <c r="UAK314" s="539"/>
      <c r="UAL314" s="539"/>
      <c r="UAM314" s="539"/>
      <c r="UAN314" s="539"/>
      <c r="UAO314" s="539"/>
      <c r="UAP314" s="539"/>
      <c r="UAQ314" s="539"/>
      <c r="UAR314" s="539"/>
      <c r="UAS314" s="539"/>
      <c r="UAT314" s="539"/>
      <c r="UAU314" s="539"/>
      <c r="UAV314" s="539"/>
      <c r="UAW314" s="539"/>
      <c r="UAX314" s="539"/>
      <c r="UAY314" s="539"/>
      <c r="UAZ314" s="539"/>
      <c r="UBA314" s="539"/>
      <c r="UBB314" s="539"/>
      <c r="UBC314" s="539"/>
      <c r="UBD314" s="539"/>
      <c r="UBE314" s="539"/>
      <c r="UBF314" s="539"/>
      <c r="UBG314" s="539"/>
      <c r="UBH314" s="539"/>
      <c r="UBI314" s="539"/>
      <c r="UBJ314" s="539"/>
      <c r="UBK314" s="539"/>
      <c r="UBL314" s="539"/>
      <c r="UBM314" s="539"/>
      <c r="UBN314" s="539"/>
      <c r="UBO314" s="539"/>
      <c r="UBP314" s="539"/>
      <c r="UBQ314" s="539"/>
      <c r="UBR314" s="539"/>
      <c r="UBS314" s="539"/>
      <c r="UBT314" s="539"/>
      <c r="UBU314" s="539"/>
      <c r="UBV314" s="539"/>
      <c r="UBW314" s="539"/>
      <c r="UBX314" s="539"/>
      <c r="UBY314" s="539"/>
      <c r="UBZ314" s="539"/>
      <c r="UCA314" s="539"/>
      <c r="UCB314" s="539"/>
      <c r="UCC314" s="539"/>
      <c r="UCD314" s="539"/>
      <c r="UCE314" s="539"/>
      <c r="UCF314" s="539"/>
      <c r="UCG314" s="539"/>
      <c r="UCH314" s="539"/>
      <c r="UCI314" s="539"/>
      <c r="UCJ314" s="539"/>
      <c r="UCK314" s="539"/>
      <c r="UCL314" s="539"/>
      <c r="UCM314" s="539"/>
      <c r="UCN314" s="539"/>
      <c r="UCO314" s="539"/>
      <c r="UCP314" s="539"/>
      <c r="UCQ314" s="539"/>
      <c r="UCR314" s="539"/>
      <c r="UCS314" s="539"/>
      <c r="UCT314" s="539"/>
      <c r="UCU314" s="539"/>
      <c r="UCV314" s="539"/>
      <c r="UCW314" s="539"/>
      <c r="UCX314" s="539"/>
      <c r="UCY314" s="539"/>
      <c r="UCZ314" s="539"/>
      <c r="UDA314" s="539"/>
      <c r="UDB314" s="539"/>
      <c r="UDC314" s="539"/>
      <c r="UDD314" s="539"/>
      <c r="UDE314" s="539"/>
      <c r="UDF314" s="539"/>
      <c r="UDG314" s="539"/>
      <c r="UDH314" s="539"/>
      <c r="UDI314" s="539"/>
      <c r="UDJ314" s="539"/>
      <c r="UDK314" s="539"/>
      <c r="UDL314" s="539"/>
      <c r="UDM314" s="539"/>
      <c r="UDN314" s="539"/>
      <c r="UDO314" s="539"/>
      <c r="UDP314" s="539"/>
      <c r="UDQ314" s="539"/>
      <c r="UDR314" s="539"/>
      <c r="UDS314" s="539"/>
      <c r="UDT314" s="539"/>
      <c r="UDU314" s="539"/>
      <c r="UDV314" s="539"/>
      <c r="UDW314" s="539"/>
      <c r="UDX314" s="539"/>
      <c r="UDY314" s="539"/>
      <c r="UDZ314" s="539"/>
      <c r="UEA314" s="539"/>
      <c r="UEB314" s="539"/>
      <c r="UEC314" s="539"/>
      <c r="UED314" s="539"/>
      <c r="UEE314" s="539"/>
      <c r="UEF314" s="539"/>
      <c r="UEG314" s="539"/>
      <c r="UEH314" s="539"/>
      <c r="UEI314" s="539"/>
      <c r="UEJ314" s="539"/>
      <c r="UEK314" s="539"/>
      <c r="UEL314" s="539"/>
      <c r="UEM314" s="539"/>
      <c r="UEN314" s="539"/>
      <c r="UEO314" s="539"/>
      <c r="UEP314" s="539"/>
      <c r="UEQ314" s="539"/>
      <c r="UER314" s="539"/>
      <c r="UES314" s="539"/>
      <c r="UET314" s="539"/>
      <c r="UEU314" s="539"/>
      <c r="UEV314" s="539"/>
      <c r="UEW314" s="539"/>
      <c r="UEX314" s="539"/>
      <c r="UEY314" s="539"/>
      <c r="UEZ314" s="539"/>
      <c r="UFA314" s="539"/>
      <c r="UFB314" s="539"/>
      <c r="UFC314" s="539"/>
      <c r="UFD314" s="539"/>
      <c r="UFE314" s="539"/>
      <c r="UFF314" s="539"/>
      <c r="UFG314" s="539"/>
      <c r="UFH314" s="539"/>
      <c r="UFI314" s="539"/>
      <c r="UFJ314" s="539"/>
      <c r="UFK314" s="539"/>
      <c r="UFL314" s="539"/>
      <c r="UFM314" s="539"/>
      <c r="UFN314" s="539"/>
      <c r="UFO314" s="539"/>
      <c r="UFP314" s="539"/>
      <c r="UFQ314" s="539"/>
      <c r="UFR314" s="539"/>
      <c r="UFS314" s="539"/>
      <c r="UFT314" s="539"/>
      <c r="UFU314" s="539"/>
      <c r="UFV314" s="539"/>
      <c r="UFW314" s="539"/>
      <c r="UFX314" s="539"/>
      <c r="UFY314" s="539"/>
      <c r="UFZ314" s="539"/>
      <c r="UGA314" s="539"/>
      <c r="UGB314" s="539"/>
      <c r="UGC314" s="539"/>
      <c r="UGD314" s="539"/>
      <c r="UGE314" s="539"/>
      <c r="UGF314" s="539"/>
      <c r="UGG314" s="539"/>
      <c r="UGH314" s="539"/>
      <c r="UGI314" s="539"/>
      <c r="UGJ314" s="539"/>
      <c r="UGK314" s="539"/>
      <c r="UGL314" s="539"/>
      <c r="UGM314" s="539"/>
      <c r="UGN314" s="539"/>
      <c r="UGO314" s="539"/>
      <c r="UGP314" s="539"/>
      <c r="UGQ314" s="539"/>
      <c r="UGR314" s="539"/>
      <c r="UGS314" s="539"/>
      <c r="UGT314" s="539"/>
      <c r="UGU314" s="539"/>
      <c r="UGV314" s="539"/>
      <c r="UGW314" s="539"/>
      <c r="UGX314" s="539"/>
      <c r="UGY314" s="539"/>
      <c r="UGZ314" s="539"/>
      <c r="UHA314" s="539"/>
      <c r="UHB314" s="539"/>
      <c r="UHC314" s="539"/>
      <c r="UHD314" s="539"/>
      <c r="UHE314" s="539"/>
      <c r="UHF314" s="539"/>
      <c r="UHG314" s="539"/>
      <c r="UHH314" s="539"/>
      <c r="UHI314" s="539"/>
      <c r="UHJ314" s="539"/>
      <c r="UHK314" s="539"/>
      <c r="UHL314" s="539"/>
      <c r="UHM314" s="539"/>
      <c r="UHN314" s="539"/>
      <c r="UHO314" s="539"/>
      <c r="UHP314" s="539"/>
      <c r="UHQ314" s="539"/>
      <c r="UHR314" s="539"/>
      <c r="UHS314" s="539"/>
      <c r="UHT314" s="539"/>
      <c r="UHU314" s="539"/>
      <c r="UHV314" s="539"/>
      <c r="UHW314" s="539"/>
      <c r="UHX314" s="539"/>
      <c r="UHY314" s="539"/>
      <c r="UHZ314" s="539"/>
      <c r="UIA314" s="539"/>
      <c r="UIB314" s="539"/>
      <c r="UIC314" s="539"/>
      <c r="UID314" s="539"/>
      <c r="UIE314" s="539"/>
      <c r="UIF314" s="539"/>
      <c r="UIG314" s="539"/>
      <c r="UIH314" s="539"/>
      <c r="UII314" s="539"/>
      <c r="UIJ314" s="539"/>
      <c r="UIK314" s="539"/>
      <c r="UIL314" s="539"/>
      <c r="UIM314" s="539"/>
      <c r="UIN314" s="539"/>
      <c r="UIO314" s="539"/>
      <c r="UIP314" s="539"/>
      <c r="UIQ314" s="539"/>
      <c r="UIR314" s="539"/>
      <c r="UIS314" s="539"/>
      <c r="UIT314" s="539"/>
      <c r="UIU314" s="539"/>
      <c r="UIV314" s="539"/>
      <c r="UIW314" s="539"/>
      <c r="UIX314" s="539"/>
      <c r="UIY314" s="539"/>
      <c r="UIZ314" s="539"/>
      <c r="UJA314" s="539"/>
      <c r="UJB314" s="539"/>
      <c r="UJC314" s="539"/>
      <c r="UJD314" s="539"/>
      <c r="UJE314" s="539"/>
      <c r="UJF314" s="539"/>
      <c r="UJG314" s="539"/>
      <c r="UJH314" s="539"/>
      <c r="UJI314" s="539"/>
      <c r="UJJ314" s="539"/>
      <c r="UJK314" s="539"/>
      <c r="UJL314" s="539"/>
      <c r="UJM314" s="539"/>
      <c r="UJN314" s="539"/>
      <c r="UJO314" s="539"/>
      <c r="UJP314" s="539"/>
      <c r="UJQ314" s="539"/>
      <c r="UJR314" s="539"/>
      <c r="UJS314" s="539"/>
      <c r="UJT314" s="539"/>
      <c r="UJU314" s="539"/>
      <c r="UJV314" s="539"/>
      <c r="UJW314" s="539"/>
      <c r="UJX314" s="539"/>
      <c r="UJY314" s="539"/>
      <c r="UJZ314" s="539"/>
      <c r="UKA314" s="539"/>
      <c r="UKB314" s="539"/>
      <c r="UKC314" s="539"/>
      <c r="UKD314" s="539"/>
      <c r="UKE314" s="539"/>
      <c r="UKF314" s="539"/>
      <c r="UKG314" s="539"/>
      <c r="UKH314" s="539"/>
      <c r="UKI314" s="539"/>
      <c r="UKJ314" s="539"/>
      <c r="UKK314" s="539"/>
      <c r="UKL314" s="539"/>
      <c r="UKM314" s="539"/>
      <c r="UKN314" s="539"/>
      <c r="UKO314" s="539"/>
      <c r="UKP314" s="539"/>
      <c r="UKQ314" s="539"/>
      <c r="UKR314" s="539"/>
      <c r="UKS314" s="539"/>
      <c r="UKT314" s="539"/>
      <c r="UKU314" s="539"/>
      <c r="UKV314" s="539"/>
      <c r="UKW314" s="539"/>
      <c r="UKX314" s="539"/>
      <c r="UKY314" s="539"/>
      <c r="UKZ314" s="539"/>
      <c r="ULA314" s="539"/>
      <c r="ULB314" s="539"/>
      <c r="ULC314" s="539"/>
      <c r="ULD314" s="539"/>
      <c r="ULE314" s="539"/>
      <c r="ULF314" s="539"/>
      <c r="ULG314" s="539"/>
      <c r="ULH314" s="539"/>
      <c r="ULI314" s="539"/>
      <c r="ULJ314" s="539"/>
      <c r="ULK314" s="539"/>
      <c r="ULL314" s="539"/>
      <c r="ULM314" s="539"/>
      <c r="ULN314" s="539"/>
      <c r="ULO314" s="539"/>
      <c r="ULP314" s="539"/>
      <c r="ULQ314" s="539"/>
      <c r="ULR314" s="539"/>
      <c r="ULS314" s="539"/>
      <c r="ULT314" s="539"/>
      <c r="ULU314" s="539"/>
      <c r="ULV314" s="539"/>
      <c r="ULW314" s="539"/>
      <c r="ULX314" s="539"/>
      <c r="ULY314" s="539"/>
      <c r="ULZ314" s="539"/>
      <c r="UMA314" s="539"/>
      <c r="UMB314" s="539"/>
      <c r="UMC314" s="539"/>
      <c r="UMD314" s="539"/>
      <c r="UME314" s="539"/>
      <c r="UMF314" s="539"/>
      <c r="UMG314" s="539"/>
      <c r="UMH314" s="539"/>
      <c r="UMI314" s="539"/>
      <c r="UMJ314" s="539"/>
      <c r="UMK314" s="539"/>
      <c r="UML314" s="539"/>
      <c r="UMM314" s="539"/>
      <c r="UMN314" s="539"/>
      <c r="UMO314" s="539"/>
      <c r="UMP314" s="539"/>
      <c r="UMQ314" s="539"/>
      <c r="UMR314" s="539"/>
      <c r="UMS314" s="539"/>
      <c r="UMT314" s="539"/>
      <c r="UMU314" s="539"/>
      <c r="UMV314" s="539"/>
      <c r="UMW314" s="539"/>
      <c r="UMX314" s="539"/>
      <c r="UMY314" s="539"/>
      <c r="UMZ314" s="539"/>
      <c r="UNA314" s="539"/>
      <c r="UNB314" s="539"/>
      <c r="UNC314" s="539"/>
      <c r="UND314" s="539"/>
      <c r="UNE314" s="539"/>
      <c r="UNF314" s="539"/>
      <c r="UNG314" s="539"/>
      <c r="UNH314" s="539"/>
      <c r="UNI314" s="539"/>
      <c r="UNJ314" s="539"/>
      <c r="UNK314" s="539"/>
      <c r="UNL314" s="539"/>
      <c r="UNM314" s="539"/>
      <c r="UNN314" s="539"/>
      <c r="UNO314" s="539"/>
      <c r="UNP314" s="539"/>
      <c r="UNQ314" s="539"/>
      <c r="UNR314" s="539"/>
      <c r="UNS314" s="539"/>
      <c r="UNT314" s="539"/>
      <c r="UNU314" s="539"/>
      <c r="UNV314" s="539"/>
      <c r="UNW314" s="539"/>
      <c r="UNX314" s="539"/>
      <c r="UNY314" s="539"/>
      <c r="UNZ314" s="539"/>
      <c r="UOA314" s="539"/>
      <c r="UOB314" s="539"/>
      <c r="UOC314" s="539"/>
      <c r="UOD314" s="539"/>
      <c r="UOE314" s="539"/>
      <c r="UOF314" s="539"/>
      <c r="UOG314" s="539"/>
      <c r="UOH314" s="539"/>
      <c r="UOI314" s="539"/>
      <c r="UOJ314" s="539"/>
      <c r="UOK314" s="539"/>
      <c r="UOL314" s="539"/>
      <c r="UOM314" s="539"/>
      <c r="UON314" s="539"/>
      <c r="UOO314" s="539"/>
      <c r="UOP314" s="539"/>
      <c r="UOQ314" s="539"/>
      <c r="UOR314" s="539"/>
      <c r="UOS314" s="539"/>
      <c r="UOT314" s="539"/>
      <c r="UOU314" s="539"/>
      <c r="UOV314" s="539"/>
      <c r="UOW314" s="539"/>
      <c r="UOX314" s="539"/>
      <c r="UOY314" s="539"/>
      <c r="UOZ314" s="539"/>
      <c r="UPA314" s="539"/>
      <c r="UPB314" s="539"/>
      <c r="UPC314" s="539"/>
      <c r="UPD314" s="539"/>
      <c r="UPE314" s="539"/>
      <c r="UPF314" s="539"/>
      <c r="UPG314" s="539"/>
      <c r="UPH314" s="539"/>
      <c r="UPI314" s="539"/>
      <c r="UPJ314" s="539"/>
      <c r="UPK314" s="539"/>
      <c r="UPL314" s="539"/>
      <c r="UPM314" s="539"/>
      <c r="UPN314" s="539"/>
      <c r="UPO314" s="539"/>
      <c r="UPP314" s="539"/>
      <c r="UPQ314" s="539"/>
      <c r="UPR314" s="539"/>
      <c r="UPS314" s="539"/>
      <c r="UPT314" s="539"/>
      <c r="UPU314" s="539"/>
      <c r="UPV314" s="539"/>
      <c r="UPW314" s="539"/>
      <c r="UPX314" s="539"/>
      <c r="UPY314" s="539"/>
      <c r="UPZ314" s="539"/>
      <c r="UQA314" s="539"/>
      <c r="UQB314" s="539"/>
      <c r="UQC314" s="539"/>
      <c r="UQD314" s="539"/>
      <c r="UQE314" s="539"/>
      <c r="UQF314" s="539"/>
      <c r="UQG314" s="539"/>
      <c r="UQH314" s="539"/>
      <c r="UQI314" s="539"/>
      <c r="UQJ314" s="539"/>
      <c r="UQK314" s="539"/>
      <c r="UQL314" s="539"/>
      <c r="UQM314" s="539"/>
      <c r="UQN314" s="539"/>
      <c r="UQO314" s="539"/>
      <c r="UQP314" s="539"/>
      <c r="UQQ314" s="539"/>
      <c r="UQR314" s="539"/>
      <c r="UQS314" s="539"/>
      <c r="UQT314" s="539"/>
      <c r="UQU314" s="539"/>
      <c r="UQV314" s="539"/>
      <c r="UQW314" s="539"/>
      <c r="UQX314" s="539"/>
      <c r="UQY314" s="539"/>
      <c r="UQZ314" s="539"/>
      <c r="URA314" s="539"/>
      <c r="URB314" s="539"/>
      <c r="URC314" s="539"/>
      <c r="URD314" s="539"/>
      <c r="URE314" s="539"/>
      <c r="URF314" s="539"/>
      <c r="URG314" s="539"/>
      <c r="URH314" s="539"/>
      <c r="URI314" s="539"/>
      <c r="URJ314" s="539"/>
      <c r="URK314" s="539"/>
      <c r="URL314" s="539"/>
      <c r="URM314" s="539"/>
      <c r="URN314" s="539"/>
      <c r="URO314" s="539"/>
      <c r="URP314" s="539"/>
      <c r="URQ314" s="539"/>
      <c r="URR314" s="539"/>
      <c r="URS314" s="539"/>
      <c r="URT314" s="539"/>
      <c r="URU314" s="539"/>
      <c r="URV314" s="539"/>
      <c r="URW314" s="539"/>
      <c r="URX314" s="539"/>
      <c r="URY314" s="539"/>
      <c r="URZ314" s="539"/>
      <c r="USA314" s="539"/>
      <c r="USB314" s="539"/>
      <c r="USC314" s="539"/>
      <c r="USD314" s="539"/>
      <c r="USE314" s="539"/>
      <c r="USF314" s="539"/>
      <c r="USG314" s="539"/>
      <c r="USH314" s="539"/>
      <c r="USI314" s="539"/>
      <c r="USJ314" s="539"/>
      <c r="USK314" s="539"/>
      <c r="USL314" s="539"/>
      <c r="USM314" s="539"/>
      <c r="USN314" s="539"/>
      <c r="USO314" s="539"/>
      <c r="USP314" s="539"/>
      <c r="USQ314" s="539"/>
      <c r="USR314" s="539"/>
      <c r="USS314" s="539"/>
      <c r="UST314" s="539"/>
      <c r="USU314" s="539"/>
      <c r="USV314" s="539"/>
      <c r="USW314" s="539"/>
      <c r="USX314" s="539"/>
      <c r="USY314" s="539"/>
      <c r="USZ314" s="539"/>
      <c r="UTA314" s="539"/>
      <c r="UTB314" s="539"/>
      <c r="UTC314" s="539"/>
      <c r="UTD314" s="539"/>
      <c r="UTE314" s="539"/>
      <c r="UTF314" s="539"/>
      <c r="UTG314" s="539"/>
      <c r="UTH314" s="539"/>
      <c r="UTI314" s="539"/>
      <c r="UTJ314" s="539"/>
      <c r="UTK314" s="539"/>
      <c r="UTL314" s="539"/>
      <c r="UTM314" s="539"/>
      <c r="UTN314" s="539"/>
      <c r="UTO314" s="539"/>
      <c r="UTP314" s="539"/>
      <c r="UTQ314" s="539"/>
      <c r="UTR314" s="539"/>
      <c r="UTS314" s="539"/>
      <c r="UTT314" s="539"/>
      <c r="UTU314" s="539"/>
      <c r="UTV314" s="539"/>
      <c r="UTW314" s="539"/>
      <c r="UTX314" s="539"/>
      <c r="UTY314" s="539"/>
      <c r="UTZ314" s="539"/>
      <c r="UUA314" s="539"/>
      <c r="UUB314" s="539"/>
      <c r="UUC314" s="539"/>
      <c r="UUD314" s="539"/>
      <c r="UUE314" s="539"/>
      <c r="UUF314" s="539"/>
      <c r="UUG314" s="539"/>
      <c r="UUH314" s="539"/>
      <c r="UUI314" s="539"/>
      <c r="UUJ314" s="539"/>
      <c r="UUK314" s="539"/>
      <c r="UUL314" s="539"/>
      <c r="UUM314" s="539"/>
      <c r="UUN314" s="539"/>
      <c r="UUO314" s="539"/>
      <c r="UUP314" s="539"/>
      <c r="UUQ314" s="539"/>
      <c r="UUR314" s="539"/>
      <c r="UUS314" s="539"/>
      <c r="UUT314" s="539"/>
      <c r="UUU314" s="539"/>
      <c r="UUV314" s="539"/>
      <c r="UUW314" s="539"/>
      <c r="UUX314" s="539"/>
      <c r="UUY314" s="539"/>
      <c r="UUZ314" s="539"/>
      <c r="UVA314" s="539"/>
      <c r="UVB314" s="539"/>
      <c r="UVC314" s="539"/>
      <c r="UVD314" s="539"/>
      <c r="UVE314" s="539"/>
      <c r="UVF314" s="539"/>
      <c r="UVG314" s="539"/>
      <c r="UVH314" s="539"/>
      <c r="UVI314" s="539"/>
      <c r="UVJ314" s="539"/>
      <c r="UVK314" s="539"/>
      <c r="UVL314" s="539"/>
      <c r="UVM314" s="539"/>
      <c r="UVN314" s="539"/>
      <c r="UVO314" s="539"/>
      <c r="UVP314" s="539"/>
      <c r="UVQ314" s="539"/>
      <c r="UVR314" s="539"/>
      <c r="UVS314" s="539"/>
      <c r="UVT314" s="539"/>
      <c r="UVU314" s="539"/>
      <c r="UVV314" s="539"/>
      <c r="UVW314" s="539"/>
      <c r="UVX314" s="539"/>
      <c r="UVY314" s="539"/>
      <c r="UVZ314" s="539"/>
      <c r="UWA314" s="539"/>
      <c r="UWB314" s="539"/>
      <c r="UWC314" s="539"/>
      <c r="UWD314" s="539"/>
      <c r="UWE314" s="539"/>
      <c r="UWF314" s="539"/>
      <c r="UWG314" s="539"/>
      <c r="UWH314" s="539"/>
      <c r="UWI314" s="539"/>
      <c r="UWJ314" s="539"/>
      <c r="UWK314" s="539"/>
      <c r="UWL314" s="539"/>
      <c r="UWM314" s="539"/>
      <c r="UWN314" s="539"/>
      <c r="UWO314" s="539"/>
      <c r="UWP314" s="539"/>
      <c r="UWQ314" s="539"/>
      <c r="UWR314" s="539"/>
      <c r="UWS314" s="539"/>
      <c r="UWT314" s="539"/>
      <c r="UWU314" s="539"/>
      <c r="UWV314" s="539"/>
      <c r="UWW314" s="539"/>
      <c r="UWX314" s="539"/>
      <c r="UWY314" s="539"/>
      <c r="UWZ314" s="539"/>
      <c r="UXA314" s="539"/>
      <c r="UXB314" s="539"/>
      <c r="UXC314" s="539"/>
      <c r="UXD314" s="539"/>
      <c r="UXE314" s="539"/>
      <c r="UXF314" s="539"/>
      <c r="UXG314" s="539"/>
      <c r="UXH314" s="539"/>
      <c r="UXI314" s="539"/>
      <c r="UXJ314" s="539"/>
      <c r="UXK314" s="539"/>
      <c r="UXL314" s="539"/>
      <c r="UXM314" s="539"/>
      <c r="UXN314" s="539"/>
      <c r="UXO314" s="539"/>
      <c r="UXP314" s="539"/>
      <c r="UXQ314" s="539"/>
      <c r="UXR314" s="539"/>
      <c r="UXS314" s="539"/>
      <c r="UXT314" s="539"/>
      <c r="UXU314" s="539"/>
      <c r="UXV314" s="539"/>
      <c r="UXW314" s="539"/>
      <c r="UXX314" s="539"/>
      <c r="UXY314" s="539"/>
      <c r="UXZ314" s="539"/>
      <c r="UYA314" s="539"/>
      <c r="UYB314" s="539"/>
      <c r="UYC314" s="539"/>
      <c r="UYD314" s="539"/>
      <c r="UYE314" s="539"/>
      <c r="UYF314" s="539"/>
      <c r="UYG314" s="539"/>
      <c r="UYH314" s="539"/>
      <c r="UYI314" s="539"/>
      <c r="UYJ314" s="539"/>
      <c r="UYK314" s="539"/>
      <c r="UYL314" s="539"/>
      <c r="UYM314" s="539"/>
      <c r="UYN314" s="539"/>
      <c r="UYO314" s="539"/>
      <c r="UYP314" s="539"/>
      <c r="UYQ314" s="539"/>
      <c r="UYR314" s="539"/>
      <c r="UYS314" s="539"/>
      <c r="UYT314" s="539"/>
      <c r="UYU314" s="539"/>
      <c r="UYV314" s="539"/>
      <c r="UYW314" s="539"/>
      <c r="UYX314" s="539"/>
      <c r="UYY314" s="539"/>
      <c r="UYZ314" s="539"/>
      <c r="UZA314" s="539"/>
      <c r="UZB314" s="539"/>
      <c r="UZC314" s="539"/>
      <c r="UZD314" s="539"/>
      <c r="UZE314" s="539"/>
      <c r="UZF314" s="539"/>
      <c r="UZG314" s="539"/>
      <c r="UZH314" s="539"/>
      <c r="UZI314" s="539"/>
      <c r="UZJ314" s="539"/>
      <c r="UZK314" s="539"/>
      <c r="UZL314" s="539"/>
      <c r="UZM314" s="539"/>
      <c r="UZN314" s="539"/>
      <c r="UZO314" s="539"/>
      <c r="UZP314" s="539"/>
      <c r="UZQ314" s="539"/>
      <c r="UZR314" s="539"/>
      <c r="UZS314" s="539"/>
      <c r="UZT314" s="539"/>
      <c r="UZU314" s="539"/>
      <c r="UZV314" s="539"/>
      <c r="UZW314" s="539"/>
      <c r="UZX314" s="539"/>
      <c r="UZY314" s="539"/>
      <c r="UZZ314" s="539"/>
      <c r="VAA314" s="539"/>
      <c r="VAB314" s="539"/>
      <c r="VAC314" s="539"/>
      <c r="VAD314" s="539"/>
      <c r="VAE314" s="539"/>
      <c r="VAF314" s="539"/>
      <c r="VAG314" s="539"/>
      <c r="VAH314" s="539"/>
      <c r="VAI314" s="539"/>
      <c r="VAJ314" s="539"/>
      <c r="VAK314" s="539"/>
      <c r="VAL314" s="539"/>
      <c r="VAM314" s="539"/>
      <c r="VAN314" s="539"/>
      <c r="VAO314" s="539"/>
      <c r="VAP314" s="539"/>
      <c r="VAQ314" s="539"/>
      <c r="VAR314" s="539"/>
      <c r="VAS314" s="539"/>
      <c r="VAT314" s="539"/>
      <c r="VAU314" s="539"/>
      <c r="VAV314" s="539"/>
      <c r="VAW314" s="539"/>
      <c r="VAX314" s="539"/>
      <c r="VAY314" s="539"/>
      <c r="VAZ314" s="539"/>
      <c r="VBA314" s="539"/>
      <c r="VBB314" s="539"/>
      <c r="VBC314" s="539"/>
      <c r="VBD314" s="539"/>
      <c r="VBE314" s="539"/>
      <c r="VBF314" s="539"/>
      <c r="VBG314" s="539"/>
      <c r="VBH314" s="539"/>
      <c r="VBI314" s="539"/>
      <c r="VBJ314" s="539"/>
      <c r="VBK314" s="539"/>
      <c r="VBL314" s="539"/>
      <c r="VBM314" s="539"/>
      <c r="VBN314" s="539"/>
      <c r="VBO314" s="539"/>
      <c r="VBP314" s="539"/>
      <c r="VBQ314" s="539"/>
      <c r="VBR314" s="539"/>
      <c r="VBS314" s="539"/>
      <c r="VBT314" s="539"/>
      <c r="VBU314" s="539"/>
      <c r="VBV314" s="539"/>
      <c r="VBW314" s="539"/>
      <c r="VBX314" s="539"/>
      <c r="VBY314" s="539"/>
      <c r="VBZ314" s="539"/>
      <c r="VCA314" s="539"/>
      <c r="VCB314" s="539"/>
      <c r="VCC314" s="539"/>
      <c r="VCD314" s="539"/>
      <c r="VCE314" s="539"/>
      <c r="VCF314" s="539"/>
      <c r="VCG314" s="539"/>
      <c r="VCH314" s="539"/>
      <c r="VCI314" s="539"/>
      <c r="VCJ314" s="539"/>
      <c r="VCK314" s="539"/>
      <c r="VCL314" s="539"/>
      <c r="VCM314" s="539"/>
      <c r="VCN314" s="539"/>
      <c r="VCO314" s="539"/>
      <c r="VCP314" s="539"/>
      <c r="VCQ314" s="539"/>
      <c r="VCR314" s="539"/>
      <c r="VCS314" s="539"/>
      <c r="VCT314" s="539"/>
      <c r="VCU314" s="539"/>
      <c r="VCV314" s="539"/>
      <c r="VCW314" s="539"/>
      <c r="VCX314" s="539"/>
      <c r="VCY314" s="539"/>
      <c r="VCZ314" s="539"/>
      <c r="VDA314" s="539"/>
      <c r="VDB314" s="539"/>
      <c r="VDC314" s="539"/>
      <c r="VDD314" s="539"/>
      <c r="VDE314" s="539"/>
      <c r="VDF314" s="539"/>
      <c r="VDG314" s="539"/>
      <c r="VDH314" s="539"/>
      <c r="VDI314" s="539"/>
      <c r="VDJ314" s="539"/>
      <c r="VDK314" s="539"/>
      <c r="VDL314" s="539"/>
      <c r="VDM314" s="539"/>
      <c r="VDN314" s="539"/>
      <c r="VDO314" s="539"/>
      <c r="VDP314" s="539"/>
      <c r="VDQ314" s="539"/>
      <c r="VDR314" s="539"/>
      <c r="VDS314" s="539"/>
      <c r="VDT314" s="539"/>
      <c r="VDU314" s="539"/>
      <c r="VDV314" s="539"/>
      <c r="VDW314" s="539"/>
      <c r="VDX314" s="539"/>
      <c r="VDY314" s="539"/>
      <c r="VDZ314" s="539"/>
      <c r="VEA314" s="539"/>
      <c r="VEB314" s="539"/>
      <c r="VEC314" s="539"/>
      <c r="VED314" s="539"/>
      <c r="VEE314" s="539"/>
      <c r="VEF314" s="539"/>
      <c r="VEG314" s="539"/>
      <c r="VEH314" s="539"/>
      <c r="VEI314" s="539"/>
      <c r="VEJ314" s="539"/>
      <c r="VEK314" s="539"/>
      <c r="VEL314" s="539"/>
      <c r="VEM314" s="539"/>
      <c r="VEN314" s="539"/>
      <c r="VEO314" s="539"/>
      <c r="VEP314" s="539"/>
      <c r="VEQ314" s="539"/>
      <c r="VER314" s="539"/>
      <c r="VES314" s="539"/>
      <c r="VET314" s="539"/>
      <c r="VEU314" s="539"/>
      <c r="VEV314" s="539"/>
      <c r="VEW314" s="539"/>
      <c r="VEX314" s="539"/>
      <c r="VEY314" s="539"/>
      <c r="VEZ314" s="539"/>
      <c r="VFA314" s="539"/>
      <c r="VFB314" s="539"/>
      <c r="VFC314" s="539"/>
      <c r="VFD314" s="539"/>
      <c r="VFE314" s="539"/>
      <c r="VFF314" s="539"/>
      <c r="VFG314" s="539"/>
      <c r="VFH314" s="539"/>
      <c r="VFI314" s="539"/>
      <c r="VFJ314" s="539"/>
      <c r="VFK314" s="539"/>
      <c r="VFL314" s="539"/>
      <c r="VFM314" s="539"/>
      <c r="VFN314" s="539"/>
      <c r="VFO314" s="539"/>
      <c r="VFP314" s="539"/>
      <c r="VFQ314" s="539"/>
      <c r="VFR314" s="539"/>
      <c r="VFS314" s="539"/>
      <c r="VFT314" s="539"/>
      <c r="VFU314" s="539"/>
      <c r="VFV314" s="539"/>
      <c r="VFW314" s="539"/>
      <c r="VFX314" s="539"/>
      <c r="VFY314" s="539"/>
      <c r="VFZ314" s="539"/>
      <c r="VGA314" s="539"/>
      <c r="VGB314" s="539"/>
      <c r="VGC314" s="539"/>
      <c r="VGD314" s="539"/>
      <c r="VGE314" s="539"/>
      <c r="VGF314" s="539"/>
      <c r="VGG314" s="539"/>
      <c r="VGH314" s="539"/>
      <c r="VGI314" s="539"/>
      <c r="VGJ314" s="539"/>
      <c r="VGK314" s="539"/>
      <c r="VGL314" s="539"/>
      <c r="VGM314" s="539"/>
      <c r="VGN314" s="539"/>
      <c r="VGO314" s="539"/>
      <c r="VGP314" s="539"/>
      <c r="VGQ314" s="539"/>
      <c r="VGR314" s="539"/>
      <c r="VGS314" s="539"/>
      <c r="VGT314" s="539"/>
      <c r="VGU314" s="539"/>
      <c r="VGV314" s="539"/>
      <c r="VGW314" s="539"/>
      <c r="VGX314" s="539"/>
      <c r="VGY314" s="539"/>
      <c r="VGZ314" s="539"/>
      <c r="VHA314" s="539"/>
      <c r="VHB314" s="539"/>
      <c r="VHC314" s="539"/>
      <c r="VHD314" s="539"/>
      <c r="VHE314" s="539"/>
      <c r="VHF314" s="539"/>
      <c r="VHG314" s="539"/>
      <c r="VHH314" s="539"/>
      <c r="VHI314" s="539"/>
      <c r="VHJ314" s="539"/>
      <c r="VHK314" s="539"/>
      <c r="VHL314" s="539"/>
      <c r="VHM314" s="539"/>
      <c r="VHN314" s="539"/>
      <c r="VHO314" s="539"/>
      <c r="VHP314" s="539"/>
      <c r="VHQ314" s="539"/>
      <c r="VHR314" s="539"/>
      <c r="VHS314" s="539"/>
      <c r="VHT314" s="539"/>
      <c r="VHU314" s="539"/>
      <c r="VHV314" s="539"/>
      <c r="VHW314" s="539"/>
      <c r="VHX314" s="539"/>
      <c r="VHY314" s="539"/>
      <c r="VHZ314" s="539"/>
      <c r="VIA314" s="539"/>
      <c r="VIB314" s="539"/>
      <c r="VIC314" s="539"/>
      <c r="VID314" s="539"/>
      <c r="VIE314" s="539"/>
      <c r="VIF314" s="539"/>
      <c r="VIG314" s="539"/>
      <c r="VIH314" s="539"/>
      <c r="VII314" s="539"/>
      <c r="VIJ314" s="539"/>
      <c r="VIK314" s="539"/>
      <c r="VIL314" s="539"/>
      <c r="VIM314" s="539"/>
      <c r="VIN314" s="539"/>
      <c r="VIO314" s="539"/>
      <c r="VIP314" s="539"/>
      <c r="VIQ314" s="539"/>
      <c r="VIR314" s="539"/>
      <c r="VIS314" s="539"/>
      <c r="VIT314" s="539"/>
      <c r="VIU314" s="539"/>
      <c r="VIV314" s="539"/>
      <c r="VIW314" s="539"/>
      <c r="VIX314" s="539"/>
      <c r="VIY314" s="539"/>
      <c r="VIZ314" s="539"/>
      <c r="VJA314" s="539"/>
      <c r="VJB314" s="539"/>
      <c r="VJC314" s="539"/>
      <c r="VJD314" s="539"/>
      <c r="VJE314" s="539"/>
      <c r="VJF314" s="539"/>
      <c r="VJG314" s="539"/>
      <c r="VJH314" s="539"/>
      <c r="VJI314" s="539"/>
      <c r="VJJ314" s="539"/>
      <c r="VJK314" s="539"/>
      <c r="VJL314" s="539"/>
      <c r="VJM314" s="539"/>
      <c r="VJN314" s="539"/>
      <c r="VJO314" s="539"/>
      <c r="VJP314" s="539"/>
      <c r="VJQ314" s="539"/>
      <c r="VJR314" s="539"/>
      <c r="VJS314" s="539"/>
      <c r="VJT314" s="539"/>
      <c r="VJU314" s="539"/>
      <c r="VJV314" s="539"/>
      <c r="VJW314" s="539"/>
      <c r="VJX314" s="539"/>
      <c r="VJY314" s="539"/>
      <c r="VJZ314" s="539"/>
      <c r="VKA314" s="539"/>
      <c r="VKB314" s="539"/>
      <c r="VKC314" s="539"/>
      <c r="VKD314" s="539"/>
      <c r="VKE314" s="539"/>
      <c r="VKF314" s="539"/>
      <c r="VKG314" s="539"/>
      <c r="VKH314" s="539"/>
      <c r="VKI314" s="539"/>
      <c r="VKJ314" s="539"/>
      <c r="VKK314" s="539"/>
      <c r="VKL314" s="539"/>
      <c r="VKM314" s="539"/>
      <c r="VKN314" s="539"/>
      <c r="VKO314" s="539"/>
      <c r="VKP314" s="539"/>
      <c r="VKQ314" s="539"/>
      <c r="VKR314" s="539"/>
      <c r="VKS314" s="539"/>
      <c r="VKT314" s="539"/>
      <c r="VKU314" s="539"/>
      <c r="VKV314" s="539"/>
      <c r="VKW314" s="539"/>
      <c r="VKX314" s="539"/>
      <c r="VKY314" s="539"/>
      <c r="VKZ314" s="539"/>
      <c r="VLA314" s="539"/>
      <c r="VLB314" s="539"/>
      <c r="VLC314" s="539"/>
      <c r="VLD314" s="539"/>
      <c r="VLE314" s="539"/>
      <c r="VLF314" s="539"/>
      <c r="VLG314" s="539"/>
      <c r="VLH314" s="539"/>
      <c r="VLI314" s="539"/>
      <c r="VLJ314" s="539"/>
      <c r="VLK314" s="539"/>
      <c r="VLL314" s="539"/>
      <c r="VLM314" s="539"/>
      <c r="VLN314" s="539"/>
      <c r="VLO314" s="539"/>
      <c r="VLP314" s="539"/>
      <c r="VLQ314" s="539"/>
      <c r="VLR314" s="539"/>
      <c r="VLS314" s="539"/>
      <c r="VLT314" s="539"/>
      <c r="VLU314" s="539"/>
      <c r="VLV314" s="539"/>
      <c r="VLW314" s="539"/>
      <c r="VLX314" s="539"/>
      <c r="VLY314" s="539"/>
      <c r="VLZ314" s="539"/>
      <c r="VMA314" s="539"/>
      <c r="VMB314" s="539"/>
      <c r="VMC314" s="539"/>
      <c r="VMD314" s="539"/>
      <c r="VME314" s="539"/>
      <c r="VMF314" s="539"/>
      <c r="VMG314" s="539"/>
      <c r="VMH314" s="539"/>
      <c r="VMI314" s="539"/>
      <c r="VMJ314" s="539"/>
      <c r="VMK314" s="539"/>
      <c r="VML314" s="539"/>
      <c r="VMM314" s="539"/>
      <c r="VMN314" s="539"/>
      <c r="VMO314" s="539"/>
      <c r="VMP314" s="539"/>
      <c r="VMQ314" s="539"/>
      <c r="VMR314" s="539"/>
      <c r="VMS314" s="539"/>
      <c r="VMT314" s="539"/>
      <c r="VMU314" s="539"/>
      <c r="VMV314" s="539"/>
      <c r="VMW314" s="539"/>
      <c r="VMX314" s="539"/>
      <c r="VMY314" s="539"/>
      <c r="VMZ314" s="539"/>
      <c r="VNA314" s="539"/>
      <c r="VNB314" s="539"/>
      <c r="VNC314" s="539"/>
      <c r="VND314" s="539"/>
      <c r="VNE314" s="539"/>
      <c r="VNF314" s="539"/>
      <c r="VNG314" s="539"/>
      <c r="VNH314" s="539"/>
      <c r="VNI314" s="539"/>
      <c r="VNJ314" s="539"/>
      <c r="VNK314" s="539"/>
      <c r="VNL314" s="539"/>
      <c r="VNM314" s="539"/>
      <c r="VNN314" s="539"/>
      <c r="VNO314" s="539"/>
      <c r="VNP314" s="539"/>
      <c r="VNQ314" s="539"/>
      <c r="VNR314" s="539"/>
      <c r="VNS314" s="539"/>
      <c r="VNT314" s="539"/>
      <c r="VNU314" s="539"/>
      <c r="VNV314" s="539"/>
      <c r="VNW314" s="539"/>
      <c r="VNX314" s="539"/>
      <c r="VNY314" s="539"/>
      <c r="VNZ314" s="539"/>
      <c r="VOA314" s="539"/>
      <c r="VOB314" s="539"/>
      <c r="VOC314" s="539"/>
      <c r="VOD314" s="539"/>
      <c r="VOE314" s="539"/>
      <c r="VOF314" s="539"/>
      <c r="VOG314" s="539"/>
      <c r="VOH314" s="539"/>
      <c r="VOI314" s="539"/>
      <c r="VOJ314" s="539"/>
      <c r="VOK314" s="539"/>
      <c r="VOL314" s="539"/>
      <c r="VOM314" s="539"/>
      <c r="VON314" s="539"/>
      <c r="VOO314" s="539"/>
      <c r="VOP314" s="539"/>
      <c r="VOQ314" s="539"/>
      <c r="VOR314" s="539"/>
      <c r="VOS314" s="539"/>
      <c r="VOT314" s="539"/>
      <c r="VOU314" s="539"/>
      <c r="VOV314" s="539"/>
      <c r="VOW314" s="539"/>
      <c r="VOX314" s="539"/>
      <c r="VOY314" s="539"/>
      <c r="VOZ314" s="539"/>
      <c r="VPA314" s="539"/>
      <c r="VPB314" s="539"/>
      <c r="VPC314" s="539"/>
      <c r="VPD314" s="539"/>
      <c r="VPE314" s="539"/>
      <c r="VPF314" s="539"/>
      <c r="VPG314" s="539"/>
      <c r="VPH314" s="539"/>
      <c r="VPI314" s="539"/>
      <c r="VPJ314" s="539"/>
      <c r="VPK314" s="539"/>
      <c r="VPL314" s="539"/>
      <c r="VPM314" s="539"/>
      <c r="VPN314" s="539"/>
      <c r="VPO314" s="539"/>
      <c r="VPP314" s="539"/>
      <c r="VPQ314" s="539"/>
      <c r="VPR314" s="539"/>
      <c r="VPS314" s="539"/>
      <c r="VPT314" s="539"/>
      <c r="VPU314" s="539"/>
      <c r="VPV314" s="539"/>
      <c r="VPW314" s="539"/>
      <c r="VPX314" s="539"/>
      <c r="VPY314" s="539"/>
      <c r="VPZ314" s="539"/>
      <c r="VQA314" s="539"/>
      <c r="VQB314" s="539"/>
      <c r="VQC314" s="539"/>
      <c r="VQD314" s="539"/>
      <c r="VQE314" s="539"/>
      <c r="VQF314" s="539"/>
      <c r="VQG314" s="539"/>
      <c r="VQH314" s="539"/>
      <c r="VQI314" s="539"/>
      <c r="VQJ314" s="539"/>
      <c r="VQK314" s="539"/>
      <c r="VQL314" s="539"/>
      <c r="VQM314" s="539"/>
      <c r="VQN314" s="539"/>
      <c r="VQO314" s="539"/>
      <c r="VQP314" s="539"/>
      <c r="VQQ314" s="539"/>
      <c r="VQR314" s="539"/>
      <c r="VQS314" s="539"/>
      <c r="VQT314" s="539"/>
      <c r="VQU314" s="539"/>
      <c r="VQV314" s="539"/>
      <c r="VQW314" s="539"/>
      <c r="VQX314" s="539"/>
      <c r="VQY314" s="539"/>
      <c r="VQZ314" s="539"/>
      <c r="VRA314" s="539"/>
      <c r="VRB314" s="539"/>
      <c r="VRC314" s="539"/>
      <c r="VRD314" s="539"/>
      <c r="VRE314" s="539"/>
      <c r="VRF314" s="539"/>
      <c r="VRG314" s="539"/>
      <c r="VRH314" s="539"/>
      <c r="VRI314" s="539"/>
      <c r="VRJ314" s="539"/>
      <c r="VRK314" s="539"/>
      <c r="VRL314" s="539"/>
      <c r="VRM314" s="539"/>
      <c r="VRN314" s="539"/>
      <c r="VRO314" s="539"/>
      <c r="VRP314" s="539"/>
      <c r="VRQ314" s="539"/>
      <c r="VRR314" s="539"/>
      <c r="VRS314" s="539"/>
      <c r="VRT314" s="539"/>
      <c r="VRU314" s="539"/>
      <c r="VRV314" s="539"/>
      <c r="VRW314" s="539"/>
      <c r="VRX314" s="539"/>
      <c r="VRY314" s="539"/>
      <c r="VRZ314" s="539"/>
      <c r="VSA314" s="539"/>
      <c r="VSB314" s="539"/>
      <c r="VSC314" s="539"/>
      <c r="VSD314" s="539"/>
      <c r="VSE314" s="539"/>
      <c r="VSF314" s="539"/>
      <c r="VSG314" s="539"/>
      <c r="VSH314" s="539"/>
      <c r="VSI314" s="539"/>
      <c r="VSJ314" s="539"/>
      <c r="VSK314" s="539"/>
      <c r="VSL314" s="539"/>
      <c r="VSM314" s="539"/>
      <c r="VSN314" s="539"/>
      <c r="VSO314" s="539"/>
      <c r="VSP314" s="539"/>
      <c r="VSQ314" s="539"/>
      <c r="VSR314" s="539"/>
      <c r="VSS314" s="539"/>
      <c r="VST314" s="539"/>
      <c r="VSU314" s="539"/>
      <c r="VSV314" s="539"/>
      <c r="VSW314" s="539"/>
      <c r="VSX314" s="539"/>
      <c r="VSY314" s="539"/>
      <c r="VSZ314" s="539"/>
      <c r="VTA314" s="539"/>
      <c r="VTB314" s="539"/>
      <c r="VTC314" s="539"/>
      <c r="VTD314" s="539"/>
      <c r="VTE314" s="539"/>
      <c r="VTF314" s="539"/>
      <c r="VTG314" s="539"/>
      <c r="VTH314" s="539"/>
      <c r="VTI314" s="539"/>
      <c r="VTJ314" s="539"/>
      <c r="VTK314" s="539"/>
      <c r="VTL314" s="539"/>
      <c r="VTM314" s="539"/>
      <c r="VTN314" s="539"/>
      <c r="VTO314" s="539"/>
      <c r="VTP314" s="539"/>
      <c r="VTQ314" s="539"/>
      <c r="VTR314" s="539"/>
      <c r="VTS314" s="539"/>
      <c r="VTT314" s="539"/>
      <c r="VTU314" s="539"/>
      <c r="VTV314" s="539"/>
      <c r="VTW314" s="539"/>
      <c r="VTX314" s="539"/>
      <c r="VTY314" s="539"/>
      <c r="VTZ314" s="539"/>
      <c r="VUA314" s="539"/>
      <c r="VUB314" s="539"/>
      <c r="VUC314" s="539"/>
      <c r="VUD314" s="539"/>
      <c r="VUE314" s="539"/>
      <c r="VUF314" s="539"/>
      <c r="VUG314" s="539"/>
      <c r="VUH314" s="539"/>
      <c r="VUI314" s="539"/>
      <c r="VUJ314" s="539"/>
      <c r="VUK314" s="539"/>
      <c r="VUL314" s="539"/>
      <c r="VUM314" s="539"/>
      <c r="VUN314" s="539"/>
      <c r="VUO314" s="539"/>
      <c r="VUP314" s="539"/>
      <c r="VUQ314" s="539"/>
      <c r="VUR314" s="539"/>
      <c r="VUS314" s="539"/>
      <c r="VUT314" s="539"/>
      <c r="VUU314" s="539"/>
      <c r="VUV314" s="539"/>
      <c r="VUW314" s="539"/>
      <c r="VUX314" s="539"/>
      <c r="VUY314" s="539"/>
      <c r="VUZ314" s="539"/>
      <c r="VVA314" s="539"/>
      <c r="VVB314" s="539"/>
      <c r="VVC314" s="539"/>
      <c r="VVD314" s="539"/>
      <c r="VVE314" s="539"/>
      <c r="VVF314" s="539"/>
      <c r="VVG314" s="539"/>
      <c r="VVH314" s="539"/>
      <c r="VVI314" s="539"/>
      <c r="VVJ314" s="539"/>
      <c r="VVK314" s="539"/>
      <c r="VVL314" s="539"/>
      <c r="VVM314" s="539"/>
      <c r="VVN314" s="539"/>
      <c r="VVO314" s="539"/>
      <c r="VVP314" s="539"/>
      <c r="VVQ314" s="539"/>
      <c r="VVR314" s="539"/>
      <c r="VVS314" s="539"/>
      <c r="VVT314" s="539"/>
      <c r="VVU314" s="539"/>
      <c r="VVV314" s="539"/>
      <c r="VVW314" s="539"/>
      <c r="VVX314" s="539"/>
      <c r="VVY314" s="539"/>
      <c r="VVZ314" s="539"/>
      <c r="VWA314" s="539"/>
      <c r="VWB314" s="539"/>
      <c r="VWC314" s="539"/>
      <c r="VWD314" s="539"/>
      <c r="VWE314" s="539"/>
      <c r="VWF314" s="539"/>
      <c r="VWG314" s="539"/>
      <c r="VWH314" s="539"/>
      <c r="VWI314" s="539"/>
      <c r="VWJ314" s="539"/>
      <c r="VWK314" s="539"/>
      <c r="VWL314" s="539"/>
      <c r="VWM314" s="539"/>
      <c r="VWN314" s="539"/>
      <c r="VWO314" s="539"/>
      <c r="VWP314" s="539"/>
      <c r="VWQ314" s="539"/>
      <c r="VWR314" s="539"/>
      <c r="VWS314" s="539"/>
      <c r="VWT314" s="539"/>
      <c r="VWU314" s="539"/>
      <c r="VWV314" s="539"/>
      <c r="VWW314" s="539"/>
      <c r="VWX314" s="539"/>
      <c r="VWY314" s="539"/>
      <c r="VWZ314" s="539"/>
      <c r="VXA314" s="539"/>
      <c r="VXB314" s="539"/>
      <c r="VXC314" s="539"/>
      <c r="VXD314" s="539"/>
      <c r="VXE314" s="539"/>
      <c r="VXF314" s="539"/>
      <c r="VXG314" s="539"/>
      <c r="VXH314" s="539"/>
      <c r="VXI314" s="539"/>
      <c r="VXJ314" s="539"/>
      <c r="VXK314" s="539"/>
      <c r="VXL314" s="539"/>
      <c r="VXM314" s="539"/>
      <c r="VXN314" s="539"/>
      <c r="VXO314" s="539"/>
      <c r="VXP314" s="539"/>
      <c r="VXQ314" s="539"/>
      <c r="VXR314" s="539"/>
      <c r="VXS314" s="539"/>
      <c r="VXT314" s="539"/>
      <c r="VXU314" s="539"/>
      <c r="VXV314" s="539"/>
      <c r="VXW314" s="539"/>
      <c r="VXX314" s="539"/>
      <c r="VXY314" s="539"/>
      <c r="VXZ314" s="539"/>
      <c r="VYA314" s="539"/>
      <c r="VYB314" s="539"/>
      <c r="VYC314" s="539"/>
      <c r="VYD314" s="539"/>
      <c r="VYE314" s="539"/>
      <c r="VYF314" s="539"/>
      <c r="VYG314" s="539"/>
      <c r="VYH314" s="539"/>
      <c r="VYI314" s="539"/>
      <c r="VYJ314" s="539"/>
      <c r="VYK314" s="539"/>
      <c r="VYL314" s="539"/>
      <c r="VYM314" s="539"/>
      <c r="VYN314" s="539"/>
      <c r="VYO314" s="539"/>
      <c r="VYP314" s="539"/>
      <c r="VYQ314" s="539"/>
      <c r="VYR314" s="539"/>
      <c r="VYS314" s="539"/>
      <c r="VYT314" s="539"/>
      <c r="VYU314" s="539"/>
      <c r="VYV314" s="539"/>
      <c r="VYW314" s="539"/>
      <c r="VYX314" s="539"/>
      <c r="VYY314" s="539"/>
      <c r="VYZ314" s="539"/>
      <c r="VZA314" s="539"/>
      <c r="VZB314" s="539"/>
      <c r="VZC314" s="539"/>
      <c r="VZD314" s="539"/>
      <c r="VZE314" s="539"/>
      <c r="VZF314" s="539"/>
      <c r="VZG314" s="539"/>
      <c r="VZH314" s="539"/>
      <c r="VZI314" s="539"/>
      <c r="VZJ314" s="539"/>
      <c r="VZK314" s="539"/>
      <c r="VZL314" s="539"/>
      <c r="VZM314" s="539"/>
      <c r="VZN314" s="539"/>
      <c r="VZO314" s="539"/>
      <c r="VZP314" s="539"/>
      <c r="VZQ314" s="539"/>
      <c r="VZR314" s="539"/>
      <c r="VZS314" s="539"/>
      <c r="VZT314" s="539"/>
      <c r="VZU314" s="539"/>
      <c r="VZV314" s="539"/>
      <c r="VZW314" s="539"/>
      <c r="VZX314" s="539"/>
      <c r="VZY314" s="539"/>
      <c r="VZZ314" s="539"/>
      <c r="WAA314" s="539"/>
      <c r="WAB314" s="539"/>
      <c r="WAC314" s="539"/>
      <c r="WAD314" s="539"/>
      <c r="WAE314" s="539"/>
      <c r="WAF314" s="539"/>
      <c r="WAG314" s="539"/>
      <c r="WAH314" s="539"/>
      <c r="WAI314" s="539"/>
      <c r="WAJ314" s="539"/>
      <c r="WAK314" s="539"/>
      <c r="WAL314" s="539"/>
      <c r="WAM314" s="539"/>
      <c r="WAN314" s="539"/>
      <c r="WAO314" s="539"/>
      <c r="WAP314" s="539"/>
      <c r="WAQ314" s="539"/>
      <c r="WAR314" s="539"/>
      <c r="WAS314" s="539"/>
      <c r="WAT314" s="539"/>
      <c r="WAU314" s="539"/>
      <c r="WAV314" s="539"/>
      <c r="WAW314" s="539"/>
      <c r="WAX314" s="539"/>
      <c r="WAY314" s="539"/>
      <c r="WAZ314" s="539"/>
      <c r="WBA314" s="539"/>
      <c r="WBB314" s="539"/>
      <c r="WBC314" s="539"/>
      <c r="WBD314" s="539"/>
      <c r="WBE314" s="539"/>
      <c r="WBF314" s="539"/>
      <c r="WBG314" s="539"/>
      <c r="WBH314" s="539"/>
      <c r="WBI314" s="539"/>
      <c r="WBJ314" s="539"/>
      <c r="WBK314" s="539"/>
      <c r="WBL314" s="539"/>
      <c r="WBM314" s="539"/>
      <c r="WBN314" s="539"/>
      <c r="WBO314" s="539"/>
      <c r="WBP314" s="539"/>
      <c r="WBQ314" s="539"/>
      <c r="WBR314" s="539"/>
      <c r="WBS314" s="539"/>
      <c r="WBT314" s="539"/>
      <c r="WBU314" s="539"/>
      <c r="WBV314" s="539"/>
      <c r="WBW314" s="539"/>
      <c r="WBX314" s="539"/>
      <c r="WBY314" s="539"/>
      <c r="WBZ314" s="539"/>
      <c r="WCA314" s="539"/>
      <c r="WCB314" s="539"/>
      <c r="WCC314" s="539"/>
      <c r="WCD314" s="539"/>
      <c r="WCE314" s="539"/>
      <c r="WCF314" s="539"/>
      <c r="WCG314" s="539"/>
      <c r="WCH314" s="539"/>
      <c r="WCI314" s="539"/>
      <c r="WCJ314" s="539"/>
      <c r="WCK314" s="539"/>
      <c r="WCL314" s="539"/>
      <c r="WCM314" s="539"/>
      <c r="WCN314" s="539"/>
      <c r="WCO314" s="539"/>
      <c r="WCP314" s="539"/>
      <c r="WCQ314" s="539"/>
      <c r="WCR314" s="539"/>
      <c r="WCS314" s="539"/>
      <c r="WCT314" s="539"/>
      <c r="WCU314" s="539"/>
      <c r="WCV314" s="539"/>
      <c r="WCW314" s="539"/>
      <c r="WCX314" s="539"/>
      <c r="WCY314" s="539"/>
      <c r="WCZ314" s="539"/>
      <c r="WDA314" s="539"/>
      <c r="WDB314" s="539"/>
      <c r="WDC314" s="539"/>
      <c r="WDD314" s="539"/>
      <c r="WDE314" s="539"/>
      <c r="WDF314" s="539"/>
      <c r="WDG314" s="539"/>
      <c r="WDH314" s="539"/>
      <c r="WDI314" s="539"/>
      <c r="WDJ314" s="539"/>
      <c r="WDK314" s="539"/>
      <c r="WDL314" s="539"/>
      <c r="WDM314" s="539"/>
      <c r="WDN314" s="539"/>
      <c r="WDO314" s="539"/>
      <c r="WDP314" s="539"/>
      <c r="WDQ314" s="539"/>
      <c r="WDR314" s="539"/>
      <c r="WDS314" s="539"/>
      <c r="WDT314" s="539"/>
      <c r="WDU314" s="539"/>
      <c r="WDV314" s="539"/>
      <c r="WDW314" s="539"/>
      <c r="WDX314" s="539"/>
      <c r="WDY314" s="539"/>
      <c r="WDZ314" s="539"/>
      <c r="WEA314" s="539"/>
      <c r="WEB314" s="539"/>
      <c r="WEC314" s="539"/>
      <c r="WED314" s="539"/>
      <c r="WEE314" s="539"/>
      <c r="WEF314" s="539"/>
      <c r="WEG314" s="539"/>
      <c r="WEH314" s="539"/>
      <c r="WEI314" s="539"/>
      <c r="WEJ314" s="539"/>
      <c r="WEK314" s="539"/>
      <c r="WEL314" s="539"/>
      <c r="WEM314" s="539"/>
      <c r="WEN314" s="539"/>
      <c r="WEO314" s="539"/>
      <c r="WEP314" s="539"/>
      <c r="WEQ314" s="539"/>
      <c r="WER314" s="539"/>
      <c r="WES314" s="539"/>
      <c r="WET314" s="539"/>
      <c r="WEU314" s="539"/>
      <c r="WEV314" s="539"/>
      <c r="WEW314" s="539"/>
      <c r="WEX314" s="539"/>
      <c r="WEY314" s="539"/>
      <c r="WEZ314" s="539"/>
      <c r="WFA314" s="539"/>
      <c r="WFB314" s="539"/>
      <c r="WFC314" s="539"/>
      <c r="WFD314" s="539"/>
      <c r="WFE314" s="539"/>
      <c r="WFF314" s="539"/>
      <c r="WFG314" s="539"/>
      <c r="WFH314" s="539"/>
      <c r="WFI314" s="539"/>
      <c r="WFJ314" s="539"/>
      <c r="WFK314" s="539"/>
      <c r="WFL314" s="539"/>
      <c r="WFM314" s="539"/>
      <c r="WFN314" s="539"/>
      <c r="WFO314" s="539"/>
      <c r="WFP314" s="539"/>
      <c r="WFQ314" s="539"/>
      <c r="WFR314" s="539"/>
      <c r="WFS314" s="539"/>
      <c r="WFT314" s="539"/>
      <c r="WFU314" s="539"/>
      <c r="WFV314" s="539"/>
      <c r="WFW314" s="539"/>
      <c r="WFX314" s="539"/>
      <c r="WFY314" s="539"/>
      <c r="WFZ314" s="539"/>
      <c r="WGA314" s="539"/>
      <c r="WGB314" s="539"/>
      <c r="WGC314" s="539"/>
      <c r="WGD314" s="539"/>
      <c r="WGE314" s="539"/>
      <c r="WGF314" s="539"/>
      <c r="WGG314" s="539"/>
      <c r="WGH314" s="539"/>
      <c r="WGI314" s="539"/>
      <c r="WGJ314" s="539"/>
      <c r="WGK314" s="539"/>
      <c r="WGL314" s="539"/>
      <c r="WGM314" s="539"/>
      <c r="WGN314" s="539"/>
      <c r="WGO314" s="539"/>
      <c r="WGP314" s="539"/>
      <c r="WGQ314" s="539"/>
      <c r="WGR314" s="539"/>
      <c r="WGS314" s="539"/>
      <c r="WGT314" s="539"/>
      <c r="WGU314" s="539"/>
      <c r="WGV314" s="539"/>
      <c r="WGW314" s="539"/>
      <c r="WGX314" s="539"/>
      <c r="WGY314" s="539"/>
      <c r="WGZ314" s="539"/>
      <c r="WHA314" s="539"/>
      <c r="WHB314" s="539"/>
      <c r="WHC314" s="539"/>
      <c r="WHD314" s="539"/>
      <c r="WHE314" s="539"/>
      <c r="WHF314" s="539"/>
      <c r="WHG314" s="539"/>
      <c r="WHH314" s="539"/>
      <c r="WHI314" s="539"/>
      <c r="WHJ314" s="539"/>
      <c r="WHK314" s="539"/>
      <c r="WHL314" s="539"/>
      <c r="WHM314" s="539"/>
      <c r="WHN314" s="539"/>
      <c r="WHO314" s="539"/>
      <c r="WHP314" s="539"/>
      <c r="WHQ314" s="539"/>
      <c r="WHR314" s="539"/>
      <c r="WHS314" s="539"/>
      <c r="WHT314" s="539"/>
      <c r="WHU314" s="539"/>
      <c r="WHV314" s="539"/>
      <c r="WHW314" s="539"/>
      <c r="WHX314" s="539"/>
      <c r="WHY314" s="539"/>
      <c r="WHZ314" s="539"/>
      <c r="WIA314" s="539"/>
      <c r="WIB314" s="539"/>
      <c r="WIC314" s="539"/>
      <c r="WID314" s="539"/>
      <c r="WIE314" s="539"/>
      <c r="WIF314" s="539"/>
      <c r="WIG314" s="539"/>
      <c r="WIH314" s="539"/>
      <c r="WII314" s="539"/>
      <c r="WIJ314" s="539"/>
      <c r="WIK314" s="539"/>
      <c r="WIL314" s="539"/>
      <c r="WIM314" s="539"/>
      <c r="WIN314" s="539"/>
      <c r="WIO314" s="539"/>
      <c r="WIP314" s="539"/>
      <c r="WIQ314" s="539"/>
      <c r="WIR314" s="539"/>
      <c r="WIS314" s="539"/>
      <c r="WIT314" s="539"/>
      <c r="WIU314" s="539"/>
      <c r="WIV314" s="539"/>
      <c r="WIW314" s="539"/>
      <c r="WIX314" s="539"/>
      <c r="WIY314" s="539"/>
      <c r="WIZ314" s="539"/>
      <c r="WJA314" s="539"/>
      <c r="WJB314" s="539"/>
      <c r="WJC314" s="539"/>
      <c r="WJD314" s="539"/>
      <c r="WJE314" s="539"/>
      <c r="WJF314" s="539"/>
      <c r="WJG314" s="539"/>
      <c r="WJH314" s="539"/>
      <c r="WJI314" s="539"/>
      <c r="WJJ314" s="539"/>
      <c r="WJK314" s="539"/>
      <c r="WJL314" s="539"/>
      <c r="WJM314" s="539"/>
      <c r="WJN314" s="539"/>
      <c r="WJO314" s="539"/>
      <c r="WJP314" s="539"/>
      <c r="WJQ314" s="539"/>
      <c r="WJR314" s="539"/>
      <c r="WJS314" s="539"/>
      <c r="WJT314" s="539"/>
      <c r="WJU314" s="539"/>
      <c r="WJV314" s="539"/>
      <c r="WJW314" s="539"/>
      <c r="WJX314" s="539"/>
      <c r="WJY314" s="539"/>
      <c r="WJZ314" s="539"/>
      <c r="WKA314" s="539"/>
      <c r="WKB314" s="539"/>
      <c r="WKC314" s="539"/>
      <c r="WKD314" s="539"/>
      <c r="WKE314" s="539"/>
      <c r="WKF314" s="539"/>
      <c r="WKG314" s="539"/>
      <c r="WKH314" s="539"/>
      <c r="WKI314" s="539"/>
      <c r="WKJ314" s="539"/>
      <c r="WKK314" s="539"/>
      <c r="WKL314" s="539"/>
      <c r="WKM314" s="539"/>
      <c r="WKN314" s="539"/>
      <c r="WKO314" s="539"/>
      <c r="WKP314" s="539"/>
      <c r="WKQ314" s="539"/>
      <c r="WKR314" s="539"/>
      <c r="WKS314" s="539"/>
      <c r="WKT314" s="539"/>
      <c r="WKU314" s="539"/>
      <c r="WKV314" s="539"/>
      <c r="WKW314" s="539"/>
      <c r="WKX314" s="539"/>
      <c r="WKY314" s="539"/>
      <c r="WKZ314" s="539"/>
      <c r="WLA314" s="539"/>
      <c r="WLB314" s="539"/>
      <c r="WLC314" s="539"/>
      <c r="WLD314" s="539"/>
      <c r="WLE314" s="539"/>
      <c r="WLF314" s="539"/>
      <c r="WLG314" s="539"/>
      <c r="WLH314" s="539"/>
      <c r="WLI314" s="539"/>
      <c r="WLJ314" s="539"/>
      <c r="WLK314" s="539"/>
      <c r="WLL314" s="539"/>
      <c r="WLM314" s="539"/>
      <c r="WLN314" s="539"/>
      <c r="WLO314" s="539"/>
      <c r="WLP314" s="539"/>
      <c r="WLQ314" s="539"/>
      <c r="WLR314" s="539"/>
      <c r="WLS314" s="539"/>
      <c r="WLT314" s="539"/>
      <c r="WLU314" s="539"/>
      <c r="WLV314" s="539"/>
      <c r="WLW314" s="539"/>
      <c r="WLX314" s="539"/>
      <c r="WLY314" s="539"/>
      <c r="WLZ314" s="539"/>
      <c r="WMA314" s="539"/>
      <c r="WMB314" s="539"/>
      <c r="WMC314" s="539"/>
      <c r="WMD314" s="539"/>
      <c r="WME314" s="539"/>
      <c r="WMF314" s="539"/>
      <c r="WMG314" s="539"/>
      <c r="WMH314" s="539"/>
      <c r="WMI314" s="539"/>
      <c r="WMJ314" s="539"/>
      <c r="WMK314" s="539"/>
      <c r="WML314" s="539"/>
      <c r="WMM314" s="539"/>
      <c r="WMN314" s="539"/>
      <c r="WMO314" s="539"/>
      <c r="WMP314" s="539"/>
      <c r="WMQ314" s="539"/>
      <c r="WMR314" s="539"/>
      <c r="WMS314" s="539"/>
      <c r="WMT314" s="539"/>
      <c r="WMU314" s="539"/>
      <c r="WMV314" s="539"/>
      <c r="WMW314" s="539"/>
      <c r="WMX314" s="539"/>
      <c r="WMY314" s="539"/>
      <c r="WMZ314" s="539"/>
      <c r="WNA314" s="539"/>
      <c r="WNB314" s="539"/>
      <c r="WNC314" s="539"/>
      <c r="WND314" s="539"/>
      <c r="WNE314" s="539"/>
      <c r="WNF314" s="539"/>
      <c r="WNG314" s="539"/>
      <c r="WNH314" s="539"/>
      <c r="WNI314" s="539"/>
      <c r="WNJ314" s="539"/>
      <c r="WNK314" s="539"/>
      <c r="WNL314" s="539"/>
      <c r="WNM314" s="539"/>
      <c r="WNN314" s="539"/>
      <c r="WNO314" s="539"/>
      <c r="WNP314" s="539"/>
      <c r="WNQ314" s="539"/>
      <c r="WNR314" s="539"/>
      <c r="WNS314" s="539"/>
      <c r="WNT314" s="539"/>
      <c r="WNU314" s="539"/>
      <c r="WNV314" s="539"/>
      <c r="WNW314" s="539"/>
      <c r="WNX314" s="539"/>
      <c r="WNY314" s="539"/>
      <c r="WNZ314" s="539"/>
      <c r="WOA314" s="539"/>
      <c r="WOB314" s="539"/>
      <c r="WOC314" s="539"/>
      <c r="WOD314" s="539"/>
      <c r="WOE314" s="539"/>
      <c r="WOF314" s="539"/>
      <c r="WOG314" s="539"/>
      <c r="WOH314" s="539"/>
      <c r="WOI314" s="539"/>
      <c r="WOJ314" s="539"/>
      <c r="WOK314" s="539"/>
      <c r="WOL314" s="539"/>
      <c r="WOM314" s="539"/>
      <c r="WON314" s="539"/>
      <c r="WOO314" s="539"/>
      <c r="WOP314" s="539"/>
      <c r="WOQ314" s="539"/>
      <c r="WOR314" s="539"/>
      <c r="WOS314" s="539"/>
      <c r="WOT314" s="539"/>
      <c r="WOU314" s="539"/>
      <c r="WOV314" s="539"/>
      <c r="WOW314" s="539"/>
      <c r="WOX314" s="539"/>
      <c r="WOY314" s="539"/>
      <c r="WOZ314" s="539"/>
      <c r="WPA314" s="539"/>
      <c r="WPB314" s="539"/>
      <c r="WPC314" s="539"/>
      <c r="WPD314" s="539"/>
      <c r="WPE314" s="539"/>
      <c r="WPF314" s="539"/>
      <c r="WPG314" s="539"/>
      <c r="WPH314" s="539"/>
      <c r="WPI314" s="539"/>
      <c r="WPJ314" s="539"/>
      <c r="WPK314" s="539"/>
      <c r="WPL314" s="539"/>
      <c r="WPM314" s="539"/>
      <c r="WPN314" s="539"/>
      <c r="WPO314" s="539"/>
      <c r="WPP314" s="539"/>
      <c r="WPQ314" s="539"/>
      <c r="WPR314" s="539"/>
      <c r="WPS314" s="539"/>
      <c r="WPT314" s="539"/>
      <c r="WPU314" s="539"/>
      <c r="WPV314" s="539"/>
      <c r="WPW314" s="539"/>
      <c r="WPX314" s="539"/>
      <c r="WPY314" s="539"/>
      <c r="WPZ314" s="539"/>
      <c r="WQA314" s="539"/>
      <c r="WQB314" s="539"/>
      <c r="WQC314" s="539"/>
      <c r="WQD314" s="539"/>
      <c r="WQE314" s="539"/>
      <c r="WQF314" s="539"/>
      <c r="WQG314" s="539"/>
      <c r="WQH314" s="539"/>
      <c r="WQI314" s="539"/>
      <c r="WQJ314" s="539"/>
      <c r="WQK314" s="539"/>
      <c r="WQL314" s="539"/>
      <c r="WQM314" s="539"/>
      <c r="WQN314" s="539"/>
      <c r="WQO314" s="539"/>
      <c r="WQP314" s="539"/>
      <c r="WQQ314" s="539"/>
      <c r="WQR314" s="539"/>
      <c r="WQS314" s="539"/>
      <c r="WQT314" s="539"/>
      <c r="WQU314" s="539"/>
      <c r="WQV314" s="539"/>
      <c r="WQW314" s="539"/>
      <c r="WQX314" s="539"/>
      <c r="WQY314" s="539"/>
      <c r="WQZ314" s="539"/>
      <c r="WRA314" s="539"/>
      <c r="WRB314" s="539"/>
      <c r="WRC314" s="539"/>
      <c r="WRD314" s="539"/>
      <c r="WRE314" s="539"/>
      <c r="WRF314" s="539"/>
      <c r="WRG314" s="539"/>
      <c r="WRH314" s="539"/>
      <c r="WRI314" s="539"/>
      <c r="WRJ314" s="539"/>
      <c r="WRK314" s="539"/>
      <c r="WRL314" s="539"/>
      <c r="WRM314" s="539"/>
      <c r="WRN314" s="539"/>
      <c r="WRO314" s="539"/>
      <c r="WRP314" s="539"/>
      <c r="WRQ314" s="539"/>
      <c r="WRR314" s="539"/>
      <c r="WRS314" s="539"/>
      <c r="WRT314" s="539"/>
      <c r="WRU314" s="539"/>
      <c r="WRV314" s="539"/>
      <c r="WRW314" s="539"/>
      <c r="WRX314" s="539"/>
      <c r="WRY314" s="539"/>
      <c r="WRZ314" s="539"/>
      <c r="WSA314" s="539"/>
      <c r="WSB314" s="539"/>
      <c r="WSC314" s="539"/>
      <c r="WSD314" s="539"/>
      <c r="WSE314" s="539"/>
      <c r="WSF314" s="539"/>
      <c r="WSG314" s="539"/>
      <c r="WSH314" s="539"/>
      <c r="WSI314" s="539"/>
      <c r="WSJ314" s="539"/>
      <c r="WSK314" s="539"/>
      <c r="WSL314" s="539"/>
      <c r="WSM314" s="539"/>
      <c r="WSN314" s="539"/>
      <c r="WSO314" s="539"/>
      <c r="WSP314" s="539"/>
      <c r="WSQ314" s="539"/>
      <c r="WSR314" s="539"/>
      <c r="WSS314" s="539"/>
      <c r="WST314" s="539"/>
      <c r="WSU314" s="539"/>
      <c r="WSV314" s="539"/>
      <c r="WSW314" s="539"/>
      <c r="WSX314" s="539"/>
      <c r="WSY314" s="539"/>
      <c r="WSZ314" s="539"/>
      <c r="WTA314" s="539"/>
      <c r="WTB314" s="539"/>
      <c r="WTC314" s="539"/>
      <c r="WTD314" s="539"/>
      <c r="WTE314" s="539"/>
      <c r="WTF314" s="539"/>
      <c r="WTG314" s="539"/>
      <c r="WTH314" s="539"/>
      <c r="WTI314" s="539"/>
      <c r="WTJ314" s="539"/>
      <c r="WTK314" s="539"/>
      <c r="WTL314" s="539"/>
      <c r="WTM314" s="539"/>
      <c r="WTN314" s="539"/>
      <c r="WTO314" s="539"/>
      <c r="WTP314" s="539"/>
      <c r="WTQ314" s="539"/>
      <c r="WTR314" s="539"/>
      <c r="WTS314" s="539"/>
      <c r="WTT314" s="539"/>
      <c r="WTU314" s="539"/>
      <c r="WTV314" s="539"/>
      <c r="WTW314" s="539"/>
      <c r="WTX314" s="539"/>
      <c r="WTY314" s="539"/>
      <c r="WTZ314" s="539"/>
      <c r="WUA314" s="539"/>
      <c r="WUB314" s="539"/>
      <c r="WUC314" s="539"/>
      <c r="WUD314" s="539"/>
      <c r="WUE314" s="539"/>
      <c r="WUF314" s="539"/>
      <c r="WUG314" s="539"/>
      <c r="WUH314" s="539"/>
      <c r="WUI314" s="539"/>
      <c r="WUJ314" s="539"/>
      <c r="WUK314" s="539"/>
      <c r="WUL314" s="539"/>
      <c r="WUM314" s="539"/>
      <c r="WUN314" s="539"/>
      <c r="WUO314" s="539"/>
      <c r="WUP314" s="539"/>
      <c r="WUQ314" s="539"/>
      <c r="WUR314" s="539"/>
      <c r="WUS314" s="539"/>
      <c r="WUT314" s="539"/>
      <c r="WUU314" s="539"/>
      <c r="WUV314" s="539"/>
      <c r="WUW314" s="539"/>
      <c r="WUX314" s="539"/>
      <c r="WUY314" s="539"/>
      <c r="WUZ314" s="539"/>
      <c r="WVA314" s="539"/>
      <c r="WVB314" s="539"/>
      <c r="WVC314" s="539"/>
      <c r="WVD314" s="539"/>
      <c r="WVE314" s="539"/>
      <c r="WVF314" s="539"/>
      <c r="WVG314" s="539"/>
      <c r="WVH314" s="539"/>
      <c r="WVI314" s="539"/>
      <c r="WVJ314" s="539"/>
      <c r="WVK314" s="539"/>
      <c r="WVL314" s="539"/>
      <c r="WVM314" s="539"/>
      <c r="WVN314" s="539"/>
      <c r="WVO314" s="539"/>
      <c r="WVP314" s="539"/>
      <c r="WVQ314" s="539"/>
      <c r="WVR314" s="539"/>
      <c r="WVS314" s="539"/>
      <c r="WVT314" s="539"/>
      <c r="WVU314" s="539"/>
      <c r="WVV314" s="539"/>
      <c r="WVW314" s="539"/>
      <c r="WVX314" s="539"/>
      <c r="WVY314" s="539"/>
      <c r="WVZ314" s="539"/>
      <c r="WWA314" s="539"/>
      <c r="WWB314" s="539"/>
      <c r="WWC314" s="539"/>
      <c r="WWD314" s="539"/>
      <c r="WWE314" s="539"/>
      <c r="WWF314" s="539"/>
      <c r="WWG314" s="539"/>
      <c r="WWH314" s="539"/>
      <c r="WWI314" s="539"/>
      <c r="WWJ314" s="539"/>
      <c r="WWK314" s="539"/>
      <c r="WWL314" s="539"/>
      <c r="WWM314" s="539"/>
      <c r="WWN314" s="539"/>
      <c r="WWO314" s="539"/>
      <c r="WWP314" s="539"/>
      <c r="WWQ314" s="539"/>
      <c r="WWR314" s="539"/>
      <c r="WWS314" s="539"/>
      <c r="WWT314" s="539"/>
      <c r="WWU314" s="539"/>
      <c r="WWV314" s="539"/>
      <c r="WWW314" s="539"/>
      <c r="WWX314" s="539"/>
      <c r="WWY314" s="539"/>
      <c r="WWZ314" s="539"/>
      <c r="WXA314" s="539"/>
      <c r="WXB314" s="539"/>
      <c r="WXC314" s="539"/>
      <c r="WXD314" s="539"/>
      <c r="WXE314" s="539"/>
      <c r="WXF314" s="539"/>
      <c r="WXG314" s="539"/>
      <c r="WXH314" s="539"/>
      <c r="WXI314" s="539"/>
      <c r="WXJ314" s="539"/>
      <c r="WXK314" s="539"/>
      <c r="WXL314" s="539"/>
      <c r="WXM314" s="539"/>
      <c r="WXN314" s="539"/>
      <c r="WXO314" s="539"/>
      <c r="WXP314" s="539"/>
      <c r="WXQ314" s="539"/>
      <c r="WXR314" s="539"/>
      <c r="WXS314" s="539"/>
      <c r="WXT314" s="539"/>
      <c r="WXU314" s="539"/>
      <c r="WXV314" s="539"/>
      <c r="WXW314" s="539"/>
      <c r="WXX314" s="539"/>
      <c r="WXY314" s="539"/>
      <c r="WXZ314" s="539"/>
      <c r="WYA314" s="539"/>
      <c r="WYB314" s="539"/>
      <c r="WYC314" s="539"/>
      <c r="WYD314" s="539"/>
      <c r="WYE314" s="539"/>
      <c r="WYF314" s="539"/>
      <c r="WYG314" s="539"/>
      <c r="WYH314" s="539"/>
      <c r="WYI314" s="539"/>
      <c r="WYJ314" s="539"/>
      <c r="WYK314" s="539"/>
      <c r="WYL314" s="539"/>
      <c r="WYM314" s="539"/>
      <c r="WYN314" s="539"/>
      <c r="WYO314" s="539"/>
      <c r="WYP314" s="539"/>
      <c r="WYQ314" s="539"/>
      <c r="WYR314" s="539"/>
      <c r="WYS314" s="539"/>
      <c r="WYT314" s="539"/>
      <c r="WYU314" s="539"/>
      <c r="WYV314" s="539"/>
      <c r="WYW314" s="539"/>
      <c r="WYX314" s="539"/>
      <c r="WYY314" s="539"/>
      <c r="WYZ314" s="539"/>
      <c r="WZA314" s="539"/>
      <c r="WZB314" s="539"/>
      <c r="WZC314" s="539"/>
      <c r="WZD314" s="539"/>
      <c r="WZE314" s="539"/>
      <c r="WZF314" s="539"/>
      <c r="WZG314" s="539"/>
      <c r="WZH314" s="539"/>
      <c r="WZI314" s="539"/>
      <c r="WZJ314" s="539"/>
      <c r="WZK314" s="539"/>
      <c r="WZL314" s="539"/>
      <c r="WZM314" s="539"/>
      <c r="WZN314" s="539"/>
      <c r="WZO314" s="539"/>
      <c r="WZP314" s="539"/>
      <c r="WZQ314" s="539"/>
      <c r="WZR314" s="539"/>
      <c r="WZS314" s="539"/>
      <c r="WZT314" s="539"/>
      <c r="WZU314" s="539"/>
      <c r="WZV314" s="539"/>
      <c r="WZW314" s="539"/>
      <c r="WZX314" s="539"/>
      <c r="WZY314" s="539"/>
      <c r="WZZ314" s="539"/>
      <c r="XAA314" s="539"/>
      <c r="XAB314" s="539"/>
      <c r="XAC314" s="539"/>
      <c r="XAD314" s="539"/>
      <c r="XAE314" s="539"/>
      <c r="XAF314" s="539"/>
      <c r="XAG314" s="539"/>
      <c r="XAH314" s="539"/>
      <c r="XAI314" s="539"/>
      <c r="XAJ314" s="539"/>
      <c r="XAK314" s="539"/>
      <c r="XAL314" s="539"/>
      <c r="XAM314" s="539"/>
      <c r="XAN314" s="539"/>
      <c r="XAO314" s="539"/>
      <c r="XAP314" s="539"/>
      <c r="XAQ314" s="539"/>
      <c r="XAR314" s="539"/>
      <c r="XAS314" s="539"/>
      <c r="XAT314" s="539"/>
      <c r="XAU314" s="539"/>
      <c r="XAV314" s="539"/>
      <c r="XAW314" s="539"/>
      <c r="XAX314" s="539"/>
      <c r="XAY314" s="539"/>
      <c r="XAZ314" s="539"/>
      <c r="XBA314" s="539"/>
      <c r="XBB314" s="539"/>
      <c r="XBC314" s="539"/>
      <c r="XBD314" s="539"/>
      <c r="XBE314" s="539"/>
      <c r="XBF314" s="539"/>
      <c r="XBG314" s="539"/>
      <c r="XBH314" s="539"/>
      <c r="XBI314" s="539"/>
      <c r="XBJ314" s="539"/>
      <c r="XBK314" s="539"/>
      <c r="XBL314" s="539"/>
      <c r="XBM314" s="539"/>
      <c r="XBN314" s="539"/>
      <c r="XBO314" s="539"/>
      <c r="XBP314" s="539"/>
      <c r="XBQ314" s="539"/>
      <c r="XBR314" s="539"/>
      <c r="XBS314" s="539"/>
      <c r="XBT314" s="539"/>
      <c r="XBU314" s="539"/>
      <c r="XBV314" s="539"/>
      <c r="XBW314" s="539"/>
      <c r="XBX314" s="539"/>
      <c r="XBY314" s="539"/>
      <c r="XBZ314" s="539"/>
      <c r="XCA314" s="539"/>
      <c r="XCB314" s="539"/>
      <c r="XCC314" s="539"/>
      <c r="XCD314" s="539"/>
      <c r="XCE314" s="539"/>
      <c r="XCF314" s="539"/>
      <c r="XCG314" s="539"/>
      <c r="XCH314" s="539"/>
      <c r="XCI314" s="539"/>
      <c r="XCJ314" s="539"/>
      <c r="XCK314" s="539"/>
      <c r="XCL314" s="539"/>
      <c r="XCM314" s="539"/>
      <c r="XCN314" s="539"/>
      <c r="XCO314" s="539"/>
      <c r="XCP314" s="539"/>
      <c r="XCQ314" s="539"/>
      <c r="XCR314" s="539"/>
      <c r="XCS314" s="539"/>
      <c r="XCT314" s="539"/>
      <c r="XCU314" s="539"/>
      <c r="XCV314" s="539"/>
      <c r="XCW314" s="539"/>
      <c r="XCX314" s="539"/>
      <c r="XCY314" s="539"/>
      <c r="XCZ314" s="539"/>
      <c r="XDA314" s="539"/>
      <c r="XDB314" s="539"/>
      <c r="XDC314" s="539"/>
      <c r="XDD314" s="539"/>
      <c r="XDE314" s="539"/>
      <c r="XDF314" s="539"/>
      <c r="XDG314" s="539"/>
      <c r="XDH314" s="539"/>
      <c r="XDI314" s="539"/>
      <c r="XDJ314" s="539"/>
      <c r="XDK314" s="539"/>
      <c r="XDL314" s="539"/>
      <c r="XDM314" s="539"/>
      <c r="XDN314" s="539"/>
      <c r="XDO314" s="539"/>
      <c r="XDP314" s="539"/>
      <c r="XDQ314" s="539"/>
      <c r="XDR314" s="539"/>
      <c r="XDS314" s="539"/>
      <c r="XDT314" s="539"/>
      <c r="XDU314" s="539"/>
      <c r="XDV314" s="539"/>
      <c r="XDW314" s="539"/>
      <c r="XDX314" s="539"/>
      <c r="XDY314" s="539"/>
      <c r="XDZ314" s="539"/>
      <c r="XEA314" s="539"/>
      <c r="XEB314" s="539"/>
      <c r="XEC314" s="539"/>
      <c r="XED314" s="539"/>
      <c r="XEE314" s="539"/>
      <c r="XEF314" s="539"/>
      <c r="XEG314" s="539"/>
      <c r="XEH314" s="539"/>
      <c r="XEI314" s="539"/>
      <c r="XEJ314" s="539"/>
      <c r="XEK314" s="539"/>
      <c r="XEL314" s="539"/>
      <c r="XEM314" s="539"/>
      <c r="XEN314" s="539"/>
      <c r="XEO314" s="539"/>
      <c r="XEP314" s="539"/>
      <c r="XEQ314" s="539"/>
      <c r="XER314" s="539"/>
      <c r="XES314" s="539"/>
      <c r="XET314" s="539"/>
      <c r="XEU314" s="539"/>
      <c r="XEV314" s="539"/>
      <c r="XEW314" s="539"/>
    </row>
    <row r="315" spans="1:16377">
      <c r="A315" s="530" t="s">
        <v>11265</v>
      </c>
      <c r="B315" s="389" t="s">
        <v>2143</v>
      </c>
      <c r="C315" s="680" t="s">
        <v>1291</v>
      </c>
      <c r="D315" s="684">
        <v>11</v>
      </c>
      <c r="E315" s="695">
        <v>21628080</v>
      </c>
      <c r="F315" s="695"/>
      <c r="G315" s="390">
        <v>2135</v>
      </c>
      <c r="H315" s="391" t="s">
        <v>2144</v>
      </c>
      <c r="I315" s="391"/>
      <c r="J315" s="531" t="s">
        <v>10735</v>
      </c>
      <c r="K315" s="392"/>
      <c r="L315" s="392"/>
      <c r="M315" s="690">
        <v>2135</v>
      </c>
      <c r="N315" s="393" t="s">
        <v>1290</v>
      </c>
    </row>
    <row r="316" spans="1:16377">
      <c r="A316" s="530" t="s">
        <v>11266</v>
      </c>
      <c r="B316" s="389" t="s">
        <v>2147</v>
      </c>
      <c r="C316" s="680" t="s">
        <v>1073</v>
      </c>
      <c r="D316" s="684">
        <v>61</v>
      </c>
      <c r="E316" s="695">
        <v>84078814</v>
      </c>
      <c r="F316" s="695"/>
      <c r="G316" s="390">
        <v>701397</v>
      </c>
      <c r="H316" s="391" t="s">
        <v>2148</v>
      </c>
      <c r="I316" s="391" t="s">
        <v>2335</v>
      </c>
      <c r="J316" s="531">
        <v>341</v>
      </c>
      <c r="K316" s="392" t="s">
        <v>2438</v>
      </c>
      <c r="L316" s="392" t="s">
        <v>2439</v>
      </c>
      <c r="M316" s="690">
        <v>701397</v>
      </c>
      <c r="N316" s="393" t="s">
        <v>10245</v>
      </c>
    </row>
    <row r="317" spans="1:16377">
      <c r="A317" s="530" t="s">
        <v>11267</v>
      </c>
      <c r="B317" s="389" t="s">
        <v>2145</v>
      </c>
      <c r="C317" s="680" t="s">
        <v>948</v>
      </c>
      <c r="D317" s="684">
        <v>62</v>
      </c>
      <c r="E317" s="695">
        <v>32187040</v>
      </c>
      <c r="F317" s="695"/>
      <c r="G317" s="390">
        <v>702094</v>
      </c>
      <c r="H317" s="391" t="s">
        <v>2146</v>
      </c>
      <c r="I317" s="391" t="s">
        <v>2320</v>
      </c>
      <c r="J317" s="531" t="s">
        <v>3043</v>
      </c>
      <c r="K317" s="392" t="s">
        <v>2449</v>
      </c>
      <c r="L317" s="392" t="s">
        <v>2452</v>
      </c>
      <c r="M317" s="690">
        <v>702094</v>
      </c>
      <c r="N317" s="393" t="s">
        <v>947</v>
      </c>
    </row>
    <row r="318" spans="1:16377">
      <c r="A318" s="530" t="s">
        <v>11268</v>
      </c>
      <c r="B318" s="389" t="s">
        <v>2149</v>
      </c>
      <c r="C318" s="680" t="s">
        <v>1340</v>
      </c>
      <c r="D318" s="684">
        <v>61</v>
      </c>
      <c r="E318" s="695">
        <v>33731936</v>
      </c>
      <c r="F318" s="695"/>
      <c r="G318" s="390">
        <v>700754</v>
      </c>
      <c r="H318" s="391" t="s">
        <v>2150</v>
      </c>
      <c r="I318" s="391" t="s">
        <v>2321</v>
      </c>
      <c r="J318" s="531" t="s">
        <v>3050</v>
      </c>
      <c r="K318" s="392" t="s">
        <v>2400</v>
      </c>
      <c r="L318" s="392" t="s">
        <v>2442</v>
      </c>
      <c r="M318" s="690">
        <v>700754</v>
      </c>
      <c r="N318" s="393" t="s">
        <v>597</v>
      </c>
    </row>
    <row r="319" spans="1:16377">
      <c r="A319" s="530" t="s">
        <v>11269</v>
      </c>
      <c r="B319" s="389" t="s">
        <v>11270</v>
      </c>
      <c r="C319" s="680"/>
      <c r="D319" s="684" t="s">
        <v>5888</v>
      </c>
      <c r="E319" s="695"/>
      <c r="F319" s="695"/>
      <c r="G319" s="391"/>
      <c r="H319" s="391" t="s">
        <v>11271</v>
      </c>
      <c r="I319" s="391"/>
      <c r="J319" s="531"/>
      <c r="K319" s="548"/>
      <c r="L319" s="392"/>
      <c r="M319" s="690"/>
      <c r="N319" s="393" t="s">
        <v>11272</v>
      </c>
      <c r="P319" s="394" t="s">
        <v>11273</v>
      </c>
    </row>
    <row r="320" spans="1:16377">
      <c r="A320" s="530" t="s">
        <v>9013</v>
      </c>
      <c r="B320" s="389" t="s">
        <v>6952</v>
      </c>
      <c r="C320" s="680" t="s">
        <v>9282</v>
      </c>
      <c r="D320" s="684">
        <v>62</v>
      </c>
      <c r="E320" s="695">
        <v>30885331</v>
      </c>
      <c r="F320" s="695">
        <v>984860065</v>
      </c>
      <c r="G320" s="390">
        <v>702924</v>
      </c>
      <c r="H320" s="391" t="s">
        <v>2010</v>
      </c>
      <c r="I320" s="391" t="s">
        <v>2329</v>
      </c>
      <c r="J320" s="531">
        <v>104</v>
      </c>
      <c r="K320" s="392" t="s">
        <v>2500</v>
      </c>
      <c r="L320" s="392" t="s">
        <v>4054</v>
      </c>
      <c r="M320" s="690">
        <v>702924</v>
      </c>
      <c r="N320" s="393" t="s">
        <v>6953</v>
      </c>
    </row>
    <row r="321" spans="1:16">
      <c r="A321" s="530" t="s">
        <v>4149</v>
      </c>
      <c r="B321" s="389" t="s">
        <v>11274</v>
      </c>
      <c r="C321" s="680" t="s">
        <v>9282</v>
      </c>
      <c r="D321" s="684">
        <v>62</v>
      </c>
      <c r="E321" s="695">
        <v>32584196</v>
      </c>
      <c r="F321" s="695">
        <v>984860065</v>
      </c>
      <c r="G321" s="390">
        <v>703435</v>
      </c>
      <c r="H321" s="391" t="s">
        <v>4148</v>
      </c>
      <c r="I321" s="391" t="s">
        <v>2329</v>
      </c>
      <c r="J321" s="531">
        <v>104</v>
      </c>
      <c r="K321" s="392" t="s">
        <v>2500</v>
      </c>
      <c r="L321" s="392" t="s">
        <v>4204</v>
      </c>
      <c r="M321" s="690">
        <v>703435</v>
      </c>
      <c r="N321" s="393" t="s">
        <v>4147</v>
      </c>
      <c r="P321" s="394" t="s">
        <v>11275</v>
      </c>
    </row>
    <row r="322" spans="1:16">
      <c r="A322" s="530" t="s">
        <v>11276</v>
      </c>
      <c r="B322" s="389" t="s">
        <v>1040</v>
      </c>
      <c r="C322" s="680" t="s">
        <v>1299</v>
      </c>
      <c r="D322" s="684">
        <v>11</v>
      </c>
      <c r="E322" s="695">
        <v>44691818</v>
      </c>
      <c r="F322" s="695"/>
      <c r="G322" s="390">
        <v>701015</v>
      </c>
      <c r="H322" s="391" t="s">
        <v>2151</v>
      </c>
      <c r="I322" s="391" t="s">
        <v>2320</v>
      </c>
      <c r="J322" s="531" t="s">
        <v>3043</v>
      </c>
      <c r="K322" s="392" t="s">
        <v>2385</v>
      </c>
      <c r="L322" s="392" t="s">
        <v>2386</v>
      </c>
      <c r="M322" s="690">
        <v>701015</v>
      </c>
      <c r="N322" s="393" t="s">
        <v>1039</v>
      </c>
    </row>
    <row r="323" spans="1:16">
      <c r="A323" s="530" t="s">
        <v>11277</v>
      </c>
      <c r="B323" s="389" t="s">
        <v>11278</v>
      </c>
      <c r="C323" s="680" t="s">
        <v>3413</v>
      </c>
      <c r="D323" s="684">
        <v>62</v>
      </c>
      <c r="E323" s="695">
        <v>39960020</v>
      </c>
      <c r="F323" s="695"/>
      <c r="G323" s="390"/>
      <c r="H323" s="391" t="s">
        <v>11279</v>
      </c>
      <c r="I323" s="391" t="s">
        <v>2492</v>
      </c>
      <c r="J323" s="531">
        <v>756</v>
      </c>
      <c r="K323" s="392" t="s">
        <v>11280</v>
      </c>
      <c r="L323" s="392" t="s">
        <v>11281</v>
      </c>
      <c r="M323" s="690">
        <v>704106</v>
      </c>
      <c r="N323" s="393" t="s">
        <v>11282</v>
      </c>
    </row>
    <row r="324" spans="1:16">
      <c r="A324" s="530" t="s">
        <v>11283</v>
      </c>
      <c r="B324" s="389" t="s">
        <v>11284</v>
      </c>
      <c r="C324" s="680" t="s">
        <v>11285</v>
      </c>
      <c r="D324" s="684">
        <v>11</v>
      </c>
      <c r="E324" s="695">
        <v>29587222</v>
      </c>
      <c r="F324" s="695"/>
      <c r="G324" s="390">
        <v>701949</v>
      </c>
      <c r="H324" s="391" t="s">
        <v>11286</v>
      </c>
      <c r="I324" s="391"/>
      <c r="J324" s="531"/>
      <c r="K324" s="392"/>
      <c r="L324" s="392"/>
      <c r="M324" s="690">
        <v>701949</v>
      </c>
      <c r="N324" s="393" t="s">
        <v>9198</v>
      </c>
    </row>
    <row r="325" spans="1:16">
      <c r="A325" s="530" t="s">
        <v>11287</v>
      </c>
      <c r="B325" s="389" t="s">
        <v>1237</v>
      </c>
      <c r="C325" s="680" t="s">
        <v>1238</v>
      </c>
      <c r="D325" s="684">
        <v>62</v>
      </c>
      <c r="E325" s="695">
        <v>30943584</v>
      </c>
      <c r="F325" s="695"/>
      <c r="G325" s="390">
        <v>701215</v>
      </c>
      <c r="H325" s="391" t="s">
        <v>2152</v>
      </c>
      <c r="I325" s="391" t="s">
        <v>2350</v>
      </c>
      <c r="J325" s="531">
        <v>237</v>
      </c>
      <c r="K325" s="392" t="s">
        <v>2363</v>
      </c>
      <c r="L325" s="392" t="s">
        <v>2364</v>
      </c>
      <c r="M325" s="690">
        <v>701215</v>
      </c>
      <c r="N325" s="393" t="s">
        <v>1236</v>
      </c>
    </row>
    <row r="326" spans="1:16">
      <c r="A326" s="530" t="s">
        <v>11288</v>
      </c>
      <c r="B326" s="389" t="s">
        <v>11289</v>
      </c>
      <c r="C326" s="680"/>
      <c r="D326" s="684" t="s">
        <v>5888</v>
      </c>
      <c r="E326" s="695"/>
      <c r="F326" s="695"/>
      <c r="G326" s="390"/>
      <c r="H326" s="391" t="s">
        <v>11290</v>
      </c>
      <c r="I326" s="391"/>
      <c r="J326" s="531" t="s">
        <v>10735</v>
      </c>
      <c r="K326" s="392"/>
      <c r="L326" s="392"/>
      <c r="M326" s="690"/>
      <c r="N326" s="393" t="s">
        <v>11291</v>
      </c>
    </row>
    <row r="327" spans="1:16">
      <c r="A327" s="530" t="s">
        <v>11292</v>
      </c>
      <c r="B327" s="389" t="s">
        <v>1770</v>
      </c>
      <c r="C327" s="680" t="s">
        <v>1771</v>
      </c>
      <c r="D327" s="684">
        <v>61</v>
      </c>
      <c r="E327" s="695">
        <v>30265053</v>
      </c>
      <c r="F327" s="695"/>
      <c r="G327" s="390"/>
      <c r="H327" s="391"/>
      <c r="I327" s="391"/>
      <c r="J327" s="531" t="s">
        <v>10735</v>
      </c>
      <c r="K327" s="392"/>
      <c r="L327" s="392"/>
      <c r="M327" s="690"/>
      <c r="N327" s="393" t="s">
        <v>1769</v>
      </c>
    </row>
    <row r="328" spans="1:16">
      <c r="A328" s="530" t="s">
        <v>11293</v>
      </c>
      <c r="B328" s="389" t="s">
        <v>2153</v>
      </c>
      <c r="C328" s="680" t="s">
        <v>1369</v>
      </c>
      <c r="D328" s="684">
        <v>21</v>
      </c>
      <c r="E328" s="695">
        <v>31847500</v>
      </c>
      <c r="F328" s="695"/>
      <c r="G328" s="390">
        <v>701311</v>
      </c>
      <c r="H328" s="391" t="s">
        <v>2154</v>
      </c>
      <c r="I328" s="391"/>
      <c r="J328" s="531" t="s">
        <v>10735</v>
      </c>
      <c r="K328" s="392"/>
      <c r="L328" s="392"/>
      <c r="M328" s="690">
        <v>701311</v>
      </c>
      <c r="N328" s="393" t="s">
        <v>1368</v>
      </c>
    </row>
    <row r="329" spans="1:16">
      <c r="A329" s="530" t="s">
        <v>11294</v>
      </c>
      <c r="B329" s="389" t="s">
        <v>4085</v>
      </c>
      <c r="C329" s="680" t="s">
        <v>3957</v>
      </c>
      <c r="D329" s="684">
        <v>62</v>
      </c>
      <c r="E329" s="695">
        <v>41411621</v>
      </c>
      <c r="F329" s="695">
        <v>982230303</v>
      </c>
      <c r="G329" s="390">
        <v>703410</v>
      </c>
      <c r="H329" s="391" t="s">
        <v>3958</v>
      </c>
      <c r="I329" s="391" t="s">
        <v>2350</v>
      </c>
      <c r="J329" s="531">
        <v>237</v>
      </c>
      <c r="K329" s="392" t="s">
        <v>4086</v>
      </c>
      <c r="L329" s="392" t="s">
        <v>4087</v>
      </c>
      <c r="M329" s="690">
        <v>703410</v>
      </c>
      <c r="N329" s="393" t="s">
        <v>3959</v>
      </c>
    </row>
    <row r="330" spans="1:16">
      <c r="A330" s="530" t="s">
        <v>11295</v>
      </c>
      <c r="B330" s="389" t="s">
        <v>2155</v>
      </c>
      <c r="C330" s="680" t="s">
        <v>1683</v>
      </c>
      <c r="D330" s="684">
        <v>31</v>
      </c>
      <c r="E330" s="695">
        <v>25595500</v>
      </c>
      <c r="F330" s="695"/>
      <c r="G330" s="390">
        <v>702098</v>
      </c>
      <c r="H330" s="391" t="s">
        <v>2156</v>
      </c>
      <c r="I330" s="391" t="s">
        <v>2320</v>
      </c>
      <c r="J330" s="531" t="s">
        <v>3043</v>
      </c>
      <c r="K330" s="392" t="s">
        <v>2353</v>
      </c>
      <c r="L330" s="392" t="s">
        <v>2354</v>
      </c>
      <c r="M330" s="690">
        <v>702098</v>
      </c>
      <c r="N330" s="393" t="s">
        <v>1311</v>
      </c>
    </row>
    <row r="331" spans="1:16">
      <c r="A331" s="530" t="s">
        <v>11296</v>
      </c>
      <c r="B331" s="389" t="s">
        <v>11297</v>
      </c>
      <c r="C331" s="680" t="s">
        <v>882</v>
      </c>
      <c r="D331" s="684">
        <v>61</v>
      </c>
      <c r="E331" s="695">
        <v>33288858</v>
      </c>
      <c r="F331" s="695">
        <v>981016794</v>
      </c>
      <c r="G331" s="390">
        <v>700239</v>
      </c>
      <c r="H331" s="391" t="s">
        <v>11298</v>
      </c>
      <c r="I331" s="391" t="s">
        <v>2320</v>
      </c>
      <c r="J331" s="531" t="s">
        <v>3043</v>
      </c>
      <c r="K331" s="392" t="s">
        <v>3376</v>
      </c>
      <c r="L331" s="392" t="s">
        <v>11299</v>
      </c>
      <c r="M331" s="690">
        <v>700239</v>
      </c>
      <c r="N331" s="393" t="s">
        <v>11300</v>
      </c>
    </row>
    <row r="332" spans="1:16">
      <c r="A332" s="530" t="s">
        <v>11301</v>
      </c>
      <c r="B332" s="389" t="s">
        <v>907</v>
      </c>
      <c r="C332" s="680" t="s">
        <v>908</v>
      </c>
      <c r="D332" s="684">
        <v>61</v>
      </c>
      <c r="E332" s="695"/>
      <c r="F332" s="695">
        <v>984152454</v>
      </c>
      <c r="G332" s="390">
        <v>702056</v>
      </c>
      <c r="H332" s="391" t="s">
        <v>2157</v>
      </c>
      <c r="I332" s="391"/>
      <c r="J332" s="531" t="s">
        <v>10735</v>
      </c>
      <c r="K332" s="392"/>
      <c r="L332" s="392"/>
      <c r="M332" s="690">
        <v>702056</v>
      </c>
      <c r="N332" s="393" t="s">
        <v>907</v>
      </c>
    </row>
    <row r="333" spans="1:16">
      <c r="A333" s="530" t="s">
        <v>11302</v>
      </c>
      <c r="B333" s="389" t="s">
        <v>2158</v>
      </c>
      <c r="C333" s="680" t="s">
        <v>1439</v>
      </c>
      <c r="D333" s="684">
        <v>61</v>
      </c>
      <c r="E333" s="695">
        <v>30459063</v>
      </c>
      <c r="F333" s="695"/>
      <c r="G333" s="390">
        <v>701094</v>
      </c>
      <c r="H333" s="391" t="s">
        <v>2159</v>
      </c>
      <c r="I333" s="391" t="s">
        <v>2329</v>
      </c>
      <c r="J333" s="531">
        <v>104</v>
      </c>
      <c r="K333" s="392" t="s">
        <v>2463</v>
      </c>
      <c r="L333" s="392" t="s">
        <v>2464</v>
      </c>
      <c r="M333" s="690">
        <v>701094</v>
      </c>
      <c r="N333" s="393" t="s">
        <v>1309</v>
      </c>
      <c r="P333" s="394" t="s">
        <v>11303</v>
      </c>
    </row>
    <row r="334" spans="1:16">
      <c r="A334" s="530" t="s">
        <v>11304</v>
      </c>
      <c r="B334" s="389" t="s">
        <v>2318</v>
      </c>
      <c r="C334" s="680" t="s">
        <v>688</v>
      </c>
      <c r="D334" s="684">
        <v>61</v>
      </c>
      <c r="E334" s="695">
        <v>35562693</v>
      </c>
      <c r="F334" s="695"/>
      <c r="G334" s="390">
        <v>700860</v>
      </c>
      <c r="H334" s="391" t="s">
        <v>2160</v>
      </c>
      <c r="I334" s="391" t="s">
        <v>2321</v>
      </c>
      <c r="J334" s="531" t="s">
        <v>3050</v>
      </c>
      <c r="K334" s="392" t="s">
        <v>2516</v>
      </c>
      <c r="L334" s="392" t="s">
        <v>2517</v>
      </c>
      <c r="M334" s="690">
        <v>700860</v>
      </c>
      <c r="N334" s="393" t="s">
        <v>2317</v>
      </c>
    </row>
    <row r="335" spans="1:16">
      <c r="A335" s="530" t="s">
        <v>11305</v>
      </c>
      <c r="B335" s="389" t="s">
        <v>11306</v>
      </c>
      <c r="C335" s="680" t="s">
        <v>1533</v>
      </c>
      <c r="D335" s="684">
        <v>21</v>
      </c>
      <c r="E335" s="695">
        <v>35754464</v>
      </c>
      <c r="F335" s="695"/>
      <c r="G335" s="390"/>
      <c r="H335" s="391"/>
      <c r="I335" s="391"/>
      <c r="J335" s="531" t="s">
        <v>10735</v>
      </c>
      <c r="K335" s="392"/>
      <c r="L335" s="392"/>
      <c r="M335" s="690"/>
      <c r="N335" s="393" t="s">
        <v>1532</v>
      </c>
    </row>
    <row r="336" spans="1:16">
      <c r="A336" s="530" t="s">
        <v>11307</v>
      </c>
      <c r="B336" s="389" t="s">
        <v>1075</v>
      </c>
      <c r="C336" s="680" t="s">
        <v>1076</v>
      </c>
      <c r="D336" s="684">
        <v>61</v>
      </c>
      <c r="E336" s="695">
        <v>30455653</v>
      </c>
      <c r="F336" s="695"/>
      <c r="G336" s="390"/>
      <c r="H336" s="391"/>
      <c r="I336" s="391"/>
      <c r="J336" s="531" t="s">
        <v>10735</v>
      </c>
      <c r="K336" s="392"/>
      <c r="L336" s="392"/>
      <c r="M336" s="690"/>
      <c r="N336" s="393" t="s">
        <v>1074</v>
      </c>
    </row>
    <row r="337" spans="1:16">
      <c r="A337" s="530" t="s">
        <v>11308</v>
      </c>
      <c r="B337" s="389" t="s">
        <v>8368</v>
      </c>
      <c r="C337" s="680"/>
      <c r="D337" s="684" t="s">
        <v>5888</v>
      </c>
      <c r="E337" s="695"/>
      <c r="F337" s="695"/>
      <c r="G337" s="390"/>
      <c r="H337" s="391"/>
      <c r="I337" s="391"/>
      <c r="J337" s="531" t="s">
        <v>10735</v>
      </c>
      <c r="K337" s="392"/>
      <c r="L337" s="392"/>
      <c r="M337" s="690"/>
      <c r="N337" s="393" t="s">
        <v>8368</v>
      </c>
    </row>
    <row r="338" spans="1:16">
      <c r="A338" s="530" t="s">
        <v>9330</v>
      </c>
      <c r="B338" s="389" t="s">
        <v>2978</v>
      </c>
      <c r="C338" s="680" t="s">
        <v>674</v>
      </c>
      <c r="D338" s="684">
        <v>62</v>
      </c>
      <c r="E338" s="695">
        <v>36263263</v>
      </c>
      <c r="F338" s="695">
        <v>999891191</v>
      </c>
      <c r="G338" s="390">
        <v>702720</v>
      </c>
      <c r="H338" s="391" t="s">
        <v>3370</v>
      </c>
      <c r="I338" s="391" t="s">
        <v>2350</v>
      </c>
      <c r="J338" s="531">
        <v>237</v>
      </c>
      <c r="K338" s="392" t="s">
        <v>9660</v>
      </c>
      <c r="L338" s="392" t="s">
        <v>3381</v>
      </c>
      <c r="M338" s="690">
        <v>702720</v>
      </c>
      <c r="N338" s="393" t="s">
        <v>2977</v>
      </c>
    </row>
    <row r="339" spans="1:16">
      <c r="A339" s="530" t="s">
        <v>11309</v>
      </c>
      <c r="B339" s="389" t="s">
        <v>2162</v>
      </c>
      <c r="C339" s="680"/>
      <c r="D339" s="684" t="s">
        <v>5888</v>
      </c>
      <c r="E339" s="695"/>
      <c r="F339" s="695"/>
      <c r="G339" s="390">
        <v>703003</v>
      </c>
      <c r="H339" s="391" t="s">
        <v>2163</v>
      </c>
      <c r="I339" s="391" t="s">
        <v>2320</v>
      </c>
      <c r="J339" s="531" t="s">
        <v>3043</v>
      </c>
      <c r="K339" s="392" t="s">
        <v>2348</v>
      </c>
      <c r="L339" s="392" t="s">
        <v>2349</v>
      </c>
      <c r="M339" s="690">
        <v>703003</v>
      </c>
      <c r="N339" s="393" t="s">
        <v>2161</v>
      </c>
    </row>
    <row r="340" spans="1:16">
      <c r="A340" s="530" t="s">
        <v>11310</v>
      </c>
      <c r="B340" s="389" t="s">
        <v>4267</v>
      </c>
      <c r="C340" s="680" t="s">
        <v>4265</v>
      </c>
      <c r="D340" s="684">
        <v>62</v>
      </c>
      <c r="E340" s="695"/>
      <c r="F340" s="695">
        <v>982138627</v>
      </c>
      <c r="G340" s="390">
        <v>701862</v>
      </c>
      <c r="H340" s="391" t="s">
        <v>6680</v>
      </c>
      <c r="I340" s="391" t="s">
        <v>2320</v>
      </c>
      <c r="J340" s="531" t="s">
        <v>3043</v>
      </c>
      <c r="K340" s="392" t="s">
        <v>4276</v>
      </c>
      <c r="L340" s="392" t="s">
        <v>4277</v>
      </c>
      <c r="M340" s="690">
        <v>701862</v>
      </c>
      <c r="N340" s="393" t="s">
        <v>4266</v>
      </c>
    </row>
    <row r="341" spans="1:16">
      <c r="A341" s="530" t="s">
        <v>11311</v>
      </c>
      <c r="B341" s="389" t="s">
        <v>2164</v>
      </c>
      <c r="C341" s="680" t="s">
        <v>694</v>
      </c>
      <c r="D341" s="684">
        <v>61</v>
      </c>
      <c r="E341" s="695">
        <v>33643640</v>
      </c>
      <c r="F341" s="695"/>
      <c r="G341" s="390">
        <v>701331</v>
      </c>
      <c r="H341" s="391" t="s">
        <v>2165</v>
      </c>
      <c r="I341" s="391" t="s">
        <v>2320</v>
      </c>
      <c r="J341" s="531" t="s">
        <v>3043</v>
      </c>
      <c r="K341" s="392" t="s">
        <v>2381</v>
      </c>
      <c r="L341" s="392" t="s">
        <v>2382</v>
      </c>
      <c r="M341" s="690">
        <v>701331</v>
      </c>
      <c r="N341" s="393" t="s">
        <v>640</v>
      </c>
    </row>
    <row r="342" spans="1:16">
      <c r="A342" s="530" t="s">
        <v>11312</v>
      </c>
      <c r="B342" s="389" t="s">
        <v>2166</v>
      </c>
      <c r="C342" s="680" t="s">
        <v>2838</v>
      </c>
      <c r="D342" s="684">
        <v>41</v>
      </c>
      <c r="E342" s="695">
        <v>30447606</v>
      </c>
      <c r="F342" s="695">
        <v>997420131</v>
      </c>
      <c r="G342" s="390">
        <v>701093</v>
      </c>
      <c r="H342" s="391" t="s">
        <v>2167</v>
      </c>
      <c r="I342" s="391" t="s">
        <v>2320</v>
      </c>
      <c r="J342" s="531" t="s">
        <v>3043</v>
      </c>
      <c r="K342" s="392" t="s">
        <v>2421</v>
      </c>
      <c r="L342" s="392" t="s">
        <v>2422</v>
      </c>
      <c r="M342" s="690">
        <v>701093</v>
      </c>
      <c r="N342" s="393" t="s">
        <v>1408</v>
      </c>
    </row>
    <row r="343" spans="1:16">
      <c r="A343" s="530" t="s">
        <v>8452</v>
      </c>
      <c r="B343" s="389" t="s">
        <v>2873</v>
      </c>
      <c r="C343" s="680" t="s">
        <v>9037</v>
      </c>
      <c r="D343" s="684">
        <v>31</v>
      </c>
      <c r="E343" s="695">
        <v>32231170</v>
      </c>
      <c r="F343" s="695"/>
      <c r="G343" s="390">
        <v>702085</v>
      </c>
      <c r="H343" s="391" t="s">
        <v>2169</v>
      </c>
      <c r="I343" s="391" t="s">
        <v>2320</v>
      </c>
      <c r="J343" s="531" t="s">
        <v>3043</v>
      </c>
      <c r="K343" s="548" t="s">
        <v>2383</v>
      </c>
      <c r="L343" s="392" t="s">
        <v>2447</v>
      </c>
      <c r="M343" s="690">
        <v>702085</v>
      </c>
      <c r="N343" s="393" t="s">
        <v>2168</v>
      </c>
      <c r="P343" s="394" t="s">
        <v>11313</v>
      </c>
    </row>
    <row r="344" spans="1:16">
      <c r="A344" s="530" t="s">
        <v>11314</v>
      </c>
      <c r="B344" s="389" t="s">
        <v>719</v>
      </c>
      <c r="C344" s="680" t="s">
        <v>2856</v>
      </c>
      <c r="D344" s="684">
        <v>61</v>
      </c>
      <c r="E344" s="695">
        <v>33445205</v>
      </c>
      <c r="F344" s="695"/>
      <c r="G344" s="390">
        <v>2303</v>
      </c>
      <c r="H344" s="391" t="s">
        <v>2170</v>
      </c>
      <c r="I344" s="391" t="s">
        <v>2320</v>
      </c>
      <c r="J344" s="531" t="s">
        <v>3043</v>
      </c>
      <c r="K344" s="392" t="s">
        <v>2344</v>
      </c>
      <c r="L344" s="392" t="s">
        <v>2345</v>
      </c>
      <c r="M344" s="690">
        <v>2303</v>
      </c>
      <c r="N344" s="393" t="s">
        <v>590</v>
      </c>
    </row>
    <row r="345" spans="1:16">
      <c r="A345" s="530" t="s">
        <v>4397</v>
      </c>
      <c r="B345" s="389" t="s">
        <v>878</v>
      </c>
      <c r="C345" s="680" t="s">
        <v>1087</v>
      </c>
      <c r="D345" s="684">
        <v>61</v>
      </c>
      <c r="E345" s="695">
        <v>34032459</v>
      </c>
      <c r="F345" s="695"/>
      <c r="G345" s="390">
        <v>3537</v>
      </c>
      <c r="H345" s="391" t="s">
        <v>2171</v>
      </c>
      <c r="I345" s="391" t="s">
        <v>2404</v>
      </c>
      <c r="J345" s="531" t="s">
        <v>3043</v>
      </c>
      <c r="K345" s="392" t="s">
        <v>2505</v>
      </c>
      <c r="L345" s="392" t="s">
        <v>2506</v>
      </c>
      <c r="M345" s="690">
        <v>3537</v>
      </c>
      <c r="N345" s="393" t="s">
        <v>877</v>
      </c>
      <c r="P345" s="394" t="s">
        <v>11315</v>
      </c>
    </row>
    <row r="346" spans="1:16">
      <c r="A346" s="530" t="s">
        <v>9279</v>
      </c>
      <c r="B346" s="389" t="s">
        <v>9283</v>
      </c>
      <c r="C346" s="680" t="s">
        <v>9286</v>
      </c>
      <c r="D346" s="684">
        <v>61</v>
      </c>
      <c r="E346" s="695">
        <v>32566371</v>
      </c>
      <c r="F346" s="695"/>
      <c r="G346" s="390">
        <v>703634</v>
      </c>
      <c r="H346" s="391" t="s">
        <v>9284</v>
      </c>
      <c r="I346" s="391" t="s">
        <v>2350</v>
      </c>
      <c r="J346" s="531">
        <v>237</v>
      </c>
      <c r="K346" s="392" t="s">
        <v>9713</v>
      </c>
      <c r="L346" s="392" t="s">
        <v>9714</v>
      </c>
      <c r="M346" s="690">
        <v>703634</v>
      </c>
      <c r="N346" s="393" t="s">
        <v>9285</v>
      </c>
    </row>
    <row r="347" spans="1:16">
      <c r="A347" s="530" t="s">
        <v>4380</v>
      </c>
      <c r="B347" s="389" t="s">
        <v>2172</v>
      </c>
      <c r="C347" s="680" t="s">
        <v>1600</v>
      </c>
      <c r="D347" s="684">
        <v>61</v>
      </c>
      <c r="E347" s="695">
        <v>34031300</v>
      </c>
      <c r="F347" s="695"/>
      <c r="G347" s="390">
        <v>347</v>
      </c>
      <c r="H347" s="391" t="s">
        <v>2173</v>
      </c>
      <c r="I347" s="391" t="s">
        <v>2320</v>
      </c>
      <c r="J347" s="531" t="s">
        <v>3043</v>
      </c>
      <c r="K347" s="392" t="s">
        <v>2331</v>
      </c>
      <c r="L347" s="392" t="s">
        <v>2332</v>
      </c>
      <c r="M347" s="690">
        <v>347</v>
      </c>
      <c r="N347" s="393" t="s">
        <v>634</v>
      </c>
    </row>
    <row r="348" spans="1:16">
      <c r="A348" s="530" t="s">
        <v>11316</v>
      </c>
      <c r="B348" s="389" t="s">
        <v>2174</v>
      </c>
      <c r="C348" s="680" t="s">
        <v>1058</v>
      </c>
      <c r="D348" s="684">
        <v>62</v>
      </c>
      <c r="E348" s="695">
        <v>39422225</v>
      </c>
      <c r="F348" s="695"/>
      <c r="G348" s="390">
        <v>1357</v>
      </c>
      <c r="H348" s="391" t="s">
        <v>2175</v>
      </c>
      <c r="I348" s="391" t="s">
        <v>2350</v>
      </c>
      <c r="J348" s="531">
        <v>237</v>
      </c>
      <c r="K348" s="392" t="s">
        <v>2457</v>
      </c>
      <c r="L348" s="392" t="s">
        <v>2458</v>
      </c>
      <c r="M348" s="690">
        <v>1357</v>
      </c>
      <c r="N348" s="393" t="s">
        <v>1057</v>
      </c>
    </row>
    <row r="349" spans="1:16">
      <c r="A349" s="530" t="s">
        <v>11317</v>
      </c>
      <c r="B349" s="389" t="s">
        <v>1198</v>
      </c>
      <c r="C349" s="680" t="s">
        <v>1199</v>
      </c>
      <c r="D349" s="684">
        <v>61</v>
      </c>
      <c r="E349" s="695">
        <v>33497006</v>
      </c>
      <c r="F349" s="695">
        <v>981460607</v>
      </c>
      <c r="G349" s="390">
        <v>2649</v>
      </c>
      <c r="H349" s="391" t="s">
        <v>2176</v>
      </c>
      <c r="I349" s="391" t="s">
        <v>2321</v>
      </c>
      <c r="J349" s="531" t="s">
        <v>3050</v>
      </c>
      <c r="K349" s="392" t="s">
        <v>2334</v>
      </c>
      <c r="L349" s="392" t="s">
        <v>2365</v>
      </c>
      <c r="M349" s="691">
        <v>2649</v>
      </c>
      <c r="N349" s="393" t="s">
        <v>1197</v>
      </c>
    </row>
    <row r="350" spans="1:16">
      <c r="A350" s="530" t="s">
        <v>8696</v>
      </c>
      <c r="B350" s="389" t="s">
        <v>2177</v>
      </c>
      <c r="C350" s="597" t="s">
        <v>1635</v>
      </c>
      <c r="D350" s="684">
        <v>11</v>
      </c>
      <c r="E350" s="696">
        <v>45128612</v>
      </c>
      <c r="F350" s="696"/>
      <c r="G350" s="390">
        <v>3815</v>
      </c>
      <c r="H350" s="391" t="s">
        <v>2178</v>
      </c>
      <c r="I350" s="391" t="s">
        <v>2320</v>
      </c>
      <c r="J350" s="531" t="s">
        <v>3043</v>
      </c>
      <c r="K350" s="392" t="s">
        <v>2361</v>
      </c>
      <c r="L350" s="392" t="s">
        <v>2362</v>
      </c>
      <c r="M350" s="690">
        <v>3815</v>
      </c>
      <c r="N350" s="393" t="s">
        <v>941</v>
      </c>
    </row>
    <row r="351" spans="1:16">
      <c r="A351" s="530" t="s">
        <v>11318</v>
      </c>
      <c r="B351" s="389" t="s">
        <v>5816</v>
      </c>
      <c r="C351" s="680" t="s">
        <v>882</v>
      </c>
      <c r="D351" s="684">
        <v>11</v>
      </c>
      <c r="E351" s="695">
        <v>41956001</v>
      </c>
      <c r="F351" s="695">
        <v>981016794</v>
      </c>
      <c r="G351" s="390">
        <v>352</v>
      </c>
      <c r="H351" s="391" t="s">
        <v>6681</v>
      </c>
      <c r="I351" s="391" t="s">
        <v>2320</v>
      </c>
      <c r="J351" s="531" t="s">
        <v>3043</v>
      </c>
      <c r="K351" s="392" t="s">
        <v>5817</v>
      </c>
      <c r="L351" s="392" t="s">
        <v>5818</v>
      </c>
      <c r="M351" s="690">
        <v>352</v>
      </c>
      <c r="N351" s="393" t="s">
        <v>5819</v>
      </c>
    </row>
    <row r="352" spans="1:16">
      <c r="A352" s="530" t="s">
        <v>11319</v>
      </c>
      <c r="B352" s="389" t="s">
        <v>11320</v>
      </c>
      <c r="C352" s="680" t="s">
        <v>11321</v>
      </c>
      <c r="D352" s="684">
        <v>61</v>
      </c>
      <c r="E352" s="695"/>
      <c r="F352" s="695">
        <v>995216714</v>
      </c>
      <c r="G352" s="390"/>
      <c r="H352" s="391" t="s">
        <v>11322</v>
      </c>
      <c r="I352" s="391"/>
      <c r="J352" s="531" t="s">
        <v>10735</v>
      </c>
      <c r="K352" s="392"/>
      <c r="L352" s="392"/>
      <c r="M352" s="690"/>
      <c r="N352" s="393" t="s">
        <v>11323</v>
      </c>
    </row>
    <row r="353" spans="1:16">
      <c r="A353" s="530" t="s">
        <v>11324</v>
      </c>
      <c r="B353" s="389" t="s">
        <v>4429</v>
      </c>
      <c r="C353" s="680" t="s">
        <v>701</v>
      </c>
      <c r="D353" s="684">
        <v>62</v>
      </c>
      <c r="E353" s="695">
        <v>39520071</v>
      </c>
      <c r="F353" s="695"/>
      <c r="G353" s="390">
        <v>703376</v>
      </c>
      <c r="H353" s="391" t="s">
        <v>4430</v>
      </c>
      <c r="I353" s="391"/>
      <c r="J353" s="531" t="s">
        <v>10735</v>
      </c>
      <c r="K353" s="392"/>
      <c r="L353" s="392"/>
      <c r="M353" s="690">
        <v>703376</v>
      </c>
      <c r="N353" s="393" t="s">
        <v>4431</v>
      </c>
    </row>
    <row r="354" spans="1:16">
      <c r="A354" s="530" t="s">
        <v>11325</v>
      </c>
      <c r="B354" s="389" t="s">
        <v>6840</v>
      </c>
      <c r="C354" s="680"/>
      <c r="D354" s="684" t="s">
        <v>5888</v>
      </c>
      <c r="E354" s="695"/>
      <c r="F354" s="695"/>
      <c r="G354" s="390"/>
      <c r="H354" s="391" t="s">
        <v>6839</v>
      </c>
      <c r="I354" s="391"/>
      <c r="J354" s="531" t="s">
        <v>10735</v>
      </c>
      <c r="K354" s="392"/>
      <c r="L354" s="392"/>
      <c r="M354" s="690"/>
      <c r="N354" s="393" t="s">
        <v>6838</v>
      </c>
    </row>
    <row r="355" spans="1:16">
      <c r="A355" s="530" t="s">
        <v>10075</v>
      </c>
      <c r="B355" s="389" t="s">
        <v>9972</v>
      </c>
      <c r="C355" s="680" t="s">
        <v>9975</v>
      </c>
      <c r="D355" s="684">
        <v>62</v>
      </c>
      <c r="E355" s="695">
        <v>30887645</v>
      </c>
      <c r="F355" s="695">
        <v>992212116</v>
      </c>
      <c r="G355" s="390">
        <v>703530</v>
      </c>
      <c r="H355" s="391" t="s">
        <v>9973</v>
      </c>
      <c r="I355" s="391" t="s">
        <v>2320</v>
      </c>
      <c r="J355" s="531" t="s">
        <v>3043</v>
      </c>
      <c r="K355" s="392" t="s">
        <v>3034</v>
      </c>
      <c r="L355" s="392" t="s">
        <v>9974</v>
      </c>
      <c r="M355" s="690">
        <v>703530</v>
      </c>
      <c r="N355" s="393" t="s">
        <v>9873</v>
      </c>
    </row>
    <row r="356" spans="1:16" s="717" customFormat="1" ht="12">
      <c r="A356" s="704" t="s">
        <v>11326</v>
      </c>
      <c r="B356" s="705" t="s">
        <v>11327</v>
      </c>
      <c r="C356" s="706" t="s">
        <v>1638</v>
      </c>
      <c r="D356" s="707">
        <v>62</v>
      </c>
      <c r="E356" s="708">
        <v>4018582</v>
      </c>
      <c r="F356" s="708">
        <v>985002815</v>
      </c>
      <c r="G356" s="709">
        <v>702886</v>
      </c>
      <c r="H356" s="710" t="s">
        <v>2179</v>
      </c>
      <c r="I356" s="711" t="s">
        <v>2492</v>
      </c>
      <c r="J356" s="712">
        <v>756</v>
      </c>
      <c r="K356" s="713" t="s">
        <v>6961</v>
      </c>
      <c r="L356" s="714" t="s">
        <v>11328</v>
      </c>
      <c r="M356" s="715">
        <v>702886</v>
      </c>
      <c r="N356" s="716" t="s">
        <v>11329</v>
      </c>
      <c r="P356" s="717" t="s">
        <v>11330</v>
      </c>
    </row>
    <row r="357" spans="1:16">
      <c r="A357" s="530" t="s">
        <v>9174</v>
      </c>
      <c r="B357" s="389" t="s">
        <v>9175</v>
      </c>
      <c r="C357" s="680" t="s">
        <v>9176</v>
      </c>
      <c r="D357" s="684">
        <v>16</v>
      </c>
      <c r="E357" s="695">
        <v>34343172</v>
      </c>
      <c r="F357" s="695"/>
      <c r="G357" s="390">
        <v>703492</v>
      </c>
      <c r="H357" s="391" t="s">
        <v>9177</v>
      </c>
      <c r="I357" s="391" t="s">
        <v>2404</v>
      </c>
      <c r="J357" s="531" t="s">
        <v>3043</v>
      </c>
      <c r="K357" s="392" t="s">
        <v>2846</v>
      </c>
      <c r="L357" s="392" t="s">
        <v>9422</v>
      </c>
      <c r="M357" s="690">
        <v>703492</v>
      </c>
      <c r="N357" s="393" t="s">
        <v>9178</v>
      </c>
    </row>
    <row r="358" spans="1:16">
      <c r="A358" s="530" t="s">
        <v>11331</v>
      </c>
      <c r="B358" s="389" t="s">
        <v>6796</v>
      </c>
      <c r="C358" s="680" t="s">
        <v>6797</v>
      </c>
      <c r="D358" s="684">
        <v>11</v>
      </c>
      <c r="E358" s="695">
        <v>20693500</v>
      </c>
      <c r="F358" s="695"/>
      <c r="G358" s="390">
        <v>703669</v>
      </c>
      <c r="H358" s="391" t="s">
        <v>6798</v>
      </c>
      <c r="I358" s="391"/>
      <c r="J358" s="531" t="s">
        <v>10735</v>
      </c>
      <c r="K358" s="392"/>
      <c r="L358" s="392"/>
      <c r="M358" s="690">
        <v>703669</v>
      </c>
      <c r="N358" s="393" t="s">
        <v>6799</v>
      </c>
    </row>
    <row r="359" spans="1:16">
      <c r="A359" s="530" t="s">
        <v>5740</v>
      </c>
      <c r="B359" s="389" t="s">
        <v>2180</v>
      </c>
      <c r="C359" s="680" t="s">
        <v>1695</v>
      </c>
      <c r="D359" s="684">
        <v>61</v>
      </c>
      <c r="E359" s="695">
        <v>34625046</v>
      </c>
      <c r="F359" s="695"/>
      <c r="G359" s="390">
        <v>878</v>
      </c>
      <c r="H359" s="391" t="s">
        <v>2181</v>
      </c>
      <c r="I359" s="391" t="s">
        <v>2320</v>
      </c>
      <c r="J359" s="531" t="s">
        <v>3043</v>
      </c>
      <c r="K359" s="392" t="s">
        <v>3376</v>
      </c>
      <c r="L359" s="392" t="s">
        <v>9542</v>
      </c>
      <c r="M359" s="690">
        <v>878</v>
      </c>
      <c r="N359" s="393" t="s">
        <v>1694</v>
      </c>
    </row>
    <row r="360" spans="1:16">
      <c r="A360" s="530" t="s">
        <v>11332</v>
      </c>
      <c r="B360" s="389" t="s">
        <v>2182</v>
      </c>
      <c r="C360" s="680" t="s">
        <v>1013</v>
      </c>
      <c r="D360" s="684">
        <v>61</v>
      </c>
      <c r="E360" s="695">
        <v>30271029</v>
      </c>
      <c r="F360" s="695">
        <v>984769355</v>
      </c>
      <c r="G360" s="390">
        <v>701901</v>
      </c>
      <c r="H360" s="391" t="s">
        <v>2183</v>
      </c>
      <c r="I360" s="391"/>
      <c r="J360" s="531" t="s">
        <v>10735</v>
      </c>
      <c r="K360" s="392"/>
      <c r="L360" s="392"/>
      <c r="M360" s="690">
        <v>701901</v>
      </c>
      <c r="N360" s="393" t="s">
        <v>1012</v>
      </c>
    </row>
    <row r="361" spans="1:16">
      <c r="A361" s="530" t="s">
        <v>11333</v>
      </c>
      <c r="B361" s="389" t="s">
        <v>2184</v>
      </c>
      <c r="C361" s="680" t="s">
        <v>701</v>
      </c>
      <c r="D361" s="684">
        <v>62</v>
      </c>
      <c r="E361" s="695">
        <v>30890592</v>
      </c>
      <c r="F361" s="695">
        <v>985578682</v>
      </c>
      <c r="G361" s="390">
        <v>701556</v>
      </c>
      <c r="H361" s="391" t="s">
        <v>2185</v>
      </c>
      <c r="I361" s="391"/>
      <c r="J361" s="531" t="s">
        <v>10735</v>
      </c>
      <c r="K361" s="392"/>
      <c r="L361" s="392"/>
      <c r="M361" s="690">
        <v>701556</v>
      </c>
      <c r="N361" s="393" t="s">
        <v>572</v>
      </c>
    </row>
    <row r="362" spans="1:16">
      <c r="A362" s="530" t="s">
        <v>11334</v>
      </c>
      <c r="B362" s="389" t="s">
        <v>2187</v>
      </c>
      <c r="C362" s="680" t="s">
        <v>965</v>
      </c>
      <c r="D362" s="684">
        <v>61</v>
      </c>
      <c r="E362" s="695"/>
      <c r="F362" s="695">
        <v>984713650</v>
      </c>
      <c r="G362" s="390">
        <v>701512</v>
      </c>
      <c r="H362" s="391" t="s">
        <v>2188</v>
      </c>
      <c r="I362" s="391"/>
      <c r="J362" s="531" t="s">
        <v>10735</v>
      </c>
      <c r="K362" s="392"/>
      <c r="L362" s="392"/>
      <c r="M362" s="690">
        <v>701512</v>
      </c>
      <c r="N362" s="393" t="s">
        <v>2186</v>
      </c>
    </row>
    <row r="363" spans="1:16">
      <c r="A363" s="530" t="s">
        <v>11335</v>
      </c>
      <c r="B363" s="389" t="s">
        <v>964</v>
      </c>
      <c r="C363" s="680"/>
      <c r="D363" s="684" t="s">
        <v>5888</v>
      </c>
      <c r="E363" s="695"/>
      <c r="F363" s="695"/>
      <c r="G363" s="390"/>
      <c r="H363" s="391"/>
      <c r="I363" s="391"/>
      <c r="J363" s="531" t="s">
        <v>10735</v>
      </c>
      <c r="K363" s="392"/>
      <c r="L363" s="392"/>
      <c r="M363" s="690"/>
      <c r="N363" s="393" t="s">
        <v>963</v>
      </c>
    </row>
    <row r="364" spans="1:16">
      <c r="A364" s="530" t="s">
        <v>7896</v>
      </c>
      <c r="B364" s="389" t="s">
        <v>2190</v>
      </c>
      <c r="C364" s="680" t="s">
        <v>10659</v>
      </c>
      <c r="D364" s="684">
        <v>61</v>
      </c>
      <c r="E364" s="695">
        <v>30443250</v>
      </c>
      <c r="F364" s="695">
        <v>998372920</v>
      </c>
      <c r="G364" s="390">
        <v>702918</v>
      </c>
      <c r="H364" s="391" t="s">
        <v>2191</v>
      </c>
      <c r="I364" s="391" t="s">
        <v>2320</v>
      </c>
      <c r="J364" s="531" t="s">
        <v>3043</v>
      </c>
      <c r="K364" s="392" t="s">
        <v>2374</v>
      </c>
      <c r="L364" s="392" t="s">
        <v>9781</v>
      </c>
      <c r="M364" s="690">
        <v>702918</v>
      </c>
      <c r="N364" s="393" t="s">
        <v>2189</v>
      </c>
      <c r="P364" s="394" t="s">
        <v>11336</v>
      </c>
    </row>
    <row r="365" spans="1:16">
      <c r="A365" s="530" t="s">
        <v>11337</v>
      </c>
      <c r="B365" s="389" t="s">
        <v>2192</v>
      </c>
      <c r="C365" s="680" t="s">
        <v>710</v>
      </c>
      <c r="D365" s="684">
        <v>61</v>
      </c>
      <c r="E365" s="695">
        <v>32741537</v>
      </c>
      <c r="F365" s="695"/>
      <c r="G365" s="390">
        <v>355</v>
      </c>
      <c r="H365" s="391" t="s">
        <v>2193</v>
      </c>
      <c r="I365" s="391" t="s">
        <v>2321</v>
      </c>
      <c r="J365" s="531" t="s">
        <v>3050</v>
      </c>
      <c r="K365" s="392" t="s">
        <v>2322</v>
      </c>
      <c r="L365" s="392" t="s">
        <v>2323</v>
      </c>
      <c r="M365" s="690">
        <v>355</v>
      </c>
      <c r="N365" s="393" t="s">
        <v>728</v>
      </c>
    </row>
    <row r="366" spans="1:16">
      <c r="A366" s="530" t="s">
        <v>11338</v>
      </c>
      <c r="B366" s="389" t="s">
        <v>11339</v>
      </c>
      <c r="C366" s="680" t="s">
        <v>1209</v>
      </c>
      <c r="D366" s="684">
        <v>41</v>
      </c>
      <c r="E366" s="695">
        <v>30782200</v>
      </c>
      <c r="F366" s="695"/>
      <c r="G366" s="390"/>
      <c r="H366" s="391"/>
      <c r="I366" s="391"/>
      <c r="J366" s="531" t="s">
        <v>10735</v>
      </c>
      <c r="K366" s="392"/>
      <c r="L366" s="392"/>
      <c r="M366" s="690"/>
      <c r="N366" s="393" t="s">
        <v>1208</v>
      </c>
    </row>
    <row r="367" spans="1:16">
      <c r="A367" s="530" t="s">
        <v>11340</v>
      </c>
      <c r="B367" s="389" t="s">
        <v>2195</v>
      </c>
      <c r="C367" s="680"/>
      <c r="D367" s="684" t="s">
        <v>5888</v>
      </c>
      <c r="E367" s="695"/>
      <c r="F367" s="695"/>
      <c r="G367" s="390">
        <v>701888</v>
      </c>
      <c r="H367" s="391" t="s">
        <v>2196</v>
      </c>
      <c r="I367" s="391"/>
      <c r="J367" s="531" t="s">
        <v>10735</v>
      </c>
      <c r="K367" s="392"/>
      <c r="L367" s="392"/>
      <c r="M367" s="690">
        <v>701888</v>
      </c>
      <c r="N367" s="393" t="s">
        <v>2194</v>
      </c>
    </row>
    <row r="368" spans="1:16">
      <c r="A368" s="530" t="s">
        <v>11341</v>
      </c>
      <c r="B368" s="389" t="s">
        <v>2197</v>
      </c>
      <c r="C368" s="680" t="s">
        <v>1234</v>
      </c>
      <c r="D368" s="684">
        <v>32</v>
      </c>
      <c r="E368" s="695">
        <v>33136902</v>
      </c>
      <c r="F368" s="695"/>
      <c r="G368" s="390">
        <v>701273</v>
      </c>
      <c r="H368" s="391" t="s">
        <v>2198</v>
      </c>
      <c r="I368" s="391" t="s">
        <v>2329</v>
      </c>
      <c r="J368" s="531">
        <v>104</v>
      </c>
      <c r="K368" s="392" t="s">
        <v>2453</v>
      </c>
      <c r="L368" s="392" t="s">
        <v>4088</v>
      </c>
      <c r="M368" s="690">
        <v>701273</v>
      </c>
      <c r="N368" s="393" t="s">
        <v>593</v>
      </c>
    </row>
    <row r="369" spans="1:14">
      <c r="A369" s="530" t="s">
        <v>10148</v>
      </c>
      <c r="B369" s="389" t="s">
        <v>10147</v>
      </c>
      <c r="C369" s="680" t="s">
        <v>882</v>
      </c>
      <c r="D369" s="684">
        <v>61</v>
      </c>
      <c r="E369" s="695">
        <v>35438688</v>
      </c>
      <c r="F369" s="695">
        <v>981016794</v>
      </c>
      <c r="G369" s="390">
        <v>702114</v>
      </c>
      <c r="H369" s="391" t="s">
        <v>10146</v>
      </c>
      <c r="I369" s="391" t="s">
        <v>2320</v>
      </c>
      <c r="J369" s="531" t="s">
        <v>3043</v>
      </c>
      <c r="K369" s="392" t="s">
        <v>10144</v>
      </c>
      <c r="L369" s="392" t="s">
        <v>10145</v>
      </c>
      <c r="M369" s="690">
        <v>702114</v>
      </c>
      <c r="N369" s="393" t="s">
        <v>10143</v>
      </c>
    </row>
    <row r="370" spans="1:14">
      <c r="A370" s="530" t="s">
        <v>11342</v>
      </c>
      <c r="B370" s="389" t="s">
        <v>2199</v>
      </c>
      <c r="C370" s="680"/>
      <c r="D370" s="684" t="s">
        <v>5888</v>
      </c>
      <c r="E370" s="695"/>
      <c r="F370" s="695"/>
      <c r="G370" s="390">
        <v>700639</v>
      </c>
      <c r="H370" s="391" t="s">
        <v>2200</v>
      </c>
      <c r="I370" s="391"/>
      <c r="J370" s="531" t="s">
        <v>10735</v>
      </c>
      <c r="K370" s="392"/>
      <c r="L370" s="392"/>
      <c r="M370" s="690">
        <v>700639</v>
      </c>
      <c r="N370" s="393" t="s">
        <v>1265</v>
      </c>
    </row>
    <row r="371" spans="1:14">
      <c r="A371" s="530" t="s">
        <v>11343</v>
      </c>
      <c r="B371" s="389" t="s">
        <v>2201</v>
      </c>
      <c r="C371" s="680" t="s">
        <v>1101</v>
      </c>
      <c r="D371" s="684">
        <v>61</v>
      </c>
      <c r="E371" s="695">
        <v>33582226</v>
      </c>
      <c r="F371" s="695"/>
      <c r="G371" s="390">
        <v>702240</v>
      </c>
      <c r="H371" s="391" t="s">
        <v>2202</v>
      </c>
      <c r="I371" s="391"/>
      <c r="J371" s="531" t="s">
        <v>10735</v>
      </c>
      <c r="K371" s="392"/>
      <c r="L371" s="392"/>
      <c r="M371" s="690">
        <v>702240</v>
      </c>
      <c r="N371" s="393" t="s">
        <v>1100</v>
      </c>
    </row>
    <row r="372" spans="1:14">
      <c r="A372" s="530" t="s">
        <v>11344</v>
      </c>
      <c r="B372" s="389" t="s">
        <v>2203</v>
      </c>
      <c r="C372" s="680" t="s">
        <v>1668</v>
      </c>
      <c r="D372" s="684">
        <v>62</v>
      </c>
      <c r="E372" s="695">
        <v>32252011</v>
      </c>
      <c r="F372" s="695"/>
      <c r="G372" s="390">
        <v>701529</v>
      </c>
      <c r="H372" s="391" t="s">
        <v>2204</v>
      </c>
      <c r="I372" s="391"/>
      <c r="J372" s="531" t="s">
        <v>10735</v>
      </c>
      <c r="K372" s="392"/>
      <c r="L372" s="392"/>
      <c r="M372" s="690">
        <v>701529</v>
      </c>
      <c r="N372" s="393" t="s">
        <v>1667</v>
      </c>
    </row>
    <row r="373" spans="1:14">
      <c r="A373" s="530" t="s">
        <v>11345</v>
      </c>
      <c r="B373" s="389" t="s">
        <v>11346</v>
      </c>
      <c r="C373" s="680" t="s">
        <v>1428</v>
      </c>
      <c r="D373" s="684">
        <v>61</v>
      </c>
      <c r="E373" s="695">
        <v>30480070</v>
      </c>
      <c r="F373" s="695"/>
      <c r="G373" s="686">
        <v>702099</v>
      </c>
      <c r="H373" s="391" t="s">
        <v>2205</v>
      </c>
      <c r="I373" s="391" t="s">
        <v>2320</v>
      </c>
      <c r="J373" s="531" t="s">
        <v>3043</v>
      </c>
      <c r="K373" s="392" t="s">
        <v>2465</v>
      </c>
      <c r="L373" s="392" t="s">
        <v>2466</v>
      </c>
      <c r="M373" s="690">
        <v>702099</v>
      </c>
      <c r="N373" s="393" t="s">
        <v>1427</v>
      </c>
    </row>
    <row r="374" spans="1:14">
      <c r="A374" s="530" t="s">
        <v>11347</v>
      </c>
      <c r="B374" s="389" t="s">
        <v>9366</v>
      </c>
      <c r="C374" s="680" t="s">
        <v>9367</v>
      </c>
      <c r="D374" s="684">
        <v>19</v>
      </c>
      <c r="E374" s="695">
        <v>21125200</v>
      </c>
      <c r="F374" s="695">
        <v>62996721519</v>
      </c>
      <c r="G374" s="390">
        <v>197</v>
      </c>
      <c r="H374" s="391" t="s">
        <v>9368</v>
      </c>
      <c r="I374" s="391"/>
      <c r="J374" s="531" t="s">
        <v>10735</v>
      </c>
      <c r="K374" s="392"/>
      <c r="L374" s="392"/>
      <c r="M374" s="690" t="s">
        <v>9369</v>
      </c>
      <c r="N374" s="393" t="s">
        <v>4089</v>
      </c>
    </row>
    <row r="375" spans="1:14">
      <c r="A375" s="530" t="s">
        <v>11348</v>
      </c>
      <c r="B375" s="389" t="s">
        <v>2206</v>
      </c>
      <c r="C375" s="680" t="s">
        <v>1240</v>
      </c>
      <c r="D375" s="684">
        <v>61</v>
      </c>
      <c r="E375" s="695">
        <v>36270275</v>
      </c>
      <c r="F375" s="695">
        <v>981511282</v>
      </c>
      <c r="G375" s="390">
        <v>700925</v>
      </c>
      <c r="H375" s="391" t="s">
        <v>2207</v>
      </c>
      <c r="I375" s="391"/>
      <c r="J375" s="531" t="s">
        <v>10735</v>
      </c>
      <c r="K375" s="392"/>
      <c r="L375" s="392"/>
      <c r="M375" s="690">
        <v>700925</v>
      </c>
      <c r="N375" s="393" t="s">
        <v>1239</v>
      </c>
    </row>
    <row r="376" spans="1:14">
      <c r="A376" s="530" t="s">
        <v>11349</v>
      </c>
      <c r="B376" s="389" t="s">
        <v>2209</v>
      </c>
      <c r="C376" s="680" t="s">
        <v>1259</v>
      </c>
      <c r="D376" s="684">
        <v>11</v>
      </c>
      <c r="E376" s="695">
        <v>31329899</v>
      </c>
      <c r="F376" s="695"/>
      <c r="G376" s="390">
        <v>702559</v>
      </c>
      <c r="H376" s="391" t="s">
        <v>2210</v>
      </c>
      <c r="I376" s="391"/>
      <c r="J376" s="531" t="s">
        <v>10735</v>
      </c>
      <c r="K376" s="392"/>
      <c r="L376" s="392"/>
      <c r="M376" s="690">
        <v>702559</v>
      </c>
      <c r="N376" s="393" t="s">
        <v>2208</v>
      </c>
    </row>
    <row r="377" spans="1:14">
      <c r="A377" s="530" t="s">
        <v>11350</v>
      </c>
      <c r="B377" s="389" t="s">
        <v>11351</v>
      </c>
      <c r="C377" s="680" t="s">
        <v>11352</v>
      </c>
      <c r="D377" s="684">
        <v>61</v>
      </c>
      <c r="E377" s="695"/>
      <c r="F377" s="695">
        <v>993840440</v>
      </c>
      <c r="G377" s="390">
        <v>704280</v>
      </c>
      <c r="H377" s="391" t="s">
        <v>11353</v>
      </c>
      <c r="I377" s="391" t="s">
        <v>2492</v>
      </c>
      <c r="J377" s="531">
        <v>756</v>
      </c>
      <c r="K377" s="392" t="s">
        <v>2493</v>
      </c>
      <c r="L377" s="392" t="s">
        <v>11354</v>
      </c>
      <c r="M377" s="690">
        <v>704280</v>
      </c>
      <c r="N377" s="393" t="s">
        <v>11355</v>
      </c>
    </row>
    <row r="378" spans="1:14">
      <c r="A378" s="530" t="s">
        <v>11356</v>
      </c>
      <c r="B378" s="389" t="s">
        <v>2212</v>
      </c>
      <c r="C378" s="680" t="s">
        <v>1136</v>
      </c>
      <c r="D378" s="684">
        <v>83</v>
      </c>
      <c r="E378" s="695">
        <v>30481324</v>
      </c>
      <c r="F378" s="695"/>
      <c r="G378" s="390">
        <v>4035</v>
      </c>
      <c r="H378" s="391" t="s">
        <v>2213</v>
      </c>
      <c r="I378" s="391"/>
      <c r="J378" s="531" t="s">
        <v>10735</v>
      </c>
      <c r="K378" s="392"/>
      <c r="L378" s="392"/>
      <c r="M378" s="690">
        <v>4035</v>
      </c>
      <c r="N378" s="393" t="s">
        <v>2211</v>
      </c>
    </row>
    <row r="379" spans="1:14">
      <c r="A379" s="530" t="s">
        <v>11357</v>
      </c>
      <c r="B379" s="389" t="s">
        <v>3094</v>
      </c>
      <c r="C379" s="680" t="s">
        <v>1455</v>
      </c>
      <c r="D379" s="684">
        <v>61</v>
      </c>
      <c r="E379" s="695">
        <v>32555000</v>
      </c>
      <c r="F379" s="695"/>
      <c r="G379" s="390">
        <v>703044</v>
      </c>
      <c r="H379" s="391" t="s">
        <v>3096</v>
      </c>
      <c r="I379" s="391"/>
      <c r="J379" s="531" t="s">
        <v>10735</v>
      </c>
      <c r="K379" s="392"/>
      <c r="L379" s="392"/>
      <c r="M379" s="690">
        <v>703044</v>
      </c>
      <c r="N379" s="393" t="s">
        <v>3095</v>
      </c>
    </row>
    <row r="380" spans="1:14">
      <c r="A380" s="530" t="s">
        <v>11358</v>
      </c>
      <c r="B380" s="389" t="s">
        <v>2214</v>
      </c>
      <c r="C380" s="680" t="s">
        <v>880</v>
      </c>
      <c r="D380" s="684">
        <v>61</v>
      </c>
      <c r="E380" s="695">
        <v>30331002</v>
      </c>
      <c r="F380" s="695"/>
      <c r="G380" s="390">
        <v>700531</v>
      </c>
      <c r="H380" s="391" t="s">
        <v>2215</v>
      </c>
      <c r="I380" s="391" t="s">
        <v>2320</v>
      </c>
      <c r="J380" s="531" t="s">
        <v>3043</v>
      </c>
      <c r="K380" s="392" t="s">
        <v>2408</v>
      </c>
      <c r="L380" s="392" t="s">
        <v>2409</v>
      </c>
      <c r="M380" s="690">
        <v>700531</v>
      </c>
      <c r="N380" s="393" t="s">
        <v>879</v>
      </c>
    </row>
    <row r="381" spans="1:14">
      <c r="A381" s="530" t="s">
        <v>11359</v>
      </c>
      <c r="B381" s="389" t="s">
        <v>4348</v>
      </c>
      <c r="C381" s="680" t="s">
        <v>4349</v>
      </c>
      <c r="D381" s="684">
        <v>62</v>
      </c>
      <c r="E381" s="695">
        <v>35966228</v>
      </c>
      <c r="F381" s="695"/>
      <c r="G381" s="390">
        <v>702935</v>
      </c>
      <c r="H381" s="391" t="s">
        <v>4350</v>
      </c>
      <c r="I381" s="391"/>
      <c r="J381" s="531" t="s">
        <v>10735</v>
      </c>
      <c r="K381" s="392"/>
      <c r="L381" s="392"/>
      <c r="M381" s="690">
        <v>702935</v>
      </c>
      <c r="N381" s="393" t="s">
        <v>4351</v>
      </c>
    </row>
    <row r="382" spans="1:14">
      <c r="A382" s="530" t="s">
        <v>11360</v>
      </c>
      <c r="B382" s="389" t="s">
        <v>3807</v>
      </c>
      <c r="C382" s="680" t="s">
        <v>3808</v>
      </c>
      <c r="D382" s="684">
        <v>31</v>
      </c>
      <c r="E382" s="695">
        <v>33372929</v>
      </c>
      <c r="F382" s="695"/>
      <c r="G382" s="390">
        <v>703337</v>
      </c>
      <c r="H382" s="391" t="s">
        <v>3809</v>
      </c>
      <c r="I382" s="391"/>
      <c r="J382" s="531" t="s">
        <v>10735</v>
      </c>
      <c r="K382" s="392"/>
      <c r="L382" s="392"/>
      <c r="M382" s="690">
        <v>703337</v>
      </c>
      <c r="N382" s="393" t="s">
        <v>3810</v>
      </c>
    </row>
    <row r="383" spans="1:14">
      <c r="A383" s="530" t="s">
        <v>11361</v>
      </c>
      <c r="B383" s="389" t="s">
        <v>2216</v>
      </c>
      <c r="C383" s="680" t="s">
        <v>690</v>
      </c>
      <c r="D383" s="684">
        <v>61</v>
      </c>
      <c r="E383" s="695">
        <v>32425563</v>
      </c>
      <c r="F383" s="695">
        <v>984491425</v>
      </c>
      <c r="G383" s="390">
        <v>700544</v>
      </c>
      <c r="H383" s="391" t="s">
        <v>2217</v>
      </c>
      <c r="I383" s="391" t="s">
        <v>2335</v>
      </c>
      <c r="J383" s="531">
        <v>341</v>
      </c>
      <c r="K383" s="392" t="s">
        <v>2392</v>
      </c>
      <c r="L383" s="392" t="s">
        <v>2393</v>
      </c>
      <c r="M383" s="690">
        <v>700544</v>
      </c>
      <c r="N383" s="393" t="s">
        <v>610</v>
      </c>
    </row>
    <row r="384" spans="1:14">
      <c r="A384" s="530" t="s">
        <v>11362</v>
      </c>
      <c r="B384" s="389" t="s">
        <v>2219</v>
      </c>
      <c r="C384" s="680" t="s">
        <v>1346</v>
      </c>
      <c r="D384" s="684">
        <v>17</v>
      </c>
      <c r="E384" s="695">
        <v>32275432</v>
      </c>
      <c r="F384" s="695"/>
      <c r="G384" s="390">
        <v>702512</v>
      </c>
      <c r="H384" s="391" t="s">
        <v>2220</v>
      </c>
      <c r="I384" s="391" t="s">
        <v>2320</v>
      </c>
      <c r="J384" s="531" t="s">
        <v>3043</v>
      </c>
      <c r="K384" s="392" t="s">
        <v>2357</v>
      </c>
      <c r="L384" s="392" t="s">
        <v>2358</v>
      </c>
      <c r="M384" s="690">
        <v>702512</v>
      </c>
      <c r="N384" s="393" t="s">
        <v>2218</v>
      </c>
    </row>
    <row r="385" spans="1:16">
      <c r="A385" s="530" t="s">
        <v>11363</v>
      </c>
      <c r="B385" s="389" t="s">
        <v>2222</v>
      </c>
      <c r="C385" s="680" t="s">
        <v>1346</v>
      </c>
      <c r="D385" s="684">
        <v>17</v>
      </c>
      <c r="E385" s="695">
        <v>33047701</v>
      </c>
      <c r="F385" s="695"/>
      <c r="G385" s="390">
        <v>703189</v>
      </c>
      <c r="H385" s="391" t="s">
        <v>2223</v>
      </c>
      <c r="I385" s="391" t="s">
        <v>2320</v>
      </c>
      <c r="J385" s="531" t="s">
        <v>3043</v>
      </c>
      <c r="K385" s="392" t="s">
        <v>2357</v>
      </c>
      <c r="L385" s="392" t="s">
        <v>2496</v>
      </c>
      <c r="M385" s="690">
        <v>703189</v>
      </c>
      <c r="N385" s="393" t="s">
        <v>2221</v>
      </c>
    </row>
    <row r="386" spans="1:16">
      <c r="A386" s="530" t="s">
        <v>11364</v>
      </c>
      <c r="B386" s="389" t="s">
        <v>4090</v>
      </c>
      <c r="C386" s="680" t="s">
        <v>852</v>
      </c>
      <c r="D386" s="684">
        <v>61</v>
      </c>
      <c r="E386" s="695">
        <v>33555001</v>
      </c>
      <c r="F386" s="695"/>
      <c r="G386" s="390"/>
      <c r="H386" s="391"/>
      <c r="I386" s="391"/>
      <c r="J386" s="531" t="s">
        <v>10735</v>
      </c>
      <c r="K386" s="392"/>
      <c r="L386" s="392"/>
      <c r="M386" s="690"/>
      <c r="N386" s="393" t="s">
        <v>4091</v>
      </c>
    </row>
    <row r="387" spans="1:16">
      <c r="A387" s="530" t="s">
        <v>11365</v>
      </c>
      <c r="B387" s="389" t="s">
        <v>4352</v>
      </c>
      <c r="C387" s="680" t="s">
        <v>4353</v>
      </c>
      <c r="D387" s="684">
        <v>61</v>
      </c>
      <c r="E387" s="695">
        <v>36299444</v>
      </c>
      <c r="F387" s="695"/>
      <c r="G387" s="390">
        <v>703338</v>
      </c>
      <c r="H387" s="391" t="s">
        <v>4354</v>
      </c>
      <c r="I387" s="391" t="s">
        <v>2320</v>
      </c>
      <c r="J387" s="531" t="s">
        <v>3043</v>
      </c>
      <c r="K387" s="392" t="s">
        <v>2374</v>
      </c>
      <c r="L387" s="392" t="s">
        <v>4356</v>
      </c>
      <c r="M387" s="690">
        <v>703338</v>
      </c>
      <c r="N387" s="393" t="s">
        <v>4355</v>
      </c>
    </row>
    <row r="388" spans="1:16">
      <c r="A388" s="530" t="s">
        <v>11366</v>
      </c>
      <c r="B388" s="389" t="s">
        <v>2224</v>
      </c>
      <c r="C388" s="680" t="s">
        <v>1271</v>
      </c>
      <c r="D388" s="684">
        <v>61</v>
      </c>
      <c r="E388" s="695">
        <v>33467998</v>
      </c>
      <c r="F388" s="695"/>
      <c r="G388" s="390">
        <v>701274</v>
      </c>
      <c r="H388" s="391" t="s">
        <v>2225</v>
      </c>
      <c r="I388" s="391"/>
      <c r="J388" s="531" t="s">
        <v>10735</v>
      </c>
      <c r="K388" s="392"/>
      <c r="L388" s="392"/>
      <c r="M388" s="690">
        <v>701274</v>
      </c>
      <c r="N388" s="393" t="s">
        <v>1270</v>
      </c>
    </row>
    <row r="389" spans="1:16">
      <c r="A389" s="530" t="s">
        <v>4398</v>
      </c>
      <c r="B389" s="389" t="s">
        <v>2226</v>
      </c>
      <c r="C389" s="680" t="s">
        <v>1424</v>
      </c>
      <c r="D389" s="684">
        <v>19</v>
      </c>
      <c r="E389" s="695">
        <v>35225800</v>
      </c>
      <c r="F389" s="695"/>
      <c r="G389" s="390">
        <v>3374</v>
      </c>
      <c r="H389" s="391" t="s">
        <v>2227</v>
      </c>
      <c r="I389" s="391" t="s">
        <v>2320</v>
      </c>
      <c r="J389" s="531" t="s">
        <v>3043</v>
      </c>
      <c r="K389" s="392" t="s">
        <v>2534</v>
      </c>
      <c r="L389" s="392" t="s">
        <v>2535</v>
      </c>
      <c r="M389" s="690">
        <v>3374</v>
      </c>
      <c r="N389" s="393" t="s">
        <v>580</v>
      </c>
      <c r="O389" s="394" t="s">
        <v>11367</v>
      </c>
    </row>
    <row r="390" spans="1:16">
      <c r="A390" s="530" t="s">
        <v>9608</v>
      </c>
      <c r="B390" s="389" t="s">
        <v>9607</v>
      </c>
      <c r="C390" s="680" t="s">
        <v>689</v>
      </c>
      <c r="D390" s="684">
        <v>61</v>
      </c>
      <c r="E390" s="695">
        <v>33512126</v>
      </c>
      <c r="F390" s="695"/>
      <c r="G390" s="390">
        <v>3874</v>
      </c>
      <c r="H390" s="391" t="s">
        <v>6842</v>
      </c>
      <c r="I390" s="391" t="s">
        <v>2404</v>
      </c>
      <c r="J390" s="531" t="s">
        <v>3043</v>
      </c>
      <c r="K390" s="392" t="s">
        <v>2374</v>
      </c>
      <c r="L390" s="392" t="s">
        <v>9712</v>
      </c>
      <c r="M390" s="690">
        <v>3874</v>
      </c>
      <c r="N390" s="393" t="s">
        <v>6841</v>
      </c>
    </row>
    <row r="391" spans="1:16">
      <c r="A391" s="530" t="s">
        <v>11368</v>
      </c>
      <c r="B391" s="389" t="s">
        <v>2228</v>
      </c>
      <c r="C391" s="680" t="s">
        <v>1596</v>
      </c>
      <c r="D391" s="684">
        <v>61</v>
      </c>
      <c r="E391" s="695">
        <v>33594349</v>
      </c>
      <c r="F391" s="695">
        <v>996385141</v>
      </c>
      <c r="G391" s="390">
        <v>701943</v>
      </c>
      <c r="H391" s="391" t="s">
        <v>2229</v>
      </c>
      <c r="I391" s="391" t="s">
        <v>2350</v>
      </c>
      <c r="J391" s="531">
        <v>237</v>
      </c>
      <c r="K391" s="392" t="s">
        <v>2455</v>
      </c>
      <c r="L391" s="392" t="s">
        <v>2456</v>
      </c>
      <c r="M391" s="690">
        <v>701943</v>
      </c>
      <c r="N391" s="393" t="s">
        <v>1595</v>
      </c>
    </row>
    <row r="392" spans="1:16">
      <c r="A392" s="530" t="s">
        <v>11369</v>
      </c>
      <c r="B392" s="389" t="s">
        <v>5860</v>
      </c>
      <c r="C392" s="680" t="s">
        <v>5861</v>
      </c>
      <c r="D392" s="684">
        <v>11</v>
      </c>
      <c r="E392" s="695">
        <v>50615088</v>
      </c>
      <c r="F392" s="695"/>
      <c r="G392" s="390">
        <v>703642</v>
      </c>
      <c r="H392" s="391" t="s">
        <v>5862</v>
      </c>
      <c r="I392" s="391" t="s">
        <v>2335</v>
      </c>
      <c r="J392" s="531">
        <v>341</v>
      </c>
      <c r="K392" s="392" t="s">
        <v>5864</v>
      </c>
      <c r="L392" s="392" t="s">
        <v>5865</v>
      </c>
      <c r="M392" s="690">
        <v>703642</v>
      </c>
      <c r="N392" s="393" t="s">
        <v>5863</v>
      </c>
    </row>
    <row r="393" spans="1:16">
      <c r="A393" s="530" t="s">
        <v>11370</v>
      </c>
      <c r="B393" s="389" t="s">
        <v>2230</v>
      </c>
      <c r="C393" s="680" t="s">
        <v>1412</v>
      </c>
      <c r="D393" s="684">
        <v>17</v>
      </c>
      <c r="E393" s="695">
        <v>33128008</v>
      </c>
      <c r="F393" s="695"/>
      <c r="G393" s="390">
        <v>702722</v>
      </c>
      <c r="H393" s="391" t="s">
        <v>2231</v>
      </c>
      <c r="I393" s="391" t="s">
        <v>2366</v>
      </c>
      <c r="J393" s="531">
        <v>748</v>
      </c>
      <c r="K393" s="392" t="s">
        <v>2367</v>
      </c>
      <c r="L393" s="392" t="s">
        <v>2368</v>
      </c>
      <c r="M393" s="690">
        <v>702722</v>
      </c>
      <c r="N393" s="393" t="s">
        <v>1411</v>
      </c>
    </row>
    <row r="394" spans="1:16">
      <c r="A394" s="530" t="s">
        <v>11371</v>
      </c>
      <c r="B394" s="389" t="s">
        <v>1778</v>
      </c>
      <c r="C394" s="680" t="s">
        <v>1779</v>
      </c>
      <c r="D394" s="684">
        <v>61</v>
      </c>
      <c r="E394" s="695">
        <v>33456073</v>
      </c>
      <c r="F394" s="695">
        <v>983506060</v>
      </c>
      <c r="G394" s="390">
        <v>702960</v>
      </c>
      <c r="H394" s="391" t="s">
        <v>2968</v>
      </c>
      <c r="I394" s="391" t="s">
        <v>2320</v>
      </c>
      <c r="J394" s="531" t="s">
        <v>3043</v>
      </c>
      <c r="K394" s="392" t="s">
        <v>2969</v>
      </c>
      <c r="L394" s="392" t="s">
        <v>2970</v>
      </c>
      <c r="M394" s="690">
        <v>702960</v>
      </c>
      <c r="N394" s="393" t="s">
        <v>1777</v>
      </c>
    </row>
    <row r="395" spans="1:16">
      <c r="A395" s="530" t="s">
        <v>4432</v>
      </c>
      <c r="B395" s="389" t="s">
        <v>3616</v>
      </c>
      <c r="C395" s="680" t="s">
        <v>8200</v>
      </c>
      <c r="D395" s="684">
        <v>61</v>
      </c>
      <c r="E395" s="695">
        <v>32541021</v>
      </c>
      <c r="F395" s="695">
        <v>992552469</v>
      </c>
      <c r="G395" s="390">
        <v>702949</v>
      </c>
      <c r="H395" s="391" t="s">
        <v>3617</v>
      </c>
      <c r="I395" s="391" t="s">
        <v>2320</v>
      </c>
      <c r="J395" s="531" t="s">
        <v>3043</v>
      </c>
      <c r="K395" s="392" t="s">
        <v>2374</v>
      </c>
      <c r="L395" s="392" t="s">
        <v>3618</v>
      </c>
      <c r="M395" s="690">
        <v>702949</v>
      </c>
      <c r="N395" s="393" t="s">
        <v>3619</v>
      </c>
      <c r="P395" s="394" t="s">
        <v>11372</v>
      </c>
    </row>
    <row r="396" spans="1:16">
      <c r="A396" s="530" t="s">
        <v>3671</v>
      </c>
      <c r="B396" s="389" t="s">
        <v>2935</v>
      </c>
      <c r="C396" s="680" t="s">
        <v>1706</v>
      </c>
      <c r="D396" s="684">
        <v>61</v>
      </c>
      <c r="E396" s="695">
        <v>41411880</v>
      </c>
      <c r="F396" s="695">
        <v>981251406</v>
      </c>
      <c r="G396" s="390">
        <v>703134</v>
      </c>
      <c r="H396" s="391" t="s">
        <v>2936</v>
      </c>
      <c r="I396" s="391" t="s">
        <v>2492</v>
      </c>
      <c r="J396" s="531">
        <v>756</v>
      </c>
      <c r="K396" s="392" t="s">
        <v>2937</v>
      </c>
      <c r="L396" s="392" t="s">
        <v>2938</v>
      </c>
      <c r="M396" s="690">
        <v>703134</v>
      </c>
      <c r="N396" s="393" t="s">
        <v>2885</v>
      </c>
      <c r="P396" s="394" t="s">
        <v>11373</v>
      </c>
    </row>
    <row r="397" spans="1:16">
      <c r="A397" s="530" t="s">
        <v>11374</v>
      </c>
      <c r="B397" s="389" t="s">
        <v>11375</v>
      </c>
      <c r="C397" s="680" t="s">
        <v>11376</v>
      </c>
      <c r="D397" s="684">
        <v>19</v>
      </c>
      <c r="E397" s="695">
        <v>33810785</v>
      </c>
      <c r="F397" s="695">
        <v>998354340</v>
      </c>
      <c r="G397" s="390">
        <v>704125</v>
      </c>
      <c r="H397" s="391" t="s">
        <v>11377</v>
      </c>
      <c r="I397" s="391"/>
      <c r="J397" s="531" t="s">
        <v>10735</v>
      </c>
      <c r="K397" s="392"/>
      <c r="L397" s="392"/>
      <c r="M397" s="690">
        <v>704125</v>
      </c>
      <c r="N397" s="393" t="s">
        <v>11378</v>
      </c>
    </row>
    <row r="398" spans="1:16">
      <c r="A398" s="530" t="s">
        <v>8215</v>
      </c>
      <c r="B398" s="389" t="s">
        <v>874</v>
      </c>
      <c r="C398" s="680" t="s">
        <v>1611</v>
      </c>
      <c r="D398" s="684">
        <v>61</v>
      </c>
      <c r="E398" s="695">
        <v>33860707</v>
      </c>
      <c r="F398" s="695">
        <v>999650054</v>
      </c>
      <c r="G398" s="390">
        <v>3869</v>
      </c>
      <c r="H398" s="391" t="s">
        <v>2232</v>
      </c>
      <c r="I398" s="391" t="s">
        <v>2320</v>
      </c>
      <c r="J398" s="531" t="s">
        <v>3043</v>
      </c>
      <c r="K398" s="392" t="s">
        <v>2359</v>
      </c>
      <c r="L398" s="392" t="s">
        <v>2406</v>
      </c>
      <c r="M398" s="690">
        <v>3869</v>
      </c>
      <c r="N398" s="393" t="s">
        <v>873</v>
      </c>
    </row>
    <row r="399" spans="1:16">
      <c r="A399" s="530" t="s">
        <v>7819</v>
      </c>
      <c r="B399" s="389" t="s">
        <v>2233</v>
      </c>
      <c r="C399" s="680" t="s">
        <v>1425</v>
      </c>
      <c r="D399" s="684">
        <v>61</v>
      </c>
      <c r="E399" s="695">
        <v>32332958</v>
      </c>
      <c r="F399" s="695"/>
      <c r="G399" s="390">
        <v>83</v>
      </c>
      <c r="H399" s="391" t="s">
        <v>2234</v>
      </c>
      <c r="I399" s="391" t="s">
        <v>2320</v>
      </c>
      <c r="J399" s="531" t="s">
        <v>3043</v>
      </c>
      <c r="K399" s="392" t="s">
        <v>3610</v>
      </c>
      <c r="L399" s="392" t="s">
        <v>2852</v>
      </c>
      <c r="M399" s="690">
        <v>83</v>
      </c>
      <c r="N399" s="393" t="s">
        <v>743</v>
      </c>
    </row>
    <row r="400" spans="1:16">
      <c r="A400" s="530" t="s">
        <v>11379</v>
      </c>
      <c r="B400" s="389" t="s">
        <v>2235</v>
      </c>
      <c r="C400" s="680" t="s">
        <v>1709</v>
      </c>
      <c r="D400" s="684">
        <v>61</v>
      </c>
      <c r="E400" s="695">
        <v>30458024</v>
      </c>
      <c r="F400" s="695"/>
      <c r="G400" s="390">
        <v>700879</v>
      </c>
      <c r="H400" s="391" t="s">
        <v>2236</v>
      </c>
      <c r="I400" s="391" t="s">
        <v>2321</v>
      </c>
      <c r="J400" s="531" t="s">
        <v>3050</v>
      </c>
      <c r="K400" s="392" t="s">
        <v>2400</v>
      </c>
      <c r="L400" s="392" t="s">
        <v>2401</v>
      </c>
      <c r="M400" s="690">
        <v>700879</v>
      </c>
      <c r="N400" s="393" t="s">
        <v>1708</v>
      </c>
    </row>
    <row r="401" spans="1:34">
      <c r="A401" s="530" t="s">
        <v>8923</v>
      </c>
      <c r="B401" s="389" t="s">
        <v>720</v>
      </c>
      <c r="C401" s="680" t="s">
        <v>712</v>
      </c>
      <c r="D401" s="684">
        <v>61</v>
      </c>
      <c r="E401" s="695">
        <v>30334174</v>
      </c>
      <c r="F401" s="695"/>
      <c r="G401" s="390">
        <v>1822</v>
      </c>
      <c r="H401" s="391" t="s">
        <v>2237</v>
      </c>
      <c r="I401" s="391" t="s">
        <v>2320</v>
      </c>
      <c r="J401" s="531" t="s">
        <v>3043</v>
      </c>
      <c r="K401" s="392" t="s">
        <v>3610</v>
      </c>
      <c r="L401" s="392" t="s">
        <v>11380</v>
      </c>
      <c r="M401" s="690">
        <v>1822</v>
      </c>
      <c r="N401" s="393" t="s">
        <v>739</v>
      </c>
      <c r="P401" s="394" t="s">
        <v>11381</v>
      </c>
    </row>
    <row r="402" spans="1:34">
      <c r="A402" s="530" t="s">
        <v>11382</v>
      </c>
      <c r="B402" s="389" t="s">
        <v>721</v>
      </c>
      <c r="C402" s="680" t="s">
        <v>1011</v>
      </c>
      <c r="D402" s="684">
        <v>62</v>
      </c>
      <c r="E402" s="699">
        <v>36075700</v>
      </c>
      <c r="G402" s="390">
        <v>969068</v>
      </c>
      <c r="H402" s="391" t="s">
        <v>2238</v>
      </c>
      <c r="I402" s="391" t="s">
        <v>2320</v>
      </c>
      <c r="J402" s="531" t="s">
        <v>3043</v>
      </c>
      <c r="K402" s="392" t="s">
        <v>2414</v>
      </c>
      <c r="L402" s="392" t="s">
        <v>2415</v>
      </c>
      <c r="M402" s="690">
        <v>969068</v>
      </c>
      <c r="N402" s="393" t="s">
        <v>740</v>
      </c>
    </row>
    <row r="403" spans="1:34">
      <c r="A403" s="530" t="s">
        <v>9710</v>
      </c>
      <c r="B403" s="389" t="s">
        <v>8901</v>
      </c>
      <c r="C403" s="680" t="s">
        <v>8889</v>
      </c>
      <c r="D403" s="684">
        <v>61</v>
      </c>
      <c r="E403" s="695">
        <v>41034329</v>
      </c>
      <c r="F403" s="695"/>
      <c r="G403" s="390"/>
      <c r="H403" s="391" t="s">
        <v>8902</v>
      </c>
      <c r="I403" s="391" t="s">
        <v>2350</v>
      </c>
      <c r="J403" s="531">
        <v>237</v>
      </c>
      <c r="K403" s="392" t="s">
        <v>9708</v>
      </c>
      <c r="L403" s="392" t="s">
        <v>9709</v>
      </c>
      <c r="M403" s="690"/>
      <c r="N403" s="393" t="s">
        <v>8472</v>
      </c>
    </row>
    <row r="404" spans="1:34">
      <c r="A404" s="530" t="s">
        <v>3420</v>
      </c>
      <c r="B404" s="389" t="s">
        <v>3417</v>
      </c>
      <c r="C404" s="680" t="s">
        <v>3418</v>
      </c>
      <c r="D404" s="684">
        <v>61</v>
      </c>
      <c r="E404" s="695"/>
      <c r="F404" s="695">
        <v>993099416</v>
      </c>
      <c r="G404" s="390">
        <v>703277</v>
      </c>
      <c r="H404" s="391" t="s">
        <v>3419</v>
      </c>
      <c r="I404" s="391" t="s">
        <v>2329</v>
      </c>
      <c r="J404" s="531">
        <v>104</v>
      </c>
      <c r="K404" s="392" t="s">
        <v>8341</v>
      </c>
      <c r="L404" s="392" t="s">
        <v>8342</v>
      </c>
      <c r="M404" s="690">
        <v>703277</v>
      </c>
      <c r="N404" s="393" t="s">
        <v>3416</v>
      </c>
    </row>
    <row r="405" spans="1:34">
      <c r="A405" s="530" t="s">
        <v>11383</v>
      </c>
      <c r="B405" s="389" t="s">
        <v>11384</v>
      </c>
      <c r="C405" s="680" t="s">
        <v>11385</v>
      </c>
      <c r="D405" s="684">
        <v>62</v>
      </c>
      <c r="E405" s="695">
        <v>30931200</v>
      </c>
      <c r="F405" s="695">
        <v>992956101</v>
      </c>
      <c r="G405" s="390">
        <v>704149</v>
      </c>
      <c r="H405" s="391" t="s">
        <v>11386</v>
      </c>
      <c r="I405" s="391" t="s">
        <v>2320</v>
      </c>
      <c r="J405" s="531" t="s">
        <v>3043</v>
      </c>
      <c r="K405" s="392" t="s">
        <v>2460</v>
      </c>
      <c r="L405" s="392" t="s">
        <v>11387</v>
      </c>
      <c r="M405" s="690">
        <v>704149</v>
      </c>
      <c r="N405" s="393" t="s">
        <v>11388</v>
      </c>
    </row>
    <row r="406" spans="1:34">
      <c r="A406" s="530" t="s">
        <v>11389</v>
      </c>
      <c r="B406" s="532" t="s">
        <v>2239</v>
      </c>
      <c r="C406" s="680" t="s">
        <v>1470</v>
      </c>
      <c r="D406" s="684">
        <v>62</v>
      </c>
      <c r="E406" s="695">
        <v>32959938</v>
      </c>
      <c r="F406" s="695"/>
      <c r="G406" s="390">
        <v>702766</v>
      </c>
      <c r="H406" s="391" t="s">
        <v>2240</v>
      </c>
      <c r="I406" s="391" t="s">
        <v>2335</v>
      </c>
      <c r="J406" s="531">
        <v>341</v>
      </c>
      <c r="K406" s="392" t="s">
        <v>3990</v>
      </c>
      <c r="L406" s="392" t="s">
        <v>3991</v>
      </c>
      <c r="M406" s="690">
        <v>702766</v>
      </c>
      <c r="N406" s="393" t="s">
        <v>1636</v>
      </c>
    </row>
    <row r="407" spans="1:34">
      <c r="A407" s="530" t="s">
        <v>11390</v>
      </c>
      <c r="B407" s="389" t="s">
        <v>2241</v>
      </c>
      <c r="C407" s="680" t="s">
        <v>1775</v>
      </c>
      <c r="D407" s="684">
        <v>61</v>
      </c>
      <c r="E407" s="700">
        <v>38779478</v>
      </c>
      <c r="F407" s="700">
        <v>992051575</v>
      </c>
      <c r="G407" s="390">
        <v>700809</v>
      </c>
      <c r="H407" s="391" t="s">
        <v>2242</v>
      </c>
      <c r="I407" s="391" t="s">
        <v>2320</v>
      </c>
      <c r="J407" s="531" t="s">
        <v>3043</v>
      </c>
      <c r="K407" s="392" t="s">
        <v>2510</v>
      </c>
      <c r="L407" s="392" t="s">
        <v>2511</v>
      </c>
      <c r="M407" s="690">
        <v>700809</v>
      </c>
      <c r="N407" s="393" t="s">
        <v>1475</v>
      </c>
      <c r="O407" s="394" t="s">
        <v>11391</v>
      </c>
    </row>
    <row r="408" spans="1:34">
      <c r="A408" s="530" t="s">
        <v>8239</v>
      </c>
      <c r="B408" s="389" t="s">
        <v>9512</v>
      </c>
      <c r="C408" s="680" t="s">
        <v>689</v>
      </c>
      <c r="D408" s="684">
        <v>61</v>
      </c>
      <c r="E408" s="695">
        <v>33512126</v>
      </c>
      <c r="F408" s="695"/>
      <c r="G408" s="390">
        <v>700790</v>
      </c>
      <c r="H408" s="391" t="s">
        <v>2243</v>
      </c>
      <c r="I408" s="391" t="s">
        <v>2320</v>
      </c>
      <c r="J408" s="531" t="s">
        <v>3043</v>
      </c>
      <c r="K408" s="392" t="s">
        <v>2374</v>
      </c>
      <c r="L408" s="392" t="s">
        <v>2375</v>
      </c>
      <c r="M408" s="691">
        <v>700790</v>
      </c>
      <c r="N408" s="393" t="s">
        <v>605</v>
      </c>
    </row>
    <row r="409" spans="1:34">
      <c r="A409" s="530" t="s">
        <v>11392</v>
      </c>
      <c r="B409" s="389" t="s">
        <v>7813</v>
      </c>
      <c r="C409" s="680" t="s">
        <v>7814</v>
      </c>
      <c r="D409" s="684">
        <v>61</v>
      </c>
      <c r="E409" s="695">
        <v>39691836</v>
      </c>
      <c r="F409" s="695">
        <v>992127139</v>
      </c>
      <c r="G409" s="390">
        <v>703425</v>
      </c>
      <c r="H409" s="391" t="s">
        <v>7815</v>
      </c>
      <c r="I409" s="391" t="s">
        <v>2404</v>
      </c>
      <c r="J409" s="531" t="s">
        <v>3043</v>
      </c>
      <c r="K409" s="392" t="s">
        <v>7816</v>
      </c>
      <c r="L409" s="392" t="s">
        <v>7817</v>
      </c>
      <c r="M409" s="690">
        <v>703425</v>
      </c>
      <c r="N409" s="393" t="s">
        <v>7818</v>
      </c>
    </row>
    <row r="410" spans="1:34">
      <c r="A410" s="530" t="s">
        <v>11393</v>
      </c>
      <c r="B410" s="389" t="s">
        <v>2858</v>
      </c>
      <c r="C410" s="680" t="s">
        <v>2859</v>
      </c>
      <c r="D410" s="684">
        <v>62</v>
      </c>
      <c r="E410" s="695">
        <v>36361391</v>
      </c>
      <c r="F410" s="695">
        <v>982742723</v>
      </c>
      <c r="G410" s="390">
        <v>703084</v>
      </c>
      <c r="H410" s="391" t="s">
        <v>2860</v>
      </c>
      <c r="I410" s="391" t="s">
        <v>2333</v>
      </c>
      <c r="J410" s="531" t="s">
        <v>3052</v>
      </c>
      <c r="K410" s="392" t="s">
        <v>2881</v>
      </c>
      <c r="L410" s="392" t="s">
        <v>2882</v>
      </c>
      <c r="M410" s="690">
        <v>703084</v>
      </c>
      <c r="N410" s="393" t="s">
        <v>2857</v>
      </c>
    </row>
    <row r="411" spans="1:34">
      <c r="A411" s="530" t="s">
        <v>11394</v>
      </c>
      <c r="B411" s="389" t="s">
        <v>2245</v>
      </c>
      <c r="C411" s="680"/>
      <c r="D411" s="684">
        <v>62</v>
      </c>
      <c r="E411" s="695">
        <v>32123015</v>
      </c>
      <c r="F411" s="695"/>
      <c r="G411" s="390">
        <v>700448</v>
      </c>
      <c r="H411" s="391" t="s">
        <v>2246</v>
      </c>
      <c r="I411" s="391"/>
      <c r="J411" s="531" t="s">
        <v>10735</v>
      </c>
      <c r="K411" s="392"/>
      <c r="L411" s="392"/>
      <c r="M411" s="690">
        <v>700448</v>
      </c>
      <c r="N411" s="393" t="s">
        <v>2244</v>
      </c>
    </row>
    <row r="412" spans="1:34">
      <c r="A412" s="530" t="s">
        <v>11395</v>
      </c>
      <c r="B412" s="389" t="s">
        <v>8915</v>
      </c>
      <c r="C412" s="680" t="s">
        <v>882</v>
      </c>
      <c r="D412" s="684" t="s">
        <v>5888</v>
      </c>
      <c r="E412" s="695"/>
      <c r="F412" s="695"/>
      <c r="G412" s="390">
        <v>2578</v>
      </c>
      <c r="H412" s="391" t="s">
        <v>8916</v>
      </c>
      <c r="I412" s="391"/>
      <c r="J412" s="531" t="s">
        <v>10735</v>
      </c>
      <c r="K412" s="392"/>
      <c r="L412" s="392"/>
      <c r="M412" s="690">
        <v>2578</v>
      </c>
      <c r="N412" s="393" t="s">
        <v>8917</v>
      </c>
    </row>
    <row r="413" spans="1:34" s="539" customFormat="1">
      <c r="A413" s="530" t="s">
        <v>7582</v>
      </c>
      <c r="B413" s="389" t="s">
        <v>2247</v>
      </c>
      <c r="C413" s="680" t="s">
        <v>962</v>
      </c>
      <c r="D413" s="684">
        <v>61</v>
      </c>
      <c r="E413" s="695"/>
      <c r="F413" s="695">
        <v>996512637</v>
      </c>
      <c r="G413" s="390">
        <v>5757</v>
      </c>
      <c r="H413" s="391" t="s">
        <v>2248</v>
      </c>
      <c r="I413" s="391" t="s">
        <v>2335</v>
      </c>
      <c r="J413" s="531">
        <v>341</v>
      </c>
      <c r="K413" s="392" t="s">
        <v>2392</v>
      </c>
      <c r="L413" s="392" t="s">
        <v>2469</v>
      </c>
      <c r="M413" s="690">
        <v>5757</v>
      </c>
      <c r="N413" s="393" t="s">
        <v>2319</v>
      </c>
      <c r="AH413" s="394"/>
    </row>
    <row r="414" spans="1:34">
      <c r="A414" s="530" t="s">
        <v>11396</v>
      </c>
      <c r="B414" s="389" t="s">
        <v>2249</v>
      </c>
      <c r="C414" s="680" t="s">
        <v>693</v>
      </c>
      <c r="D414" s="684">
        <v>61</v>
      </c>
      <c r="E414" s="695"/>
      <c r="F414" s="695">
        <v>982799897</v>
      </c>
      <c r="G414" s="390">
        <v>701392</v>
      </c>
      <c r="H414" s="391" t="s">
        <v>2250</v>
      </c>
      <c r="I414" s="391"/>
      <c r="J414" s="531" t="s">
        <v>10735</v>
      </c>
      <c r="K414" s="392"/>
      <c r="L414" s="392"/>
      <c r="M414" s="690">
        <v>701392</v>
      </c>
      <c r="N414" s="393" t="s">
        <v>769</v>
      </c>
    </row>
    <row r="415" spans="1:34">
      <c r="A415" s="530" t="s">
        <v>11397</v>
      </c>
      <c r="B415" s="389" t="s">
        <v>3951</v>
      </c>
      <c r="C415" s="680" t="s">
        <v>3952</v>
      </c>
      <c r="D415" s="684">
        <v>17</v>
      </c>
      <c r="E415" s="695">
        <v>21393090</v>
      </c>
      <c r="F415" s="695">
        <v>991538922</v>
      </c>
      <c r="G415" s="390">
        <v>701455</v>
      </c>
      <c r="H415" s="391" t="s">
        <v>3953</v>
      </c>
      <c r="I415" s="391"/>
      <c r="J415" s="531" t="s">
        <v>10735</v>
      </c>
      <c r="K415" s="392"/>
      <c r="L415" s="392"/>
      <c r="M415" s="690">
        <v>701455</v>
      </c>
      <c r="N415" s="393" t="s">
        <v>7548</v>
      </c>
    </row>
    <row r="416" spans="1:34">
      <c r="A416" s="530" t="s">
        <v>11398</v>
      </c>
      <c r="B416" s="389" t="s">
        <v>6885</v>
      </c>
      <c r="C416" s="680" t="s">
        <v>11399</v>
      </c>
      <c r="D416" s="684">
        <v>61</v>
      </c>
      <c r="E416" s="695">
        <v>33661620</v>
      </c>
      <c r="F416" s="695">
        <v>999981001</v>
      </c>
      <c r="G416" s="390">
        <v>703674</v>
      </c>
      <c r="H416" s="391" t="s">
        <v>6886</v>
      </c>
      <c r="I416" s="391" t="s">
        <v>2321</v>
      </c>
      <c r="J416" s="531" t="s">
        <v>3050</v>
      </c>
      <c r="K416" s="392" t="s">
        <v>11400</v>
      </c>
      <c r="L416" s="392" t="s">
        <v>11401</v>
      </c>
      <c r="M416" s="690">
        <v>703674</v>
      </c>
      <c r="N416" s="393" t="s">
        <v>6819</v>
      </c>
      <c r="P416" s="394" t="s">
        <v>11402</v>
      </c>
    </row>
    <row r="417" spans="1:34">
      <c r="A417" s="530" t="s">
        <v>7549</v>
      </c>
      <c r="B417" s="389" t="s">
        <v>7546</v>
      </c>
      <c r="C417" s="680" t="s">
        <v>3952</v>
      </c>
      <c r="D417" s="684">
        <v>17</v>
      </c>
      <c r="E417" s="695">
        <v>21393090</v>
      </c>
      <c r="F417" s="695">
        <v>981079915</v>
      </c>
      <c r="G417" s="390">
        <v>702925</v>
      </c>
      <c r="H417" s="391" t="s">
        <v>2932</v>
      </c>
      <c r="I417" s="391" t="s">
        <v>2335</v>
      </c>
      <c r="J417" s="531">
        <v>341</v>
      </c>
      <c r="K417" s="392" t="s">
        <v>2933</v>
      </c>
      <c r="L417" s="392" t="s">
        <v>2934</v>
      </c>
      <c r="M417" s="690">
        <v>702925</v>
      </c>
      <c r="N417" s="393" t="s">
        <v>7547</v>
      </c>
    </row>
    <row r="418" spans="1:34">
      <c r="A418" s="530" t="s">
        <v>11403</v>
      </c>
      <c r="B418" s="389" t="s">
        <v>11404</v>
      </c>
      <c r="C418" s="680" t="s">
        <v>10792</v>
      </c>
      <c r="D418" s="684">
        <v>35</v>
      </c>
      <c r="E418" s="695"/>
      <c r="F418" s="695">
        <v>998760144</v>
      </c>
      <c r="G418" s="390"/>
      <c r="H418" s="391" t="s">
        <v>11405</v>
      </c>
      <c r="I418" s="391" t="s">
        <v>2335</v>
      </c>
      <c r="J418" s="555">
        <v>341</v>
      </c>
      <c r="K418" s="392" t="s">
        <v>11406</v>
      </c>
      <c r="L418" s="392" t="s">
        <v>11407</v>
      </c>
      <c r="M418" s="690"/>
      <c r="N418" s="393" t="s">
        <v>11408</v>
      </c>
    </row>
    <row r="419" spans="1:34">
      <c r="A419" s="530" t="s">
        <v>11409</v>
      </c>
      <c r="B419" s="389" t="s">
        <v>2252</v>
      </c>
      <c r="C419" s="680"/>
      <c r="D419" s="684" t="s">
        <v>5888</v>
      </c>
      <c r="E419" s="695"/>
      <c r="F419" s="695"/>
      <c r="G419" s="390">
        <v>701922</v>
      </c>
      <c r="H419" s="391" t="s">
        <v>2253</v>
      </c>
      <c r="I419" s="391" t="s">
        <v>2329</v>
      </c>
      <c r="J419" s="555">
        <v>104</v>
      </c>
      <c r="K419" s="392" t="s">
        <v>2330</v>
      </c>
      <c r="L419" s="392" t="s">
        <v>4092</v>
      </c>
      <c r="M419" s="690">
        <v>701922</v>
      </c>
      <c r="N419" s="393" t="s">
        <v>2251</v>
      </c>
    </row>
    <row r="420" spans="1:34">
      <c r="A420" s="530" t="s">
        <v>11410</v>
      </c>
      <c r="B420" s="389" t="s">
        <v>11411</v>
      </c>
      <c r="C420" s="680" t="s">
        <v>11412</v>
      </c>
      <c r="D420" s="684">
        <v>61</v>
      </c>
      <c r="E420" s="695">
        <v>33469200</v>
      </c>
      <c r="F420" s="695"/>
      <c r="G420" s="390">
        <v>2143</v>
      </c>
      <c r="H420" s="391" t="s">
        <v>11413</v>
      </c>
      <c r="I420" s="391" t="s">
        <v>2320</v>
      </c>
      <c r="J420" s="555" t="s">
        <v>3043</v>
      </c>
      <c r="K420" s="392" t="s">
        <v>2969</v>
      </c>
      <c r="L420" s="392" t="s">
        <v>11414</v>
      </c>
      <c r="M420" s="690">
        <v>2143</v>
      </c>
      <c r="N420" s="393" t="s">
        <v>11415</v>
      </c>
    </row>
    <row r="421" spans="1:34" s="539" customFormat="1">
      <c r="A421" s="530" t="s">
        <v>11416</v>
      </c>
      <c r="B421" s="389" t="s">
        <v>2254</v>
      </c>
      <c r="C421" s="680" t="s">
        <v>1027</v>
      </c>
      <c r="D421" s="684">
        <v>62</v>
      </c>
      <c r="E421" s="695">
        <v>35187588</v>
      </c>
      <c r="F421" s="695"/>
      <c r="G421" s="390">
        <v>701308</v>
      </c>
      <c r="H421" s="391" t="s">
        <v>2255</v>
      </c>
      <c r="I421" s="391"/>
      <c r="J421" s="555" t="s">
        <v>10735</v>
      </c>
      <c r="K421" s="392"/>
      <c r="L421" s="392"/>
      <c r="M421" s="690">
        <v>701308</v>
      </c>
      <c r="N421" s="393" t="s">
        <v>1026</v>
      </c>
      <c r="AH421" s="394"/>
    </row>
    <row r="422" spans="1:34">
      <c r="A422" s="530" t="s">
        <v>11417</v>
      </c>
      <c r="B422" s="389" t="s">
        <v>2256</v>
      </c>
      <c r="C422" s="680" t="s">
        <v>682</v>
      </c>
      <c r="D422" s="684">
        <v>62</v>
      </c>
      <c r="E422" s="695">
        <v>30978000</v>
      </c>
      <c r="F422" s="695"/>
      <c r="G422" s="390">
        <v>3380</v>
      </c>
      <c r="H422" s="391" t="s">
        <v>2257</v>
      </c>
      <c r="I422" s="391"/>
      <c r="J422" s="555" t="s">
        <v>10735</v>
      </c>
      <c r="K422" s="392"/>
      <c r="L422" s="392"/>
      <c r="M422" s="690">
        <v>3380</v>
      </c>
      <c r="N422" s="393" t="s">
        <v>770</v>
      </c>
    </row>
    <row r="423" spans="1:34">
      <c r="A423" s="530" t="s">
        <v>11418</v>
      </c>
      <c r="B423" s="389" t="s">
        <v>11419</v>
      </c>
      <c r="C423" s="680" t="s">
        <v>3599</v>
      </c>
      <c r="D423" s="684">
        <v>61</v>
      </c>
      <c r="E423" s="695">
        <v>33231858</v>
      </c>
      <c r="F423" s="695">
        <v>999954530</v>
      </c>
      <c r="G423" s="390">
        <v>329</v>
      </c>
      <c r="H423" s="391" t="s">
        <v>3600</v>
      </c>
      <c r="I423" s="391" t="s">
        <v>2320</v>
      </c>
      <c r="J423" s="555" t="s">
        <v>3043</v>
      </c>
      <c r="K423" s="392" t="s">
        <v>11420</v>
      </c>
      <c r="L423" s="392" t="s">
        <v>11421</v>
      </c>
      <c r="M423" s="690">
        <v>329</v>
      </c>
      <c r="N423" s="393" t="s">
        <v>11422</v>
      </c>
      <c r="O423" s="394" t="s">
        <v>11423</v>
      </c>
      <c r="P423" s="394" t="s">
        <v>11424</v>
      </c>
    </row>
    <row r="424" spans="1:34">
      <c r="A424" s="556" t="s">
        <v>11425</v>
      </c>
      <c r="B424" s="394" t="s">
        <v>11426</v>
      </c>
      <c r="C424" s="683" t="s">
        <v>3599</v>
      </c>
      <c r="D424" s="684">
        <v>61</v>
      </c>
      <c r="E424" s="699">
        <v>33231858</v>
      </c>
      <c r="F424" s="699">
        <v>999954530</v>
      </c>
      <c r="G424" s="689">
        <v>704319</v>
      </c>
      <c r="H424" s="557" t="s">
        <v>11427</v>
      </c>
      <c r="I424" s="557" t="s">
        <v>2320</v>
      </c>
      <c r="J424" s="558" t="s">
        <v>3043</v>
      </c>
      <c r="K424" s="558" t="s">
        <v>11420</v>
      </c>
      <c r="L424" s="558" t="s">
        <v>11428</v>
      </c>
      <c r="M424" s="694">
        <v>704319</v>
      </c>
      <c r="N424" s="394" t="s">
        <v>11429</v>
      </c>
      <c r="O424" s="394" t="s">
        <v>11423</v>
      </c>
      <c r="P424" s="394" t="s">
        <v>11430</v>
      </c>
    </row>
    <row r="425" spans="1:34">
      <c r="A425" s="556" t="s">
        <v>11431</v>
      </c>
      <c r="B425" s="394" t="s">
        <v>10354</v>
      </c>
      <c r="C425" s="683" t="s">
        <v>10355</v>
      </c>
      <c r="D425" s="684">
        <v>62</v>
      </c>
      <c r="E425" s="699">
        <v>30887645</v>
      </c>
      <c r="G425" s="689">
        <v>704022</v>
      </c>
      <c r="H425" s="557" t="s">
        <v>10356</v>
      </c>
      <c r="I425" s="557" t="s">
        <v>2320</v>
      </c>
      <c r="J425" s="558" t="s">
        <v>3043</v>
      </c>
      <c r="K425" s="558" t="s">
        <v>3034</v>
      </c>
      <c r="L425" s="558" t="s">
        <v>11432</v>
      </c>
      <c r="M425" s="694">
        <v>704022</v>
      </c>
      <c r="N425" s="394" t="s">
        <v>10357</v>
      </c>
    </row>
    <row r="426" spans="1:34">
      <c r="A426" s="556" t="s">
        <v>4109</v>
      </c>
      <c r="B426" s="394" t="s">
        <v>2258</v>
      </c>
      <c r="C426" s="683" t="s">
        <v>5852</v>
      </c>
      <c r="D426" s="684">
        <v>62</v>
      </c>
      <c r="E426" s="699">
        <v>39288989</v>
      </c>
      <c r="F426" s="699">
        <v>985578682</v>
      </c>
      <c r="G426" s="689">
        <v>702730</v>
      </c>
      <c r="H426" s="557" t="s">
        <v>2259</v>
      </c>
      <c r="I426" s="557" t="s">
        <v>2404</v>
      </c>
      <c r="J426" s="558" t="s">
        <v>3043</v>
      </c>
      <c r="K426" s="558" t="s">
        <v>2410</v>
      </c>
      <c r="L426" s="558" t="s">
        <v>2405</v>
      </c>
      <c r="M426" s="694">
        <v>702730</v>
      </c>
      <c r="N426" s="394" t="s">
        <v>1530</v>
      </c>
      <c r="P426" s="394" t="s">
        <v>11433</v>
      </c>
    </row>
    <row r="427" spans="1:34">
      <c r="A427" s="556" t="s">
        <v>11434</v>
      </c>
      <c r="B427" s="394" t="s">
        <v>7969</v>
      </c>
      <c r="C427" s="683" t="s">
        <v>7970</v>
      </c>
      <c r="D427" s="684">
        <v>61</v>
      </c>
      <c r="F427" s="699" t="s">
        <v>11528</v>
      </c>
      <c r="G427" s="689">
        <v>703501</v>
      </c>
      <c r="H427" s="557" t="s">
        <v>7971</v>
      </c>
      <c r="J427" s="558" t="s">
        <v>10735</v>
      </c>
      <c r="M427" s="694">
        <v>703501</v>
      </c>
      <c r="N427" s="394" t="s">
        <v>7916</v>
      </c>
    </row>
    <row r="428" spans="1:34">
      <c r="A428" s="556" t="s">
        <v>11435</v>
      </c>
      <c r="B428" s="394" t="s">
        <v>2260</v>
      </c>
      <c r="C428" s="683" t="s">
        <v>1264</v>
      </c>
      <c r="D428" s="684">
        <v>19</v>
      </c>
      <c r="E428" s="699">
        <v>21126600</v>
      </c>
      <c r="H428" s="557" t="s">
        <v>2261</v>
      </c>
      <c r="J428" s="558" t="s">
        <v>10735</v>
      </c>
      <c r="M428" s="694" t="s">
        <v>2947</v>
      </c>
      <c r="N428" s="394" t="s">
        <v>1218</v>
      </c>
    </row>
    <row r="429" spans="1:34">
      <c r="A429" s="556" t="s">
        <v>11436</v>
      </c>
      <c r="B429" s="394" t="s">
        <v>2262</v>
      </c>
      <c r="C429" s="683" t="s">
        <v>1232</v>
      </c>
      <c r="D429" s="684">
        <v>61</v>
      </c>
      <c r="E429" s="699">
        <v>35621002</v>
      </c>
      <c r="G429" s="689">
        <v>700766</v>
      </c>
      <c r="H429" s="557" t="s">
        <v>2263</v>
      </c>
      <c r="J429" s="558" t="s">
        <v>10735</v>
      </c>
      <c r="M429" s="694">
        <v>700766</v>
      </c>
      <c r="N429" s="394" t="s">
        <v>1231</v>
      </c>
    </row>
    <row r="430" spans="1:34">
      <c r="A430" s="556" t="s">
        <v>8695</v>
      </c>
      <c r="B430" s="394" t="s">
        <v>2264</v>
      </c>
      <c r="C430" s="683" t="s">
        <v>1415</v>
      </c>
      <c r="D430" s="684">
        <v>21</v>
      </c>
      <c r="E430" s="699">
        <v>24567007</v>
      </c>
      <c r="G430" s="689">
        <v>3360</v>
      </c>
      <c r="H430" s="557" t="s">
        <v>2265</v>
      </c>
      <c r="I430" s="557" t="s">
        <v>2320</v>
      </c>
      <c r="J430" s="558" t="s">
        <v>3043</v>
      </c>
      <c r="K430" s="558" t="s">
        <v>2416</v>
      </c>
      <c r="L430" s="558" t="s">
        <v>2538</v>
      </c>
      <c r="M430" s="694">
        <v>3360</v>
      </c>
      <c r="N430" s="394" t="s">
        <v>1227</v>
      </c>
      <c r="P430" s="394" t="s">
        <v>11437</v>
      </c>
    </row>
    <row r="431" spans="1:34">
      <c r="A431" s="556" t="s">
        <v>11438</v>
      </c>
      <c r="B431" s="394" t="s">
        <v>3524</v>
      </c>
      <c r="C431" s="683" t="s">
        <v>3525</v>
      </c>
      <c r="D431" s="684">
        <v>61</v>
      </c>
      <c r="F431" s="699">
        <v>985091372</v>
      </c>
      <c r="G431" s="689">
        <v>703305</v>
      </c>
      <c r="H431" s="557" t="s">
        <v>3546</v>
      </c>
      <c r="I431" s="557" t="s">
        <v>2329</v>
      </c>
      <c r="J431" s="558">
        <v>104</v>
      </c>
      <c r="K431" s="558" t="s">
        <v>3542</v>
      </c>
      <c r="L431" s="558" t="s">
        <v>3543</v>
      </c>
      <c r="M431" s="694">
        <v>703305</v>
      </c>
      <c r="N431" s="394" t="s">
        <v>3526</v>
      </c>
    </row>
    <row r="432" spans="1:34">
      <c r="A432" s="556" t="s">
        <v>9299</v>
      </c>
      <c r="B432" s="394" t="s">
        <v>9300</v>
      </c>
      <c r="C432" s="683" t="s">
        <v>9301</v>
      </c>
      <c r="D432" s="684">
        <v>11</v>
      </c>
      <c r="E432" s="699">
        <v>33994482</v>
      </c>
      <c r="G432" s="689">
        <v>700319</v>
      </c>
      <c r="H432" s="557" t="s">
        <v>2266</v>
      </c>
      <c r="I432" s="557" t="s">
        <v>2320</v>
      </c>
      <c r="J432" s="558" t="s">
        <v>3043</v>
      </c>
      <c r="K432" s="558" t="s">
        <v>9302</v>
      </c>
      <c r="L432" s="558" t="s">
        <v>9303</v>
      </c>
      <c r="M432" s="694">
        <v>700319</v>
      </c>
      <c r="N432" s="394" t="s">
        <v>771</v>
      </c>
    </row>
    <row r="433" spans="1:16">
      <c r="A433" s="556" t="s">
        <v>11439</v>
      </c>
      <c r="B433" s="394" t="s">
        <v>11440</v>
      </c>
      <c r="C433" s="683" t="s">
        <v>11441</v>
      </c>
      <c r="D433" s="684">
        <v>61</v>
      </c>
      <c r="E433" s="699">
        <v>35781808</v>
      </c>
      <c r="F433" s="699">
        <v>985301808</v>
      </c>
      <c r="G433" s="689">
        <v>704299</v>
      </c>
      <c r="H433" s="557" t="s">
        <v>11442</v>
      </c>
      <c r="I433" s="557" t="s">
        <v>2321</v>
      </c>
      <c r="J433" s="558" t="s">
        <v>3050</v>
      </c>
      <c r="K433" s="558" t="s">
        <v>11443</v>
      </c>
      <c r="L433" s="558" t="s">
        <v>11444</v>
      </c>
      <c r="M433" s="694">
        <v>704299</v>
      </c>
      <c r="N433" s="394" t="s">
        <v>11445</v>
      </c>
    </row>
    <row r="434" spans="1:16">
      <c r="A434" s="556" t="s">
        <v>11446</v>
      </c>
      <c r="B434" s="394" t="s">
        <v>645</v>
      </c>
      <c r="C434" s="683" t="s">
        <v>703</v>
      </c>
      <c r="D434" s="684">
        <v>61</v>
      </c>
      <c r="E434" s="699">
        <v>30224416</v>
      </c>
      <c r="G434" s="689">
        <v>701835</v>
      </c>
      <c r="H434" s="557" t="s">
        <v>2267</v>
      </c>
      <c r="J434" s="558" t="s">
        <v>10735</v>
      </c>
      <c r="M434" s="694">
        <v>701835</v>
      </c>
      <c r="N434" s="394" t="s">
        <v>645</v>
      </c>
    </row>
    <row r="435" spans="1:16">
      <c r="A435" s="556" t="s">
        <v>11447</v>
      </c>
      <c r="B435" s="394" t="s">
        <v>11448</v>
      </c>
      <c r="C435" s="683" t="s">
        <v>11449</v>
      </c>
      <c r="D435" s="684">
        <v>62</v>
      </c>
      <c r="E435" s="699">
        <v>37069960</v>
      </c>
      <c r="H435" s="557" t="s">
        <v>11450</v>
      </c>
      <c r="J435" s="558" t="s">
        <v>10735</v>
      </c>
      <c r="N435" s="394" t="s">
        <v>11451</v>
      </c>
    </row>
    <row r="436" spans="1:16">
      <c r="A436" s="556" t="s">
        <v>11452</v>
      </c>
      <c r="B436" s="394" t="s">
        <v>2268</v>
      </c>
      <c r="C436" s="683" t="s">
        <v>882</v>
      </c>
      <c r="D436" s="684">
        <v>63</v>
      </c>
      <c r="E436" s="699">
        <v>32131437</v>
      </c>
      <c r="G436" s="689">
        <v>701615</v>
      </c>
      <c r="H436" s="557" t="s">
        <v>2269</v>
      </c>
      <c r="J436" s="558" t="s">
        <v>10735</v>
      </c>
      <c r="M436" s="694">
        <v>701615</v>
      </c>
      <c r="N436" s="394" t="s">
        <v>881</v>
      </c>
    </row>
    <row r="437" spans="1:16">
      <c r="A437" s="556" t="s">
        <v>11453</v>
      </c>
      <c r="B437" s="394" t="s">
        <v>2270</v>
      </c>
      <c r="C437" s="683" t="s">
        <v>700</v>
      </c>
      <c r="D437" s="684">
        <v>61</v>
      </c>
      <c r="E437" s="699">
        <v>21082333</v>
      </c>
      <c r="G437" s="689">
        <v>486</v>
      </c>
      <c r="H437" s="557" t="s">
        <v>2271</v>
      </c>
      <c r="J437" s="558" t="s">
        <v>10735</v>
      </c>
      <c r="M437" s="694">
        <v>486</v>
      </c>
      <c r="N437" s="394" t="s">
        <v>659</v>
      </c>
    </row>
    <row r="438" spans="1:16">
      <c r="A438" s="556" t="s">
        <v>11454</v>
      </c>
      <c r="B438" s="394" t="s">
        <v>2272</v>
      </c>
      <c r="C438" s="683" t="s">
        <v>995</v>
      </c>
      <c r="D438" s="684">
        <v>61</v>
      </c>
      <c r="F438" s="699">
        <v>991158748</v>
      </c>
      <c r="G438" s="689">
        <v>701012</v>
      </c>
      <c r="H438" s="557" t="s">
        <v>2273</v>
      </c>
      <c r="I438" s="557" t="s">
        <v>2320</v>
      </c>
      <c r="J438" s="558" t="s">
        <v>3043</v>
      </c>
      <c r="K438" s="558" t="s">
        <v>2489</v>
      </c>
      <c r="L438" s="558" t="s">
        <v>2341</v>
      </c>
      <c r="M438" s="694">
        <v>701012</v>
      </c>
      <c r="N438" s="394" t="s">
        <v>1650</v>
      </c>
      <c r="O438" s="394" t="s">
        <v>2275</v>
      </c>
    </row>
    <row r="439" spans="1:16">
      <c r="A439" s="556" t="s">
        <v>8596</v>
      </c>
      <c r="B439" s="394" t="s">
        <v>2274</v>
      </c>
      <c r="C439" s="683" t="s">
        <v>995</v>
      </c>
      <c r="D439" s="684">
        <v>61</v>
      </c>
      <c r="E439" s="699">
        <v>32251020</v>
      </c>
      <c r="G439" s="689">
        <v>295</v>
      </c>
      <c r="H439" s="557" t="s">
        <v>2275</v>
      </c>
      <c r="I439" s="557" t="s">
        <v>2320</v>
      </c>
      <c r="J439" s="558" t="s">
        <v>3043</v>
      </c>
      <c r="K439" s="558" t="s">
        <v>2489</v>
      </c>
      <c r="L439" s="558" t="s">
        <v>2341</v>
      </c>
      <c r="M439" s="694">
        <v>295</v>
      </c>
      <c r="N439" s="394" t="s">
        <v>1649</v>
      </c>
    </row>
    <row r="440" spans="1:16">
      <c r="A440" s="556" t="s">
        <v>11455</v>
      </c>
      <c r="B440" s="394" t="s">
        <v>2824</v>
      </c>
      <c r="D440" s="684" t="s">
        <v>5888</v>
      </c>
      <c r="J440" s="558" t="s">
        <v>10735</v>
      </c>
      <c r="N440" s="394" t="s">
        <v>2816</v>
      </c>
    </row>
    <row r="441" spans="1:16">
      <c r="A441" s="556" t="s">
        <v>11456</v>
      </c>
      <c r="B441" s="394" t="s">
        <v>2276</v>
      </c>
      <c r="C441" s="683" t="s">
        <v>698</v>
      </c>
      <c r="D441" s="684">
        <v>61</v>
      </c>
      <c r="E441" s="699">
        <v>33843463</v>
      </c>
      <c r="G441" s="689">
        <v>701659</v>
      </c>
      <c r="H441" s="557" t="s">
        <v>2277</v>
      </c>
      <c r="J441" s="558" t="s">
        <v>10735</v>
      </c>
      <c r="M441" s="694">
        <v>701659</v>
      </c>
      <c r="N441" s="394" t="s">
        <v>772</v>
      </c>
    </row>
    <row r="442" spans="1:16">
      <c r="A442" s="556" t="s">
        <v>7392</v>
      </c>
      <c r="B442" s="394" t="s">
        <v>5884</v>
      </c>
      <c r="C442" s="683" t="s">
        <v>5885</v>
      </c>
      <c r="D442" s="684">
        <v>62</v>
      </c>
      <c r="E442" s="699">
        <v>35959238</v>
      </c>
      <c r="G442" s="689">
        <v>703221</v>
      </c>
      <c r="H442" s="557" t="s">
        <v>5886</v>
      </c>
      <c r="I442" s="557" t="s">
        <v>2329</v>
      </c>
      <c r="J442" s="558">
        <v>104</v>
      </c>
      <c r="K442" s="558">
        <v>3725</v>
      </c>
      <c r="L442" s="558" t="s">
        <v>6808</v>
      </c>
      <c r="M442" s="694">
        <v>703221</v>
      </c>
      <c r="N442" s="394" t="s">
        <v>5947</v>
      </c>
      <c r="P442" s="394" t="s">
        <v>11457</v>
      </c>
    </row>
    <row r="443" spans="1:16">
      <c r="A443" s="556" t="s">
        <v>11458</v>
      </c>
      <c r="B443" s="394" t="s">
        <v>5846</v>
      </c>
      <c r="C443" s="683" t="s">
        <v>5847</v>
      </c>
      <c r="D443" s="684">
        <v>11</v>
      </c>
      <c r="F443" s="699">
        <v>992403882</v>
      </c>
      <c r="G443" s="689">
        <v>703627</v>
      </c>
      <c r="H443" s="557" t="s">
        <v>5822</v>
      </c>
      <c r="I443" s="557" t="s">
        <v>2431</v>
      </c>
      <c r="J443" s="558">
        <v>237</v>
      </c>
      <c r="K443" s="558" t="s">
        <v>5848</v>
      </c>
      <c r="L443" s="558" t="s">
        <v>5849</v>
      </c>
      <c r="M443" s="694">
        <v>703627</v>
      </c>
      <c r="N443" s="394" t="s">
        <v>5850</v>
      </c>
    </row>
    <row r="444" spans="1:16">
      <c r="A444" s="556" t="s">
        <v>11459</v>
      </c>
      <c r="B444" s="394" t="s">
        <v>2278</v>
      </c>
      <c r="C444" s="683" t="s">
        <v>1379</v>
      </c>
      <c r="D444" s="684">
        <v>62</v>
      </c>
      <c r="E444" s="699">
        <v>32515340</v>
      </c>
      <c r="G444" s="689">
        <v>701533</v>
      </c>
      <c r="H444" s="557" t="s">
        <v>2279</v>
      </c>
      <c r="I444" s="557" t="s">
        <v>2320</v>
      </c>
      <c r="J444" s="558" t="s">
        <v>3043</v>
      </c>
      <c r="K444" s="558" t="s">
        <v>2427</v>
      </c>
      <c r="L444" s="558" t="s">
        <v>2428</v>
      </c>
      <c r="M444" s="694">
        <v>701533</v>
      </c>
      <c r="N444" s="394" t="s">
        <v>773</v>
      </c>
    </row>
    <row r="445" spans="1:16">
      <c r="A445" s="556" t="s">
        <v>11460</v>
      </c>
      <c r="B445" s="394" t="s">
        <v>2280</v>
      </c>
      <c r="C445" s="683" t="s">
        <v>1556</v>
      </c>
      <c r="D445" s="684">
        <v>61</v>
      </c>
      <c r="E445" s="699">
        <v>33811590</v>
      </c>
      <c r="G445" s="689">
        <v>700358</v>
      </c>
      <c r="H445" s="557" t="s">
        <v>2281</v>
      </c>
      <c r="I445" s="557" t="s">
        <v>2320</v>
      </c>
      <c r="J445" s="558" t="s">
        <v>3043</v>
      </c>
      <c r="K445" s="558" t="s">
        <v>2443</v>
      </c>
      <c r="L445" s="558" t="s">
        <v>2444</v>
      </c>
      <c r="M445" s="694">
        <v>700358</v>
      </c>
      <c r="N445" s="394" t="s">
        <v>1380</v>
      </c>
    </row>
    <row r="446" spans="1:16">
      <c r="A446" s="556" t="s">
        <v>11461</v>
      </c>
      <c r="B446" s="394" t="s">
        <v>2282</v>
      </c>
      <c r="C446" s="683" t="s">
        <v>882</v>
      </c>
      <c r="D446" s="684">
        <v>61</v>
      </c>
      <c r="E446" s="699">
        <v>32424040</v>
      </c>
      <c r="G446" s="689">
        <v>701201</v>
      </c>
      <c r="H446" s="557" t="s">
        <v>2283</v>
      </c>
      <c r="J446" s="558" t="s">
        <v>10735</v>
      </c>
      <c r="M446" s="694">
        <v>701201</v>
      </c>
      <c r="N446" s="394" t="s">
        <v>883</v>
      </c>
    </row>
    <row r="447" spans="1:16">
      <c r="A447" s="556" t="s">
        <v>11462</v>
      </c>
      <c r="B447" s="394" t="s">
        <v>11463</v>
      </c>
      <c r="C447" s="683" t="s">
        <v>11464</v>
      </c>
      <c r="D447" s="684">
        <v>61</v>
      </c>
      <c r="F447" s="699">
        <v>992363883</v>
      </c>
      <c r="G447" s="689">
        <v>703963</v>
      </c>
      <c r="H447" s="557" t="s">
        <v>11465</v>
      </c>
      <c r="J447" s="558" t="s">
        <v>10735</v>
      </c>
      <c r="M447" s="694">
        <v>703963</v>
      </c>
      <c r="N447" s="394" t="s">
        <v>11466</v>
      </c>
    </row>
    <row r="448" spans="1:16">
      <c r="A448" s="556" t="s">
        <v>11467</v>
      </c>
      <c r="B448" s="394" t="s">
        <v>11468</v>
      </c>
      <c r="C448" s="683" t="s">
        <v>11469</v>
      </c>
      <c r="D448" s="684">
        <v>61</v>
      </c>
      <c r="F448" s="699">
        <v>991215443</v>
      </c>
      <c r="G448" s="689">
        <v>703799</v>
      </c>
      <c r="H448" s="557" t="s">
        <v>11470</v>
      </c>
      <c r="J448" s="558" t="s">
        <v>10735</v>
      </c>
      <c r="M448" s="694">
        <v>703799</v>
      </c>
      <c r="N448" s="394" t="s">
        <v>11471</v>
      </c>
    </row>
    <row r="449" spans="1:16">
      <c r="A449" s="556" t="s">
        <v>11472</v>
      </c>
      <c r="B449" s="394" t="s">
        <v>11473</v>
      </c>
      <c r="C449" s="683" t="s">
        <v>11474</v>
      </c>
      <c r="D449" s="684">
        <v>61</v>
      </c>
      <c r="E449" s="699">
        <v>41035253</v>
      </c>
      <c r="G449" s="689">
        <v>704045</v>
      </c>
      <c r="H449" s="557" t="s">
        <v>11475</v>
      </c>
      <c r="J449" s="558" t="s">
        <v>10735</v>
      </c>
      <c r="M449" s="694">
        <v>704045</v>
      </c>
      <c r="N449" s="394" t="s">
        <v>5939</v>
      </c>
    </row>
    <row r="450" spans="1:16">
      <c r="A450" s="556" t="s">
        <v>11476</v>
      </c>
      <c r="B450" s="394" t="s">
        <v>2284</v>
      </c>
      <c r="C450" s="683" t="s">
        <v>1300</v>
      </c>
      <c r="D450" s="684">
        <v>62</v>
      </c>
      <c r="E450" s="699">
        <v>30154100</v>
      </c>
      <c r="G450" s="689">
        <v>701431</v>
      </c>
      <c r="H450" s="557" t="s">
        <v>2285</v>
      </c>
      <c r="I450" s="557" t="s">
        <v>2350</v>
      </c>
      <c r="J450" s="558">
        <v>237</v>
      </c>
      <c r="K450" s="558" t="s">
        <v>2470</v>
      </c>
      <c r="L450" s="558" t="s">
        <v>2471</v>
      </c>
      <c r="M450" s="694">
        <v>701431</v>
      </c>
      <c r="N450" s="394" t="s">
        <v>1146</v>
      </c>
    </row>
    <row r="451" spans="1:16">
      <c r="A451" s="556" t="s">
        <v>11477</v>
      </c>
      <c r="B451" s="394" t="s">
        <v>2286</v>
      </c>
      <c r="C451" s="683" t="s">
        <v>1484</v>
      </c>
      <c r="D451" s="684">
        <v>61</v>
      </c>
      <c r="E451" s="699">
        <v>32343737</v>
      </c>
      <c r="G451" s="689">
        <v>607</v>
      </c>
      <c r="H451" s="557" t="s">
        <v>2287</v>
      </c>
      <c r="J451" s="558" t="s">
        <v>10735</v>
      </c>
      <c r="M451" s="694">
        <v>607</v>
      </c>
      <c r="N451" s="394" t="s">
        <v>1307</v>
      </c>
    </row>
    <row r="452" spans="1:16">
      <c r="A452" s="556" t="s">
        <v>11478</v>
      </c>
      <c r="B452" s="394" t="s">
        <v>11479</v>
      </c>
      <c r="C452" s="683" t="s">
        <v>11480</v>
      </c>
      <c r="D452" s="684">
        <v>11</v>
      </c>
      <c r="E452" s="699">
        <v>55862067</v>
      </c>
      <c r="F452" s="699">
        <v>992412943</v>
      </c>
      <c r="G452" s="689">
        <v>76</v>
      </c>
      <c r="H452" s="557" t="s">
        <v>11481</v>
      </c>
      <c r="I452" s="557" t="s">
        <v>2320</v>
      </c>
      <c r="J452" s="558" t="s">
        <v>3043</v>
      </c>
      <c r="K452" s="558" t="s">
        <v>6664</v>
      </c>
      <c r="L452" s="558" t="s">
        <v>6665</v>
      </c>
      <c r="M452" s="694">
        <v>76</v>
      </c>
      <c r="N452" s="394" t="s">
        <v>11482</v>
      </c>
      <c r="O452" s="394" t="s">
        <v>11483</v>
      </c>
      <c r="P452" s="394" t="s">
        <v>11484</v>
      </c>
    </row>
    <row r="453" spans="1:16">
      <c r="A453" s="556" t="s">
        <v>11485</v>
      </c>
      <c r="B453" s="394" t="s">
        <v>11486</v>
      </c>
      <c r="C453" s="683" t="s">
        <v>5753</v>
      </c>
      <c r="D453" s="684">
        <v>11</v>
      </c>
      <c r="E453" s="699">
        <v>55862067</v>
      </c>
      <c r="G453" s="689">
        <v>702665</v>
      </c>
      <c r="H453" s="557" t="s">
        <v>6663</v>
      </c>
      <c r="I453" s="557" t="s">
        <v>2320</v>
      </c>
      <c r="J453" s="558" t="s">
        <v>3043</v>
      </c>
      <c r="K453" s="558" t="s">
        <v>6664</v>
      </c>
      <c r="L453" s="558" t="s">
        <v>6665</v>
      </c>
      <c r="M453" s="694">
        <v>702665</v>
      </c>
      <c r="N453" s="394" t="s">
        <v>11487</v>
      </c>
      <c r="O453" s="394" t="s">
        <v>11483</v>
      </c>
      <c r="P453" s="394" t="s">
        <v>11488</v>
      </c>
    </row>
    <row r="454" spans="1:16">
      <c r="A454" s="556" t="s">
        <v>11489</v>
      </c>
      <c r="B454" s="394" t="s">
        <v>6652</v>
      </c>
      <c r="C454" s="683" t="s">
        <v>6653</v>
      </c>
      <c r="D454" s="684">
        <v>61</v>
      </c>
      <c r="F454" s="699">
        <v>992769213</v>
      </c>
      <c r="G454" s="689">
        <v>703633</v>
      </c>
      <c r="H454" s="557" t="s">
        <v>6654</v>
      </c>
      <c r="I454" s="557" t="s">
        <v>2335</v>
      </c>
      <c r="J454" s="558">
        <v>341</v>
      </c>
      <c r="K454" s="558" t="s">
        <v>6655</v>
      </c>
      <c r="L454" s="558" t="s">
        <v>6656</v>
      </c>
      <c r="M454" s="694">
        <v>703633</v>
      </c>
      <c r="N454" s="394" t="s">
        <v>6657</v>
      </c>
    </row>
    <row r="455" spans="1:16">
      <c r="A455" s="556" t="s">
        <v>11490</v>
      </c>
      <c r="B455" s="394" t="s">
        <v>2288</v>
      </c>
      <c r="C455" s="683" t="s">
        <v>1293</v>
      </c>
      <c r="D455" s="684">
        <v>11</v>
      </c>
      <c r="E455" s="699">
        <v>36222250</v>
      </c>
      <c r="G455" s="689">
        <v>2311</v>
      </c>
      <c r="H455" s="557" t="s">
        <v>2289</v>
      </c>
      <c r="I455" s="557" t="s">
        <v>2320</v>
      </c>
      <c r="J455" s="558" t="s">
        <v>3043</v>
      </c>
      <c r="K455" s="558" t="s">
        <v>2525</v>
      </c>
      <c r="L455" s="558" t="s">
        <v>2526</v>
      </c>
      <c r="M455" s="694">
        <v>2311</v>
      </c>
      <c r="N455" s="394" t="s">
        <v>1292</v>
      </c>
    </row>
    <row r="456" spans="1:16">
      <c r="A456" s="556" t="s">
        <v>11491</v>
      </c>
      <c r="B456" s="394" t="s">
        <v>2290</v>
      </c>
      <c r="C456" s="683" t="s">
        <v>1082</v>
      </c>
      <c r="D456" s="684">
        <v>61</v>
      </c>
      <c r="E456" s="699">
        <v>39673003</v>
      </c>
      <c r="F456" s="699">
        <v>92235322</v>
      </c>
      <c r="G456" s="689">
        <v>702343</v>
      </c>
      <c r="H456" s="557" t="s">
        <v>2291</v>
      </c>
      <c r="I456" s="557" t="s">
        <v>2329</v>
      </c>
      <c r="J456" s="558">
        <v>104</v>
      </c>
      <c r="K456" s="558" t="s">
        <v>2467</v>
      </c>
      <c r="L456" s="558" t="s">
        <v>2468</v>
      </c>
      <c r="M456" s="694">
        <v>702343</v>
      </c>
      <c r="N456" s="394" t="s">
        <v>2552</v>
      </c>
    </row>
    <row r="457" spans="1:16">
      <c r="A457" s="556" t="s">
        <v>7472</v>
      </c>
      <c r="B457" s="394" t="s">
        <v>4093</v>
      </c>
      <c r="C457" s="683" t="s">
        <v>4094</v>
      </c>
      <c r="D457" s="684">
        <v>31</v>
      </c>
      <c r="E457" s="699">
        <v>31466606</v>
      </c>
      <c r="H457" s="557" t="s">
        <v>4190</v>
      </c>
      <c r="I457" s="557" t="s">
        <v>2404</v>
      </c>
      <c r="J457" s="558" t="s">
        <v>3043</v>
      </c>
      <c r="K457" s="558" t="s">
        <v>4191</v>
      </c>
      <c r="L457" s="558" t="s">
        <v>4192</v>
      </c>
      <c r="M457" s="694">
        <v>703207</v>
      </c>
      <c r="N457" s="394" t="s">
        <v>3620</v>
      </c>
      <c r="P457" s="394" t="s">
        <v>11492</v>
      </c>
    </row>
    <row r="458" spans="1:16">
      <c r="A458" s="556" t="s">
        <v>11493</v>
      </c>
      <c r="B458" s="394" t="s">
        <v>2292</v>
      </c>
      <c r="C458" s="683" t="s">
        <v>675</v>
      </c>
      <c r="D458" s="684">
        <v>61</v>
      </c>
      <c r="E458" s="699">
        <v>33637474</v>
      </c>
      <c r="G458" s="689">
        <v>969081</v>
      </c>
      <c r="H458" s="557" t="s">
        <v>2293</v>
      </c>
      <c r="J458" s="558" t="s">
        <v>10735</v>
      </c>
      <c r="M458" s="694">
        <v>969081</v>
      </c>
      <c r="N458" s="394" t="s">
        <v>579</v>
      </c>
    </row>
    <row r="459" spans="1:16">
      <c r="A459" s="556" t="s">
        <v>7284</v>
      </c>
      <c r="B459" s="394" t="s">
        <v>11494</v>
      </c>
      <c r="C459" s="683" t="s">
        <v>1780</v>
      </c>
      <c r="D459" s="684">
        <v>61</v>
      </c>
      <c r="E459" s="699">
        <v>35850503</v>
      </c>
      <c r="G459" s="689">
        <v>701448</v>
      </c>
      <c r="H459" s="557" t="s">
        <v>2886</v>
      </c>
      <c r="I459" s="557" t="s">
        <v>2350</v>
      </c>
      <c r="J459" s="558">
        <v>237</v>
      </c>
      <c r="K459" s="558" t="s">
        <v>4274</v>
      </c>
      <c r="L459" s="558" t="s">
        <v>4275</v>
      </c>
      <c r="M459" s="694">
        <v>701448</v>
      </c>
      <c r="N459" s="394" t="s">
        <v>1261</v>
      </c>
    </row>
    <row r="460" spans="1:16">
      <c r="A460" s="556" t="s">
        <v>11495</v>
      </c>
      <c r="B460" s="394" t="s">
        <v>2294</v>
      </c>
      <c r="C460" s="683" t="s">
        <v>1538</v>
      </c>
      <c r="D460" s="684">
        <v>62</v>
      </c>
      <c r="E460" s="699">
        <v>39995100</v>
      </c>
      <c r="G460" s="689">
        <v>700676</v>
      </c>
      <c r="H460" s="557" t="s">
        <v>2295</v>
      </c>
      <c r="I460" s="557" t="s">
        <v>2320</v>
      </c>
      <c r="J460" s="558" t="s">
        <v>3043</v>
      </c>
      <c r="K460" s="558" t="s">
        <v>2429</v>
      </c>
      <c r="L460" s="558" t="s">
        <v>2430</v>
      </c>
      <c r="M460" s="694">
        <v>700676</v>
      </c>
      <c r="N460" s="394" t="s">
        <v>1537</v>
      </c>
    </row>
    <row r="461" spans="1:16">
      <c r="A461" s="556" t="s">
        <v>11496</v>
      </c>
      <c r="B461" s="394" t="s">
        <v>2297</v>
      </c>
      <c r="C461" s="683" t="s">
        <v>1453</v>
      </c>
      <c r="D461" s="684">
        <v>61</v>
      </c>
      <c r="E461" s="699">
        <v>32258514</v>
      </c>
      <c r="G461" s="689">
        <v>700713</v>
      </c>
      <c r="H461" s="557" t="s">
        <v>2298</v>
      </c>
      <c r="I461" s="557" t="s">
        <v>2320</v>
      </c>
      <c r="J461" s="558" t="s">
        <v>3043</v>
      </c>
      <c r="K461" s="558" t="s">
        <v>2381</v>
      </c>
      <c r="L461" s="558" t="s">
        <v>2448</v>
      </c>
      <c r="M461" s="694">
        <v>700713</v>
      </c>
      <c r="N461" s="394" t="s">
        <v>2296</v>
      </c>
    </row>
    <row r="462" spans="1:16">
      <c r="A462" s="556" t="s">
        <v>11497</v>
      </c>
      <c r="B462" s="394" t="s">
        <v>6800</v>
      </c>
      <c r="C462" s="683" t="s">
        <v>5885</v>
      </c>
      <c r="D462" s="684">
        <v>62</v>
      </c>
      <c r="E462" s="699">
        <v>35810361</v>
      </c>
      <c r="G462" s="689">
        <v>702891</v>
      </c>
      <c r="H462" s="557" t="s">
        <v>6801</v>
      </c>
      <c r="I462" s="557" t="s">
        <v>2335</v>
      </c>
      <c r="J462" s="558">
        <v>341</v>
      </c>
      <c r="K462" s="558" t="s">
        <v>6811</v>
      </c>
      <c r="L462" s="558" t="s">
        <v>6812</v>
      </c>
      <c r="M462" s="694">
        <v>702891</v>
      </c>
      <c r="N462" s="394" t="s">
        <v>6802</v>
      </c>
    </row>
    <row r="463" spans="1:16">
      <c r="A463" s="556" t="s">
        <v>11498</v>
      </c>
      <c r="B463" s="394" t="s">
        <v>11499</v>
      </c>
      <c r="C463" s="683" t="s">
        <v>701</v>
      </c>
      <c r="D463" s="684">
        <v>62</v>
      </c>
      <c r="E463" s="699">
        <v>35821008</v>
      </c>
      <c r="F463" s="699">
        <v>985578682</v>
      </c>
      <c r="G463" s="689">
        <v>702980</v>
      </c>
      <c r="H463" s="557" t="s">
        <v>3963</v>
      </c>
      <c r="I463" s="557" t="s">
        <v>2320</v>
      </c>
      <c r="J463" s="558" t="s">
        <v>3043</v>
      </c>
      <c r="K463" s="558" t="s">
        <v>4107</v>
      </c>
      <c r="L463" s="558" t="s">
        <v>4108</v>
      </c>
      <c r="M463" s="694">
        <v>702980</v>
      </c>
      <c r="N463" s="394" t="s">
        <v>3962</v>
      </c>
    </row>
    <row r="464" spans="1:16">
      <c r="A464" s="556" t="s">
        <v>4465</v>
      </c>
      <c r="B464" s="394" t="s">
        <v>4419</v>
      </c>
      <c r="C464" s="683" t="s">
        <v>4420</v>
      </c>
      <c r="D464" s="684">
        <v>61</v>
      </c>
      <c r="E464" s="699">
        <v>37020011</v>
      </c>
      <c r="F464" s="699">
        <v>999474165</v>
      </c>
      <c r="G464" s="689">
        <v>702957</v>
      </c>
      <c r="H464" s="557" t="s">
        <v>4421</v>
      </c>
      <c r="I464" s="557" t="s">
        <v>2320</v>
      </c>
      <c r="J464" s="558" t="s">
        <v>3043</v>
      </c>
      <c r="K464" s="558" t="s">
        <v>4468</v>
      </c>
      <c r="L464" s="558" t="s">
        <v>4469</v>
      </c>
      <c r="M464" s="694">
        <v>702957</v>
      </c>
      <c r="N464" s="394" t="s">
        <v>4422</v>
      </c>
    </row>
    <row r="465" spans="1:16">
      <c r="A465" s="556" t="s">
        <v>11500</v>
      </c>
      <c r="B465" s="394" t="s">
        <v>4095</v>
      </c>
      <c r="C465" s="683" t="s">
        <v>4096</v>
      </c>
      <c r="D465" s="684">
        <v>31</v>
      </c>
      <c r="E465" s="699">
        <v>33710400</v>
      </c>
      <c r="G465" s="689">
        <v>703371</v>
      </c>
      <c r="H465" s="557" t="s">
        <v>4097</v>
      </c>
      <c r="I465" s="557" t="s">
        <v>2320</v>
      </c>
      <c r="J465" s="558" t="s">
        <v>3043</v>
      </c>
      <c r="K465" s="558" t="s">
        <v>4098</v>
      </c>
      <c r="L465" s="558" t="s">
        <v>4099</v>
      </c>
      <c r="M465" s="694">
        <v>703371</v>
      </c>
      <c r="N465" s="394" t="s">
        <v>4100</v>
      </c>
    </row>
    <row r="466" spans="1:16">
      <c r="A466" s="556" t="s">
        <v>11501</v>
      </c>
      <c r="B466" s="394" t="s">
        <v>2300</v>
      </c>
      <c r="C466" s="683" t="s">
        <v>2904</v>
      </c>
      <c r="D466" s="684">
        <v>62</v>
      </c>
      <c r="E466" s="699">
        <v>39967314</v>
      </c>
      <c r="G466" s="689">
        <v>6500</v>
      </c>
      <c r="H466" s="557" t="s">
        <v>2301</v>
      </c>
      <c r="I466" s="557" t="s">
        <v>2320</v>
      </c>
      <c r="J466" s="558" t="s">
        <v>3043</v>
      </c>
      <c r="K466" s="558" t="s">
        <v>2410</v>
      </c>
      <c r="L466" s="558" t="s">
        <v>2411</v>
      </c>
      <c r="M466" s="694">
        <v>6500</v>
      </c>
      <c r="N466" s="394" t="s">
        <v>2299</v>
      </c>
    </row>
    <row r="467" spans="1:16">
      <c r="A467" s="556" t="s">
        <v>11502</v>
      </c>
      <c r="B467" s="394" t="s">
        <v>11503</v>
      </c>
      <c r="C467" s="683" t="s">
        <v>11504</v>
      </c>
      <c r="D467" s="684">
        <v>16</v>
      </c>
      <c r="E467" s="699">
        <v>39312900</v>
      </c>
      <c r="G467" s="689">
        <v>702684</v>
      </c>
      <c r="H467" s="557" t="s">
        <v>11505</v>
      </c>
      <c r="J467" s="558" t="s">
        <v>10735</v>
      </c>
      <c r="M467" s="694">
        <v>702684</v>
      </c>
      <c r="N467" s="394" t="s">
        <v>5903</v>
      </c>
    </row>
    <row r="468" spans="1:16">
      <c r="A468" s="556" t="s">
        <v>11506</v>
      </c>
      <c r="B468" s="394" t="s">
        <v>2303</v>
      </c>
      <c r="C468" s="683" t="s">
        <v>893</v>
      </c>
      <c r="D468" s="684">
        <v>62</v>
      </c>
      <c r="E468" s="699">
        <v>32855151</v>
      </c>
      <c r="G468" s="689">
        <v>1661</v>
      </c>
      <c r="H468" s="557" t="s">
        <v>2304</v>
      </c>
      <c r="J468" s="558" t="s">
        <v>10735</v>
      </c>
      <c r="M468" s="694">
        <v>1661</v>
      </c>
      <c r="N468" s="394" t="s">
        <v>2302</v>
      </c>
    </row>
    <row r="469" spans="1:16">
      <c r="A469" s="556" t="s">
        <v>11507</v>
      </c>
      <c r="B469" s="394" t="s">
        <v>2305</v>
      </c>
      <c r="C469" s="683" t="s">
        <v>893</v>
      </c>
      <c r="D469" s="684">
        <v>62</v>
      </c>
      <c r="E469" s="699">
        <v>36365877</v>
      </c>
      <c r="G469" s="689">
        <v>702843</v>
      </c>
      <c r="H469" s="557" t="s">
        <v>2306</v>
      </c>
      <c r="I469" s="557" t="s">
        <v>2320</v>
      </c>
      <c r="J469" s="558" t="s">
        <v>3043</v>
      </c>
      <c r="K469" s="558" t="s">
        <v>2489</v>
      </c>
      <c r="L469" s="558" t="s">
        <v>2490</v>
      </c>
      <c r="M469" s="694">
        <v>702843</v>
      </c>
      <c r="N469" s="394" t="s">
        <v>1544</v>
      </c>
    </row>
    <row r="470" spans="1:16">
      <c r="A470" s="556" t="s">
        <v>11508</v>
      </c>
      <c r="B470" s="394" t="s">
        <v>2307</v>
      </c>
      <c r="C470" s="683" t="s">
        <v>1339</v>
      </c>
      <c r="D470" s="684">
        <v>61</v>
      </c>
      <c r="E470" s="699">
        <v>33513322</v>
      </c>
      <c r="G470" s="689">
        <v>701565</v>
      </c>
      <c r="H470" s="557" t="s">
        <v>2308</v>
      </c>
      <c r="I470" s="557" t="s">
        <v>2320</v>
      </c>
      <c r="J470" s="558" t="s">
        <v>3043</v>
      </c>
      <c r="K470" s="558" t="s">
        <v>2369</v>
      </c>
      <c r="L470" s="558" t="s">
        <v>2370</v>
      </c>
      <c r="M470" s="694">
        <v>701565</v>
      </c>
      <c r="N470" s="394" t="s">
        <v>1338</v>
      </c>
    </row>
    <row r="471" spans="1:16">
      <c r="A471" s="556" t="s">
        <v>11509</v>
      </c>
      <c r="B471" s="394" t="s">
        <v>4101</v>
      </c>
      <c r="D471" s="684">
        <v>61</v>
      </c>
      <c r="E471" s="699">
        <v>34841313</v>
      </c>
      <c r="G471" s="689">
        <v>703194</v>
      </c>
      <c r="H471" s="557" t="s">
        <v>4102</v>
      </c>
      <c r="J471" s="558" t="s">
        <v>10735</v>
      </c>
      <c r="M471" s="694">
        <v>703194</v>
      </c>
      <c r="N471" s="394" t="s">
        <v>4103</v>
      </c>
    </row>
    <row r="472" spans="1:16">
      <c r="A472" s="556" t="s">
        <v>4359</v>
      </c>
      <c r="B472" s="394" t="s">
        <v>2309</v>
      </c>
      <c r="C472" s="683" t="s">
        <v>1608</v>
      </c>
      <c r="D472" s="684">
        <v>46</v>
      </c>
      <c r="E472" s="699">
        <v>32115000</v>
      </c>
      <c r="G472" s="689">
        <v>700722</v>
      </c>
      <c r="H472" s="557" t="s">
        <v>2310</v>
      </c>
      <c r="I472" s="557" t="s">
        <v>2320</v>
      </c>
      <c r="J472" s="558" t="s">
        <v>3043</v>
      </c>
      <c r="K472" s="558" t="s">
        <v>2548</v>
      </c>
      <c r="L472" s="558" t="s">
        <v>2549</v>
      </c>
      <c r="M472" s="694">
        <v>700722</v>
      </c>
      <c r="N472" s="394" t="s">
        <v>1607</v>
      </c>
    </row>
    <row r="473" spans="1:16">
      <c r="A473" s="556" t="s">
        <v>7336</v>
      </c>
      <c r="B473" s="394" t="s">
        <v>2311</v>
      </c>
      <c r="C473" s="683" t="s">
        <v>1301</v>
      </c>
      <c r="D473" s="684">
        <v>61</v>
      </c>
      <c r="E473" s="699">
        <v>34356750</v>
      </c>
      <c r="G473" s="689">
        <v>3979</v>
      </c>
      <c r="H473" s="557" t="s">
        <v>2312</v>
      </c>
      <c r="I473" s="557" t="s">
        <v>3044</v>
      </c>
      <c r="J473" s="558">
        <v>341</v>
      </c>
      <c r="K473" s="558" t="s">
        <v>2994</v>
      </c>
      <c r="L473" s="558" t="s">
        <v>2995</v>
      </c>
      <c r="M473" s="694">
        <v>3979</v>
      </c>
      <c r="N473" s="394" t="s">
        <v>574</v>
      </c>
    </row>
    <row r="474" spans="1:16">
      <c r="A474" s="556" t="s">
        <v>11510</v>
      </c>
      <c r="B474" s="394" t="s">
        <v>11511</v>
      </c>
      <c r="C474" s="683" t="s">
        <v>11512</v>
      </c>
      <c r="D474" s="684">
        <v>62</v>
      </c>
      <c r="F474" s="699">
        <v>985290848</v>
      </c>
      <c r="G474" s="689">
        <v>704192</v>
      </c>
      <c r="H474" s="557" t="s">
        <v>11513</v>
      </c>
      <c r="I474" s="557" t="s">
        <v>2320</v>
      </c>
      <c r="J474" s="558" t="s">
        <v>3043</v>
      </c>
      <c r="K474" s="558" t="s">
        <v>11514</v>
      </c>
      <c r="L474" s="558" t="s">
        <v>11515</v>
      </c>
      <c r="M474" s="694">
        <v>704192</v>
      </c>
      <c r="N474" s="394" t="s">
        <v>11516</v>
      </c>
      <c r="P474" s="394" t="s">
        <v>11517</v>
      </c>
    </row>
    <row r="475" spans="1:16">
      <c r="A475" s="556" t="s">
        <v>11518</v>
      </c>
      <c r="B475" s="394" t="s">
        <v>2313</v>
      </c>
      <c r="C475" s="683" t="s">
        <v>1414</v>
      </c>
      <c r="D475" s="684">
        <v>61</v>
      </c>
      <c r="E475" s="699">
        <v>33615500</v>
      </c>
      <c r="G475" s="689">
        <v>701290</v>
      </c>
      <c r="H475" s="557" t="s">
        <v>2314</v>
      </c>
      <c r="J475" s="558" t="s">
        <v>10735</v>
      </c>
      <c r="M475" s="694">
        <v>701290</v>
      </c>
      <c r="N475" s="394" t="s">
        <v>1413</v>
      </c>
    </row>
    <row r="476" spans="1:16">
      <c r="A476" s="556" t="s">
        <v>11519</v>
      </c>
      <c r="B476" s="394" t="s">
        <v>2315</v>
      </c>
      <c r="C476" s="683" t="s">
        <v>1330</v>
      </c>
      <c r="D476" s="684">
        <v>61</v>
      </c>
      <c r="E476" s="699">
        <v>33011084</v>
      </c>
      <c r="F476" s="699">
        <v>999726746</v>
      </c>
      <c r="G476" s="689">
        <v>701717</v>
      </c>
      <c r="H476" s="557" t="s">
        <v>2316</v>
      </c>
      <c r="I476" s="557" t="s">
        <v>2329</v>
      </c>
      <c r="J476" s="558">
        <v>104</v>
      </c>
      <c r="K476" s="558" t="s">
        <v>2407</v>
      </c>
      <c r="L476" s="558">
        <v>53124</v>
      </c>
      <c r="M476" s="694">
        <v>701717</v>
      </c>
      <c r="N476" s="394" t="s">
        <v>1313</v>
      </c>
      <c r="P476" s="394">
        <v>2</v>
      </c>
    </row>
    <row r="477" spans="1:16">
      <c r="A477" s="556" t="s">
        <v>11520</v>
      </c>
      <c r="B477" s="394" t="s">
        <v>11521</v>
      </c>
      <c r="C477" s="683" t="s">
        <v>11522</v>
      </c>
      <c r="D477" s="684" t="s">
        <v>5888</v>
      </c>
      <c r="G477" s="689">
        <v>704327</v>
      </c>
      <c r="H477" s="557" t="s">
        <v>11523</v>
      </c>
      <c r="J477" s="558" t="s">
        <v>10735</v>
      </c>
      <c r="M477" s="694">
        <v>704327</v>
      </c>
      <c r="N477" s="394" t="s">
        <v>11524</v>
      </c>
    </row>
    <row r="478" spans="1:16">
      <c r="D478" s="684" t="s">
        <v>5888</v>
      </c>
      <c r="J478" s="558" t="s">
        <v>10735</v>
      </c>
    </row>
    <row r="479" spans="1:16">
      <c r="D479" s="684" t="s">
        <v>5888</v>
      </c>
      <c r="J479" s="558" t="s">
        <v>10735</v>
      </c>
    </row>
    <row r="480" spans="1:16">
      <c r="D480" s="684" t="s">
        <v>5888</v>
      </c>
      <c r="J480" s="558" t="s">
        <v>10735</v>
      </c>
    </row>
    <row r="481" spans="4:10">
      <c r="D481" s="684" t="s">
        <v>5888</v>
      </c>
      <c r="J481" s="558" t="s">
        <v>10735</v>
      </c>
    </row>
    <row r="482" spans="4:10">
      <c r="D482" s="684" t="s">
        <v>5888</v>
      </c>
      <c r="J482" s="558" t="s">
        <v>10735</v>
      </c>
    </row>
  </sheetData>
  <autoFilter ref="A1:Q482"/>
  <sortState ref="A2:L328">
    <sortCondition ref="A319"/>
  </sortState>
  <conditionalFormatting sqref="H382:H389 H278:H287 H257:H275 H1:H9 H22 H254:H255 H158:H165 H29:H34 H155:H156 H24:H26 H167:H175 H146:H153 H79:H82 H143:H144 H251 H249 H37:H42 H16:H20 H64:H69 H95:H100 H126:H129 H102:H105 H289:H298 H131:H141 H123:H124 H44:H61 H84 H392:H415 H418:H1048576 G416:G417 H203:H213 H360:H362 H364:H380 H241:H243 H232 H107:H113 H245:H247 H220:H227 H92:H93 H300:H310 H321:H356 H86:H90 H177:H201 H312:H318 H115:H121 H71:H77">
    <cfRule type="duplicateValues" dxfId="99" priority="113"/>
  </conditionalFormatting>
  <conditionalFormatting sqref="H21">
    <cfRule type="duplicateValues" dxfId="98" priority="112"/>
  </conditionalFormatting>
  <conditionalFormatting sqref="H253">
    <cfRule type="duplicateValues" dxfId="97" priority="111"/>
  </conditionalFormatting>
  <conditionalFormatting sqref="H157">
    <cfRule type="duplicateValues" dxfId="96" priority="110"/>
  </conditionalFormatting>
  <conditionalFormatting sqref="H276">
    <cfRule type="duplicateValues" dxfId="95" priority="109"/>
  </conditionalFormatting>
  <conditionalFormatting sqref="H277">
    <cfRule type="duplicateValues" dxfId="94" priority="108"/>
  </conditionalFormatting>
  <conditionalFormatting sqref="H27">
    <cfRule type="duplicateValues" dxfId="93" priority="107"/>
  </conditionalFormatting>
  <conditionalFormatting sqref="H154">
    <cfRule type="duplicateValues" dxfId="92" priority="106"/>
  </conditionalFormatting>
  <conditionalFormatting sqref="H23">
    <cfRule type="duplicateValues" dxfId="91" priority="105"/>
  </conditionalFormatting>
  <conditionalFormatting sqref="L382:L389 L251 L167:L175 L1:L9 L146:L165 L79:L82 L29:L34 L143:L144 L249 L37:L42 L16:L27 L64:L69 L95:L100 L126:L129 L102:L105 L289:L298 L131:L141 L123:L124 L44:L61 L84 L392:L415 L418:L1048576 K416:K417 L203:L213 L360:L362 L364:L380 L242:L243 L232 L107:L113 L245:L247 L220:L227 L92:L93 L300:L301 L303:L310 L321:L356 L86:L90 L177:L201 L312:L318 L253:L287 L115:L121 L71:L77">
    <cfRule type="duplicateValues" dxfId="90" priority="104"/>
  </conditionalFormatting>
  <conditionalFormatting sqref="H166">
    <cfRule type="duplicateValues" dxfId="89" priority="103"/>
  </conditionalFormatting>
  <conditionalFormatting sqref="H10">
    <cfRule type="duplicateValues" dxfId="88" priority="102"/>
  </conditionalFormatting>
  <conditionalFormatting sqref="H145">
    <cfRule type="duplicateValues" dxfId="87" priority="101"/>
  </conditionalFormatting>
  <conditionalFormatting sqref="L145">
    <cfRule type="duplicateValues" dxfId="86" priority="100"/>
  </conditionalFormatting>
  <conditionalFormatting sqref="H78">
    <cfRule type="duplicateValues" dxfId="85" priority="99"/>
  </conditionalFormatting>
  <conditionalFormatting sqref="L78">
    <cfRule type="duplicateValues" dxfId="84" priority="98"/>
  </conditionalFormatting>
  <conditionalFormatting sqref="H28">
    <cfRule type="duplicateValues" dxfId="83" priority="97"/>
  </conditionalFormatting>
  <conditionalFormatting sqref="L28">
    <cfRule type="duplicateValues" dxfId="82" priority="96"/>
  </conditionalFormatting>
  <conditionalFormatting sqref="H142">
    <cfRule type="duplicateValues" dxfId="81" priority="95"/>
  </conditionalFormatting>
  <conditionalFormatting sqref="L142">
    <cfRule type="duplicateValues" dxfId="80" priority="94"/>
  </conditionalFormatting>
  <conditionalFormatting sqref="H250">
    <cfRule type="duplicateValues" dxfId="79" priority="93"/>
  </conditionalFormatting>
  <conditionalFormatting sqref="L250">
    <cfRule type="duplicateValues" dxfId="78" priority="92"/>
  </conditionalFormatting>
  <conditionalFormatting sqref="H248">
    <cfRule type="duplicateValues" dxfId="77" priority="91"/>
  </conditionalFormatting>
  <conditionalFormatting sqref="H35">
    <cfRule type="duplicateValues" dxfId="76" priority="90"/>
  </conditionalFormatting>
  <conditionalFormatting sqref="L35">
    <cfRule type="duplicateValues" dxfId="75" priority="89"/>
  </conditionalFormatting>
  <conditionalFormatting sqref="H36">
    <cfRule type="duplicateValues" dxfId="74" priority="88"/>
  </conditionalFormatting>
  <conditionalFormatting sqref="L36">
    <cfRule type="duplicateValues" dxfId="73" priority="87"/>
  </conditionalFormatting>
  <conditionalFormatting sqref="H391">
    <cfRule type="duplicateValues" dxfId="72" priority="86"/>
  </conditionalFormatting>
  <conditionalFormatting sqref="L391">
    <cfRule type="duplicateValues" dxfId="71" priority="85"/>
  </conditionalFormatting>
  <conditionalFormatting sqref="H390">
    <cfRule type="duplicateValues" dxfId="70" priority="84"/>
  </conditionalFormatting>
  <conditionalFormatting sqref="L390">
    <cfRule type="duplicateValues" dxfId="69" priority="83"/>
  </conditionalFormatting>
  <conditionalFormatting sqref="H15">
    <cfRule type="duplicateValues" dxfId="68" priority="82"/>
  </conditionalFormatting>
  <conditionalFormatting sqref="L15">
    <cfRule type="duplicateValues" dxfId="67" priority="81"/>
  </conditionalFormatting>
  <conditionalFormatting sqref="H62:H63">
    <cfRule type="duplicateValues" dxfId="66" priority="80"/>
  </conditionalFormatting>
  <conditionalFormatting sqref="L62:L63">
    <cfRule type="duplicateValues" dxfId="65" priority="79"/>
  </conditionalFormatting>
  <conditionalFormatting sqref="H94">
    <cfRule type="duplicateValues" dxfId="64" priority="78"/>
  </conditionalFormatting>
  <conditionalFormatting sqref="L94">
    <cfRule type="duplicateValues" dxfId="63" priority="77"/>
  </conditionalFormatting>
  <conditionalFormatting sqref="H125">
    <cfRule type="duplicateValues" dxfId="62" priority="76"/>
  </conditionalFormatting>
  <conditionalFormatting sqref="L125">
    <cfRule type="duplicateValues" dxfId="61" priority="75"/>
  </conditionalFormatting>
  <conditionalFormatting sqref="H101">
    <cfRule type="duplicateValues" dxfId="60" priority="74"/>
  </conditionalFormatting>
  <conditionalFormatting sqref="L101">
    <cfRule type="duplicateValues" dxfId="59" priority="73"/>
  </conditionalFormatting>
  <conditionalFormatting sqref="H202">
    <cfRule type="duplicateValues" dxfId="58" priority="72"/>
  </conditionalFormatting>
  <conditionalFormatting sqref="L202">
    <cfRule type="duplicateValues" dxfId="57" priority="71"/>
  </conditionalFormatting>
  <conditionalFormatting sqref="H288">
    <cfRule type="duplicateValues" dxfId="56" priority="70"/>
  </conditionalFormatting>
  <conditionalFormatting sqref="L288">
    <cfRule type="duplicateValues" dxfId="55" priority="69"/>
  </conditionalFormatting>
  <conditionalFormatting sqref="H130">
    <cfRule type="duplicateValues" dxfId="54" priority="68"/>
  </conditionalFormatting>
  <conditionalFormatting sqref="L130">
    <cfRule type="duplicateValues" dxfId="53" priority="67"/>
  </conditionalFormatting>
  <conditionalFormatting sqref="H122">
    <cfRule type="duplicateValues" dxfId="52" priority="66"/>
  </conditionalFormatting>
  <conditionalFormatting sqref="L122">
    <cfRule type="duplicateValues" dxfId="51" priority="65"/>
  </conditionalFormatting>
  <conditionalFormatting sqref="H381">
    <cfRule type="duplicateValues" dxfId="50" priority="64"/>
  </conditionalFormatting>
  <conditionalFormatting sqref="L381">
    <cfRule type="duplicateValues" dxfId="49" priority="63"/>
  </conditionalFormatting>
  <conditionalFormatting sqref="H43">
    <cfRule type="duplicateValues" dxfId="48" priority="62"/>
  </conditionalFormatting>
  <conditionalFormatting sqref="L43">
    <cfRule type="duplicateValues" dxfId="47" priority="61"/>
  </conditionalFormatting>
  <conditionalFormatting sqref="H83">
    <cfRule type="duplicateValues" dxfId="46" priority="60"/>
  </conditionalFormatting>
  <conditionalFormatting sqref="L83">
    <cfRule type="duplicateValues" dxfId="45" priority="59"/>
  </conditionalFormatting>
  <conditionalFormatting sqref="H357:H359">
    <cfRule type="duplicateValues" dxfId="44" priority="52"/>
  </conditionalFormatting>
  <conditionalFormatting sqref="L357:L359">
    <cfRule type="duplicateValues" dxfId="43" priority="51"/>
  </conditionalFormatting>
  <conditionalFormatting sqref="H363">
    <cfRule type="duplicateValues" dxfId="42" priority="50"/>
  </conditionalFormatting>
  <conditionalFormatting sqref="L363">
    <cfRule type="duplicateValues" dxfId="41" priority="49"/>
  </conditionalFormatting>
  <conditionalFormatting sqref="H233:H240">
    <cfRule type="duplicateValues" dxfId="40" priority="48"/>
  </conditionalFormatting>
  <conditionalFormatting sqref="L233:L240">
    <cfRule type="duplicateValues" dxfId="39" priority="47"/>
  </conditionalFormatting>
  <conditionalFormatting sqref="H228:H231">
    <cfRule type="duplicateValues" dxfId="38" priority="46"/>
  </conditionalFormatting>
  <conditionalFormatting sqref="L228:L231">
    <cfRule type="duplicateValues" dxfId="37" priority="45"/>
  </conditionalFormatting>
  <conditionalFormatting sqref="H106">
    <cfRule type="duplicateValues" dxfId="36" priority="44"/>
  </conditionalFormatting>
  <conditionalFormatting sqref="L106">
    <cfRule type="duplicateValues" dxfId="35" priority="43"/>
  </conditionalFormatting>
  <conditionalFormatting sqref="H244">
    <cfRule type="duplicateValues" dxfId="34" priority="42"/>
  </conditionalFormatting>
  <conditionalFormatting sqref="H214:H219">
    <cfRule type="duplicateValues" dxfId="33" priority="40"/>
  </conditionalFormatting>
  <conditionalFormatting sqref="L214:L219">
    <cfRule type="duplicateValues" dxfId="32" priority="39"/>
  </conditionalFormatting>
  <conditionalFormatting sqref="H91">
    <cfRule type="duplicateValues" dxfId="31" priority="38"/>
  </conditionalFormatting>
  <conditionalFormatting sqref="L91">
    <cfRule type="duplicateValues" dxfId="30" priority="37"/>
  </conditionalFormatting>
  <conditionalFormatting sqref="H416:H417">
    <cfRule type="duplicateValues" dxfId="29" priority="36"/>
  </conditionalFormatting>
  <conditionalFormatting sqref="L245">
    <cfRule type="duplicateValues" dxfId="28" priority="35"/>
  </conditionalFormatting>
  <conditionalFormatting sqref="K244">
    <cfRule type="duplicateValues" dxfId="27" priority="34"/>
  </conditionalFormatting>
  <conditionalFormatting sqref="K244">
    <cfRule type="duplicateValues" dxfId="26" priority="33"/>
  </conditionalFormatting>
  <conditionalFormatting sqref="L302">
    <cfRule type="duplicateValues" dxfId="25" priority="32"/>
  </conditionalFormatting>
  <conditionalFormatting sqref="H320">
    <cfRule type="duplicateValues" dxfId="24" priority="29"/>
  </conditionalFormatting>
  <conditionalFormatting sqref="L320">
    <cfRule type="duplicateValues" dxfId="23" priority="28"/>
  </conditionalFormatting>
  <conditionalFormatting sqref="H11:H14">
    <cfRule type="duplicateValues" dxfId="22" priority="18"/>
  </conditionalFormatting>
  <conditionalFormatting sqref="L11:L14">
    <cfRule type="duplicateValues" dxfId="21" priority="17"/>
  </conditionalFormatting>
  <conditionalFormatting sqref="H85">
    <cfRule type="duplicateValues" dxfId="20" priority="16"/>
  </conditionalFormatting>
  <conditionalFormatting sqref="L85">
    <cfRule type="duplicateValues" dxfId="19" priority="15"/>
  </conditionalFormatting>
  <conditionalFormatting sqref="H176">
    <cfRule type="duplicateValues" dxfId="18" priority="14"/>
  </conditionalFormatting>
  <conditionalFormatting sqref="L176">
    <cfRule type="duplicateValues" dxfId="17" priority="13"/>
  </conditionalFormatting>
  <conditionalFormatting sqref="H311">
    <cfRule type="duplicateValues" dxfId="16" priority="12"/>
  </conditionalFormatting>
  <conditionalFormatting sqref="L311">
    <cfRule type="duplicateValues" dxfId="15" priority="11"/>
  </conditionalFormatting>
  <conditionalFormatting sqref="H319">
    <cfRule type="duplicateValues" dxfId="14" priority="10"/>
  </conditionalFormatting>
  <conditionalFormatting sqref="L319">
    <cfRule type="duplicateValues" dxfId="13" priority="9"/>
  </conditionalFormatting>
  <conditionalFormatting sqref="H252">
    <cfRule type="duplicateValues" dxfId="12" priority="8"/>
  </conditionalFormatting>
  <conditionalFormatting sqref="L252">
    <cfRule type="duplicateValues" dxfId="11" priority="7"/>
  </conditionalFormatting>
  <conditionalFormatting sqref="H114">
    <cfRule type="duplicateValues" dxfId="10" priority="4"/>
  </conditionalFormatting>
  <conditionalFormatting sqref="L114">
    <cfRule type="duplicateValues" dxfId="9" priority="3"/>
  </conditionalFormatting>
  <conditionalFormatting sqref="H70">
    <cfRule type="duplicateValues" dxfId="8" priority="2"/>
  </conditionalFormatting>
  <conditionalFormatting sqref="L70">
    <cfRule type="duplicateValues" dxfId="7" priority="1"/>
  </conditionalFormatting>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3"/>
  <dimension ref="A1:M51"/>
  <sheetViews>
    <sheetView topLeftCell="A9" zoomScale="90" zoomScaleNormal="90" workbookViewId="0">
      <selection activeCell="G21" sqref="G21"/>
    </sheetView>
  </sheetViews>
  <sheetFormatPr defaultColWidth="9.140625" defaultRowHeight="15"/>
  <cols>
    <col min="1" max="1" width="33.85546875" style="75" bestFit="1" customWidth="1"/>
    <col min="2" max="2" width="10.7109375" style="75" bestFit="1" customWidth="1"/>
    <col min="3" max="3" width="20.28515625" style="123" bestFit="1" customWidth="1"/>
    <col min="4" max="4" width="13" style="123" bestFit="1" customWidth="1"/>
    <col min="5" max="5" width="9.140625" style="75"/>
    <col min="6" max="9" width="18.42578125" style="75" customWidth="1"/>
    <col min="10" max="10" width="7.140625" style="230" customWidth="1"/>
    <col min="11" max="11" width="18.42578125" style="75" customWidth="1"/>
    <col min="12" max="12" width="5.5703125" style="230" customWidth="1"/>
    <col min="13" max="13" width="16" style="75" customWidth="1"/>
    <col min="14" max="16384" width="9.140625" style="75"/>
  </cols>
  <sheetData>
    <row r="1" spans="1:12" ht="17.25" thickTop="1" thickBot="1">
      <c r="A1" s="318" t="s">
        <v>1849</v>
      </c>
      <c r="B1" s="318" t="s">
        <v>1852</v>
      </c>
      <c r="C1" s="363" t="s">
        <v>1851</v>
      </c>
      <c r="D1" s="363" t="s">
        <v>1851</v>
      </c>
      <c r="F1" s="966" t="s">
        <v>1874</v>
      </c>
      <c r="G1" s="967"/>
      <c r="H1" s="967"/>
      <c r="I1" s="967"/>
      <c r="J1" s="967"/>
      <c r="K1" s="970">
        <f>SUM(F3:K3)</f>
        <v>2786847.5060000001</v>
      </c>
      <c r="L1" s="971"/>
    </row>
    <row r="2" spans="1:12" ht="15.75" thickTop="1">
      <c r="A2" s="364">
        <f>641.86+1586.546+4400+2390+700+609.24+410+36.1+37.51+12+94+122.5+43.92+2540+13.5+1470+1325</f>
        <v>16432.175999999999</v>
      </c>
      <c r="B2" s="365">
        <v>1</v>
      </c>
      <c r="C2" s="373" t="s">
        <v>7206</v>
      </c>
      <c r="D2" s="370">
        <v>43831</v>
      </c>
      <c r="F2" s="198" t="s">
        <v>1854</v>
      </c>
      <c r="G2" s="198" t="s">
        <v>1855</v>
      </c>
      <c r="H2" s="198" t="s">
        <v>1856</v>
      </c>
      <c r="I2" s="198" t="s">
        <v>1857</v>
      </c>
      <c r="J2" s="328" t="s">
        <v>1858</v>
      </c>
      <c r="K2" s="198" t="s">
        <v>1859</v>
      </c>
      <c r="L2" s="328" t="s">
        <v>2756</v>
      </c>
    </row>
    <row r="3" spans="1:12" ht="15.75" thickBot="1">
      <c r="A3" s="366">
        <v>242023.73</v>
      </c>
      <c r="B3" s="367">
        <v>1</v>
      </c>
      <c r="C3" s="374" t="s">
        <v>7338</v>
      </c>
      <c r="D3" s="371">
        <v>43850</v>
      </c>
      <c r="F3" s="77">
        <f>SUMIFS($A$2:$A$20,$B$2:$B$20,"1")</f>
        <v>258455.90600000002</v>
      </c>
      <c r="G3" s="77">
        <f>SUMIFS($A$2:$A$20,$B$2:$B$20,"2")</f>
        <v>809974.09</v>
      </c>
      <c r="H3" s="77">
        <f>SUMIFS($A$2:$A$20,$B$2:$B$20,"3")</f>
        <v>532452.21</v>
      </c>
      <c r="I3" s="77">
        <f>SUMIFS($A$2:$A$20,$B$2:$B$20,"4")</f>
        <v>251871.44</v>
      </c>
      <c r="J3" s="329">
        <f>SUMIFS($A$2:$A$20,$B$2:$B$20,"5")</f>
        <v>292023.73</v>
      </c>
      <c r="K3" s="77">
        <f>SUMIFS($A$2:$A$20,$B$2:$B$20,"6")</f>
        <v>642070.13</v>
      </c>
      <c r="L3" s="329">
        <f>SUMIFS($A$2:$A$20,$B$2:$B$20,"A/A")</f>
        <v>0</v>
      </c>
    </row>
    <row r="4" spans="1:12" ht="16.5" thickTop="1" thickBot="1">
      <c r="A4" s="366">
        <v>129</v>
      </c>
      <c r="B4" s="367">
        <v>2</v>
      </c>
      <c r="C4" s="374" t="s">
        <v>7766</v>
      </c>
      <c r="D4" s="371">
        <v>43894</v>
      </c>
      <c r="E4" s="112"/>
    </row>
    <row r="5" spans="1:12" ht="17.25" thickTop="1" thickBot="1">
      <c r="A5" s="366">
        <v>242023.73</v>
      </c>
      <c r="B5" s="367">
        <v>2</v>
      </c>
      <c r="C5" s="374" t="s">
        <v>7801</v>
      </c>
      <c r="D5" s="371">
        <v>43901</v>
      </c>
      <c r="F5" s="966" t="s">
        <v>1875</v>
      </c>
      <c r="G5" s="967"/>
      <c r="H5" s="967"/>
      <c r="I5" s="967"/>
      <c r="J5" s="968"/>
      <c r="K5" s="972">
        <f>SUM(F7:K7)</f>
        <v>2786847.5041133333</v>
      </c>
      <c r="L5" s="755"/>
    </row>
    <row r="6" spans="1:12" ht="15.75" thickTop="1">
      <c r="A6" s="366">
        <v>217821.36</v>
      </c>
      <c r="B6" s="367">
        <v>2</v>
      </c>
      <c r="C6" s="374" t="s">
        <v>9014</v>
      </c>
      <c r="D6" s="371">
        <v>43922</v>
      </c>
      <c r="F6" s="82" t="s">
        <v>1854</v>
      </c>
      <c r="G6" s="82" t="s">
        <v>1855</v>
      </c>
      <c r="H6" s="82" t="s">
        <v>1856</v>
      </c>
      <c r="I6" s="82" t="s">
        <v>1857</v>
      </c>
      <c r="J6" s="330" t="s">
        <v>1858</v>
      </c>
      <c r="K6" s="198" t="s">
        <v>1859</v>
      </c>
      <c r="L6" s="328" t="s">
        <v>2756</v>
      </c>
    </row>
    <row r="7" spans="1:12" ht="15.75" thickBot="1">
      <c r="A7" s="366">
        <v>350000</v>
      </c>
      <c r="B7" s="367">
        <v>2</v>
      </c>
      <c r="C7" s="374" t="s">
        <v>9015</v>
      </c>
      <c r="D7" s="371">
        <v>43941</v>
      </c>
      <c r="F7" s="77">
        <f>SUMIFS(Controle!$R:$R,Controle!$Z:$Z,"1")</f>
        <v>9687.7999999999993</v>
      </c>
      <c r="G7" s="77">
        <f>SUMIFS(Controle!$R:$R,Controle!$Z:$Z,"2")</f>
        <v>466139.68740000011</v>
      </c>
      <c r="H7" s="77">
        <f>SUMIFS(Controle!$R:$R,Controle!$Z:$Z,"3")</f>
        <v>491758.76088000002</v>
      </c>
      <c r="I7" s="77">
        <f>SUMIFS(Controle!$R:$R,Controle!$Z:$Z,"4")</f>
        <v>667182.64600000007</v>
      </c>
      <c r="J7" s="329">
        <f>SUMIFS(Controle!$R:$R,Controle!$Z:$Z,"5")</f>
        <v>158670.49</v>
      </c>
      <c r="K7" s="77">
        <f>SUMIFS(Controle!$R:$R,Controle!$Z:$Z,"6")</f>
        <v>993408.11983333318</v>
      </c>
      <c r="L7" s="329">
        <f>SUMIFS(Controle!$R:$R,Controle!$Z:$Z,"A/A")</f>
        <v>134701.12</v>
      </c>
    </row>
    <row r="8" spans="1:12" ht="16.5" thickTop="1" thickBot="1">
      <c r="A8" s="366">
        <v>242023.73</v>
      </c>
      <c r="B8" s="367">
        <v>3</v>
      </c>
      <c r="C8" s="374" t="s">
        <v>8598</v>
      </c>
      <c r="D8" s="371">
        <v>43977</v>
      </c>
    </row>
    <row r="9" spans="1:12" ht="17.25" thickTop="1" thickBot="1">
      <c r="A9" s="366">
        <v>290428.48</v>
      </c>
      <c r="B9" s="367">
        <v>3</v>
      </c>
      <c r="C9" s="375" t="s">
        <v>9016</v>
      </c>
      <c r="D9" s="371">
        <v>44000</v>
      </c>
      <c r="F9" s="973" t="s">
        <v>1860</v>
      </c>
      <c r="G9" s="974"/>
      <c r="H9" s="974"/>
      <c r="I9" s="974"/>
      <c r="J9" s="974"/>
      <c r="K9" s="974"/>
      <c r="L9" s="755"/>
    </row>
    <row r="10" spans="1:12" ht="16.5" thickTop="1" thickBot="1">
      <c r="A10" s="366">
        <v>242023.73</v>
      </c>
      <c r="B10" s="367">
        <v>4</v>
      </c>
      <c r="C10" s="374" t="s">
        <v>9574</v>
      </c>
      <c r="D10" s="371">
        <v>44036</v>
      </c>
      <c r="F10" s="82" t="s">
        <v>1854</v>
      </c>
      <c r="G10" s="82" t="s">
        <v>1855</v>
      </c>
      <c r="H10" s="82" t="s">
        <v>1856</v>
      </c>
      <c r="I10" s="82" t="s">
        <v>1857</v>
      </c>
      <c r="J10" s="330" t="s">
        <v>1858</v>
      </c>
      <c r="K10" s="82" t="s">
        <v>1859</v>
      </c>
      <c r="L10" s="328" t="s">
        <v>2756</v>
      </c>
    </row>
    <row r="11" spans="1:12" ht="16.5" thickTop="1" thickBot="1">
      <c r="A11" s="366">
        <f>10000-152.29</f>
        <v>9847.7099999999991</v>
      </c>
      <c r="B11" s="367">
        <v>4</v>
      </c>
      <c r="C11" s="374" t="s">
        <v>7766</v>
      </c>
      <c r="D11" s="371">
        <v>44062</v>
      </c>
      <c r="F11" s="122">
        <f>SUMIFS($A$2:$A$20,$B$2:$B$20,"1")-SUMIFS(Controle!$R:$R,Controle!$Z:$Z,"1")</f>
        <v>248768.10600000003</v>
      </c>
      <c r="G11" s="122">
        <f>SUMIFS($A$2:$A$20,$B$2:$B$20,"1")-SUMIFS(Controle!$R:$R,Controle!$Z:$Z,"1")+SUMIFS($A$2:$A$20,$B$2:$B$20,"2")-SUMIFS(Controle!$R:$R,Controle!$Z:$Z,"2")</f>
        <v>592602.50859999983</v>
      </c>
      <c r="H11" s="122">
        <f>SUMIFS($A$2:$A$20,$B$2:$B$20,"1")-SUMIFS(Controle!$R:$R,Controle!$Z:$Z,"1")+SUMIFS($A$2:$A$20,$B$2:$B$20,"2")-SUMIFS(Controle!$R:$R,Controle!$Z:$Z,"2")+SUMIFS($A$2:$A$20,$B$2:$B$20,"3")-SUMIFS(Controle!$R:$R,Controle!$Z:$Z,"3")</f>
        <v>633295.95771999983</v>
      </c>
      <c r="I11" s="122">
        <f>SUMIFS($A$2:$A$20,$B$2:$B$20,"1")-SUMIFS(Controle!$R:$R,Controle!$Z:$Z,"1")+SUMIFS($A$2:$A$20,$B$2:$B$20,"2")-SUMIFS(Controle!$R:$R,Controle!$Z:$Z,"2")+SUMIFS($A$2:$A$20,$B$2:$B$20,"3")-SUMIFS(Controle!$R:$R,Controle!$Z:$Z,"3")+SUMIFS($A$2:$A$20,$B$2:$B$20,"4")-SUMIFS(Controle!$R:$R,Controle!$Z:$Z,"4")</f>
        <v>217984.75171999971</v>
      </c>
      <c r="J11" s="331">
        <f>SUMIFS($A$2:$A$20,$B$2:$B$20,"1")-SUMIFS(Controle!$R:$R,Controle!$Z:$Z,"1")+SUMIFS($A$2:$A$20,$B$2:$B$20,"2")-SUMIFS(Controle!$R:$R,Controle!$Z:$Z,"2")+SUMIFS($A$2:$A$20,$B$2:$B$20,"3")-SUMIFS(Controle!$R:$R,Controle!$Z:$Z,"3")+SUMIFS($A$2:$A$20,$B$2:$B$20,"4")-SUMIFS(Controle!$R:$R,Controle!$Z:$Z,"4")+SUMIFS($A$2:$A$20,$B$2:$B$20,"5")-SUMIFS(Controle!$R:$R,Controle!$Z:$Z,"5")</f>
        <v>351337.9917199997</v>
      </c>
      <c r="K11" s="122">
        <f>SUMIFS($A$2:$A$20,$B$2:$B$20,"1")-SUMIFS(Controle!$R:$R,Controle!$Z:$Z,"1")+SUMIFS($A$2:$A$20,$B$2:$B$20,"2")-SUMIFS(Controle!$R:$R,Controle!$Z:$Z,"2")+SUMIFS($A$2:$A$20,$B$2:$B$20,"3")-SUMIFS(Controle!$R:$R,Controle!$Z:$Z,"3")+SUMIFS($A$2:$A$20,$B$2:$B$20,"4")-SUMIFS(Controle!$R:$R,Controle!$Z:$Z,"4")+SUMIFS($A$2:$A$20,$B$2:$B$20,"5")-SUMIFS(Controle!$R:$R,Controle!$Z:$Z,"5")+SUMIFS($A$2:$A$20,$B$2:$B$20,"6")-SUMIFS(Controle!$R:$R,Controle!$Z:$Z,"6")</f>
        <v>1.8866665195673704E-3</v>
      </c>
      <c r="L11" s="331">
        <f>L3-L7</f>
        <v>-134701.12</v>
      </c>
    </row>
    <row r="12" spans="1:12" ht="16.5" thickTop="1" thickBot="1">
      <c r="A12" s="366">
        <v>50000</v>
      </c>
      <c r="B12" s="367">
        <v>5</v>
      </c>
      <c r="C12" s="396" t="s">
        <v>9941</v>
      </c>
      <c r="D12" s="371">
        <v>44091</v>
      </c>
      <c r="F12" s="122">
        <f>F3-F7</f>
        <v>248768.10600000003</v>
      </c>
      <c r="G12" s="122">
        <f>G3-G7+F11</f>
        <v>592602.50859999983</v>
      </c>
      <c r="H12" s="122">
        <f>H3-H7+G11</f>
        <v>633295.95771999983</v>
      </c>
      <c r="I12" s="122">
        <f>I3-I7+H11</f>
        <v>217984.75171999977</v>
      </c>
      <c r="J12" s="331">
        <f>J3-J7+I11</f>
        <v>351337.9917199997</v>
      </c>
      <c r="K12" s="122">
        <f>K3-K7+J11</f>
        <v>1.8866665195673704E-3</v>
      </c>
      <c r="L12" s="331">
        <f>L3-L7</f>
        <v>-134701.12</v>
      </c>
    </row>
    <row r="13" spans="1:12" ht="16.5" thickTop="1" thickBot="1">
      <c r="A13" s="366">
        <v>242023.73</v>
      </c>
      <c r="B13" s="367">
        <v>5</v>
      </c>
      <c r="C13" s="374" t="s">
        <v>9945</v>
      </c>
      <c r="D13" s="371">
        <v>44095</v>
      </c>
    </row>
    <row r="14" spans="1:12" ht="20.25" thickTop="1" thickBot="1">
      <c r="A14" s="652"/>
      <c r="B14" s="653">
        <v>5</v>
      </c>
      <c r="C14" s="654" t="s">
        <v>10241</v>
      </c>
      <c r="D14" s="655">
        <v>44133</v>
      </c>
      <c r="F14" s="969" t="s">
        <v>2545</v>
      </c>
      <c r="G14" s="969"/>
      <c r="H14" s="170">
        <v>6</v>
      </c>
      <c r="I14" s="118"/>
    </row>
    <row r="15" spans="1:12" ht="16.5" thickTop="1" thickBot="1">
      <c r="A15" s="366">
        <v>242023.73</v>
      </c>
      <c r="B15" s="367">
        <v>6</v>
      </c>
      <c r="C15" s="374" t="s">
        <v>10687</v>
      </c>
      <c r="D15" s="371">
        <v>44146</v>
      </c>
      <c r="F15" s="121" t="s">
        <v>2542</v>
      </c>
      <c r="G15" s="121" t="s">
        <v>2543</v>
      </c>
      <c r="H15" s="121" t="s">
        <v>2544</v>
      </c>
    </row>
    <row r="16" spans="1:12" ht="15.75" thickTop="1">
      <c r="A16" s="366">
        <v>400000</v>
      </c>
      <c r="B16" s="367">
        <v>6</v>
      </c>
      <c r="C16" s="374" t="s">
        <v>10686</v>
      </c>
      <c r="D16" s="371">
        <v>44179</v>
      </c>
      <c r="F16" s="119" t="s">
        <v>3608</v>
      </c>
      <c r="G16" s="120">
        <f>SUMIFS(Controle!$R:$R,Controle!Z:Z,Financeiro!$H$14,Controle!B:B,Financeiro!F16)</f>
        <v>749142.37983333296</v>
      </c>
      <c r="H16" s="205">
        <f>G16/$G$20</f>
        <v>0.75411952356739331</v>
      </c>
    </row>
    <row r="17" spans="1:13">
      <c r="A17" s="366">
        <v>46.4</v>
      </c>
      <c r="B17" s="367">
        <v>6</v>
      </c>
      <c r="C17" s="374" t="s">
        <v>10610</v>
      </c>
      <c r="D17" s="371">
        <v>44179</v>
      </c>
      <c r="F17" s="113" t="s">
        <v>7207</v>
      </c>
      <c r="G17" s="114">
        <f>SUMIFS(Controle!$R:$R,Controle!Z:Z,Financeiro!$H$14,Controle!B:B,Financeiro!F17)</f>
        <v>205956.67999999996</v>
      </c>
      <c r="H17" s="204">
        <f>G17/$G$20</f>
        <v>0.2073250126787331</v>
      </c>
    </row>
    <row r="18" spans="1:13">
      <c r="A18" s="366"/>
      <c r="B18" s="367">
        <v>6</v>
      </c>
      <c r="C18" s="374"/>
      <c r="D18" s="371"/>
      <c r="F18" s="113" t="s">
        <v>1687</v>
      </c>
      <c r="G18" s="114">
        <f>SUMIFS(Controle!$R:$R,Controle!Z:Z,Financeiro!$H$14,Controle!B:B,Financeiro!F18)</f>
        <v>38300.999999999993</v>
      </c>
      <c r="H18" s="204">
        <f>G18/$G$20</f>
        <v>3.8555463753873663E-2</v>
      </c>
    </row>
    <row r="19" spans="1:13">
      <c r="A19" s="366"/>
      <c r="B19" s="367"/>
      <c r="C19" s="374"/>
      <c r="D19" s="371"/>
      <c r="F19" s="113" t="s">
        <v>1739</v>
      </c>
      <c r="G19" s="114">
        <f>SUMIFS(Controle!$R:$R,Controle!Z:Z,Financeiro!$H$14,Controle!B:B,Financeiro!F19)</f>
        <v>0</v>
      </c>
      <c r="H19" s="204">
        <f>G19/$G$20</f>
        <v>0</v>
      </c>
    </row>
    <row r="20" spans="1:13" ht="15.75" thickBot="1">
      <c r="A20" s="368"/>
      <c r="B20" s="369"/>
      <c r="C20" s="376"/>
      <c r="D20" s="372"/>
      <c r="F20" s="115" t="s">
        <v>1876</v>
      </c>
      <c r="G20" s="116">
        <f>SUM(G16:G19)</f>
        <v>993400.0598333329</v>
      </c>
      <c r="H20" s="117">
        <f>G20/$G$20</f>
        <v>1</v>
      </c>
    </row>
    <row r="21" spans="1:13" ht="15.75" thickTop="1">
      <c r="A21" s="319" t="s">
        <v>1850</v>
      </c>
      <c r="B21" s="79"/>
    </row>
    <row r="22" spans="1:13" ht="15.75" thickBot="1">
      <c r="A22" s="77">
        <f>SUM(A2:A20)</f>
        <v>2786847.5060000001</v>
      </c>
      <c r="B22" s="78"/>
      <c r="G22" s="352"/>
    </row>
    <row r="23" spans="1:13" ht="39" thickTop="1" thickBot="1">
      <c r="C23" s="362"/>
      <c r="F23" s="320" t="s">
        <v>5756</v>
      </c>
      <c r="G23" s="321" t="s">
        <v>5757</v>
      </c>
      <c r="H23" s="321" t="s">
        <v>5758</v>
      </c>
      <c r="I23" s="321" t="s">
        <v>5759</v>
      </c>
      <c r="J23" s="322"/>
      <c r="K23" s="321" t="s">
        <v>5760</v>
      </c>
      <c r="L23" s="322"/>
      <c r="M23" s="321" t="s">
        <v>5761</v>
      </c>
    </row>
    <row r="24" spans="1:13">
      <c r="C24" s="362"/>
      <c r="D24" s="362"/>
      <c r="F24" s="323">
        <v>44133</v>
      </c>
      <c r="G24" s="324">
        <f>6633.48+343861.03</f>
        <v>350494.51</v>
      </c>
      <c r="H24" s="325">
        <v>346631.64649999986</v>
      </c>
      <c r="I24" s="325">
        <f>G24-H24</f>
        <v>3862.8635000001523</v>
      </c>
      <c r="J24" s="322"/>
      <c r="K24" s="325">
        <v>4858.6352199998219</v>
      </c>
      <c r="L24" s="656"/>
      <c r="M24" s="326">
        <f t="shared" ref="M24:M32" si="0">I24-K24</f>
        <v>-995.77171999966959</v>
      </c>
    </row>
    <row r="25" spans="1:13">
      <c r="A25" s="243"/>
      <c r="B25" s="230"/>
      <c r="F25" s="323" t="s">
        <v>10242</v>
      </c>
      <c r="G25" s="324">
        <f>6633.48+343861.03</f>
        <v>350494.51</v>
      </c>
      <c r="H25" s="325">
        <v>351363.43649999984</v>
      </c>
      <c r="I25" s="325">
        <f>G25-H25</f>
        <v>-868.92649999982677</v>
      </c>
      <c r="J25" s="322"/>
      <c r="K25" s="325">
        <v>126.84521999984281</v>
      </c>
      <c r="L25" s="322"/>
      <c r="M25" s="326">
        <f t="shared" si="0"/>
        <v>-995.77171999966959</v>
      </c>
    </row>
    <row r="26" spans="1:13">
      <c r="A26" s="243"/>
      <c r="C26" s="255"/>
      <c r="D26" s="352"/>
      <c r="F26" s="323">
        <v>44188</v>
      </c>
      <c r="G26" s="324">
        <f>0+598061.48</f>
        <v>598061.48</v>
      </c>
      <c r="H26" s="325">
        <v>591036.79333333322</v>
      </c>
      <c r="I26" s="325">
        <f t="shared" ref="I26:I32" si="1">G26-H26</f>
        <v>7024.6866666667629</v>
      </c>
      <c r="J26" s="322"/>
      <c r="K26" s="325">
        <v>7024.68</v>
      </c>
      <c r="L26" s="322"/>
      <c r="M26" s="326">
        <f t="shared" si="0"/>
        <v>6.6666667626122944E-3</v>
      </c>
    </row>
    <row r="27" spans="1:13">
      <c r="C27" s="255"/>
      <c r="D27" s="352"/>
      <c r="F27" s="671"/>
      <c r="G27" s="324"/>
      <c r="H27" s="325"/>
      <c r="I27" s="325">
        <f t="shared" si="1"/>
        <v>0</v>
      </c>
      <c r="J27" s="322"/>
      <c r="K27" s="670"/>
      <c r="L27" s="322"/>
      <c r="M27" s="326">
        <f t="shared" si="0"/>
        <v>0</v>
      </c>
    </row>
    <row r="28" spans="1:13">
      <c r="C28" s="255"/>
      <c r="D28" s="352"/>
      <c r="F28" s="323"/>
      <c r="G28" s="327"/>
      <c r="H28" s="325"/>
      <c r="I28" s="325">
        <f t="shared" si="1"/>
        <v>0</v>
      </c>
      <c r="J28" s="322"/>
      <c r="K28" s="325"/>
      <c r="L28" s="322"/>
      <c r="M28" s="326">
        <f t="shared" si="0"/>
        <v>0</v>
      </c>
    </row>
    <row r="29" spans="1:13">
      <c r="C29" s="255"/>
      <c r="D29" s="352"/>
      <c r="F29" s="323"/>
      <c r="G29" s="327"/>
      <c r="H29" s="325"/>
      <c r="I29" s="325">
        <f t="shared" si="1"/>
        <v>0</v>
      </c>
      <c r="J29" s="322"/>
      <c r="K29" s="325"/>
      <c r="L29" s="322"/>
      <c r="M29" s="326">
        <f t="shared" si="0"/>
        <v>0</v>
      </c>
    </row>
    <row r="30" spans="1:13">
      <c r="C30" s="255"/>
      <c r="D30" s="352"/>
      <c r="F30" s="323"/>
      <c r="G30" s="327"/>
      <c r="H30" s="325"/>
      <c r="I30" s="325">
        <f t="shared" si="1"/>
        <v>0</v>
      </c>
      <c r="J30" s="322"/>
      <c r="K30" s="325"/>
      <c r="L30" s="322"/>
      <c r="M30" s="326">
        <f t="shared" si="0"/>
        <v>0</v>
      </c>
    </row>
    <row r="31" spans="1:13">
      <c r="C31" s="255"/>
      <c r="D31" s="352"/>
      <c r="F31" s="323"/>
      <c r="G31" s="327"/>
      <c r="H31" s="325"/>
      <c r="I31" s="325">
        <f t="shared" si="1"/>
        <v>0</v>
      </c>
      <c r="J31" s="322"/>
      <c r="K31" s="325"/>
      <c r="L31" s="322"/>
      <c r="M31" s="326">
        <f t="shared" si="0"/>
        <v>0</v>
      </c>
    </row>
    <row r="32" spans="1:13">
      <c r="C32" s="255"/>
      <c r="D32" s="352"/>
      <c r="F32" s="323"/>
      <c r="G32" s="327"/>
      <c r="H32" s="325"/>
      <c r="I32" s="325">
        <f t="shared" si="1"/>
        <v>0</v>
      </c>
      <c r="J32" s="322"/>
      <c r="K32" s="325"/>
      <c r="L32" s="322"/>
      <c r="M32" s="326">
        <f t="shared" si="0"/>
        <v>0</v>
      </c>
    </row>
    <row r="33" spans="3:8">
      <c r="C33" s="255"/>
      <c r="D33" s="352"/>
      <c r="H33" s="256"/>
    </row>
    <row r="34" spans="3:8">
      <c r="C34" s="255"/>
      <c r="D34" s="352"/>
      <c r="H34" s="255"/>
    </row>
    <row r="35" spans="3:8">
      <c r="C35" s="255"/>
      <c r="D35" s="352"/>
      <c r="H35" s="255"/>
    </row>
    <row r="36" spans="3:8">
      <c r="C36" s="255"/>
      <c r="D36" s="352"/>
    </row>
    <row r="37" spans="3:8">
      <c r="C37" s="255"/>
      <c r="D37" s="352"/>
      <c r="F37" s="255"/>
    </row>
    <row r="38" spans="3:8">
      <c r="C38" s="255"/>
      <c r="D38" s="352"/>
    </row>
    <row r="39" spans="3:8">
      <c r="C39" s="255"/>
      <c r="D39" s="352"/>
    </row>
    <row r="40" spans="3:8">
      <c r="C40" s="255"/>
      <c r="D40" s="352"/>
    </row>
    <row r="41" spans="3:8">
      <c r="C41" s="255"/>
      <c r="D41" s="352"/>
    </row>
    <row r="42" spans="3:8">
      <c r="C42" s="255"/>
      <c r="D42" s="352"/>
    </row>
    <row r="43" spans="3:8">
      <c r="C43" s="255"/>
      <c r="D43" s="352"/>
    </row>
    <row r="44" spans="3:8">
      <c r="C44" s="255"/>
      <c r="D44" s="352"/>
      <c r="F44" s="254"/>
    </row>
    <row r="45" spans="3:8">
      <c r="C45" s="255"/>
      <c r="D45" s="352"/>
    </row>
    <row r="46" spans="3:8">
      <c r="C46" s="255"/>
      <c r="D46" s="352"/>
    </row>
    <row r="47" spans="3:8">
      <c r="C47" s="255"/>
      <c r="D47" s="352"/>
    </row>
    <row r="48" spans="3:8">
      <c r="C48" s="255"/>
      <c r="D48" s="352"/>
      <c r="F48" s="258"/>
    </row>
    <row r="49" spans="3:6">
      <c r="F49" s="257"/>
    </row>
    <row r="51" spans="3:6">
      <c r="C51" s="255"/>
      <c r="D51" s="352"/>
    </row>
  </sheetData>
  <sheetProtection insertColumns="0" insertRows="0" insertHyperlinks="0" deleteColumns="0" deleteRows="0"/>
  <autoFilter ref="A1:D18"/>
  <mergeCells count="6">
    <mergeCell ref="F1:J1"/>
    <mergeCell ref="F5:J5"/>
    <mergeCell ref="F14:G14"/>
    <mergeCell ref="K1:L1"/>
    <mergeCell ref="K5:L5"/>
    <mergeCell ref="F9:L9"/>
  </mergeCells>
  <dataValidations count="1">
    <dataValidation type="list" allowBlank="1" showInputMessage="1" showErrorMessage="1" sqref="H14 B2:B20">
      <formula1>bimestres</formula1>
    </dataValidation>
  </dataValidation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6"/>
  <dimension ref="A1:K32"/>
  <sheetViews>
    <sheetView zoomScale="90" zoomScaleNormal="90" workbookViewId="0">
      <pane ySplit="1" topLeftCell="A2" activePane="bottomLeft" state="frozen"/>
      <selection pane="bottomLeft" activeCell="D9" sqref="D9"/>
    </sheetView>
  </sheetViews>
  <sheetFormatPr defaultColWidth="9.140625" defaultRowHeight="13.5" customHeight="1"/>
  <cols>
    <col min="1" max="1" width="15.5703125" style="358" customWidth="1"/>
    <col min="2" max="2" width="8.7109375" style="291" bestFit="1" customWidth="1"/>
    <col min="3" max="3" width="7.7109375" style="291" customWidth="1"/>
    <col min="4" max="4" width="33.5703125" style="302" customWidth="1"/>
    <col min="5" max="5" width="17.140625" style="297" customWidth="1"/>
    <col min="6" max="6" width="7.28515625" style="291" bestFit="1" customWidth="1"/>
    <col min="7" max="7" width="13" style="298" bestFit="1" customWidth="1"/>
    <col min="8" max="8" width="14" style="291" bestFit="1" customWidth="1"/>
    <col min="9" max="9" width="11.5703125" style="291" bestFit="1" customWidth="1"/>
    <col min="10" max="10" width="18.140625" style="305" bestFit="1" customWidth="1"/>
    <col min="11" max="11" width="22.5703125" style="299" bestFit="1" customWidth="1"/>
    <col min="12" max="12" width="18.85546875" style="291" bestFit="1" customWidth="1"/>
    <col min="13" max="16384" width="9.140625" style="291"/>
  </cols>
  <sheetData>
    <row r="1" spans="1:11" s="293" customFormat="1" ht="13.5" customHeight="1" thickTop="1" thickBot="1">
      <c r="A1" s="356" t="s">
        <v>3609</v>
      </c>
      <c r="B1" s="251" t="s">
        <v>568</v>
      </c>
      <c r="C1" s="251" t="s">
        <v>1839</v>
      </c>
      <c r="D1" s="301" t="s">
        <v>4416</v>
      </c>
      <c r="E1" s="251" t="s">
        <v>0</v>
      </c>
      <c r="F1" s="251" t="s">
        <v>2559</v>
      </c>
      <c r="G1" s="251" t="s">
        <v>1841</v>
      </c>
      <c r="H1" s="251" t="s">
        <v>1842</v>
      </c>
      <c r="I1" s="251" t="s">
        <v>1843</v>
      </c>
      <c r="J1" s="477">
        <v>44132</v>
      </c>
      <c r="K1" s="292"/>
    </row>
    <row r="2" spans="1:11" s="284" customFormat="1" ht="13.5" customHeight="1" thickTop="1">
      <c r="A2" s="357" t="s">
        <v>10060</v>
      </c>
      <c r="B2" s="294" t="s">
        <v>10061</v>
      </c>
      <c r="C2" s="282">
        <v>95351</v>
      </c>
      <c r="D2" s="283" t="s">
        <v>6867</v>
      </c>
      <c r="E2" s="286" t="s">
        <v>3670</v>
      </c>
      <c r="F2" s="285">
        <v>5</v>
      </c>
      <c r="G2" s="287">
        <v>577.5</v>
      </c>
      <c r="H2" s="295">
        <v>2887.5</v>
      </c>
      <c r="I2" s="296">
        <v>44112</v>
      </c>
      <c r="J2" s="303"/>
      <c r="K2" s="289"/>
    </row>
    <row r="3" spans="1:11" s="284" customFormat="1" ht="13.5" customHeight="1">
      <c r="A3" s="629" t="s">
        <v>9917</v>
      </c>
      <c r="B3" s="630" t="s">
        <v>9918</v>
      </c>
      <c r="C3" s="631">
        <v>90845</v>
      </c>
      <c r="D3" s="632" t="s">
        <v>3081</v>
      </c>
      <c r="E3" s="633" t="s">
        <v>2989</v>
      </c>
      <c r="F3" s="634">
        <v>10</v>
      </c>
      <c r="G3" s="635">
        <v>11</v>
      </c>
      <c r="H3" s="636">
        <v>110</v>
      </c>
      <c r="I3" s="637">
        <v>44097</v>
      </c>
      <c r="J3" s="638" t="s">
        <v>10251</v>
      </c>
      <c r="K3" s="289"/>
    </row>
    <row r="4" spans="1:11" s="284" customFormat="1" ht="13.5" customHeight="1">
      <c r="A4" s="629" t="s">
        <v>10105</v>
      </c>
      <c r="B4" s="630" t="s">
        <v>10106</v>
      </c>
      <c r="C4" s="631">
        <v>90044</v>
      </c>
      <c r="D4" s="632" t="s">
        <v>10107</v>
      </c>
      <c r="E4" s="633" t="s">
        <v>2989</v>
      </c>
      <c r="F4" s="634">
        <v>25</v>
      </c>
      <c r="G4" s="635">
        <v>1.88</v>
      </c>
      <c r="H4" s="636">
        <v>47</v>
      </c>
      <c r="I4" s="637">
        <v>44113</v>
      </c>
      <c r="J4" s="638" t="s">
        <v>10251</v>
      </c>
      <c r="K4" s="289"/>
    </row>
    <row r="5" spans="1:11" s="284" customFormat="1" ht="13.5" customHeight="1">
      <c r="A5" s="629" t="s">
        <v>8466</v>
      </c>
      <c r="B5" s="630" t="s">
        <v>8458</v>
      </c>
      <c r="C5" s="631">
        <v>12289</v>
      </c>
      <c r="D5" s="632" t="s">
        <v>3399</v>
      </c>
      <c r="E5" s="633" t="s">
        <v>8556</v>
      </c>
      <c r="F5" s="634">
        <v>50</v>
      </c>
      <c r="G5" s="635">
        <v>59.9</v>
      </c>
      <c r="H5" s="636">
        <v>2995</v>
      </c>
      <c r="I5" s="637">
        <v>43973</v>
      </c>
      <c r="J5" s="638" t="s">
        <v>10235</v>
      </c>
      <c r="K5" s="289"/>
    </row>
    <row r="6" spans="1:11" s="284" customFormat="1" ht="13.5" customHeight="1">
      <c r="A6" s="629" t="s">
        <v>9768</v>
      </c>
      <c r="B6" s="630" t="s">
        <v>9769</v>
      </c>
      <c r="C6" s="631">
        <v>90221</v>
      </c>
      <c r="D6" s="632" t="s">
        <v>1566</v>
      </c>
      <c r="E6" s="633" t="s">
        <v>4401</v>
      </c>
      <c r="F6" s="634">
        <v>300</v>
      </c>
      <c r="G6" s="635">
        <v>8</v>
      </c>
      <c r="H6" s="636">
        <v>2400</v>
      </c>
      <c r="I6" s="637">
        <v>44099</v>
      </c>
      <c r="J6" s="638" t="s">
        <v>10235</v>
      </c>
      <c r="K6" s="289"/>
    </row>
    <row r="7" spans="1:11" s="284" customFormat="1" ht="13.5" customHeight="1">
      <c r="A7" s="629" t="s">
        <v>10017</v>
      </c>
      <c r="B7" s="630" t="s">
        <v>10018</v>
      </c>
      <c r="C7" s="631">
        <v>34750</v>
      </c>
      <c r="D7" s="632" t="s">
        <v>2840</v>
      </c>
      <c r="E7" s="633" t="s">
        <v>4401</v>
      </c>
      <c r="F7" s="634">
        <v>50</v>
      </c>
      <c r="G7" s="635">
        <v>1.81</v>
      </c>
      <c r="H7" s="636">
        <v>90.5</v>
      </c>
      <c r="I7" s="637">
        <v>44112</v>
      </c>
      <c r="J7" s="638" t="s">
        <v>10235</v>
      </c>
      <c r="K7" s="289"/>
    </row>
    <row r="8" spans="1:11" s="284" customFormat="1" ht="13.5" customHeight="1">
      <c r="A8" s="629" t="s">
        <v>10093</v>
      </c>
      <c r="B8" s="630" t="s">
        <v>10097</v>
      </c>
      <c r="C8" s="631">
        <v>90261</v>
      </c>
      <c r="D8" s="632" t="s">
        <v>55</v>
      </c>
      <c r="E8" s="633" t="s">
        <v>4401</v>
      </c>
      <c r="F8" s="634">
        <v>200</v>
      </c>
      <c r="G8" s="635">
        <v>2.39</v>
      </c>
      <c r="H8" s="636">
        <v>478</v>
      </c>
      <c r="I8" s="637">
        <v>44113</v>
      </c>
      <c r="J8" s="638" t="s">
        <v>10252</v>
      </c>
      <c r="K8" s="289"/>
    </row>
    <row r="9" spans="1:11" s="284" customFormat="1" ht="13.5" customHeight="1">
      <c r="A9" s="629" t="s">
        <v>10094</v>
      </c>
      <c r="B9" s="630" t="s">
        <v>10140</v>
      </c>
      <c r="C9" s="631">
        <v>90426</v>
      </c>
      <c r="D9" s="632" t="s">
        <v>227</v>
      </c>
      <c r="E9" s="633" t="s">
        <v>4401</v>
      </c>
      <c r="F9" s="634">
        <v>300</v>
      </c>
      <c r="G9" s="635">
        <v>30.12</v>
      </c>
      <c r="H9" s="636">
        <v>9036</v>
      </c>
      <c r="I9" s="637">
        <v>44119</v>
      </c>
      <c r="J9" s="638" t="s">
        <v>10253</v>
      </c>
      <c r="K9" s="289"/>
    </row>
    <row r="10" spans="1:11" s="284" customFormat="1" ht="13.5" customHeight="1">
      <c r="A10" s="629" t="s">
        <v>9522</v>
      </c>
      <c r="B10" s="630" t="s">
        <v>9523</v>
      </c>
      <c r="C10" s="631" t="s">
        <v>9525</v>
      </c>
      <c r="D10" s="632" t="s">
        <v>9527</v>
      </c>
      <c r="E10" s="633" t="s">
        <v>4433</v>
      </c>
      <c r="F10" s="634">
        <v>1</v>
      </c>
      <c r="G10" s="635">
        <v>400</v>
      </c>
      <c r="H10" s="636">
        <v>400</v>
      </c>
      <c r="I10" s="637">
        <v>44097</v>
      </c>
      <c r="J10" s="638" t="s">
        <v>10259</v>
      </c>
      <c r="K10" s="289"/>
    </row>
    <row r="11" spans="1:11" s="284" customFormat="1" ht="13.5" customHeight="1">
      <c r="A11" s="629" t="s">
        <v>9522</v>
      </c>
      <c r="B11" s="630" t="s">
        <v>9523</v>
      </c>
      <c r="C11" s="631" t="s">
        <v>3132</v>
      </c>
      <c r="D11" s="632" t="s">
        <v>9528</v>
      </c>
      <c r="E11" s="633" t="s">
        <v>4433</v>
      </c>
      <c r="F11" s="634">
        <v>1</v>
      </c>
      <c r="G11" s="635">
        <v>400</v>
      </c>
      <c r="H11" s="636">
        <v>400</v>
      </c>
      <c r="I11" s="637">
        <v>44097</v>
      </c>
      <c r="J11" s="638" t="s">
        <v>10259</v>
      </c>
      <c r="K11" s="289"/>
    </row>
    <row r="12" spans="1:11" s="284" customFormat="1" ht="13.5" customHeight="1">
      <c r="A12" s="629" t="s">
        <v>9795</v>
      </c>
      <c r="B12" s="630" t="s">
        <v>9796</v>
      </c>
      <c r="C12" s="631">
        <v>39267</v>
      </c>
      <c r="D12" s="632" t="s">
        <v>9394</v>
      </c>
      <c r="E12" s="633" t="s">
        <v>3530</v>
      </c>
      <c r="F12" s="634">
        <v>50</v>
      </c>
      <c r="G12" s="635">
        <v>9.4</v>
      </c>
      <c r="H12" s="636">
        <v>470</v>
      </c>
      <c r="I12" s="637">
        <v>44099</v>
      </c>
      <c r="J12" s="638" t="s">
        <v>1829</v>
      </c>
      <c r="K12" s="289"/>
    </row>
    <row r="13" spans="1:11" s="284" customFormat="1" ht="13.5" customHeight="1">
      <c r="A13" s="357" t="s">
        <v>9662</v>
      </c>
      <c r="B13" s="294" t="s">
        <v>9663</v>
      </c>
      <c r="C13" s="282" t="s">
        <v>7853</v>
      </c>
      <c r="D13" s="283" t="s">
        <v>7854</v>
      </c>
      <c r="E13" s="286" t="s">
        <v>9946</v>
      </c>
      <c r="F13" s="285">
        <v>1</v>
      </c>
      <c r="G13" s="287">
        <v>6619</v>
      </c>
      <c r="H13" s="295">
        <v>6619</v>
      </c>
      <c r="I13" s="296">
        <v>44097</v>
      </c>
      <c r="J13" s="303"/>
      <c r="K13" s="289"/>
    </row>
    <row r="14" spans="1:11" s="284" customFormat="1" ht="13.5" customHeight="1">
      <c r="A14" s="629" t="s">
        <v>9386</v>
      </c>
      <c r="B14" s="630" t="s">
        <v>9396</v>
      </c>
      <c r="C14" s="631">
        <v>75217</v>
      </c>
      <c r="D14" s="632" t="s">
        <v>9388</v>
      </c>
      <c r="E14" s="633" t="s">
        <v>9711</v>
      </c>
      <c r="F14" s="634">
        <v>22</v>
      </c>
      <c r="G14" s="635">
        <v>60</v>
      </c>
      <c r="H14" s="636">
        <v>1320</v>
      </c>
      <c r="I14" s="637">
        <v>44097</v>
      </c>
      <c r="J14" s="638" t="s">
        <v>10235</v>
      </c>
      <c r="K14" s="289"/>
    </row>
    <row r="15" spans="1:11" s="284" customFormat="1" ht="12.75" customHeight="1">
      <c r="A15" s="629" t="s">
        <v>9892</v>
      </c>
      <c r="B15" s="630" t="s">
        <v>9893</v>
      </c>
      <c r="C15" s="631">
        <v>9856</v>
      </c>
      <c r="D15" s="632" t="s">
        <v>9896</v>
      </c>
      <c r="E15" s="633" t="s">
        <v>9711</v>
      </c>
      <c r="F15" s="634">
        <v>1</v>
      </c>
      <c r="G15" s="635">
        <v>240</v>
      </c>
      <c r="H15" s="636">
        <v>240</v>
      </c>
      <c r="I15" s="637">
        <v>44102</v>
      </c>
      <c r="J15" s="638" t="s">
        <v>10235</v>
      </c>
      <c r="K15" s="289"/>
    </row>
    <row r="16" spans="1:11" s="284" customFormat="1" ht="13.5" customHeight="1">
      <c r="A16" s="357" t="s">
        <v>10001</v>
      </c>
      <c r="B16" s="294" t="s">
        <v>10002</v>
      </c>
      <c r="C16" s="282">
        <v>91122</v>
      </c>
      <c r="D16" s="283" t="s">
        <v>2684</v>
      </c>
      <c r="E16" s="286" t="s">
        <v>7485</v>
      </c>
      <c r="F16" s="285">
        <v>4000</v>
      </c>
      <c r="G16" s="287">
        <v>0.63</v>
      </c>
      <c r="H16" s="295">
        <v>2520</v>
      </c>
      <c r="I16" s="296">
        <v>44111</v>
      </c>
      <c r="J16" s="303"/>
      <c r="K16" s="289"/>
    </row>
    <row r="17" spans="1:11" s="284" customFormat="1" ht="13.5" customHeight="1">
      <c r="A17" s="629" t="s">
        <v>10131</v>
      </c>
      <c r="B17" s="630" t="s">
        <v>10132</v>
      </c>
      <c r="C17" s="631">
        <v>34591</v>
      </c>
      <c r="D17" s="632" t="s">
        <v>1813</v>
      </c>
      <c r="E17" s="633" t="s">
        <v>8452</v>
      </c>
      <c r="F17" s="634">
        <v>150</v>
      </c>
      <c r="G17" s="635">
        <v>6.25</v>
      </c>
      <c r="H17" s="636">
        <v>937.5</v>
      </c>
      <c r="I17" s="637">
        <v>44119</v>
      </c>
      <c r="J17" s="638" t="s">
        <v>10235</v>
      </c>
      <c r="K17" s="289"/>
    </row>
    <row r="18" spans="1:11" s="284" customFormat="1" ht="13.5" customHeight="1">
      <c r="A18" s="629" t="s">
        <v>9985</v>
      </c>
      <c r="B18" s="630" t="s">
        <v>9986</v>
      </c>
      <c r="C18" s="631">
        <v>90074</v>
      </c>
      <c r="D18" s="632" t="s">
        <v>1256</v>
      </c>
      <c r="E18" s="633" t="s">
        <v>10075</v>
      </c>
      <c r="F18" s="634">
        <v>360</v>
      </c>
      <c r="G18" s="635">
        <v>0.7</v>
      </c>
      <c r="H18" s="636">
        <v>251.99999999999997</v>
      </c>
      <c r="I18" s="637">
        <v>44111</v>
      </c>
      <c r="J18" s="638" t="s">
        <v>10235</v>
      </c>
      <c r="K18" s="289"/>
    </row>
    <row r="19" spans="1:11" s="284" customFormat="1" ht="12.75" customHeight="1">
      <c r="A19" s="629" t="s">
        <v>10084</v>
      </c>
      <c r="B19" s="630" t="s">
        <v>10089</v>
      </c>
      <c r="C19" s="631">
        <v>90550</v>
      </c>
      <c r="D19" s="632" t="s">
        <v>1140</v>
      </c>
      <c r="E19" s="633" t="s">
        <v>10075</v>
      </c>
      <c r="F19" s="634">
        <v>400</v>
      </c>
      <c r="G19" s="635">
        <v>0.69</v>
      </c>
      <c r="H19" s="636">
        <v>276</v>
      </c>
      <c r="I19" s="637">
        <v>44112</v>
      </c>
      <c r="J19" s="638" t="s">
        <v>10235</v>
      </c>
      <c r="K19" s="289"/>
    </row>
    <row r="20" spans="1:11" s="284" customFormat="1" ht="13.5" customHeight="1">
      <c r="A20" s="629" t="s">
        <v>8587</v>
      </c>
      <c r="B20" s="630" t="s">
        <v>8555</v>
      </c>
      <c r="C20" s="631" t="s">
        <v>3209</v>
      </c>
      <c r="D20" s="632" t="s">
        <v>3290</v>
      </c>
      <c r="E20" s="633" t="s">
        <v>7819</v>
      </c>
      <c r="F20" s="634">
        <v>1</v>
      </c>
      <c r="G20" s="635">
        <v>4358</v>
      </c>
      <c r="H20" s="636">
        <v>4358</v>
      </c>
      <c r="I20" s="637">
        <v>43986</v>
      </c>
      <c r="J20" s="638" t="s">
        <v>10238</v>
      </c>
      <c r="K20" s="289"/>
    </row>
    <row r="21" spans="1:11" s="284" customFormat="1" ht="12.75" customHeight="1">
      <c r="A21" s="629" t="s">
        <v>8587</v>
      </c>
      <c r="B21" s="630" t="s">
        <v>8555</v>
      </c>
      <c r="C21" s="631" t="s">
        <v>3210</v>
      </c>
      <c r="D21" s="632" t="s">
        <v>3289</v>
      </c>
      <c r="E21" s="633" t="s">
        <v>7819</v>
      </c>
      <c r="F21" s="634">
        <v>1</v>
      </c>
      <c r="G21" s="635">
        <v>4358</v>
      </c>
      <c r="H21" s="636">
        <v>4358</v>
      </c>
      <c r="I21" s="637">
        <v>43986</v>
      </c>
      <c r="J21" s="638" t="s">
        <v>10238</v>
      </c>
      <c r="K21" s="289"/>
    </row>
    <row r="22" spans="1:11" s="284" customFormat="1" ht="13.5" customHeight="1">
      <c r="A22" s="629" t="s">
        <v>7301</v>
      </c>
      <c r="B22" s="630" t="s">
        <v>7470</v>
      </c>
      <c r="C22" s="631" t="s">
        <v>3121</v>
      </c>
      <c r="D22" s="632" t="s">
        <v>3247</v>
      </c>
      <c r="E22" s="633" t="s">
        <v>7582</v>
      </c>
      <c r="F22" s="634">
        <v>1</v>
      </c>
      <c r="G22" s="635">
        <v>10730</v>
      </c>
      <c r="H22" s="636">
        <v>10730</v>
      </c>
      <c r="I22" s="637">
        <v>43909</v>
      </c>
      <c r="J22" s="638" t="s">
        <v>10235</v>
      </c>
      <c r="K22" s="289"/>
    </row>
    <row r="23" spans="1:11" s="284" customFormat="1" ht="13.5" customHeight="1">
      <c r="A23" s="357" t="s">
        <v>10062</v>
      </c>
      <c r="B23" s="294" t="s">
        <v>10063</v>
      </c>
      <c r="C23" s="282">
        <v>34010</v>
      </c>
      <c r="D23" s="283" t="s">
        <v>10165</v>
      </c>
      <c r="E23" s="286" t="s">
        <v>7392</v>
      </c>
      <c r="F23" s="285">
        <v>1</v>
      </c>
      <c r="G23" s="287">
        <v>430</v>
      </c>
      <c r="H23" s="295">
        <v>430</v>
      </c>
      <c r="I23" s="296">
        <v>44118</v>
      </c>
      <c r="J23" s="303"/>
      <c r="K23" s="289"/>
    </row>
    <row r="24" spans="1:11" s="284" customFormat="1" ht="13.5" customHeight="1">
      <c r="A24" s="357" t="s">
        <v>10070</v>
      </c>
      <c r="B24" s="294" t="s">
        <v>10071</v>
      </c>
      <c r="C24" s="282">
        <v>31229</v>
      </c>
      <c r="D24" s="283" t="s">
        <v>10072</v>
      </c>
      <c r="E24" s="286" t="s">
        <v>7392</v>
      </c>
      <c r="F24" s="285">
        <v>5</v>
      </c>
      <c r="G24" s="287">
        <v>790</v>
      </c>
      <c r="H24" s="295">
        <v>3950</v>
      </c>
      <c r="I24" s="296">
        <v>44112</v>
      </c>
      <c r="J24" s="303"/>
      <c r="K24" s="289"/>
    </row>
    <row r="25" spans="1:11" ht="13.5" customHeight="1">
      <c r="D25" s="291"/>
      <c r="E25" s="626" t="s">
        <v>1876</v>
      </c>
      <c r="F25" s="627"/>
      <c r="G25" s="628"/>
      <c r="H25" s="625">
        <f>SUBTOTAL(109,H2:H24)</f>
        <v>55304.5</v>
      </c>
      <c r="J25" s="304"/>
    </row>
    <row r="26" spans="1:11" ht="13.5" customHeight="1">
      <c r="D26" s="291"/>
      <c r="E26" s="291"/>
      <c r="G26" s="291"/>
      <c r="J26" s="304"/>
    </row>
    <row r="27" spans="1:11" ht="13.5" customHeight="1">
      <c r="D27" s="291"/>
      <c r="E27" s="291"/>
      <c r="G27" s="291"/>
      <c r="J27" s="304"/>
    </row>
    <row r="28" spans="1:11" ht="13.5" customHeight="1">
      <c r="D28" s="291"/>
      <c r="E28" s="291"/>
      <c r="G28" s="291"/>
      <c r="J28" s="304"/>
    </row>
    <row r="29" spans="1:11" ht="13.5" customHeight="1">
      <c r="D29" s="291"/>
      <c r="E29" s="291"/>
      <c r="G29" s="291"/>
      <c r="J29" s="304"/>
    </row>
    <row r="30" spans="1:11" ht="13.5" customHeight="1">
      <c r="D30" s="291"/>
      <c r="E30" s="291"/>
      <c r="G30" s="291"/>
      <c r="J30" s="304"/>
    </row>
    <row r="31" spans="1:11" ht="13.5" customHeight="1">
      <c r="D31" s="291"/>
      <c r="E31" s="291"/>
      <c r="G31" s="291"/>
      <c r="J31" s="304"/>
    </row>
    <row r="32" spans="1:11" ht="13.5" customHeight="1">
      <c r="D32" s="291"/>
      <c r="E32" s="291"/>
      <c r="G32" s="291"/>
      <c r="J32" s="304"/>
    </row>
  </sheetData>
  <autoFilter ref="A1:J24"/>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E127"/>
  <sheetViews>
    <sheetView topLeftCell="A109" workbookViewId="0">
      <selection activeCell="G120" sqref="G120"/>
    </sheetView>
  </sheetViews>
  <sheetFormatPr defaultColWidth="9.140625" defaultRowHeight="15"/>
  <cols>
    <col min="1" max="1" width="9.140625" style="65"/>
    <col min="2" max="2" width="7.85546875" style="65" bestFit="1" customWidth="1"/>
    <col min="3" max="3" width="22.7109375" style="65" bestFit="1" customWidth="1"/>
    <col min="4" max="4" width="9.42578125" style="65" bestFit="1" customWidth="1"/>
    <col min="5" max="16384" width="9.140625" style="65"/>
  </cols>
  <sheetData>
    <row r="1" spans="1:5" s="423" customFormat="1">
      <c r="A1" s="423" t="s">
        <v>7727</v>
      </c>
      <c r="C1" s="423" t="s">
        <v>9885</v>
      </c>
    </row>
    <row r="2" spans="1:5">
      <c r="A2" s="478" t="s">
        <v>7728</v>
      </c>
    </row>
    <row r="3" spans="1:5">
      <c r="A3" s="424" t="s">
        <v>7729</v>
      </c>
      <c r="B3" s="424" t="s">
        <v>1113</v>
      </c>
      <c r="C3" s="424" t="s">
        <v>3609</v>
      </c>
      <c r="D3" s="424" t="s">
        <v>568</v>
      </c>
    </row>
    <row r="4" spans="1:5" s="51" customFormat="1">
      <c r="A4" s="341" t="s">
        <v>7307</v>
      </c>
      <c r="B4" s="341" t="s">
        <v>1687</v>
      </c>
      <c r="C4" s="341" t="s">
        <v>7755</v>
      </c>
      <c r="D4" s="341" t="s">
        <v>7765</v>
      </c>
      <c r="E4" s="425">
        <v>1</v>
      </c>
    </row>
    <row r="5" spans="1:5" s="51" customFormat="1">
      <c r="A5" s="341" t="s">
        <v>7427</v>
      </c>
      <c r="B5" s="341" t="s">
        <v>7207</v>
      </c>
      <c r="C5" s="341" t="s">
        <v>8180</v>
      </c>
      <c r="D5" s="341" t="s">
        <v>8179</v>
      </c>
      <c r="E5" s="425">
        <v>2</v>
      </c>
    </row>
    <row r="6" spans="1:5" s="51" customFormat="1">
      <c r="A6" s="341" t="s">
        <v>7340</v>
      </c>
      <c r="B6" s="341" t="s">
        <v>1687</v>
      </c>
      <c r="C6" s="341" t="s">
        <v>8376</v>
      </c>
      <c r="D6" s="341" t="s">
        <v>8360</v>
      </c>
      <c r="E6" s="425">
        <v>3</v>
      </c>
    </row>
    <row r="7" spans="1:5" s="51" customFormat="1">
      <c r="A7" s="341" t="s">
        <v>7717</v>
      </c>
      <c r="B7" s="341" t="s">
        <v>7207</v>
      </c>
      <c r="C7" s="341" t="s">
        <v>8434</v>
      </c>
      <c r="D7" s="341" t="s">
        <v>8419</v>
      </c>
      <c r="E7" s="425">
        <v>4</v>
      </c>
    </row>
    <row r="8" spans="1:5" s="51" customFormat="1">
      <c r="A8" s="341" t="s">
        <v>7706</v>
      </c>
      <c r="B8" s="341" t="s">
        <v>7207</v>
      </c>
      <c r="C8" s="341" t="s">
        <v>8437</v>
      </c>
      <c r="D8" s="341" t="s">
        <v>8425</v>
      </c>
      <c r="E8" s="425">
        <v>5</v>
      </c>
    </row>
    <row r="9" spans="1:5" s="51" customFormat="1">
      <c r="A9" s="341" t="s">
        <v>7708</v>
      </c>
      <c r="B9" s="341" t="s">
        <v>7207</v>
      </c>
      <c r="C9" s="341" t="s">
        <v>8430</v>
      </c>
      <c r="D9" s="341" t="s">
        <v>8431</v>
      </c>
      <c r="E9" s="425">
        <v>6</v>
      </c>
    </row>
    <row r="10" spans="1:5" s="51" customFormat="1">
      <c r="A10" s="341" t="s">
        <v>7704</v>
      </c>
      <c r="B10" s="341" t="s">
        <v>7207</v>
      </c>
      <c r="C10" s="341" t="s">
        <v>8438</v>
      </c>
      <c r="D10" s="341" t="s">
        <v>8439</v>
      </c>
      <c r="E10" s="425">
        <v>7</v>
      </c>
    </row>
    <row r="11" spans="1:5" s="51" customFormat="1">
      <c r="A11" s="341" t="s">
        <v>7353</v>
      </c>
      <c r="B11" s="341" t="s">
        <v>1687</v>
      </c>
      <c r="C11" s="341" t="s">
        <v>8440</v>
      </c>
      <c r="D11" s="341" t="s">
        <v>8441</v>
      </c>
      <c r="E11" s="425">
        <v>8</v>
      </c>
    </row>
    <row r="12" spans="1:5" s="51" customFormat="1">
      <c r="A12" s="341" t="s">
        <v>7341</v>
      </c>
      <c r="B12" s="341" t="s">
        <v>1687</v>
      </c>
      <c r="C12" s="341" t="s">
        <v>8449</v>
      </c>
      <c r="D12" s="341" t="s">
        <v>8448</v>
      </c>
      <c r="E12" s="425">
        <v>9</v>
      </c>
    </row>
    <row r="13" spans="1:5" s="51" customFormat="1">
      <c r="A13" s="341" t="s">
        <v>8029</v>
      </c>
      <c r="B13" s="341" t="s">
        <v>3608</v>
      </c>
      <c r="C13" s="341" t="s">
        <v>8465</v>
      </c>
      <c r="D13" s="341" t="s">
        <v>8457</v>
      </c>
      <c r="E13" s="479">
        <v>10</v>
      </c>
    </row>
    <row r="14" spans="1:5" s="51" customFormat="1">
      <c r="A14" s="341" t="s">
        <v>8116</v>
      </c>
      <c r="B14" s="341" t="s">
        <v>3608</v>
      </c>
      <c r="C14" s="341" t="s">
        <v>8546</v>
      </c>
      <c r="D14" s="341" t="s">
        <v>8530</v>
      </c>
      <c r="E14" s="425">
        <v>11</v>
      </c>
    </row>
    <row r="15" spans="1:5" s="51" customFormat="1">
      <c r="A15" s="341" t="s">
        <v>8120</v>
      </c>
      <c r="B15" s="341" t="s">
        <v>3608</v>
      </c>
      <c r="C15" s="341" t="s">
        <v>8550</v>
      </c>
      <c r="D15" s="341" t="s">
        <v>8534</v>
      </c>
      <c r="E15" s="425">
        <v>12</v>
      </c>
    </row>
    <row r="16" spans="1:5" s="51" customFormat="1">
      <c r="A16" s="341" t="s">
        <v>7385</v>
      </c>
      <c r="B16" s="341" t="s">
        <v>1687</v>
      </c>
      <c r="C16" s="341" t="s">
        <v>8612</v>
      </c>
      <c r="D16" s="341" t="s">
        <v>8613</v>
      </c>
      <c r="E16" s="425">
        <v>13</v>
      </c>
    </row>
    <row r="17" spans="1:5" s="51" customFormat="1">
      <c r="A17" s="341" t="s">
        <v>8195</v>
      </c>
      <c r="B17" s="341" t="s">
        <v>3608</v>
      </c>
      <c r="C17" s="341" t="s">
        <v>8628</v>
      </c>
      <c r="D17" s="341" t="s">
        <v>8629</v>
      </c>
      <c r="E17" s="425">
        <v>14</v>
      </c>
    </row>
    <row r="18" spans="1:5" s="51" customFormat="1">
      <c r="A18" s="341" t="s">
        <v>7798</v>
      </c>
      <c r="B18" s="341" t="s">
        <v>7207</v>
      </c>
      <c r="C18" s="341" t="s">
        <v>8656</v>
      </c>
      <c r="D18" s="341" t="s">
        <v>8657</v>
      </c>
      <c r="E18" s="425">
        <v>15</v>
      </c>
    </row>
    <row r="19" spans="1:5" s="51" customFormat="1">
      <c r="A19" s="341" t="s">
        <v>7855</v>
      </c>
      <c r="B19" s="341" t="s">
        <v>7207</v>
      </c>
      <c r="C19" s="341" t="s">
        <v>8666</v>
      </c>
      <c r="D19" s="341" t="s">
        <v>8667</v>
      </c>
      <c r="E19" s="425">
        <v>16</v>
      </c>
    </row>
    <row r="20" spans="1:5" s="427" customFormat="1">
      <c r="A20" s="426" t="s">
        <v>7800</v>
      </c>
      <c r="B20" s="426" t="s">
        <v>7207</v>
      </c>
      <c r="C20" s="426" t="s">
        <v>8672</v>
      </c>
      <c r="D20" s="426" t="s">
        <v>8673</v>
      </c>
      <c r="E20" s="425">
        <v>17</v>
      </c>
    </row>
    <row r="21" spans="1:5" s="51" customFormat="1">
      <c r="A21" s="341" t="s">
        <v>7255</v>
      </c>
      <c r="B21" s="341" t="s">
        <v>1739</v>
      </c>
      <c r="C21" s="341" t="s">
        <v>8759</v>
      </c>
      <c r="D21" s="341" t="s">
        <v>8760</v>
      </c>
      <c r="E21" s="425">
        <v>18</v>
      </c>
    </row>
    <row r="22" spans="1:5" s="51" customFormat="1">
      <c r="A22" s="341" t="s">
        <v>7867</v>
      </c>
      <c r="B22" s="341" t="s">
        <v>7207</v>
      </c>
      <c r="C22" s="341" t="s">
        <v>8795</v>
      </c>
      <c r="D22" s="341" t="s">
        <v>8796</v>
      </c>
      <c r="E22" s="425">
        <v>19</v>
      </c>
    </row>
    <row r="23" spans="1:5" s="51" customFormat="1">
      <c r="A23" s="341" t="s">
        <v>7868</v>
      </c>
      <c r="B23" s="341" t="s">
        <v>7207</v>
      </c>
      <c r="C23" s="341" t="s">
        <v>8799</v>
      </c>
      <c r="D23" s="341" t="s">
        <v>8798</v>
      </c>
      <c r="E23" s="479">
        <v>20</v>
      </c>
    </row>
    <row r="24" spans="1:5" s="51" customFormat="1">
      <c r="A24" s="341" t="s">
        <v>7402</v>
      </c>
      <c r="B24" s="341" t="s">
        <v>1687</v>
      </c>
      <c r="C24" s="341" t="s">
        <v>8813</v>
      </c>
      <c r="D24" s="341" t="s">
        <v>8811</v>
      </c>
      <c r="E24" s="425">
        <v>21</v>
      </c>
    </row>
    <row r="25" spans="1:5" s="51" customFormat="1">
      <c r="A25" s="341" t="s">
        <v>7879</v>
      </c>
      <c r="B25" s="341" t="s">
        <v>7207</v>
      </c>
      <c r="C25" s="341" t="s">
        <v>8829</v>
      </c>
      <c r="D25" s="341" t="s">
        <v>8832</v>
      </c>
      <c r="E25" s="425">
        <v>22</v>
      </c>
    </row>
    <row r="26" spans="1:5" s="51" customFormat="1">
      <c r="A26" s="341" t="s">
        <v>7889</v>
      </c>
      <c r="B26" s="341" t="s">
        <v>7207</v>
      </c>
      <c r="C26" s="341" t="s">
        <v>8841</v>
      </c>
      <c r="D26" s="341" t="s">
        <v>8842</v>
      </c>
      <c r="E26" s="425">
        <v>23</v>
      </c>
    </row>
    <row r="27" spans="1:5" s="51" customFormat="1">
      <c r="A27" s="341" t="s">
        <v>7875</v>
      </c>
      <c r="B27" s="341" t="s">
        <v>7207</v>
      </c>
      <c r="C27" s="341" t="s">
        <v>8844</v>
      </c>
      <c r="D27" s="341" t="s">
        <v>8843</v>
      </c>
      <c r="E27" s="425">
        <v>24</v>
      </c>
    </row>
    <row r="28" spans="1:5" s="51" customFormat="1">
      <c r="A28" s="341" t="s">
        <v>7870</v>
      </c>
      <c r="B28" s="341" t="s">
        <v>7207</v>
      </c>
      <c r="C28" s="341" t="s">
        <v>8845</v>
      </c>
      <c r="D28" s="341" t="s">
        <v>8846</v>
      </c>
      <c r="E28" s="425">
        <v>25</v>
      </c>
    </row>
    <row r="29" spans="1:5" s="51" customFormat="1">
      <c r="A29" s="341" t="s">
        <v>7880</v>
      </c>
      <c r="B29" s="341" t="s">
        <v>7207</v>
      </c>
      <c r="C29" s="341" t="s">
        <v>8848</v>
      </c>
      <c r="D29" s="341" t="s">
        <v>8847</v>
      </c>
      <c r="E29" s="425">
        <v>26</v>
      </c>
    </row>
    <row r="30" spans="1:5" s="51" customFormat="1">
      <c r="A30" s="341" t="s">
        <v>8856</v>
      </c>
      <c r="B30" s="341" t="s">
        <v>3608</v>
      </c>
      <c r="C30" s="341" t="s">
        <v>8857</v>
      </c>
      <c r="D30" s="341" t="s">
        <v>8858</v>
      </c>
      <c r="E30" s="425">
        <v>27</v>
      </c>
    </row>
    <row r="31" spans="1:5" s="51" customFormat="1">
      <c r="A31" s="341" t="s">
        <v>8411</v>
      </c>
      <c r="B31" s="341" t="s">
        <v>3608</v>
      </c>
      <c r="C31" s="341" t="s">
        <v>8869</v>
      </c>
      <c r="D31" s="341" t="s">
        <v>8870</v>
      </c>
      <c r="E31" s="425">
        <v>28</v>
      </c>
    </row>
    <row r="32" spans="1:5" s="51" customFormat="1">
      <c r="A32" s="341" t="s">
        <v>7891</v>
      </c>
      <c r="B32" s="341" t="s">
        <v>7207</v>
      </c>
      <c r="C32" s="341" t="s">
        <v>8875</v>
      </c>
      <c r="D32" s="341" t="s">
        <v>8876</v>
      </c>
      <c r="E32" s="425">
        <v>29</v>
      </c>
    </row>
    <row r="33" spans="1:5" s="51" customFormat="1">
      <c r="A33" s="341" t="s">
        <v>7893</v>
      </c>
      <c r="B33" s="341" t="s">
        <v>7207</v>
      </c>
      <c r="C33" s="341" t="s">
        <v>8885</v>
      </c>
      <c r="D33" s="341" t="s">
        <v>8886</v>
      </c>
      <c r="E33" s="479">
        <v>30</v>
      </c>
    </row>
    <row r="34" spans="1:5" s="51" customFormat="1">
      <c r="A34" s="341" t="s">
        <v>7403</v>
      </c>
      <c r="B34" s="341" t="s">
        <v>1687</v>
      </c>
      <c r="C34" s="341" t="s">
        <v>8906</v>
      </c>
      <c r="D34" s="341" t="s">
        <v>8907</v>
      </c>
      <c r="E34" s="425">
        <v>31</v>
      </c>
    </row>
    <row r="35" spans="1:5" s="51" customFormat="1">
      <c r="A35" s="341" t="s">
        <v>8423</v>
      </c>
      <c r="B35" s="341" t="s">
        <v>3608</v>
      </c>
      <c r="C35" s="341" t="s">
        <v>8940</v>
      </c>
      <c r="D35" s="341" t="s">
        <v>8960</v>
      </c>
      <c r="E35" s="425">
        <v>32</v>
      </c>
    </row>
    <row r="36" spans="1:5" s="51" customFormat="1">
      <c r="A36" s="341" t="s">
        <v>8433</v>
      </c>
      <c r="B36" s="341" t="s">
        <v>3608</v>
      </c>
      <c r="C36" s="341" t="s">
        <v>8944</v>
      </c>
      <c r="D36" s="341" t="s">
        <v>8963</v>
      </c>
      <c r="E36" s="425">
        <v>33</v>
      </c>
    </row>
    <row r="37" spans="1:5" s="51" customFormat="1">
      <c r="A37" s="341" t="s">
        <v>7897</v>
      </c>
      <c r="B37" s="341" t="s">
        <v>7207</v>
      </c>
      <c r="C37" s="341" t="s">
        <v>8953</v>
      </c>
      <c r="D37" s="341" t="s">
        <v>8967</v>
      </c>
      <c r="E37" s="425">
        <v>34</v>
      </c>
    </row>
    <row r="38" spans="1:5" s="51" customFormat="1">
      <c r="A38" s="341" t="s">
        <v>8431</v>
      </c>
      <c r="B38" s="341" t="s">
        <v>3608</v>
      </c>
      <c r="C38" s="341" t="s">
        <v>8948</v>
      </c>
      <c r="D38" s="341" t="s">
        <v>8968</v>
      </c>
      <c r="E38" s="425">
        <v>35</v>
      </c>
    </row>
    <row r="39" spans="1:5" s="51" customFormat="1">
      <c r="A39" s="341" t="s">
        <v>8436</v>
      </c>
      <c r="B39" s="341" t="s">
        <v>3608</v>
      </c>
      <c r="C39" s="341" t="s">
        <v>8949</v>
      </c>
      <c r="D39" s="341" t="s">
        <v>8970</v>
      </c>
      <c r="E39" s="425">
        <v>36</v>
      </c>
    </row>
    <row r="40" spans="1:5" s="51" customFormat="1">
      <c r="A40" s="341" t="s">
        <v>8477</v>
      </c>
      <c r="B40" s="341" t="s">
        <v>3608</v>
      </c>
      <c r="C40" s="341" t="s">
        <v>8973</v>
      </c>
      <c r="D40" s="341" t="s">
        <v>8974</v>
      </c>
      <c r="E40" s="425">
        <v>37</v>
      </c>
    </row>
    <row r="41" spans="1:5" s="51" customFormat="1">
      <c r="A41" s="341" t="s">
        <v>8456</v>
      </c>
      <c r="B41" s="341" t="s">
        <v>3608</v>
      </c>
      <c r="C41" s="341" t="s">
        <v>8977</v>
      </c>
      <c r="D41" s="341" t="s">
        <v>8978</v>
      </c>
      <c r="E41" s="425">
        <v>38</v>
      </c>
    </row>
    <row r="42" spans="1:5" s="51" customFormat="1">
      <c r="A42" s="341" t="s">
        <v>8457</v>
      </c>
      <c r="B42" s="341" t="s">
        <v>3608</v>
      </c>
      <c r="C42" s="341" t="s">
        <v>8983</v>
      </c>
      <c r="D42" s="341" t="s">
        <v>8986</v>
      </c>
      <c r="E42" s="425">
        <v>39</v>
      </c>
    </row>
    <row r="43" spans="1:5" s="51" customFormat="1">
      <c r="A43" s="341" t="s">
        <v>7908</v>
      </c>
      <c r="B43" s="341" t="s">
        <v>7207</v>
      </c>
      <c r="C43" s="341" t="s">
        <v>8993</v>
      </c>
      <c r="D43" s="341" t="s">
        <v>8994</v>
      </c>
      <c r="E43" s="479">
        <v>40</v>
      </c>
    </row>
    <row r="44" spans="1:5" s="51" customFormat="1">
      <c r="A44" s="341" t="s">
        <v>8574</v>
      </c>
      <c r="B44" s="341" t="s">
        <v>3608</v>
      </c>
      <c r="C44" s="341" t="s">
        <v>9002</v>
      </c>
      <c r="D44" s="341" t="s">
        <v>9003</v>
      </c>
      <c r="E44" s="425">
        <v>41</v>
      </c>
    </row>
    <row r="45" spans="1:5" s="51" customFormat="1">
      <c r="A45" s="341" t="s">
        <v>7910</v>
      </c>
      <c r="B45" s="341" t="s">
        <v>7207</v>
      </c>
      <c r="C45" s="341" t="s">
        <v>9008</v>
      </c>
      <c r="D45" s="341" t="s">
        <v>9009</v>
      </c>
      <c r="E45" s="425">
        <v>42</v>
      </c>
    </row>
    <row r="46" spans="1:5" s="51" customFormat="1">
      <c r="A46" s="341" t="s">
        <v>7950</v>
      </c>
      <c r="B46" s="341" t="s">
        <v>7207</v>
      </c>
      <c r="C46" s="341" t="s">
        <v>9044</v>
      </c>
      <c r="D46" s="341" t="s">
        <v>9045</v>
      </c>
      <c r="E46" s="425">
        <v>43</v>
      </c>
    </row>
    <row r="47" spans="1:5" s="51" customFormat="1">
      <c r="A47" s="341" t="s">
        <v>7945</v>
      </c>
      <c r="B47" s="341" t="s">
        <v>7207</v>
      </c>
      <c r="C47" s="341" t="s">
        <v>9093</v>
      </c>
      <c r="D47" s="341" t="s">
        <v>9090</v>
      </c>
      <c r="E47" s="425">
        <v>44</v>
      </c>
    </row>
    <row r="48" spans="1:5" s="51" customFormat="1">
      <c r="A48" s="341" t="s">
        <v>7944</v>
      </c>
      <c r="B48" s="341" t="s">
        <v>7207</v>
      </c>
      <c r="C48" s="341" t="s">
        <v>9081</v>
      </c>
      <c r="D48" s="341" t="s">
        <v>9091</v>
      </c>
      <c r="E48" s="425">
        <v>45</v>
      </c>
    </row>
    <row r="49" spans="1:5" s="51" customFormat="1">
      <c r="A49" s="341" t="s">
        <v>7949</v>
      </c>
      <c r="B49" s="341" t="s">
        <v>7207</v>
      </c>
      <c r="C49" s="341" t="s">
        <v>9048</v>
      </c>
      <c r="D49" s="341" t="s">
        <v>9092</v>
      </c>
      <c r="E49" s="425">
        <v>46</v>
      </c>
    </row>
    <row r="50" spans="1:5" s="51" customFormat="1">
      <c r="A50" s="341" t="s">
        <v>8576</v>
      </c>
      <c r="B50" s="341" t="s">
        <v>3608</v>
      </c>
      <c r="C50" s="341" t="s">
        <v>9098</v>
      </c>
      <c r="D50" s="341" t="s">
        <v>9099</v>
      </c>
      <c r="E50" s="425">
        <v>47</v>
      </c>
    </row>
    <row r="51" spans="1:5" s="51" customFormat="1">
      <c r="A51" s="341" t="s">
        <v>8580</v>
      </c>
      <c r="B51" s="341" t="s">
        <v>3608</v>
      </c>
      <c r="C51" s="341" t="s">
        <v>9109</v>
      </c>
      <c r="D51" s="341" t="s">
        <v>9110</v>
      </c>
      <c r="E51" s="425">
        <v>48</v>
      </c>
    </row>
    <row r="52" spans="1:5" s="51" customFormat="1">
      <c r="A52" s="341" t="s">
        <v>8581</v>
      </c>
      <c r="B52" s="341" t="s">
        <v>3608</v>
      </c>
      <c r="C52" s="341" t="s">
        <v>9113</v>
      </c>
      <c r="D52" s="341" t="s">
        <v>9114</v>
      </c>
      <c r="E52" s="425">
        <v>49</v>
      </c>
    </row>
    <row r="53" spans="1:5" s="51" customFormat="1">
      <c r="A53" s="341" t="s">
        <v>7953</v>
      </c>
      <c r="B53" s="341" t="s">
        <v>7207</v>
      </c>
      <c r="C53" s="341" t="s">
        <v>9117</v>
      </c>
      <c r="D53" s="341" t="s">
        <v>9118</v>
      </c>
      <c r="E53" s="479">
        <v>50</v>
      </c>
    </row>
    <row r="54" spans="1:5" s="51" customFormat="1">
      <c r="A54" s="341" t="s">
        <v>8508</v>
      </c>
      <c r="B54" s="341" t="s">
        <v>3608</v>
      </c>
      <c r="C54" s="341" t="s">
        <v>9121</v>
      </c>
      <c r="D54" s="341" t="s">
        <v>9122</v>
      </c>
      <c r="E54" s="425">
        <v>51</v>
      </c>
    </row>
    <row r="55" spans="1:5" s="51" customFormat="1">
      <c r="A55" s="341" t="s">
        <v>8582</v>
      </c>
      <c r="B55" s="341" t="s">
        <v>3608</v>
      </c>
      <c r="C55" s="341" t="s">
        <v>9123</v>
      </c>
      <c r="D55" s="341" t="s">
        <v>9124</v>
      </c>
      <c r="E55" s="425">
        <v>52</v>
      </c>
    </row>
    <row r="56" spans="1:5" s="51" customFormat="1">
      <c r="A56" s="341" t="s">
        <v>8509</v>
      </c>
      <c r="B56" s="341" t="s">
        <v>3608</v>
      </c>
      <c r="C56" s="341" t="s">
        <v>9126</v>
      </c>
      <c r="D56" s="341" t="s">
        <v>9127</v>
      </c>
      <c r="E56" s="425">
        <v>53</v>
      </c>
    </row>
    <row r="57" spans="1:5" s="51" customFormat="1">
      <c r="A57" s="341" t="s">
        <v>8510</v>
      </c>
      <c r="B57" s="341" t="s">
        <v>3608</v>
      </c>
      <c r="C57" s="341" t="s">
        <v>9128</v>
      </c>
      <c r="D57" s="341" t="s">
        <v>9129</v>
      </c>
      <c r="E57" s="425">
        <v>54</v>
      </c>
    </row>
    <row r="58" spans="1:5" s="51" customFormat="1">
      <c r="A58" s="341" t="s">
        <v>8524</v>
      </c>
      <c r="B58" s="341" t="s">
        <v>3608</v>
      </c>
      <c r="C58" s="341" t="s">
        <v>9130</v>
      </c>
      <c r="D58" s="341" t="s">
        <v>9131</v>
      </c>
      <c r="E58" s="425">
        <v>55</v>
      </c>
    </row>
    <row r="59" spans="1:5" s="51" customFormat="1">
      <c r="A59" s="341" t="s">
        <v>8525</v>
      </c>
      <c r="B59" s="341" t="s">
        <v>3608</v>
      </c>
      <c r="C59" s="341" t="s">
        <v>9132</v>
      </c>
      <c r="D59" s="341" t="s">
        <v>9133</v>
      </c>
      <c r="E59" s="425">
        <v>56</v>
      </c>
    </row>
    <row r="60" spans="1:5" s="51" customFormat="1">
      <c r="A60" s="341" t="s">
        <v>7959</v>
      </c>
      <c r="B60" s="341" t="s">
        <v>7207</v>
      </c>
      <c r="C60" s="341" t="s">
        <v>9134</v>
      </c>
      <c r="D60" s="341" t="s">
        <v>9135</v>
      </c>
      <c r="E60" s="425">
        <v>57</v>
      </c>
    </row>
    <row r="61" spans="1:5" s="51" customFormat="1">
      <c r="A61" s="341" t="s">
        <v>7957</v>
      </c>
      <c r="B61" s="341" t="s">
        <v>7207</v>
      </c>
      <c r="C61" s="341" t="s">
        <v>9136</v>
      </c>
      <c r="D61" s="341" t="s">
        <v>9137</v>
      </c>
      <c r="E61" s="425">
        <v>58</v>
      </c>
    </row>
    <row r="62" spans="1:5" s="51" customFormat="1">
      <c r="A62" s="341" t="s">
        <v>7903</v>
      </c>
      <c r="B62" s="341" t="s">
        <v>7207</v>
      </c>
      <c r="C62" s="341" t="s">
        <v>9138</v>
      </c>
      <c r="D62" s="341" t="s">
        <v>9139</v>
      </c>
      <c r="E62" s="425">
        <v>59</v>
      </c>
    </row>
    <row r="63" spans="1:5" s="51" customFormat="1">
      <c r="A63" s="341" t="s">
        <v>8527</v>
      </c>
      <c r="B63" s="341" t="s">
        <v>3608</v>
      </c>
      <c r="C63" s="341" t="s">
        <v>9146</v>
      </c>
      <c r="D63" s="341" t="s">
        <v>9147</v>
      </c>
      <c r="E63" s="479">
        <v>60</v>
      </c>
    </row>
    <row r="64" spans="1:5" s="51" customFormat="1">
      <c r="A64" s="341" t="s">
        <v>8528</v>
      </c>
      <c r="B64" s="341" t="s">
        <v>3608</v>
      </c>
      <c r="C64" s="341" t="s">
        <v>9148</v>
      </c>
      <c r="D64" s="341" t="s">
        <v>9149</v>
      </c>
      <c r="E64" s="425">
        <v>61</v>
      </c>
    </row>
    <row r="65" spans="1:5" s="51" customFormat="1">
      <c r="A65" s="341" t="s">
        <v>8530</v>
      </c>
      <c r="B65" s="341" t="s">
        <v>3608</v>
      </c>
      <c r="C65" s="341" t="s">
        <v>9152</v>
      </c>
      <c r="D65" s="341" t="s">
        <v>9153</v>
      </c>
      <c r="E65" s="425">
        <v>62</v>
      </c>
    </row>
    <row r="66" spans="1:5" s="51" customFormat="1">
      <c r="A66" s="341" t="s">
        <v>8531</v>
      </c>
      <c r="B66" s="341" t="s">
        <v>3608</v>
      </c>
      <c r="C66" s="341" t="s">
        <v>9154</v>
      </c>
      <c r="D66" s="341" t="s">
        <v>9155</v>
      </c>
      <c r="E66" s="425">
        <v>63</v>
      </c>
    </row>
    <row r="67" spans="1:5" s="51" customFormat="1">
      <c r="A67" s="341" t="s">
        <v>7960</v>
      </c>
      <c r="B67" s="341" t="s">
        <v>7207</v>
      </c>
      <c r="C67" s="341" t="s">
        <v>9156</v>
      </c>
      <c r="D67" s="341" t="s">
        <v>9157</v>
      </c>
      <c r="E67" s="425">
        <v>64</v>
      </c>
    </row>
    <row r="68" spans="1:5" s="51" customFormat="1">
      <c r="A68" s="341" t="s">
        <v>8533</v>
      </c>
      <c r="B68" s="341" t="s">
        <v>3608</v>
      </c>
      <c r="C68" s="341" t="s">
        <v>9220</v>
      </c>
      <c r="D68" s="341" t="s">
        <v>9221</v>
      </c>
      <c r="E68" s="425">
        <v>65</v>
      </c>
    </row>
    <row r="69" spans="1:5" s="51" customFormat="1">
      <c r="A69" s="341" t="s">
        <v>8536</v>
      </c>
      <c r="B69" s="341" t="s">
        <v>3608</v>
      </c>
      <c r="C69" s="341" t="s">
        <v>9226</v>
      </c>
      <c r="D69" s="341" t="s">
        <v>9227</v>
      </c>
      <c r="E69" s="425">
        <v>66</v>
      </c>
    </row>
    <row r="70" spans="1:5" s="51" customFormat="1">
      <c r="A70" s="341" t="s">
        <v>8007</v>
      </c>
      <c r="B70" s="341" t="s">
        <v>7207</v>
      </c>
      <c r="C70" s="341" t="s">
        <v>9241</v>
      </c>
      <c r="D70" s="341" t="s">
        <v>9232</v>
      </c>
      <c r="E70" s="425">
        <v>67</v>
      </c>
    </row>
    <row r="71" spans="1:5" s="51" customFormat="1">
      <c r="A71" s="341" t="s">
        <v>8009</v>
      </c>
      <c r="B71" s="341" t="s">
        <v>7207</v>
      </c>
      <c r="C71" s="341" t="s">
        <v>9240</v>
      </c>
      <c r="D71" s="341" t="s">
        <v>9233</v>
      </c>
      <c r="E71" s="425">
        <v>68</v>
      </c>
    </row>
    <row r="72" spans="1:5" s="51" customFormat="1">
      <c r="A72" s="341" t="s">
        <v>8011</v>
      </c>
      <c r="B72" s="341" t="s">
        <v>7207</v>
      </c>
      <c r="C72" s="341" t="s">
        <v>9280</v>
      </c>
      <c r="D72" s="341" t="s">
        <v>9281</v>
      </c>
      <c r="E72" s="425">
        <v>69</v>
      </c>
    </row>
    <row r="73" spans="1:5" s="51" customFormat="1">
      <c r="A73" s="341" t="s">
        <v>8539</v>
      </c>
      <c r="B73" s="341" t="s">
        <v>3608</v>
      </c>
      <c r="C73" s="341" t="s">
        <v>9287</v>
      </c>
      <c r="D73" s="341" t="s">
        <v>9288</v>
      </c>
      <c r="E73" s="479">
        <v>70</v>
      </c>
    </row>
    <row r="74" spans="1:5" s="51" customFormat="1">
      <c r="A74" s="341" t="s">
        <v>8538</v>
      </c>
      <c r="B74" s="341" t="s">
        <v>3608</v>
      </c>
      <c r="C74" s="341" t="s">
        <v>9289</v>
      </c>
      <c r="D74" s="341" t="s">
        <v>9290</v>
      </c>
      <c r="E74" s="425">
        <v>71</v>
      </c>
    </row>
    <row r="75" spans="1:5" s="51" customFormat="1">
      <c r="A75" s="341" t="s">
        <v>8540</v>
      </c>
      <c r="B75" s="341" t="s">
        <v>3608</v>
      </c>
      <c r="C75" s="341" t="s">
        <v>9291</v>
      </c>
      <c r="D75" s="341" t="s">
        <v>9292</v>
      </c>
      <c r="E75" s="425">
        <v>72</v>
      </c>
    </row>
    <row r="76" spans="1:5" s="51" customFormat="1">
      <c r="A76" s="341" t="s">
        <v>8541</v>
      </c>
      <c r="B76" s="341" t="s">
        <v>3608</v>
      </c>
      <c r="C76" s="341" t="s">
        <v>9293</v>
      </c>
      <c r="D76" s="341" t="s">
        <v>9294</v>
      </c>
      <c r="E76" s="425">
        <v>73</v>
      </c>
    </row>
    <row r="77" spans="1:5" s="51" customFormat="1">
      <c r="A77" s="341" t="s">
        <v>8542</v>
      </c>
      <c r="B77" s="341" t="s">
        <v>3608</v>
      </c>
      <c r="C77" s="341" t="s">
        <v>9295</v>
      </c>
      <c r="D77" s="341" t="s">
        <v>9296</v>
      </c>
      <c r="E77" s="425">
        <v>74</v>
      </c>
    </row>
    <row r="78" spans="1:5" s="51" customFormat="1">
      <c r="A78" s="341" t="s">
        <v>8015</v>
      </c>
      <c r="B78" s="341" t="s">
        <v>7207</v>
      </c>
      <c r="C78" s="341" t="s">
        <v>9304</v>
      </c>
      <c r="D78" s="341" t="s">
        <v>9305</v>
      </c>
      <c r="E78" s="425">
        <v>75</v>
      </c>
    </row>
    <row r="79" spans="1:5" s="51" customFormat="1">
      <c r="A79" s="341" t="s">
        <v>8544</v>
      </c>
      <c r="B79" s="341" t="s">
        <v>3608</v>
      </c>
      <c r="C79" s="341" t="s">
        <v>9314</v>
      </c>
      <c r="D79" s="341" t="s">
        <v>9307</v>
      </c>
      <c r="E79" s="425">
        <v>76</v>
      </c>
    </row>
    <row r="80" spans="1:5" s="51" customFormat="1">
      <c r="A80" s="341" t="s">
        <v>8018</v>
      </c>
      <c r="B80" s="341" t="s">
        <v>7207</v>
      </c>
      <c r="C80" s="341" t="s">
        <v>9311</v>
      </c>
      <c r="D80" s="341" t="s">
        <v>9308</v>
      </c>
      <c r="E80" s="425">
        <v>77</v>
      </c>
    </row>
    <row r="81" spans="1:5" s="51" customFormat="1">
      <c r="A81" s="341" t="s">
        <v>8589</v>
      </c>
      <c r="B81" s="341" t="s">
        <v>3608</v>
      </c>
      <c r="C81" s="341" t="s">
        <v>9322</v>
      </c>
      <c r="D81" s="341" t="s">
        <v>9316</v>
      </c>
      <c r="E81" s="425">
        <v>78</v>
      </c>
    </row>
    <row r="82" spans="1:5" s="51" customFormat="1">
      <c r="A82" s="341" t="s">
        <v>8601</v>
      </c>
      <c r="B82" s="341" t="s">
        <v>3608</v>
      </c>
      <c r="C82" s="341" t="s">
        <v>9325</v>
      </c>
      <c r="D82" s="341" t="s">
        <v>9318</v>
      </c>
      <c r="E82" s="425">
        <v>79</v>
      </c>
    </row>
    <row r="83" spans="1:5" s="51" customFormat="1">
      <c r="A83" s="341" t="s">
        <v>8590</v>
      </c>
      <c r="B83" s="341" t="s">
        <v>3608</v>
      </c>
      <c r="C83" s="341" t="s">
        <v>9326</v>
      </c>
      <c r="D83" s="341" t="s">
        <v>9327</v>
      </c>
      <c r="E83" s="479">
        <v>80</v>
      </c>
    </row>
    <row r="84" spans="1:5" s="51" customFormat="1">
      <c r="A84" s="341" t="s">
        <v>8605</v>
      </c>
      <c r="B84" s="341" t="s">
        <v>3608</v>
      </c>
      <c r="C84" s="341" t="s">
        <v>9328</v>
      </c>
      <c r="D84" s="341" t="s">
        <v>9329</v>
      </c>
      <c r="E84" s="425">
        <v>81</v>
      </c>
    </row>
    <row r="85" spans="1:5" s="51" customFormat="1">
      <c r="A85" s="341" t="s">
        <v>8543</v>
      </c>
      <c r="B85" s="341" t="s">
        <v>3608</v>
      </c>
      <c r="C85" s="341" t="s">
        <v>9331</v>
      </c>
      <c r="D85" s="341" t="s">
        <v>9335</v>
      </c>
      <c r="E85" s="425">
        <v>82</v>
      </c>
    </row>
    <row r="86" spans="1:5" s="51" customFormat="1">
      <c r="A86" s="341" t="s">
        <v>8613</v>
      </c>
      <c r="B86" s="341" t="s">
        <v>3608</v>
      </c>
      <c r="C86" s="341" t="s">
        <v>9332</v>
      </c>
      <c r="D86" s="341" t="s">
        <v>9336</v>
      </c>
      <c r="E86" s="425">
        <v>83</v>
      </c>
    </row>
    <row r="87" spans="1:5" s="51" customFormat="1">
      <c r="A87" s="341" t="s">
        <v>8617</v>
      </c>
      <c r="B87" s="341" t="s">
        <v>3608</v>
      </c>
      <c r="C87" s="341" t="s">
        <v>9333</v>
      </c>
      <c r="D87" s="341" t="s">
        <v>9337</v>
      </c>
      <c r="E87" s="425">
        <v>84</v>
      </c>
    </row>
    <row r="88" spans="1:5" s="51" customFormat="1">
      <c r="A88" s="341" t="s">
        <v>8619</v>
      </c>
      <c r="B88" s="341" t="s">
        <v>3608</v>
      </c>
      <c r="C88" s="341" t="s">
        <v>9334</v>
      </c>
      <c r="D88" s="341" t="s">
        <v>9338</v>
      </c>
      <c r="E88" s="425">
        <v>85</v>
      </c>
    </row>
    <row r="89" spans="1:5" s="51" customFormat="1">
      <c r="A89" s="341" t="s">
        <v>8554</v>
      </c>
      <c r="B89" s="341" t="s">
        <v>3608</v>
      </c>
      <c r="C89" s="341" t="s">
        <v>9345</v>
      </c>
      <c r="D89" s="341" t="s">
        <v>9346</v>
      </c>
      <c r="E89" s="425">
        <v>86</v>
      </c>
    </row>
    <row r="90" spans="1:5" s="51" customFormat="1">
      <c r="A90" s="341" t="s">
        <v>8021</v>
      </c>
      <c r="B90" s="341" t="s">
        <v>7207</v>
      </c>
      <c r="C90" s="341" t="s">
        <v>9347</v>
      </c>
      <c r="D90" s="341" t="s">
        <v>9348</v>
      </c>
      <c r="E90" s="425">
        <v>87</v>
      </c>
    </row>
    <row r="91" spans="1:5" s="51" customFormat="1">
      <c r="A91" s="341" t="s">
        <v>8025</v>
      </c>
      <c r="B91" s="341" t="s">
        <v>7207</v>
      </c>
      <c r="C91" s="341" t="s">
        <v>9351</v>
      </c>
      <c r="D91" s="341" t="s">
        <v>9352</v>
      </c>
      <c r="E91" s="425">
        <v>88</v>
      </c>
    </row>
    <row r="92" spans="1:5" s="51" customFormat="1">
      <c r="A92" s="341" t="s">
        <v>8635</v>
      </c>
      <c r="B92" s="341" t="s">
        <v>3608</v>
      </c>
      <c r="C92" s="341" t="s">
        <v>9382</v>
      </c>
      <c r="D92" s="341" t="s">
        <v>9383</v>
      </c>
      <c r="E92" s="425">
        <v>89</v>
      </c>
    </row>
    <row r="93" spans="1:5">
      <c r="A93" s="341" t="s">
        <v>8636</v>
      </c>
      <c r="B93" s="341" t="s">
        <v>3608</v>
      </c>
      <c r="C93" s="341" t="s">
        <v>9384</v>
      </c>
      <c r="D93" s="341" t="s">
        <v>9385</v>
      </c>
      <c r="E93" s="479">
        <v>90</v>
      </c>
    </row>
    <row r="94" spans="1:5">
      <c r="A94" s="341" t="s">
        <v>7405</v>
      </c>
      <c r="B94" s="341" t="s">
        <v>1687</v>
      </c>
      <c r="C94" s="341" t="s">
        <v>9387</v>
      </c>
      <c r="D94" s="341" t="s">
        <v>9397</v>
      </c>
      <c r="E94" s="425">
        <v>91</v>
      </c>
    </row>
    <row r="95" spans="1:5">
      <c r="A95" s="341" t="s">
        <v>8029</v>
      </c>
      <c r="B95" s="341" t="s">
        <v>7207</v>
      </c>
      <c r="C95" s="341" t="s">
        <v>9398</v>
      </c>
      <c r="D95" s="341" t="s">
        <v>9399</v>
      </c>
      <c r="E95" s="425">
        <v>92</v>
      </c>
    </row>
    <row r="96" spans="1:5">
      <c r="A96" s="341" t="s">
        <v>8641</v>
      </c>
      <c r="B96" s="341" t="s">
        <v>3608</v>
      </c>
      <c r="C96" s="341" t="s">
        <v>9402</v>
      </c>
      <c r="D96" s="341" t="s">
        <v>9403</v>
      </c>
      <c r="E96" s="425">
        <v>93</v>
      </c>
    </row>
    <row r="97" spans="1:5">
      <c r="A97" s="341" t="s">
        <v>8639</v>
      </c>
      <c r="B97" s="341" t="s">
        <v>3608</v>
      </c>
      <c r="C97" s="341" t="s">
        <v>9404</v>
      </c>
      <c r="D97" s="341" t="s">
        <v>9405</v>
      </c>
      <c r="E97" s="425">
        <v>94</v>
      </c>
    </row>
    <row r="98" spans="1:5">
      <c r="A98" s="341" t="s">
        <v>8649</v>
      </c>
      <c r="B98" s="341" t="s">
        <v>3608</v>
      </c>
      <c r="C98" s="341" t="s">
        <v>9406</v>
      </c>
      <c r="D98" s="341" t="s">
        <v>9407</v>
      </c>
      <c r="E98" s="425">
        <v>95</v>
      </c>
    </row>
    <row r="99" spans="1:5">
      <c r="A99" s="341" t="s">
        <v>8031</v>
      </c>
      <c r="B99" s="341" t="s">
        <v>7207</v>
      </c>
      <c r="C99" s="341" t="s">
        <v>9409</v>
      </c>
      <c r="D99" s="341" t="s">
        <v>9410</v>
      </c>
      <c r="E99" s="425">
        <v>96</v>
      </c>
    </row>
    <row r="100" spans="1:5">
      <c r="A100" s="341" t="s">
        <v>8651</v>
      </c>
      <c r="B100" s="341" t="s">
        <v>3608</v>
      </c>
      <c r="C100" s="341" t="s">
        <v>9424</v>
      </c>
      <c r="D100" s="341" t="s">
        <v>9425</v>
      </c>
      <c r="E100" s="425">
        <v>97</v>
      </c>
    </row>
    <row r="101" spans="1:5">
      <c r="A101" s="341" t="s">
        <v>8655</v>
      </c>
      <c r="B101" s="341" t="s">
        <v>3608</v>
      </c>
      <c r="C101" s="341" t="s">
        <v>9443</v>
      </c>
      <c r="D101" s="341" t="s">
        <v>9444</v>
      </c>
      <c r="E101" s="425">
        <v>98</v>
      </c>
    </row>
    <row r="102" spans="1:5">
      <c r="A102" s="341" t="s">
        <v>8657</v>
      </c>
      <c r="B102" s="341" t="s">
        <v>3608</v>
      </c>
      <c r="C102" s="341" t="s">
        <v>9445</v>
      </c>
      <c r="D102" s="341" t="s">
        <v>9446</v>
      </c>
      <c r="E102" s="425">
        <v>99</v>
      </c>
    </row>
    <row r="103" spans="1:5">
      <c r="A103" s="341" t="s">
        <v>8659</v>
      </c>
      <c r="B103" s="341" t="s">
        <v>3608</v>
      </c>
      <c r="C103" s="341" t="s">
        <v>9447</v>
      </c>
      <c r="D103" s="341" t="s">
        <v>9448</v>
      </c>
      <c r="E103" s="479">
        <v>100</v>
      </c>
    </row>
    <row r="104" spans="1:5">
      <c r="A104" s="341" t="s">
        <v>8032</v>
      </c>
      <c r="B104" s="341" t="s">
        <v>7207</v>
      </c>
      <c r="C104" s="341" t="s">
        <v>9453</v>
      </c>
      <c r="D104" s="341" t="s">
        <v>9454</v>
      </c>
      <c r="E104" s="425">
        <v>101</v>
      </c>
    </row>
    <row r="105" spans="1:5">
      <c r="A105" s="341" t="s">
        <v>8698</v>
      </c>
      <c r="B105" s="341" t="s">
        <v>3608</v>
      </c>
      <c r="C105" s="341" t="s">
        <v>9459</v>
      </c>
      <c r="D105" s="341" t="s">
        <v>9460</v>
      </c>
      <c r="E105" s="425">
        <v>102</v>
      </c>
    </row>
    <row r="106" spans="1:5">
      <c r="A106" s="341" t="s">
        <v>8665</v>
      </c>
      <c r="B106" s="341" t="s">
        <v>3608</v>
      </c>
      <c r="C106" s="341" t="s">
        <v>9467</v>
      </c>
      <c r="D106" s="341" t="s">
        <v>9468</v>
      </c>
      <c r="E106" s="425">
        <v>103</v>
      </c>
    </row>
    <row r="107" spans="1:5">
      <c r="A107" s="341" t="s">
        <v>8704</v>
      </c>
      <c r="B107" s="341" t="s">
        <v>3608</v>
      </c>
      <c r="C107" s="341" t="s">
        <v>9886</v>
      </c>
      <c r="D107" s="341" t="s">
        <v>9475</v>
      </c>
      <c r="E107" s="425">
        <v>104</v>
      </c>
    </row>
    <row r="108" spans="1:5">
      <c r="A108" s="341" t="s">
        <v>8712</v>
      </c>
      <c r="B108" s="341" t="s">
        <v>3608</v>
      </c>
      <c r="C108" s="341" t="s">
        <v>9480</v>
      </c>
      <c r="D108" s="341" t="s">
        <v>9481</v>
      </c>
      <c r="E108" s="425">
        <v>105</v>
      </c>
    </row>
    <row r="109" spans="1:5">
      <c r="A109" s="341" t="s">
        <v>8714</v>
      </c>
      <c r="B109" s="341" t="s">
        <v>3608</v>
      </c>
      <c r="C109" s="341" t="s">
        <v>9489</v>
      </c>
      <c r="D109" s="341" t="s">
        <v>9490</v>
      </c>
      <c r="E109" s="425">
        <v>106</v>
      </c>
    </row>
    <row r="110" spans="1:5">
      <c r="A110" s="341" t="s">
        <v>8716</v>
      </c>
      <c r="B110" s="341" t="s">
        <v>3608</v>
      </c>
      <c r="C110" s="341" t="s">
        <v>9491</v>
      </c>
      <c r="D110" s="341" t="s">
        <v>9492</v>
      </c>
      <c r="E110" s="425">
        <v>107</v>
      </c>
    </row>
    <row r="111" spans="1:5">
      <c r="A111" s="341" t="s">
        <v>8720</v>
      </c>
      <c r="B111" s="341" t="s">
        <v>3608</v>
      </c>
      <c r="C111" s="341" t="s">
        <v>9495</v>
      </c>
      <c r="D111" s="341" t="s">
        <v>9496</v>
      </c>
      <c r="E111" s="425">
        <v>108</v>
      </c>
    </row>
    <row r="112" spans="1:5">
      <c r="A112" s="341" t="s">
        <v>8706</v>
      </c>
      <c r="B112" s="341" t="s">
        <v>3608</v>
      </c>
      <c r="C112" s="341" t="s">
        <v>9474</v>
      </c>
      <c r="D112" s="341" t="s">
        <v>9503</v>
      </c>
      <c r="E112" s="425">
        <v>109</v>
      </c>
    </row>
    <row r="113" spans="1:5">
      <c r="A113" s="341" t="s">
        <v>8722</v>
      </c>
      <c r="B113" s="341" t="s">
        <v>3608</v>
      </c>
      <c r="C113" s="341" t="s">
        <v>9508</v>
      </c>
      <c r="D113" s="341" t="s">
        <v>9509</v>
      </c>
      <c r="E113" s="479">
        <v>110</v>
      </c>
    </row>
    <row r="114" spans="1:5">
      <c r="A114" s="341" t="s">
        <v>8760</v>
      </c>
      <c r="B114" s="341" t="s">
        <v>3608</v>
      </c>
      <c r="C114" s="341" t="s">
        <v>9514</v>
      </c>
      <c r="D114" s="341" t="s">
        <v>9515</v>
      </c>
      <c r="E114" s="425">
        <v>111</v>
      </c>
    </row>
    <row r="115" spans="1:5">
      <c r="A115" s="341" t="s">
        <v>8764</v>
      </c>
      <c r="B115" s="341" t="s">
        <v>3608</v>
      </c>
      <c r="C115" s="341" t="s">
        <v>9516</v>
      </c>
      <c r="D115" s="341" t="s">
        <v>9517</v>
      </c>
      <c r="E115" s="425">
        <v>112</v>
      </c>
    </row>
    <row r="116" spans="1:5">
      <c r="A116" s="341" t="s">
        <v>8039</v>
      </c>
      <c r="B116" s="341" t="s">
        <v>7207</v>
      </c>
      <c r="C116" s="341" t="s">
        <v>9549</v>
      </c>
      <c r="D116" s="341" t="s">
        <v>9550</v>
      </c>
      <c r="E116" s="425">
        <v>113</v>
      </c>
    </row>
    <row r="117" spans="1:5">
      <c r="A117" s="341" t="s">
        <v>8107</v>
      </c>
      <c r="B117" s="341" t="s">
        <v>7207</v>
      </c>
      <c r="C117" s="341" t="s">
        <v>9555</v>
      </c>
      <c r="D117" s="341" t="s">
        <v>9556</v>
      </c>
      <c r="E117" s="425">
        <v>114</v>
      </c>
    </row>
    <row r="118" spans="1:5">
      <c r="A118" s="341" t="s">
        <v>8762</v>
      </c>
      <c r="B118" s="341" t="s">
        <v>3608</v>
      </c>
      <c r="C118" s="341" t="s">
        <v>9557</v>
      </c>
      <c r="D118" s="341" t="s">
        <v>9558</v>
      </c>
      <c r="E118" s="425">
        <v>115</v>
      </c>
    </row>
    <row r="119" spans="1:5">
      <c r="A119" s="341" t="s">
        <v>8766</v>
      </c>
      <c r="B119" s="341" t="s">
        <v>3608</v>
      </c>
      <c r="C119" s="341" t="s">
        <v>9559</v>
      </c>
      <c r="D119" s="341" t="s">
        <v>9560</v>
      </c>
      <c r="E119" s="425">
        <v>116</v>
      </c>
    </row>
    <row r="120" spans="1:5">
      <c r="A120" s="341" t="s">
        <v>8776</v>
      </c>
      <c r="B120" s="341" t="s">
        <v>3608</v>
      </c>
      <c r="C120" s="341" t="s">
        <v>9566</v>
      </c>
      <c r="D120" s="341" t="s">
        <v>9567</v>
      </c>
      <c r="E120" s="425">
        <v>117</v>
      </c>
    </row>
    <row r="121" spans="1:5">
      <c r="A121" s="341" t="s">
        <v>8109</v>
      </c>
      <c r="B121" s="341" t="s">
        <v>7207</v>
      </c>
      <c r="C121" s="341" t="s">
        <v>9570</v>
      </c>
      <c r="D121" s="341" t="s">
        <v>9571</v>
      </c>
      <c r="E121" s="425">
        <v>118</v>
      </c>
    </row>
    <row r="122" spans="1:5">
      <c r="A122" s="341" t="s">
        <v>8786</v>
      </c>
      <c r="B122" s="341" t="s">
        <v>3608</v>
      </c>
      <c r="C122" s="341" t="s">
        <v>9589</v>
      </c>
      <c r="D122" s="341" t="s">
        <v>9590</v>
      </c>
      <c r="E122" s="425">
        <v>119</v>
      </c>
    </row>
    <row r="123" spans="1:5">
      <c r="A123" s="341" t="s">
        <v>8112</v>
      </c>
      <c r="B123" s="341" t="s">
        <v>7207</v>
      </c>
      <c r="C123" s="341" t="s">
        <v>9600</v>
      </c>
      <c r="D123" s="341" t="s">
        <v>9601</v>
      </c>
      <c r="E123" s="479">
        <v>120</v>
      </c>
    </row>
    <row r="124" spans="1:5">
      <c r="A124" s="341" t="s">
        <v>8792</v>
      </c>
      <c r="B124" s="341" t="s">
        <v>3608</v>
      </c>
      <c r="C124" s="341" t="s">
        <v>9622</v>
      </c>
      <c r="D124" s="341" t="s">
        <v>9623</v>
      </c>
      <c r="E124" s="425">
        <v>121</v>
      </c>
    </row>
    <row r="125" spans="1:5">
      <c r="A125" s="341" t="s">
        <v>8794</v>
      </c>
      <c r="B125" s="341" t="s">
        <v>3608</v>
      </c>
      <c r="C125" s="341" t="s">
        <v>9629</v>
      </c>
      <c r="D125" s="341" t="s">
        <v>9632</v>
      </c>
      <c r="E125" s="425">
        <v>122</v>
      </c>
    </row>
    <row r="126" spans="1:5">
      <c r="A126" s="341" t="s">
        <v>8796</v>
      </c>
      <c r="B126" s="341" t="s">
        <v>3608</v>
      </c>
      <c r="C126" s="341" t="s">
        <v>9642</v>
      </c>
      <c r="D126" s="341" t="s">
        <v>9643</v>
      </c>
      <c r="E126" s="425">
        <v>123</v>
      </c>
    </row>
    <row r="127" spans="1:5">
      <c r="A127" s="341"/>
      <c r="B127" s="341"/>
      <c r="C127" s="341"/>
      <c r="D127" s="341"/>
      <c r="E127" s="425"/>
    </row>
  </sheetData>
  <autoFilter ref="A3:D119"/>
  <conditionalFormatting sqref="C3">
    <cfRule type="duplicateValues" dxfId="6" priority="7"/>
  </conditionalFormatting>
  <conditionalFormatting sqref="C54:C92 C1:C11 C180:C1048576">
    <cfRule type="duplicateValues" dxfId="5" priority="6"/>
  </conditionalFormatting>
  <conditionalFormatting sqref="C1:C92 C128:C1048576">
    <cfRule type="duplicateValues" dxfId="4" priority="5"/>
  </conditionalFormatting>
  <conditionalFormatting sqref="C93:C118">
    <cfRule type="duplicateValues" dxfId="3" priority="4"/>
  </conditionalFormatting>
  <conditionalFormatting sqref="C93:C118">
    <cfRule type="duplicateValues" dxfId="2" priority="3"/>
  </conditionalFormatting>
  <conditionalFormatting sqref="C119:C127">
    <cfRule type="duplicateValues" dxfId="1" priority="2"/>
  </conditionalFormatting>
  <conditionalFormatting sqref="C119:C127">
    <cfRule type="duplicateValues" dxfId="0" priority="1"/>
  </conditionalFormatting>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dimension ref="A1:J46"/>
  <sheetViews>
    <sheetView topLeftCell="B1" workbookViewId="0">
      <selection activeCell="G10" sqref="G10"/>
    </sheetView>
  </sheetViews>
  <sheetFormatPr defaultRowHeight="15"/>
  <cols>
    <col min="1" max="10" width="27.7109375" customWidth="1"/>
  </cols>
  <sheetData>
    <row r="1" spans="1:10">
      <c r="A1" s="4" t="str">
        <f>IF(ISBLANK(Mapa!$A$6),"",Mapa!$A$6)</f>
        <v/>
      </c>
      <c r="B1" s="4" t="str">
        <f>IF(ISBLANK(Mapa!$A$7),"",Mapa!$A$7)</f>
        <v/>
      </c>
      <c r="C1" s="4" t="str">
        <f>IF(ISBLANK(Mapa!$A$8),"",Mapa!$A$8)</f>
        <v/>
      </c>
      <c r="D1" s="4" t="str">
        <f>IF(ISBLANK(Mapa!$A$9),"",Mapa!$A$9)</f>
        <v/>
      </c>
      <c r="E1" s="4" t="str">
        <f>IF(ISBLANK(Mapa!$A$10),"",Mapa!$A$10)</f>
        <v/>
      </c>
      <c r="F1" s="4" t="str">
        <f>IF(ISBLANK(Mapa!$A$11),"",Mapa!$A$11)</f>
        <v/>
      </c>
      <c r="G1" s="4" t="str">
        <f>IF(ISBLANK(Mapa!$A$12),"",Mapa!$A$12)</f>
        <v/>
      </c>
      <c r="H1" s="4" t="str">
        <f>IF(ISBLANK(Mapa!$A$13),"",Mapa!$A$13)</f>
        <v/>
      </c>
      <c r="I1" s="4" t="str">
        <f>IF(ISBLANK(Mapa!$A$14),"",Mapa!$A$14)</f>
        <v/>
      </c>
      <c r="J1" s="4" t="str">
        <f>IF(ISBLANK(Mapa!$A$15),"",Mapa!$A$15)</f>
        <v/>
      </c>
    </row>
    <row r="2" spans="1:10">
      <c r="A2" s="5" t="str">
        <f>IF(AND(Adjudicação!A10="",Adjudicação!$B$9=Mapa!$A$6),"1",IF(AND(Adjudicação!A10="S",Adjudicação!$E$9=Mapa!$A$6),"1",IF(AND(Adjudicação!A10="T",Adjudicação!$H$9=Mapa!$A$6),"1","")))</f>
        <v/>
      </c>
      <c r="B2" s="5" t="str">
        <f>IF(AND(Adjudicação!A10="",Adjudicação!$B$9=Mapa!$A$7),"1",IF(AND(Adjudicação!A10="S",Adjudicação!$E$9=Mapa!$A$7),"1",IF(AND(Adjudicação!A10="T",Adjudicação!$H$9=Mapa!$A$7),"1","")))</f>
        <v/>
      </c>
      <c r="C2" s="5" t="str">
        <f>IF(AND(Adjudicação!A10="",Adjudicação!$B$9=Mapa!$A$8),"1",IF(AND(Adjudicação!A10="S",Adjudicação!$E$9=Mapa!$A$8),"1",IF(AND(Adjudicação!A10="T",Adjudicação!$H$9=Mapa!$A$8),"1","")))</f>
        <v/>
      </c>
      <c r="D2" s="5" t="str">
        <f>IF(AND(Adjudicação!A10="",Adjudicação!$B$9=Mapa!$A$9),"1",IF(AND(Adjudicação!A10="S",Adjudicação!$E$9=Mapa!$A$9),"1",IF(AND(Adjudicação!A10="T",Adjudicação!$H$9=Mapa!$A$9),"1","")))</f>
        <v/>
      </c>
      <c r="E2" s="5" t="str">
        <f>IF(AND(Adjudicação!A10="",Adjudicação!$B$9=Mapa!$A$10),"1",IF(AND(Adjudicação!A10="S",Adjudicação!$E$9=Mapa!$A$10),"1",IF(AND(Adjudicação!A10="T",Adjudicação!$H$9=Mapa!$A$10),"1","")))</f>
        <v/>
      </c>
      <c r="F2" s="5" t="str">
        <f>IF(AND(Adjudicação!A10="",Adjudicação!$B$9=Mapa!$A$11),"1",IF(AND(Adjudicação!A10="S",Adjudicação!$E$9=Mapa!$A$11),"1",IF(AND(Adjudicação!A10="T",Adjudicação!$H$9=Mapa!$A$11),"1","")))</f>
        <v/>
      </c>
      <c r="G2" s="5" t="str">
        <f>IF(AND(Adjudicação!A10="",Adjudicação!$B$9=Mapa!$A$12),"1",IF(AND(Adjudicação!A10="S",Adjudicação!$E$9=Mapa!$A$12),"1",IF(AND(Adjudicação!A10="T",Adjudicação!$H$9=Mapa!$A$12),"1","")))</f>
        <v/>
      </c>
      <c r="H2" s="5" t="str">
        <f>IF(AND(Adjudicação!A10="",Adjudicação!$B$9=Mapa!$A$13),"1",IF(AND(Adjudicação!A10="S",Adjudicação!$E$9=Mapa!$A$13),"1",IF(AND(Adjudicação!A10="T",Adjudicação!$H$9=Mapa!$A$13),"1","")))</f>
        <v/>
      </c>
      <c r="I2" s="5" t="str">
        <f>IF(AND(Adjudicação!A10="",Adjudicação!$B$9=Mapa!$A$14),"1",IF(AND(Adjudicação!A10="S",Adjudicação!$E$9=Mapa!$A$14),"1",IF(AND(Adjudicação!A10="T",Adjudicação!$H$9=Mapa!$A$14),"1","")))</f>
        <v/>
      </c>
      <c r="J2" s="5" t="str">
        <f>IF(AND(Adjudicação!A10="",Adjudicação!$B$9=Mapa!$A$15),"1",IF(AND(Adjudicação!A10="S",Adjudicação!$E$9=Mapa!$A$15),"1",IF(AND(Adjudicação!A10="T",Adjudicação!$H$9=Mapa!$A$15),"1","")))</f>
        <v/>
      </c>
    </row>
    <row r="3" spans="1:10">
      <c r="A3" s="5" t="str">
        <f>IF(AND(A2="",Adjudicação!A14="",Adjudicação!$B$13=Mapa!$A$6),"2",IF(AND(Adjudicação!A14="",Adjudicação!$B$13=Mapa!$A$6),", 2",IF(AND(A2="",Adjudicação!A14="S",Adjudicação!$E$13=Mapa!$A$6),"2",IF(AND(Adjudicação!A14="S",Adjudicação!$E$13=Mapa!$A$6),", 2",IF(AND(A2="",Adjudicação!A14="T",Adjudicação!$H$13=Mapa!$A$6),"2",IF(AND(Adjudicação!A14="T",Adjudicação!$H$13=Mapa!$A$6),", 2",""))))))</f>
        <v/>
      </c>
      <c r="B3" s="5" t="str">
        <f>IF(AND(B2="",Adjudicação!A14="",Adjudicação!$B$13=Mapa!$A$7),"2",IF(AND(Adjudicação!A14="",Adjudicação!$B$13=Mapa!$A$7),", 2",IF(AND(B2="",Adjudicação!A14="S",Adjudicação!$E$13=Mapa!$A$7),"2",IF(AND(Adjudicação!A14="S",Adjudicação!$E$13=Mapa!$A$7),", 2",IF(AND(B2="",Adjudicação!A14="T",Adjudicação!$H$13=Mapa!$A$7),"2",IF(AND(Adjudicação!A14="T",Adjudicação!$H$13=Mapa!$A$7),", 2",""))))))</f>
        <v/>
      </c>
      <c r="C3" s="5" t="str">
        <f>IF(AND(C2="",Adjudicação!A14="",Adjudicação!$B$13=Mapa!$A$8),"2",IF(AND(Adjudicação!A14="",Adjudicação!$B$13=Mapa!$A$8),", 2",IF(AND(C2="",Adjudicação!A14="S",Adjudicação!$E$13=Mapa!$A$8),"2",IF(AND(Adjudicação!A14="S",Adjudicação!$E$13=Mapa!$A$8),", 2",IF(AND(C2="",Adjudicação!A14="T",Adjudicação!$H$13=Mapa!$A$8),"2",IF(AND(Adjudicação!A14="T",Adjudicação!$H$13=Mapa!$A$8),", 2",""))))))</f>
        <v/>
      </c>
      <c r="D3" s="5" t="str">
        <f>IF(AND(D2="",Adjudicação!A14="",Adjudicação!$B$13=Mapa!$A$9),"2",IF(AND(Adjudicação!A14="",Adjudicação!$B$13=Mapa!$A$9),", 2",IF(AND(D2="",Adjudicação!A14="S",Adjudicação!$E$13=Mapa!$A$9),"2",IF(AND(Adjudicação!A14="S",Adjudicação!$E$13=Mapa!$A$9),", 2",IF(AND(D2="",Adjudicação!A14="T",Adjudicação!$H$13=Mapa!$A$9),"2",IF(AND(Adjudicação!A14="T",Adjudicação!$H$13=Mapa!$A$9),", 2",""))))))</f>
        <v/>
      </c>
      <c r="E3" s="5" t="str">
        <f>IF(AND(E2="",Adjudicação!A14="",Adjudicação!$B$13=Mapa!$A$10),"2",IF(AND(Adjudicação!A14="",Adjudicação!$B$13=Mapa!$A$10),", 2",IF(AND(E2="",Adjudicação!A14="S",Adjudicação!$E$13=Mapa!$A$10),"2",IF(AND(Adjudicação!A14="S",Adjudicação!$E$13=Mapa!$A$10),", 2",IF(AND(E2="",Adjudicação!A14="T",Adjudicação!$H$13=Mapa!$A$10),"2",IF(AND(Adjudicação!A14="T",Adjudicação!$H$13=Mapa!$A$10),", 2",""))))))</f>
        <v/>
      </c>
      <c r="F3" s="5" t="str">
        <f>IF(AND(F2="",Adjudicação!A14="",Adjudicação!$B$13=Mapa!$A$11),"2",IF(AND(Adjudicação!A14="",Adjudicação!$B$13=Mapa!$A$11),", 2",IF(AND(F2="",Adjudicação!A14="S",Adjudicação!$E$13=Mapa!$A$11),"2",IF(AND(Adjudicação!A14="S",Adjudicação!$E$13=Mapa!$A$11),", 2",IF(AND(F2="",Adjudicação!A14="T",Adjudicação!$H$13=Mapa!$A$11),"2",IF(AND(Adjudicação!A14="T",Adjudicação!$H$13=Mapa!$A$11),", 2",""))))))</f>
        <v/>
      </c>
      <c r="G3" s="5" t="str">
        <f>IF(AND(G2="",Adjudicação!A14="",Adjudicação!$B$13=Mapa!$A$12),"2",IF(AND(Adjudicação!A14="",Adjudicação!$B$13=Mapa!$A$12),", 2",IF(AND(G2="",Adjudicação!A14="S",Adjudicação!$E$13=Mapa!$A$12),"2",IF(AND(Adjudicação!A14="S",Adjudicação!$E$13=Mapa!$A$12),", 2",IF(AND(G2="",Adjudicação!A14="T",Adjudicação!$H$13=Mapa!$A$12),"2",IF(AND(Adjudicação!A14="T",Adjudicação!$H$13=Mapa!$A$12),", 2",""))))))</f>
        <v/>
      </c>
      <c r="H3" s="5" t="str">
        <f>IF(AND(H2="",Adjudicação!H14="",Adjudicação!$B$13=Mapa!$A$13),"2",IF(AND(Adjudicação!A14="",Adjudicação!$B$13=Mapa!$A$13),", 2",IF(AND(H2="",Adjudicação!A14="S",Adjudicação!$E$13=Mapa!$A$13),"2",IF(AND(Adjudicação!A14="S",Adjudicação!$E$13=Mapa!$A$13),", 2",IF(AND(H2="",Adjudicação!A14="T",Adjudicação!$H$13=Mapa!$A$13),"2",IF(AND(Adjudicação!A14="T",Adjudicação!$H$13=Mapa!$A$13),", 2",""))))))</f>
        <v/>
      </c>
      <c r="I3" s="5" t="str">
        <f>IF(AND(I2="",Adjudicação!A14="",Adjudicação!$B$13=Mapa!$A$14),"2",IF(AND(Adjudicação!A14="",Adjudicação!$B$13=Mapa!$A$14),", 2",IF(AND(I2="",Adjudicação!A14="S",Adjudicação!$E$13=Mapa!$A$14),"2",IF(AND(Adjudicação!A14="S",Adjudicação!$E$13=Mapa!$A$14),", 2",IF(AND(I2="",Adjudicação!A14="T",Adjudicação!$H$13=Mapa!$A$14),"2",IF(AND(Adjudicação!A14="T",Adjudicação!$H$13=Mapa!$A$14),", 2",""))))))</f>
        <v/>
      </c>
      <c r="J3" s="5" t="str">
        <f>IF(AND(J2="",Adjudicação!A14="",Adjudicação!$B$13=Mapa!$A$15),"2",IF(AND(Adjudicação!A14="",Adjudicação!$B$13=Mapa!$A$15),", 2",IF(AND(J2="",Adjudicação!A14="S",Adjudicação!$E$13=Mapa!$A$15),"2",IF(AND(Adjudicação!A14="S",Adjudicação!$E$13=Mapa!$A$15),", 2",IF(AND(J2="",Adjudicação!A14="T",Adjudicação!$H$13=Mapa!$A$15),"2",IF(AND(Adjudicação!A14="T",Adjudicação!$H$13=Mapa!$A$15),", 2",""))))))</f>
        <v/>
      </c>
    </row>
    <row r="4" spans="1:10">
      <c r="A4" s="5" t="str">
        <f>IF(AND(A2="",A3="",Adjudicação!A18="",Adjudicação!$B$17=Mapa!$A$6),"3",IF(AND(Adjudicação!A18="",Adjudicação!$B$17=Mapa!$A$6),", 3",IF(AND(A2="",A3="",Adjudicação!A18="S",Adjudicação!$E$17=Mapa!$A$6),"3",IF(AND(Adjudicação!A18="S",Adjudicação!$E$17=Mapa!$A$6),", 3",IF(AND(A2="",A3="",Adjudicação!A18="T",Adjudicação!$H$17=Mapa!$A$6),"3",IF(AND(Adjudicação!A18="T",Adjudicação!$H$17=Mapa!$A$6),", 3",""))))))</f>
        <v/>
      </c>
      <c r="B4" s="5" t="str">
        <f>IF(AND(B2="",B3="",Adjudicação!A18="",Adjudicação!$B$17=Mapa!$A$7),"3",IF(AND(Adjudicação!A18="",Adjudicação!$B$17=Mapa!$A$7),", 3",IF(AND(B2="",B3="",Adjudicação!A18="S",Adjudicação!$E$17=Mapa!$A$7),"3",IF(AND(Adjudicação!A18="S",Adjudicação!$E$17=Mapa!$A$7),", 3",IF(AND(B2="",B3="",Adjudicação!A18="T",Adjudicação!$H$17=Mapa!$A$7),"3",IF(AND(Adjudicação!A18="T",Adjudicação!$H$17=Mapa!$A$7),", 3",""))))))</f>
        <v/>
      </c>
      <c r="C4" s="5" t="str">
        <f>IF(AND(C2="",C3="",Adjudicação!A18="",Adjudicação!$B$17=Mapa!$A$8),"3",IF(AND(Adjudicação!A18="",Adjudicação!$B$17=Mapa!$A$8),", 3",IF(AND(C2="",C3="",Adjudicação!A18="S",Adjudicação!$E$17=Mapa!$A$8),"3",IF(AND(Adjudicação!A18="S",Adjudicação!$E$17=Mapa!$A$8),", 3",IF(AND(C2="",C3="",Adjudicação!A18="T",Adjudicação!$H$17=Mapa!$A$8),"3",IF(AND(Adjudicação!A18="T",Adjudicação!$H$17=Mapa!$A$8),", 3",""))))))</f>
        <v/>
      </c>
      <c r="D4" s="5" t="str">
        <f>IF(AND(D2="",D3="",Adjudicação!A18="",Adjudicação!$B$17=Mapa!$A$9),"3",IF(AND(Adjudicação!A18="",Adjudicação!$B$17=Mapa!$A$9),", 3",IF(AND(D2="",D3="",Adjudicação!A18="S",Adjudicação!$E$17=Mapa!$A$9),"3",IF(AND(Adjudicação!A18="S",Adjudicação!$E$17=Mapa!$A$9),", 3",IF(AND(D2="",D3="",Adjudicação!A18="T",Adjudicação!$H$17=Mapa!$A$9),"3",IF(AND(Adjudicação!A18="T",Adjudicação!$H$17=Mapa!$A$9),", 3",""))))))</f>
        <v/>
      </c>
      <c r="E4" s="5" t="str">
        <f>IF(AND(E2="",E3="",Adjudicação!A18="",Adjudicação!$B$17=Mapa!$A$10),"3",IF(AND(Adjudicação!A18="",Adjudicação!$B$17=Mapa!$A$10),", 3",IF(AND(E2="",E3="",Adjudicação!A18="S",Adjudicação!$E$17=Mapa!$A$10),"3",IF(AND(Adjudicação!A18="S",Adjudicação!$E$17=Mapa!$A$10),", 3",IF(AND(E2="",E3="",Adjudicação!A18="T",Adjudicação!$H$17=Mapa!$A$10),"3",IF(AND(Adjudicação!A18="T",Adjudicação!$H$17=Mapa!$A$10),", 3",""))))))</f>
        <v/>
      </c>
      <c r="F4" s="5" t="str">
        <f>IF(AND(F2="",F3="",Adjudicação!A18="",Adjudicação!$B$17=Mapa!$A$11),"3",IF(AND(Adjudicação!A18="",Adjudicação!$B$17=Mapa!$A$11),", 3",IF(AND(F2="",F3="",Adjudicação!A18="S",Adjudicação!$E$17=Mapa!$A$11),"3",IF(AND(Adjudicação!A18="S",Adjudicação!$E$17=Mapa!$A$11),", 3",IF(AND(F2="",F3="",Adjudicação!A18="T",Adjudicação!$H$17=Mapa!$A$11),"3",IF(AND(Adjudicação!A18="T",Adjudicação!$H$17=Mapa!$A$11),", 3",""))))))</f>
        <v/>
      </c>
      <c r="G4" s="5" t="str">
        <f>IF(AND(G2="",G3="",Adjudicação!A18="",Adjudicação!$B$17=Mapa!$A$12),"3",IF(AND(Adjudicação!A18="",Adjudicação!$B$17=Mapa!$A$12),", 3",IF(AND(G2="",G3="",Adjudicação!A18="S",Adjudicação!$E$17=Mapa!$A$12),"3",IF(AND(Adjudicação!A18="S",Adjudicação!$E$17=Mapa!$A$12),", 3",IF(AND(G2="",G3="",Adjudicação!A18="T",Adjudicação!$H$17=Mapa!$A$12),"3",IF(AND(Adjudicação!A18="T",Adjudicação!$H$17=Mapa!$A$12),", 3",""))))))</f>
        <v/>
      </c>
      <c r="H4" s="5" t="str">
        <f>IF(AND(H2="",H3="",Adjudicação!A18="",Adjudicação!$B$17=Mapa!$A$14),"3",IF(AND(Adjudicação!A18="",Adjudicação!$B$17=Mapa!$A$14),", 3",IF(AND(D2="",D3="",Adjudicação!A18="S",Adjudicação!$E$17=Mapa!$A$14),"3",IF(AND(Adjudicação!A18="S",Adjudicação!$E$17=Mapa!$A$14),", 3",IF(AND(H2="",H3="",Adjudicação!A18="T",Adjudicação!$H$17=Mapa!$A$14),"3",IF(AND(Adjudicação!A18="T",Adjudicação!$H$17=Mapa!$A$14),", 3",""))))))</f>
        <v/>
      </c>
      <c r="I4" s="5" t="str">
        <f>IF(AND(I2="",I3="",Adjudicação!A18="",Adjudicação!$B$17=Mapa!$A$15),"3",IF(AND(Adjudicação!A18="",Adjudicação!$B$17=Mapa!$A$15),", 3",IF(AND(I2="",I3="",Adjudicação!A18="S",Adjudicação!$E$17=Mapa!$A$15),"3",IF(AND(Adjudicação!A18="S",Adjudicação!$E$17=Mapa!$A$15),", 3",IF(AND(I2="",I3="",Adjudicação!A18="T",Adjudicação!$H$17=Mapa!$A$15),"3",IF(AND(Adjudicação!A18="T",Adjudicação!$H$17=Mapa!$A$15),", 3",""))))))</f>
        <v/>
      </c>
      <c r="J4" s="5" t="str">
        <f>IF(AND(J2="",J3="",Adjudicação!A18="",Adjudicação!$B$17=Mapa!$A$16),"3",IF(AND(Adjudicação!A18="",Adjudicação!$B$17=Mapa!$A$16),", 3",IF(AND(J2="",J3="",Adjudicação!A18="S",Adjudicação!$E$17=Mapa!$A$16),"3",IF(AND(Adjudicação!A18="S",Adjudicação!$E$17=Mapa!$A$16),", 3",IF(AND(J2="",J3="",Adjudicação!A18="T",Adjudicação!$H$17=Mapa!$A$16),"3",IF(AND(Adjudicação!A18="T",Adjudicação!$H$17=Mapa!$A$16),", 3",""))))))</f>
        <v/>
      </c>
    </row>
    <row r="5" spans="1:10">
      <c r="A5" s="5" t="str">
        <f>IF(AND(A2="",A3="", A4="",Adjudicação!A22="",Adjudicação!$B$21=Mapa!$A$6),"4",IF(AND(Adjudicação!A22="",Adjudicação!$B$21=Mapa!$A$6),", 4",IF(AND(A2="",A3="", A4="",Adjudicação!A22="S",Adjudicação!$E$21=Mapa!$A$6),"4",IF(AND(Adjudicação!A22="S",Adjudicação!$E$21=Mapa!$A$6),", 4",IF(AND(A2="",A3="", A4="",Adjudicação!A22="T",Adjudicação!$H$21=Mapa!$A$6),"4",IF(AND(Adjudicação!A22="T",Adjudicação!$H$21=Mapa!$A$6),", 4",""))))))</f>
        <v/>
      </c>
      <c r="B5" s="5" t="str">
        <f>IF(AND(B2="",B3="", B4="",Adjudicação!A22="",Adjudicação!$B$21=Mapa!$A$7),"4",IF(AND(Adjudicação!A22="",Adjudicação!$B$21=Mapa!$A$7),", 4",IF(AND(B2="",B3="", B4="",Adjudicação!A22="S",Adjudicação!$E$21=Mapa!$A$7),"4",IF(AND(Adjudicação!A22="S",Adjudicação!$E$21=Mapa!$A$7),", 4",IF(AND(B2="",B3="", B4="",Adjudicação!A22="T",Adjudicação!$H$21=Mapa!$A$7),"4",IF(AND(Adjudicação!A22="T",Adjudicação!$H$21=Mapa!$A$7),", 4",""))))))</f>
        <v/>
      </c>
      <c r="C5" s="5" t="str">
        <f>IF(AND(C2="",C3="",C4="",Adjudicação!A22="",Adjudicação!$B$21=Mapa!$A$8),"4",IF(AND(Adjudicação!A22="",Adjudicação!$B$21=Mapa!$A$8),", 4",IF(AND(C2="",C3="", C4="",Adjudicação!A22="S",Adjudicação!$E$21=Mapa!$A$8),"4",IF(AND(Adjudicação!A22="S",Adjudicação!$E$21=Mapa!$A$8),", 4",IF(AND(C2="",C3="", C4="",Adjudicação!A22="T",Adjudicação!$H$21=Mapa!$A$8),"4",IF(AND(Adjudicação!A22="T",Adjudicação!$H$21=Mapa!$A$8),", 4",""))))))</f>
        <v/>
      </c>
      <c r="D5" s="5" t="str">
        <f>IF(AND(D2="",D3="", D4="",Adjudicação!A22="",Adjudicação!$B$21=Mapa!$A$9),"4",IF(AND(Adjudicação!A22="",Adjudicação!$B$21=Mapa!$A$9),", 4",IF(AND(A2="",A3="", A4="",Adjudicação!A22="S",Adjudicação!$E$21=Mapa!$A$9),"4",IF(AND(Adjudicação!A22="S",Adjudicação!$E$21=Mapa!$A$9),", 4",IF(AND(A2="",A3="", A4="",Adjudicação!A22="T",Adjudicação!$H$21=Mapa!$A$9),"4",IF(AND(Adjudicação!A22="T",Adjudicação!$H$21=Mapa!$A$9),", 4",""))))))</f>
        <v/>
      </c>
      <c r="E5" s="5" t="str">
        <f>IF(AND(E2="",E3="", E4="",Adjudicação!A22="",Adjudicação!$B$21=Mapa!$A$10),"4",IF(AND(Adjudicação!A22="",Adjudicação!$B$21=Mapa!$A$10),", 4",IF(AND(E2="",E3="", E4="",Adjudicação!A22="S",Adjudicação!$E$21=Mapa!$A$10),"4",IF(AND(Adjudicação!A22="S",Adjudicação!$E$21=Mapa!$A$10),", 4",IF(AND(E2="",E3="", E4="",Adjudicação!A22="T",Adjudicação!$H$21=Mapa!$A$10),"4",IF(AND(Adjudicação!A22="T",Adjudicação!$H$21=Mapa!$A$10),", 4",""))))))</f>
        <v/>
      </c>
      <c r="F5" s="5" t="str">
        <f>IF(AND(F2="",F3="", F4="",Adjudicação!A22="",Adjudicação!$B$21=Mapa!$A$11),"4",IF(AND(Adjudicação!A22="",Adjudicação!$B$21=Mapa!$A$11),", 4",IF(AND(F2="",F3="", F4="",Adjudicação!A22="S",Adjudicação!$E$21=Mapa!$A$11),"4",IF(AND(Adjudicação!A22="S",Adjudicação!$E$21=Mapa!$A$11),", 4",IF(AND(F2="",F3="", F4="",Adjudicação!A22="T",Adjudicação!$H$21=Mapa!$A$11),"4",IF(AND(Adjudicação!A22="T",Adjudicação!$H$21=Mapa!$A$11),", 4",""))))))</f>
        <v/>
      </c>
      <c r="G5" s="5" t="str">
        <f>IF(AND(G2="",G3="", G4="",Adjudicação!A22="",Adjudicação!$B$21=Mapa!$A$12),"4",IF(AND(Adjudicação!A22="",Adjudicação!$B$21=Mapa!$A$12),", 4",IF(AND(G2="",G3="", G4="",Adjudicação!A22="S",Adjudicação!$E$21=Mapa!$A$12),"4",IF(AND(Adjudicação!A22="S",Adjudicação!$E$21=Mapa!$A$12),", 4",IF(AND(G2="",G3="", G4="",Adjudicação!A22="T",Adjudicação!$H$21=Mapa!$A$12),"4",IF(AND(Adjudicação!A22="T",Adjudicação!$H$21=Mapa!$A$12),", 4",""))))))</f>
        <v/>
      </c>
      <c r="H5" s="5" t="str">
        <f>IF(AND(H2="",H3="", H4="",Adjudicação!A22="",Adjudicação!$B$21=Mapa!$A$13),"4",IF(AND(Adjudicação!A22="",Adjudicação!$B$21=Mapa!$A$13),", 4",IF(AND(H2="",H3="", H4="",Adjudicação!A22="S",Adjudicação!$E$21=Mapa!$A$13),"4",IF(AND(Adjudicação!A22="S",Adjudicação!$E$21=Mapa!$A$13),", 4",IF(AND(H2="",H3="", H4="",Adjudicação!A22="T",Adjudicação!$H$21=Mapa!$A$13),"4",IF(AND(Adjudicação!A22="T",Adjudicação!$H$21=Mapa!$A$13),", 4",""))))))</f>
        <v/>
      </c>
      <c r="I5" s="5" t="str">
        <f>IF(AND(I2="",I3="", I4="",Adjudicação!A22="",Adjudicação!$B$21=Mapa!$A$14),"4",IF(AND(Adjudicação!A22="",Adjudicação!$B$21=Mapa!$A$14),", 4",IF(AND(I2="",I3="", I4="",Adjudicação!A22="S",Adjudicação!$E$21=Mapa!$A$14),"4",IF(AND(Adjudicação!A22="S",Adjudicação!$E$21=Mapa!$A$14),", 4",IF(AND(I2="",I3="", I4="",Adjudicação!A22="T",Adjudicação!$H$21=Mapa!$A$14),"4",IF(AND(Adjudicação!A22="T",Adjudicação!$H$21=Mapa!$A$14),", 4",""))))))</f>
        <v/>
      </c>
      <c r="J5" s="5" t="str">
        <f>IF(AND(J2="",J3="", J4="",Adjudicação!A22="",Adjudicação!$B$21=Mapa!$A$15),"4",IF(AND(Adjudicação!A22="",Adjudicação!$B$21=Mapa!$A$15),", 4",IF(AND(J2="",J3="", J4="",Adjudicação!A22="S",Adjudicação!$E$21=Mapa!$A$15),"4",IF(AND(Adjudicação!A22="S",Adjudicação!$E$21=Mapa!$A$15),", 4",IF(AND(J2="",J3="", J4="",Adjudicação!A22="T",Adjudicação!$H$21=Mapa!$A$15),"4",IF(AND(Adjudicação!A22="T",Adjudicação!$H$21=Mapa!$A$15),", 4",""))))))</f>
        <v/>
      </c>
    </row>
    <row r="6" spans="1:10">
      <c r="A6" s="5" t="str">
        <f>IF(AND(A2="",A3="", A4="",A5="",Adjudicação!A26="",Adjudicação!$B$25=Mapa!$A$6),"5",IF(AND(Adjudicação!A26="",Adjudicação!$B$25=Mapa!$A$6),", 5",IF(AND(A2="",A3="", A4="",A5="",Adjudicação!A26="S",Adjudicação!$E$25=Mapa!$A$6),"5",IF(AND(Adjudicação!A26="S",Adjudicação!$E$25=Mapa!$A$6),", 5",IF(AND(A2="",A3="", A4="",A5="",Adjudicação!A26="T",Adjudicação!$H$25=Mapa!$A$6),"5",IF(AND(Adjudicação!A26="T",Adjudicação!$H$25=Mapa!$A$6),", 5",""))))))</f>
        <v/>
      </c>
      <c r="B6" s="5" t="str">
        <f>IF(AND(B2="",B3="", B4="",B5="",Adjudicação!A26="",Adjudicação!$B$25=Mapa!$A$7),"5",IF(AND(Adjudicação!A26="",Adjudicação!$B$25=Mapa!$A$7),", 5",IF(AND(B2="",B3="", B4="",B5="",Adjudicação!A26="S",Adjudicação!$E$25=Mapa!$A$7),"5",IF(AND(Adjudicação!A26="S",Adjudicação!$E$25=Mapa!$A$7),", 5",IF(AND(B2="",B3="", B4="",B5="",Adjudicação!A26="T",Adjudicação!$H$25=Mapa!$A$7),"5",IF(AND(Adjudicação!A26="T",Adjudicação!$H$25=Mapa!$A$7),", 5",""))))))</f>
        <v/>
      </c>
      <c r="C6" s="5" t="str">
        <f>IF(AND(C2="",C3="", C4="",C5="",Adjudicação!A26="",Adjudicação!$B$25=Mapa!$A$8),"5",IF(AND(Adjudicação!A26="",Adjudicação!$B$25=Mapa!$A$8),", 5",IF(AND(C2="",C3="", C4="",C5="",Adjudicação!A26="S",Adjudicação!$E$25=Mapa!$A$8),"5",IF(AND(Adjudicação!A26="S",Adjudicação!$E$25=Mapa!$A$8),", 5",IF(AND(C2="",C3="", C4="",C5="",Adjudicação!A26="T",Adjudicação!$H$25=Mapa!$A$8),"5",IF(AND(Adjudicação!A26="T",Adjudicação!$H$25=Mapa!$A$8),", 5",""))))))</f>
        <v/>
      </c>
      <c r="D6" s="5" t="str">
        <f>IF(AND(D2="",D3="", D4="",D5="",Adjudicação!A26="",Adjudicação!$B$25=Mapa!$A$9),"5",IF(AND(Adjudicação!A26="",Adjudicação!$B$25=Mapa!$A$9),", 5",IF(AND(D2="",D3="", D4="",D5="",Adjudicação!A26="S",Adjudicação!$E$25=Mapa!$A$9),"5",IF(AND(Adjudicação!A26="S",Adjudicação!$E$25=Mapa!$A$9),", 5",IF(AND(D2="",D3="", D4="",D5="",Adjudicação!A26="T",Adjudicação!$H$25=Mapa!$A$9),"5",IF(AND(Adjudicação!A26="T",Adjudicação!$H$25=Mapa!$A$9),", 5",""))))))</f>
        <v/>
      </c>
      <c r="E6" s="5" t="str">
        <f>IF(AND(E2="",E3="", E4="",E5="",Adjudicação!A26="",Adjudicação!$B$25=Mapa!$A$10),"5",IF(AND(Adjudicação!A26="",Adjudicação!$B$25=Mapa!$A$10),", 5",IF(AND(E2="",E3="", E4="",E5="",Adjudicação!A26="S",Adjudicação!$E$25=Mapa!$A$10),"5",IF(AND(Adjudicação!A26="S",Adjudicação!$E$25=Mapa!$A$10),", 5",IF(AND(E2="",E3="", E4="",E5="",Adjudicação!A26="T",Adjudicação!$H$25=Mapa!$A$10),"5",IF(AND(Adjudicação!A26="T",Adjudicação!$H$25=Mapa!$A$10),", 5",""))))))</f>
        <v/>
      </c>
      <c r="F6" s="5" t="str">
        <f>IF(AND(F2="",F3="", F4="",F5="",Adjudicação!A26="",Adjudicação!$B$25=Mapa!$A$11),"5",IF(AND(Adjudicação!A26="",Adjudicação!$B$25=Mapa!$A$11),", 5",IF(AND(F2="",F3="", F4="",F5="",Adjudicação!A26="S",Adjudicação!$E$25=Mapa!$A$11),"5",IF(AND(Adjudicação!A26="S",Adjudicação!$E$25=Mapa!$A$11),", 5",IF(AND(F2="",F3="", F4="",F5="",Adjudicação!A26="T",Adjudicação!$H$25=Mapa!$A$11),"5",IF(AND(Adjudicação!A26="T",Adjudicação!$H$25=Mapa!$A$11),", 5",""))))))</f>
        <v/>
      </c>
      <c r="G6" s="5" t="str">
        <f>IF(AND(G2="",G3="", G4="",G5="",Adjudicação!A26="",Adjudicação!$B$25=Mapa!$A$12),"5",IF(AND(Adjudicação!A26="",Adjudicação!$B$25=Mapa!$A$12),", 5",IF(AND(G2="",G3="", G4="",G5="",Adjudicação!A26="S",Adjudicação!$E$25=Mapa!$A$12),"5",IF(AND(Adjudicação!A26="S",Adjudicação!$E$25=Mapa!$A$12),", 5",IF(AND(G2="",G3="", G4="",G5="",Adjudicação!A26="T",Adjudicação!$H$25=Mapa!$A$12),"5",IF(AND(Adjudicação!A26="T",Adjudicação!$H$25=Mapa!$A$12),", 5",""))))))</f>
        <v/>
      </c>
      <c r="H6" s="5" t="str">
        <f>IF(AND(H2="",H3="", H4="",H5="",Adjudicação!A26="",Adjudicação!$B$25=Mapa!$A$13),"5",IF(AND(Adjudicação!A26="",Adjudicação!$B$25=Mapa!$A$13),", 5",IF(AND(H2="",H3="", H4="",H5="",Adjudicação!A26="S",Adjudicação!$E$25=Mapa!$A$13),"5",IF(AND(Adjudicação!A26="S",Adjudicação!$E$25=Mapa!$A$13),", 5",IF(AND(H2="",H3="", H4="",H5="",Adjudicação!A26="T",Adjudicação!$H$25=Mapa!$A$13),"5",IF(AND(Adjudicação!A26="T",Adjudicação!$H$25=Mapa!$A$13),", 5",""))))))</f>
        <v/>
      </c>
      <c r="I6" s="5" t="str">
        <f>IF(AND(I2="",I3="", I4="",I5="",Adjudicação!A26="",Adjudicação!$B$25=Mapa!$A$14),"5",IF(AND(Adjudicação!A26="",Adjudicação!$B$25=Mapa!$A$14),", 5",IF(AND(I2="",I3="", I4="",I5="",Adjudicação!A26="S",Adjudicação!$E$25=Mapa!$A$14),"5",IF(AND(Adjudicação!A26="S",Adjudicação!$E$25=Mapa!$A$14),", 5",IF(AND(I2="",I3="", I4="",I5="",Adjudicação!A26="T",Adjudicação!$H$25=Mapa!$A$14),"5",IF(AND(Adjudicação!A26="T",Adjudicação!$H$25=Mapa!$A$14),", 5",""))))))</f>
        <v/>
      </c>
      <c r="J6" s="5" t="str">
        <f>IF(AND(J2="",J3="", J4="",J5="",Adjudicação!A26="",Adjudicação!$B$25=Mapa!$A$15),"5",IF(AND(Adjudicação!A26="",Adjudicação!$B$25=Mapa!$A$15),", 5",IF(AND(J2="",J3="", J4="",J5="",Adjudicação!A26="S",Adjudicação!$E$25=Mapa!$A$15),"5",IF(AND(Adjudicação!A26="S",Adjudicação!$E$25=Mapa!$A$15),", 5",IF(AND(J2="",J3="", J4="",J5="",Adjudicação!A26="T",Adjudicação!$H$25=Mapa!$A$15),"5",IF(AND(Adjudicação!A26="T",Adjudicação!$H$25=Mapa!$A$15),", 5",""))))))</f>
        <v/>
      </c>
    </row>
    <row r="7" spans="1:10">
      <c r="A7" s="5" t="str">
        <f>IF(AND(A2="",A3="", A4="",A5="",A6="",Adjudicação!A30="",Adjudicação!$B$29=Mapa!$A$6),"6",IF(AND(Adjudicação!A30="",Adjudicação!$B$29=Mapa!$A$6),", 6",IF(AND(A2="",A3="", A4="",A5="",A6="",Adjudicação!A30="S",Adjudicação!$E$29=Mapa!$A$6),"6",IF(AND(Adjudicação!A30="S",Adjudicação!$E$29=Mapa!$A$6),", 6",IF(AND(A2="",A3="", A4="",A5="",A6="",Adjudicação!A30="T",Adjudicação!$H$29=Mapa!$A$6),"6",IF(AND(Adjudicação!A30="T",Adjudicação!$H$29=Mapa!$A$6),", 6",""))))))</f>
        <v/>
      </c>
      <c r="B7" s="5" t="str">
        <f>IF(AND(B2="",B3="", B4="",B5="",B6="",Adjudicação!A30="",Adjudicação!$B$29=Mapa!$A$7),"6",IF(AND(Adjudicação!A30="",Adjudicação!$B$29=Mapa!$A$7),", 6",IF(AND(B2="",B3="", B4="",B5="",B6="",Adjudicação!A30="S",Adjudicação!$E$29=Mapa!$A$7),"6",IF(AND(Adjudicação!A30="S",Adjudicação!$E$29=Mapa!$A$7),", 6",IF(AND(B2="",B3="", B4="",B5="",B6="",Adjudicação!A30="T",Adjudicação!$H$29=Mapa!$A$7),"6",IF(AND(Adjudicação!A30="T",Adjudicação!$H$29=Mapa!$A$7),", 6",""))))))</f>
        <v/>
      </c>
      <c r="C7" s="5" t="str">
        <f>IF(AND(C2="",C3="", C4="",C5="",C6="",Adjudicação!A30="",Adjudicação!$B$29=Mapa!$A$8),"6",IF(AND(Adjudicação!A30="",Adjudicação!$B$29=Mapa!$A$8),", 6",IF(AND(C2="",C3="", C4="",C5="",C6="",Adjudicação!A30="S",Adjudicação!$E$29=Mapa!$A$8),"6",IF(AND(Adjudicação!A30="S",Adjudicação!$E$29=Mapa!$A$8),", 6",IF(AND(C2="",C3="", C4="",C5="",C6="",Adjudicação!A30="T",Adjudicação!$H$29=Mapa!$A$8),"6",IF(AND(Adjudicação!A30="T",Adjudicação!$H$29=Mapa!$A$8),", 6",""))))))</f>
        <v/>
      </c>
      <c r="D7" s="5" t="str">
        <f>IF(AND(D2="",D3="", D4="",D5="",D6="",Adjudicação!A30="",Adjudicação!$B$29=Mapa!$A$9),"6",IF(AND(Adjudicação!A30="",Adjudicação!$B$29=Mapa!$A$9),", 6",IF(AND(D2="",D3="", D4="",D5="",D6="",Adjudicação!A30="S",Adjudicação!$E$29=Mapa!$A$9),"6",IF(AND(Adjudicação!A30="S",Adjudicação!$E$29=Mapa!$A$9),", 6",IF(AND(D2="",D3="", D4="",D5="",D6="",Adjudicação!A30="T",Adjudicação!$H$29=Mapa!$A$9),"6",IF(AND(Adjudicação!A30="T",Adjudicação!$H$29=Mapa!$A$9),", 6",""))))))</f>
        <v/>
      </c>
      <c r="E7" s="5" t="str">
        <f>IF(AND(E2="",E3="", E4="",E5="",E6="",Adjudicação!A30="",Adjudicação!$B$29=Mapa!$A$10),"6",IF(AND(Adjudicação!A30="",Adjudicação!$B$29=Mapa!$A$10),", 6",IF(AND(E2="",E3="", E4="",E5="",E6="",Adjudicação!A30="S",Adjudicação!$E$29=Mapa!$A$10),"6",IF(AND(Adjudicação!A30="S",Adjudicação!$E$29=Mapa!$A$10),", 6",IF(AND(E2="",E3="", E4="",E5="",E6="",Adjudicação!A30="T",Adjudicação!$H$29=Mapa!$A$10),"6",IF(AND(Adjudicação!A30="T",Adjudicação!$H$29=Mapa!$A$10),", 6",""))))))</f>
        <v/>
      </c>
      <c r="F7" s="5" t="str">
        <f>IF(AND(F2="",F3="", F4="",F5="",F6="",Adjudicação!A30="",Adjudicação!$B$29=Mapa!$A$11),"6",IF(AND(Adjudicação!A30="",Adjudicação!$B$29=Mapa!$A$11),", 6",IF(AND(F2="",F3="", F4="",F5="",F6="",Adjudicação!A30="S",Adjudicação!$E$29=Mapa!$A$11),"6",IF(AND(Adjudicação!A30="S",Adjudicação!$E$29=Mapa!$A$11),", 6",IF(AND(F2="",F3="", F4="",F5="",F6="",Adjudicação!A30="T",Adjudicação!$H$29=Mapa!$A$11),"6",IF(AND(Adjudicação!A30="T",Adjudicação!$H$29=Mapa!$A$11),", 6",""))))))</f>
        <v/>
      </c>
      <c r="G7" s="5" t="str">
        <f>IF(AND(G2="",G3="", G4="",G5="",G6="",Adjudicação!A30="",Adjudicação!$B$29=Mapa!$A$12),"6",IF(AND(Adjudicação!A30="",Adjudicação!$B$29=Mapa!$A$12),", 6",IF(AND(G2="",G3="", G4="",G5="",G6="",Adjudicação!A30="S",Adjudicação!$E$29=Mapa!$A$12),"6",IF(AND(Adjudicação!A30="S",Adjudicação!$E$29=Mapa!$A$12),", 6",IF(AND(G2="",G3="", G4="",G5="",G6="",Adjudicação!A30="T",Adjudicação!$H$29=Mapa!$A$12),"6",IF(AND(Adjudicação!A30="T",Adjudicação!$H$29=Mapa!$A$12),", 6",""))))))</f>
        <v/>
      </c>
      <c r="H7" s="5" t="str">
        <f>IF(AND(H2="",H3="", H4="",H5="",H6="",Adjudicação!A30="",Adjudicação!$B$29=Mapa!$A$13),"6",IF(AND(Adjudicação!A30="",Adjudicação!$B$29=Mapa!$A$13),", 6",IF(AND(H2="",H3="", H4="",H5="",H6="",Adjudicação!A30="S",Adjudicação!$E$29=Mapa!$A$13),"6",IF(AND(Adjudicação!A30="S",Adjudicação!$E$29=Mapa!$A$13),", 6",IF(AND(H2="",H3="", H4="",H5="",H6="",Adjudicação!A30="T",Adjudicação!$H$29=Mapa!$A$13),"6",IF(AND(Adjudicação!A30="T",Adjudicação!$H$29=Mapa!$A$13),", 6",""))))))</f>
        <v/>
      </c>
      <c r="I7" s="5" t="str">
        <f>IF(AND(I2="",I3="", I4="",I5="",I6="",Adjudicação!A30="",Adjudicação!$B$29=Mapa!$A$14),"6",IF(AND(Adjudicação!A30="",Adjudicação!$B$29=Mapa!$A$14),", 6",IF(AND(I2="",I3="", I4="",I5="",I6="",Adjudicação!A30="S",Adjudicação!$E$29=Mapa!$A$14),"6",IF(AND(Adjudicação!A30="S",Adjudicação!$E$29=Mapa!$A$14),", 6",IF(AND(I2="",I3="",I4="",I5="",I6="",Adjudicação!A30="T",Adjudicação!$H$29=Mapa!$A$14),"6",IF(AND(Adjudicação!A30="T",Adjudicação!$H$29=Mapa!$A$14),", 6",""))))))</f>
        <v/>
      </c>
      <c r="J7" s="5" t="str">
        <f>IF(AND(J2="",J3="",JI4="",J5="",J6="",Adjudicação!A30="",Adjudicação!$B$29=Mapa!$A$15),"6",IF(AND(Adjudicação!A30="",Adjudicação!$B$29=Mapa!$A$15),", 6",IF(AND(J2="",J3="", J4="",J5="",J6="",Adjudicação!A30="S",Adjudicação!$E$29=Mapa!$A$15),"6",IF(AND(Adjudicação!A30="S",Adjudicação!$E$29=Mapa!$A$15),", 6",IF(AND(J2="",J3="",J4="",J5="",J6="",Adjudicação!A30="T",Adjudicação!$H$29=Mapa!$A$15),"6",IF(AND(Adjudicação!A30="T",Adjudicação!$H$29=Mapa!$A$15),", 6",""))))))</f>
        <v/>
      </c>
    </row>
    <row r="8" spans="1:10">
      <c r="A8" s="5" t="str">
        <f>IF(AND(A2="",A3="", A4="",A5="",A6="",A7="",Adjudicação!A34="",Adjudicação!$B$33=Mapa!$A$6),"7",IF(AND(Adjudicação!A34="",Adjudicação!$B$33=Mapa!$A$6),", 7",IF(AND(A2="",A3="", A4="",A5="",A6="",A7="",Adjudicação!A34="S",Adjudicação!$E$33=Mapa!$A$6),"7",IF(AND(Adjudicação!A34="S",Adjudicação!$E$33=Mapa!$A$6),", 7",IF(AND(A2="",A3="", A4="",A5="",A6="",A7="",Adjudicação!A34="T",Adjudicação!$H$33=Mapa!$A$6),"7",IF(AND(Adjudicação!A34="T",Adjudicação!$H$33=Mapa!$A$6),", 7",""))))))</f>
        <v/>
      </c>
      <c r="B8" s="5" t="str">
        <f>IF(AND(B2="",B3="", B4="",B5="",B6="",B7="",Adjudicação!A34="",Adjudicação!$B$33=Mapa!$A$7),"7",IF(AND(Adjudicação!A34="",Adjudicação!$B$33=Mapa!$A$7),", 7",IF(AND(B2="",B3="", B4="",B5="",B6="",B7="",Adjudicação!A34="S",Adjudicação!$E$33=Mapa!$A$7),"7",IF(AND(Adjudicação!A34="S",Adjudicação!$E$33=Mapa!$A$7),", 7",IF(AND(B2="",B3="", B4="",B5="",B6="",B7="",Adjudicação!A34="T",Adjudicação!$H$33=Mapa!$A$7),"7",IF(AND(Adjudicação!A34="T",Adjudicação!$H$33=Mapa!$A$6),", 7",""))))))</f>
        <v/>
      </c>
      <c r="C8" s="5" t="str">
        <f>IF(AND(C2="",C3="", C4="",C5="",C6="",C7="",Adjudicação!A34="",Adjudicação!$B$33=Mapa!$A$8),"7",IF(AND(Adjudicação!A34="",Adjudicação!$B$33=Mapa!$A$8),", 7",IF(AND(C2="",C3="", C4="",C5="",C6="",C7="",Adjudicação!A34="S",Adjudicação!$E$33=Mapa!$A$8),"7",IF(AND(Adjudicação!A34="S",Adjudicação!$E$33=Mapa!$A$8),", 7",IF(AND(C2="",C3="", C4="",C5="",C6="",C7="",Adjudicação!A34="T",Adjudicação!$H$33=Mapa!$A$8),"7",IF(AND(Adjudicação!A34="T",Adjudicação!$H$33=Mapa!$A$8),", 7",""))))))</f>
        <v/>
      </c>
      <c r="D8" s="5" t="str">
        <f>IF(AND(D2="",D3="", D4="",D5="",D6="",D7="",Adjudicação!A34="",Adjudicação!$B$33=Mapa!$A$9),"7",IF(AND(Adjudicação!A34="",Adjudicação!$B$33=Mapa!$A$9),", 7",IF(AND(D2="",D3="", D4="",D5="",D6="",D7="",Adjudicação!A34="S",Adjudicação!$E$33=Mapa!$A$9),"7",IF(AND(Adjudicação!A34="S",Adjudicação!$E$33=Mapa!$A$9),", 7",IF(AND(D2="",D3="", D4="",D5="",D6="",D7="",Adjudicação!A34="T",Adjudicação!$H$33=Mapa!$A$9),"7",IF(AND(Adjudicação!A34="T",Adjudicação!$H$33=Mapa!$A$9),", 7",""))))))</f>
        <v/>
      </c>
      <c r="E8" s="5" t="str">
        <f>IF(AND(E2="",E3="", E4="",E5="",E6="",E7="",Adjudicação!A34="",Adjudicação!$B$33=Mapa!$A$10),"7",IF(AND(Adjudicação!A34="",Adjudicação!$B$33=Mapa!$A$10),", 7",IF(AND(E2="",E3="", E4="",E5="",E6="",E7="",Adjudicação!A34="S",Adjudicação!$E$33=Mapa!$A$10),"7",IF(AND(Adjudicação!A34="S",Adjudicação!$E$33=Mapa!$A$10),", 7",IF(AND(E2="",E3="", E4="",E5="",E6="",E7="",Adjudicação!A34="T",Adjudicação!$H$33=Mapa!$A$10),"7",IF(AND(Adjudicação!A34="T",Adjudicação!$H$33=Mapa!$A$10),", 7",""))))))</f>
        <v/>
      </c>
      <c r="F8" s="5" t="str">
        <f>IF(AND(F2="",F3="", F4="",F5="",F6="",F7="",Adjudicação!A34="",Adjudicação!$B$33=Mapa!$A$11),"7",IF(AND(Adjudicação!A34="",Adjudicação!$B$33=Mapa!$A$11),", 7",IF(AND(F2="",F3="", F4="",F5="",F6="",F7="",Adjudicação!A34="S",Adjudicação!$E$33=Mapa!$A$11),"7",IF(AND(Adjudicação!A34="S",Adjudicação!$E$33=Mapa!$A$11),", 7",IF(AND(F2="",F3="", F4="",F5="",F6="",F7="",Adjudicação!A34="T",Adjudicação!$H$33=Mapa!$A$11),"7",IF(AND(Adjudicação!A34="T",Adjudicação!$H$33=Mapa!$A$11),", 7",""))))))</f>
        <v/>
      </c>
      <c r="G8" s="5" t="str">
        <f>IF(AND(G2="",G3="", G4="",G5="",G6="",G7="",Adjudicação!A34="",Adjudicação!$B$33=Mapa!$A$12),"7",IF(AND(Adjudicação!A34="",Adjudicação!$B$33=Mapa!$A$12),", 7",IF(AND(G2="",G3="", G4="",G5="",G6="",G7="",Adjudicação!A34="S",Adjudicação!$E$33=Mapa!$A$12),"7",IF(AND(Adjudicação!A34="S",Adjudicação!$E$33=Mapa!$A$12),", 7",IF(AND(G2="",G3="", G4="",G5="",G6="",G7="",Adjudicação!A34="T",Adjudicação!$H$33=Mapa!$A$12),"7",IF(AND(Adjudicação!A34="T",Adjudicação!$H$33=Mapa!$A$12),", 7",""))))))</f>
        <v/>
      </c>
      <c r="H8" s="5" t="str">
        <f>IF(AND(H2="",H3="", H4="",H5="",H6="",H7="",Adjudicação!A34="",Adjudicação!$B$33=Mapa!$A$13),"7",IF(AND(Adjudicação!A34="",Adjudicação!$B$33=Mapa!$A$13),", 7",IF(AND(H2="",H3="", H4="",H5="",H6="",H7="",Adjudicação!A34="S",Adjudicação!$E$33=Mapa!$A$13),"7",IF(AND(Adjudicação!A34="S",Adjudicação!$E$33=Mapa!$A$13),", 7",IF(AND(H2="",H3="", H4="",H5="",H6="",H7="",Adjudicação!A34="T",Adjudicação!$H$33=Mapa!$A$13),"7",IF(AND(Adjudicação!A34="T",Adjudicação!$H$33=Mapa!$A$13),", 7",""))))))</f>
        <v/>
      </c>
      <c r="I8" s="5" t="str">
        <f>IF(AND(I2="",I3="", I4="",I5="",I6="",I7="",Adjudicação!A34="",Adjudicação!$B$33=Mapa!$A$14),"7",IF(AND(Adjudicação!A34="",Adjudicação!$B$33=Mapa!$A$14),", 7",IF(AND(I2="",I3="", I4="",I5="",I6="",I7="",Adjudicação!A34="S",Adjudicação!$E$33=Mapa!$A$14),"7",IF(AND(Adjudicação!A34="S",Adjudicação!$E$33=Mapa!$A$14),", 7",IF(AND(I2="",I3="", I4="",I5="",I6="",I7="",Adjudicação!A34="T",Adjudicação!$H$33=Mapa!$A$14),"7",IF(AND(Adjudicação!A34="T",Adjudicação!$H$33=Mapa!$A$14),", 7",""))))))</f>
        <v/>
      </c>
      <c r="J8" s="5" t="str">
        <f>IF(AND(J2="",J3="", J4="",J5="",J6="",J7="",Adjudicação!A34="",Adjudicação!$B$33=Mapa!$A$15),"7",IF(AND(Adjudicação!A34="",Adjudicação!$B$33=Mapa!$A$15),", 7",IF(AND(J2="",J3="", J4="",J5="",J6="",J7="",Adjudicação!A34="S",Adjudicação!$E$33=Mapa!$A$15),"7",IF(AND(Adjudicação!A34="S",Adjudicação!$E$33=Mapa!$A$15),", 7",IF(AND(J2="",J3="", J4="",J5="",J6="",J7="",Adjudicação!A34="T",Adjudicação!$H$33=Mapa!$A$15),"7",IF(AND(Adjudicação!A34="T",Adjudicação!$H$33=Mapa!$A$15),", 7",""))))))</f>
        <v/>
      </c>
    </row>
    <row r="9" spans="1:10">
      <c r="A9" s="5" t="str">
        <f>IF(AND(A2="",A3="", A4="",A5="",A6="",A7="",A8="",Adjudicação!A38="",Adjudicação!$B$37=Mapa!$A$6),"8",IF(AND(Adjudicação!A38="",Adjudicação!$B$37=Mapa!$A$6),", 8",IF(AND(A2="",A3="", A4="",A5="",A6="",A7="",A8="",Adjudicação!A38="S",Adjudicação!$E$37=Mapa!$A$6),"8",IF(AND(Adjudicação!A38="S",Adjudicação!$E$37=Mapa!$A$6),", 8",IF(AND(A2="",A3="", A4="",A5="",A6="",A7="",A8="",Adjudicação!A38="T",Adjudicação!$H$37=Mapa!$A$6),"8",IF(AND(Adjudicação!A38="T",Adjudicação!$H$37=Mapa!$A$6),", 8",""))))))</f>
        <v/>
      </c>
      <c r="B9" s="5" t="str">
        <f>IF(AND(B2="",B3="", B4="",B5="",B6="",B7="",B8="",Adjudicação!A38="",Adjudicação!$B$37=Mapa!$A$7),"8",IF(AND(Adjudicação!A38="",Adjudicação!$B$37=Mapa!$A$7),", 8",IF(AND(B2="",B3="", B4="",B5="",B6="",B7="",B8="",Adjudicação!A38="S",Adjudicação!$E$37=Mapa!$A$7),"8",IF(AND(Adjudicação!A38="S",Adjudicação!$E$37=Mapa!$A$7),", 8",IF(AND(B2="",B3="", B4="",B5="",B6="",B7="",B8="",Adjudicação!A38="T",Adjudicação!$H$37=Mapa!$A$7),"8",IF(AND(Adjudicação!A38="T",Adjudicação!$H$37=Mapa!$A$7),", 8",""))))))</f>
        <v/>
      </c>
      <c r="C9" s="5" t="str">
        <f>IF(AND(C2="",C3="", C4="",C5="",C6="",C7="",C8="",Adjudicação!A38="",Adjudicação!$B$37=Mapa!$A$8),"8",IF(AND(Adjudicação!A38="",Adjudicação!$B$37=Mapa!$A$8),", 8",IF(AND(C2="",C3="", C4="",C5="",C6="",C7="",C8="",Adjudicação!A38="S",Adjudicação!$E$37=Mapa!$A$8),"8",IF(AND(Adjudicação!A38="S",Adjudicação!$E$37=Mapa!$A$8),", 8",IF(AND(C2="",C3="", C4="",C5="",C6="",C7="",C8="",Adjudicação!A38="T",Adjudicação!$H$37=Mapa!$A$8),"8",IF(AND(Adjudicação!A38="T",Adjudicação!$H$37=Mapa!$A$8),", 8",""))))))</f>
        <v/>
      </c>
      <c r="D9" s="5" t="str">
        <f>IF(AND(D2="",D3="", D4="",D5="",D6="",D7="",D8="",Adjudicação!A38="",Adjudicação!$B$37=Mapa!$A$9),"8",IF(AND(Adjudicação!A38="",Adjudicação!$B$37=Mapa!$A$9),", 8",IF(AND(D2="",D3="", D4="",D5="",D6="",D7="",D8="",Adjudicação!A38="S",Adjudicação!$E$37=Mapa!$A$9),"8",IF(AND(Adjudicação!A38="S",Adjudicação!$E$37=Mapa!$A$9),", 8",IF(AND(D2="",D3="", D4="",D5="",D6="",D7="",D8="",Adjudicação!A38="T",Adjudicação!$H$37=Mapa!$A$9),"8",IF(AND(Adjudicação!A38="T",Adjudicação!$H$37=Mapa!$A$9),", 8",""))))))</f>
        <v/>
      </c>
      <c r="E9" s="5" t="str">
        <f>IF(AND(E2="",E3="", E4="",E5="",E6="",E7="",E8="",Adjudicação!A38="",Adjudicação!$B$37=Mapa!$A$10),"8",IF(AND(Adjudicação!A38="",Adjudicação!$B$37=Mapa!$A$10),", 8",IF(AND(E2="",E3="", E4="",E5="",E6="",E7="",E8="",Adjudicação!A38="S",Adjudicação!$E$37=Mapa!$A$10),"8",IF(AND(Adjudicação!A38="S",Adjudicação!$E$37=Mapa!$A$10),", 8",IF(AND(E2="",E3="", E4="",E5="",E6="",E7="",E8="",Adjudicação!A38="T",Adjudicação!$H$37=Mapa!$A$10),"8",IF(AND(Adjudicação!A38="T",Adjudicação!$H$37=Mapa!$A$10),", 8",""))))))</f>
        <v/>
      </c>
      <c r="F9" s="5" t="str">
        <f>IF(AND(F2="",F3="", F4="",F5="",F6="",F7="",F8="",Adjudicação!A38="",Adjudicação!$B$37=Mapa!$A$11),"8",IF(AND(Adjudicação!A38="",Adjudicação!$B$37=Mapa!$A$11),", 8",IF(AND(F2="",F3="", F4="",F5="",F6="",F7="",F8="",Adjudicação!A38="S",Adjudicação!$E$37=Mapa!$A$11),"8",IF(AND(Adjudicação!A38="S",Adjudicação!$E$37=Mapa!$A$11),", 8",IF(AND(F2="",F3="", F4="",F5="",F6="",F7="",F8="",Adjudicação!A38="T",Adjudicação!$H$37=Mapa!$A$11),"8",IF(AND(Adjudicação!A38="T",Adjudicação!$H$37=Mapa!$A$11),", 8",""))))))</f>
        <v/>
      </c>
      <c r="G9" s="5" t="str">
        <f>IF(AND(G2="",G3="", G4="",G5="",G6="",G7="",G8="",Adjudicação!A38="",Adjudicação!$B$37=Mapa!$A$12),"8",IF(AND(Adjudicação!A38="",Adjudicação!$B$37=Mapa!$A$12),", 8",IF(AND(G2="",G3="", G4="",G5="",G6="",G7="",G8="",Adjudicação!A38="S",Adjudicação!$E$37=Mapa!$A$12),"8",IF(AND(Adjudicação!A38="S",Adjudicação!$E$37=Mapa!$A$12),", 8",IF(AND(G2="",G3="", G4="",G5="",G6="",G7="",G8="",Adjudicação!A38="T",Adjudicação!$H$37=Mapa!$A$12),"8",IF(AND(Adjudicação!A38="T",Adjudicação!$H$37=Mapa!$A$12),", 8",""))))))</f>
        <v/>
      </c>
      <c r="H9" s="5" t="str">
        <f>IF(AND(H2="",H3="", H4="",H5="",H6="",H7="",H8="",Adjudicação!A38="",Adjudicação!$B$37=Mapa!$A$13),"8",IF(AND(Adjudicação!A38="",Adjudicação!$B$37=Mapa!$A$13),", 8",IF(AND(H2="",H3="", H4="",H5="",H6="",H7="",H8="",Adjudicação!A38="S",Adjudicação!$E$37=Mapa!$A$13),"8",IF(AND(Adjudicação!A38="S",Adjudicação!$E$37=Mapa!$A$13),", 8",IF(AND(H2="",H3="", H4="",H5="",H6="",H7="",H8="",Adjudicação!A38="T",Adjudicação!$H$37=Mapa!$A$13),"8",IF(AND(Adjudicação!A38="T",Adjudicação!$H$37=Mapa!$A$13),", 8",""))))))</f>
        <v/>
      </c>
      <c r="I9" s="5" t="str">
        <f>IF(AND(I2="",I3="", I4="",I5="",I6="",I7="",I8="",Adjudicação!A38="",Adjudicação!$B$37=Mapa!$A$14),"8",IF(AND(Adjudicação!A38="",Adjudicação!$B$37=Mapa!$A$14),", 8",IF(AND(I2="",I3="", I4="",I5="",I6="",I7="",I8="",Adjudicação!A38="S",Adjudicação!$E$37=Mapa!$A$14),"8",IF(AND(Adjudicação!A38="S",Adjudicação!$E$37=Mapa!$A$14),", 8",IF(AND(I2="",I3="", I4="",I5="",I6="",I7="",I8="",Adjudicação!A38="T",Adjudicação!$H$37=Mapa!$A$14),"8",IF(AND(Adjudicação!A38="T",Adjudicação!$H$37=Mapa!$A$14),", 8",""))))))</f>
        <v/>
      </c>
      <c r="J9" s="5" t="str">
        <f>IF(AND(J2="",J3="", J4="",J5="",J6="",J7="",J8="",Adjudicação!A38="",Adjudicação!$B$37=Mapa!$A$15),"8",IF(AND(Adjudicação!A38="",Adjudicação!$B$37=Mapa!$A$15),", 8",IF(AND(J2="",J3="", J4="",J5="",J6="",J7="",J8="",Adjudicação!A38="S",Adjudicação!$E$37=Mapa!$A$15),"8",IF(AND(Adjudicação!A38="S",Adjudicação!$E$37=Mapa!$A$15),", 8",IF(AND(J2="",J3="", J4="",J5="",J6="",J7="",J8="",Adjudicação!A38="T",Adjudicação!$H$37=Mapa!$A$15),"8",IF(AND(Adjudicação!A38="T",Adjudicação!$H$37=Mapa!$A$15),", 8",""))))))</f>
        <v/>
      </c>
    </row>
    <row r="10" spans="1:10">
      <c r="A10" s="5" t="str">
        <f>IF(AND(A2="",A3="", A4="",A5="",A6="",A7="",A8="",A9="",Adjudicação!A42="",Adjudicação!$B$41=Mapa!$A$6),"9",IF(AND(Adjudicação!A42="",Adjudicação!$B$41=Mapa!$A$6),", 9",IF(AND(A2="",A3="", A4="",A5="",A6="",A7="",A8="",A9="",Adjudicação!A42="S",Adjudicação!$E$41=Mapa!$A$6),"9",IF(AND(Adjudicação!A42="S",Adjudicação!$E$41=Mapa!$A$6),", 9",IF(AND(A2="",A3="", A4="",A5="",A6="",A7="",A8="",A9="",Adjudicação!A42="T",Adjudicação!$H$41=Mapa!$A$6),"9",IF(AND(Adjudicação!A42="T",Adjudicação!$H$41=Mapa!$A$6),", 9",""))))))</f>
        <v/>
      </c>
      <c r="B10" s="5" t="str">
        <f>IF(AND(B2="",B3="", B4="",B5="",B6="",B7="",B8="",B9="",Adjudicação!A42="",Adjudicação!$B$41=Mapa!$A$7),"9",IF(AND(Adjudicação!A42="",Adjudicação!$B$41=Mapa!$A$7),", 9",IF(AND(B2="",B3="", B4="",B5="",B6="",B7="",B8="",B9="",Adjudicação!A42="S",Adjudicação!$E$41=Mapa!$A$7),"9",IF(AND(Adjudicação!A42="S",Adjudicação!$E$41=Mapa!$A$7),", 9",IF(AND(B2="",B3="", B4="",B5="",B6="",B7="",B8="",B9="",Adjudicação!A42="T",Adjudicação!$H$41=Mapa!$A$7),"9",IF(AND(Adjudicação!A42="T",Adjudicação!$H$41=Mapa!$A$7),", 9",""))))))</f>
        <v/>
      </c>
      <c r="C10" s="5" t="str">
        <f>IF(AND(C2="",C3="", C4="",C5="",C6="",C7="",C8="",C9="",Adjudicação!A42="",Adjudicação!$B$41=Mapa!$A$8),"9",IF(AND(Adjudicação!A42="",Adjudicação!$B$41=Mapa!$A$8),", 9",IF(AND(C2="",C3="", C4="",C5="",C6="",C7="",C8="",C9="",Adjudicação!A42="S",Adjudicação!$E$41=Mapa!$A$8),"9",IF(AND(Adjudicação!A42="S",Adjudicação!$E$41=Mapa!$A$8),", 9",IF(AND(C2="",C3="", C4="",C5="",C6="",C7="",C8="",C9="",Adjudicação!A42="T",Adjudicação!$H$41=Mapa!$A$8),"9",IF(AND(Adjudicação!A42="T",Adjudicação!$H$41=Mapa!$A$8),", 9",""))))))</f>
        <v/>
      </c>
      <c r="D10" s="5" t="str">
        <f>IF(AND(D2="",D3="", D4="",D5="",D6="",D7="",D8="",D9="",Adjudicação!A42="",Adjudicação!$B$41=Mapa!$A$9),"9",IF(AND(Adjudicação!A42="",Adjudicação!$B$41=Mapa!$A$9),", 9",IF(AND(D2="",D3="", D4="",D5="",D6="",D7="",D8="",D9="",Adjudicação!A42="S",Adjudicação!$E$41=Mapa!$A$9),"9",IF(AND(Adjudicação!A42="S",Adjudicação!$E$41=Mapa!$A$9),", 9",IF(AND(D2="",D3="", D4="",D5="",D6="",D7="",D8="",D9="",Adjudicação!A42="T",Adjudicação!$H$41=Mapa!$A$9),"9",IF(AND(Adjudicação!A42="T",Adjudicação!$H$41=Mapa!$A$9),", 9",""))))))</f>
        <v/>
      </c>
      <c r="E10" s="5" t="str">
        <f>IF(AND(E2="",E3="", E4="",E5="",E6="",E7="",E8="",E9="",Adjudicação!A42="",Adjudicação!$B$41=Mapa!$A$10),"9",IF(AND(Adjudicação!A42="",Adjudicação!$B$41=Mapa!$A$10),", 9",IF(AND(E2="",E3="", E4="",E5="",E6="",E7="",E8="",E9="",Adjudicação!A42="S",Adjudicação!$E$41=Mapa!$A$10),"9",IF(AND(Adjudicação!A42="S",Adjudicação!$E$41=Mapa!$A$10),", 9",IF(AND(E2="",E3="", E4="",E5="",E6="",E7="",E8="",E9="",Adjudicação!A42="T",Adjudicação!$H$41=Mapa!$A$10),"9",IF(AND(Adjudicação!A42="T",Adjudicação!$H$41=Mapa!$A$10),", 9",""))))))</f>
        <v/>
      </c>
      <c r="F10" s="5" t="str">
        <f>IF(AND(F2="",F3="", F4="",F5="",F6="",F7="",F8="",F9="",Adjudicação!A42="",Adjudicação!$B$41=Mapa!$A$11),"9",IF(AND(Adjudicação!A42="",Adjudicação!$B$41=Mapa!$A$11),", 9",IF(AND(F2="",F3="", F4="",F5="",F6="",F7="",F8="",F9="",Adjudicação!A42="S",Adjudicação!$E$41=Mapa!$A$11),"9",IF(AND(Adjudicação!A42="S",Adjudicação!$E$41=Mapa!$A$11),", 9",IF(AND(F2="",F3="", F4="",F5="",F6="",F7="",F8="",F9="",Adjudicação!A42="T",Adjudicação!$H$41=Mapa!$A$11),"9",IF(AND(Adjudicação!A42="T",Adjudicação!$H$41=Mapa!$A$11),", 9",""))))))</f>
        <v/>
      </c>
      <c r="G10" s="5" t="str">
        <f>IF(AND(G2="",G3="", G4="",G5="",G6="",G7="",G8="",G9="",Adjudicação!A42="",Adjudicação!$B$41=Mapa!$A$12),"9",IF(AND(Adjudicação!A42="",Adjudicação!$B$41=Mapa!$A$12),", 9",IF(AND(G2="",G3="", G4="",G5="",G6="",G7="",G8="",G9="",Adjudicação!A42="S",Adjudicação!$E$41=Mapa!$A$12),"9",IF(AND(Adjudicação!A42="S",Adjudicação!$E$41=Mapa!$A$12),", 9",IF(AND(G2="",G3="", G4="",G5="",G6="",G7="",G8="",G9="",Adjudicação!A42="T",Adjudicação!$H$41=Mapa!$A$12),"9",IF(AND(Adjudicação!A42="T",Adjudicação!$H$41=Mapa!$A$12),", 9",""))))))</f>
        <v/>
      </c>
      <c r="H10" s="5" t="str">
        <f>IF(AND(H2="",H3="", H4="",H5="",H6="",H7="",H8="",H9="",Adjudicação!A42="",Adjudicação!$B$41=Mapa!$A$13),"9",IF(AND(Adjudicação!A42="",Adjudicação!$B$41=Mapa!$A$13),", 9",IF(AND(H2="",H3="", H4="",H5="",H6="",H7="",H8="",H9="",Adjudicação!A42="S",Adjudicação!$E$41=Mapa!$A$13),"9",IF(AND(Adjudicação!A42="S",Adjudicação!$E$41=Mapa!$A$13),", 9",IF(AND(H2="",H3="", H4="",H5="",H6="",H7="",H8="",H9="",Adjudicação!A42="T",Adjudicação!$H$41=Mapa!$A$13),"9",IF(AND(Adjudicação!A42="T",Adjudicação!$H$41=Mapa!$A$13),", 9",""))))))</f>
        <v/>
      </c>
      <c r="I10" s="5" t="str">
        <f>IF(AND(I2="",I3="", I4="",I5="",I6="",I7="",I8="",I9="",Adjudicação!A42="",Adjudicação!$B$41=Mapa!$A$14),"9",IF(AND(Adjudicação!A42="",Adjudicação!$B$41=Mapa!$A$14),", 9",IF(AND(I2="",I3="", I4="",I5="",I6="",I7="",I8="",I9="",Adjudicação!A42="S",Adjudicação!$E$41=Mapa!$A$14),"9",IF(AND(Adjudicação!A42="S",Adjudicação!$E$41=Mapa!$A$14),", 9",IF(AND(I2="",I3="", I4="",I5="",I6="",I7="",I8="",I9="",Adjudicação!A42="T",Adjudicação!$H$41=Mapa!$A$14),"9",IF(AND(Adjudicação!A42="T",Adjudicação!$H$41=Mapa!$A$14),", 9",""))))))</f>
        <v/>
      </c>
      <c r="J10" s="5" t="str">
        <f>IF(AND(J2="",J3="", J4="",J5="",J6="",J7="",J8="",J9="",Adjudicação!A42="",Adjudicação!$B$41=Mapa!$A$15),"9",IF(AND(Adjudicação!A42="",Adjudicação!$B$41=Mapa!$A$15),", 9",IF(AND(J2="",J3="", J4="",J5="",J6="",J7="",J8="",J9="",Adjudicação!A42="S",Adjudicação!$E$41=Mapa!$A$15),"9",IF(AND(Adjudicação!A42="S",Adjudicação!$E$41=Mapa!$A$15),", 9",IF(AND(J2="",J3="", J4="",J5="",J6="",J7="",J8="",J9="",Adjudicação!A42="T",Adjudicação!$H$41=Mapa!$A$15),"9",IF(AND(Adjudicação!A42="T",Adjudicação!$H$41=Mapa!$A$15),", 9",""))))))</f>
        <v/>
      </c>
    </row>
    <row r="11" spans="1:10">
      <c r="A11" s="5" t="str">
        <f>IF(AND(A2="",A3="", A4="",A5="",A6="",A7="",A8="",A9="",A10="",Adjudicação!A46="",Adjudicação!$B$45=Mapa!$A$6),"10",IF(AND(Adjudicação!A46="",Adjudicação!$B$45=Mapa!$A$6),", 10",IF(AND(A2="",A3="", A4="",A5="",A6="",A7="",A8="",A9="",A10="",Adjudicação!A46="S",Adjudicação!$E$45=Mapa!$A$6),"10",IF(AND(Adjudicação!A46="S",Adjudicação!$E$45=Mapa!$A$6),", 10",IF(AND(A2="",A3="", A4="",A5="",A6="",A7="",A8="",A9="",A10="",Adjudicação!A46="T",Adjudicação!$H$45=Mapa!$A$6),"10",IF(AND(Adjudicação!A46="T",Adjudicação!$H$45=Mapa!$A$6),", 10",""))))))</f>
        <v/>
      </c>
      <c r="B11" s="5" t="str">
        <f>IF(AND(B2="",B3="", B4="",B5="",B6="",B7="",B8="",B9="",B10="",Adjudicação!A46="",Adjudicação!$B$45=Mapa!$A$7),"10",IF(AND(Adjudicação!A46="",Adjudicação!$B$45=Mapa!$A$7),", 10",IF(AND(B2="",B3="", B4="",B5="",B6="",B7="",B8="",B9="",B10="",Adjudicação!A46="S",Adjudicação!$E$45=Mapa!$A$7),"10",IF(AND(Adjudicação!A46="S",Adjudicação!$E$45=Mapa!$A$7),", 10",IF(AND(B2="",B3="", B4="",B5="",B6="",B7="",B8="",B9="",B10="",Adjudicação!A46="T",Adjudicação!$H$45=Mapa!$A$7),"10",IF(AND(Adjudicação!A46="T",Adjudicação!$H$45=Mapa!$A$7),", 10",""))))))</f>
        <v/>
      </c>
      <c r="C11" s="5" t="str">
        <f>IF(AND(C2="",C3="",C4="",C5="",C6="",C7="",C8="",C9="",C10="",Adjudicação!A46="",Adjudicação!$B$45=Mapa!$A$8),"10",IF(AND(Adjudicação!A46="",Adjudicação!$B$45=Mapa!$A$8),", 10",IF(AND(C2="",C3="",C4="",C5="",C6="",C7="",C8="",C9="",C10="",Adjudicação!A46="S",Adjudicação!$E$45=Mapa!$A$8),"10",IF(AND(Adjudicação!A46="S",Adjudicação!$E$45=Mapa!$A$8),", 10",IF(AND(C2="",C3="",C4="",C5="",C6="",C7="",C8="",C9="",C10="",Adjudicação!A46="T",Adjudicação!$H$45=Mapa!$A$8),"10",IF(AND(Adjudicação!A46="T",Adjudicação!$H$45=Mapa!$A$8),", 10",""))))))</f>
        <v/>
      </c>
      <c r="D11" s="5" t="str">
        <f>IF(AND(D2="",D3="",D4="",D5="",D6="",D7="",D8="",D9="",D10="",Adjudicação!A46="",Adjudicação!$B$45=Mapa!$A$9),"10",IF(AND(Adjudicação!A46="",Adjudicação!$B$45=Mapa!$A$9),", 10",IF(AND(D2="",D3="",D4="",D5="",D6="",D7="",D8="",D9="",D10="",Adjudicação!A46="S",Adjudicação!$E$45=Mapa!$A$9),"10",IF(AND(Adjudicação!A46="S",Adjudicação!$E$45=Mapa!$A$9),", 10",IF(AND(D2="",D3="",D4="",D5="",D6="",D7="",D8="",D9="",D10="",Adjudicação!A46="T",Adjudicação!$H$45=Mapa!$A$9),"10",IF(AND(Adjudicação!A46="T",Adjudicação!$H$45=Mapa!$A$9),", 10",""))))))</f>
        <v/>
      </c>
      <c r="E11" s="5" t="str">
        <f>IF(AND(E2="",E3="",E4="",E5="",E6="",E7="",E8="",E9="",E10="",Adjudicação!A46="",Adjudicação!$B$45=Mapa!$A$10),"10",IF(AND(Adjudicação!A46="",Adjudicação!$B$45=Mapa!$A$10),", 10",IF(AND(E2="",E3="",E4="",E5="",E6="",E7="",E8="",E9="",E10="",Adjudicação!A46="S",Adjudicação!$E$45=Mapa!$A$10),"10",IF(AND(Adjudicação!A46="S",Adjudicação!$E$45=Mapa!$A$10),", 10",IF(AND(E2="",E3="",E4="",E5="",E6="",E7="",E8="",E9="",E10="",Adjudicação!A46="T",Adjudicação!$H$45=Mapa!$A$10),"10",IF(AND(Adjudicação!A46="T",Adjudicação!$H$45=Mapa!$A$10),", 10",""))))))</f>
        <v/>
      </c>
      <c r="F11" s="5" t="str">
        <f>IF(AND(F2="",F3="",F4="",F5="",F6="",F7="",F8="",F9="",F10="",Adjudicação!A46="",Adjudicação!$B$45=Mapa!$A$11),"10",IF(AND(Adjudicação!A46="",Adjudicação!$B$45=Mapa!$A$11),", 10",IF(AND(F2="",F3="",F4="",F5="",F6="",F7="",F8="",F9="",F10="",Adjudicação!A46="S",Adjudicação!$E$45=Mapa!$A$11),"10",IF(AND(Adjudicação!A46="S",Adjudicação!$E$45=Mapa!$A$11),", 10",IF(AND(F2="",F3="",F4="",F5="",F6="",F7="",F8="",F9="",F10="",Adjudicação!A46="T",Adjudicação!$H$45=Mapa!$A$11),"10",IF(AND(Adjudicação!A46="T",Adjudicação!$H$45=Mapa!$A$11),", 10",""))))))</f>
        <v/>
      </c>
      <c r="G11" s="5" t="str">
        <f>IF(AND(G2="",G3="",G4="",G5="",G6="",G7="",G8="",G9="",G10="",Adjudicação!A46="",Adjudicação!$B$45=Mapa!$A$12),"10",IF(AND(Adjudicação!A46="",Adjudicação!$B$45=Mapa!$A$12),", 10",IF(AND(G2="",G3="",G4="",G5="",G6="",G7="",G8="",G9="",G10="",Adjudicação!A46="S",Adjudicação!$E$45=Mapa!$A$12),"10",IF(AND(Adjudicação!A46="S",Adjudicação!$E$45=Mapa!$A$12),", 10",IF(AND(G2="",G3="",G4="",G5="",G6="",G7="",G8="",G9="",G10="",Adjudicação!A46="T",Adjudicação!$H$45=Mapa!$A$12),"10",IF(AND(Adjudicação!A46="T",Adjudicação!$H$45=Mapa!$A$12),", 10",""))))))</f>
        <v/>
      </c>
      <c r="H11" s="5" t="str">
        <f>IF(AND(H2="",H3="",H4="",H5="",H6="",H7="",H8="",H9="",H10="",Adjudicação!A46="",Adjudicação!$B$45=Mapa!$A$13),"10",IF(AND(Adjudicação!A46="",Adjudicação!$B$45=Mapa!$A$13),", 10",IF(AND(H2="",H3="",H4="",H5="",H6="",H7="",H8="",H9="",H10="",Adjudicação!A46="S",Adjudicação!$E$45=Mapa!$A$13),"10",IF(AND(Adjudicação!A46="S",Adjudicação!$E$45=Mapa!$A$13),", 10",IF(AND(H2="",H3="",H4="",H5="",H6="",H7="",H8="",H9="",H10="",Adjudicação!A46="T",Adjudicação!$H$45=Mapa!$A$13),"10",IF(AND(Adjudicação!A46="T",Adjudicação!$H$45=Mapa!$A$13),", 10",""))))))</f>
        <v/>
      </c>
      <c r="I11" s="5" t="str">
        <f>IF(AND(I2="",I3="",I4="",I5="",I6="",I7="",I8="",I9="",I10="",Adjudicação!A46="",Adjudicação!$B$45=Mapa!$A$14),"10",IF(AND(Adjudicação!A46="",Adjudicação!$B$45=Mapa!$A$14),", 10",IF(AND(I2="",I3="",I4="",I5="",I6="",I7="",I8="",I9="",I10="",Adjudicação!A46="S",Adjudicação!$E$45=Mapa!$A$14),"10",IF(AND(Adjudicação!A46="S",Adjudicação!$E$45=Mapa!$A$14),", 10",IF(AND(I2="",I3="",I4="",I5="",I6="",I7="",I8="",I9="",I10="",Adjudicação!A46="T",Adjudicação!$H$45=Mapa!$A$14),"10",IF(AND(Adjudicação!A46="T",Adjudicação!$H$45=Mapa!$A$14),", 10",""))))))</f>
        <v/>
      </c>
      <c r="J11" s="5" t="str">
        <f>IF(AND(J2="",J3="",J4="",J5="",J6="",J7="",J8="",J9="",J10="",Adjudicação!A46="",Adjudicação!$B$45=Mapa!$A$15),"10",IF(AND(Adjudicação!A46="",Adjudicação!$B$45=Mapa!$A$15),", 10",IF(AND(J2="",J3="",J4="",J5="",J6="",J7="",J8="",J9="",J10="",Adjudicação!A46="S",Adjudicação!$E$45=Mapa!$A$15),"10",IF(AND(Adjudicação!A46="S",Adjudicação!$E$45=Mapa!$A$15),", 10",IF(AND(J2="",J3="",J4="",J5="",J6="",J7="",J8="",J9="",J10="",Adjudicação!A46="T",Adjudicação!$H$45=Mapa!$A$15),"10",IF(AND(Adjudicação!A46="T",Adjudicação!$H$45=Mapa!$A$15),", 10",""))))))</f>
        <v/>
      </c>
    </row>
    <row r="12" spans="1:10">
      <c r="A12" s="5" t="str">
        <f>IF(AND(A2="",A3="", A4="",A5="",A6="",A7="",A8="",A9="",A10="",A11="",Adjudicação!A50="",Adjudicação!$B$49=Mapa!$A$6),"11",IF(AND(Adjudicação!A50="",Adjudicação!$B$49=Mapa!$A$6),", 11",IF(AND(A2="",A3="", A4="",A5="",A6="",A7="",A8="",A9="",A10="",A11="",Adjudicação!A50="S",Adjudicação!$E$49=Mapa!$A$6),"11",IF(AND(Adjudicação!A50="S",Adjudicação!$E$49=Mapa!$A$6),", 11",IF(AND(A2="",A3="", A4="",A5="",A6="",A7="",A8="",A9="",A10="",A11="",Adjudicação!A50="T",Adjudicação!$H$49=Mapa!$A$6),"11",IF(AND(Adjudicação!A50="T",Adjudicação!$H$49=Mapa!$A$6),", 11",""))))))</f>
        <v/>
      </c>
      <c r="B12" s="5" t="str">
        <f>IF(AND(B2="",B3="",B4="",B5="",B6="",B7="",B8="",B9="",B10="",B11="",Adjudicação!A50="",Adjudicação!$B$49=Mapa!$A$7),"11",IF(AND(Adjudicação!A50="",Adjudicação!$B$49=Mapa!$A$7),", 11",IF(AND(B2="",B3="",B4="",B5="",B6="",B7="",B8="",B9="",B10="",B11="",Adjudicação!A50="S",Adjudicação!$E$49=Mapa!$A$7),"11",IF(AND(Adjudicação!A50="S",Adjudicação!$E$49=Mapa!$A$7),", 11",IF(AND(B2="",B3="",B4="",B5="",B6="",B7="",B8="",B9="",B10="",B11="",Adjudicação!A50="T",Adjudicação!$H$49=Mapa!$A$7),"11",IF(AND(Adjudicação!A50="T",Adjudicação!$H$49=Mapa!$A$7),", 11",""))))))</f>
        <v/>
      </c>
      <c r="C12" s="5" t="str">
        <f>IF(AND(C2="",C3="",C4="",C5="",C6="",C7="",C8="",C9="",C10="",C11="",Adjudicação!A50="",Adjudicação!$B$49=Mapa!$A$8),"11",IF(AND(Adjudicação!A50="",Adjudicação!$B$49=Mapa!$A$8),", 11",IF(AND(C2="",C3="",C4="",C5="",C6="",C7="",C8="",C9="",C10="",C11="",Adjudicação!A50="S",Adjudicação!$E$49=Mapa!$A$8),"11",IF(AND(Adjudicação!A50="S",Adjudicação!$E$49=Mapa!$A$8),", 11",IF(AND(C2="",C3="",C4="",C5="",C6="",C7="",C8="",C9="",C10="",C11="",Adjudicação!A50="T",Adjudicação!$H$49=Mapa!$A$8),"11",IF(AND(Adjudicação!A50="T",Adjudicação!$H$49=Mapa!$A$8),", 11",""))))))</f>
        <v/>
      </c>
      <c r="D12" s="5" t="str">
        <f>IF(AND(D2="",D3="",D4="",D5="",D6="",D7="",D8="",D9="",D10="",D11="",Adjudicação!A50="",Adjudicação!$B$49=Mapa!$A$9),"11",IF(AND(Adjudicação!A50="",Adjudicação!$B$49=Mapa!$A$9),", 11",IF(AND(D2="",D3="",D4="",D5="",D6="",D7="",D8="",D9="",D10="",D11="",Adjudicação!A50="S",Adjudicação!$E$49=Mapa!$A$9),"11",IF(AND(Adjudicação!A50="S",Adjudicação!$E$49=Mapa!$A$9),", 11",IF(AND(D2="",D3="",D4="",D5="",D6="",D7="",D8="",D9="",D10="",D11="",Adjudicação!A50="T",Adjudicação!$H$49=Mapa!$A$9),"11",IF(AND(Adjudicação!A50="T",Adjudicação!$H$49=Mapa!$A$9),", 11",""))))))</f>
        <v/>
      </c>
      <c r="E12" s="5" t="str">
        <f>IF(AND(E2="",E3="",E4="",E5="",E6="",E7="",E8="",E9="",E10="",E11="",Adjudicação!A50="",Adjudicação!$B$49=Mapa!$A$10),"11",IF(AND(Adjudicação!A50="",Adjudicação!$B$49=Mapa!$A$10),", 11",IF(AND(E2="",E3="",E4="",E5="",E6="",E7="",E8="",E9="",E10="",E11="",Adjudicação!A50="S",Adjudicação!$E$49=Mapa!$A$10),"11",IF(AND(Adjudicação!A50="S",Adjudicação!$E$49=Mapa!$A$10),", 11",IF(AND(E2="",E3="",E4="",E5="",E6="",E7="",E8="",E9="",E10="",E11="",Adjudicação!A50="T",Adjudicação!$H$49=Mapa!$A$10),"11",IF(AND(Adjudicação!A50="T",Adjudicação!$H$49=Mapa!$A$10),", 11",""))))))</f>
        <v/>
      </c>
      <c r="F12" s="5" t="str">
        <f>IF(AND(F2="",F3="",F4="",F5="",F6="",F7="",F8="",F9="",F10="",F11="",Adjudicação!A50="",Adjudicação!$B$49=Mapa!$A$11),"11",IF(AND(Adjudicação!A50="",Adjudicação!$B$49=Mapa!$A$11),", 11",IF(AND(F2="",F3="",F4="",F5="",F6="",F7="",F8="",F9="",F10="",F11="",Adjudicação!A50="S",Adjudicação!$E$49=Mapa!$A$11),"11",IF(AND(Adjudicação!A50="S",Adjudicação!$E$49=Mapa!$A$11),", 11",IF(AND(F2="",F3="",F4="",F5="",F6="",F7="",F8="",F9="",F10="",F11="",Adjudicação!A50="T",Adjudicação!$H$49=Mapa!$A$11),"11",IF(AND(Adjudicação!A50="T",Adjudicação!$H$49=Mapa!$A$11),", 11",""))))))</f>
        <v/>
      </c>
      <c r="G12" s="5" t="str">
        <f>IF(AND(G2="",G3="",G4="",G5="",G6="",G7="",G8="",G9="",G10="",G11="",Adjudicação!A50="",Adjudicação!$B$49=Mapa!$A$12),"11",IF(AND(Adjudicação!A50="",Adjudicação!$B$49=Mapa!$A$12),", 11",IF(AND(G2="",G3="",G4="",G5="",G6="",G7="",G8="",G9="",G10="",G11="",Adjudicação!A50="S",Adjudicação!$E$49=Mapa!$A$12),"11",IF(AND(Adjudicação!A50="S",Adjudicação!$E$49=Mapa!$A$12),", 11",IF(AND(G2="",G3="",G4="",G5="",G6="",G7="",G8="",G9="",G10="",G11="",Adjudicação!A50="T",Adjudicação!$H$49=Mapa!$A$12),"11",IF(AND(Adjudicação!A50="T",Adjudicação!$H$49=Mapa!$A$12),", 11",""))))))</f>
        <v/>
      </c>
      <c r="H12" s="5" t="str">
        <f>IF(AND(H2="",H3="",H4="",H5="",H6="",H7="",H8="",H9="",H10="",H11="",Adjudicação!A50="",Adjudicação!$B$49=Mapa!$A$13),"11",IF(AND(Adjudicação!A50="",Adjudicação!$B$49=Mapa!$A$13),", 11",IF(AND(H2="",H3="",H4="",H5="",H6="",H7="",H8="",H9="",H10="",H11="",Adjudicação!A50="S",Adjudicação!$E$49=Mapa!$A$13),"11",IF(AND(Adjudicação!A50="S",Adjudicação!$E$49=Mapa!$A$13),", 11",IF(AND(H2="",H3="",H4="",H5="",H6="",H7="",H8="",H9="",H10="",H11="",Adjudicação!A50="T",Adjudicação!$H$49=Mapa!$A$13),"11",IF(AND(Adjudicação!A50="T",Adjudicação!$H$49=Mapa!$A$13),", 11",""))))))</f>
        <v/>
      </c>
      <c r="I12" s="5" t="str">
        <f>IF(AND(I2="",I3="",I4="",I5="",I6="",I7="",I8="",I9="",I10="",I11="",Adjudicação!A50="",Adjudicação!$B$49=Mapa!$A$14),"11",IF(AND(Adjudicação!A50="",Adjudicação!$B$49=Mapa!$A$14),", 11",IF(AND(I2="",I3="",I4="",I5="",I6="",I7="",I8="",I9="",I10="",I11="",Adjudicação!A50="S",Adjudicação!$E$49=Mapa!$A$14),"11",IF(AND(Adjudicação!A50="S",Adjudicação!$E$49=Mapa!$A$14),", 11",IF(AND(I2="",I3="",I4="",I5="",I6="",I7="",I8="",I9="",I10="",I11="",Adjudicação!A50="T",Adjudicação!$H$49=Mapa!$A$14),"11",IF(AND(Adjudicação!A50="T",Adjudicação!$H$49=Mapa!$A$14),", 11",""))))))</f>
        <v/>
      </c>
      <c r="J12" s="5" t="str">
        <f>IF(AND(J2="",J3="",J4="",J5="",J6="",J7="",J8="",J9="",J10="",J11="",Adjudicação!A50="",Adjudicação!$B$49=Mapa!$A$15),"11",IF(AND(Adjudicação!A50="",Adjudicação!$B$49=Mapa!$A$15),", 11",IF(AND(J2="",J3="",J4="",J5="",J6="",J7="",J8="",J9="",J10="",J11="",Adjudicação!A50="S",Adjudicação!$E$49=Mapa!$A$15),"11",IF(AND(Adjudicação!A50="S",Adjudicação!$E$49=Mapa!$A$15),", 11",IF(AND(J2="",J3="",J4="",J5="",J6="",J7="",J8="",J9="",J10="",J11="",Adjudicação!A50="T",Adjudicação!$H$49=Mapa!$A$15),"11",IF(AND(Adjudicação!A50="T",Adjudicação!$H$49=Mapa!$A$15),", 11",""))))))</f>
        <v/>
      </c>
    </row>
    <row r="13" spans="1:10">
      <c r="A13" s="5" t="str">
        <f>IF(AND(A2="",A3="", A4="",A5="",A6="",A7="",A8="",A9="",A10="",A11="",A12="",Adjudicação!A54="",Adjudicação!$B$53=Mapa!$A$6),"12",IF(AND(Adjudicação!A54="",Adjudicação!$B$53=Mapa!$A$6),", 12",IF(AND(A2="",A3="", A4="",A5="",A6="",A7="",A8="",A9="",A10="",A11="",A12="",Adjudicação!A54="S",Adjudicação!$E$53=Mapa!$A$6),"12",IF(AND(Adjudicação!A54="S",Adjudicação!$E$53=Mapa!$A$6),", 12",IF(AND(A2="",A3="", A4="",A5="",A6="",A7="",A8="",A9="",A10="",A11="",A12="",Adjudicação!A54="T",Adjudicação!$H$53=Mapa!$A$6),"12",IF(AND(Adjudicação!A54="T",Adjudicação!$H$53=Mapa!$A$6),", 12",""))))))</f>
        <v/>
      </c>
      <c r="B13" s="5" t="str">
        <f>IF(AND(B2="",B3="", B4="",B5="",B6="",B7="",B8="",B9="",B10="",B11="",B12="",Adjudicação!A54="",Adjudicação!$B$53=Mapa!$A$7),"12",IF(AND(Adjudicação!A54="",Adjudicação!$B$53=Mapa!$A$7),", 12",IF(AND(B2="",B3="", B4="",B5="",B6="",B7="",B8="",B9="",B10="",B11="",B12="",Adjudicação!A54="S",Adjudicação!$E$53=Mapa!$A$7),"12",IF(AND(Adjudicação!A54="S",Adjudicação!$E$53=Mapa!$A$7),", 12",IF(AND(B2="",B3="", B4="",B5="",B6="",B7="",B8="",B9="",B10="",B11="",B12="",Adjudicação!A54="T",Adjudicação!$H$53=Mapa!$A$7),"12",IF(AND(Adjudicação!A54="T",Adjudicação!$H$53=Mapa!$A$7),", 12",""))))))</f>
        <v/>
      </c>
      <c r="C13" s="5" t="str">
        <f>IF(AND(C2="",C3="", C4="",C5="",C6="",C7="",C8="",C9="",C10="",C11="",C12="",Adjudicação!A54="",Adjudicação!$B$53=Mapa!$A$8),"12",IF(AND(Adjudicação!A54="",Adjudicação!$B$53=Mapa!$A$8),", 12",IF(AND(C2="",C3="", C4="",C5="",C6="",C7="",C8="",C9="",C10="",C11="",C12="",Adjudicação!A54="S",Adjudicação!$E$53=Mapa!$A$8),"12",IF(AND(Adjudicação!A54="S",Adjudicação!$E$53=Mapa!$A$8),", 12",IF(AND(C2="",C3="", C4="",C5="",C6="",C7="",C8="",C9="",C10="",C11="",C12="",Adjudicação!A54="T",Adjudicação!$H$53=Mapa!$A$8),"12",IF(AND(Adjudicação!A54="T",Adjudicação!$H$53=Mapa!$A$8),", 12",""))))))</f>
        <v/>
      </c>
      <c r="D13" s="5" t="str">
        <f>IF(AND(D2="",D3="", D4="",D5="",D6="",D7="",D8="",D9="",D10="",D11="",D12="",Adjudicação!A54="",Adjudicação!$B$53=Mapa!$A$9),"12",IF(AND(Adjudicação!A54="",Adjudicação!$B$53=Mapa!$A$9),", 12",IF(AND(D2="",D3="", D4="",D5="",D6="",D7="",D8="",D9="",D10="",D11="",D12="",Adjudicação!A54="S",Adjudicação!$E$53=Mapa!$A$9),"12",IF(AND(Adjudicação!A54="S",Adjudicação!$E$53=Mapa!$A$9),", 12",IF(AND(D2="",D3="", D4="",D5="",D6="",D7="",D8="",D9="",D10="",D11="",D12="",Adjudicação!A54="T",Adjudicação!$H$53=Mapa!$A$9),"12",IF(AND(Adjudicação!A54="T",Adjudicação!$H$53=Mapa!$A$9),", 12",""))))))</f>
        <v/>
      </c>
      <c r="E13" s="5" t="str">
        <f>IF(AND(E2="",E3="", E4="",E5="",E6="",E7="",E8="",E9="",E10="",E11="",E12="",Adjudicação!A54="",Adjudicação!$B$53=Mapa!$A$10),"12",IF(AND(Adjudicação!A54="",Adjudicação!$B$53=Mapa!$A$10),", 12",IF(AND(E2="",E3="", E4="",E5="",E6="",E7="",E8="",E9="",E10="",E11="",E12="",Adjudicação!A54="S",Adjudicação!$E$53=Mapa!$A$10),"12",IF(AND(Adjudicação!A54="S",Adjudicação!$E$53=Mapa!$A$10),", 12",IF(AND(E2="",E3="", E4="",E5="",E6="",E7="",E8="",E9="",E10="",E11="",E12="",Adjudicação!A54="T",Adjudicação!$H$53=Mapa!$A$10),"12",IF(AND(Adjudicação!A54="T",Adjudicação!$H$53=Mapa!$A$10),", 12",""))))))</f>
        <v/>
      </c>
      <c r="F13" s="5" t="str">
        <f>IF(AND(F2="",F3="", F4="",F5="",F6="",F7="",F8="",F9="",F10="",F11="",F12="",Adjudicação!A54="",Adjudicação!$B$53=Mapa!$A$11),"12",IF(AND(Adjudicação!A54="",Adjudicação!$B$53=Mapa!$A$11),", 12",IF(AND(F2="",F3="", F4="",F5="",F6="",F7="",F8="",F9="",F10="",F11="",F12="",Adjudicação!A54="S",Adjudicação!$E$53=Mapa!$A$11),"12",IF(AND(Adjudicação!A54="S",Adjudicação!$E$53=Mapa!$A$11),", 12",IF(AND(F2="",F3="", F4="",F5="",F6="",F7="",F8="",F9="",F10="",F11="",F12="",Adjudicação!A54="T",Adjudicação!$H$53=Mapa!$A$11),"12",IF(AND(Adjudicação!A54="T",Adjudicação!$H$53=Mapa!$A$11),", 12",""))))))</f>
        <v/>
      </c>
      <c r="G13" s="5" t="str">
        <f>IF(AND(G2="",G3="", G4="",G5="",G6="",G7="",G8="",G9="",G10="",G11="",G12="",Adjudicação!A54="",Adjudicação!$B$53=Mapa!$A$12),"12",IF(AND(Adjudicação!A54="",Adjudicação!$B$53=Mapa!$A$12),", 12",IF(AND(G2="",G3="", G4="",G5="",G6="",G7="",G8="",G9="",G10="",G11="",G12="",Adjudicação!A54="S",Adjudicação!$E$53=Mapa!$A$12),"12",IF(AND(Adjudicação!A54="S",Adjudicação!$E$53=Mapa!$A$12),", 12",IF(AND(G2="",G3="", G4="",G5="",G6="",G7="",G8="",G9="",G10="",G11="",G12="",Adjudicação!A54="T",Adjudicação!$H$53=Mapa!$A$12),"12",IF(AND(Adjudicação!A54="T",Adjudicação!$H$53=Mapa!$A$12),", 12",""))))))</f>
        <v/>
      </c>
      <c r="H13" s="5" t="str">
        <f>IF(AND(H2="",H3="", H4="",H5="",H6="",H7="",H8="",H9="",H10="",H11="",H12="",Adjudicação!A54="",Adjudicação!$B$53=Mapa!$A$13),"12",IF(AND(Adjudicação!A54="",Adjudicação!$B$53=Mapa!$A$13),", 12",IF(AND(H2="",H3="", H4="",H5="",H6="",H7="",H8="",H9="",H10="",H11="",H12="",Adjudicação!A54="S",Adjudicação!$E$53=Mapa!$A$13),"12",IF(AND(Adjudicação!A54="S",Adjudicação!$E$53=Mapa!$A$13),", 12",IF(AND(H2="",H3="", H4="",H5="",H6="",H7="",H8="",H9="",H10="",H11="",H12="",Adjudicação!A54="T",Adjudicação!$H$53=Mapa!$A$13),"12",IF(AND(Adjudicação!A54="T",Adjudicação!$H$53=Mapa!$A$13),", 12",""))))))</f>
        <v/>
      </c>
      <c r="I13" s="5" t="str">
        <f>IF(AND(I2="",I3="", I4="",I5="",I6="",I7="",I8="",I9="",I10="",I11="",I12="",Adjudicação!A54="",Adjudicação!$B$53=Mapa!$A$14),"12",IF(AND(Adjudicação!A54="",Adjudicação!$B$53=Mapa!$A$14),", 12",IF(AND(I2="",I3="", I4="",I5="",I6="",I7="",I8="",I9="",I10="",I11="",I12="",Adjudicação!A54="S",Adjudicação!$E$53=Mapa!$A$14),"12",IF(AND(Adjudicação!A54="S",Adjudicação!$E$53=Mapa!$A$14),", 12",IF(AND(I2="",I3="", I4="",I5="",I6="",I7="",I8="",I9="",I10="",I11="",I12="",Adjudicação!A54="T",Adjudicação!$H$53=Mapa!$A$14),"12",IF(AND(Adjudicação!A54="T",Adjudicação!$H$53=Mapa!$A$14),", 12",""))))))</f>
        <v/>
      </c>
      <c r="J13" s="5" t="str">
        <f>IF(AND(J2="",J3="", J4="",J5="",J6="",J7="",J8="",J9="",J10="",J11="",J12="",Adjudicação!A54="",Adjudicação!$B$53=Mapa!$A$15),"12",IF(AND(Adjudicação!A54="",Adjudicação!$B$53=Mapa!$A$15),", 12",IF(AND(J2="",J3="", J4="",J5="",J6="",J7="",J8="",J9="",J10="",J11="",J12="",Adjudicação!A54="S",Adjudicação!$E$53=Mapa!$A$15),"12",IF(AND(Adjudicação!A54="S",Adjudicação!$E$53=Mapa!$A$15),", 12",IF(AND(J2="",J3="", J4="",J5="",J6="",J7="",J8="",J9="",J10="",J11="",J12="",Adjudicação!A54="T",Adjudicação!$H$53=Mapa!$A$15),"12",IF(AND(Adjudicação!A54="T",Adjudicação!$H$53=Mapa!$A$15),", 12",""))))))</f>
        <v/>
      </c>
    </row>
    <row r="14" spans="1:10">
      <c r="A14" s="5" t="str">
        <f>CONCATENATE(A2,A3,A4,A5,A6,A7,A8,A9,A10,A11,A12,A13)</f>
        <v/>
      </c>
      <c r="B14" s="5" t="str">
        <f>CONCATENATE(B2,B3,B4,B5,B6,B7,B8,B9,B10,B11,B12,B13)</f>
        <v/>
      </c>
      <c r="C14" s="5" t="str">
        <f t="shared" ref="C14:J14" si="0">CONCATENATE(C2,C3,C4,C5,C6,C7,C8,C9,C10,C11,C12,C13)</f>
        <v/>
      </c>
      <c r="D14" s="5" t="str">
        <f t="shared" si="0"/>
        <v/>
      </c>
      <c r="E14" s="5" t="str">
        <f t="shared" si="0"/>
        <v/>
      </c>
      <c r="F14" s="5" t="str">
        <f t="shared" si="0"/>
        <v/>
      </c>
      <c r="G14" s="5" t="str">
        <f t="shared" si="0"/>
        <v/>
      </c>
      <c r="H14" s="5" t="str">
        <f t="shared" si="0"/>
        <v/>
      </c>
      <c r="I14" s="5" t="str">
        <f t="shared" si="0"/>
        <v/>
      </c>
      <c r="J14" s="5" t="str">
        <f t="shared" si="0"/>
        <v/>
      </c>
    </row>
    <row r="16" spans="1:10" ht="15.75">
      <c r="C16" s="63" t="s">
        <v>1325</v>
      </c>
      <c r="D16" s="63" t="s">
        <v>1325</v>
      </c>
      <c r="F16" s="229"/>
    </row>
    <row r="17" spans="1:6" ht="15.75">
      <c r="A17" s="45"/>
      <c r="C17" s="63" t="s">
        <v>1710</v>
      </c>
      <c r="D17" s="63" t="s">
        <v>1710</v>
      </c>
      <c r="F17" s="229" t="s">
        <v>3625</v>
      </c>
    </row>
    <row r="18" spans="1:6" ht="30">
      <c r="A18" s="46" t="s">
        <v>1070</v>
      </c>
      <c r="C18" s="63" t="s">
        <v>1742</v>
      </c>
      <c r="D18" s="63" t="s">
        <v>1742</v>
      </c>
      <c r="F18" s="229" t="s">
        <v>3626</v>
      </c>
    </row>
    <row r="19" spans="1:6" ht="30">
      <c r="A19" s="46" t="s">
        <v>1071</v>
      </c>
      <c r="C19" s="63" t="s">
        <v>1711</v>
      </c>
      <c r="D19" s="63" t="s">
        <v>1711</v>
      </c>
      <c r="F19" s="229" t="s">
        <v>3627</v>
      </c>
    </row>
    <row r="20" spans="1:6" ht="15.75">
      <c r="A20" s="73" t="s">
        <v>3011</v>
      </c>
      <c r="C20" s="63" t="s">
        <v>1648</v>
      </c>
      <c r="D20" s="63" t="s">
        <v>1648</v>
      </c>
      <c r="F20" s="229" t="s">
        <v>3628</v>
      </c>
    </row>
    <row r="21" spans="1:6" s="65" customFormat="1" ht="30">
      <c r="A21" s="73" t="s">
        <v>3010</v>
      </c>
      <c r="C21" s="63"/>
      <c r="D21" s="63"/>
      <c r="F21" s="229" t="s">
        <v>3629</v>
      </c>
    </row>
    <row r="22" spans="1:6" ht="45">
      <c r="A22" s="46" t="s">
        <v>1072</v>
      </c>
      <c r="F22" s="229" t="s">
        <v>3630</v>
      </c>
    </row>
    <row r="23" spans="1:6" ht="30">
      <c r="A23" s="46" t="s">
        <v>1743</v>
      </c>
      <c r="F23" s="229" t="s">
        <v>3631</v>
      </c>
    </row>
    <row r="24" spans="1:6" ht="30">
      <c r="F24" s="229" t="s">
        <v>3632</v>
      </c>
    </row>
    <row r="25" spans="1:6" ht="30">
      <c r="F25" s="229" t="s">
        <v>3633</v>
      </c>
    </row>
    <row r="26" spans="1:6" ht="30">
      <c r="F26" s="229" t="s">
        <v>3634</v>
      </c>
    </row>
    <row r="27" spans="1:6" ht="30">
      <c r="F27" s="229" t="s">
        <v>3635</v>
      </c>
    </row>
    <row r="28" spans="1:6" ht="30">
      <c r="F28" s="229" t="s">
        <v>3636</v>
      </c>
    </row>
    <row r="29" spans="1:6" ht="45">
      <c r="F29" s="229" t="s">
        <v>3637</v>
      </c>
    </row>
    <row r="30" spans="1:6" ht="30">
      <c r="F30" s="229" t="s">
        <v>3638</v>
      </c>
    </row>
    <row r="31" spans="1:6" ht="45">
      <c r="F31" s="241" t="s">
        <v>3639</v>
      </c>
    </row>
    <row r="32" spans="1:6" ht="45">
      <c r="F32" s="229" t="s">
        <v>3646</v>
      </c>
    </row>
    <row r="33" spans="6:6" ht="60">
      <c r="F33" s="229" t="s">
        <v>3640</v>
      </c>
    </row>
    <row r="34" spans="6:6" ht="45">
      <c r="F34" s="229" t="s">
        <v>3641</v>
      </c>
    </row>
    <row r="35" spans="6:6" ht="30">
      <c r="F35" s="229" t="s">
        <v>3642</v>
      </c>
    </row>
    <row r="36" spans="6:6" ht="60">
      <c r="F36" s="241" t="s">
        <v>3643</v>
      </c>
    </row>
    <row r="37" spans="6:6" ht="30">
      <c r="F37" s="242" t="s">
        <v>3644</v>
      </c>
    </row>
    <row r="38" spans="6:6" ht="30">
      <c r="F38" s="242" t="s">
        <v>3645</v>
      </c>
    </row>
    <row r="39" spans="6:6" ht="30">
      <c r="F39" s="242" t="s">
        <v>3648</v>
      </c>
    </row>
    <row r="40" spans="6:6">
      <c r="F40" s="241" t="s">
        <v>3647</v>
      </c>
    </row>
    <row r="41" spans="6:6">
      <c r="F41" s="229"/>
    </row>
    <row r="42" spans="6:6">
      <c r="F42" s="229"/>
    </row>
    <row r="43" spans="6:6">
      <c r="F43" s="229"/>
    </row>
    <row r="44" spans="6:6">
      <c r="F44" s="229"/>
    </row>
    <row r="45" spans="6:6">
      <c r="F45" s="229"/>
    </row>
    <row r="46" spans="6:6">
      <c r="F46" s="229"/>
    </row>
  </sheetData>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4"/>
  <dimension ref="A1:H16"/>
  <sheetViews>
    <sheetView workbookViewId="0">
      <selection activeCell="H5" sqref="H5"/>
    </sheetView>
  </sheetViews>
  <sheetFormatPr defaultColWidth="9.140625" defaultRowHeight="15"/>
  <cols>
    <col min="1" max="1" width="10.42578125" style="75" customWidth="1"/>
    <col min="2" max="2" width="11.7109375" style="75" customWidth="1"/>
    <col min="3" max="3" width="18.42578125" style="75" customWidth="1"/>
    <col min="4" max="4" width="15.140625" style="75" customWidth="1"/>
    <col min="5" max="5" width="12.7109375" style="75" bestFit="1" customWidth="1"/>
    <col min="6" max="6" width="9.140625" style="75"/>
    <col min="7" max="7" width="13.7109375" style="75" bestFit="1" customWidth="1"/>
    <col min="8" max="8" width="9.85546875" style="75" customWidth="1"/>
    <col min="9" max="10" width="9.140625" style="75"/>
    <col min="11" max="11" width="10.140625" style="75" bestFit="1" customWidth="1"/>
    <col min="12" max="15" width="9.140625" style="75"/>
    <col min="16" max="16" width="10.140625" style="75" bestFit="1" customWidth="1"/>
    <col min="17" max="16384" width="9.140625" style="75"/>
  </cols>
  <sheetData>
    <row r="1" spans="1:8">
      <c r="A1" s="210" t="s">
        <v>1861</v>
      </c>
      <c r="B1" s="210" t="s">
        <v>1853</v>
      </c>
      <c r="C1" s="210" t="s">
        <v>1837</v>
      </c>
      <c r="D1" s="210" t="s">
        <v>1838</v>
      </c>
      <c r="E1" s="210" t="s">
        <v>2954</v>
      </c>
      <c r="G1" s="210" t="s">
        <v>3049</v>
      </c>
      <c r="H1" s="210" t="s">
        <v>1878</v>
      </c>
    </row>
    <row r="2" spans="1:8">
      <c r="A2" s="208" t="s">
        <v>3608</v>
      </c>
      <c r="B2" s="209">
        <v>1</v>
      </c>
      <c r="C2" s="208" t="s">
        <v>1862</v>
      </c>
      <c r="D2" s="208" t="s">
        <v>1865</v>
      </c>
      <c r="E2" s="211" t="s">
        <v>2952</v>
      </c>
      <c r="G2" s="80" t="s">
        <v>2350</v>
      </c>
      <c r="H2" s="231">
        <v>237</v>
      </c>
    </row>
    <row r="3" spans="1:8">
      <c r="A3" s="83" t="s">
        <v>7207</v>
      </c>
      <c r="B3" s="80">
        <v>2</v>
      </c>
      <c r="C3" s="208" t="s">
        <v>3421</v>
      </c>
      <c r="D3" s="83" t="s">
        <v>1866</v>
      </c>
      <c r="E3" s="211" t="s">
        <v>2953</v>
      </c>
      <c r="G3" s="80" t="s">
        <v>2404</v>
      </c>
      <c r="H3" s="231" t="s">
        <v>3043</v>
      </c>
    </row>
    <row r="4" spans="1:8">
      <c r="A4" s="83" t="s">
        <v>1687</v>
      </c>
      <c r="B4" s="80">
        <v>3</v>
      </c>
      <c r="C4" s="83" t="s">
        <v>1863</v>
      </c>
      <c r="D4" s="83" t="s">
        <v>8773</v>
      </c>
      <c r="G4" s="80" t="s">
        <v>2321</v>
      </c>
      <c r="H4" s="231" t="s">
        <v>3050</v>
      </c>
    </row>
    <row r="5" spans="1:8">
      <c r="A5" s="83" t="s">
        <v>1739</v>
      </c>
      <c r="B5" s="80">
        <v>4</v>
      </c>
      <c r="C5" s="83" t="s">
        <v>1864</v>
      </c>
      <c r="D5" s="83" t="s">
        <v>1867</v>
      </c>
      <c r="G5" s="80" t="s">
        <v>2329</v>
      </c>
      <c r="H5" s="231">
        <v>104</v>
      </c>
    </row>
    <row r="6" spans="1:8">
      <c r="B6" s="80">
        <v>5</v>
      </c>
      <c r="D6" s="83" t="s">
        <v>3008</v>
      </c>
      <c r="G6" s="80" t="s">
        <v>3045</v>
      </c>
      <c r="H6" s="231" t="s">
        <v>3048</v>
      </c>
    </row>
    <row r="7" spans="1:8">
      <c r="B7" s="80">
        <v>6</v>
      </c>
      <c r="D7" s="83" t="s">
        <v>3009</v>
      </c>
      <c r="G7" s="80" t="s">
        <v>3051</v>
      </c>
      <c r="H7" s="231">
        <v>341</v>
      </c>
    </row>
    <row r="8" spans="1:8" ht="15.75" thickBot="1">
      <c r="B8" s="81" t="s">
        <v>2755</v>
      </c>
      <c r="D8" s="83" t="s">
        <v>3769</v>
      </c>
      <c r="G8" s="80" t="s">
        <v>2333</v>
      </c>
      <c r="H8" s="231" t="s">
        <v>3052</v>
      </c>
    </row>
    <row r="9" spans="1:8">
      <c r="G9" s="80" t="s">
        <v>2492</v>
      </c>
      <c r="H9" s="231" t="s">
        <v>3053</v>
      </c>
    </row>
    <row r="10" spans="1:8">
      <c r="G10" s="80"/>
      <c r="H10" s="231"/>
    </row>
    <row r="11" spans="1:8">
      <c r="G11" s="80"/>
      <c r="H11" s="231"/>
    </row>
    <row r="16" spans="1:8">
      <c r="B16" s="230"/>
    </row>
  </sheetData>
  <sortState ref="G2:H9">
    <sortCondition ref="G8"/>
  </sortState>
  <dataValidations count="2">
    <dataValidation type="list" allowBlank="1" showInputMessage="1" showErrorMessage="1" sqref="C2:C5">
      <formula1>status</formula1>
    </dataValidation>
    <dataValidation type="list" allowBlank="1" showInputMessage="1" showErrorMessage="1" sqref="A2:A3 A4:A5">
      <formula1>setores</formula1>
    </dataValidation>
  </dataValidation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19</vt:i4>
      </vt:variant>
      <vt:variant>
        <vt:lpstr>Intervalos nomeados</vt:lpstr>
      </vt:variant>
      <vt:variant>
        <vt:i4>24</vt:i4>
      </vt:variant>
    </vt:vector>
  </HeadingPairs>
  <TitlesOfParts>
    <vt:vector size="43" baseType="lpstr">
      <vt:lpstr>Controle</vt:lpstr>
      <vt:lpstr>Plan1</vt:lpstr>
      <vt:lpstr>Mapa</vt:lpstr>
      <vt:lpstr>Cot.A</vt:lpstr>
      <vt:lpstr>Cot.F</vt:lpstr>
      <vt:lpstr>Cot.M</vt:lpstr>
      <vt:lpstr>Cot.Eng</vt:lpstr>
      <vt:lpstr>Adjudicação</vt:lpstr>
      <vt:lpstr>Ordem</vt:lpstr>
      <vt:lpstr>PAGAMENTO</vt:lpstr>
      <vt:lpstr>produtos_escape2</vt:lpstr>
      <vt:lpstr>Instruções</vt:lpstr>
      <vt:lpstr>EmailsForn</vt:lpstr>
      <vt:lpstr>fornecedores</vt:lpstr>
      <vt:lpstr>Financeiro</vt:lpstr>
      <vt:lpstr>Atrasado</vt:lpstr>
      <vt:lpstr>Prest. Contas</vt:lpstr>
      <vt:lpstr>Fonte</vt:lpstr>
      <vt:lpstr>Validação</vt:lpstr>
      <vt:lpstr>adjudicado</vt:lpstr>
      <vt:lpstr>Adjudicação!Area_de_impressao</vt:lpstr>
      <vt:lpstr>Atrasado!Area_de_impressao</vt:lpstr>
      <vt:lpstr>Cot.A!Area_de_impressao</vt:lpstr>
      <vt:lpstr>Cot.Eng!Area_de_impressao</vt:lpstr>
      <vt:lpstr>Cot.F!Area_de_impressao</vt:lpstr>
      <vt:lpstr>Cot.M!Area_de_impressao</vt:lpstr>
      <vt:lpstr>Ordem!Area_de_impressao</vt:lpstr>
      <vt:lpstr>produtos_escape2!Area_de_impressao</vt:lpstr>
      <vt:lpstr>bimestres</vt:lpstr>
      <vt:lpstr>empresas</vt:lpstr>
      <vt:lpstr>FANTASIA</vt:lpstr>
      <vt:lpstr>FANTASIA1</vt:lpstr>
      <vt:lpstr>FORNECEDOR</vt:lpstr>
      <vt:lpstr>FORNECEDORES</vt:lpstr>
      <vt:lpstr>Ordem!LISTA</vt:lpstr>
      <vt:lpstr>responsáveis</vt:lpstr>
      <vt:lpstr>Responsável</vt:lpstr>
      <vt:lpstr>Resposável</vt:lpstr>
      <vt:lpstr>SETOR</vt:lpstr>
      <vt:lpstr>setores</vt:lpstr>
      <vt:lpstr>SETORX</vt:lpstr>
      <vt:lpstr>SISG</vt:lpstr>
      <vt:lpstr>status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PCdiCasa</dc:creator>
  <cp:lastModifiedBy>Bruno de Moraes Araujo</cp:lastModifiedBy>
  <cp:lastPrinted>2020-08-17T16:01:22Z</cp:lastPrinted>
  <dcterms:created xsi:type="dcterms:W3CDTF">2013-02-14T20:05:07Z</dcterms:created>
  <dcterms:modified xsi:type="dcterms:W3CDTF">2021-12-20T21:06:47Z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c0673faf-9abd-4ca5-bfbc-da9ff6a7c5bb</vt:lpwstr>
  </property>
</Properties>
</file>